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INC LOG SBY 2018\BUDGET\2022\FINAL\"/>
    </mc:Choice>
  </mc:AlternateContent>
  <bookViews>
    <workbookView xWindow="0" yWindow="0" windowWidth="19200" windowHeight="7050" tabRatio="862" activeTab="2"/>
  </bookViews>
  <sheets>
    <sheet name="BUDGET REVENUE CML 2021-2025" sheetId="4" r:id="rId1"/>
    <sheet name="Sheet1" sheetId="81" r:id="rId2"/>
    <sheet name="BUDGET REVENUE BP 2021-2025" sheetId="3" r:id="rId3"/>
    <sheet name="BUDGET REVENUE CLI 2021-2025" sheetId="57" r:id="rId4"/>
    <sheet name="BUDGET REVENUE TBS 2021" sheetId="77" r:id="rId5"/>
    <sheet name="Summary Branch-BU (FC by Pa (2" sheetId="80" r:id="rId6"/>
    <sheet name="Summary Branch-BU (FC by Pa Jo)" sheetId="78" state="hidden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</externalReferences>
  <definedNames>
    <definedName name="\a" localSheetId="0">'[1]KKP A.2.1'!#REF!</definedName>
    <definedName name="\a" localSheetId="4">'[1]KKP A.2.1'!#REF!</definedName>
    <definedName name="\a" localSheetId="5">'[1]KKP A.2.1'!#REF!</definedName>
    <definedName name="\a" localSheetId="6">'[1]KKP A.2.1'!#REF!</definedName>
    <definedName name="\a">'[1]KKP A.2.1'!#REF!</definedName>
    <definedName name="\b" localSheetId="0">#REF!</definedName>
    <definedName name="\b" localSheetId="4">#REF!</definedName>
    <definedName name="\b" localSheetId="5">#REF!</definedName>
    <definedName name="\b" localSheetId="6">#REF!</definedName>
    <definedName name="\b">#REF!</definedName>
    <definedName name="\C" localSheetId="0">#REF!</definedName>
    <definedName name="\C" localSheetId="5">#REF!</definedName>
    <definedName name="\C" localSheetId="6">#REF!</definedName>
    <definedName name="\C">#REF!</definedName>
    <definedName name="\P" localSheetId="0">#REF!</definedName>
    <definedName name="\P" localSheetId="5">#REF!</definedName>
    <definedName name="\P" localSheetId="6">#REF!</definedName>
    <definedName name="\P">#REF!</definedName>
    <definedName name="\q">#N/A</definedName>
    <definedName name="\w" localSheetId="0">'[1]KKP A.2.1'!#REF!</definedName>
    <definedName name="\w" localSheetId="4">'[1]KKP A.2.1'!#REF!</definedName>
    <definedName name="\w" localSheetId="5">'[1]KKP A.2.1'!#REF!</definedName>
    <definedName name="\w" localSheetId="6">'[1]KKP A.2.1'!#REF!</definedName>
    <definedName name="\w">'[1]KKP A.2.1'!#REF!</definedName>
    <definedName name="\X" localSheetId="0">#REF!</definedName>
    <definedName name="\X" localSheetId="4">#REF!</definedName>
    <definedName name="\X" localSheetId="5">#REF!</definedName>
    <definedName name="\X" localSheetId="6">#REF!</definedName>
    <definedName name="\X">#REF!</definedName>
    <definedName name="__________________aam822" localSheetId="0">'[2]TB-WP'!#REF!</definedName>
    <definedName name="__________________aam822" localSheetId="5">'[2]TB-WP'!#REF!</definedName>
    <definedName name="__________________aam822" localSheetId="6">'[2]TB-WP'!#REF!</definedName>
    <definedName name="__________________aam822">'[2]TB-WP'!#REF!</definedName>
    <definedName name="_________________aam822" localSheetId="0">'[2]TB-WP'!#REF!</definedName>
    <definedName name="_________________aam822" localSheetId="5">'[2]TB-WP'!#REF!</definedName>
    <definedName name="_________________aam822" localSheetId="6">'[2]TB-WP'!#REF!</definedName>
    <definedName name="_________________aam822">'[2]TB-WP'!#REF!</definedName>
    <definedName name="________________Apr4">'[3]Forex Exp MTM -28-'!$F$3</definedName>
    <definedName name="________________Aug4">'[3]Forex Exp MTM -28-'!$J$3</definedName>
    <definedName name="________________Jul4">'[3]Forex Exp MTM -28-'!$I$3</definedName>
    <definedName name="________________Jun4">'[3]Forex Exp MTM -28-'!$H$3</definedName>
    <definedName name="________________May4">'[3]Forex Exp MTM -28-'!$G$3</definedName>
    <definedName name="_______________Apr4">'[3]Forex Exp MTM -28-'!$F$3</definedName>
    <definedName name="_______________Aug4">'[3]Forex Exp MTM -28-'!$J$3</definedName>
    <definedName name="_______________Jul4">'[3]Forex Exp MTM -28-'!$I$3</definedName>
    <definedName name="_______________Jun4">'[3]Forex Exp MTM -28-'!$H$3</definedName>
    <definedName name="_______________May4">'[3]Forex Exp MTM -28-'!$G$3</definedName>
    <definedName name="______________aam822" localSheetId="0">'[2]TB-WP'!#REF!</definedName>
    <definedName name="______________aam822" localSheetId="5">'[2]TB-WP'!#REF!</definedName>
    <definedName name="______________aam822" localSheetId="6">'[2]TB-WP'!#REF!</definedName>
    <definedName name="______________aam822">'[2]TB-WP'!#REF!</definedName>
    <definedName name="______________Apr4">'[4]Forex Exp MTM -28-'!$F$3</definedName>
    <definedName name="______________Aug4">'[4]Forex Exp MTM -28-'!$J$3</definedName>
    <definedName name="______________Jul4">'[4]Forex Exp MTM -28-'!$I$3</definedName>
    <definedName name="______________Jun4">'[4]Forex Exp MTM -28-'!$H$3</definedName>
    <definedName name="______________May4">'[4]Forex Exp MTM -28-'!$G$3</definedName>
    <definedName name="______________Oct4">'[3]Forex Exp MTM -28-'!$L$3</definedName>
    <definedName name="_____________aam822" localSheetId="0">'[2]TB-WP'!#REF!</definedName>
    <definedName name="_____________aam822" localSheetId="5">'[2]TB-WP'!#REF!</definedName>
    <definedName name="_____________aam822" localSheetId="6">'[2]TB-WP'!#REF!</definedName>
    <definedName name="_____________aam822">'[2]TB-WP'!#REF!</definedName>
    <definedName name="_____________AD68045" localSheetId="0">#REF!</definedName>
    <definedName name="_____________AD68045" localSheetId="5">#REF!</definedName>
    <definedName name="_____________AD68045" localSheetId="6">#REF!</definedName>
    <definedName name="_____________AD68045">#REF!</definedName>
    <definedName name="_____________Apr2">'[4]Interest Exp MTM-23-'!$F$4</definedName>
    <definedName name="_____________Apr3">'[4]Forex Principal MTM -26-'!$F$3</definedName>
    <definedName name="_____________Apr4">'[5]Forex Exp MTM -28-'!$F$3</definedName>
    <definedName name="_____________Aug2">'[4]Interest Exp MTM-23-'!$J$4</definedName>
    <definedName name="_____________Aug3">'[4]Forex Principal MTM -26-'!$J$3</definedName>
    <definedName name="_____________Aug4">'[5]Forex Exp MTM -28-'!$J$3</definedName>
    <definedName name="_____________Jul2">'[4]Interest Exp MTM-23-'!$I$4</definedName>
    <definedName name="_____________Jul3">'[4]Forex Principal MTM -26-'!$I$3</definedName>
    <definedName name="_____________Jul4">'[5]Forex Exp MTM -28-'!$I$3</definedName>
    <definedName name="_____________Jun2">'[4]Interest Exp MTM-23-'!$H$4</definedName>
    <definedName name="_____________Jun3">'[4]Forex Principal MTM -26-'!$H$3</definedName>
    <definedName name="_____________Jun4">'[5]Forex Exp MTM -28-'!$H$3</definedName>
    <definedName name="_____________Mar2">'[4]Interest Exp MTM-23-'!$E$4</definedName>
    <definedName name="_____________Mar3">'[4]Forex Principal MTM -26-'!$E$3</definedName>
    <definedName name="_____________Mar4">'[4]Forex Exp MTM -28-'!$E$3</definedName>
    <definedName name="_____________Mar5">'[4]Sales &amp; GM-Cons-12-'!$G$3</definedName>
    <definedName name="_____________May2">'[4]Interest Exp MTM-23-'!$G$4</definedName>
    <definedName name="_____________May3">'[4]Forex Principal MTM -26-'!$G$3</definedName>
    <definedName name="_____________May4">'[5]Forex Exp MTM -28-'!$G$3</definedName>
    <definedName name="_____________Nov4">'[3]Forex Exp MTM -28-'!$M$3</definedName>
    <definedName name="_____________Oct4">'[3]Forex Exp MTM -28-'!$L$3</definedName>
    <definedName name="_____________php99" localSheetId="2" hidden="1">#REF!</definedName>
    <definedName name="_____________php99" localSheetId="0" hidden="1">#REF!</definedName>
    <definedName name="_____________php99" localSheetId="5" hidden="1">#REF!</definedName>
    <definedName name="_____________php99" localSheetId="6" hidden="1">#REF!</definedName>
    <definedName name="_____________php99" hidden="1">#REF!</definedName>
    <definedName name="_____________pm1" localSheetId="0">#REF!</definedName>
    <definedName name="_____________pm1" localSheetId="5">#REF!</definedName>
    <definedName name="_____________pm1" localSheetId="6">#REF!</definedName>
    <definedName name="_____________pm1">#REF!</definedName>
    <definedName name="_____________Sep4">'[3]Forex Exp MTM -28-'!$K$3</definedName>
    <definedName name="_____________wbs1" localSheetId="0">#REF!</definedName>
    <definedName name="_____________wbs1" localSheetId="5">#REF!</definedName>
    <definedName name="_____________wbs1" localSheetId="6">#REF!</definedName>
    <definedName name="_____________wbs1">#REF!</definedName>
    <definedName name="_____________wbs2" localSheetId="0">#REF!</definedName>
    <definedName name="_____________wbs2" localSheetId="5">#REF!</definedName>
    <definedName name="_____________wbs2" localSheetId="6">#REF!</definedName>
    <definedName name="_____________wbs2">#REF!</definedName>
    <definedName name="____________AD68045" localSheetId="0">#REF!</definedName>
    <definedName name="____________AD68045" localSheetId="5">#REF!</definedName>
    <definedName name="____________AD68045" localSheetId="6">#REF!</definedName>
    <definedName name="____________AD68045">#REF!</definedName>
    <definedName name="____________Apr1">'[6]Cashflow Cons MTM-10-'!$E$3</definedName>
    <definedName name="____________Apr2">'[6]Interest Exp MTM-23-'!$F$4</definedName>
    <definedName name="____________Apr3">'[6]Forex Principal MTM -26-'!$F$3</definedName>
    <definedName name="____________Apr4">'[5]Forex Exp MTM -28-'!$F$3</definedName>
    <definedName name="____________Apr5">'[4]Sales &amp; GM-Cons-12-'!$H$3</definedName>
    <definedName name="____________Aug1">'[6]Cashflow Cons MTM-10-'!$I$3</definedName>
    <definedName name="____________Aug2">'[6]Interest Exp MTM-23-'!$J$4</definedName>
    <definedName name="____________Aug3">'[6]Forex Principal MTM -26-'!$J$3</definedName>
    <definedName name="____________Aug4">'[5]Forex Exp MTM -28-'!$J$3</definedName>
    <definedName name="____________Aug5">'[4]Sales &amp; GM-Cons-12-'!$L$3</definedName>
    <definedName name="____________Dec1">'[6]Cashflow Cons MTM-10-'!$M$3</definedName>
    <definedName name="____________Dec5">'[6]Sales &amp; GM-Cons-12-'!$P$3</definedName>
    <definedName name="____________Jul1">'[6]Cashflow Cons MTM-10-'!$H$3</definedName>
    <definedName name="____________Jul2">'[6]Interest Exp MTM-23-'!$I$4</definedName>
    <definedName name="____________Jul3">'[6]Forex Principal MTM -26-'!$I$3</definedName>
    <definedName name="____________Jul4">'[5]Forex Exp MTM -28-'!$I$3</definedName>
    <definedName name="____________Jul5">'[4]Sales &amp; GM-Cons-12-'!$K$3</definedName>
    <definedName name="____________Jun1">'[6]Cashflow Cons MTM-10-'!$G$3</definedName>
    <definedName name="____________Jun2">'[6]Interest Exp MTM-23-'!$H$4</definedName>
    <definedName name="____________Jun3">'[6]Forex Principal MTM -26-'!$H$3</definedName>
    <definedName name="____________Jun4">'[5]Forex Exp MTM -28-'!$H$3</definedName>
    <definedName name="____________Jun5">'[4]Sales &amp; GM-Cons-12-'!$J$3</definedName>
    <definedName name="____________Mar1">'[6]Cashflow Cons MTM-10-'!$D$3</definedName>
    <definedName name="____________Mar2">'[6]Interest Exp MTM-23-'!$E$4</definedName>
    <definedName name="____________Mar3">'[6]Forex Principal MTM -26-'!$E$3</definedName>
    <definedName name="____________Mar4">'[6]Forex Exp MTM -28-'!$E$3</definedName>
    <definedName name="____________Mar5">'[6]Sales &amp; GM-Cons-12-'!$G$3</definedName>
    <definedName name="____________May1">'[6]Cashflow Cons MTM-10-'!$F$3</definedName>
    <definedName name="____________May2">'[6]Interest Exp MTM-23-'!$G$4</definedName>
    <definedName name="____________May3">'[6]Forex Principal MTM -26-'!$G$3</definedName>
    <definedName name="____________May4">'[5]Forex Exp MTM -28-'!$G$3</definedName>
    <definedName name="____________May5">'[4]Sales &amp; GM-Cons-12-'!$I$3</definedName>
    <definedName name="____________Nov4">'[3]Forex Exp MTM -28-'!$M$3</definedName>
    <definedName name="____________Oct1">'[6]Cashflow Cons MTM-10-'!$K$3</definedName>
    <definedName name="____________Oct4">'[5]Forex Exp MTM -28-'!$L$3</definedName>
    <definedName name="____________php99" localSheetId="2" hidden="1">#REF!</definedName>
    <definedName name="____________php99" localSheetId="0" hidden="1">#REF!</definedName>
    <definedName name="____________php99" localSheetId="5" hidden="1">#REF!</definedName>
    <definedName name="____________php99" localSheetId="6" hidden="1">#REF!</definedName>
    <definedName name="____________php99" hidden="1">#REF!</definedName>
    <definedName name="____________pm1" localSheetId="0">#REF!</definedName>
    <definedName name="____________pm1" localSheetId="5">#REF!</definedName>
    <definedName name="____________pm1" localSheetId="6">#REF!</definedName>
    <definedName name="____________pm1">#REF!</definedName>
    <definedName name="____________Sep4">'[3]Forex Exp MTM -28-'!$K$3</definedName>
    <definedName name="____________wbs1" localSheetId="0">#REF!</definedName>
    <definedName name="____________wbs1" localSheetId="5">#REF!</definedName>
    <definedName name="____________wbs1" localSheetId="6">#REF!</definedName>
    <definedName name="____________wbs1">#REF!</definedName>
    <definedName name="____________wbs2" localSheetId="0">#REF!</definedName>
    <definedName name="____________wbs2" localSheetId="5">#REF!</definedName>
    <definedName name="____________wbs2" localSheetId="6">#REF!</definedName>
    <definedName name="____________wbs2">#REF!</definedName>
    <definedName name="___________aam822" localSheetId="0">'[2]TB-WP'!#REF!</definedName>
    <definedName name="___________aam822" localSheetId="5">'[2]TB-WP'!#REF!</definedName>
    <definedName name="___________aam822" localSheetId="6">'[2]TB-WP'!#REF!</definedName>
    <definedName name="___________aam822">'[2]TB-WP'!#REF!</definedName>
    <definedName name="___________AD68045" localSheetId="0">#REF!</definedName>
    <definedName name="___________AD68045" localSheetId="5">#REF!</definedName>
    <definedName name="___________AD68045" localSheetId="6">#REF!</definedName>
    <definedName name="___________AD68045">#REF!</definedName>
    <definedName name="___________Apr1">'[6]Cashflow Cons MTM-10-'!$E$3</definedName>
    <definedName name="___________Apr2">'[6]Interest Exp MTM-23-'!$F$4</definedName>
    <definedName name="___________Apr3">'[6]Forex Principal MTM -26-'!$F$3</definedName>
    <definedName name="___________Apr4">'[5]Forex Exp MTM -28-'!$F$3</definedName>
    <definedName name="___________Apr5">'[6]Sales &amp; GM-Cons-12-'!$H$3</definedName>
    <definedName name="___________Aug1">'[6]Cashflow Cons MTM-10-'!$I$3</definedName>
    <definedName name="___________Aug2">'[6]Interest Exp MTM-23-'!$J$4</definedName>
    <definedName name="___________Aug3">'[6]Forex Principal MTM -26-'!$J$3</definedName>
    <definedName name="___________Aug4">'[5]Forex Exp MTM -28-'!$J$3</definedName>
    <definedName name="___________Aug5">'[6]Sales &amp; GM-Cons-12-'!$L$3</definedName>
    <definedName name="___________Dec1">'[6]Cashflow Cons MTM-10-'!$M$3</definedName>
    <definedName name="___________Dec2">'[6]Interest Exp MTM-23-'!$N$4</definedName>
    <definedName name="___________Dec3">'[6]Forex Principal MTM -26-'!$N$3</definedName>
    <definedName name="___________Dec4">'[6]Forex Exp MTM -28-'!$N$3</definedName>
    <definedName name="___________Dec5">'[6]Sales &amp; GM-Cons-12-'!$P$3</definedName>
    <definedName name="___________Jul1">'[6]Cashflow Cons MTM-10-'!$H$3</definedName>
    <definedName name="___________Jul2">'[6]Interest Exp MTM-23-'!$I$4</definedName>
    <definedName name="___________Jul3">'[6]Forex Principal MTM -26-'!$I$3</definedName>
    <definedName name="___________Jul4">'[5]Forex Exp MTM -28-'!$I$3</definedName>
    <definedName name="___________Jul5">'[6]Sales &amp; GM-Cons-12-'!$K$3</definedName>
    <definedName name="___________Jun1">'[6]Cashflow Cons MTM-10-'!$G$3</definedName>
    <definedName name="___________Jun2">'[6]Interest Exp MTM-23-'!$H$4</definedName>
    <definedName name="___________Jun3">'[6]Forex Principal MTM -26-'!$H$3</definedName>
    <definedName name="___________Jun4">'[5]Forex Exp MTM -28-'!$H$3</definedName>
    <definedName name="___________Jun5">'[6]Sales &amp; GM-Cons-12-'!$J$3</definedName>
    <definedName name="___________Mar1">'[6]Cashflow Cons MTM-10-'!$D$3</definedName>
    <definedName name="___________Mar2">'[6]Interest Exp MTM-23-'!$E$4</definedName>
    <definedName name="___________Mar3">'[6]Forex Principal MTM -26-'!$E$3</definedName>
    <definedName name="___________Mar4">'[6]Forex Exp MTM -28-'!$E$3</definedName>
    <definedName name="___________Mar5">'[6]Sales &amp; GM-Cons-12-'!$G$3</definedName>
    <definedName name="___________May1">'[6]Cashflow Cons MTM-10-'!$F$3</definedName>
    <definedName name="___________May2">'[6]Interest Exp MTM-23-'!$G$4</definedName>
    <definedName name="___________May3">'[6]Forex Principal MTM -26-'!$G$3</definedName>
    <definedName name="___________May4">'[5]Forex Exp MTM -28-'!$G$3</definedName>
    <definedName name="___________May5">'[6]Sales &amp; GM-Cons-12-'!$I$3</definedName>
    <definedName name="___________Nov4">'[5]Forex Exp MTM -28-'!$M$3</definedName>
    <definedName name="___________Oct1">'[6]Cashflow Cons MTM-10-'!$K$3</definedName>
    <definedName name="___________Oct2">'[6]Interest Exp MTM-23-'!$L$4</definedName>
    <definedName name="___________Oct3">'[6]Forex Principal MTM -26-'!$L$3</definedName>
    <definedName name="___________Oct4">'[5]Forex Exp MTM -28-'!$L$3</definedName>
    <definedName name="___________Oct5">'[6]Sales &amp; GM-Cons-12-'!$N$3</definedName>
    <definedName name="___________php99" localSheetId="2" hidden="1">#REF!</definedName>
    <definedName name="___________php99" localSheetId="0" hidden="1">#REF!</definedName>
    <definedName name="___________php99" localSheetId="5" hidden="1">#REF!</definedName>
    <definedName name="___________php99" localSheetId="6" hidden="1">#REF!</definedName>
    <definedName name="___________php99" hidden="1">#REF!</definedName>
    <definedName name="___________pm1" localSheetId="0">#REF!</definedName>
    <definedName name="___________pm1" localSheetId="5">#REF!</definedName>
    <definedName name="___________pm1" localSheetId="6">#REF!</definedName>
    <definedName name="___________pm1">#REF!</definedName>
    <definedName name="___________Sep4">'[5]Forex Exp MTM -28-'!$K$3</definedName>
    <definedName name="___________wbs1" localSheetId="0">#REF!</definedName>
    <definedName name="___________wbs1" localSheetId="5">#REF!</definedName>
    <definedName name="___________wbs1" localSheetId="6">#REF!</definedName>
    <definedName name="___________wbs1">#REF!</definedName>
    <definedName name="___________wbs2" localSheetId="0">#REF!</definedName>
    <definedName name="___________wbs2" localSheetId="5">#REF!</definedName>
    <definedName name="___________wbs2" localSheetId="6">#REF!</definedName>
    <definedName name="___________wbs2">#REF!</definedName>
    <definedName name="__________AD68045" localSheetId="0">#REF!</definedName>
    <definedName name="__________AD68045" localSheetId="5">#REF!</definedName>
    <definedName name="__________AD68045" localSheetId="6">#REF!</definedName>
    <definedName name="__________AD68045">#REF!</definedName>
    <definedName name="__________Apr1">'[6]Cashflow Cons MTM-10-'!$E$3</definedName>
    <definedName name="__________Apr2">'[6]Interest Exp MTM-23-'!$F$4</definedName>
    <definedName name="__________Apr3">'[6]Forex Principal MTM -26-'!$F$3</definedName>
    <definedName name="__________Apr4">'[5]Forex Exp MTM -28-'!$F$3</definedName>
    <definedName name="__________Apr5">'[6]Sales &amp; GM-Cons-12-'!$H$3</definedName>
    <definedName name="__________Aug1">'[6]Cashflow Cons MTM-10-'!$I$3</definedName>
    <definedName name="__________Aug2">'[6]Interest Exp MTM-23-'!$J$4</definedName>
    <definedName name="__________Aug3">'[6]Forex Principal MTM -26-'!$J$3</definedName>
    <definedName name="__________Aug4">'[5]Forex Exp MTM -28-'!$J$3</definedName>
    <definedName name="__________Aug5">'[6]Sales &amp; GM-Cons-12-'!$L$3</definedName>
    <definedName name="__________Dec1">'[6]Cashflow Cons MTM-10-'!$M$3</definedName>
    <definedName name="__________Dec2">'[6]Interest Exp MTM-23-'!$N$4</definedName>
    <definedName name="__________Dec3">'[6]Forex Principal MTM -26-'!$N$3</definedName>
    <definedName name="__________Dec4">'[6]Forex Exp MTM -28-'!$N$3</definedName>
    <definedName name="__________Dec5">'[6]Sales &amp; GM-Cons-12-'!$P$3</definedName>
    <definedName name="__________Jul1">'[6]Cashflow Cons MTM-10-'!$H$3</definedName>
    <definedName name="__________Jul2">'[6]Interest Exp MTM-23-'!$I$4</definedName>
    <definedName name="__________Jul3">'[6]Forex Principal MTM -26-'!$I$3</definedName>
    <definedName name="__________Jul4">'[5]Forex Exp MTM -28-'!$I$3</definedName>
    <definedName name="__________Jul5">'[6]Sales &amp; GM-Cons-12-'!$K$3</definedName>
    <definedName name="__________Jun1">'[6]Cashflow Cons MTM-10-'!$G$3</definedName>
    <definedName name="__________Jun2">'[6]Interest Exp MTM-23-'!$H$4</definedName>
    <definedName name="__________Jun3">'[6]Forex Principal MTM -26-'!$H$3</definedName>
    <definedName name="__________Jun4">'[5]Forex Exp MTM -28-'!$H$3</definedName>
    <definedName name="__________Jun5">'[6]Sales &amp; GM-Cons-12-'!$J$3</definedName>
    <definedName name="__________Mar1">'[6]Cashflow Cons MTM-10-'!$D$3</definedName>
    <definedName name="__________Mar2">'[6]Interest Exp MTM-23-'!$E$4</definedName>
    <definedName name="__________Mar3">'[6]Forex Principal MTM -26-'!$E$3</definedName>
    <definedName name="__________Mar4">'[6]Forex Exp MTM -28-'!$E$3</definedName>
    <definedName name="__________Mar5">'[6]Sales &amp; GM-Cons-12-'!$G$3</definedName>
    <definedName name="__________May1">'[6]Cashflow Cons MTM-10-'!$F$3</definedName>
    <definedName name="__________May2">'[6]Interest Exp MTM-23-'!$G$4</definedName>
    <definedName name="__________May3">'[6]Forex Principal MTM -26-'!$G$3</definedName>
    <definedName name="__________May4">'[5]Forex Exp MTM -28-'!$G$3</definedName>
    <definedName name="__________May5">'[6]Sales &amp; GM-Cons-12-'!$I$3</definedName>
    <definedName name="__________Nov4">'[5]Forex Exp MTM -28-'!$M$3</definedName>
    <definedName name="__________Oct1">'[6]Cashflow Cons MTM-10-'!$K$3</definedName>
    <definedName name="__________Oct2">'[6]Interest Exp MTM-23-'!$L$4</definedName>
    <definedName name="__________Oct3">'[6]Forex Principal MTM -26-'!$L$3</definedName>
    <definedName name="__________Oct4">'[5]Forex Exp MTM -28-'!$L$3</definedName>
    <definedName name="__________Oct5">'[6]Sales &amp; GM-Cons-12-'!$N$3</definedName>
    <definedName name="__________php99" localSheetId="2" hidden="1">#REF!</definedName>
    <definedName name="__________php99" localSheetId="0" hidden="1">#REF!</definedName>
    <definedName name="__________php99" localSheetId="5" hidden="1">#REF!</definedName>
    <definedName name="__________php99" localSheetId="6" hidden="1">#REF!</definedName>
    <definedName name="__________php99" hidden="1">#REF!</definedName>
    <definedName name="__________pm1" localSheetId="0">#REF!</definedName>
    <definedName name="__________pm1" localSheetId="5">#REF!</definedName>
    <definedName name="__________pm1" localSheetId="6">#REF!</definedName>
    <definedName name="__________pm1">#REF!</definedName>
    <definedName name="__________Sep4">'[5]Forex Exp MTM -28-'!$K$3</definedName>
    <definedName name="__________wbs1" localSheetId="0">#REF!</definedName>
    <definedName name="__________wbs1" localSheetId="5">#REF!</definedName>
    <definedName name="__________wbs1" localSheetId="6">#REF!</definedName>
    <definedName name="__________wbs1">#REF!</definedName>
    <definedName name="__________wbs2" localSheetId="0">#REF!</definedName>
    <definedName name="__________wbs2" localSheetId="5">#REF!</definedName>
    <definedName name="__________wbs2" localSheetId="6">#REF!</definedName>
    <definedName name="__________wbs2">#REF!</definedName>
    <definedName name="_________aam822" localSheetId="0">'[2]TB-WP'!#REF!</definedName>
    <definedName name="_________aam822" localSheetId="5">'[2]TB-WP'!#REF!</definedName>
    <definedName name="_________aam822" localSheetId="6">'[2]TB-WP'!#REF!</definedName>
    <definedName name="_________aam822">'[2]TB-WP'!#REF!</definedName>
    <definedName name="_________AD68045" localSheetId="0">#REF!</definedName>
    <definedName name="_________AD68045" localSheetId="5">#REF!</definedName>
    <definedName name="_________AD68045" localSheetId="6">#REF!</definedName>
    <definedName name="_________AD68045">#REF!</definedName>
    <definedName name="_________Apr1">'[6]Cashflow Cons MTM-10-'!$E$3</definedName>
    <definedName name="_________Apr2">'[6]Interest Exp MTM-23-'!$F$4</definedName>
    <definedName name="_________Apr3">'[6]Forex Principal MTM -26-'!$F$3</definedName>
    <definedName name="_________Apr4">'[5]Forex Exp MTM -28-'!$F$3</definedName>
    <definedName name="_________Apr5">'[6]Sales &amp; GM-Cons-12-'!$H$3</definedName>
    <definedName name="_________Aug1">'[6]Cashflow Cons MTM-10-'!$I$3</definedName>
    <definedName name="_________Aug2">'[6]Interest Exp MTM-23-'!$J$4</definedName>
    <definedName name="_________Aug3">'[6]Forex Principal MTM -26-'!$J$3</definedName>
    <definedName name="_________Aug4">'[5]Forex Exp MTM -28-'!$J$3</definedName>
    <definedName name="_________Aug5">'[6]Sales &amp; GM-Cons-12-'!$L$3</definedName>
    <definedName name="_________Dec1">'[6]Cashflow Cons MTM-10-'!$M$3</definedName>
    <definedName name="_________Dec2">'[6]Interest Exp MTM-23-'!$N$4</definedName>
    <definedName name="_________Dec3">'[6]Forex Principal MTM -26-'!$N$3</definedName>
    <definedName name="_________Dec4">'[6]Forex Exp MTM -28-'!$N$3</definedName>
    <definedName name="_________Dec5">'[6]Sales &amp; GM-Cons-12-'!$P$3</definedName>
    <definedName name="_________JAN99">#N/A</definedName>
    <definedName name="_________Jul1">'[6]Cashflow Cons MTM-10-'!$H$3</definedName>
    <definedName name="_________Jul2">'[6]Interest Exp MTM-23-'!$I$4</definedName>
    <definedName name="_________Jul3">'[6]Forex Principal MTM -26-'!$I$3</definedName>
    <definedName name="_________Jul4">'[5]Forex Exp MTM -28-'!$I$3</definedName>
    <definedName name="_________Jul5">'[6]Sales &amp; GM-Cons-12-'!$K$3</definedName>
    <definedName name="_________Jun1">'[6]Cashflow Cons MTM-10-'!$G$3</definedName>
    <definedName name="_________Jun2">'[6]Interest Exp MTM-23-'!$H$4</definedName>
    <definedName name="_________Jun3">'[6]Forex Principal MTM -26-'!$H$3</definedName>
    <definedName name="_________Jun4">'[5]Forex Exp MTM -28-'!$H$3</definedName>
    <definedName name="_________Jun5">'[6]Sales &amp; GM-Cons-12-'!$J$3</definedName>
    <definedName name="_________Mar1">'[6]Cashflow Cons MTM-10-'!$D$3</definedName>
    <definedName name="_________Mar2">'[6]Interest Exp MTM-23-'!$E$4</definedName>
    <definedName name="_________Mar3">'[6]Forex Principal MTM -26-'!$E$3</definedName>
    <definedName name="_________Mar4">'[6]Forex Exp MTM -28-'!$E$3</definedName>
    <definedName name="_________Mar5">'[6]Sales &amp; GM-Cons-12-'!$G$3</definedName>
    <definedName name="_________May1">'[6]Cashflow Cons MTM-10-'!$F$3</definedName>
    <definedName name="_________May2">'[6]Interest Exp MTM-23-'!$G$4</definedName>
    <definedName name="_________May3">'[6]Forex Principal MTM -26-'!$G$3</definedName>
    <definedName name="_________May4">'[5]Forex Exp MTM -28-'!$G$3</definedName>
    <definedName name="_________May5">'[6]Sales &amp; GM-Cons-12-'!$I$3</definedName>
    <definedName name="_________Nov4">'[5]Forex Exp MTM -28-'!$M$3</definedName>
    <definedName name="_________Oct1">'[6]Cashflow Cons MTM-10-'!$K$3</definedName>
    <definedName name="_________Oct2">'[6]Interest Exp MTM-23-'!$L$4</definedName>
    <definedName name="_________Oct3">'[6]Forex Principal MTM -26-'!$L$3</definedName>
    <definedName name="_________Oct4">'[5]Forex Exp MTM -28-'!$L$3</definedName>
    <definedName name="_________Oct5">'[6]Sales &amp; GM-Cons-12-'!$N$3</definedName>
    <definedName name="_________php99" localSheetId="2" hidden="1">#REF!</definedName>
    <definedName name="_________php99" localSheetId="0" hidden="1">#REF!</definedName>
    <definedName name="_________php99" localSheetId="5" hidden="1">#REF!</definedName>
    <definedName name="_________php99" localSheetId="6" hidden="1">#REF!</definedName>
    <definedName name="_________php99" hidden="1">#REF!</definedName>
    <definedName name="_________pm1" localSheetId="0">#REF!</definedName>
    <definedName name="_________pm1" localSheetId="5">#REF!</definedName>
    <definedName name="_________pm1" localSheetId="6">#REF!</definedName>
    <definedName name="_________pm1">#REF!</definedName>
    <definedName name="_________Sep4">'[5]Forex Exp MTM -28-'!$K$3</definedName>
    <definedName name="_________wbs1" localSheetId="0">#REF!</definedName>
    <definedName name="_________wbs1" localSheetId="5">#REF!</definedName>
    <definedName name="_________wbs1" localSheetId="6">#REF!</definedName>
    <definedName name="_________wbs1">#REF!</definedName>
    <definedName name="_________wbs2" localSheetId="0">#REF!</definedName>
    <definedName name="_________wbs2" localSheetId="5">#REF!</definedName>
    <definedName name="_________wbs2" localSheetId="6">#REF!</definedName>
    <definedName name="_________wbs2">#REF!</definedName>
    <definedName name="________aam822" localSheetId="0">'[2]TB-WP'!#REF!</definedName>
    <definedName name="________aam822" localSheetId="5">'[2]TB-WP'!#REF!</definedName>
    <definedName name="________aam822" localSheetId="6">'[2]TB-WP'!#REF!</definedName>
    <definedName name="________aam822">'[2]TB-WP'!#REF!</definedName>
    <definedName name="________AD68045" localSheetId="0">#REF!</definedName>
    <definedName name="________AD68045" localSheetId="5">#REF!</definedName>
    <definedName name="________AD68045" localSheetId="6">#REF!</definedName>
    <definedName name="________AD68045">#REF!</definedName>
    <definedName name="________Apr1">'[6]Cashflow Cons MTM-10-'!$E$3</definedName>
    <definedName name="________Apr2">'[6]Interest Exp MTM-23-'!$F$4</definedName>
    <definedName name="________Apr3">'[6]Forex Principal MTM -26-'!$F$3</definedName>
    <definedName name="________Apr4">'[5]Forex Exp MTM -28-'!$F$3</definedName>
    <definedName name="________Apr5">'[6]Sales &amp; GM-Cons-12-'!$H$3</definedName>
    <definedName name="________Aug1">'[6]Cashflow Cons MTM-10-'!$I$3</definedName>
    <definedName name="________Aug2">'[6]Interest Exp MTM-23-'!$J$4</definedName>
    <definedName name="________Aug3">'[6]Forex Principal MTM -26-'!$J$3</definedName>
    <definedName name="________Aug4">'[5]Forex Exp MTM -28-'!$J$3</definedName>
    <definedName name="________Aug5">'[6]Sales &amp; GM-Cons-12-'!$L$3</definedName>
    <definedName name="________Dec1">'[6]Cashflow Cons MTM-10-'!$M$3</definedName>
    <definedName name="________Dec2">'[6]Interest Exp MTM-23-'!$N$4</definedName>
    <definedName name="________Dec3">'[6]Forex Principal MTM -26-'!$N$3</definedName>
    <definedName name="________Dec4">'[6]Forex Exp MTM -28-'!$N$3</definedName>
    <definedName name="________Dec5">'[6]Sales &amp; GM-Cons-12-'!$P$3</definedName>
    <definedName name="________JAN99">#N/A</definedName>
    <definedName name="________Jul1">'[6]Cashflow Cons MTM-10-'!$H$3</definedName>
    <definedName name="________Jul2">'[6]Interest Exp MTM-23-'!$I$4</definedName>
    <definedName name="________Jul3">'[6]Forex Principal MTM -26-'!$I$3</definedName>
    <definedName name="________Jul4">'[5]Forex Exp MTM -28-'!$I$3</definedName>
    <definedName name="________Jul5">'[6]Sales &amp; GM-Cons-12-'!$K$3</definedName>
    <definedName name="________Jun1">'[6]Cashflow Cons MTM-10-'!$G$3</definedName>
    <definedName name="________Jun2">'[6]Interest Exp MTM-23-'!$H$4</definedName>
    <definedName name="________Jun3">'[6]Forex Principal MTM -26-'!$H$3</definedName>
    <definedName name="________Jun4">'[5]Forex Exp MTM -28-'!$H$3</definedName>
    <definedName name="________Jun5">'[6]Sales &amp; GM-Cons-12-'!$J$3</definedName>
    <definedName name="________Mar1">'[6]Cashflow Cons MTM-10-'!$D$3</definedName>
    <definedName name="________Mar2">'[6]Interest Exp MTM-23-'!$E$4</definedName>
    <definedName name="________Mar3">'[6]Forex Principal MTM -26-'!$E$3</definedName>
    <definedName name="________Mar4">'[6]Forex Exp MTM -28-'!$E$3</definedName>
    <definedName name="________Mar5">'[6]Sales &amp; GM-Cons-12-'!$G$3</definedName>
    <definedName name="________May1">'[6]Cashflow Cons MTM-10-'!$F$3</definedName>
    <definedName name="________May2">'[6]Interest Exp MTM-23-'!$G$4</definedName>
    <definedName name="________May3">'[6]Forex Principal MTM -26-'!$G$3</definedName>
    <definedName name="________May4">'[5]Forex Exp MTM -28-'!$G$3</definedName>
    <definedName name="________May5">'[6]Sales &amp; GM-Cons-12-'!$I$3</definedName>
    <definedName name="________Nov4">'[5]Forex Exp MTM -28-'!$M$3</definedName>
    <definedName name="________Oct1">'[6]Cashflow Cons MTM-10-'!$K$3</definedName>
    <definedName name="________Oct2">'[6]Interest Exp MTM-23-'!$L$4</definedName>
    <definedName name="________Oct3">'[6]Forex Principal MTM -26-'!$L$3</definedName>
    <definedName name="________Oct4">'[5]Forex Exp MTM -28-'!$L$3</definedName>
    <definedName name="________Oct5">'[6]Sales &amp; GM-Cons-12-'!$N$3</definedName>
    <definedName name="________php99" localSheetId="2" hidden="1">#REF!</definedName>
    <definedName name="________php99" localSheetId="0" hidden="1">#REF!</definedName>
    <definedName name="________php99" localSheetId="5" hidden="1">#REF!</definedName>
    <definedName name="________php99" localSheetId="6" hidden="1">#REF!</definedName>
    <definedName name="________php99" hidden="1">#REF!</definedName>
    <definedName name="________pm1" localSheetId="0">#REF!</definedName>
    <definedName name="________pm1" localSheetId="5">#REF!</definedName>
    <definedName name="________pm1" localSheetId="6">#REF!</definedName>
    <definedName name="________pm1">#REF!</definedName>
    <definedName name="________Sep4">'[5]Forex Exp MTM -28-'!$K$3</definedName>
    <definedName name="________wbs1" localSheetId="0">#REF!</definedName>
    <definedName name="________wbs1" localSheetId="5">#REF!</definedName>
    <definedName name="________wbs1" localSheetId="6">#REF!</definedName>
    <definedName name="________wbs1">#REF!</definedName>
    <definedName name="________wbs2" localSheetId="0">#REF!</definedName>
    <definedName name="________wbs2" localSheetId="5">#REF!</definedName>
    <definedName name="________wbs2" localSheetId="6">#REF!</definedName>
    <definedName name="________wbs2">#REF!</definedName>
    <definedName name="_______A66000" localSheetId="0">#REF!</definedName>
    <definedName name="_______A66000" localSheetId="5">#REF!</definedName>
    <definedName name="_______A66000" localSheetId="6">#REF!</definedName>
    <definedName name="_______A66000">#REF!</definedName>
    <definedName name="_______AD68045" localSheetId="0">#REF!</definedName>
    <definedName name="_______AD68045" localSheetId="5">#REF!</definedName>
    <definedName name="_______AD68045" localSheetId="6">#REF!</definedName>
    <definedName name="_______AD68045">#REF!</definedName>
    <definedName name="_______Apr1">'[6]Cashflow Cons MTM-10-'!$E$3</definedName>
    <definedName name="_______Apr2">'[6]Interest Exp MTM-23-'!$F$4</definedName>
    <definedName name="_______Apr3">'[6]Forex Principal MTM -26-'!$F$3</definedName>
    <definedName name="_______Apr4">'[5]Forex Exp MTM -28-'!$F$3</definedName>
    <definedName name="_______Apr5">'[6]Sales &amp; GM-Cons-12-'!$H$3</definedName>
    <definedName name="_______Aug1">'[6]Cashflow Cons MTM-10-'!$I$3</definedName>
    <definedName name="_______Aug2">'[6]Interest Exp MTM-23-'!$J$4</definedName>
    <definedName name="_______Aug3">'[6]Forex Principal MTM -26-'!$J$3</definedName>
    <definedName name="_______Aug4">'[5]Forex Exp MTM -28-'!$J$3</definedName>
    <definedName name="_______Aug5">'[6]Sales &amp; GM-Cons-12-'!$L$3</definedName>
    <definedName name="_______Dec1">'[6]Cashflow Cons MTM-10-'!$M$3</definedName>
    <definedName name="_______Dec2">'[6]Interest Exp MTM-23-'!$N$4</definedName>
    <definedName name="_______Dec3">'[6]Forex Principal MTM -26-'!$N$3</definedName>
    <definedName name="_______Dec4">'[6]Forex Exp MTM -28-'!$N$3</definedName>
    <definedName name="_______Dec5">'[6]Sales &amp; GM-Cons-12-'!$P$3</definedName>
    <definedName name="_______I333333" localSheetId="0">#REF!</definedName>
    <definedName name="_______I333333" localSheetId="5">#REF!</definedName>
    <definedName name="_______I333333" localSheetId="6">#REF!</definedName>
    <definedName name="_______I333333">#REF!</definedName>
    <definedName name="_______JAN99">#N/A</definedName>
    <definedName name="_______Jul1">'[6]Cashflow Cons MTM-10-'!$H$3</definedName>
    <definedName name="_______Jul2">'[6]Interest Exp MTM-23-'!$I$4</definedName>
    <definedName name="_______Jul3">'[6]Forex Principal MTM -26-'!$I$3</definedName>
    <definedName name="_______Jul4">'[5]Forex Exp MTM -28-'!$I$3</definedName>
    <definedName name="_______Jul5">'[6]Sales &amp; GM-Cons-12-'!$K$3</definedName>
    <definedName name="_______Jun1">'[6]Cashflow Cons MTM-10-'!$G$3</definedName>
    <definedName name="_______Jun2">'[6]Interest Exp MTM-23-'!$H$4</definedName>
    <definedName name="_______Jun3">'[6]Forex Principal MTM -26-'!$H$3</definedName>
    <definedName name="_______Jun4">'[5]Forex Exp MTM -28-'!$H$3</definedName>
    <definedName name="_______Jun5">'[6]Sales &amp; GM-Cons-12-'!$J$3</definedName>
    <definedName name="_______KOP1" localSheetId="0">#REF!</definedName>
    <definedName name="_______KOP1" localSheetId="5">#REF!</definedName>
    <definedName name="_______KOP1" localSheetId="6">#REF!</definedName>
    <definedName name="_______KOP1">#REF!</definedName>
    <definedName name="_______KOP2">#N/A</definedName>
    <definedName name="_______Mar1">'[6]Cashflow Cons MTM-10-'!$D$3</definedName>
    <definedName name="_______Mar2">'[6]Interest Exp MTM-23-'!$E$4</definedName>
    <definedName name="_______Mar3">'[6]Forex Principal MTM -26-'!$E$3</definedName>
    <definedName name="_______Mar4">'[6]Forex Exp MTM -28-'!$E$3</definedName>
    <definedName name="_______Mar5">'[6]Sales &amp; GM-Cons-12-'!$G$3</definedName>
    <definedName name="_______May1">'[6]Cashflow Cons MTM-10-'!$F$3</definedName>
    <definedName name="_______May2">'[6]Interest Exp MTM-23-'!$G$4</definedName>
    <definedName name="_______May3">'[6]Forex Principal MTM -26-'!$G$3</definedName>
    <definedName name="_______May4">'[5]Forex Exp MTM -28-'!$G$3</definedName>
    <definedName name="_______May5">'[6]Sales &amp; GM-Cons-12-'!$I$3</definedName>
    <definedName name="_______Nov4">'[5]Forex Exp MTM -28-'!$M$3</definedName>
    <definedName name="_______Oct1">'[6]Cashflow Cons MTM-10-'!$K$3</definedName>
    <definedName name="_______Oct2">'[6]Interest Exp MTM-23-'!$L$4</definedName>
    <definedName name="_______Oct3">'[6]Forex Principal MTM -26-'!$L$3</definedName>
    <definedName name="_______Oct4">'[5]Forex Exp MTM -28-'!$L$3</definedName>
    <definedName name="_______Oct5">'[6]Sales &amp; GM-Cons-12-'!$N$3</definedName>
    <definedName name="_______php99" localSheetId="2" hidden="1">#REF!</definedName>
    <definedName name="_______php99" localSheetId="0" hidden="1">#REF!</definedName>
    <definedName name="_______php99" localSheetId="5" hidden="1">#REF!</definedName>
    <definedName name="_______php99" localSheetId="6" hidden="1">#REF!</definedName>
    <definedName name="_______php99" hidden="1">#REF!</definedName>
    <definedName name="_______pm1" localSheetId="0">#REF!</definedName>
    <definedName name="_______pm1" localSheetId="5">#REF!</definedName>
    <definedName name="_______pm1" localSheetId="6">#REF!</definedName>
    <definedName name="_______pm1">#REF!</definedName>
    <definedName name="_______PPh23" localSheetId="0">#REF!</definedName>
    <definedName name="_______PPh23" localSheetId="5">#REF!</definedName>
    <definedName name="_______PPh23" localSheetId="6">#REF!</definedName>
    <definedName name="_______PPh23">#REF!</definedName>
    <definedName name="_______Sep4">'[5]Forex Exp MTM -28-'!$K$3</definedName>
    <definedName name="_______SP1" localSheetId="0">#REF!</definedName>
    <definedName name="_______SP1" localSheetId="5">#REF!</definedName>
    <definedName name="_______SP1" localSheetId="6">#REF!</definedName>
    <definedName name="_______SP1">#REF!</definedName>
    <definedName name="_______SP2" localSheetId="0">#REF!</definedName>
    <definedName name="_______SP2" localSheetId="5">#REF!</definedName>
    <definedName name="_______SP2" localSheetId="6">#REF!</definedName>
    <definedName name="_______SP2">#REF!</definedName>
    <definedName name="_______wbs1" localSheetId="0">#REF!</definedName>
    <definedName name="_______wbs1" localSheetId="5">#REF!</definedName>
    <definedName name="_______wbs1" localSheetId="6">#REF!</definedName>
    <definedName name="_______wbs1">#REF!</definedName>
    <definedName name="_______wbs2" localSheetId="0">#REF!</definedName>
    <definedName name="_______wbs2" localSheetId="5">#REF!</definedName>
    <definedName name="_______wbs2" localSheetId="6">#REF!</definedName>
    <definedName name="_______wbs2">#REF!</definedName>
    <definedName name="______A66000" localSheetId="0">#REF!</definedName>
    <definedName name="______A66000" localSheetId="5">#REF!</definedName>
    <definedName name="______A66000" localSheetId="6">#REF!</definedName>
    <definedName name="______A66000">#REF!</definedName>
    <definedName name="______aam822" localSheetId="0">'[2]TB-WP'!#REF!</definedName>
    <definedName name="______aam822" localSheetId="5">'[2]TB-WP'!#REF!</definedName>
    <definedName name="______aam822" localSheetId="6">'[2]TB-WP'!#REF!</definedName>
    <definedName name="______aam822">'[2]TB-WP'!#REF!</definedName>
    <definedName name="______AD68045" localSheetId="0">#REF!</definedName>
    <definedName name="______AD68045" localSheetId="5">#REF!</definedName>
    <definedName name="______AD68045" localSheetId="6">#REF!</definedName>
    <definedName name="______AD68045">#REF!</definedName>
    <definedName name="______Apr1">'[6]Cashflow Cons MTM-10-'!$E$3</definedName>
    <definedName name="______Apr2">'[6]Interest Exp MTM-23-'!$F$4</definedName>
    <definedName name="______Apr3">'[6]Forex Principal MTM -26-'!$F$3</definedName>
    <definedName name="______Apr4">'[5]Forex Exp MTM -28-'!$F$3</definedName>
    <definedName name="______Apr5">'[6]Sales &amp; GM-Cons-12-'!$H$3</definedName>
    <definedName name="______Aug1">'[6]Cashflow Cons MTM-10-'!$I$3</definedName>
    <definedName name="______Aug2">'[6]Interest Exp MTM-23-'!$J$4</definedName>
    <definedName name="______Aug3">'[6]Forex Principal MTM -26-'!$J$3</definedName>
    <definedName name="______Aug4">'[5]Forex Exp MTM -28-'!$J$3</definedName>
    <definedName name="______Aug5">'[6]Sales &amp; GM-Cons-12-'!$L$3</definedName>
    <definedName name="______Dec1">'[6]Cashflow Cons MTM-10-'!$M$3</definedName>
    <definedName name="______Dec2">'[6]Interest Exp MTM-23-'!$N$4</definedName>
    <definedName name="______Dec3">'[6]Forex Principal MTM -26-'!$N$3</definedName>
    <definedName name="______Dec4">'[6]Forex Exp MTM -28-'!$N$3</definedName>
    <definedName name="______Dec5">'[6]Sales &amp; GM-Cons-12-'!$P$3</definedName>
    <definedName name="______I333333" localSheetId="0">#REF!</definedName>
    <definedName name="______I333333" localSheetId="5">#REF!</definedName>
    <definedName name="______I333333" localSheetId="6">#REF!</definedName>
    <definedName name="______I333333">#REF!</definedName>
    <definedName name="______JAN99">#N/A</definedName>
    <definedName name="______Jul1">'[6]Cashflow Cons MTM-10-'!$H$3</definedName>
    <definedName name="______Jul2">'[6]Interest Exp MTM-23-'!$I$4</definedName>
    <definedName name="______Jul3">'[6]Forex Principal MTM -26-'!$I$3</definedName>
    <definedName name="______Jul4">'[5]Forex Exp MTM -28-'!$I$3</definedName>
    <definedName name="______Jul5">'[6]Sales &amp; GM-Cons-12-'!$K$3</definedName>
    <definedName name="______Jun1">'[6]Cashflow Cons MTM-10-'!$G$3</definedName>
    <definedName name="______Jun2">'[6]Interest Exp MTM-23-'!$H$4</definedName>
    <definedName name="______Jun3">'[6]Forex Principal MTM -26-'!$H$3</definedName>
    <definedName name="______Jun4">'[5]Forex Exp MTM -28-'!$H$3</definedName>
    <definedName name="______Jun5">'[6]Sales &amp; GM-Cons-12-'!$J$3</definedName>
    <definedName name="______KOP1" localSheetId="0">#REF!</definedName>
    <definedName name="______KOP1" localSheetId="5">#REF!</definedName>
    <definedName name="______KOP1" localSheetId="6">#REF!</definedName>
    <definedName name="______KOP1">#REF!</definedName>
    <definedName name="______KOP2">#N/A</definedName>
    <definedName name="______Mar1">'[6]Cashflow Cons MTM-10-'!$D$3</definedName>
    <definedName name="______Mar2">'[6]Interest Exp MTM-23-'!$E$4</definedName>
    <definedName name="______Mar3">'[6]Forex Principal MTM -26-'!$E$3</definedName>
    <definedName name="______Mar4">'[6]Forex Exp MTM -28-'!$E$3</definedName>
    <definedName name="______Mar5">'[6]Sales &amp; GM-Cons-12-'!$G$3</definedName>
    <definedName name="______May1">'[6]Cashflow Cons MTM-10-'!$F$3</definedName>
    <definedName name="______May2">'[6]Interest Exp MTM-23-'!$G$4</definedName>
    <definedName name="______May3">'[6]Forex Principal MTM -26-'!$G$3</definedName>
    <definedName name="______May4">'[5]Forex Exp MTM -28-'!$G$3</definedName>
    <definedName name="______May5">'[6]Sales &amp; GM-Cons-12-'!$I$3</definedName>
    <definedName name="______Nov4">'[5]Forex Exp MTM -28-'!$M$3</definedName>
    <definedName name="______Oct1">'[6]Cashflow Cons MTM-10-'!$K$3</definedName>
    <definedName name="______Oct2">'[6]Interest Exp MTM-23-'!$L$4</definedName>
    <definedName name="______Oct3">'[6]Forex Principal MTM -26-'!$L$3</definedName>
    <definedName name="______Oct4">'[5]Forex Exp MTM -28-'!$L$3</definedName>
    <definedName name="______Oct5">'[6]Sales &amp; GM-Cons-12-'!$N$3</definedName>
    <definedName name="______php99" localSheetId="2" hidden="1">#REF!</definedName>
    <definedName name="______php99" localSheetId="0" hidden="1">#REF!</definedName>
    <definedName name="______php99" localSheetId="5" hidden="1">#REF!</definedName>
    <definedName name="______php99" localSheetId="6" hidden="1">#REF!</definedName>
    <definedName name="______php99" hidden="1">#REF!</definedName>
    <definedName name="______pm1" localSheetId="0">#REF!</definedName>
    <definedName name="______pm1" localSheetId="5">#REF!</definedName>
    <definedName name="______pm1" localSheetId="6">#REF!</definedName>
    <definedName name="______pm1">#REF!</definedName>
    <definedName name="______PPh23" localSheetId="0">#REF!</definedName>
    <definedName name="______PPh23" localSheetId="5">#REF!</definedName>
    <definedName name="______PPh23" localSheetId="6">#REF!</definedName>
    <definedName name="______PPh23">#REF!</definedName>
    <definedName name="______Sep4">'[5]Forex Exp MTM -28-'!$K$3</definedName>
    <definedName name="______SP1" localSheetId="0">#REF!</definedName>
    <definedName name="______SP1" localSheetId="5">#REF!</definedName>
    <definedName name="______SP1" localSheetId="6">#REF!</definedName>
    <definedName name="______SP1">#REF!</definedName>
    <definedName name="______SP2" localSheetId="0">#REF!</definedName>
    <definedName name="______SP2" localSheetId="5">#REF!</definedName>
    <definedName name="______SP2" localSheetId="6">#REF!</definedName>
    <definedName name="______SP2">#REF!</definedName>
    <definedName name="______wbs1" localSheetId="0">#REF!</definedName>
    <definedName name="______wbs1" localSheetId="5">#REF!</definedName>
    <definedName name="______wbs1" localSheetId="6">#REF!</definedName>
    <definedName name="______wbs1">#REF!</definedName>
    <definedName name="______wbs2" localSheetId="0">#REF!</definedName>
    <definedName name="______wbs2" localSheetId="5">#REF!</definedName>
    <definedName name="______wbs2" localSheetId="6">#REF!</definedName>
    <definedName name="______wbs2">#REF!</definedName>
    <definedName name="_____A66000" localSheetId="0">#REF!</definedName>
    <definedName name="_____A66000" localSheetId="5">#REF!</definedName>
    <definedName name="_____A66000" localSheetId="6">#REF!</definedName>
    <definedName name="_____A66000">#REF!</definedName>
    <definedName name="_____aam822" localSheetId="0">'[2]TB-WP'!#REF!</definedName>
    <definedName name="_____aam822" localSheetId="5">'[2]TB-WP'!#REF!</definedName>
    <definedName name="_____aam822" localSheetId="6">'[2]TB-WP'!#REF!</definedName>
    <definedName name="_____aam822">'[2]TB-WP'!#REF!</definedName>
    <definedName name="_____AD68045" localSheetId="0">#REF!</definedName>
    <definedName name="_____AD68045" localSheetId="5">#REF!</definedName>
    <definedName name="_____AD68045" localSheetId="6">#REF!</definedName>
    <definedName name="_____AD68045">#REF!</definedName>
    <definedName name="_____Apr1">'[6]Cashflow Cons MTM-10-'!$E$3</definedName>
    <definedName name="_____Apr2">'[6]Interest Exp MTM-23-'!$F$4</definedName>
    <definedName name="_____Apr3">'[6]Forex Principal MTM -26-'!$F$3</definedName>
    <definedName name="_____Apr4">'[5]Forex Exp MTM -28-'!$F$3</definedName>
    <definedName name="_____Apr5">'[6]Sales &amp; GM-Cons-12-'!$H$3</definedName>
    <definedName name="_____Aug1">'[6]Cashflow Cons MTM-10-'!$I$3</definedName>
    <definedName name="_____Aug2">'[6]Interest Exp MTM-23-'!$J$4</definedName>
    <definedName name="_____Aug3">'[6]Forex Principal MTM -26-'!$J$3</definedName>
    <definedName name="_____Aug4">'[5]Forex Exp MTM -28-'!$J$3</definedName>
    <definedName name="_____Aug5">'[6]Sales &amp; GM-Cons-12-'!$L$3</definedName>
    <definedName name="_____Dec1">'[6]Cashflow Cons MTM-10-'!$M$3</definedName>
    <definedName name="_____Dec2">'[6]Interest Exp MTM-23-'!$N$4</definedName>
    <definedName name="_____Dec3">'[6]Forex Principal MTM -26-'!$N$3</definedName>
    <definedName name="_____Dec4">'[6]Forex Exp MTM -28-'!$N$3</definedName>
    <definedName name="_____Dec5">'[6]Sales &amp; GM-Cons-12-'!$P$3</definedName>
    <definedName name="_____DIT3">[7]LAPORAN!$I$1:$S$56</definedName>
    <definedName name="_____I333333" localSheetId="0">#REF!</definedName>
    <definedName name="_____I333333" localSheetId="5">#REF!</definedName>
    <definedName name="_____I333333" localSheetId="6">#REF!</definedName>
    <definedName name="_____I333333">#REF!</definedName>
    <definedName name="_____JAN99">#N/A</definedName>
    <definedName name="_____Jul1">'[6]Cashflow Cons MTM-10-'!$H$3</definedName>
    <definedName name="_____Jul2">'[6]Interest Exp MTM-23-'!$I$4</definedName>
    <definedName name="_____Jul3">'[6]Forex Principal MTM -26-'!$I$3</definedName>
    <definedName name="_____Jul4">'[5]Forex Exp MTM -28-'!$I$3</definedName>
    <definedName name="_____Jul5">'[6]Sales &amp; GM-Cons-12-'!$K$3</definedName>
    <definedName name="_____Jun1">'[6]Cashflow Cons MTM-10-'!$G$3</definedName>
    <definedName name="_____Jun2">'[6]Interest Exp MTM-23-'!$H$4</definedName>
    <definedName name="_____Jun3">'[6]Forex Principal MTM -26-'!$H$3</definedName>
    <definedName name="_____Jun4">'[5]Forex Exp MTM -28-'!$H$3</definedName>
    <definedName name="_____Jun5">'[6]Sales &amp; GM-Cons-12-'!$J$3</definedName>
    <definedName name="_____KOP1" localSheetId="0">#REF!</definedName>
    <definedName name="_____KOP1" localSheetId="5">#REF!</definedName>
    <definedName name="_____KOP1" localSheetId="6">#REF!</definedName>
    <definedName name="_____KOP1">#REF!</definedName>
    <definedName name="_____KOP2">#N/A</definedName>
    <definedName name="_____Mar1">'[6]Cashflow Cons MTM-10-'!$D$3</definedName>
    <definedName name="_____Mar2">'[6]Interest Exp MTM-23-'!$E$4</definedName>
    <definedName name="_____Mar3">'[6]Forex Principal MTM -26-'!$E$3</definedName>
    <definedName name="_____Mar4">'[6]Forex Exp MTM -28-'!$E$3</definedName>
    <definedName name="_____Mar5">'[6]Sales &amp; GM-Cons-12-'!$G$3</definedName>
    <definedName name="_____May1">'[6]Cashflow Cons MTM-10-'!$F$3</definedName>
    <definedName name="_____May2">'[6]Interest Exp MTM-23-'!$G$4</definedName>
    <definedName name="_____May3">'[6]Forex Principal MTM -26-'!$G$3</definedName>
    <definedName name="_____May4">'[5]Forex Exp MTM -28-'!$G$3</definedName>
    <definedName name="_____May5">'[6]Sales &amp; GM-Cons-12-'!$I$3</definedName>
    <definedName name="_____Nov4">'[5]Forex Exp MTM -28-'!$M$3</definedName>
    <definedName name="_____Oct1">'[6]Cashflow Cons MTM-10-'!$K$3</definedName>
    <definedName name="_____Oct2">'[6]Interest Exp MTM-23-'!$L$4</definedName>
    <definedName name="_____Oct3">'[6]Forex Principal MTM -26-'!$L$3</definedName>
    <definedName name="_____Oct4">'[5]Forex Exp MTM -28-'!$L$3</definedName>
    <definedName name="_____Oct5">'[6]Sales &amp; GM-Cons-12-'!$N$3</definedName>
    <definedName name="_____php99" localSheetId="2" hidden="1">#REF!</definedName>
    <definedName name="_____php99" localSheetId="0" hidden="1">#REF!</definedName>
    <definedName name="_____php99" localSheetId="5" hidden="1">#REF!</definedName>
    <definedName name="_____php99" localSheetId="6" hidden="1">#REF!</definedName>
    <definedName name="_____php99" hidden="1">#REF!</definedName>
    <definedName name="_____pm1" localSheetId="0">#REF!</definedName>
    <definedName name="_____pm1" localSheetId="5">#REF!</definedName>
    <definedName name="_____pm1" localSheetId="6">#REF!</definedName>
    <definedName name="_____pm1">#REF!</definedName>
    <definedName name="_____PPh23" localSheetId="0">#REF!</definedName>
    <definedName name="_____PPh23" localSheetId="5">#REF!</definedName>
    <definedName name="_____PPh23" localSheetId="6">#REF!</definedName>
    <definedName name="_____PPh23">#REF!</definedName>
    <definedName name="_____Sep4">'[5]Forex Exp MTM -28-'!$K$3</definedName>
    <definedName name="_____SP1" localSheetId="0">#REF!</definedName>
    <definedName name="_____SP1" localSheetId="5">#REF!</definedName>
    <definedName name="_____SP1" localSheetId="6">#REF!</definedName>
    <definedName name="_____SP1">#REF!</definedName>
    <definedName name="_____SP2" localSheetId="0">#REF!</definedName>
    <definedName name="_____SP2" localSheetId="5">#REF!</definedName>
    <definedName name="_____SP2" localSheetId="6">#REF!</definedName>
    <definedName name="_____SP2">#REF!</definedName>
    <definedName name="_____wbs1" localSheetId="0">#REF!</definedName>
    <definedName name="_____wbs1" localSheetId="5">#REF!</definedName>
    <definedName name="_____wbs1" localSheetId="6">#REF!</definedName>
    <definedName name="_____wbs1">#REF!</definedName>
    <definedName name="_____wbs2" localSheetId="0">#REF!</definedName>
    <definedName name="_____wbs2" localSheetId="5">#REF!</definedName>
    <definedName name="_____wbs2" localSheetId="6">#REF!</definedName>
    <definedName name="_____wbs2">#REF!</definedName>
    <definedName name="_____xlnm._FilterDatabase" localSheetId="0">#REF!</definedName>
    <definedName name="_____xlnm._FilterDatabase" localSheetId="5">#REF!</definedName>
    <definedName name="_____xlnm._FilterDatabase" localSheetId="6">#REF!</definedName>
    <definedName name="_____xlnm._FilterDatabase">#REF!</definedName>
    <definedName name="_____xlnm.Print_Area" localSheetId="0">#REF!</definedName>
    <definedName name="_____xlnm.Print_Area" localSheetId="5">#REF!</definedName>
    <definedName name="_____xlnm.Print_Area" localSheetId="6">#REF!</definedName>
    <definedName name="_____xlnm.Print_Area">#REF!</definedName>
    <definedName name="____A66000" localSheetId="0">#REF!</definedName>
    <definedName name="____A66000" localSheetId="5">#REF!</definedName>
    <definedName name="____A66000" localSheetId="6">#REF!</definedName>
    <definedName name="____A66000">#REF!</definedName>
    <definedName name="____aam822" localSheetId="0">'[8]TB-WP'!#REF!</definedName>
    <definedName name="____aam822" localSheetId="5">'[8]TB-WP'!#REF!</definedName>
    <definedName name="____aam822" localSheetId="6">'[8]TB-WP'!#REF!</definedName>
    <definedName name="____aam822">'[8]TB-WP'!#REF!</definedName>
    <definedName name="____AD68045" localSheetId="0">#REF!</definedName>
    <definedName name="____AD68045" localSheetId="5">#REF!</definedName>
    <definedName name="____AD68045" localSheetId="6">#REF!</definedName>
    <definedName name="____AD68045">#REF!</definedName>
    <definedName name="____Apr1">'[6]Cashflow Cons MTM-10-'!$E$3</definedName>
    <definedName name="____Apr2">'[6]Interest Exp MTM-23-'!$F$4</definedName>
    <definedName name="____Apr3">'[6]Forex Principal MTM -26-'!$F$3</definedName>
    <definedName name="____Apr4">'[9]Forex Exp MTM -28-'!$F$3</definedName>
    <definedName name="____Apr5">'[6]Sales &amp; GM-Cons-12-'!$H$3</definedName>
    <definedName name="____Aug1">'[6]Cashflow Cons MTM-10-'!$I$3</definedName>
    <definedName name="____Aug2">'[6]Interest Exp MTM-23-'!$J$4</definedName>
    <definedName name="____Aug3">'[6]Forex Principal MTM -26-'!$J$3</definedName>
    <definedName name="____Aug4">'[9]Forex Exp MTM -28-'!$J$3</definedName>
    <definedName name="____Aug5">'[6]Sales &amp; GM-Cons-12-'!$L$3</definedName>
    <definedName name="____DAT11" localSheetId="0">#REF!</definedName>
    <definedName name="____DAT11" localSheetId="5">#REF!</definedName>
    <definedName name="____DAT11" localSheetId="6">#REF!</definedName>
    <definedName name="____DAT11">#REF!</definedName>
    <definedName name="____DAT12" localSheetId="0">#REF!</definedName>
    <definedName name="____DAT12" localSheetId="5">#REF!</definedName>
    <definedName name="____DAT12" localSheetId="6">#REF!</definedName>
    <definedName name="____DAT12">#REF!</definedName>
    <definedName name="____DAT13" localSheetId="0">#REF!</definedName>
    <definedName name="____DAT13" localSheetId="5">#REF!</definedName>
    <definedName name="____DAT13" localSheetId="6">#REF!</definedName>
    <definedName name="____DAT13">#REF!</definedName>
    <definedName name="____DAT14" localSheetId="0">#REF!</definedName>
    <definedName name="____DAT14" localSheetId="5">#REF!</definedName>
    <definedName name="____DAT14" localSheetId="6">#REF!</definedName>
    <definedName name="____DAT14">#REF!</definedName>
    <definedName name="____DAT15" localSheetId="0">#REF!</definedName>
    <definedName name="____DAT15" localSheetId="5">#REF!</definedName>
    <definedName name="____DAT15" localSheetId="6">#REF!</definedName>
    <definedName name="____DAT15">#REF!</definedName>
    <definedName name="____DAT2" localSheetId="0">#REF!</definedName>
    <definedName name="____DAT2" localSheetId="5">#REF!</definedName>
    <definedName name="____DAT2" localSheetId="6">#REF!</definedName>
    <definedName name="____DAT2">#REF!</definedName>
    <definedName name="____DAT3" localSheetId="0">#REF!</definedName>
    <definedName name="____DAT3" localSheetId="5">#REF!</definedName>
    <definedName name="____DAT3" localSheetId="6">#REF!</definedName>
    <definedName name="____DAT3">#REF!</definedName>
    <definedName name="____DAT4" localSheetId="0">#REF!</definedName>
    <definedName name="____DAT4" localSheetId="5">#REF!</definedName>
    <definedName name="____DAT4" localSheetId="6">#REF!</definedName>
    <definedName name="____DAT4">#REF!</definedName>
    <definedName name="____DAT5" localSheetId="0">#REF!</definedName>
    <definedName name="____DAT5" localSheetId="5">#REF!</definedName>
    <definedName name="____DAT5" localSheetId="6">#REF!</definedName>
    <definedName name="____DAT5">#REF!</definedName>
    <definedName name="____DAT6" localSheetId="0">#REF!</definedName>
    <definedName name="____DAT6" localSheetId="5">#REF!</definedName>
    <definedName name="____DAT6" localSheetId="6">#REF!</definedName>
    <definedName name="____DAT6">#REF!</definedName>
    <definedName name="____DAT7" localSheetId="0">#REF!</definedName>
    <definedName name="____DAT7" localSheetId="5">#REF!</definedName>
    <definedName name="____DAT7" localSheetId="6">#REF!</definedName>
    <definedName name="____DAT7">#REF!</definedName>
    <definedName name="____DAT8" localSheetId="0">#REF!</definedName>
    <definedName name="____DAT8" localSheetId="5">#REF!</definedName>
    <definedName name="____DAT8" localSheetId="6">#REF!</definedName>
    <definedName name="____DAT8">#REF!</definedName>
    <definedName name="____DAT9" localSheetId="0">#REF!</definedName>
    <definedName name="____DAT9" localSheetId="5">#REF!</definedName>
    <definedName name="____DAT9" localSheetId="6">#REF!</definedName>
    <definedName name="____DAT9">#REF!</definedName>
    <definedName name="____Dec1">'[6]Cashflow Cons MTM-10-'!$M$3</definedName>
    <definedName name="____Dec2">'[6]Interest Exp MTM-23-'!$N$4</definedName>
    <definedName name="____Dec3">'[6]Forex Principal MTM -26-'!$N$3</definedName>
    <definedName name="____Dec4">'[6]Forex Exp MTM -28-'!$N$3</definedName>
    <definedName name="____Dec5">'[6]Sales &amp; GM-Cons-12-'!$P$3</definedName>
    <definedName name="____DIT3">[7]LAPORAN!$I$1:$S$56</definedName>
    <definedName name="____I333333" localSheetId="0">#REF!</definedName>
    <definedName name="____I333333" localSheetId="5">#REF!</definedName>
    <definedName name="____I333333" localSheetId="6">#REF!</definedName>
    <definedName name="____I333333">#REF!</definedName>
    <definedName name="____JAN99">#N/A</definedName>
    <definedName name="____Jul1">'[6]Cashflow Cons MTM-10-'!$H$3</definedName>
    <definedName name="____Jul2">'[6]Interest Exp MTM-23-'!$I$4</definedName>
    <definedName name="____Jul3">'[6]Forex Principal MTM -26-'!$I$3</definedName>
    <definedName name="____Jul4">'[9]Forex Exp MTM -28-'!$I$3</definedName>
    <definedName name="____Jul5">'[6]Sales &amp; GM-Cons-12-'!$K$3</definedName>
    <definedName name="____Jun1">'[6]Cashflow Cons MTM-10-'!$G$3</definedName>
    <definedName name="____Jun2">'[6]Interest Exp MTM-23-'!$H$4</definedName>
    <definedName name="____Jun3">'[6]Forex Principal MTM -26-'!$H$3</definedName>
    <definedName name="____Jun4">'[9]Forex Exp MTM -28-'!$H$3</definedName>
    <definedName name="____Jun5">'[6]Sales &amp; GM-Cons-12-'!$J$3</definedName>
    <definedName name="____KOP1" localSheetId="0">#REF!</definedName>
    <definedName name="____KOP1" localSheetId="5">#REF!</definedName>
    <definedName name="____KOP1" localSheetId="6">#REF!</definedName>
    <definedName name="____KOP1">#REF!</definedName>
    <definedName name="____KOP2">#N/A</definedName>
    <definedName name="____Mar1">'[6]Cashflow Cons MTM-10-'!$D$3</definedName>
    <definedName name="____Mar2">'[6]Interest Exp MTM-23-'!$E$4</definedName>
    <definedName name="____Mar3">'[6]Forex Principal MTM -26-'!$E$3</definedName>
    <definedName name="____Mar4">'[6]Forex Exp MTM -28-'!$E$3</definedName>
    <definedName name="____Mar5">'[6]Sales &amp; GM-Cons-12-'!$G$3</definedName>
    <definedName name="____May1">'[6]Cashflow Cons MTM-10-'!$F$3</definedName>
    <definedName name="____May2">'[6]Interest Exp MTM-23-'!$G$4</definedName>
    <definedName name="____May3">'[6]Forex Principal MTM -26-'!$G$3</definedName>
    <definedName name="____May4">'[9]Forex Exp MTM -28-'!$G$3</definedName>
    <definedName name="____May5">'[6]Sales &amp; GM-Cons-12-'!$I$3</definedName>
    <definedName name="____Nov4">'[5]Forex Exp MTM -28-'!$M$3</definedName>
    <definedName name="____Oct1">'[6]Cashflow Cons MTM-10-'!$K$3</definedName>
    <definedName name="____Oct2">'[6]Interest Exp MTM-23-'!$L$4</definedName>
    <definedName name="____Oct3">'[6]Forex Principal MTM -26-'!$L$3</definedName>
    <definedName name="____Oct4">'[9]Forex Exp MTM -28-'!$L$3</definedName>
    <definedName name="____Oct5">'[6]Sales &amp; GM-Cons-12-'!$N$3</definedName>
    <definedName name="____php99" localSheetId="2" hidden="1">#REF!</definedName>
    <definedName name="____php99" localSheetId="0" hidden="1">#REF!</definedName>
    <definedName name="____php99" localSheetId="5" hidden="1">#REF!</definedName>
    <definedName name="____php99" localSheetId="6" hidden="1">#REF!</definedName>
    <definedName name="____php99" hidden="1">#REF!</definedName>
    <definedName name="____pm1" localSheetId="0">#REF!</definedName>
    <definedName name="____pm1" localSheetId="5">#REF!</definedName>
    <definedName name="____pm1" localSheetId="6">#REF!</definedName>
    <definedName name="____pm1">#REF!</definedName>
    <definedName name="____PPh23" localSheetId="0">#REF!</definedName>
    <definedName name="____PPh23" localSheetId="5">#REF!</definedName>
    <definedName name="____PPh23" localSheetId="6">#REF!</definedName>
    <definedName name="____PPh23">#REF!</definedName>
    <definedName name="____Sep4">'[5]Forex Exp MTM -28-'!$K$3</definedName>
    <definedName name="____SP1" localSheetId="0">#REF!</definedName>
    <definedName name="____SP1" localSheetId="5">#REF!</definedName>
    <definedName name="____SP1" localSheetId="6">#REF!</definedName>
    <definedName name="____SP1">#REF!</definedName>
    <definedName name="____SP2" localSheetId="0">#REF!</definedName>
    <definedName name="____SP2" localSheetId="5">#REF!</definedName>
    <definedName name="____SP2" localSheetId="6">#REF!</definedName>
    <definedName name="____SP2">#REF!</definedName>
    <definedName name="____wbs1" localSheetId="0">#REF!</definedName>
    <definedName name="____wbs1" localSheetId="5">#REF!</definedName>
    <definedName name="____wbs1" localSheetId="6">#REF!</definedName>
    <definedName name="____wbs1">#REF!</definedName>
    <definedName name="____wbs2" localSheetId="0">#REF!</definedName>
    <definedName name="____wbs2" localSheetId="5">#REF!</definedName>
    <definedName name="____wbs2" localSheetId="6">#REF!</definedName>
    <definedName name="____wbs2">#REF!</definedName>
    <definedName name="____xlnm._FilterDatabase" localSheetId="0">#REF!</definedName>
    <definedName name="____xlnm._FilterDatabase" localSheetId="5">#REF!</definedName>
    <definedName name="____xlnm._FilterDatabase" localSheetId="6">#REF!</definedName>
    <definedName name="____xlnm._FilterDatabase">#REF!</definedName>
    <definedName name="____xlnm.Print_Area" localSheetId="0">#REF!</definedName>
    <definedName name="____xlnm.Print_Area" localSheetId="5">#REF!</definedName>
    <definedName name="____xlnm.Print_Area" localSheetId="6">#REF!</definedName>
    <definedName name="____xlnm.Print_Area">#REF!</definedName>
    <definedName name="___A66000" localSheetId="0">#REF!</definedName>
    <definedName name="___A66000" localSheetId="5">#REF!</definedName>
    <definedName name="___A66000" localSheetId="6">#REF!</definedName>
    <definedName name="___A66000">#REF!</definedName>
    <definedName name="___aam822" localSheetId="0">'[10]TB-WP'!#REF!</definedName>
    <definedName name="___aam822" localSheetId="4">'[11]TB-WP'!#REF!</definedName>
    <definedName name="___aam822" localSheetId="5">'[10]TB-WP'!#REF!</definedName>
    <definedName name="___aam822" localSheetId="6">'[10]TB-WP'!#REF!</definedName>
    <definedName name="___aam822">'[10]TB-WP'!#REF!</definedName>
    <definedName name="___Apr1">'[6]Cashflow Cons MTM-10-'!$E$3</definedName>
    <definedName name="___Apr2">'[6]Interest Exp MTM-23-'!$F$4</definedName>
    <definedName name="___Apr3">'[6]Forex Principal MTM -26-'!$F$3</definedName>
    <definedName name="___Apr4">'[12]Forex Exp MTM -28-'!$F$3</definedName>
    <definedName name="___Apr5">'[6]Sales &amp; GM-Cons-12-'!$H$3</definedName>
    <definedName name="___Aug1">'[6]Cashflow Cons MTM-10-'!$I$3</definedName>
    <definedName name="___Aug2">'[6]Interest Exp MTM-23-'!$J$4</definedName>
    <definedName name="___Aug3">'[6]Forex Principal MTM -26-'!$J$3</definedName>
    <definedName name="___Aug4">'[12]Forex Exp MTM -28-'!$J$3</definedName>
    <definedName name="___Aug5">'[6]Sales &amp; GM-Cons-12-'!$L$3</definedName>
    <definedName name="___DAT1" localSheetId="0">#REF!</definedName>
    <definedName name="___DAT1" localSheetId="5">#REF!</definedName>
    <definedName name="___DAT1" localSheetId="6">#REF!</definedName>
    <definedName name="___DAT1">#REF!</definedName>
    <definedName name="___DAT10" localSheetId="0">#REF!</definedName>
    <definedName name="___DAT10" localSheetId="5">#REF!</definedName>
    <definedName name="___DAT10" localSheetId="6">#REF!</definedName>
    <definedName name="___DAT10">#REF!</definedName>
    <definedName name="___DAT11" localSheetId="0">#REF!</definedName>
    <definedName name="___DAT11" localSheetId="5">#REF!</definedName>
    <definedName name="___DAT11" localSheetId="6">#REF!</definedName>
    <definedName name="___DAT11">#REF!</definedName>
    <definedName name="___DAT12" localSheetId="0">#REF!</definedName>
    <definedName name="___DAT12" localSheetId="5">#REF!</definedName>
    <definedName name="___DAT12" localSheetId="6">#REF!</definedName>
    <definedName name="___DAT12">#REF!</definedName>
    <definedName name="___DAT13" localSheetId="0">#REF!</definedName>
    <definedName name="___DAT13" localSheetId="5">#REF!</definedName>
    <definedName name="___DAT13" localSheetId="6">#REF!</definedName>
    <definedName name="___DAT13">#REF!</definedName>
    <definedName name="___DAT14" localSheetId="0">#REF!</definedName>
    <definedName name="___DAT14" localSheetId="5">#REF!</definedName>
    <definedName name="___DAT14" localSheetId="6">#REF!</definedName>
    <definedName name="___DAT14">#REF!</definedName>
    <definedName name="___DAT15" localSheetId="0">#REF!</definedName>
    <definedName name="___DAT15" localSheetId="5">#REF!</definedName>
    <definedName name="___DAT15" localSheetId="6">#REF!</definedName>
    <definedName name="___DAT15">#REF!</definedName>
    <definedName name="___DAT2" localSheetId="0">#REF!</definedName>
    <definedName name="___DAT2" localSheetId="5">#REF!</definedName>
    <definedName name="___DAT2" localSheetId="6">#REF!</definedName>
    <definedName name="___DAT2">#REF!</definedName>
    <definedName name="___DAT3" localSheetId="0">#REF!</definedName>
    <definedName name="___DAT3" localSheetId="5">#REF!</definedName>
    <definedName name="___DAT3" localSheetId="6">#REF!</definedName>
    <definedName name="___DAT3">#REF!</definedName>
    <definedName name="___DAT4" localSheetId="0">#REF!</definedName>
    <definedName name="___DAT4" localSheetId="5">#REF!</definedName>
    <definedName name="___DAT4" localSheetId="6">#REF!</definedName>
    <definedName name="___DAT4">#REF!</definedName>
    <definedName name="___DAT5" localSheetId="0">#REF!</definedName>
    <definedName name="___DAT5" localSheetId="5">#REF!</definedName>
    <definedName name="___DAT5" localSheetId="6">#REF!</definedName>
    <definedName name="___DAT5">#REF!</definedName>
    <definedName name="___DAT6" localSheetId="0">#REF!</definedName>
    <definedName name="___DAT6" localSheetId="5">#REF!</definedName>
    <definedName name="___DAT6" localSheetId="6">#REF!</definedName>
    <definedName name="___DAT6">#REF!</definedName>
    <definedName name="___DAT7" localSheetId="0">#REF!</definedName>
    <definedName name="___DAT7" localSheetId="5">#REF!</definedName>
    <definedName name="___DAT7" localSheetId="6">#REF!</definedName>
    <definedName name="___DAT7">#REF!</definedName>
    <definedName name="___DAT8" localSheetId="0">#REF!</definedName>
    <definedName name="___DAT8" localSheetId="5">#REF!</definedName>
    <definedName name="___DAT8" localSheetId="6">#REF!</definedName>
    <definedName name="___DAT8">#REF!</definedName>
    <definedName name="___DAT9" localSheetId="0">#REF!</definedName>
    <definedName name="___DAT9" localSheetId="5">#REF!</definedName>
    <definedName name="___DAT9" localSheetId="6">#REF!</definedName>
    <definedName name="___DAT9">#REF!</definedName>
    <definedName name="___Dec1">'[6]Cashflow Cons MTM-10-'!$M$3</definedName>
    <definedName name="___Dec2">'[6]Interest Exp MTM-23-'!$N$4</definedName>
    <definedName name="___Dec3">'[6]Forex Principal MTM -26-'!$N$3</definedName>
    <definedName name="___Dec4">'[6]Forex Exp MTM -28-'!$N$3</definedName>
    <definedName name="___Dec5">'[6]Sales &amp; GM-Cons-12-'!$P$3</definedName>
    <definedName name="___DIT3">[7]LAPORAN!$I$1:$S$56</definedName>
    <definedName name="___I333333" localSheetId="0">#REF!</definedName>
    <definedName name="___I333333" localSheetId="5">#REF!</definedName>
    <definedName name="___I333333" localSheetId="6">#REF!</definedName>
    <definedName name="___I333333">#REF!</definedName>
    <definedName name="___JAN99">#N/A</definedName>
    <definedName name="___Jul1">'[6]Cashflow Cons MTM-10-'!$H$3</definedName>
    <definedName name="___Jul2">'[6]Interest Exp MTM-23-'!$I$4</definedName>
    <definedName name="___Jul3">'[6]Forex Principal MTM -26-'!$I$3</definedName>
    <definedName name="___Jul4">'[12]Forex Exp MTM -28-'!$I$3</definedName>
    <definedName name="___Jul5">'[6]Sales &amp; GM-Cons-12-'!$K$3</definedName>
    <definedName name="___Jun1">'[6]Cashflow Cons MTM-10-'!$G$3</definedName>
    <definedName name="___Jun2">'[6]Interest Exp MTM-23-'!$H$4</definedName>
    <definedName name="___Jun3">'[6]Forex Principal MTM -26-'!$H$3</definedName>
    <definedName name="___Jun4">'[12]Forex Exp MTM -28-'!$H$3</definedName>
    <definedName name="___Jun5">'[6]Sales &amp; GM-Cons-12-'!$J$3</definedName>
    <definedName name="___KOP1" localSheetId="0">#REF!</definedName>
    <definedName name="___KOP1" localSheetId="5">#REF!</definedName>
    <definedName name="___KOP1" localSheetId="6">#REF!</definedName>
    <definedName name="___KOP1">#REF!</definedName>
    <definedName name="___KOP2">#N/A</definedName>
    <definedName name="___Mar1">'[6]Cashflow Cons MTM-10-'!$D$3</definedName>
    <definedName name="___Mar2">'[6]Interest Exp MTM-23-'!$E$4</definedName>
    <definedName name="___Mar3">'[6]Forex Principal MTM -26-'!$E$3</definedName>
    <definedName name="___Mar4">'[6]Forex Exp MTM -28-'!$E$3</definedName>
    <definedName name="___Mar5">'[6]Sales &amp; GM-Cons-12-'!$G$3</definedName>
    <definedName name="___May1">'[6]Cashflow Cons MTM-10-'!$F$3</definedName>
    <definedName name="___May2">'[6]Interest Exp MTM-23-'!$G$4</definedName>
    <definedName name="___May3">'[6]Forex Principal MTM -26-'!$G$3</definedName>
    <definedName name="___May4">'[12]Forex Exp MTM -28-'!$G$3</definedName>
    <definedName name="___May5">'[6]Sales &amp; GM-Cons-12-'!$I$3</definedName>
    <definedName name="___Nov4">'[5]Forex Exp MTM -28-'!$M$3</definedName>
    <definedName name="___Oct1">'[6]Cashflow Cons MTM-10-'!$K$3</definedName>
    <definedName name="___Oct2">'[6]Interest Exp MTM-23-'!$L$4</definedName>
    <definedName name="___Oct3">'[6]Forex Principal MTM -26-'!$L$3</definedName>
    <definedName name="___Oct4">'[5]Forex Exp MTM -28-'!$L$3</definedName>
    <definedName name="___Oct5">'[6]Sales &amp; GM-Cons-12-'!$N$3</definedName>
    <definedName name="___php99" localSheetId="2" hidden="1">#REF!</definedName>
    <definedName name="___php99" localSheetId="0" hidden="1">#REF!</definedName>
    <definedName name="___php99" localSheetId="5" hidden="1">#REF!</definedName>
    <definedName name="___php99" localSheetId="6" hidden="1">#REF!</definedName>
    <definedName name="___php99" hidden="1">#REF!</definedName>
    <definedName name="___pm1" localSheetId="0">#REF!</definedName>
    <definedName name="___pm1" localSheetId="5">#REF!</definedName>
    <definedName name="___pm1" localSheetId="6">#REF!</definedName>
    <definedName name="___pm1">#REF!</definedName>
    <definedName name="___PPh23" localSheetId="0">#REF!</definedName>
    <definedName name="___PPh23" localSheetId="5">#REF!</definedName>
    <definedName name="___PPh23" localSheetId="6">#REF!</definedName>
    <definedName name="___PPh23">#REF!</definedName>
    <definedName name="___Sep4">'[5]Forex Exp MTM -28-'!$K$3</definedName>
    <definedName name="___SP1" localSheetId="0">#REF!</definedName>
    <definedName name="___SP1" localSheetId="5">#REF!</definedName>
    <definedName name="___SP1" localSheetId="6">#REF!</definedName>
    <definedName name="___SP1">#REF!</definedName>
    <definedName name="___SP2" localSheetId="0">#REF!</definedName>
    <definedName name="___SP2" localSheetId="5">#REF!</definedName>
    <definedName name="___SP2" localSheetId="6">#REF!</definedName>
    <definedName name="___SP2">#REF!</definedName>
    <definedName name="___wbs1" localSheetId="0">#REF!</definedName>
    <definedName name="___wbs1" localSheetId="5">#REF!</definedName>
    <definedName name="___wbs1" localSheetId="6">#REF!</definedName>
    <definedName name="___wbs1">#REF!</definedName>
    <definedName name="___wbs2" localSheetId="0">#REF!</definedName>
    <definedName name="___wbs2" localSheetId="5">#REF!</definedName>
    <definedName name="___wbs2" localSheetId="6">#REF!</definedName>
    <definedName name="___wbs2">#REF!</definedName>
    <definedName name="___xlnm._FilterDatabase" localSheetId="0">#REF!</definedName>
    <definedName name="___xlnm._FilterDatabase" localSheetId="5">#REF!</definedName>
    <definedName name="___xlnm._FilterDatabase" localSheetId="6">#REF!</definedName>
    <definedName name="___xlnm._FilterDatabase">#REF!</definedName>
    <definedName name="___xlnm.Print_Area" localSheetId="0">#REF!</definedName>
    <definedName name="___xlnm.Print_Area" localSheetId="5">#REF!</definedName>
    <definedName name="___xlnm.Print_Area" localSheetId="6">#REF!</definedName>
    <definedName name="___xlnm.Print_Area">#REF!</definedName>
    <definedName name="__123Graph_A" localSheetId="2" hidden="1">[13]SPI!#REF!</definedName>
    <definedName name="__123Graph_A" localSheetId="0" hidden="1">[13]SPI!#REF!</definedName>
    <definedName name="__123Graph_A" localSheetId="5" hidden="1">[13]SPI!#REF!</definedName>
    <definedName name="__123Graph_A" localSheetId="6" hidden="1">[13]SPI!#REF!</definedName>
    <definedName name="__123Graph_A" hidden="1">[13]SPI!#REF!</definedName>
    <definedName name="__1Excel_BuiltIn_Print_Area_1_1" localSheetId="5">#REF!</definedName>
    <definedName name="__1Excel_BuiltIn_Print_Area_1_1" localSheetId="6">#REF!</definedName>
    <definedName name="__1Excel_BuiltIn_Print_Area_1_1">#REF!</definedName>
    <definedName name="__A66000" localSheetId="0">#REF!</definedName>
    <definedName name="__A66000" localSheetId="5">#REF!</definedName>
    <definedName name="__A66000" localSheetId="6">#REF!</definedName>
    <definedName name="__A66000">#REF!</definedName>
    <definedName name="__aam822" localSheetId="0">'[2]TB-WP'!#REF!</definedName>
    <definedName name="__aam822" localSheetId="4">'[14]TB-WP'!#REF!</definedName>
    <definedName name="__aam822" localSheetId="5">'[2]TB-WP'!#REF!</definedName>
    <definedName name="__aam822" localSheetId="6">'[2]TB-WP'!#REF!</definedName>
    <definedName name="__aam822">'[2]TB-WP'!#REF!</definedName>
    <definedName name="__AD68045" localSheetId="0">#REF!</definedName>
    <definedName name="__AD68045" localSheetId="5">#REF!</definedName>
    <definedName name="__AD68045" localSheetId="6">#REF!</definedName>
    <definedName name="__AD68045">#REF!</definedName>
    <definedName name="__Apr1" localSheetId="0">#REF!</definedName>
    <definedName name="__Apr1" localSheetId="5">#REF!</definedName>
    <definedName name="__Apr1" localSheetId="6">#REF!</definedName>
    <definedName name="__Apr1">#REF!</definedName>
    <definedName name="__Apr2" localSheetId="4">'[15]Interest Exp MTM-23-'!$F$4</definedName>
    <definedName name="__Apr2">'[12]Interest Exp MTM-23-'!$F$4</definedName>
    <definedName name="__Apr3" localSheetId="4">'[15]Forex Principal MTM -26-'!$F$3</definedName>
    <definedName name="__Apr3">'[12]Forex Principal MTM -26-'!$F$3</definedName>
    <definedName name="__Apr4" localSheetId="3">'[16]Forex Exp MTM -28-'!$F$3</definedName>
    <definedName name="__Apr4" localSheetId="4">'[15]Forex Exp MTM -28-'!$F$3</definedName>
    <definedName name="__Apr4">'[9]Forex Exp MTM -28-'!$F$3</definedName>
    <definedName name="__Apr5" localSheetId="0">#REF!</definedName>
    <definedName name="__Apr5" localSheetId="4">'[15]Sales &amp; GM-Cons-12-'!$H$3</definedName>
    <definedName name="__Apr5" localSheetId="5">#REF!</definedName>
    <definedName name="__Apr5" localSheetId="6">#REF!</definedName>
    <definedName name="__Apr5">#REF!</definedName>
    <definedName name="__APW_RESTORE_DATA1__" hidden="1">[17]Sheet12!$ER$132,[17]Sheet12!$ER$133,[17]Sheet12!$ER$138,[17]Sheet12!$BR$193</definedName>
    <definedName name="__APW_RESTORE_DATA2__" hidden="1">[17]Sheet14!$DP$52,[17]Sheet14!$DP$57,[17]Sheet14!$DP$58,[17]Sheet14!$DP$59,[17]Sheet14!$DP$60,[17]Sheet14!$DP$61,[17]Sheet14!$DP$62,[17]Sheet14!$DP$63,[17]Sheet14!$DP$64,[17]Sheet14!$DP$65</definedName>
    <definedName name="__APW_RESTORE_DATA4__" hidden="1">[17]Sheet12!$FA$132,[17]Sheet12!$FA$133,[17]Sheet12!$FA$138,[17]Sheet12!$CA$193</definedName>
    <definedName name="__APW_RESTORE_DATA5__" hidden="1">[17]Sheet14!$DY$52,[17]Sheet14!$DY$57,[17]Sheet14!$DY$58,[17]Sheet14!$DY$59,[17]Sheet14!$DY$60,[17]Sheet14!$DY$61,[17]Sheet14!$DY$62,[17]Sheet14!$DY$63,[17]Sheet14!$DY$64,[17]Sheet14!$DY$65</definedName>
    <definedName name="__Aug1" localSheetId="0">#REF!</definedName>
    <definedName name="__Aug1" localSheetId="4">'[15]Cashflow Cons MTM-10-'!$I$3</definedName>
    <definedName name="__Aug1" localSheetId="5">#REF!</definedName>
    <definedName name="__Aug1" localSheetId="6">#REF!</definedName>
    <definedName name="__Aug1">#REF!</definedName>
    <definedName name="__Aug2" localSheetId="4">'[15]Interest Exp MTM-23-'!$J$4</definedName>
    <definedName name="__Aug2">'[12]Interest Exp MTM-23-'!$J$4</definedName>
    <definedName name="__Aug3" localSheetId="4">'[15]Forex Principal MTM -26-'!$J$3</definedName>
    <definedName name="__Aug3">'[12]Forex Principal MTM -26-'!$J$3</definedName>
    <definedName name="__Aug4" localSheetId="3">'[16]Forex Exp MTM -28-'!$J$3</definedName>
    <definedName name="__Aug4" localSheetId="4">'[15]Forex Exp MTM -28-'!$J$3</definedName>
    <definedName name="__Aug4">'[9]Forex Exp MTM -28-'!$J$3</definedName>
    <definedName name="__Aug5" localSheetId="0">#REF!</definedName>
    <definedName name="__Aug5" localSheetId="4">'[15]Sales &amp; GM-Cons-12-'!$L$3</definedName>
    <definedName name="__Aug5" localSheetId="5">#REF!</definedName>
    <definedName name="__Aug5" localSheetId="6">#REF!</definedName>
    <definedName name="__Aug5">#REF!</definedName>
    <definedName name="__cyt1250">[18]capacity!$D$5</definedName>
    <definedName name="__cyt1650">[18]capacity!$E$5</definedName>
    <definedName name="__cyt800">[18]capacity!$C$5</definedName>
    <definedName name="__DAT1" localSheetId="0">#REF!</definedName>
    <definedName name="__DAT1" localSheetId="5">#REF!</definedName>
    <definedName name="__DAT1" localSheetId="6">#REF!</definedName>
    <definedName name="__DAT1">#REF!</definedName>
    <definedName name="__DAT10" localSheetId="0">#REF!</definedName>
    <definedName name="__DAT10" localSheetId="5">#REF!</definedName>
    <definedName name="__DAT10" localSheetId="6">#REF!</definedName>
    <definedName name="__DAT10">#REF!</definedName>
    <definedName name="__DAT11" localSheetId="0">#REF!</definedName>
    <definedName name="__DAT11" localSheetId="5">#REF!</definedName>
    <definedName name="__DAT11" localSheetId="6">#REF!</definedName>
    <definedName name="__DAT11">#REF!</definedName>
    <definedName name="__DAT12" localSheetId="0">#REF!</definedName>
    <definedName name="__DAT12" localSheetId="5">#REF!</definedName>
    <definedName name="__DAT12" localSheetId="6">#REF!</definedName>
    <definedName name="__DAT12">#REF!</definedName>
    <definedName name="__DAT13" localSheetId="0">#REF!</definedName>
    <definedName name="__DAT13" localSheetId="5">#REF!</definedName>
    <definedName name="__DAT13" localSheetId="6">#REF!</definedName>
    <definedName name="__DAT13">#REF!</definedName>
    <definedName name="__DAT14" localSheetId="0">#REF!</definedName>
    <definedName name="__DAT14" localSheetId="5">#REF!</definedName>
    <definedName name="__DAT14" localSheetId="6">#REF!</definedName>
    <definedName name="__DAT14">#REF!</definedName>
    <definedName name="__DAT15" localSheetId="0">#REF!</definedName>
    <definedName name="__DAT15" localSheetId="5">#REF!</definedName>
    <definedName name="__DAT15" localSheetId="6">#REF!</definedName>
    <definedName name="__DAT15">#REF!</definedName>
    <definedName name="__DAT2" localSheetId="0">#REF!</definedName>
    <definedName name="__DAT2" localSheetId="5">#REF!</definedName>
    <definedName name="__DAT2" localSheetId="6">#REF!</definedName>
    <definedName name="__DAT2">#REF!</definedName>
    <definedName name="__DAT3" localSheetId="0">#REF!</definedName>
    <definedName name="__DAT3" localSheetId="5">#REF!</definedName>
    <definedName name="__DAT3" localSheetId="6">#REF!</definedName>
    <definedName name="__DAT3">#REF!</definedName>
    <definedName name="__DAT4" localSheetId="0">#REF!</definedName>
    <definedName name="__DAT4" localSheetId="5">#REF!</definedName>
    <definedName name="__DAT4" localSheetId="6">#REF!</definedName>
    <definedName name="__DAT4">#REF!</definedName>
    <definedName name="__DAT5" localSheetId="0">#REF!</definedName>
    <definedName name="__DAT5" localSheetId="5">#REF!</definedName>
    <definedName name="__DAT5" localSheetId="6">#REF!</definedName>
    <definedName name="__DAT5">#REF!</definedName>
    <definedName name="__DAT6" localSheetId="0">#REF!</definedName>
    <definedName name="__DAT6" localSheetId="5">#REF!</definedName>
    <definedName name="__DAT6" localSheetId="6">#REF!</definedName>
    <definedName name="__DAT6">#REF!</definedName>
    <definedName name="__DAT7" localSheetId="0">#REF!</definedName>
    <definedName name="__DAT7" localSheetId="5">#REF!</definedName>
    <definedName name="__DAT7" localSheetId="6">#REF!</definedName>
    <definedName name="__DAT7">#REF!</definedName>
    <definedName name="__DAT8" localSheetId="0">#REF!</definedName>
    <definedName name="__DAT8" localSheetId="5">#REF!</definedName>
    <definedName name="__DAT8" localSheetId="6">#REF!</definedName>
    <definedName name="__DAT8">#REF!</definedName>
    <definedName name="__DAT9" localSheetId="0">#REF!</definedName>
    <definedName name="__DAT9" localSheetId="5">#REF!</definedName>
    <definedName name="__DAT9" localSheetId="6">#REF!</definedName>
    <definedName name="__DAT9">#REF!</definedName>
    <definedName name="__Dec1" localSheetId="0">#REF!</definedName>
    <definedName name="__Dec1" localSheetId="5">#REF!</definedName>
    <definedName name="__Dec1" localSheetId="6">#REF!</definedName>
    <definedName name="__Dec1">#REF!</definedName>
    <definedName name="__Dec2">'[6]Interest Exp MTM-23-'!$N$4</definedName>
    <definedName name="__Dec3">'[6]Forex Principal MTM -26-'!$N$3</definedName>
    <definedName name="__Dec4">'[6]Forex Exp MTM -28-'!$N$3</definedName>
    <definedName name="__Dec5" localSheetId="0">#REF!</definedName>
    <definedName name="__Dec5" localSheetId="5">#REF!</definedName>
    <definedName name="__Dec5" localSheetId="6">#REF!</definedName>
    <definedName name="__Dec5">#REF!</definedName>
    <definedName name="__DIT3">[7]LAPORAN!$I$1:$S$56</definedName>
    <definedName name="__FDS_HYPERLINK_TOGGLE_STATE__" hidden="1">"ON"</definedName>
    <definedName name="__Feb1" localSheetId="4">'[15]Cashflow Cons MTM-10-'!$C$3</definedName>
    <definedName name="__Feb1">'[4]Cashflow Cons MTM-10-'!$C$3</definedName>
    <definedName name="__Feb2" localSheetId="4">'[15]Interest Exp MTM-23-'!$D$4</definedName>
    <definedName name="__Feb2">'[4]Interest Exp MTM-23-'!$D$4</definedName>
    <definedName name="__Feb3" localSheetId="4">'[15]Forex Principal MTM -26-'!$D$3</definedName>
    <definedName name="__Feb3">'[4]Forex Principal MTM -26-'!$D$3</definedName>
    <definedName name="__Feb4" localSheetId="4">'[15]Forex Exp MTM -28-'!$D$3</definedName>
    <definedName name="__Feb4">'[4]Forex Exp MTM -28-'!$D$3</definedName>
    <definedName name="__Feb5" localSheetId="4">'[15]Sales &amp; GM-Cons-12-'!$F$3</definedName>
    <definedName name="__Feb5">'[4]Sales &amp; GM-Cons-12-'!$F$3</definedName>
    <definedName name="__I333333" localSheetId="0">#REF!</definedName>
    <definedName name="__I333333" localSheetId="5">#REF!</definedName>
    <definedName name="__I333333" localSheetId="6">#REF!</definedName>
    <definedName name="__I333333">#REF!</definedName>
    <definedName name="__Jan2" localSheetId="4">'[15]Interest Exp MTM-23-'!$C$4</definedName>
    <definedName name="__Jan2">'[4]Interest Exp MTM-23-'!$C$4</definedName>
    <definedName name="__Jan3" localSheetId="4">'[15]Forex Principal MTM -26-'!$C$3</definedName>
    <definedName name="__Jan3">'[4]Forex Principal MTM -26-'!$C$3</definedName>
    <definedName name="__Jan4" localSheetId="4">'[15]Forex Exp MTM -28-'!$C$3</definedName>
    <definedName name="__Jan4">'[4]Forex Exp MTM -28-'!$C$3</definedName>
    <definedName name="__Jan5" localSheetId="4">'[15]Sales &amp; GM-Cons-12-'!$E$3</definedName>
    <definedName name="__Jan5">'[4]Sales &amp; GM-Cons-12-'!$E$3</definedName>
    <definedName name="__JAN99">#N/A</definedName>
    <definedName name="__Jul1" localSheetId="0">#REF!</definedName>
    <definedName name="__Jul1" localSheetId="4">'[15]Cashflow Cons MTM-10-'!$H$3</definedName>
    <definedName name="__Jul1" localSheetId="5">#REF!</definedName>
    <definedName name="__Jul1" localSheetId="6">#REF!</definedName>
    <definedName name="__Jul1">#REF!</definedName>
    <definedName name="__Jul2" localSheetId="4">'[15]Interest Exp MTM-23-'!$I$4</definedName>
    <definedName name="__Jul2">'[12]Interest Exp MTM-23-'!$I$4</definedName>
    <definedName name="__Jul3" localSheetId="4">'[15]Forex Principal MTM -26-'!$I$3</definedName>
    <definedName name="__Jul3">'[12]Forex Principal MTM -26-'!$I$3</definedName>
    <definedName name="__Jul4" localSheetId="3">'[16]Forex Exp MTM -28-'!$I$3</definedName>
    <definedName name="__Jul4" localSheetId="4">'[15]Forex Exp MTM -28-'!$I$3</definedName>
    <definedName name="__Jul4">'[9]Forex Exp MTM -28-'!$I$3</definedName>
    <definedName name="__Jul5" localSheetId="0">#REF!</definedName>
    <definedName name="__Jul5" localSheetId="4">'[15]Sales &amp; GM-Cons-12-'!$K$3</definedName>
    <definedName name="__Jul5" localSheetId="5">#REF!</definedName>
    <definedName name="__Jul5" localSheetId="6">#REF!</definedName>
    <definedName name="__Jul5">#REF!</definedName>
    <definedName name="__Jun1" localSheetId="0">#REF!</definedName>
    <definedName name="__Jun1" localSheetId="4">'[15]Cashflow Cons MTM-10-'!$G$3</definedName>
    <definedName name="__Jun1" localSheetId="5">#REF!</definedName>
    <definedName name="__Jun1" localSheetId="6">#REF!</definedName>
    <definedName name="__Jun1">#REF!</definedName>
    <definedName name="__Jun2" localSheetId="4">'[15]Interest Exp MTM-23-'!$H$4</definedName>
    <definedName name="__Jun2">'[12]Interest Exp MTM-23-'!$H$4</definedName>
    <definedName name="__Jun3" localSheetId="4">'[15]Forex Principal MTM -26-'!$H$3</definedName>
    <definedName name="__Jun3">'[12]Forex Principal MTM -26-'!$H$3</definedName>
    <definedName name="__Jun4" localSheetId="3">'[16]Forex Exp MTM -28-'!$H$3</definedName>
    <definedName name="__Jun4" localSheetId="4">'[15]Forex Exp MTM -28-'!$H$3</definedName>
    <definedName name="__Jun4">'[9]Forex Exp MTM -28-'!$H$3</definedName>
    <definedName name="__Jun5" localSheetId="0">#REF!</definedName>
    <definedName name="__Jun5" localSheetId="4">'[15]Sales &amp; GM-Cons-12-'!$J$3</definedName>
    <definedName name="__Jun5" localSheetId="5">#REF!</definedName>
    <definedName name="__Jun5" localSheetId="6">#REF!</definedName>
    <definedName name="__Jun5">#REF!</definedName>
    <definedName name="__KOP1" localSheetId="0">#REF!</definedName>
    <definedName name="__KOP1" localSheetId="5">#REF!</definedName>
    <definedName name="__KOP1" localSheetId="6">#REF!</definedName>
    <definedName name="__KOP1">#REF!</definedName>
    <definedName name="__KOP2">#N/A</definedName>
    <definedName name="__MAIN___5" localSheetId="0">#REF!</definedName>
    <definedName name="__MAIN___5" localSheetId="4">#REF!</definedName>
    <definedName name="__MAIN___5" localSheetId="5">#REF!</definedName>
    <definedName name="__MAIN___5" localSheetId="6">#REF!</definedName>
    <definedName name="__MAIN___5">#REF!</definedName>
    <definedName name="__Mar1" localSheetId="0">#REF!</definedName>
    <definedName name="__Mar1" localSheetId="5">#REF!</definedName>
    <definedName name="__Mar1" localSheetId="6">#REF!</definedName>
    <definedName name="__Mar1">#REF!</definedName>
    <definedName name="__Mar2" localSheetId="4">'[15]Interest Exp MTM-23-'!$E$4</definedName>
    <definedName name="__Mar2">'[12]Interest Exp MTM-23-'!$E$4</definedName>
    <definedName name="__Mar3" localSheetId="4">'[15]Forex Principal MTM -26-'!$E$3</definedName>
    <definedName name="__Mar3">'[12]Forex Principal MTM -26-'!$E$3</definedName>
    <definedName name="__Mar4" localSheetId="4">'[15]Forex Exp MTM -28-'!$E$3</definedName>
    <definedName name="__Mar4">'[12]Forex Exp MTM -28-'!$E$3</definedName>
    <definedName name="__Mar5" localSheetId="0">#REF!</definedName>
    <definedName name="__Mar5" localSheetId="4">'[15]Sales &amp; GM-Cons-12-'!$G$3</definedName>
    <definedName name="__Mar5" localSheetId="5">#REF!</definedName>
    <definedName name="__Mar5" localSheetId="6">#REF!</definedName>
    <definedName name="__Mar5">#REF!</definedName>
    <definedName name="__May1" localSheetId="0">#REF!</definedName>
    <definedName name="__May1" localSheetId="4">'[15]Cashflow Cons MTM-10-'!$F$3</definedName>
    <definedName name="__May1" localSheetId="5">#REF!</definedName>
    <definedName name="__May1" localSheetId="6">#REF!</definedName>
    <definedName name="__May1">#REF!</definedName>
    <definedName name="__May2" localSheetId="4">'[15]Interest Exp MTM-23-'!$G$4</definedName>
    <definedName name="__May2">'[12]Interest Exp MTM-23-'!$G$4</definedName>
    <definedName name="__May3" localSheetId="4">'[15]Forex Principal MTM -26-'!$G$3</definedName>
    <definedName name="__May3">'[12]Forex Principal MTM -26-'!$G$3</definedName>
    <definedName name="__May4" localSheetId="3">'[16]Forex Exp MTM -28-'!$G$3</definedName>
    <definedName name="__May4" localSheetId="4">'[15]Forex Exp MTM -28-'!$G$3</definedName>
    <definedName name="__May4">'[9]Forex Exp MTM -28-'!$G$3</definedName>
    <definedName name="__May5" localSheetId="0">#REF!</definedName>
    <definedName name="__May5" localSheetId="4">'[15]Sales &amp; GM-Cons-12-'!$I$3</definedName>
    <definedName name="__May5" localSheetId="5">#REF!</definedName>
    <definedName name="__May5" localSheetId="6">#REF!</definedName>
    <definedName name="__May5">#REF!</definedName>
    <definedName name="__Nov4" localSheetId="3">'[16]Forex Exp MTM -28-'!$M$3</definedName>
    <definedName name="__Nov4">'[9]Forex Exp MTM -28-'!$M$3</definedName>
    <definedName name="__Oct1" localSheetId="0">#REF!</definedName>
    <definedName name="__Oct1" localSheetId="5">#REF!</definedName>
    <definedName name="__Oct1" localSheetId="6">#REF!</definedName>
    <definedName name="__Oct1">#REF!</definedName>
    <definedName name="__Oct2">'[6]Interest Exp MTM-23-'!$L$4</definedName>
    <definedName name="__Oct3">'[6]Forex Principal MTM -26-'!$L$3</definedName>
    <definedName name="__Oct4" localSheetId="3">'[16]Forex Exp MTM -28-'!$L$3</definedName>
    <definedName name="__Oct4">'[9]Forex Exp MTM -28-'!$L$3</definedName>
    <definedName name="__Oct5" localSheetId="0">#REF!</definedName>
    <definedName name="__Oct5" localSheetId="5">#REF!</definedName>
    <definedName name="__Oct5" localSheetId="6">#REF!</definedName>
    <definedName name="__Oct5">#REF!</definedName>
    <definedName name="__php99" localSheetId="2" hidden="1">#REF!</definedName>
    <definedName name="__php99" localSheetId="0" hidden="1">#REF!</definedName>
    <definedName name="__php99" localSheetId="5" hidden="1">#REF!</definedName>
    <definedName name="__php99" localSheetId="6" hidden="1">#REF!</definedName>
    <definedName name="__php99" hidden="1">#REF!</definedName>
    <definedName name="__pm1" localSheetId="0">#REF!</definedName>
    <definedName name="__pm1" localSheetId="4">#REF!</definedName>
    <definedName name="__pm1" localSheetId="5">#REF!</definedName>
    <definedName name="__pm1" localSheetId="6">#REF!</definedName>
    <definedName name="__pm1">#REF!</definedName>
    <definedName name="__PPh23" localSheetId="0">#REF!</definedName>
    <definedName name="__PPh23" localSheetId="5">#REF!</definedName>
    <definedName name="__PPh23" localSheetId="6">#REF!</definedName>
    <definedName name="__PPh23">#REF!</definedName>
    <definedName name="__q02___5" localSheetId="0">#REF!</definedName>
    <definedName name="__q02___5" localSheetId="4">#REF!</definedName>
    <definedName name="__q02___5" localSheetId="5">#REF!</definedName>
    <definedName name="__q02___5" localSheetId="6">#REF!</definedName>
    <definedName name="__q02___5">#REF!</definedName>
    <definedName name="__RIZ1" localSheetId="0">#REF!</definedName>
    <definedName name="__RIZ1" localSheetId="5">#REF!</definedName>
    <definedName name="__RIZ1" localSheetId="6">#REF!</definedName>
    <definedName name="__RIZ1">#REF!</definedName>
    <definedName name="__RIZ2" localSheetId="0">#REF!</definedName>
    <definedName name="__RIZ2" localSheetId="5">#REF!</definedName>
    <definedName name="__RIZ2" localSheetId="6">#REF!</definedName>
    <definedName name="__RIZ2">#REF!</definedName>
    <definedName name="__RIZ3" localSheetId="0">#REF!</definedName>
    <definedName name="__RIZ3" localSheetId="5">#REF!</definedName>
    <definedName name="__RIZ3" localSheetId="6">#REF!</definedName>
    <definedName name="__RIZ3">#REF!</definedName>
    <definedName name="__ROC2" localSheetId="0">NOPAT_TV2/TV_Capital2</definedName>
    <definedName name="__ROC2" localSheetId="5">NOPAT_TV2/TV_Capital2</definedName>
    <definedName name="__ROC2" localSheetId="6">NOPAT_TV2/TV_Capital2</definedName>
    <definedName name="__ROC2">NOPAT_TV2/TV_Capital2</definedName>
    <definedName name="__Sep4" localSheetId="3">'[16]Forex Exp MTM -28-'!$K$3</definedName>
    <definedName name="__Sep4">'[9]Forex Exp MTM -28-'!$K$3</definedName>
    <definedName name="__SP1" localSheetId="0">#REF!</definedName>
    <definedName name="__SP1" localSheetId="5">#REF!</definedName>
    <definedName name="__SP1" localSheetId="6">#REF!</definedName>
    <definedName name="__SP1">#REF!</definedName>
    <definedName name="__SP2" localSheetId="0">#REF!</definedName>
    <definedName name="__SP2" localSheetId="5">#REF!</definedName>
    <definedName name="__SP2" localSheetId="6">#REF!</definedName>
    <definedName name="__SP2">#REF!</definedName>
    <definedName name="__TahunBulan___5" localSheetId="0">#REF!</definedName>
    <definedName name="__TahunBulan___5" localSheetId="4">#REF!</definedName>
    <definedName name="__TahunBulan___5" localSheetId="5">#REF!</definedName>
    <definedName name="__TahunBulan___5" localSheetId="6">#REF!</definedName>
    <definedName name="__TahunBulan___5">#REF!</definedName>
    <definedName name="__wbs1" localSheetId="0">#REF!</definedName>
    <definedName name="__wbs1" localSheetId="5">#REF!</definedName>
    <definedName name="__wbs1" localSheetId="6">#REF!</definedName>
    <definedName name="__wbs1">#REF!</definedName>
    <definedName name="__wbs2" localSheetId="0">#REF!</definedName>
    <definedName name="__wbs2" localSheetId="5">#REF!</definedName>
    <definedName name="__wbs2" localSheetId="6">#REF!</definedName>
    <definedName name="__wbs2">#REF!</definedName>
    <definedName name="__xlnm._FilterDatabase" localSheetId="0">#REF!</definedName>
    <definedName name="__xlnm._FilterDatabase" localSheetId="5">#REF!</definedName>
    <definedName name="__xlnm._FilterDatabase" localSheetId="6">#REF!</definedName>
    <definedName name="__xlnm._FilterDatabase">#REF!</definedName>
    <definedName name="__xlnm.Print_Area" localSheetId="0">#REF!</definedName>
    <definedName name="__xlnm.Print_Area" localSheetId="5">#REF!</definedName>
    <definedName name="__xlnm.Print_Area" localSheetId="6">#REF!</definedName>
    <definedName name="__xlnm.Print_Area">#REF!</definedName>
    <definedName name="_1">[19]laporan!$A$1:$H$56</definedName>
    <definedName name="_1._Obyek_PPh_Pasal_25_29_tahun_1990">'[20]#REF'!$B$390</definedName>
    <definedName name="_1__FDSAUDITLINK__" localSheetId="2" hidden="1">{"fdsup://IBCentral/FAT Viewer?action=UPDATE&amp;creator=factset&amp;DOC_NAME=fat:reuters_qtrly_source_window.fat&amp;display_string=Audit&amp;DYN_ARGS=TRUE&amp;VAR:ID1=B01C1P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__FDSAUDITLINK__" localSheetId="3" hidden="1">{"fdsup://IBCentral/FAT Viewer?action=UPDATE&amp;creator=factset&amp;DOC_NAME=fat:reuters_qtrly_source_window.fat&amp;display_string=Audit&amp;DYN_ARGS=TRUE&amp;VAR:ID1=B01C1P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__FDSAUDITLINK__" localSheetId="0" hidden="1">{"fdsup://IBCentral/FAT Viewer?action=UPDATE&amp;creator=factset&amp;DOC_NAME=fat:reuters_qtrly_source_window.fat&amp;display_string=Audit&amp;DYN_ARGS=TRUE&amp;VAR:ID1=B01C1P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__FDSAUDITLINK__" hidden="1">{"fdsup://IBCentral/FAT Viewer?action=UPDATE&amp;creator=factset&amp;DOC_NAME=fat:reuters_qtrly_source_window.fat&amp;display_string=Audit&amp;DYN_ARGS=TRUE&amp;VAR:ID1=B01C1P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_Excel_BuiltIn_Print_Area_1_1" localSheetId="0">#REF!</definedName>
    <definedName name="_1_Excel_BuiltIn_Print_Area_1_1" localSheetId="5">#REF!</definedName>
    <definedName name="_1_Excel_BuiltIn_Print_Area_1_1" localSheetId="6">#REF!</definedName>
    <definedName name="_1_Excel_BuiltIn_Print_Area_1_1">#REF!</definedName>
    <definedName name="_10">[19]laporan!$AD$113:$AL$168</definedName>
    <definedName name="_10__FDSAUDITLINK__" localSheetId="2" hidden="1">{"fdsup://IBCentral/FAT Viewer?action=UPDATE&amp;creator=factset&amp;DOC_NAME=fat:reuters_qtrly_source_window.fat&amp;display_string=Audit&amp;DYN_ARGS=TRUE&amp;VAR:ID1=659101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0__FDSAUDITLINK__" localSheetId="3" hidden="1">{"fdsup://IBCentral/FAT Viewer?action=UPDATE&amp;creator=factset&amp;DOC_NAME=fat:reuters_qtrly_source_window.fat&amp;display_string=Audit&amp;DYN_ARGS=TRUE&amp;VAR:ID1=659101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0__FDSAUDITLINK__" localSheetId="0" hidden="1">{"fdsup://IBCentral/FAT Viewer?action=UPDATE&amp;creator=factset&amp;DOC_NAME=fat:reuters_qtrly_source_window.fat&amp;display_string=Audit&amp;DYN_ARGS=TRUE&amp;VAR:ID1=659101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0__FDSAUDITLINK__" hidden="1">{"fdsup://IBCentral/FAT Viewer?action=UPDATE&amp;creator=factset&amp;DOC_NAME=fat:reuters_qtrly_source_window.fat&amp;display_string=Audit&amp;DYN_ARGS=TRUE&amp;VAR:ID1=659101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03__FDSAUDITLINK__" localSheetId="2" hidden="1">{"fdsup://IBCentral/FAT Viewer?action=UPDATE&amp;creator=factset&amp;DOC_NAME=fat:reuters_annual_pshs_src_window.fat&amp;display_string=Audit&amp;DYN_ARGS=TRUE&amp;VAR:ID1=645258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3__FDSAUDITLINK__" localSheetId="3" hidden="1">{"fdsup://IBCentral/FAT Viewer?action=UPDATE&amp;creator=factset&amp;DOC_NAME=fat:reuters_annual_pshs_src_window.fat&amp;display_string=Audit&amp;DYN_ARGS=TRUE&amp;VAR:ID1=645258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3__FDSAUDITLINK__" localSheetId="0" hidden="1">{"fdsup://IBCentral/FAT Viewer?action=UPDATE&amp;creator=factset&amp;DOC_NAME=fat:reuters_annual_pshs_src_window.fat&amp;display_string=Audit&amp;DYN_ARGS=TRUE&amp;VAR:ID1=645258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3__FDSAUDITLINK__" hidden="1">{"fdsup://IBCentral/FAT Viewer?action=UPDATE&amp;creator=factset&amp;DOC_NAME=fat:reuters_annual_pshs_src_window.fat&amp;display_string=Audit&amp;DYN_ARGS=TRUE&amp;VAR:ID1=645258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4__FDSAUDITLINK__" localSheetId="2" hidden="1">{"fdsup://IBCentral/FAT Viewer?action=UPDATE&amp;creator=factset&amp;DOC_NAME=fat:reuters_annual_pshs_src_window.fat&amp;display_string=Audit&amp;DYN_ARGS=TRUE&amp;VAR:ID1=622725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4__FDSAUDITLINK__" localSheetId="3" hidden="1">{"fdsup://IBCentral/FAT Viewer?action=UPDATE&amp;creator=factset&amp;DOC_NAME=fat:reuters_annual_pshs_src_window.fat&amp;display_string=Audit&amp;DYN_ARGS=TRUE&amp;VAR:ID1=622725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4__FDSAUDITLINK__" localSheetId="0" hidden="1">{"fdsup://IBCentral/FAT Viewer?action=UPDATE&amp;creator=factset&amp;DOC_NAME=fat:reuters_annual_pshs_src_window.fat&amp;display_string=Audit&amp;DYN_ARGS=TRUE&amp;VAR:ID1=622725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4__FDSAUDITLINK__" hidden="1">{"fdsup://IBCentral/FAT Viewer?action=UPDATE&amp;creator=factset&amp;DOC_NAME=fat:reuters_annual_pshs_src_window.fat&amp;display_string=Audit&amp;DYN_ARGS=TRUE&amp;VAR:ID1=622725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8__FDSAUDITLINK__" localSheetId="2" hidden="1">{"fdsup://IBCentral/FAT Viewer?action=UPDATE&amp;creator=factset&amp;DOC_NAME=fat:reuters_annual_pshs_src_window.fat&amp;display_string=Audit&amp;DYN_ARGS=TRUE&amp;VAR:ID1=658011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8__FDSAUDITLINK__" localSheetId="3" hidden="1">{"fdsup://IBCentral/FAT Viewer?action=UPDATE&amp;creator=factset&amp;DOC_NAME=fat:reuters_annual_pshs_src_window.fat&amp;display_string=Audit&amp;DYN_ARGS=TRUE&amp;VAR:ID1=658011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8__FDSAUDITLINK__" localSheetId="0" hidden="1">{"fdsup://IBCentral/FAT Viewer?action=UPDATE&amp;creator=factset&amp;DOC_NAME=fat:reuters_annual_pshs_src_window.fat&amp;display_string=Audit&amp;DYN_ARGS=TRUE&amp;VAR:ID1=658011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08__FDSAUDITLINK__" hidden="1">{"fdsup://IBCentral/FAT Viewer?action=UPDATE&amp;creator=factset&amp;DOC_NAME=fat:reuters_annual_pshs_src_window.fat&amp;display_string=Audit&amp;DYN_ARGS=TRUE&amp;VAR:ID1=658011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1">[19]laporan!$I$1:$S$56</definedName>
    <definedName name="_11__FDSAUDITLINK__" localSheetId="2" hidden="1">{"fdsup://IBCentral/FAT Viewer?action=UPDATE&amp;creator=factset&amp;DOC_NAME=fat:reuters_qtrly_source_window.fat&amp;display_string=Audit&amp;DYN_ARGS=TRUE&amp;VAR:ID1=633517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1__FDSAUDITLINK__" localSheetId="3" hidden="1">{"fdsup://IBCentral/FAT Viewer?action=UPDATE&amp;creator=factset&amp;DOC_NAME=fat:reuters_qtrly_source_window.fat&amp;display_string=Audit&amp;DYN_ARGS=TRUE&amp;VAR:ID1=633517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1__FDSAUDITLINK__" localSheetId="0" hidden="1">{"fdsup://IBCentral/FAT Viewer?action=UPDATE&amp;creator=factset&amp;DOC_NAME=fat:reuters_qtrly_source_window.fat&amp;display_string=Audit&amp;DYN_ARGS=TRUE&amp;VAR:ID1=633517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1__FDSAUDITLINK__" hidden="1">{"fdsup://IBCentral/FAT Viewer?action=UPDATE&amp;creator=factset&amp;DOC_NAME=fat:reuters_qtrly_source_window.fat&amp;display_string=Audit&amp;DYN_ARGS=TRUE&amp;VAR:ID1=633517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18__FDSAUDITLINK__" localSheetId="2" hidden="1">{"fdsup://IBCentral/FAT Viewer?action=UPDATE&amp;creator=factset&amp;DOC_NAME=fat:reuters_annual_pshs_src_window.fat&amp;display_string=Audit&amp;DYN_ARGS=TRUE&amp;VAR:ID1=646023&amp;VAR:RCODE=FDSEPS&amp;VAR:SDATE=20101299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18__FDSAUDITLINK__" localSheetId="3" hidden="1">{"fdsup://IBCentral/FAT Viewer?action=UPDATE&amp;creator=factset&amp;DOC_NAME=fat:reuters_annual_pshs_src_window.fat&amp;display_string=Audit&amp;DYN_ARGS=TRUE&amp;VAR:ID1=646023&amp;VAR:RCODE=FDSEPS&amp;VAR:SDATE=20101299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18__FDSAUDITLINK__" localSheetId="0" hidden="1">{"fdsup://IBCentral/FAT Viewer?action=UPDATE&amp;creator=factset&amp;DOC_NAME=fat:reuters_annual_pshs_src_window.fat&amp;display_string=Audit&amp;DYN_ARGS=TRUE&amp;VAR:ID1=646023&amp;VAR:RCODE=FDSEPS&amp;VAR:SDATE=20101299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18__FDSAUDITLINK__" hidden="1">{"fdsup://IBCentral/FAT Viewer?action=UPDATE&amp;creator=factset&amp;DOC_NAME=fat:reuters_annual_pshs_src_window.fat&amp;display_string=Audit&amp;DYN_ARGS=TRUE&amp;VAR:ID1=646023&amp;VAR:RCODE=FDSEPS&amp;VAR:SDATE=20101299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">[19]laporan!$I$57:$S$112</definedName>
    <definedName name="_12__FDSAUDITLINK__" localSheetId="2" hidden="1">{"fdsup://IBCentral/FAT Viewer?action=UPDATE&amp;creator=factset&amp;DOC_NAME=fat:reuters_qtrly_source_window.fat&amp;display_string=Audit&amp;DYN_ARGS=TRUE&amp;VAR:ID1=B0F9V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2__FDSAUDITLINK__" localSheetId="3" hidden="1">{"fdsup://IBCentral/FAT Viewer?action=UPDATE&amp;creator=factset&amp;DOC_NAME=fat:reuters_qtrly_source_window.fat&amp;display_string=Audit&amp;DYN_ARGS=TRUE&amp;VAR:ID1=B0F9V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2__FDSAUDITLINK__" localSheetId="0" hidden="1">{"fdsup://IBCentral/FAT Viewer?action=UPDATE&amp;creator=factset&amp;DOC_NAME=fat:reuters_qtrly_source_window.fat&amp;display_string=Audit&amp;DYN_ARGS=TRUE&amp;VAR:ID1=B0F9V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2__FDSAUDITLINK__" hidden="1">{"fdsup://IBCentral/FAT Viewer?action=UPDATE&amp;creator=factset&amp;DOC_NAME=fat:reuters_qtrly_source_window.fat&amp;display_string=Audit&amp;DYN_ARGS=TRUE&amp;VAR:ID1=B0F9V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23Graph_cc" hidden="1">'[21]PPN BESAR'!$C$22:$C$74</definedName>
    <definedName name="_125__FDSAUDITLINK__" localSheetId="2" hidden="1">{"fdsup://IBCentral/FAT Viewer?action=UPDATE&amp;creator=factset&amp;DOC_NAME=fat:reuters_annual_pshs_src_window.fat&amp;display_string=Audit&amp;DYN_ARGS=TRUE&amp;VAR:ID1=607555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5__FDSAUDITLINK__" localSheetId="3" hidden="1">{"fdsup://IBCentral/FAT Viewer?action=UPDATE&amp;creator=factset&amp;DOC_NAME=fat:reuters_annual_pshs_src_window.fat&amp;display_string=Audit&amp;DYN_ARGS=TRUE&amp;VAR:ID1=607555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5__FDSAUDITLINK__" localSheetId="0" hidden="1">{"fdsup://IBCentral/FAT Viewer?action=UPDATE&amp;creator=factset&amp;DOC_NAME=fat:reuters_annual_pshs_src_window.fat&amp;display_string=Audit&amp;DYN_ARGS=TRUE&amp;VAR:ID1=607555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5__FDSAUDITLINK__" hidden="1">{"fdsup://IBCentral/FAT Viewer?action=UPDATE&amp;creator=factset&amp;DOC_NAME=fat:reuters_annual_pshs_src_window.fat&amp;display_string=Audit&amp;DYN_ARGS=TRUE&amp;VAR:ID1=607555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6__FDSAUDITLINK__" localSheetId="2" hidden="1">{"fdsup://IBCentral/FAT Viewer?action=UPDATE&amp;creator=factset&amp;DOC_NAME=fat:reuters_annual_pshs_src_window.fat&amp;display_string=Audit&amp;DYN_ARGS=TRUE&amp;VAR:ID1=649504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6__FDSAUDITLINK__" localSheetId="3" hidden="1">{"fdsup://IBCentral/FAT Viewer?action=UPDATE&amp;creator=factset&amp;DOC_NAME=fat:reuters_annual_pshs_src_window.fat&amp;display_string=Audit&amp;DYN_ARGS=TRUE&amp;VAR:ID1=649504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6__FDSAUDITLINK__" localSheetId="0" hidden="1">{"fdsup://IBCentral/FAT Viewer?action=UPDATE&amp;creator=factset&amp;DOC_NAME=fat:reuters_annual_pshs_src_window.fat&amp;display_string=Audit&amp;DYN_ARGS=TRUE&amp;VAR:ID1=649504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6__FDSAUDITLINK__" hidden="1">{"fdsup://IBCentral/FAT Viewer?action=UPDATE&amp;creator=factset&amp;DOC_NAME=fat:reuters_annual_pshs_src_window.fat&amp;display_string=Audit&amp;DYN_ARGS=TRUE&amp;VAR:ID1=649504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7__FDSAUDITLINK__" localSheetId="2" hidden="1">{"fdsup://IBCentral/FAT Viewer?action=UPDATE&amp;creator=factset&amp;DOC_NAME=fat:reuters_annual_pshs_src_window.fat&amp;display_string=Audit&amp;DYN_ARGS=TRUE&amp;VAR:ID1=B0RNR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7__FDSAUDITLINK__" localSheetId="3" hidden="1">{"fdsup://IBCentral/FAT Viewer?action=UPDATE&amp;creator=factset&amp;DOC_NAME=fat:reuters_annual_pshs_src_window.fat&amp;display_string=Audit&amp;DYN_ARGS=TRUE&amp;VAR:ID1=B0RNR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7__FDSAUDITLINK__" localSheetId="0" hidden="1">{"fdsup://IBCentral/FAT Viewer?action=UPDATE&amp;creator=factset&amp;DOC_NAME=fat:reuters_annual_pshs_src_window.fat&amp;display_string=Audit&amp;DYN_ARGS=TRUE&amp;VAR:ID1=B0RNR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7__FDSAUDITLINK__" hidden="1">{"fdsup://IBCentral/FAT Viewer?action=UPDATE&amp;creator=factset&amp;DOC_NAME=fat:reuters_annual_pshs_src_window.fat&amp;display_string=Audit&amp;DYN_ARGS=TRUE&amp;VAR:ID1=B0RNR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8__FDSAUDITLINK__" localSheetId="2" hidden="1">{"fdsup://IBCentral/FAT Viewer?action=UPDATE&amp;creator=factset&amp;DOC_NAME=fat:reuters_annual_pshs_src_window.fat&amp;display_string=Audit&amp;DYN_ARGS=TRUE&amp;VAR:ID1=653426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8__FDSAUDITLINK__" localSheetId="3" hidden="1">{"fdsup://IBCentral/FAT Viewer?action=UPDATE&amp;creator=factset&amp;DOC_NAME=fat:reuters_annual_pshs_src_window.fat&amp;display_string=Audit&amp;DYN_ARGS=TRUE&amp;VAR:ID1=653426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8__FDSAUDITLINK__" localSheetId="0" hidden="1">{"fdsup://IBCentral/FAT Viewer?action=UPDATE&amp;creator=factset&amp;DOC_NAME=fat:reuters_annual_pshs_src_window.fat&amp;display_string=Audit&amp;DYN_ARGS=TRUE&amp;VAR:ID1=653426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8__FDSAUDITLINK__" hidden="1">{"fdsup://IBCentral/FAT Viewer?action=UPDATE&amp;creator=factset&amp;DOC_NAME=fat:reuters_annual_pshs_src_window.fat&amp;display_string=Audit&amp;DYN_ARGS=TRUE&amp;VAR:ID1=653426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9__FDSAUDITLINK__" localSheetId="2" hidden="1">{"fdsup://IBCentral/FAT Viewer?action=UPDATE&amp;creator=factset&amp;DOC_NAME=fat:reuters_annual_pshs_src_window.fat&amp;display_string=Audit&amp;DYN_ARGS=TRUE&amp;VAR:ID1=639750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9__FDSAUDITLINK__" localSheetId="3" hidden="1">{"fdsup://IBCentral/FAT Viewer?action=UPDATE&amp;creator=factset&amp;DOC_NAME=fat:reuters_annual_pshs_src_window.fat&amp;display_string=Audit&amp;DYN_ARGS=TRUE&amp;VAR:ID1=639750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9__FDSAUDITLINK__" localSheetId="0" hidden="1">{"fdsup://IBCentral/FAT Viewer?action=UPDATE&amp;creator=factset&amp;DOC_NAME=fat:reuters_annual_pshs_src_window.fat&amp;display_string=Audit&amp;DYN_ARGS=TRUE&amp;VAR:ID1=639750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pshs_src_window.fat&amp;display_string=Audit&amp;DYN_ARGS=TRUE&amp;VAR:ID1=639750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">[19]laporan!$I$113:$S$168</definedName>
    <definedName name="_13__FDSAUDITLINK__" localSheetId="2" hidden="1">{"fdsup://IBCentral/FAT Viewer?action=UPDATE&amp;creator=factset&amp;DOC_NAME=fat:reuters_qtrly_source_window.fat&amp;display_string=Audit&amp;DYN_ARGS=TRUE&amp;VAR:ID1=691678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3__FDSAUDITLINK__" localSheetId="3" hidden="1">{"fdsup://IBCentral/FAT Viewer?action=UPDATE&amp;creator=factset&amp;DOC_NAME=fat:reuters_qtrly_source_window.fat&amp;display_string=Audit&amp;DYN_ARGS=TRUE&amp;VAR:ID1=691678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3__FDSAUDITLINK__" localSheetId="0" hidden="1">{"fdsup://IBCentral/FAT Viewer?action=UPDATE&amp;creator=factset&amp;DOC_NAME=fat:reuters_qtrly_source_window.fat&amp;display_string=Audit&amp;DYN_ARGS=TRUE&amp;VAR:ID1=691678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3__FDSAUDITLINK__" hidden="1">{"fdsup://IBCentral/FAT Viewer?action=UPDATE&amp;creator=factset&amp;DOC_NAME=fat:reuters_qtrly_source_window.fat&amp;display_string=Audit&amp;DYN_ARGS=TRUE&amp;VAR:ID1=691678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30__FDSAUDITLINK__" localSheetId="2" hidden="1">{"fdsup://IBCentral/FAT Viewer?action=UPDATE&amp;creator=factset&amp;DOC_NAME=fat:reuters_annual_pshs_src_window.fat&amp;display_string=Audit&amp;DYN_ARGS=TRUE&amp;VAR:ID1=B3DF0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0__FDSAUDITLINK__" localSheetId="3" hidden="1">{"fdsup://IBCentral/FAT Viewer?action=UPDATE&amp;creator=factset&amp;DOC_NAME=fat:reuters_annual_pshs_src_window.fat&amp;display_string=Audit&amp;DYN_ARGS=TRUE&amp;VAR:ID1=B3DF0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0__FDSAUDITLINK__" localSheetId="0" hidden="1">{"fdsup://IBCentral/FAT Viewer?action=UPDATE&amp;creator=factset&amp;DOC_NAME=fat:reuters_annual_pshs_src_window.fat&amp;display_string=Audit&amp;DYN_ARGS=TRUE&amp;VAR:ID1=B3DF0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pshs_src_window.fat&amp;display_string=Audit&amp;DYN_ARGS=TRUE&amp;VAR:ID1=B3DF0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1__FDSAUDITLINK__" localSheetId="2" hidden="1">{"fdsup://IBCentral/FAT Viewer?action=UPDATE&amp;creator=factset&amp;DOC_NAME=fat:reuters_annual_pshs_src_window.fat&amp;display_string=Audit&amp;DYN_ARGS=TRUE&amp;VAR:ID1=B249N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1__FDSAUDITLINK__" localSheetId="3" hidden="1">{"fdsup://IBCentral/FAT Viewer?action=UPDATE&amp;creator=factset&amp;DOC_NAME=fat:reuters_annual_pshs_src_window.fat&amp;display_string=Audit&amp;DYN_ARGS=TRUE&amp;VAR:ID1=B249N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1__FDSAUDITLINK__" localSheetId="0" hidden="1">{"fdsup://IBCentral/FAT Viewer?action=UPDATE&amp;creator=factset&amp;DOC_NAME=fat:reuters_annual_pshs_src_window.fat&amp;display_string=Audit&amp;DYN_ARGS=TRUE&amp;VAR:ID1=B249N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pshs_src_window.fat&amp;display_string=Audit&amp;DYN_ARGS=TRUE&amp;VAR:ID1=B249N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2__FDSAUDITLINK__" localSheetId="2" hidden="1">{"fdsup://IBCentral/FAT Viewer?action=UPDATE&amp;creator=factset&amp;DOC_NAME=fat:reuters_annual_pshs_src_window.fat&amp;display_string=Audit&amp;DYN_ARGS=TRUE&amp;VAR:ID1=B232Z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2__FDSAUDITLINK__" localSheetId="3" hidden="1">{"fdsup://IBCentral/FAT Viewer?action=UPDATE&amp;creator=factset&amp;DOC_NAME=fat:reuters_annual_pshs_src_window.fat&amp;display_string=Audit&amp;DYN_ARGS=TRUE&amp;VAR:ID1=B232Z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2__FDSAUDITLINK__" localSheetId="0" hidden="1">{"fdsup://IBCentral/FAT Viewer?action=UPDATE&amp;creator=factset&amp;DOC_NAME=fat:reuters_annual_pshs_src_window.fat&amp;display_string=Audit&amp;DYN_ARGS=TRUE&amp;VAR:ID1=B232Z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2__FDSAUDITLINK__" hidden="1">{"fdsup://IBCentral/FAT Viewer?action=UPDATE&amp;creator=factset&amp;DOC_NAME=fat:reuters_annual_pshs_src_window.fat&amp;display_string=Audit&amp;DYN_ARGS=TRUE&amp;VAR:ID1=B232Z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3__FDSAUDITLINK__" localSheetId="2" hidden="1">{"fdsup://IBCentral/FAT Viewer?action=UPDATE&amp;creator=factset&amp;DOC_NAME=fat:reuters_annual_pshs_src_window.fat&amp;display_string=Audit&amp;DYN_ARGS=TRUE&amp;VAR:ID1=B232Y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3__FDSAUDITLINK__" localSheetId="3" hidden="1">{"fdsup://IBCentral/FAT Viewer?action=UPDATE&amp;creator=factset&amp;DOC_NAME=fat:reuters_annual_pshs_src_window.fat&amp;display_string=Audit&amp;DYN_ARGS=TRUE&amp;VAR:ID1=B232Y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3__FDSAUDITLINK__" localSheetId="0" hidden="1">{"fdsup://IBCentral/FAT Viewer?action=UPDATE&amp;creator=factset&amp;DOC_NAME=fat:reuters_annual_pshs_src_window.fat&amp;display_string=Audit&amp;DYN_ARGS=TRUE&amp;VAR:ID1=B232Y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3__FDSAUDITLINK__" hidden="1">{"fdsup://IBCentral/FAT Viewer?action=UPDATE&amp;creator=factset&amp;DOC_NAME=fat:reuters_annual_pshs_src_window.fat&amp;display_string=Audit&amp;DYN_ARGS=TRUE&amp;VAR:ID1=B232Y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4__FDSAUDITLINK__" localSheetId="2" hidden="1">{"fdsup://IBCentral/FAT Viewer?action=UPDATE&amp;creator=factset&amp;DOC_NAME=fat:reuters_annual_pshs_src_window.fat&amp;display_string=Audit&amp;DYN_ARGS=TRUE&amp;VAR:ID1=B1W9Z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4__FDSAUDITLINK__" localSheetId="3" hidden="1">{"fdsup://IBCentral/FAT Viewer?action=UPDATE&amp;creator=factset&amp;DOC_NAME=fat:reuters_annual_pshs_src_window.fat&amp;display_string=Audit&amp;DYN_ARGS=TRUE&amp;VAR:ID1=B1W9Z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4__FDSAUDITLINK__" localSheetId="0" hidden="1">{"fdsup://IBCentral/FAT Viewer?action=UPDATE&amp;creator=factset&amp;DOC_NAME=fat:reuters_annual_pshs_src_window.fat&amp;display_string=Audit&amp;DYN_ARGS=TRUE&amp;VAR:ID1=B1W9Z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4__FDSAUDITLINK__" hidden="1">{"fdsup://IBCentral/FAT Viewer?action=UPDATE&amp;creator=factset&amp;DOC_NAME=fat:reuters_annual_pshs_src_window.fat&amp;display_string=Audit&amp;DYN_ARGS=TRUE&amp;VAR:ID1=B1W9Z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5__FDSAUDITLINK__" localSheetId="2" hidden="1">{"fdsup://IBCentral/FAT Viewer?action=UPDATE&amp;creator=factset&amp;DOC_NAME=fat:reuters_annual_pshs_src_window.fat&amp;display_string=Audit&amp;DYN_ARGS=TRUE&amp;VAR:ID1=B1VXHG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5__FDSAUDITLINK__" localSheetId="3" hidden="1">{"fdsup://IBCentral/FAT Viewer?action=UPDATE&amp;creator=factset&amp;DOC_NAME=fat:reuters_annual_pshs_src_window.fat&amp;display_string=Audit&amp;DYN_ARGS=TRUE&amp;VAR:ID1=B1VXHG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5__FDSAUDITLINK__" localSheetId="0" hidden="1">{"fdsup://IBCentral/FAT Viewer?action=UPDATE&amp;creator=factset&amp;DOC_NAME=fat:reuters_annual_pshs_src_window.fat&amp;display_string=Audit&amp;DYN_ARGS=TRUE&amp;VAR:ID1=B1VXHG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5__FDSAUDITLINK__" hidden="1">{"fdsup://IBCentral/FAT Viewer?action=UPDATE&amp;creator=factset&amp;DOC_NAME=fat:reuters_annual_pshs_src_window.fat&amp;display_string=Audit&amp;DYN_ARGS=TRUE&amp;VAR:ID1=B1VXHG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6__FDSAUDITLINK__" localSheetId="2" hidden="1">{"fdsup://IBCentral/FAT Viewer?action=UPDATE&amp;creator=factset&amp;DOC_NAME=fat:reuters_annual_pshs_src_window.fat&amp;display_string=Audit&amp;DYN_ARGS=TRUE&amp;VAR:ID1=B1P13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6__FDSAUDITLINK__" localSheetId="3" hidden="1">{"fdsup://IBCentral/FAT Viewer?action=UPDATE&amp;creator=factset&amp;DOC_NAME=fat:reuters_annual_pshs_src_window.fat&amp;display_string=Audit&amp;DYN_ARGS=TRUE&amp;VAR:ID1=B1P13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6__FDSAUDITLINK__" localSheetId="0" hidden="1">{"fdsup://IBCentral/FAT Viewer?action=UPDATE&amp;creator=factset&amp;DOC_NAME=fat:reuters_annual_pshs_src_window.fat&amp;display_string=Audit&amp;DYN_ARGS=TRUE&amp;VAR:ID1=B1P13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6__FDSAUDITLINK__" hidden="1">{"fdsup://IBCentral/FAT Viewer?action=UPDATE&amp;creator=factset&amp;DOC_NAME=fat:reuters_annual_pshs_src_window.fat&amp;display_string=Audit&amp;DYN_ARGS=TRUE&amp;VAR:ID1=B1P13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7__FDSAUDITLINK__" localSheetId="2" hidden="1">{"fdsup://IBCentral/FAT Viewer?action=UPDATE&amp;creator=factset&amp;DOC_NAME=fat:reuters_annual_pshs_src_window.fat&amp;display_string=Audit&amp;DYN_ARGS=TRUE&amp;VAR:ID1=B1G2J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7__FDSAUDITLINK__" localSheetId="3" hidden="1">{"fdsup://IBCentral/FAT Viewer?action=UPDATE&amp;creator=factset&amp;DOC_NAME=fat:reuters_annual_pshs_src_window.fat&amp;display_string=Audit&amp;DYN_ARGS=TRUE&amp;VAR:ID1=B1G2J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7__FDSAUDITLINK__" localSheetId="0" hidden="1">{"fdsup://IBCentral/FAT Viewer?action=UPDATE&amp;creator=factset&amp;DOC_NAME=fat:reuters_annual_pshs_src_window.fat&amp;display_string=Audit&amp;DYN_ARGS=TRUE&amp;VAR:ID1=B1G2J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7__FDSAUDITLINK__" hidden="1">{"fdsup://IBCentral/FAT Viewer?action=UPDATE&amp;creator=factset&amp;DOC_NAME=fat:reuters_annual_pshs_src_window.fat&amp;display_string=Audit&amp;DYN_ARGS=TRUE&amp;VAR:ID1=B1G2J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8__FDSAUDITLINK__" localSheetId="2" hidden="1">{"fdsup://IBCentral/FAT Viewer?action=UPDATE&amp;creator=factset&amp;DOC_NAME=fat:reuters_annual_pshs_src_window.fat&amp;display_string=Audit&amp;DYN_ARGS=TRUE&amp;VAR:ID1=B180B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8__FDSAUDITLINK__" localSheetId="3" hidden="1">{"fdsup://IBCentral/FAT Viewer?action=UPDATE&amp;creator=factset&amp;DOC_NAME=fat:reuters_annual_pshs_src_window.fat&amp;display_string=Audit&amp;DYN_ARGS=TRUE&amp;VAR:ID1=B180B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8__FDSAUDITLINK__" localSheetId="0" hidden="1">{"fdsup://IBCentral/FAT Viewer?action=UPDATE&amp;creator=factset&amp;DOC_NAME=fat:reuters_annual_pshs_src_window.fat&amp;display_string=Audit&amp;DYN_ARGS=TRUE&amp;VAR:ID1=B180B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8__FDSAUDITLINK__" hidden="1">{"fdsup://IBCentral/FAT Viewer?action=UPDATE&amp;creator=factset&amp;DOC_NAME=fat:reuters_annual_pshs_src_window.fat&amp;display_string=Audit&amp;DYN_ARGS=TRUE&amp;VAR:ID1=B180B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9__FDSAUDITLINK__" localSheetId="2" hidden="1">{"fdsup://IBCentral/FAT Viewer?action=UPDATE&amp;creator=factset&amp;DOC_NAME=fat:reuters_annual_pshs_src_window.fat&amp;display_string=Audit&amp;DYN_ARGS=TRUE&amp;VAR:ID1=B24G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9__FDSAUDITLINK__" localSheetId="3" hidden="1">{"fdsup://IBCentral/FAT Viewer?action=UPDATE&amp;creator=factset&amp;DOC_NAME=fat:reuters_annual_pshs_src_window.fat&amp;display_string=Audit&amp;DYN_ARGS=TRUE&amp;VAR:ID1=B24G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9__FDSAUDITLINK__" localSheetId="0" hidden="1">{"fdsup://IBCentral/FAT Viewer?action=UPDATE&amp;creator=factset&amp;DOC_NAME=fat:reuters_annual_pshs_src_window.fat&amp;display_string=Audit&amp;DYN_ARGS=TRUE&amp;VAR:ID1=B24G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9__FDSAUDITLINK__" hidden="1">{"fdsup://IBCentral/FAT Viewer?action=UPDATE&amp;creator=factset&amp;DOC_NAME=fat:reuters_annual_pshs_src_window.fat&amp;display_string=Audit&amp;DYN_ARGS=TRUE&amp;VAR:ID1=B24G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3A">[19]laporan!$I$169:$S$224</definedName>
    <definedName name="_14">[19]laporan!$AD$169:$AL$224</definedName>
    <definedName name="_14__FDSAUDITLINK__" localSheetId="2" hidden="1">{"fdsup://IBCentral/FAT Viewer?action=UPDATE&amp;creator=factset&amp;DOC_NAME=fat:reuters_qtrly_source_window.fat&amp;display_string=Audit&amp;DYN_ARGS=TRUE&amp;VAR:ID1=607574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4__FDSAUDITLINK__" localSheetId="3" hidden="1">{"fdsup://IBCentral/FAT Viewer?action=UPDATE&amp;creator=factset&amp;DOC_NAME=fat:reuters_qtrly_source_window.fat&amp;display_string=Audit&amp;DYN_ARGS=TRUE&amp;VAR:ID1=607574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4__FDSAUDITLINK__" localSheetId="0" hidden="1">{"fdsup://IBCentral/FAT Viewer?action=UPDATE&amp;creator=factset&amp;DOC_NAME=fat:reuters_qtrly_source_window.fat&amp;display_string=Audit&amp;DYN_ARGS=TRUE&amp;VAR:ID1=607574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4__FDSAUDITLINK__" hidden="1">{"fdsup://IBCentral/FAT Viewer?action=UPDATE&amp;creator=factset&amp;DOC_NAME=fat:reuters_qtrly_source_window.fat&amp;display_string=Audit&amp;DYN_ARGS=TRUE&amp;VAR:ID1=607574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40__FDSAUDITLINK__" localSheetId="2" hidden="1">{"fdsup://IBCentral/FAT Viewer?action=UPDATE&amp;creator=factset&amp;DOC_NAME=fat:reuters_annual_pshs_src_window.fat&amp;display_string=Audit&amp;DYN_ARGS=TRUE&amp;VAR:ID1=680200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0__FDSAUDITLINK__" localSheetId="3" hidden="1">{"fdsup://IBCentral/FAT Viewer?action=UPDATE&amp;creator=factset&amp;DOC_NAME=fat:reuters_annual_pshs_src_window.fat&amp;display_string=Audit&amp;DYN_ARGS=TRUE&amp;VAR:ID1=680200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0__FDSAUDITLINK__" localSheetId="0" hidden="1">{"fdsup://IBCentral/FAT Viewer?action=UPDATE&amp;creator=factset&amp;DOC_NAME=fat:reuters_annual_pshs_src_window.fat&amp;display_string=Audit&amp;DYN_ARGS=TRUE&amp;VAR:ID1=680200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0__FDSAUDITLINK__" hidden="1">{"fdsup://IBCentral/FAT Viewer?action=UPDATE&amp;creator=factset&amp;DOC_NAME=fat:reuters_annual_pshs_src_window.fat&amp;display_string=Audit&amp;DYN_ARGS=TRUE&amp;VAR:ID1=680200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1__FDSAUDITLINK__" localSheetId="2" hidden="1">{"fdsup://IBCentral/FAT Viewer?action=UPDATE&amp;creator=factset&amp;DOC_NAME=fat:reuters_annual_pshs_src_window.fat&amp;display_string=Audit&amp;DYN_ARGS=TRUE&amp;VAR:ID1=668343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1__FDSAUDITLINK__" localSheetId="3" hidden="1">{"fdsup://IBCentral/FAT Viewer?action=UPDATE&amp;creator=factset&amp;DOC_NAME=fat:reuters_annual_pshs_src_window.fat&amp;display_string=Audit&amp;DYN_ARGS=TRUE&amp;VAR:ID1=668343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1__FDSAUDITLINK__" localSheetId="0" hidden="1">{"fdsup://IBCentral/FAT Viewer?action=UPDATE&amp;creator=factset&amp;DOC_NAME=fat:reuters_annual_pshs_src_window.fat&amp;display_string=Audit&amp;DYN_ARGS=TRUE&amp;VAR:ID1=668343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1__FDSAUDITLINK__" hidden="1">{"fdsup://IBCentral/FAT Viewer?action=UPDATE&amp;creator=factset&amp;DOC_NAME=fat:reuters_annual_pshs_src_window.fat&amp;display_string=Audit&amp;DYN_ARGS=TRUE&amp;VAR:ID1=668343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2__FDSAUDITLINK__" localSheetId="2" hidden="1">{"fdsup://IBCentral/FAT Viewer?action=UPDATE&amp;creator=factset&amp;DOC_NAME=fat:reuters_annual_pshs_src_window.fat&amp;display_string=Audit&amp;DYN_ARGS=TRUE&amp;VAR:ID1=B58P9L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2__FDSAUDITLINK__" localSheetId="3" hidden="1">{"fdsup://IBCentral/FAT Viewer?action=UPDATE&amp;creator=factset&amp;DOC_NAME=fat:reuters_annual_pshs_src_window.fat&amp;display_string=Audit&amp;DYN_ARGS=TRUE&amp;VAR:ID1=B58P9L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2__FDSAUDITLINK__" localSheetId="0" hidden="1">{"fdsup://IBCentral/FAT Viewer?action=UPDATE&amp;creator=factset&amp;DOC_NAME=fat:reuters_annual_pshs_src_window.fat&amp;display_string=Audit&amp;DYN_ARGS=TRUE&amp;VAR:ID1=B58P9L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pshs_src_window.fat&amp;display_string=Audit&amp;DYN_ARGS=TRUE&amp;VAR:ID1=B58P9L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3__FDSAUDITLINK__" localSheetId="2" hidden="1">{"fdsup://IBCentral/FAT Viewer?action=UPDATE&amp;creator=factset&amp;DOC_NAME=fat:reuters_annual_pshs_src_window.fat&amp;display_string=Audit&amp;DYN_ARGS=TRUE&amp;VAR:ID1=B3PL62&amp;VAR:RCODE=FDSEPS&amp;VAR:SDATE=20081299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3__FDSAUDITLINK__" localSheetId="3" hidden="1">{"fdsup://IBCentral/FAT Viewer?action=UPDATE&amp;creator=factset&amp;DOC_NAME=fat:reuters_annual_pshs_src_window.fat&amp;display_string=Audit&amp;DYN_ARGS=TRUE&amp;VAR:ID1=B3PL62&amp;VAR:RCODE=FDSEPS&amp;VAR:SDATE=20081299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3__FDSAUDITLINK__" localSheetId="0" hidden="1">{"fdsup://IBCentral/FAT Viewer?action=UPDATE&amp;creator=factset&amp;DOC_NAME=fat:reuters_annual_pshs_src_window.fat&amp;display_string=Audit&amp;DYN_ARGS=TRUE&amp;VAR:ID1=B3PL62&amp;VAR:RCODE=FDSEPS&amp;VAR:SDATE=20081299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pshs_src_window.fat&amp;display_string=Audit&amp;DYN_ARGS=TRUE&amp;VAR:ID1=B3PL62&amp;VAR:RCODE=FDSEPS&amp;VAR:SDATE=20081299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4__FDSAUDITLINK__" localSheetId="2" hidden="1">{"fdsup://IBCentral/FAT Viewer?action=UPDATE&amp;creator=factset&amp;DOC_NAME=fat:reuters_annual_pshs_src_window.fat&amp;display_string=Audit&amp;DYN_ARGS=TRUE&amp;VAR:ID1=B622T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4__FDSAUDITLINK__" localSheetId="3" hidden="1">{"fdsup://IBCentral/FAT Viewer?action=UPDATE&amp;creator=factset&amp;DOC_NAME=fat:reuters_annual_pshs_src_window.fat&amp;display_string=Audit&amp;DYN_ARGS=TRUE&amp;VAR:ID1=B622T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4__FDSAUDITLINK__" localSheetId="0" hidden="1">{"fdsup://IBCentral/FAT Viewer?action=UPDATE&amp;creator=factset&amp;DOC_NAME=fat:reuters_annual_pshs_src_window.fat&amp;display_string=Audit&amp;DYN_ARGS=TRUE&amp;VAR:ID1=B622T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4__FDSAUDITLINK__" hidden="1">{"fdsup://IBCentral/FAT Viewer?action=UPDATE&amp;creator=factset&amp;DOC_NAME=fat:reuters_annual_pshs_src_window.fat&amp;display_string=Audit&amp;DYN_ARGS=TRUE&amp;VAR:ID1=B622T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localSheetId="2" hidden="1">{"fdsup://IBCentral/FAT Viewer?action=UPDATE&amp;creator=factset&amp;DOC_NAME=fat:reuters_annual_pshs_src_window.fat&amp;display_string=Audit&amp;DYN_ARGS=TRUE&amp;VAR:ID1=B282PJ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localSheetId="3" hidden="1">{"fdsup://IBCentral/FAT Viewer?action=UPDATE&amp;creator=factset&amp;DOC_NAME=fat:reuters_annual_pshs_src_window.fat&amp;display_string=Audit&amp;DYN_ARGS=TRUE&amp;VAR:ID1=B282PJ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localSheetId="0" hidden="1">{"fdsup://IBCentral/FAT Viewer?action=UPDATE&amp;creator=factset&amp;DOC_NAME=fat:reuters_annual_pshs_src_window.fat&amp;display_string=Audit&amp;DYN_ARGS=TRUE&amp;VAR:ID1=B282PJ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pshs_src_window.fat&amp;display_string=Audit&amp;DYN_ARGS=TRUE&amp;VAR:ID1=B282PJ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localSheetId="2" hidden="1">{"fdsup://IBCentral/FAT Viewer?action=UPDATE&amp;creator=factset&amp;DOC_NAME=fat:reuters_annual_pshs_src_window.fat&amp;display_string=Audit&amp;DYN_ARGS=TRUE&amp;VAR:ID1=673558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localSheetId="3" hidden="1">{"fdsup://IBCentral/FAT Viewer?action=UPDATE&amp;creator=factset&amp;DOC_NAME=fat:reuters_annual_pshs_src_window.fat&amp;display_string=Audit&amp;DYN_ARGS=TRUE&amp;VAR:ID1=673558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localSheetId="0" hidden="1">{"fdsup://IBCentral/FAT Viewer?action=UPDATE&amp;creator=factset&amp;DOC_NAME=fat:reuters_annual_pshs_src_window.fat&amp;display_string=Audit&amp;DYN_ARGS=TRUE&amp;VAR:ID1=673558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pshs_src_window.fat&amp;display_string=Audit&amp;DYN_ARGS=TRUE&amp;VAR:ID1=673558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7__FDSAUDITLINK__" localSheetId="2" hidden="1">{"fdsup://IBCentral/FAT Viewer?action=UPDATE&amp;creator=factset&amp;DOC_NAME=fat:reuters_annual_pshs_src_window.fat&amp;display_string=Audit&amp;DYN_ARGS=TRUE&amp;VAR:ID1=B02ZK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7__FDSAUDITLINK__" localSheetId="3" hidden="1">{"fdsup://IBCentral/FAT Viewer?action=UPDATE&amp;creator=factset&amp;DOC_NAME=fat:reuters_annual_pshs_src_window.fat&amp;display_string=Audit&amp;DYN_ARGS=TRUE&amp;VAR:ID1=B02ZK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7__FDSAUDITLINK__" localSheetId="0" hidden="1">{"fdsup://IBCentral/FAT Viewer?action=UPDATE&amp;creator=factset&amp;DOC_NAME=fat:reuters_annual_pshs_src_window.fat&amp;display_string=Audit&amp;DYN_ARGS=TRUE&amp;VAR:ID1=B02ZK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7__FDSAUDITLINK__" hidden="1">{"fdsup://IBCentral/FAT Viewer?action=UPDATE&amp;creator=factset&amp;DOC_NAME=fat:reuters_annual_pshs_src_window.fat&amp;display_string=Audit&amp;DYN_ARGS=TRUE&amp;VAR:ID1=B02ZK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8__FDSAUDITLINK__" localSheetId="2" hidden="1">{"fdsup://IBCentral/FAT Viewer?action=UPDATE&amp;creator=factset&amp;DOC_NAME=fat:reuters_annual_pshs_src_window.fat&amp;display_string=Audit&amp;DYN_ARGS=TRUE&amp;VAR:ID1=B11B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8__FDSAUDITLINK__" localSheetId="3" hidden="1">{"fdsup://IBCentral/FAT Viewer?action=UPDATE&amp;creator=factset&amp;DOC_NAME=fat:reuters_annual_pshs_src_window.fat&amp;display_string=Audit&amp;DYN_ARGS=TRUE&amp;VAR:ID1=B11B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8__FDSAUDITLINK__" localSheetId="0" hidden="1">{"fdsup://IBCentral/FAT Viewer?action=UPDATE&amp;creator=factset&amp;DOC_NAME=fat:reuters_annual_pshs_src_window.fat&amp;display_string=Audit&amp;DYN_ARGS=TRUE&amp;VAR:ID1=B11B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pshs_src_window.fat&amp;display_string=Audit&amp;DYN_ARGS=TRUE&amp;VAR:ID1=B11B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9__FDSAUDITLINK__" localSheetId="2" hidden="1">{"fdsup://IBCentral/FAT Viewer?action=UPDATE&amp;creator=factset&amp;DOC_NAME=fat:reuters_annual_pshs_src_window.fat&amp;display_string=Audit&amp;DYN_ARGS=TRUE&amp;VAR:ID1=670909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9__FDSAUDITLINK__" localSheetId="3" hidden="1">{"fdsup://IBCentral/FAT Viewer?action=UPDATE&amp;creator=factset&amp;DOC_NAME=fat:reuters_annual_pshs_src_window.fat&amp;display_string=Audit&amp;DYN_ARGS=TRUE&amp;VAR:ID1=670909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9__FDSAUDITLINK__" localSheetId="0" hidden="1">{"fdsup://IBCentral/FAT Viewer?action=UPDATE&amp;creator=factset&amp;DOC_NAME=fat:reuters_annual_pshs_src_window.fat&amp;display_string=Audit&amp;DYN_ARGS=TRUE&amp;VAR:ID1=670909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pshs_src_window.fat&amp;display_string=Audit&amp;DYN_ARGS=TRUE&amp;VAR:ID1=670909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">[19]laporan!$AD$225:$AL$278</definedName>
    <definedName name="_15__FDSAUDITLINK__" localSheetId="2" hidden="1">{"fdsup://IBCentral/FAT Viewer?action=UPDATE&amp;creator=factset&amp;DOC_NAME=fat:reuters_qtrly_source_window.fat&amp;display_string=Audit&amp;DYN_ARGS=TRUE&amp;VAR:ID1=655632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5__FDSAUDITLINK__" localSheetId="3" hidden="1">{"fdsup://IBCentral/FAT Viewer?action=UPDATE&amp;creator=factset&amp;DOC_NAME=fat:reuters_qtrly_source_window.fat&amp;display_string=Audit&amp;DYN_ARGS=TRUE&amp;VAR:ID1=655632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5__FDSAUDITLINK__" localSheetId="0" hidden="1">{"fdsup://IBCentral/FAT Viewer?action=UPDATE&amp;creator=factset&amp;DOC_NAME=fat:reuters_qtrly_source_window.fat&amp;display_string=Audit&amp;DYN_ARGS=TRUE&amp;VAR:ID1=655632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5__FDSAUDITLINK__" hidden="1">{"fdsup://IBCentral/FAT Viewer?action=UPDATE&amp;creator=factset&amp;DOC_NAME=fat:reuters_qtrly_source_window.fat&amp;display_string=Audit&amp;DYN_ARGS=TRUE&amp;VAR:ID1=655632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50__FDSAUDITLINK__" localSheetId="2" hidden="1">{"fdsup://IBCentral/FAT Viewer?action=UPDATE&amp;creator=factset&amp;DOC_NAME=fat:reuters_annual_pshs_src_window.fat&amp;display_string=Audit&amp;DYN_ARGS=TRUE&amp;VAR:ID1=622532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0__FDSAUDITLINK__" localSheetId="3" hidden="1">{"fdsup://IBCentral/FAT Viewer?action=UPDATE&amp;creator=factset&amp;DOC_NAME=fat:reuters_annual_pshs_src_window.fat&amp;display_string=Audit&amp;DYN_ARGS=TRUE&amp;VAR:ID1=622532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0__FDSAUDITLINK__" localSheetId="0" hidden="1">{"fdsup://IBCentral/FAT Viewer?action=UPDATE&amp;creator=factset&amp;DOC_NAME=fat:reuters_annual_pshs_src_window.fat&amp;display_string=Audit&amp;DYN_ARGS=TRUE&amp;VAR:ID1=622532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0__FDSAUDITLINK__" hidden="1">{"fdsup://IBCentral/FAT Viewer?action=UPDATE&amp;creator=factset&amp;DOC_NAME=fat:reuters_annual_pshs_src_window.fat&amp;display_string=Audit&amp;DYN_ARGS=TRUE&amp;VAR:ID1=622532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1__FDSAUDITLINK__" localSheetId="2" hidden="1">{"fdsup://IBCentral/FAT Viewer?action=UPDATE&amp;creator=factset&amp;DOC_NAME=fat:reuters_annual_pshs_src_window.fat&amp;display_string=Audit&amp;DYN_ARGS=TRUE&amp;VAR:ID1=672712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1__FDSAUDITLINK__" localSheetId="3" hidden="1">{"fdsup://IBCentral/FAT Viewer?action=UPDATE&amp;creator=factset&amp;DOC_NAME=fat:reuters_annual_pshs_src_window.fat&amp;display_string=Audit&amp;DYN_ARGS=TRUE&amp;VAR:ID1=672712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1__FDSAUDITLINK__" localSheetId="0" hidden="1">{"fdsup://IBCentral/FAT Viewer?action=UPDATE&amp;creator=factset&amp;DOC_NAME=fat:reuters_annual_pshs_src_window.fat&amp;display_string=Audit&amp;DYN_ARGS=TRUE&amp;VAR:ID1=672712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1__FDSAUDITLINK__" hidden="1">{"fdsup://IBCentral/FAT Viewer?action=UPDATE&amp;creator=factset&amp;DOC_NAME=fat:reuters_annual_pshs_src_window.fat&amp;display_string=Audit&amp;DYN_ARGS=TRUE&amp;VAR:ID1=672712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2__FDSAUDITLINK__" localSheetId="2" hidden="1">{"fdsup://IBCentral/FAT Viewer?action=UPDATE&amp;creator=factset&amp;DOC_NAME=fat:reuters_annual_pshs_src_window.fat&amp;display_string=Audit&amp;DYN_ARGS=TRUE&amp;VAR:ID1=658760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2__FDSAUDITLINK__" localSheetId="3" hidden="1">{"fdsup://IBCentral/FAT Viewer?action=UPDATE&amp;creator=factset&amp;DOC_NAME=fat:reuters_annual_pshs_src_window.fat&amp;display_string=Audit&amp;DYN_ARGS=TRUE&amp;VAR:ID1=658760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2__FDSAUDITLINK__" localSheetId="0" hidden="1">{"fdsup://IBCentral/FAT Viewer?action=UPDATE&amp;creator=factset&amp;DOC_NAME=fat:reuters_annual_pshs_src_window.fat&amp;display_string=Audit&amp;DYN_ARGS=TRUE&amp;VAR:ID1=658760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pshs_src_window.fat&amp;display_string=Audit&amp;DYN_ARGS=TRUE&amp;VAR:ID1=658760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3__FDSAUDITLINK__" localSheetId="2" hidden="1">{"fdsup://IBCentral/FAT Viewer?action=UPDATE&amp;creator=factset&amp;DOC_NAME=fat:reuters_annual_pshs_src_window.fat&amp;display_string=Audit&amp;DYN_ARGS=TRUE&amp;VAR:ID1=B013ZT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3__FDSAUDITLINK__" localSheetId="3" hidden="1">{"fdsup://IBCentral/FAT Viewer?action=UPDATE&amp;creator=factset&amp;DOC_NAME=fat:reuters_annual_pshs_src_window.fat&amp;display_string=Audit&amp;DYN_ARGS=TRUE&amp;VAR:ID1=B013ZT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3__FDSAUDITLINK__" localSheetId="0" hidden="1">{"fdsup://IBCentral/FAT Viewer?action=UPDATE&amp;creator=factset&amp;DOC_NAME=fat:reuters_annual_pshs_src_window.fat&amp;display_string=Audit&amp;DYN_ARGS=TRUE&amp;VAR:ID1=B013ZT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3__FDSAUDITLINK__" hidden="1">{"fdsup://IBCentral/FAT Viewer?action=UPDATE&amp;creator=factset&amp;DOC_NAME=fat:reuters_annual_pshs_src_window.fat&amp;display_string=Audit&amp;DYN_ARGS=TRUE&amp;VAR:ID1=B013ZT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4__FDSAUDITLINK__" localSheetId="2" hidden="1">{"fdsup://IBCentral/FAT Viewer?action=UPDATE&amp;creator=factset&amp;DOC_NAME=fat:reuters_annual_pshs_src_window.fat&amp;display_string=Audit&amp;DYN_ARGS=TRUE&amp;VAR:ID1=B00ZN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4__FDSAUDITLINK__" localSheetId="3" hidden="1">{"fdsup://IBCentral/FAT Viewer?action=UPDATE&amp;creator=factset&amp;DOC_NAME=fat:reuters_annual_pshs_src_window.fat&amp;display_string=Audit&amp;DYN_ARGS=TRUE&amp;VAR:ID1=B00ZN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4__FDSAUDITLINK__" localSheetId="0" hidden="1">{"fdsup://IBCentral/FAT Viewer?action=UPDATE&amp;creator=factset&amp;DOC_NAME=fat:reuters_annual_pshs_src_window.fat&amp;display_string=Audit&amp;DYN_ARGS=TRUE&amp;VAR:ID1=B00ZN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4__FDSAUDITLINK__" hidden="1">{"fdsup://IBCentral/FAT Viewer?action=UPDATE&amp;creator=factset&amp;DOC_NAME=fat:reuters_annual_pshs_src_window.fat&amp;display_string=Audit&amp;DYN_ARGS=TRUE&amp;VAR:ID1=B00ZN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5__FDSAUDITLINK__" localSheetId="2" hidden="1">{"fdsup://IBCentral/FAT Viewer?action=UPDATE&amp;creator=factset&amp;DOC_NAME=fat:reuters_annual_pshs_src_window.fat&amp;display_string=Audit&amp;DYN_ARGS=TRUE&amp;VAR:ID1=652879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5__FDSAUDITLINK__" localSheetId="3" hidden="1">{"fdsup://IBCentral/FAT Viewer?action=UPDATE&amp;creator=factset&amp;DOC_NAME=fat:reuters_annual_pshs_src_window.fat&amp;display_string=Audit&amp;DYN_ARGS=TRUE&amp;VAR:ID1=652879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5__FDSAUDITLINK__" localSheetId="0" hidden="1">{"fdsup://IBCentral/FAT Viewer?action=UPDATE&amp;creator=factset&amp;DOC_NAME=fat:reuters_annual_pshs_src_window.fat&amp;display_string=Audit&amp;DYN_ARGS=TRUE&amp;VAR:ID1=652879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5__FDSAUDITLINK__" hidden="1">{"fdsup://IBCentral/FAT Viewer?action=UPDATE&amp;creator=factset&amp;DOC_NAME=fat:reuters_annual_pshs_src_window.fat&amp;display_string=Audit&amp;DYN_ARGS=TRUE&amp;VAR:ID1=652879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6__FDSAUDITLINK__" localSheetId="2" hidden="1">{"fdsup://IBCentral/FAT Viewer?action=UPDATE&amp;creator=factset&amp;DOC_NAME=fat:reuters_annual_pshs_src_window.fat&amp;display_string=Audit&amp;DYN_ARGS=TRUE&amp;VAR:ID1=658003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6__FDSAUDITLINK__" localSheetId="3" hidden="1">{"fdsup://IBCentral/FAT Viewer?action=UPDATE&amp;creator=factset&amp;DOC_NAME=fat:reuters_annual_pshs_src_window.fat&amp;display_string=Audit&amp;DYN_ARGS=TRUE&amp;VAR:ID1=658003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6__FDSAUDITLINK__" localSheetId="0" hidden="1">{"fdsup://IBCentral/FAT Viewer?action=UPDATE&amp;creator=factset&amp;DOC_NAME=fat:reuters_annual_pshs_src_window.fat&amp;display_string=Audit&amp;DYN_ARGS=TRUE&amp;VAR:ID1=658003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6__FDSAUDITLINK__" hidden="1">{"fdsup://IBCentral/FAT Viewer?action=UPDATE&amp;creator=factset&amp;DOC_NAME=fat:reuters_annual_pshs_src_window.fat&amp;display_string=Audit&amp;DYN_ARGS=TRUE&amp;VAR:ID1=658003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7__FDSAUDITLINK__" localSheetId="2" hidden="1">{"fdsup://IBCentral/FAT Viewer?action=UPDATE&amp;creator=factset&amp;DOC_NAME=fat:reuters_annual_pshs_src_window.fat&amp;display_string=Audit&amp;DYN_ARGS=TRUE&amp;VAR:ID1=665104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7__FDSAUDITLINK__" localSheetId="3" hidden="1">{"fdsup://IBCentral/FAT Viewer?action=UPDATE&amp;creator=factset&amp;DOC_NAME=fat:reuters_annual_pshs_src_window.fat&amp;display_string=Audit&amp;DYN_ARGS=TRUE&amp;VAR:ID1=665104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7__FDSAUDITLINK__" localSheetId="0" hidden="1">{"fdsup://IBCentral/FAT Viewer?action=UPDATE&amp;creator=factset&amp;DOC_NAME=fat:reuters_annual_pshs_src_window.fat&amp;display_string=Audit&amp;DYN_ARGS=TRUE&amp;VAR:ID1=665104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pshs_src_window.fat&amp;display_string=Audit&amp;DYN_ARGS=TRUE&amp;VAR:ID1=665104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8__FDSAUDITLINK__" localSheetId="2" hidden="1">{"fdsup://IBCentral/FAT Viewer?action=UPDATE&amp;creator=factset&amp;DOC_NAME=fat:reuters_annual_pshs_src_window.fat&amp;display_string=Audit&amp;DYN_ARGS=TRUE&amp;VAR:ID1=655693&amp;VAR:RCODE=FDSEPS&amp;VAR:SDATE=20100399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8__FDSAUDITLINK__" localSheetId="3" hidden="1">{"fdsup://IBCentral/FAT Viewer?action=UPDATE&amp;creator=factset&amp;DOC_NAME=fat:reuters_annual_pshs_src_window.fat&amp;display_string=Audit&amp;DYN_ARGS=TRUE&amp;VAR:ID1=655693&amp;VAR:RCODE=FDSEPS&amp;VAR:SDATE=20100399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8__FDSAUDITLINK__" localSheetId="0" hidden="1">{"fdsup://IBCentral/FAT Viewer?action=UPDATE&amp;creator=factset&amp;DOC_NAME=fat:reuters_annual_pshs_src_window.fat&amp;display_string=Audit&amp;DYN_ARGS=TRUE&amp;VAR:ID1=655693&amp;VAR:RCODE=FDSEPS&amp;VAR:SDATE=20100399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pshs_src_window.fat&amp;display_string=Audit&amp;DYN_ARGS=TRUE&amp;VAR:ID1=655693&amp;VAR:RCODE=FDSEPS&amp;VAR:SDATE=20100399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9__FDSAUDITLINK__" localSheetId="2" hidden="1">{"fdsup://IBCentral/FAT Viewer?action=UPDATE&amp;creator=factset&amp;DOC_NAME=fat:reuters_annual_pshs_src_window.fat&amp;display_string=Audit&amp;DYN_ARGS=TRUE&amp;VAR:ID1=600945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9__FDSAUDITLINK__" localSheetId="3" hidden="1">{"fdsup://IBCentral/FAT Viewer?action=UPDATE&amp;creator=factset&amp;DOC_NAME=fat:reuters_annual_pshs_src_window.fat&amp;display_string=Audit&amp;DYN_ARGS=TRUE&amp;VAR:ID1=600945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9__FDSAUDITLINK__" localSheetId="0" hidden="1">{"fdsup://IBCentral/FAT Viewer?action=UPDATE&amp;creator=factset&amp;DOC_NAME=fat:reuters_annual_pshs_src_window.fat&amp;display_string=Audit&amp;DYN_ARGS=TRUE&amp;VAR:ID1=600945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59__FDSAUDITLINK__" hidden="1">{"fdsup://IBCentral/FAT Viewer?action=UPDATE&amp;creator=factset&amp;DOC_NAME=fat:reuters_annual_pshs_src_window.fat&amp;display_string=Audit&amp;DYN_ARGS=TRUE&amp;VAR:ID1=600945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">[19]laporan!$T$113:$AC$168</definedName>
    <definedName name="_16__FDSAUDITLINK__" localSheetId="2" hidden="1">{"fdsup://IBCentral/FAT Viewer?action=UPDATE&amp;creator=factset&amp;DOC_NAME=fat:reuters_qtrly_source_window.fat&amp;display_string=Audit&amp;DYN_ARGS=TRUE&amp;VAR:ID1=672712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6__FDSAUDITLINK__" localSheetId="3" hidden="1">{"fdsup://IBCentral/FAT Viewer?action=UPDATE&amp;creator=factset&amp;DOC_NAME=fat:reuters_qtrly_source_window.fat&amp;display_string=Audit&amp;DYN_ARGS=TRUE&amp;VAR:ID1=672712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6__FDSAUDITLINK__" localSheetId="0" hidden="1">{"fdsup://IBCentral/FAT Viewer?action=UPDATE&amp;creator=factset&amp;DOC_NAME=fat:reuters_qtrly_source_window.fat&amp;display_string=Audit&amp;DYN_ARGS=TRUE&amp;VAR:ID1=672712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6__FDSAUDITLINK__" hidden="1">{"fdsup://IBCentral/FAT Viewer?action=UPDATE&amp;creator=factset&amp;DOC_NAME=fat:reuters_qtrly_source_window.fat&amp;display_string=Audit&amp;DYN_ARGS=TRUE&amp;VAR:ID1=672712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60__FDSAUDITLINK__" localSheetId="2" hidden="1">{"fdsup://IBCentral/FAT Viewer?action=UPDATE&amp;creator=factset&amp;DOC_NAME=fat:reuters_annual_pshs_src_window.fat&amp;display_string=Audit&amp;DYN_ARGS=TRUE&amp;VAR:ID1=660293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0__FDSAUDITLINK__" localSheetId="3" hidden="1">{"fdsup://IBCentral/FAT Viewer?action=UPDATE&amp;creator=factset&amp;DOC_NAME=fat:reuters_annual_pshs_src_window.fat&amp;display_string=Audit&amp;DYN_ARGS=TRUE&amp;VAR:ID1=660293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0__FDSAUDITLINK__" localSheetId="0" hidden="1">{"fdsup://IBCentral/FAT Viewer?action=UPDATE&amp;creator=factset&amp;DOC_NAME=fat:reuters_annual_pshs_src_window.fat&amp;display_string=Audit&amp;DYN_ARGS=TRUE&amp;VAR:ID1=660293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0__FDSAUDITLINK__" hidden="1">{"fdsup://IBCentral/FAT Viewer?action=UPDATE&amp;creator=factset&amp;DOC_NAME=fat:reuters_annual_pshs_src_window.fat&amp;display_string=Audit&amp;DYN_ARGS=TRUE&amp;VAR:ID1=660293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1__FDSAUDITLINK__" localSheetId="2" hidden="1">{"fdsup://IBCentral/FAT Viewer?action=UPDATE&amp;creator=factset&amp;DOC_NAME=fat:reuters_annual_pshs_src_window.fat&amp;display_string=Audit&amp;DYN_ARGS=TRUE&amp;VAR:ID1=B012W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1__FDSAUDITLINK__" localSheetId="3" hidden="1">{"fdsup://IBCentral/FAT Viewer?action=UPDATE&amp;creator=factset&amp;DOC_NAME=fat:reuters_annual_pshs_src_window.fat&amp;display_string=Audit&amp;DYN_ARGS=TRUE&amp;VAR:ID1=B012W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1__FDSAUDITLINK__" localSheetId="0" hidden="1">{"fdsup://IBCentral/FAT Viewer?action=UPDATE&amp;creator=factset&amp;DOC_NAME=fat:reuters_annual_pshs_src_window.fat&amp;display_string=Audit&amp;DYN_ARGS=TRUE&amp;VAR:ID1=B012W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1__FDSAUDITLINK__" hidden="1">{"fdsup://IBCentral/FAT Viewer?action=UPDATE&amp;creator=factset&amp;DOC_NAME=fat:reuters_annual_pshs_src_window.fat&amp;display_string=Audit&amp;DYN_ARGS=TRUE&amp;VAR:ID1=B012W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2__FDSAUDITLINK__" localSheetId="2" hidden="1">{"fdsup://IBCentral/FAT Viewer?action=UPDATE&amp;creator=factset&amp;DOC_NAME=fat:reuters_annual_pshs_src_window.fat&amp;display_string=Audit&amp;DYN_ARGS=TRUE&amp;VAR:ID1=607574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2__FDSAUDITLINK__" localSheetId="3" hidden="1">{"fdsup://IBCentral/FAT Viewer?action=UPDATE&amp;creator=factset&amp;DOC_NAME=fat:reuters_annual_pshs_src_window.fat&amp;display_string=Audit&amp;DYN_ARGS=TRUE&amp;VAR:ID1=607574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2__FDSAUDITLINK__" localSheetId="0" hidden="1">{"fdsup://IBCentral/FAT Viewer?action=UPDATE&amp;creator=factset&amp;DOC_NAME=fat:reuters_annual_pshs_src_window.fat&amp;display_string=Audit&amp;DYN_ARGS=TRUE&amp;VAR:ID1=607574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2__FDSAUDITLINK__" hidden="1">{"fdsup://IBCentral/FAT Viewer?action=UPDATE&amp;creator=factset&amp;DOC_NAME=fat:reuters_annual_pshs_src_window.fat&amp;display_string=Audit&amp;DYN_ARGS=TRUE&amp;VAR:ID1=607574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3__FDSAUDITLINK__" localSheetId="2" hidden="1">{"fdsup://IBCentral/FAT Viewer?action=UPDATE&amp;creator=factset&amp;DOC_NAME=fat:reuters_annual_pshs_src_window.fat&amp;display_string=Audit&amp;DYN_ARGS=TRUE&amp;VAR:ID1=681176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3__FDSAUDITLINK__" localSheetId="3" hidden="1">{"fdsup://IBCentral/FAT Viewer?action=UPDATE&amp;creator=factset&amp;DOC_NAME=fat:reuters_annual_pshs_src_window.fat&amp;display_string=Audit&amp;DYN_ARGS=TRUE&amp;VAR:ID1=681176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3__FDSAUDITLINK__" localSheetId="0" hidden="1">{"fdsup://IBCentral/FAT Viewer?action=UPDATE&amp;creator=factset&amp;DOC_NAME=fat:reuters_annual_pshs_src_window.fat&amp;display_string=Audit&amp;DYN_ARGS=TRUE&amp;VAR:ID1=681176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pshs_src_window.fat&amp;display_string=Audit&amp;DYN_ARGS=TRUE&amp;VAR:ID1=681176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4__FDSAUDITLINK__" localSheetId="2" hidden="1">{"fdsup://IBCentral/FAT Viewer?action=UPDATE&amp;creator=factset&amp;DOC_NAME=fat:reuters_annual_pshs_src_window.fat&amp;display_string=Audit&amp;DYN_ARGS=TRUE&amp;VAR:ID1=691678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4__FDSAUDITLINK__" localSheetId="3" hidden="1">{"fdsup://IBCentral/FAT Viewer?action=UPDATE&amp;creator=factset&amp;DOC_NAME=fat:reuters_annual_pshs_src_window.fat&amp;display_string=Audit&amp;DYN_ARGS=TRUE&amp;VAR:ID1=691678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4__FDSAUDITLINK__" localSheetId="0" hidden="1">{"fdsup://IBCentral/FAT Viewer?action=UPDATE&amp;creator=factset&amp;DOC_NAME=fat:reuters_annual_pshs_src_window.fat&amp;display_string=Audit&amp;DYN_ARGS=TRUE&amp;VAR:ID1=691678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pshs_src_window.fat&amp;display_string=Audit&amp;DYN_ARGS=TRUE&amp;VAR:ID1=691678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5__FDSAUDITLINK__" localSheetId="2" hidden="1">{"fdsup://IBCentral/FAT Viewer?action=UPDATE&amp;creator=factset&amp;DOC_NAME=fat:reuters_annual_pshs_src_window.fat&amp;display_string=Audit&amp;DYN_ARGS=TRUE&amp;VAR:ID1=617520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5__FDSAUDITLINK__" localSheetId="3" hidden="1">{"fdsup://IBCentral/FAT Viewer?action=UPDATE&amp;creator=factset&amp;DOC_NAME=fat:reuters_annual_pshs_src_window.fat&amp;display_string=Audit&amp;DYN_ARGS=TRUE&amp;VAR:ID1=617520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5__FDSAUDITLINK__" localSheetId="0" hidden="1">{"fdsup://IBCentral/FAT Viewer?action=UPDATE&amp;creator=factset&amp;DOC_NAME=fat:reuters_annual_pshs_src_window.fat&amp;display_string=Audit&amp;DYN_ARGS=TRUE&amp;VAR:ID1=617520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5__FDSAUDITLINK__" hidden="1">{"fdsup://IBCentral/FAT Viewer?action=UPDATE&amp;creator=factset&amp;DOC_NAME=fat:reuters_annual_pshs_src_window.fat&amp;display_string=Audit&amp;DYN_ARGS=TRUE&amp;VAR:ID1=617520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6__FDSAUDITLINK__" localSheetId="2" hidden="1">{"fdsup://IBCentral/FAT Viewer?action=UPDATE&amp;creator=factset&amp;DOC_NAME=fat:reuters_annual_pshs_src_window.fat&amp;display_string=Audit&amp;DYN_ARGS=TRUE&amp;VAR:ID1=B1WQQ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6__FDSAUDITLINK__" localSheetId="3" hidden="1">{"fdsup://IBCentral/FAT Viewer?action=UPDATE&amp;creator=factset&amp;DOC_NAME=fat:reuters_annual_pshs_src_window.fat&amp;display_string=Audit&amp;DYN_ARGS=TRUE&amp;VAR:ID1=B1WQQ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6__FDSAUDITLINK__" localSheetId="0" hidden="1">{"fdsup://IBCentral/FAT Viewer?action=UPDATE&amp;creator=factset&amp;DOC_NAME=fat:reuters_annual_pshs_src_window.fat&amp;display_string=Audit&amp;DYN_ARGS=TRUE&amp;VAR:ID1=B1WQQ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6__FDSAUDITLINK__" hidden="1">{"fdsup://IBCentral/FAT Viewer?action=UPDATE&amp;creator=factset&amp;DOC_NAME=fat:reuters_annual_pshs_src_window.fat&amp;display_string=Audit&amp;DYN_ARGS=TRUE&amp;VAR:ID1=B1WQQ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7__FDSAUDITLINK__" localSheetId="2" hidden="1">{"fdsup://IBCentral/FAT Viewer?action=UPDATE&amp;creator=factset&amp;DOC_NAME=fat:reuters_annual_pshs_src_window.fat&amp;display_string=Audit&amp;DYN_ARGS=TRUE&amp;VAR:ID1=647179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7__FDSAUDITLINK__" localSheetId="3" hidden="1">{"fdsup://IBCentral/FAT Viewer?action=UPDATE&amp;creator=factset&amp;DOC_NAME=fat:reuters_annual_pshs_src_window.fat&amp;display_string=Audit&amp;DYN_ARGS=TRUE&amp;VAR:ID1=647179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7__FDSAUDITLINK__" localSheetId="0" hidden="1">{"fdsup://IBCentral/FAT Viewer?action=UPDATE&amp;creator=factset&amp;DOC_NAME=fat:reuters_annual_pshs_src_window.fat&amp;display_string=Audit&amp;DYN_ARGS=TRUE&amp;VAR:ID1=647179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pshs_src_window.fat&amp;display_string=Audit&amp;DYN_ARGS=TRUE&amp;VAR:ID1=647179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8__FDSAUDITLINK__" localSheetId="2" hidden="1">{"fdsup://IBCentral/FAT Viewer?action=UPDATE&amp;creator=factset&amp;DOC_NAME=fat:reuters_annual_pshs_src_window.fat&amp;display_string=Audit&amp;DYN_ARGS=TRUE&amp;VAR:ID1=646297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8__FDSAUDITLINK__" localSheetId="3" hidden="1">{"fdsup://IBCentral/FAT Viewer?action=UPDATE&amp;creator=factset&amp;DOC_NAME=fat:reuters_annual_pshs_src_window.fat&amp;display_string=Audit&amp;DYN_ARGS=TRUE&amp;VAR:ID1=646297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8__FDSAUDITLINK__" localSheetId="0" hidden="1">{"fdsup://IBCentral/FAT Viewer?action=UPDATE&amp;creator=factset&amp;DOC_NAME=fat:reuters_annual_pshs_src_window.fat&amp;display_string=Audit&amp;DYN_ARGS=TRUE&amp;VAR:ID1=646297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8__FDSAUDITLINK__" hidden="1">{"fdsup://IBCentral/FAT Viewer?action=UPDATE&amp;creator=factset&amp;DOC_NAME=fat:reuters_annual_pshs_src_window.fat&amp;display_string=Audit&amp;DYN_ARGS=TRUE&amp;VAR:ID1=646297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9__FDSAUDITLINK__" localSheetId="2" hidden="1">{"fdsup://IBCentral/FAT Viewer?action=UPDATE&amp;creator=factset&amp;DOC_NAME=fat:reuters_annual_pshs_src_window.fat&amp;display_string=Audit&amp;DYN_ARGS=TRUE&amp;VAR:ID1=624947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9__FDSAUDITLINK__" localSheetId="3" hidden="1">{"fdsup://IBCentral/FAT Viewer?action=UPDATE&amp;creator=factset&amp;DOC_NAME=fat:reuters_annual_pshs_src_window.fat&amp;display_string=Audit&amp;DYN_ARGS=TRUE&amp;VAR:ID1=624947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9__FDSAUDITLINK__" localSheetId="0" hidden="1">{"fdsup://IBCentral/FAT Viewer?action=UPDATE&amp;creator=factset&amp;DOC_NAME=fat:reuters_annual_pshs_src_window.fat&amp;display_string=Audit&amp;DYN_ARGS=TRUE&amp;VAR:ID1=624947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pshs_src_window.fat&amp;display_string=Audit&amp;DYN_ARGS=TRUE&amp;VAR:ID1=624947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">[22]LAPORAN!$T$113:$AC$168</definedName>
    <definedName name="_17__FDSAUDITLINK__" localSheetId="2" hidden="1">{"fdsup://IBCentral/FAT Viewer?action=UPDATE&amp;creator=factset&amp;DOC_NAME=fat:reuters_qtrly_source_window.fat&amp;display_string=Audit&amp;DYN_ARGS=TRUE&amp;VAR:ID1=670909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7__FDSAUDITLINK__" localSheetId="3" hidden="1">{"fdsup://IBCentral/FAT Viewer?action=UPDATE&amp;creator=factset&amp;DOC_NAME=fat:reuters_qtrly_source_window.fat&amp;display_string=Audit&amp;DYN_ARGS=TRUE&amp;VAR:ID1=670909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7__FDSAUDITLINK__" localSheetId="0" hidden="1">{"fdsup://IBCentral/FAT Viewer?action=UPDATE&amp;creator=factset&amp;DOC_NAME=fat:reuters_qtrly_source_window.fat&amp;display_string=Audit&amp;DYN_ARGS=TRUE&amp;VAR:ID1=670909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7__FDSAUDITLINK__" hidden="1">{"fdsup://IBCentral/FAT Viewer?action=UPDATE&amp;creator=factset&amp;DOC_NAME=fat:reuters_qtrly_source_window.fat&amp;display_string=Audit&amp;DYN_ARGS=TRUE&amp;VAR:ID1=670909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170__FDSAUDITLINK__" localSheetId="2" hidden="1">{"fdsup://IBCentral/FAT Viewer?action=UPDATE&amp;creator=factset&amp;DOC_NAME=fat:reuters_annual_pshs_src_window.fat&amp;display_string=Audit&amp;DYN_ARGS=TRUE&amp;VAR:ID1=607555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0__FDSAUDITLINK__" localSheetId="3" hidden="1">{"fdsup://IBCentral/FAT Viewer?action=UPDATE&amp;creator=factset&amp;DOC_NAME=fat:reuters_annual_pshs_src_window.fat&amp;display_string=Audit&amp;DYN_ARGS=TRUE&amp;VAR:ID1=607555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0__FDSAUDITLINK__" localSheetId="0" hidden="1">{"fdsup://IBCentral/FAT Viewer?action=UPDATE&amp;creator=factset&amp;DOC_NAME=fat:reuters_annual_pshs_src_window.fat&amp;display_string=Audit&amp;DYN_ARGS=TRUE&amp;VAR:ID1=607555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pshs_src_window.fat&amp;display_string=Audit&amp;DYN_ARGS=TRUE&amp;VAR:ID1=607555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1__FDSAUDITLINK__" localSheetId="2" hidden="1">{"fdsup://IBCentral/FAT Viewer?action=UPDATE&amp;creator=factset&amp;DOC_NAME=fat:reuters_annual_pshs_src_window.fat&amp;display_string=Audit&amp;DYN_ARGS=TRUE&amp;VAR:ID1=649504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1__FDSAUDITLINK__" localSheetId="3" hidden="1">{"fdsup://IBCentral/FAT Viewer?action=UPDATE&amp;creator=factset&amp;DOC_NAME=fat:reuters_annual_pshs_src_window.fat&amp;display_string=Audit&amp;DYN_ARGS=TRUE&amp;VAR:ID1=649504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1__FDSAUDITLINK__" localSheetId="0" hidden="1">{"fdsup://IBCentral/FAT Viewer?action=UPDATE&amp;creator=factset&amp;DOC_NAME=fat:reuters_annual_pshs_src_window.fat&amp;display_string=Audit&amp;DYN_ARGS=TRUE&amp;VAR:ID1=649504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1__FDSAUDITLINK__" hidden="1">{"fdsup://IBCentral/FAT Viewer?action=UPDATE&amp;creator=factset&amp;DOC_NAME=fat:reuters_annual_pshs_src_window.fat&amp;display_string=Audit&amp;DYN_ARGS=TRUE&amp;VAR:ID1=649504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2__FDSAUDITLINK__" localSheetId="2" hidden="1">{"fdsup://IBCentral/FAT Viewer?action=UPDATE&amp;creator=factset&amp;DOC_NAME=fat:reuters_annual_pshs_src_window.fat&amp;display_string=Audit&amp;DYN_ARGS=TRUE&amp;VAR:ID1=B0RNR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2__FDSAUDITLINK__" localSheetId="3" hidden="1">{"fdsup://IBCentral/FAT Viewer?action=UPDATE&amp;creator=factset&amp;DOC_NAME=fat:reuters_annual_pshs_src_window.fat&amp;display_string=Audit&amp;DYN_ARGS=TRUE&amp;VAR:ID1=B0RNR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2__FDSAUDITLINK__" localSheetId="0" hidden="1">{"fdsup://IBCentral/FAT Viewer?action=UPDATE&amp;creator=factset&amp;DOC_NAME=fat:reuters_annual_pshs_src_window.fat&amp;display_string=Audit&amp;DYN_ARGS=TRUE&amp;VAR:ID1=B0RNR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pshs_src_window.fat&amp;display_string=Audit&amp;DYN_ARGS=TRUE&amp;VAR:ID1=B0RNR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3__FDSAUDITLINK__" localSheetId="2" hidden="1">{"fdsup://IBCentral/FAT Viewer?action=UPDATE&amp;creator=factset&amp;DOC_NAME=fat:reuters_annual_pshs_src_window.fat&amp;display_string=Audit&amp;DYN_ARGS=TRUE&amp;VAR:ID1=653426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3__FDSAUDITLINK__" localSheetId="3" hidden="1">{"fdsup://IBCentral/FAT Viewer?action=UPDATE&amp;creator=factset&amp;DOC_NAME=fat:reuters_annual_pshs_src_window.fat&amp;display_string=Audit&amp;DYN_ARGS=TRUE&amp;VAR:ID1=653426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3__FDSAUDITLINK__" localSheetId="0" hidden="1">{"fdsup://IBCentral/FAT Viewer?action=UPDATE&amp;creator=factset&amp;DOC_NAME=fat:reuters_annual_pshs_src_window.fat&amp;display_string=Audit&amp;DYN_ARGS=TRUE&amp;VAR:ID1=653426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3__FDSAUDITLINK__" hidden="1">{"fdsup://IBCentral/FAT Viewer?action=UPDATE&amp;creator=factset&amp;DOC_NAME=fat:reuters_annual_pshs_src_window.fat&amp;display_string=Audit&amp;DYN_ARGS=TRUE&amp;VAR:ID1=653426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4__FDSAUDITLINK__" localSheetId="2" hidden="1">{"fdsup://IBCentral/FAT Viewer?action=UPDATE&amp;creator=factset&amp;DOC_NAME=fat:reuters_annual_pshs_src_window.fat&amp;display_string=Audit&amp;DYN_ARGS=TRUE&amp;VAR:ID1=639750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4__FDSAUDITLINK__" localSheetId="3" hidden="1">{"fdsup://IBCentral/FAT Viewer?action=UPDATE&amp;creator=factset&amp;DOC_NAME=fat:reuters_annual_pshs_src_window.fat&amp;display_string=Audit&amp;DYN_ARGS=TRUE&amp;VAR:ID1=639750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4__FDSAUDITLINK__" localSheetId="0" hidden="1">{"fdsup://IBCentral/FAT Viewer?action=UPDATE&amp;creator=factset&amp;DOC_NAME=fat:reuters_annual_pshs_src_window.fat&amp;display_string=Audit&amp;DYN_ARGS=TRUE&amp;VAR:ID1=639750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4__FDSAUDITLINK__" hidden="1">{"fdsup://IBCentral/FAT Viewer?action=UPDATE&amp;creator=factset&amp;DOC_NAME=fat:reuters_annual_pshs_src_window.fat&amp;display_string=Audit&amp;DYN_ARGS=TRUE&amp;VAR:ID1=639750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5__FDSAUDITLINK__" localSheetId="2" hidden="1">{"fdsup://IBCentral/FAT Viewer?action=UPDATE&amp;creator=factset&amp;DOC_NAME=fat:reuters_annual_pshs_src_window.fat&amp;display_string=Audit&amp;DYN_ARGS=TRUE&amp;VAR:ID1=B3DF0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5__FDSAUDITLINK__" localSheetId="3" hidden="1">{"fdsup://IBCentral/FAT Viewer?action=UPDATE&amp;creator=factset&amp;DOC_NAME=fat:reuters_annual_pshs_src_window.fat&amp;display_string=Audit&amp;DYN_ARGS=TRUE&amp;VAR:ID1=B3DF0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5__FDSAUDITLINK__" localSheetId="0" hidden="1">{"fdsup://IBCentral/FAT Viewer?action=UPDATE&amp;creator=factset&amp;DOC_NAME=fat:reuters_annual_pshs_src_window.fat&amp;display_string=Audit&amp;DYN_ARGS=TRUE&amp;VAR:ID1=B3DF0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5__FDSAUDITLINK__" hidden="1">{"fdsup://IBCentral/FAT Viewer?action=UPDATE&amp;creator=factset&amp;DOC_NAME=fat:reuters_annual_pshs_src_window.fat&amp;display_string=Audit&amp;DYN_ARGS=TRUE&amp;VAR:ID1=B3DF0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6__FDSAUDITLINK__" localSheetId="2" hidden="1">{"fdsup://IBCentral/FAT Viewer?action=UPDATE&amp;creator=factset&amp;DOC_NAME=fat:reuters_annual_pshs_src_window.fat&amp;display_string=Audit&amp;DYN_ARGS=TRUE&amp;VAR:ID1=B249N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6__FDSAUDITLINK__" localSheetId="3" hidden="1">{"fdsup://IBCentral/FAT Viewer?action=UPDATE&amp;creator=factset&amp;DOC_NAME=fat:reuters_annual_pshs_src_window.fat&amp;display_string=Audit&amp;DYN_ARGS=TRUE&amp;VAR:ID1=B249N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6__FDSAUDITLINK__" localSheetId="0" hidden="1">{"fdsup://IBCentral/FAT Viewer?action=UPDATE&amp;creator=factset&amp;DOC_NAME=fat:reuters_annual_pshs_src_window.fat&amp;display_string=Audit&amp;DYN_ARGS=TRUE&amp;VAR:ID1=B249N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pshs_src_window.fat&amp;display_string=Audit&amp;DYN_ARGS=TRUE&amp;VAR:ID1=B249N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7__FDSAUDITLINK__" localSheetId="2" hidden="1">{"fdsup://IBCentral/FAT Viewer?action=UPDATE&amp;creator=factset&amp;DOC_NAME=fat:reuters_annual_pshs_src_window.fat&amp;display_string=Audit&amp;DYN_ARGS=TRUE&amp;VAR:ID1=B232Z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7__FDSAUDITLINK__" localSheetId="3" hidden="1">{"fdsup://IBCentral/FAT Viewer?action=UPDATE&amp;creator=factset&amp;DOC_NAME=fat:reuters_annual_pshs_src_window.fat&amp;display_string=Audit&amp;DYN_ARGS=TRUE&amp;VAR:ID1=B232Z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7__FDSAUDITLINK__" localSheetId="0" hidden="1">{"fdsup://IBCentral/FAT Viewer?action=UPDATE&amp;creator=factset&amp;DOC_NAME=fat:reuters_annual_pshs_src_window.fat&amp;display_string=Audit&amp;DYN_ARGS=TRUE&amp;VAR:ID1=B232Z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7__FDSAUDITLINK__" hidden="1">{"fdsup://IBCentral/FAT Viewer?action=UPDATE&amp;creator=factset&amp;DOC_NAME=fat:reuters_annual_pshs_src_window.fat&amp;display_string=Audit&amp;DYN_ARGS=TRUE&amp;VAR:ID1=B232Z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8__FDSAUDITLINK__" localSheetId="2" hidden="1">{"fdsup://IBCentral/FAT Viewer?action=UPDATE&amp;creator=factset&amp;DOC_NAME=fat:reuters_annual_pshs_src_window.fat&amp;display_string=Audit&amp;DYN_ARGS=TRUE&amp;VAR:ID1=B232Y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8__FDSAUDITLINK__" localSheetId="3" hidden="1">{"fdsup://IBCentral/FAT Viewer?action=UPDATE&amp;creator=factset&amp;DOC_NAME=fat:reuters_annual_pshs_src_window.fat&amp;display_string=Audit&amp;DYN_ARGS=TRUE&amp;VAR:ID1=B232Y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8__FDSAUDITLINK__" localSheetId="0" hidden="1">{"fdsup://IBCentral/FAT Viewer?action=UPDATE&amp;creator=factset&amp;DOC_NAME=fat:reuters_annual_pshs_src_window.fat&amp;display_string=Audit&amp;DYN_ARGS=TRUE&amp;VAR:ID1=B232Y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8__FDSAUDITLINK__" hidden="1">{"fdsup://IBCentral/FAT Viewer?action=UPDATE&amp;creator=factset&amp;DOC_NAME=fat:reuters_annual_pshs_src_window.fat&amp;display_string=Audit&amp;DYN_ARGS=TRUE&amp;VAR:ID1=B232Y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9__FDSAUDITLINK__" localSheetId="2" hidden="1">{"fdsup://IBCentral/FAT Viewer?action=UPDATE&amp;creator=factset&amp;DOC_NAME=fat:reuters_annual_pshs_src_window.fat&amp;display_string=Audit&amp;DYN_ARGS=TRUE&amp;VAR:ID1=B1W9Z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9__FDSAUDITLINK__" localSheetId="3" hidden="1">{"fdsup://IBCentral/FAT Viewer?action=UPDATE&amp;creator=factset&amp;DOC_NAME=fat:reuters_annual_pshs_src_window.fat&amp;display_string=Audit&amp;DYN_ARGS=TRUE&amp;VAR:ID1=B1W9Z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9__FDSAUDITLINK__" localSheetId="0" hidden="1">{"fdsup://IBCentral/FAT Viewer?action=UPDATE&amp;creator=factset&amp;DOC_NAME=fat:reuters_annual_pshs_src_window.fat&amp;display_string=Audit&amp;DYN_ARGS=TRUE&amp;VAR:ID1=B1W9Z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pshs_src_window.fat&amp;display_string=Audit&amp;DYN_ARGS=TRUE&amp;VAR:ID1=B1W9Z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__FDSAUDITLINK__" localSheetId="2" hidden="1">{"fdsup://directions/FAT Viewer?action=UPDATE&amp;creator=factset&amp;DYN_ARGS=TRUE&amp;DOC_NAME=FAT:FQL_AUDITING_CLIENT_TEMPLATE.FAT&amp;display_string=Audit&amp;VAR:KEY=OTSZYVSNOR&amp;VAR:QUERY=UkdGX1JPRShBTk5fUiwyMDA5LCwsLCwsTk9BVURJVCk=&amp;WINDOW=FIRST_POPUP&amp;HEIGHT=450&amp;WIDTH=450&amp;","START_MAXIMIZED=FALSE&amp;VAR:CALENDAR=FIVEDAY&amp;VAR:SYMBOL=650447&amp;VAR:INDEX=0"}</definedName>
    <definedName name="_18__FDSAUDITLINK__" localSheetId="3" hidden="1">{"fdsup://directions/FAT Viewer?action=UPDATE&amp;creator=factset&amp;DYN_ARGS=TRUE&amp;DOC_NAME=FAT:FQL_AUDITING_CLIENT_TEMPLATE.FAT&amp;display_string=Audit&amp;VAR:KEY=OTSZYVSNOR&amp;VAR:QUERY=UkdGX1JPRShBTk5fUiwyMDA5LCwsLCwsTk9BVURJVCk=&amp;WINDOW=FIRST_POPUP&amp;HEIGHT=450&amp;WIDTH=450&amp;","START_MAXIMIZED=FALSE&amp;VAR:CALENDAR=FIVEDAY&amp;VAR:SYMBOL=650447&amp;VAR:INDEX=0"}</definedName>
    <definedName name="_18__FDSAUDITLINK__" localSheetId="0" hidden="1">{"fdsup://directions/FAT Viewer?action=UPDATE&amp;creator=factset&amp;DYN_ARGS=TRUE&amp;DOC_NAME=FAT:FQL_AUDITING_CLIENT_TEMPLATE.FAT&amp;display_string=Audit&amp;VAR:KEY=OTSZYVSNOR&amp;VAR:QUERY=UkdGX1JPRShBTk5fUiwyMDA5LCwsLCwsTk9BVURJVCk=&amp;WINDOW=FIRST_POPUP&amp;HEIGHT=450&amp;WIDTH=450&amp;","START_MAXIMIZED=FALSE&amp;VAR:CALENDAR=FIVEDAY&amp;VAR:SYMBOL=650447&amp;VAR:INDEX=0"}</definedName>
    <definedName name="_18__FDSAUDITLINK__" hidden="1">{"fdsup://directions/FAT Viewer?action=UPDATE&amp;creator=factset&amp;DYN_ARGS=TRUE&amp;DOC_NAME=FAT:FQL_AUDITING_CLIENT_TEMPLATE.FAT&amp;display_string=Audit&amp;VAR:KEY=OTSZYVSNOR&amp;VAR:QUERY=UkdGX1JPRShBTk5fUiwyMDA5LCwsLCwsTk9BVURJVCk=&amp;WINDOW=FIRST_POPUP&amp;HEIGHT=450&amp;WIDTH=450&amp;","START_MAXIMIZED=FALSE&amp;VAR:CALENDAR=FIVEDAY&amp;VAR:SYMBOL=650447&amp;VAR:INDEX=0"}</definedName>
    <definedName name="_180__FDSAUDITLINK__" localSheetId="2" hidden="1">{"fdsup://IBCentral/FAT Viewer?action=UPDATE&amp;creator=factset&amp;DOC_NAME=fat:reuters_annual_pshs_src_window.fat&amp;display_string=Audit&amp;DYN_ARGS=TRUE&amp;VAR:ID1=B1VXHG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0__FDSAUDITLINK__" localSheetId="3" hidden="1">{"fdsup://IBCentral/FAT Viewer?action=UPDATE&amp;creator=factset&amp;DOC_NAME=fat:reuters_annual_pshs_src_window.fat&amp;display_string=Audit&amp;DYN_ARGS=TRUE&amp;VAR:ID1=B1VXHG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0__FDSAUDITLINK__" localSheetId="0" hidden="1">{"fdsup://IBCentral/FAT Viewer?action=UPDATE&amp;creator=factset&amp;DOC_NAME=fat:reuters_annual_pshs_src_window.fat&amp;display_string=Audit&amp;DYN_ARGS=TRUE&amp;VAR:ID1=B1VXHG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0__FDSAUDITLINK__" hidden="1">{"fdsup://IBCentral/FAT Viewer?action=UPDATE&amp;creator=factset&amp;DOC_NAME=fat:reuters_annual_pshs_src_window.fat&amp;display_string=Audit&amp;DYN_ARGS=TRUE&amp;VAR:ID1=B1VXHG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1__FDSAUDITLINK__" localSheetId="2" hidden="1">{"fdsup://IBCentral/FAT Viewer?action=UPDATE&amp;creator=factset&amp;DOC_NAME=fat:reuters_annual_pshs_src_window.fat&amp;display_string=Audit&amp;DYN_ARGS=TRUE&amp;VAR:ID1=B1P13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1__FDSAUDITLINK__" localSheetId="3" hidden="1">{"fdsup://IBCentral/FAT Viewer?action=UPDATE&amp;creator=factset&amp;DOC_NAME=fat:reuters_annual_pshs_src_window.fat&amp;display_string=Audit&amp;DYN_ARGS=TRUE&amp;VAR:ID1=B1P13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1__FDSAUDITLINK__" localSheetId="0" hidden="1">{"fdsup://IBCentral/FAT Viewer?action=UPDATE&amp;creator=factset&amp;DOC_NAME=fat:reuters_annual_pshs_src_window.fat&amp;display_string=Audit&amp;DYN_ARGS=TRUE&amp;VAR:ID1=B1P13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pshs_src_window.fat&amp;display_string=Audit&amp;DYN_ARGS=TRUE&amp;VAR:ID1=B1P13B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2__FDSAUDITLINK__" localSheetId="2" hidden="1">{"fdsup://IBCentral/FAT Viewer?action=UPDATE&amp;creator=factset&amp;DOC_NAME=fat:reuters_annual_pshs_src_window.fat&amp;display_string=Audit&amp;DYN_ARGS=TRUE&amp;VAR:ID1=B1G2J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2__FDSAUDITLINK__" localSheetId="3" hidden="1">{"fdsup://IBCentral/FAT Viewer?action=UPDATE&amp;creator=factset&amp;DOC_NAME=fat:reuters_annual_pshs_src_window.fat&amp;display_string=Audit&amp;DYN_ARGS=TRUE&amp;VAR:ID1=B1G2J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2__FDSAUDITLINK__" localSheetId="0" hidden="1">{"fdsup://IBCentral/FAT Viewer?action=UPDATE&amp;creator=factset&amp;DOC_NAME=fat:reuters_annual_pshs_src_window.fat&amp;display_string=Audit&amp;DYN_ARGS=TRUE&amp;VAR:ID1=B1G2J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pshs_src_window.fat&amp;display_string=Audit&amp;DYN_ARGS=TRUE&amp;VAR:ID1=B1G2JY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3__FDSAUDITLINK__" localSheetId="2" hidden="1">{"fdsup://IBCentral/FAT Viewer?action=UPDATE&amp;creator=factset&amp;DOC_NAME=fat:reuters_annual_pshs_src_window.fat&amp;display_string=Audit&amp;DYN_ARGS=TRUE&amp;VAR:ID1=B180B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3__FDSAUDITLINK__" localSheetId="3" hidden="1">{"fdsup://IBCentral/FAT Viewer?action=UPDATE&amp;creator=factset&amp;DOC_NAME=fat:reuters_annual_pshs_src_window.fat&amp;display_string=Audit&amp;DYN_ARGS=TRUE&amp;VAR:ID1=B180B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3__FDSAUDITLINK__" localSheetId="0" hidden="1">{"fdsup://IBCentral/FAT Viewer?action=UPDATE&amp;creator=factset&amp;DOC_NAME=fat:reuters_annual_pshs_src_window.fat&amp;display_string=Audit&amp;DYN_ARGS=TRUE&amp;VAR:ID1=B180B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pshs_src_window.fat&amp;display_string=Audit&amp;DYN_ARGS=TRUE&amp;VAR:ID1=B180B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4__FDSAUDITLINK__" localSheetId="2" hidden="1">{"fdsup://IBCentral/FAT Viewer?action=UPDATE&amp;creator=factset&amp;DOC_NAME=fat:reuters_annual_pshs_src_window.fat&amp;display_string=Audit&amp;DYN_ARGS=TRUE&amp;VAR:ID1=B24G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4__FDSAUDITLINK__" localSheetId="3" hidden="1">{"fdsup://IBCentral/FAT Viewer?action=UPDATE&amp;creator=factset&amp;DOC_NAME=fat:reuters_annual_pshs_src_window.fat&amp;display_string=Audit&amp;DYN_ARGS=TRUE&amp;VAR:ID1=B24G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4__FDSAUDITLINK__" localSheetId="0" hidden="1">{"fdsup://IBCentral/FAT Viewer?action=UPDATE&amp;creator=factset&amp;DOC_NAME=fat:reuters_annual_pshs_src_window.fat&amp;display_string=Audit&amp;DYN_ARGS=TRUE&amp;VAR:ID1=B24G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4__FDSAUDITLINK__" hidden="1">{"fdsup://IBCentral/FAT Viewer?action=UPDATE&amp;creator=factset&amp;DOC_NAME=fat:reuters_annual_pshs_src_window.fat&amp;display_string=Audit&amp;DYN_ARGS=TRUE&amp;VAR:ID1=B24G12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5__FDSAUDITLINK__" localSheetId="2" hidden="1">{"fdsup://IBCentral/FAT Viewer?action=UPDATE&amp;creator=factset&amp;DOC_NAME=fat:reuters_annual_pshs_src_window.fat&amp;display_string=Audit&amp;DYN_ARGS=TRUE&amp;VAR:ID1=680200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5__FDSAUDITLINK__" localSheetId="3" hidden="1">{"fdsup://IBCentral/FAT Viewer?action=UPDATE&amp;creator=factset&amp;DOC_NAME=fat:reuters_annual_pshs_src_window.fat&amp;display_string=Audit&amp;DYN_ARGS=TRUE&amp;VAR:ID1=680200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5__FDSAUDITLINK__" localSheetId="0" hidden="1">{"fdsup://IBCentral/FAT Viewer?action=UPDATE&amp;creator=factset&amp;DOC_NAME=fat:reuters_annual_pshs_src_window.fat&amp;display_string=Audit&amp;DYN_ARGS=TRUE&amp;VAR:ID1=680200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pshs_src_window.fat&amp;display_string=Audit&amp;DYN_ARGS=TRUE&amp;VAR:ID1=680200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6__FDSAUDITLINK__" localSheetId="2" hidden="1">{"fdsup://IBCentral/FAT Viewer?action=UPDATE&amp;creator=factset&amp;DOC_NAME=fat:reuters_annual_pshs_src_window.fat&amp;display_string=Audit&amp;DYN_ARGS=TRUE&amp;VAR:ID1=668343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6__FDSAUDITLINK__" localSheetId="3" hidden="1">{"fdsup://IBCentral/FAT Viewer?action=UPDATE&amp;creator=factset&amp;DOC_NAME=fat:reuters_annual_pshs_src_window.fat&amp;display_string=Audit&amp;DYN_ARGS=TRUE&amp;VAR:ID1=668343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6__FDSAUDITLINK__" localSheetId="0" hidden="1">{"fdsup://IBCentral/FAT Viewer?action=UPDATE&amp;creator=factset&amp;DOC_NAME=fat:reuters_annual_pshs_src_window.fat&amp;display_string=Audit&amp;DYN_ARGS=TRUE&amp;VAR:ID1=668343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pshs_src_window.fat&amp;display_string=Audit&amp;DYN_ARGS=TRUE&amp;VAR:ID1=668343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7__FDSAUDITLINK__" localSheetId="2" hidden="1">{"fdsup://IBCentral/FAT Viewer?action=UPDATE&amp;creator=factset&amp;DOC_NAME=fat:reuters_annual_pshs_src_window.fat&amp;display_string=Audit&amp;DYN_ARGS=TRUE&amp;VAR:ID1=607953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7__FDSAUDITLINK__" localSheetId="3" hidden="1">{"fdsup://IBCentral/FAT Viewer?action=UPDATE&amp;creator=factset&amp;DOC_NAME=fat:reuters_annual_pshs_src_window.fat&amp;display_string=Audit&amp;DYN_ARGS=TRUE&amp;VAR:ID1=607953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7__FDSAUDITLINK__" localSheetId="0" hidden="1">{"fdsup://IBCentral/FAT Viewer?action=UPDATE&amp;creator=factset&amp;DOC_NAME=fat:reuters_annual_pshs_src_window.fat&amp;display_string=Audit&amp;DYN_ARGS=TRUE&amp;VAR:ID1=607953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7__FDSAUDITLINK__" hidden="1">{"fdsup://IBCentral/FAT Viewer?action=UPDATE&amp;creator=factset&amp;DOC_NAME=fat:reuters_annual_pshs_src_window.fat&amp;display_string=Audit&amp;DYN_ARGS=TRUE&amp;VAR:ID1=607953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8__FDSAUDITLINK__" localSheetId="2" hidden="1">{"fdsup://IBCentral/FAT Viewer?action=UPDATE&amp;creator=factset&amp;DOC_NAME=fat:reuters_annual_pshs_src_window.fat&amp;display_string=Audit&amp;DYN_ARGS=TRUE&amp;VAR:ID1=607588&amp;VAR:RCODE=FDSEPS&amp;VAR:SDATE=20081299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8__FDSAUDITLINK__" localSheetId="3" hidden="1">{"fdsup://IBCentral/FAT Viewer?action=UPDATE&amp;creator=factset&amp;DOC_NAME=fat:reuters_annual_pshs_src_window.fat&amp;display_string=Audit&amp;DYN_ARGS=TRUE&amp;VAR:ID1=607588&amp;VAR:RCODE=FDSEPS&amp;VAR:SDATE=20081299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8__FDSAUDITLINK__" localSheetId="0" hidden="1">{"fdsup://IBCentral/FAT Viewer?action=UPDATE&amp;creator=factset&amp;DOC_NAME=fat:reuters_annual_pshs_src_window.fat&amp;display_string=Audit&amp;DYN_ARGS=TRUE&amp;VAR:ID1=607588&amp;VAR:RCODE=FDSEPS&amp;VAR:SDATE=20081299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pshs_src_window.fat&amp;display_string=Audit&amp;DYN_ARGS=TRUE&amp;VAR:ID1=607588&amp;VAR:RCODE=FDSEPS&amp;VAR:SDATE=20081299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9__FDSAUDITLINK__" localSheetId="2" hidden="1">{"fdsup://IBCentral/FAT Viewer?action=UPDATE&amp;creator=factset&amp;DOC_NAME=fat:reuters_annual_pshs_src_window.fat&amp;display_string=Audit&amp;DYN_ARGS=TRUE&amp;VAR:ID1=618204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9__FDSAUDITLINK__" localSheetId="3" hidden="1">{"fdsup://IBCentral/FAT Viewer?action=UPDATE&amp;creator=factset&amp;DOC_NAME=fat:reuters_annual_pshs_src_window.fat&amp;display_string=Audit&amp;DYN_ARGS=TRUE&amp;VAR:ID1=618204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9__FDSAUDITLINK__" localSheetId="0" hidden="1">{"fdsup://IBCentral/FAT Viewer?action=UPDATE&amp;creator=factset&amp;DOC_NAME=fat:reuters_annual_pshs_src_window.fat&amp;display_string=Audit&amp;DYN_ARGS=TRUE&amp;VAR:ID1=618204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89__FDSAUDITLINK__" hidden="1">{"fdsup://IBCentral/FAT Viewer?action=UPDATE&amp;creator=factset&amp;DOC_NAME=fat:reuters_annual_pshs_src_window.fat&amp;display_string=Audit&amp;DYN_ARGS=TRUE&amp;VAR:ID1=618204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__FDSAUDITLINK__" localSheetId="2" hidden="1">{"fdsup://directions/FAT Viewer?action=UPDATE&amp;creator=factset&amp;DYN_ARGS=TRUE&amp;DOC_NAME=FAT:FQL_AUDITING_CLIENT_TEMPLATE.FAT&amp;display_string=Audit&amp;VAR:KEY=WPELWDGXOB&amp;VAR:QUERY=UkdGX0JQUyhRVFIsNDExNzMsLCwsVVNELCxOT0FVRElUKQ==&amp;WINDOW=FIRST_POPUP&amp;HEIGHT=450&amp;WIDTH=","450&amp;START_MAXIMIZED=FALSE&amp;VAR:CALENDAR=FIVEDAY&amp;VAR:SYMBOL=550190&amp;VAR:INDEX=0"}</definedName>
    <definedName name="_19__FDSAUDITLINK__" localSheetId="3" hidden="1">{"fdsup://directions/FAT Viewer?action=UPDATE&amp;creator=factset&amp;DYN_ARGS=TRUE&amp;DOC_NAME=FAT:FQL_AUDITING_CLIENT_TEMPLATE.FAT&amp;display_string=Audit&amp;VAR:KEY=WPELWDGXOB&amp;VAR:QUERY=UkdGX0JQUyhRVFIsNDExNzMsLCwsVVNELCxOT0FVRElUKQ==&amp;WINDOW=FIRST_POPUP&amp;HEIGHT=450&amp;WIDTH=","450&amp;START_MAXIMIZED=FALSE&amp;VAR:CALENDAR=FIVEDAY&amp;VAR:SYMBOL=550190&amp;VAR:INDEX=0"}</definedName>
    <definedName name="_19__FDSAUDITLINK__" localSheetId="0" hidden="1">{"fdsup://directions/FAT Viewer?action=UPDATE&amp;creator=factset&amp;DYN_ARGS=TRUE&amp;DOC_NAME=FAT:FQL_AUDITING_CLIENT_TEMPLATE.FAT&amp;display_string=Audit&amp;VAR:KEY=WPELWDGXOB&amp;VAR:QUERY=UkdGX0JQUyhRVFIsNDExNzMsLCwsVVNELCxOT0FVRElUKQ==&amp;WINDOW=FIRST_POPUP&amp;HEIGHT=450&amp;WIDTH=","450&amp;START_MAXIMIZED=FALSE&amp;VAR:CALENDAR=FIVEDAY&amp;VAR:SYMBOL=550190&amp;VAR:INDEX=0"}</definedName>
    <definedName name="_19__FDSAUDITLINK__" hidden="1">{"fdsup://directions/FAT Viewer?action=UPDATE&amp;creator=factset&amp;DYN_ARGS=TRUE&amp;DOC_NAME=FAT:FQL_AUDITING_CLIENT_TEMPLATE.FAT&amp;display_string=Audit&amp;VAR:KEY=WPELWDGXOB&amp;VAR:QUERY=UkdGX0JQUyhRVFIsNDExNzMsLCwsVVNELCxOT0FVRElUKQ==&amp;WINDOW=FIRST_POPUP&amp;HEIGHT=450&amp;WIDTH=","450&amp;START_MAXIMIZED=FALSE&amp;VAR:CALENDAR=FIVEDAY&amp;VAR:SYMBOL=550190&amp;VAR:INDEX=0"}</definedName>
    <definedName name="_190__FDSAUDITLINK__" localSheetId="2" hidden="1">{"fdsup://IBCentral/FAT Viewer?action=UPDATE&amp;creator=factset&amp;DOC_NAME=fat:reuters_annual_pshs_src_window.fat&amp;display_string=Audit&amp;DYN_ARGS=TRUE&amp;VAR:ID1=651872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0__FDSAUDITLINK__" localSheetId="3" hidden="1">{"fdsup://IBCentral/FAT Viewer?action=UPDATE&amp;creator=factset&amp;DOC_NAME=fat:reuters_annual_pshs_src_window.fat&amp;display_string=Audit&amp;DYN_ARGS=TRUE&amp;VAR:ID1=651872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0__FDSAUDITLINK__" localSheetId="0" hidden="1">{"fdsup://IBCentral/FAT Viewer?action=UPDATE&amp;creator=factset&amp;DOC_NAME=fat:reuters_annual_pshs_src_window.fat&amp;display_string=Audit&amp;DYN_ARGS=TRUE&amp;VAR:ID1=651872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0__FDSAUDITLINK__" hidden="1">{"fdsup://IBCentral/FAT Viewer?action=UPDATE&amp;creator=factset&amp;DOC_NAME=fat:reuters_annual_pshs_src_window.fat&amp;display_string=Audit&amp;DYN_ARGS=TRUE&amp;VAR:ID1=651872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1__FDSAUDITLINK__" localSheetId="2" hidden="1">{"fdsup://IBCentral/FAT Viewer?action=UPDATE&amp;creator=factset&amp;DOC_NAME=fat:reuters_annual_pshs_src_window.fat&amp;display_string=Audit&amp;DYN_ARGS=TRUE&amp;VAR:ID1=B1Z8X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1__FDSAUDITLINK__" localSheetId="3" hidden="1">{"fdsup://IBCentral/FAT Viewer?action=UPDATE&amp;creator=factset&amp;DOC_NAME=fat:reuters_annual_pshs_src_window.fat&amp;display_string=Audit&amp;DYN_ARGS=TRUE&amp;VAR:ID1=B1Z8X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1__FDSAUDITLINK__" localSheetId="0" hidden="1">{"fdsup://IBCentral/FAT Viewer?action=UPDATE&amp;creator=factset&amp;DOC_NAME=fat:reuters_annual_pshs_src_window.fat&amp;display_string=Audit&amp;DYN_ARGS=TRUE&amp;VAR:ID1=B1Z8X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pshs_src_window.fat&amp;display_string=Audit&amp;DYN_ARGS=TRUE&amp;VAR:ID1=B1Z8X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2__FDSAUDITLINK__" localSheetId="2" hidden="1">{"fdsup://IBCentral/FAT Viewer?action=UPDATE&amp;creator=factset&amp;DOC_NAME=fat:reuters_annual_pshs_src_window.fat&amp;display_string=Audit&amp;DYN_ARGS=TRUE&amp;VAR:ID1=631463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2__FDSAUDITLINK__" localSheetId="3" hidden="1">{"fdsup://IBCentral/FAT Viewer?action=UPDATE&amp;creator=factset&amp;DOC_NAME=fat:reuters_annual_pshs_src_window.fat&amp;display_string=Audit&amp;DYN_ARGS=TRUE&amp;VAR:ID1=631463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2__FDSAUDITLINK__" localSheetId="0" hidden="1">{"fdsup://IBCentral/FAT Viewer?action=UPDATE&amp;creator=factset&amp;DOC_NAME=fat:reuters_annual_pshs_src_window.fat&amp;display_string=Audit&amp;DYN_ARGS=TRUE&amp;VAR:ID1=631463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2__FDSAUDITLINK__" hidden="1">{"fdsup://IBCentral/FAT Viewer?action=UPDATE&amp;creator=factset&amp;DOC_NAME=fat:reuters_annual_pshs_src_window.fat&amp;display_string=Audit&amp;DYN_ARGS=TRUE&amp;VAR:ID1=631463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3__FDSAUDITLINK__" localSheetId="2" hidden="1">{"fdsup://IBCentral/FAT Viewer?action=UPDATE&amp;creator=factset&amp;DOC_NAME=fat:reuters_annual_pshs_src_window.fat&amp;display_string=Audit&amp;DYN_ARGS=TRUE&amp;VAR:ID1=B03CPM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3__FDSAUDITLINK__" localSheetId="3" hidden="1">{"fdsup://IBCentral/FAT Viewer?action=UPDATE&amp;creator=factset&amp;DOC_NAME=fat:reuters_annual_pshs_src_window.fat&amp;display_string=Audit&amp;DYN_ARGS=TRUE&amp;VAR:ID1=B03CPM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3__FDSAUDITLINK__" localSheetId="0" hidden="1">{"fdsup://IBCentral/FAT Viewer?action=UPDATE&amp;creator=factset&amp;DOC_NAME=fat:reuters_annual_pshs_src_window.fat&amp;display_string=Audit&amp;DYN_ARGS=TRUE&amp;VAR:ID1=B03CPM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3__FDSAUDITLINK__" hidden="1">{"fdsup://IBCentral/FAT Viewer?action=UPDATE&amp;creator=factset&amp;DOC_NAME=fat:reuters_annual_pshs_src_window.fat&amp;display_string=Audit&amp;DYN_ARGS=TRUE&amp;VAR:ID1=B03CPM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4__FDSAUDITLINK__" localSheetId="2" hidden="1">{"fdsup://IBCentral/FAT Viewer?action=UPDATE&amp;creator=factset&amp;DOC_NAME=fat:reuters_annual_pshs_src_window.fat&amp;display_string=Audit&amp;DYN_ARGS=TRUE&amp;VAR:ID1=642411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4__FDSAUDITLINK__" localSheetId="3" hidden="1">{"fdsup://IBCentral/FAT Viewer?action=UPDATE&amp;creator=factset&amp;DOC_NAME=fat:reuters_annual_pshs_src_window.fat&amp;display_string=Audit&amp;DYN_ARGS=TRUE&amp;VAR:ID1=642411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4__FDSAUDITLINK__" localSheetId="0" hidden="1">{"fdsup://IBCentral/FAT Viewer?action=UPDATE&amp;creator=factset&amp;DOC_NAME=fat:reuters_annual_pshs_src_window.fat&amp;display_string=Audit&amp;DYN_ARGS=TRUE&amp;VAR:ID1=642411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pshs_src_window.fat&amp;display_string=Audit&amp;DYN_ARGS=TRUE&amp;VAR:ID1=642411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5__FDSAUDITLINK__" localSheetId="2" hidden="1">{"fdsup://IBCentral/FAT Viewer?action=UPDATE&amp;creator=factset&amp;DOC_NAME=fat:reuters_annual_pshs_src_window.fat&amp;display_string=Audit&amp;DYN_ARGS=TRUE&amp;VAR:ID1=651839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5__FDSAUDITLINK__" localSheetId="3" hidden="1">{"fdsup://IBCentral/FAT Viewer?action=UPDATE&amp;creator=factset&amp;DOC_NAME=fat:reuters_annual_pshs_src_window.fat&amp;display_string=Audit&amp;DYN_ARGS=TRUE&amp;VAR:ID1=651839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5__FDSAUDITLINK__" localSheetId="0" hidden="1">{"fdsup://IBCentral/FAT Viewer?action=UPDATE&amp;creator=factset&amp;DOC_NAME=fat:reuters_annual_pshs_src_window.fat&amp;display_string=Audit&amp;DYN_ARGS=TRUE&amp;VAR:ID1=651839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pshs_src_window.fat&amp;display_string=Audit&amp;DYN_ARGS=TRUE&amp;VAR:ID1=651839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6__FDSAUDITLINK__" localSheetId="2" hidden="1">{"fdsup://IBCentral/FAT Viewer?action=UPDATE&amp;creator=factset&amp;DOC_NAME=fat:reuters_annual_pshs_src_window.fat&amp;display_string=Audit&amp;DYN_ARGS=TRUE&amp;VAR:ID1=609881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6__FDSAUDITLINK__" localSheetId="3" hidden="1">{"fdsup://IBCentral/FAT Viewer?action=UPDATE&amp;creator=factset&amp;DOC_NAME=fat:reuters_annual_pshs_src_window.fat&amp;display_string=Audit&amp;DYN_ARGS=TRUE&amp;VAR:ID1=609881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6__FDSAUDITLINK__" localSheetId="0" hidden="1">{"fdsup://IBCentral/FAT Viewer?action=UPDATE&amp;creator=factset&amp;DOC_NAME=fat:reuters_annual_pshs_src_window.fat&amp;display_string=Audit&amp;DYN_ARGS=TRUE&amp;VAR:ID1=609881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6__FDSAUDITLINK__" hidden="1">{"fdsup://IBCentral/FAT Viewer?action=UPDATE&amp;creator=factset&amp;DOC_NAME=fat:reuters_annual_pshs_src_window.fat&amp;display_string=Audit&amp;DYN_ARGS=TRUE&amp;VAR:ID1=609881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7__FDSAUDITLINK__" localSheetId="2" hidden="1">{"fdsup://IBCentral/FAT Viewer?action=UPDATE&amp;creator=factset&amp;DOC_NAME=fat:reuters_annual_pshs_src_window.fat&amp;display_string=Audit&amp;DYN_ARGS=TRUE&amp;VAR:ID1=618785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7__FDSAUDITLINK__" localSheetId="3" hidden="1">{"fdsup://IBCentral/FAT Viewer?action=UPDATE&amp;creator=factset&amp;DOC_NAME=fat:reuters_annual_pshs_src_window.fat&amp;display_string=Audit&amp;DYN_ARGS=TRUE&amp;VAR:ID1=618785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7__FDSAUDITLINK__" localSheetId="0" hidden="1">{"fdsup://IBCentral/FAT Viewer?action=UPDATE&amp;creator=factset&amp;DOC_NAME=fat:reuters_annual_pshs_src_window.fat&amp;display_string=Audit&amp;DYN_ARGS=TRUE&amp;VAR:ID1=618785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7__FDSAUDITLINK__" hidden="1">{"fdsup://IBCentral/FAT Viewer?action=UPDATE&amp;creator=factset&amp;DOC_NAME=fat:reuters_annual_pshs_src_window.fat&amp;display_string=Audit&amp;DYN_ARGS=TRUE&amp;VAR:ID1=618785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8__FDSAUDITLINK__" localSheetId="2" hidden="1">{"fdsup://IBCentral/FAT Viewer?action=UPDATE&amp;creator=factset&amp;DOC_NAME=fat:reuters_annual_pshs_src_window.fat&amp;display_string=Audit&amp;DYN_ARGS=TRUE&amp;VAR:ID1=632845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8__FDSAUDITLINK__" localSheetId="3" hidden="1">{"fdsup://IBCentral/FAT Viewer?action=UPDATE&amp;creator=factset&amp;DOC_NAME=fat:reuters_annual_pshs_src_window.fat&amp;display_string=Audit&amp;DYN_ARGS=TRUE&amp;VAR:ID1=632845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8__FDSAUDITLINK__" localSheetId="0" hidden="1">{"fdsup://IBCentral/FAT Viewer?action=UPDATE&amp;creator=factset&amp;DOC_NAME=fat:reuters_annual_pshs_src_window.fat&amp;display_string=Audit&amp;DYN_ARGS=TRUE&amp;VAR:ID1=632845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8__FDSAUDITLINK__" hidden="1">{"fdsup://IBCentral/FAT Viewer?action=UPDATE&amp;creator=factset&amp;DOC_NAME=fat:reuters_annual_pshs_src_window.fat&amp;display_string=Audit&amp;DYN_ARGS=TRUE&amp;VAR:ID1=632845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9__FDSAUDITLINK__" localSheetId="2" hidden="1">{"fdsup://IBCentral/FAT Viewer?action=UPDATE&amp;creator=factset&amp;DOC_NAME=fat:reuters_annual_pshs_src_window.fat&amp;display_string=Audit&amp;DYN_ARGS=TRUE&amp;VAR:ID1=645168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9__FDSAUDITLINK__" localSheetId="3" hidden="1">{"fdsup://IBCentral/FAT Viewer?action=UPDATE&amp;creator=factset&amp;DOC_NAME=fat:reuters_annual_pshs_src_window.fat&amp;display_string=Audit&amp;DYN_ARGS=TRUE&amp;VAR:ID1=645168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9__FDSAUDITLINK__" localSheetId="0" hidden="1">{"fdsup://IBCentral/FAT Viewer?action=UPDATE&amp;creator=factset&amp;DOC_NAME=fat:reuters_annual_pshs_src_window.fat&amp;display_string=Audit&amp;DYN_ARGS=TRUE&amp;VAR:ID1=645168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9__FDSAUDITLINK__" hidden="1">{"fdsup://IBCentral/FAT Viewer?action=UPDATE&amp;creator=factset&amp;DOC_NAME=fat:reuters_annual_pshs_src_window.fat&amp;display_string=Audit&amp;DYN_ARGS=TRUE&amp;VAR:ID1=645168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997" localSheetId="0">#REF!</definedName>
    <definedName name="_1997" localSheetId="5">#REF!</definedName>
    <definedName name="_1997" localSheetId="6">#REF!</definedName>
    <definedName name="_1997">#REF!</definedName>
    <definedName name="_1998" localSheetId="0">#REF!</definedName>
    <definedName name="_1998" localSheetId="5">#REF!</definedName>
    <definedName name="_1998" localSheetId="6">#REF!</definedName>
    <definedName name="_1998">#REF!</definedName>
    <definedName name="_1E" localSheetId="0">#REF!</definedName>
    <definedName name="_1E" localSheetId="5">#REF!</definedName>
    <definedName name="_1E" localSheetId="6">#REF!</definedName>
    <definedName name="_1E">#REF!</definedName>
    <definedName name="_1Excel_BuiltIn_Print_Area_1_1" localSheetId="0">#REF!</definedName>
    <definedName name="_1Excel_BuiltIn_Print_Area_1_1" localSheetId="4">#REF!</definedName>
    <definedName name="_1Excel_BuiltIn_Print_Area_1_1" localSheetId="5">#REF!</definedName>
    <definedName name="_1Excel_BuiltIn_Print_Area_1_1" localSheetId="6">#REF!</definedName>
    <definedName name="_1Excel_BuiltIn_Print_Area_1_1">#REF!</definedName>
    <definedName name="_1Excel_BuiltIn_Print_Area_2_1_1_1" localSheetId="0">#REF!</definedName>
    <definedName name="_1Excel_BuiltIn_Print_Area_2_1_1_1" localSheetId="5">#REF!</definedName>
    <definedName name="_1Excel_BuiltIn_Print_Area_2_1_1_1" localSheetId="6">#REF!</definedName>
    <definedName name="_1Excel_BuiltIn_Print_Area_2_1_1_1">#REF!</definedName>
    <definedName name="_1K" localSheetId="0">#REF!</definedName>
    <definedName name="_1K" localSheetId="5">#REF!</definedName>
    <definedName name="_1K" localSheetId="6">#REF!</definedName>
    <definedName name="_1K">#REF!</definedName>
    <definedName name="_1P" localSheetId="0">#REF!</definedName>
    <definedName name="_1P" localSheetId="5">#REF!</definedName>
    <definedName name="_1P" localSheetId="6">#REF!</definedName>
    <definedName name="_1P">#REF!</definedName>
    <definedName name="_1WP" localSheetId="0">#REF!</definedName>
    <definedName name="_1WP" localSheetId="5">#REF!</definedName>
    <definedName name="_1WP" localSheetId="6">#REF!</definedName>
    <definedName name="_1WP">#REF!</definedName>
    <definedName name="_2">#N/A</definedName>
    <definedName name="_2__FDSAUDITLINK__" localSheetId="2" hidden="1">{"fdsup://directions/FAT Viewer?action=UPDATE&amp;creator=factset&amp;DYN_ARGS=TRUE&amp;DOC_NAME=FAT:FQL_AUDITING_CLIENT_TEMPLATE.FAT&amp;display_string=Audit&amp;VAR:KEY=WTKPKXOBQL&amp;VAR:QUERY=UkdGX1JPRShBTk5fUiwxNi4wMTg3MzQsLCwsLCxOT0FVRElUKQ==&amp;WINDOW=FIRST_POPUP&amp;HEIGHT=450&amp;WI","DTH=450&amp;START_MAXIMIZED=FALSE&amp;VAR:CALENDAR=FIVEDAY&amp;VAR:SYMBOL=676655&amp;VAR:INDEX=0"}</definedName>
    <definedName name="_2__FDSAUDITLINK__" localSheetId="3" hidden="1">{"fdsup://directions/FAT Viewer?action=UPDATE&amp;creator=factset&amp;DYN_ARGS=TRUE&amp;DOC_NAME=FAT:FQL_AUDITING_CLIENT_TEMPLATE.FAT&amp;display_string=Audit&amp;VAR:KEY=WTKPKXOBQL&amp;VAR:QUERY=UkdGX1JPRShBTk5fUiwxNi4wMTg3MzQsLCwsLCxOT0FVRElUKQ==&amp;WINDOW=FIRST_POPUP&amp;HEIGHT=450&amp;WI","DTH=450&amp;START_MAXIMIZED=FALSE&amp;VAR:CALENDAR=FIVEDAY&amp;VAR:SYMBOL=676655&amp;VAR:INDEX=0"}</definedName>
    <definedName name="_2__FDSAUDITLINK__" localSheetId="0" hidden="1">{"fdsup://directions/FAT Viewer?action=UPDATE&amp;creator=factset&amp;DYN_ARGS=TRUE&amp;DOC_NAME=FAT:FQL_AUDITING_CLIENT_TEMPLATE.FAT&amp;display_string=Audit&amp;VAR:KEY=WTKPKXOBQL&amp;VAR:QUERY=UkdGX1JPRShBTk5fUiwxNi4wMTg3MzQsLCwsLCxOT0FVRElUKQ==&amp;WINDOW=FIRST_POPUP&amp;HEIGHT=450&amp;WI","DTH=450&amp;START_MAXIMIZED=FALSE&amp;VAR:CALENDAR=FIVEDAY&amp;VAR:SYMBOL=676655&amp;VAR:INDEX=0"}</definedName>
    <definedName name="_2__FDSAUDITLINK__" hidden="1">{"fdsup://directions/FAT Viewer?action=UPDATE&amp;creator=factset&amp;DYN_ARGS=TRUE&amp;DOC_NAME=FAT:FQL_AUDITING_CLIENT_TEMPLATE.FAT&amp;display_string=Audit&amp;VAR:KEY=WTKPKXOBQL&amp;VAR:QUERY=UkdGX1JPRShBTk5fUiwxNi4wMTg3MzQsLCwsLCxOT0FVRElUKQ==&amp;WINDOW=FIRST_POPUP&amp;HEIGHT=450&amp;WI","DTH=450&amp;START_MAXIMIZED=FALSE&amp;VAR:CALENDAR=FIVEDAY&amp;VAR:SYMBOL=676655&amp;VAR:INDEX=0"}</definedName>
    <definedName name="_20__FDSAUDITLINK__" localSheetId="2" hidden="1">{"fdsup://directions/FAT Viewer?action=UPDATE&amp;creator=factset&amp;DYN_ARGS=TRUE&amp;DOC_NAME=FAT:FQL_AUDITING_CLIENT_TEMPLATE.FAT&amp;display_string=Audit&amp;VAR:KEY=XSJYHKTCNC&amp;VAR:QUERY=UkdGX0JQUyhRVFIsNDExNzMsLCwsVVNELCxOT0FVRElUKQ==&amp;WINDOW=FIRST_POPUP&amp;HEIGHT=450&amp;WIDTH=","450&amp;START_MAXIMIZED=FALSE&amp;VAR:CALENDAR=FIVEDAY&amp;VAR:SYMBOL=217052&amp;VAR:INDEX=0"}</definedName>
    <definedName name="_20__FDSAUDITLINK__" localSheetId="3" hidden="1">{"fdsup://directions/FAT Viewer?action=UPDATE&amp;creator=factset&amp;DYN_ARGS=TRUE&amp;DOC_NAME=FAT:FQL_AUDITING_CLIENT_TEMPLATE.FAT&amp;display_string=Audit&amp;VAR:KEY=XSJYHKTCNC&amp;VAR:QUERY=UkdGX0JQUyhRVFIsNDExNzMsLCwsVVNELCxOT0FVRElUKQ==&amp;WINDOW=FIRST_POPUP&amp;HEIGHT=450&amp;WIDTH=","450&amp;START_MAXIMIZED=FALSE&amp;VAR:CALENDAR=FIVEDAY&amp;VAR:SYMBOL=217052&amp;VAR:INDEX=0"}</definedName>
    <definedName name="_20__FDSAUDITLINK__" localSheetId="0" hidden="1">{"fdsup://directions/FAT Viewer?action=UPDATE&amp;creator=factset&amp;DYN_ARGS=TRUE&amp;DOC_NAME=FAT:FQL_AUDITING_CLIENT_TEMPLATE.FAT&amp;display_string=Audit&amp;VAR:KEY=XSJYHKTCNC&amp;VAR:QUERY=UkdGX0JQUyhRVFIsNDExNzMsLCwsVVNELCxOT0FVRElUKQ==&amp;WINDOW=FIRST_POPUP&amp;HEIGHT=450&amp;WIDTH=","450&amp;START_MAXIMIZED=FALSE&amp;VAR:CALENDAR=FIVEDAY&amp;VAR:SYMBOL=217052&amp;VAR:INDEX=0"}</definedName>
    <definedName name="_20__FDSAUDITLINK__" hidden="1">{"fdsup://directions/FAT Viewer?action=UPDATE&amp;creator=factset&amp;DYN_ARGS=TRUE&amp;DOC_NAME=FAT:FQL_AUDITING_CLIENT_TEMPLATE.FAT&amp;display_string=Audit&amp;VAR:KEY=XSJYHKTCNC&amp;VAR:QUERY=UkdGX0JQUyhRVFIsNDExNzMsLCwsVVNELCxOT0FVRElUKQ==&amp;WINDOW=FIRST_POPUP&amp;HEIGHT=450&amp;WIDTH=","450&amp;START_MAXIMIZED=FALSE&amp;VAR:CALENDAR=FIVEDAY&amp;VAR:SYMBOL=217052&amp;VAR:INDEX=0"}</definedName>
    <definedName name="_200__FDSAUDITLINK__" localSheetId="2" hidden="1">{"fdsup://IBCentral/FAT Viewer?action=UPDATE&amp;creator=factset&amp;DOC_NAME=fat:reuters_annual_pshs_src_window.fat&amp;display_string=Audit&amp;DYN_ARGS=TRUE&amp;VAR:ID1=652587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0__FDSAUDITLINK__" localSheetId="3" hidden="1">{"fdsup://IBCentral/FAT Viewer?action=UPDATE&amp;creator=factset&amp;DOC_NAME=fat:reuters_annual_pshs_src_window.fat&amp;display_string=Audit&amp;DYN_ARGS=TRUE&amp;VAR:ID1=652587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0__FDSAUDITLINK__" localSheetId="0" hidden="1">{"fdsup://IBCentral/FAT Viewer?action=UPDATE&amp;creator=factset&amp;DOC_NAME=fat:reuters_annual_pshs_src_window.fat&amp;display_string=Audit&amp;DYN_ARGS=TRUE&amp;VAR:ID1=652587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0__FDSAUDITLINK__" hidden="1">{"fdsup://IBCentral/FAT Viewer?action=UPDATE&amp;creator=factset&amp;DOC_NAME=fat:reuters_annual_pshs_src_window.fat&amp;display_string=Audit&amp;DYN_ARGS=TRUE&amp;VAR:ID1=652587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1__FDSAUDITLINK__" localSheetId="2" hidden="1">{"fdsup://IBCentral/FAT Viewer?action=UPDATE&amp;creator=factset&amp;DOC_NAME=fat:reuters_annual_pshs_src_window.fat&amp;display_string=Audit&amp;DYN_ARGS=TRUE&amp;VAR:ID1=644406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1__FDSAUDITLINK__" localSheetId="3" hidden="1">{"fdsup://IBCentral/FAT Viewer?action=UPDATE&amp;creator=factset&amp;DOC_NAME=fat:reuters_annual_pshs_src_window.fat&amp;display_string=Audit&amp;DYN_ARGS=TRUE&amp;VAR:ID1=644406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1__FDSAUDITLINK__" localSheetId="0" hidden="1">{"fdsup://IBCentral/FAT Viewer?action=UPDATE&amp;creator=factset&amp;DOC_NAME=fat:reuters_annual_pshs_src_window.fat&amp;display_string=Audit&amp;DYN_ARGS=TRUE&amp;VAR:ID1=644406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1__FDSAUDITLINK__" hidden="1">{"fdsup://IBCentral/FAT Viewer?action=UPDATE&amp;creator=factset&amp;DOC_NAME=fat:reuters_annual_pshs_src_window.fat&amp;display_string=Audit&amp;DYN_ARGS=TRUE&amp;VAR:ID1=644406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2__FDSAUDITLINK__" localSheetId="2" hidden="1">{"fdsup://IBCentral/FAT Viewer?action=UPDATE&amp;creator=factset&amp;DOC_NAME=fat:reuters_annual_pshs_src_window.fat&amp;display_string=Audit&amp;DYN_ARGS=TRUE&amp;VAR:ID1=641187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2__FDSAUDITLINK__" localSheetId="3" hidden="1">{"fdsup://IBCentral/FAT Viewer?action=UPDATE&amp;creator=factset&amp;DOC_NAME=fat:reuters_annual_pshs_src_window.fat&amp;display_string=Audit&amp;DYN_ARGS=TRUE&amp;VAR:ID1=641187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2__FDSAUDITLINK__" localSheetId="0" hidden="1">{"fdsup://IBCentral/FAT Viewer?action=UPDATE&amp;creator=factset&amp;DOC_NAME=fat:reuters_annual_pshs_src_window.fat&amp;display_string=Audit&amp;DYN_ARGS=TRUE&amp;VAR:ID1=641187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2__FDSAUDITLINK__" hidden="1">{"fdsup://IBCentral/FAT Viewer?action=UPDATE&amp;creator=factset&amp;DOC_NAME=fat:reuters_annual_pshs_src_window.fat&amp;display_string=Audit&amp;DYN_ARGS=TRUE&amp;VAR:ID1=641187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3__FDSAUDITLINK__" localSheetId="2" hidden="1">{"fdsup://IBCentral/FAT Viewer?action=UPDATE&amp;creator=factset&amp;DOC_NAME=fat:reuters_annual_pshs_src_window.fat&amp;display_string=Audit&amp;DYN_ARGS=TRUE&amp;VAR:ID1=641167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3__FDSAUDITLINK__" localSheetId="3" hidden="1">{"fdsup://IBCentral/FAT Viewer?action=UPDATE&amp;creator=factset&amp;DOC_NAME=fat:reuters_annual_pshs_src_window.fat&amp;display_string=Audit&amp;DYN_ARGS=TRUE&amp;VAR:ID1=641167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3__FDSAUDITLINK__" localSheetId="0" hidden="1">{"fdsup://IBCentral/FAT Viewer?action=UPDATE&amp;creator=factset&amp;DOC_NAME=fat:reuters_annual_pshs_src_window.fat&amp;display_string=Audit&amp;DYN_ARGS=TRUE&amp;VAR:ID1=641167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pshs_src_window.fat&amp;display_string=Audit&amp;DYN_ARGS=TRUE&amp;VAR:ID1=641167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4__FDSAUDITLINK__" localSheetId="2" hidden="1">{"fdsup://IBCentral/FAT Viewer?action=UPDATE&amp;creator=factset&amp;DOC_NAME=fat:reuters_annual_pshs_src_window.fat&amp;display_string=Audit&amp;DYN_ARGS=TRUE&amp;VAR:ID1=642566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4__FDSAUDITLINK__" localSheetId="3" hidden="1">{"fdsup://IBCentral/FAT Viewer?action=UPDATE&amp;creator=factset&amp;DOC_NAME=fat:reuters_annual_pshs_src_window.fat&amp;display_string=Audit&amp;DYN_ARGS=TRUE&amp;VAR:ID1=642566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4__FDSAUDITLINK__" localSheetId="0" hidden="1">{"fdsup://IBCentral/FAT Viewer?action=UPDATE&amp;creator=factset&amp;DOC_NAME=fat:reuters_annual_pshs_src_window.fat&amp;display_string=Audit&amp;DYN_ARGS=TRUE&amp;VAR:ID1=642566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pshs_src_window.fat&amp;display_string=Audit&amp;DYN_ARGS=TRUE&amp;VAR:ID1=642566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5__FDSAUDITLINK__" localSheetId="2" hidden="1">{"fdsup://IBCentral/FAT Viewer?action=UPDATE&amp;creator=factset&amp;DOC_NAME=fat:reuters_annual_pshs_src_window.fat&amp;display_string=Audit&amp;DYN_ARGS=TRUE&amp;VAR:ID1=643391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5__FDSAUDITLINK__" localSheetId="3" hidden="1">{"fdsup://IBCentral/FAT Viewer?action=UPDATE&amp;creator=factset&amp;DOC_NAME=fat:reuters_annual_pshs_src_window.fat&amp;display_string=Audit&amp;DYN_ARGS=TRUE&amp;VAR:ID1=643391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5__FDSAUDITLINK__" localSheetId="0" hidden="1">{"fdsup://IBCentral/FAT Viewer?action=UPDATE&amp;creator=factset&amp;DOC_NAME=fat:reuters_annual_pshs_src_window.fat&amp;display_string=Audit&amp;DYN_ARGS=TRUE&amp;VAR:ID1=643391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5__FDSAUDITLINK__" hidden="1">{"fdsup://IBCentral/FAT Viewer?action=UPDATE&amp;creator=factset&amp;DOC_NAME=fat:reuters_annual_pshs_src_window.fat&amp;display_string=Audit&amp;DYN_ARGS=TRUE&amp;VAR:ID1=643391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6__FDSAUDITLINK__" localSheetId="2" hidden="1">{"fdsup://IBCentral/FAT Viewer?action=UPDATE&amp;creator=factset&amp;DOC_NAME=fat:reuters_annual_pshs_src_window.fat&amp;display_string=Audit&amp;DYN_ARGS=TRUE&amp;VAR:ID1=643175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6__FDSAUDITLINK__" localSheetId="3" hidden="1">{"fdsup://IBCentral/FAT Viewer?action=UPDATE&amp;creator=factset&amp;DOC_NAME=fat:reuters_annual_pshs_src_window.fat&amp;display_string=Audit&amp;DYN_ARGS=TRUE&amp;VAR:ID1=643175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6__FDSAUDITLINK__" localSheetId="0" hidden="1">{"fdsup://IBCentral/FAT Viewer?action=UPDATE&amp;creator=factset&amp;DOC_NAME=fat:reuters_annual_pshs_src_window.fat&amp;display_string=Audit&amp;DYN_ARGS=TRUE&amp;VAR:ID1=643175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6__FDSAUDITLINK__" hidden="1">{"fdsup://IBCentral/FAT Viewer?action=UPDATE&amp;creator=factset&amp;DOC_NAME=fat:reuters_annual_pshs_src_window.fat&amp;display_string=Audit&amp;DYN_ARGS=TRUE&amp;VAR:ID1=643175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7__FDSAUDITLINK__" localSheetId="2" hidden="1">{"fdsup://IBCentral/FAT Viewer?action=UPDATE&amp;creator=factset&amp;DOC_NAME=fat:reuters_annual_pshs_src_window.fat&amp;display_string=Audit&amp;DYN_ARGS=TRUE&amp;VAR:ID1=652766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7__FDSAUDITLINK__" localSheetId="3" hidden="1">{"fdsup://IBCentral/FAT Viewer?action=UPDATE&amp;creator=factset&amp;DOC_NAME=fat:reuters_annual_pshs_src_window.fat&amp;display_string=Audit&amp;DYN_ARGS=TRUE&amp;VAR:ID1=652766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7__FDSAUDITLINK__" localSheetId="0" hidden="1">{"fdsup://IBCentral/FAT Viewer?action=UPDATE&amp;creator=factset&amp;DOC_NAME=fat:reuters_annual_pshs_src_window.fat&amp;display_string=Audit&amp;DYN_ARGS=TRUE&amp;VAR:ID1=652766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7__FDSAUDITLINK__" hidden="1">{"fdsup://IBCentral/FAT Viewer?action=UPDATE&amp;creator=factset&amp;DOC_NAME=fat:reuters_annual_pshs_src_window.fat&amp;display_string=Audit&amp;DYN_ARGS=TRUE&amp;VAR:ID1=652766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8__FDSAUDITLINK__" localSheetId="2" hidden="1">{"fdsup://IBCentral/FAT Viewer?action=UPDATE&amp;creator=factset&amp;DOC_NAME=fat:reuters_annual_pshs_src_window.fat&amp;display_string=Audit&amp;DYN_ARGS=TRUE&amp;VAR:ID1=B1W0J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8__FDSAUDITLINK__" localSheetId="3" hidden="1">{"fdsup://IBCentral/FAT Viewer?action=UPDATE&amp;creator=factset&amp;DOC_NAME=fat:reuters_annual_pshs_src_window.fat&amp;display_string=Audit&amp;DYN_ARGS=TRUE&amp;VAR:ID1=B1W0J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8__FDSAUDITLINK__" localSheetId="0" hidden="1">{"fdsup://IBCentral/FAT Viewer?action=UPDATE&amp;creator=factset&amp;DOC_NAME=fat:reuters_annual_pshs_src_window.fat&amp;display_string=Audit&amp;DYN_ARGS=TRUE&amp;VAR:ID1=B1W0J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8__FDSAUDITLINK__" hidden="1">{"fdsup://IBCentral/FAT Viewer?action=UPDATE&amp;creator=factset&amp;DOC_NAME=fat:reuters_annual_pshs_src_window.fat&amp;display_string=Audit&amp;DYN_ARGS=TRUE&amp;VAR:ID1=B1W0J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9__FDSAUDITLINK__" localSheetId="2" hidden="1">{"fdsup://IBCentral/FAT Viewer?action=UPDATE&amp;creator=factset&amp;DOC_NAME=fat:reuters_annual_pshs_src_window.fat&amp;display_string=Audit&amp;DYN_ARGS=TRUE&amp;VAR:ID1=B1G1QD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9__FDSAUDITLINK__" localSheetId="3" hidden="1">{"fdsup://IBCentral/FAT Viewer?action=UPDATE&amp;creator=factset&amp;DOC_NAME=fat:reuters_annual_pshs_src_window.fat&amp;display_string=Audit&amp;DYN_ARGS=TRUE&amp;VAR:ID1=B1G1QD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9__FDSAUDITLINK__" localSheetId="0" hidden="1">{"fdsup://IBCentral/FAT Viewer?action=UPDATE&amp;creator=factset&amp;DOC_NAME=fat:reuters_annual_pshs_src_window.fat&amp;display_string=Audit&amp;DYN_ARGS=TRUE&amp;VAR:ID1=B1G1QD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09__FDSAUDITLINK__" hidden="1">{"fdsup://IBCentral/FAT Viewer?action=UPDATE&amp;creator=factset&amp;DOC_NAME=fat:reuters_annual_pshs_src_window.fat&amp;display_string=Audit&amp;DYN_ARGS=TRUE&amp;VAR:ID1=B1G1QD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__FDSAUDITLINK__" localSheetId="2" hidden="1">{"fdsup://directions/FAT Viewer?action=UPDATE&amp;creator=factset&amp;DYN_ARGS=TRUE&amp;DOC_NAME=FAT:FQL_AUDITING_CLIENT_TEMPLATE.FAT&amp;display_string=Audit&amp;VAR:KEY=VOFSXENQLG&amp;VAR:QUERY=UkdGX1JPRShBTk5fUiwyMDA2LCwsLCwsTk9BVURJVCk=&amp;WINDOW=FIRST_POPUP&amp;HEIGHT=450&amp;WIDTH=450&amp;","START_MAXIMIZED=FALSE&amp;VAR:CALENDAR=FIVEDAY&amp;VAR:SYMBOL=650447&amp;VAR:INDEX=0"}</definedName>
    <definedName name="_21__FDSAUDITLINK__" localSheetId="3" hidden="1">{"fdsup://directions/FAT Viewer?action=UPDATE&amp;creator=factset&amp;DYN_ARGS=TRUE&amp;DOC_NAME=FAT:FQL_AUDITING_CLIENT_TEMPLATE.FAT&amp;display_string=Audit&amp;VAR:KEY=VOFSXENQLG&amp;VAR:QUERY=UkdGX1JPRShBTk5fUiwyMDA2LCwsLCwsTk9BVURJVCk=&amp;WINDOW=FIRST_POPUP&amp;HEIGHT=450&amp;WIDTH=450&amp;","START_MAXIMIZED=FALSE&amp;VAR:CALENDAR=FIVEDAY&amp;VAR:SYMBOL=650447&amp;VAR:INDEX=0"}</definedName>
    <definedName name="_21__FDSAUDITLINK__" localSheetId="0" hidden="1">{"fdsup://directions/FAT Viewer?action=UPDATE&amp;creator=factset&amp;DYN_ARGS=TRUE&amp;DOC_NAME=FAT:FQL_AUDITING_CLIENT_TEMPLATE.FAT&amp;display_string=Audit&amp;VAR:KEY=VOFSXENQLG&amp;VAR:QUERY=UkdGX1JPRShBTk5fUiwyMDA2LCwsLCwsTk9BVURJVCk=&amp;WINDOW=FIRST_POPUP&amp;HEIGHT=450&amp;WIDTH=450&amp;","START_MAXIMIZED=FALSE&amp;VAR:CALENDAR=FIVEDAY&amp;VAR:SYMBOL=650447&amp;VAR:INDEX=0"}</definedName>
    <definedName name="_21__FDSAUDITLINK__" hidden="1">{"fdsup://directions/FAT Viewer?action=UPDATE&amp;creator=factset&amp;DYN_ARGS=TRUE&amp;DOC_NAME=FAT:FQL_AUDITING_CLIENT_TEMPLATE.FAT&amp;display_string=Audit&amp;VAR:KEY=VOFSXENQLG&amp;VAR:QUERY=UkdGX1JPRShBTk5fUiwyMDA2LCwsLCwsTk9BVURJVCk=&amp;WINDOW=FIRST_POPUP&amp;HEIGHT=450&amp;WIDTH=450&amp;","START_MAXIMIZED=FALSE&amp;VAR:CALENDAR=FIVEDAY&amp;VAR:SYMBOL=650447&amp;VAR:INDEX=0"}</definedName>
    <definedName name="_210__FDSAUDITLINK__" localSheetId="2" hidden="1">{"fdsup://IBCentral/FAT Viewer?action=UPDATE&amp;creator=factset&amp;DOC_NAME=fat:reuters_annual_pshs_src_window.fat&amp;display_string=Audit&amp;DYN_ARGS=TRUE&amp;VAR:ID1=B1DYP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0__FDSAUDITLINK__" localSheetId="3" hidden="1">{"fdsup://IBCentral/FAT Viewer?action=UPDATE&amp;creator=factset&amp;DOC_NAME=fat:reuters_annual_pshs_src_window.fat&amp;display_string=Audit&amp;DYN_ARGS=TRUE&amp;VAR:ID1=B1DYP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0__FDSAUDITLINK__" localSheetId="0" hidden="1">{"fdsup://IBCentral/FAT Viewer?action=UPDATE&amp;creator=factset&amp;DOC_NAME=fat:reuters_annual_pshs_src_window.fat&amp;display_string=Audit&amp;DYN_ARGS=TRUE&amp;VAR:ID1=B1DYP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0__FDSAUDITLINK__" hidden="1">{"fdsup://IBCentral/FAT Viewer?action=UPDATE&amp;creator=factset&amp;DOC_NAME=fat:reuters_annual_pshs_src_window.fat&amp;display_string=Audit&amp;DYN_ARGS=TRUE&amp;VAR:ID1=B1DYP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1__FDSAUDITLINK__" localSheetId="2" hidden="1">{"fdsup://IBCentral/FAT Viewer?action=UPDATE&amp;creator=factset&amp;DOC_NAME=fat:reuters_annual_pshs_src_window.fat&amp;display_string=Audit&amp;DYN_ARGS=TRUE&amp;VAR:ID1=B15456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1__FDSAUDITLINK__" localSheetId="3" hidden="1">{"fdsup://IBCentral/FAT Viewer?action=UPDATE&amp;creator=factset&amp;DOC_NAME=fat:reuters_annual_pshs_src_window.fat&amp;display_string=Audit&amp;DYN_ARGS=TRUE&amp;VAR:ID1=B15456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1__FDSAUDITLINK__" localSheetId="0" hidden="1">{"fdsup://IBCentral/FAT Viewer?action=UPDATE&amp;creator=factset&amp;DOC_NAME=fat:reuters_annual_pshs_src_window.fat&amp;display_string=Audit&amp;DYN_ARGS=TRUE&amp;VAR:ID1=B15456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1__FDSAUDITLINK__" hidden="1">{"fdsup://IBCentral/FAT Viewer?action=UPDATE&amp;creator=factset&amp;DOC_NAME=fat:reuters_annual_pshs_src_window.fat&amp;display_string=Audit&amp;DYN_ARGS=TRUE&amp;VAR:ID1=B15456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2__FDSAUDITLINK__" localSheetId="2" hidden="1">{"fdsup://IBCentral/FAT Viewer?action=UPDATE&amp;creator=factset&amp;DOC_NAME=fat:reuters_annual_pshs_src_window.fat&amp;display_string=Audit&amp;DYN_ARGS=TRUE&amp;VAR:ID1=B0LMTQ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2__FDSAUDITLINK__" localSheetId="3" hidden="1">{"fdsup://IBCentral/FAT Viewer?action=UPDATE&amp;creator=factset&amp;DOC_NAME=fat:reuters_annual_pshs_src_window.fat&amp;display_string=Audit&amp;DYN_ARGS=TRUE&amp;VAR:ID1=B0LMTQ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2__FDSAUDITLINK__" localSheetId="0" hidden="1">{"fdsup://IBCentral/FAT Viewer?action=UPDATE&amp;creator=factset&amp;DOC_NAME=fat:reuters_annual_pshs_src_window.fat&amp;display_string=Audit&amp;DYN_ARGS=TRUE&amp;VAR:ID1=B0LMTQ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pshs_src_window.fat&amp;display_string=Audit&amp;DYN_ARGS=TRUE&amp;VAR:ID1=B0LMTQ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3__FDSAUDITLINK__" localSheetId="2" hidden="1">{"fdsup://IBCentral/FAT Viewer?action=UPDATE&amp;creator=factset&amp;DOC_NAME=fat:reuters_annual_pshs_src_window.fat&amp;display_string=Audit&amp;DYN_ARGS=TRUE&amp;VAR:ID1=B0B8Z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3__FDSAUDITLINK__" localSheetId="3" hidden="1">{"fdsup://IBCentral/FAT Viewer?action=UPDATE&amp;creator=factset&amp;DOC_NAME=fat:reuters_annual_pshs_src_window.fat&amp;display_string=Audit&amp;DYN_ARGS=TRUE&amp;VAR:ID1=B0B8Z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3__FDSAUDITLINK__" localSheetId="0" hidden="1">{"fdsup://IBCentral/FAT Viewer?action=UPDATE&amp;creator=factset&amp;DOC_NAME=fat:reuters_annual_pshs_src_window.fat&amp;display_string=Audit&amp;DYN_ARGS=TRUE&amp;VAR:ID1=B0B8Z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3__FDSAUDITLINK__" hidden="1">{"fdsup://IBCentral/FAT Viewer?action=UPDATE&amp;creator=factset&amp;DOC_NAME=fat:reuters_annual_pshs_src_window.fat&amp;display_string=Audit&amp;DYN_ARGS=TRUE&amp;VAR:ID1=B0B8Z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4__FDSAUDITLINK__" localSheetId="2" hidden="1">{"fdsup://IBCentral/FAT Viewer?action=UPDATE&amp;creator=factset&amp;DOC_NAME=fat:reuters_annual_pshs_src_window.fat&amp;display_string=Audit&amp;DYN_ARGS=TRUE&amp;VAR:ID1=646023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4__FDSAUDITLINK__" localSheetId="3" hidden="1">{"fdsup://IBCentral/FAT Viewer?action=UPDATE&amp;creator=factset&amp;DOC_NAME=fat:reuters_annual_pshs_src_window.fat&amp;display_string=Audit&amp;DYN_ARGS=TRUE&amp;VAR:ID1=646023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4__FDSAUDITLINK__" localSheetId="0" hidden="1">{"fdsup://IBCentral/FAT Viewer?action=UPDATE&amp;creator=factset&amp;DOC_NAME=fat:reuters_annual_pshs_src_window.fat&amp;display_string=Audit&amp;DYN_ARGS=TRUE&amp;VAR:ID1=646023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4__FDSAUDITLINK__" hidden="1">{"fdsup://IBCentral/FAT Viewer?action=UPDATE&amp;creator=factset&amp;DOC_NAME=fat:reuters_annual_pshs_src_window.fat&amp;display_string=Audit&amp;DYN_ARGS=TRUE&amp;VAR:ID1=646023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5__FDSAUDITLINK__" localSheetId="2" hidden="1">{"fdsup://IBCentral/FAT Viewer?action=UPDATE&amp;creator=factset&amp;DOC_NAME=fat:reuters_annual_pshs_src_window.fat&amp;display_string=Audit&amp;DYN_ARGS=TRUE&amp;VAR:ID1=652503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5__FDSAUDITLINK__" localSheetId="3" hidden="1">{"fdsup://IBCentral/FAT Viewer?action=UPDATE&amp;creator=factset&amp;DOC_NAME=fat:reuters_annual_pshs_src_window.fat&amp;display_string=Audit&amp;DYN_ARGS=TRUE&amp;VAR:ID1=652503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5__FDSAUDITLINK__" localSheetId="0" hidden="1">{"fdsup://IBCentral/FAT Viewer?action=UPDATE&amp;creator=factset&amp;DOC_NAME=fat:reuters_annual_pshs_src_window.fat&amp;display_string=Audit&amp;DYN_ARGS=TRUE&amp;VAR:ID1=652503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5__FDSAUDITLINK__" hidden="1">{"fdsup://IBCentral/FAT Viewer?action=UPDATE&amp;creator=factset&amp;DOC_NAME=fat:reuters_annual_pshs_src_window.fat&amp;display_string=Audit&amp;DYN_ARGS=TRUE&amp;VAR:ID1=652503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6__FDSAUDITLINK__" localSheetId="2" hidden="1">{"fdsup://IBCentral/FAT Viewer?action=UPDATE&amp;creator=factset&amp;DOC_NAME=fat:reuters_annual_pshs_src_window.fat&amp;display_string=Audit&amp;DYN_ARGS=TRUE&amp;VAR:ID1=691253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6__FDSAUDITLINK__" localSheetId="3" hidden="1">{"fdsup://IBCentral/FAT Viewer?action=UPDATE&amp;creator=factset&amp;DOC_NAME=fat:reuters_annual_pshs_src_window.fat&amp;display_string=Audit&amp;DYN_ARGS=TRUE&amp;VAR:ID1=691253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6__FDSAUDITLINK__" localSheetId="0" hidden="1">{"fdsup://IBCentral/FAT Viewer?action=UPDATE&amp;creator=factset&amp;DOC_NAME=fat:reuters_annual_pshs_src_window.fat&amp;display_string=Audit&amp;DYN_ARGS=TRUE&amp;VAR:ID1=691253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6__FDSAUDITLINK__" hidden="1">{"fdsup://IBCentral/FAT Viewer?action=UPDATE&amp;creator=factset&amp;DOC_NAME=fat:reuters_annual_pshs_src_window.fat&amp;display_string=Audit&amp;DYN_ARGS=TRUE&amp;VAR:ID1=691253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7__FDSAUDITLINK__" localSheetId="2" hidden="1">{"fdsup://IBCentral/FAT Viewer?action=UPDATE&amp;creator=factset&amp;DOC_NAME=fat:reuters_annual_pshs_src_window.fat&amp;display_string=Audit&amp;DYN_ARGS=TRUE&amp;VAR:ID1=697237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7__FDSAUDITLINK__" localSheetId="3" hidden="1">{"fdsup://IBCentral/FAT Viewer?action=UPDATE&amp;creator=factset&amp;DOC_NAME=fat:reuters_annual_pshs_src_window.fat&amp;display_string=Audit&amp;DYN_ARGS=TRUE&amp;VAR:ID1=697237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7__FDSAUDITLINK__" localSheetId="0" hidden="1">{"fdsup://IBCentral/FAT Viewer?action=UPDATE&amp;creator=factset&amp;DOC_NAME=fat:reuters_annual_pshs_src_window.fat&amp;display_string=Audit&amp;DYN_ARGS=TRUE&amp;VAR:ID1=697237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pshs_src_window.fat&amp;display_string=Audit&amp;DYN_ARGS=TRUE&amp;VAR:ID1=697237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8__FDSAUDITLINK__" localSheetId="2" hidden="1">{"fdsup://IBCentral/FAT Viewer?action=UPDATE&amp;creator=factset&amp;DOC_NAME=fat:reuters_annual_pshs_src_window.fat&amp;display_string=Audit&amp;DYN_ARGS=TRUE&amp;VAR:ID1=B01G0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8__FDSAUDITLINK__" localSheetId="3" hidden="1">{"fdsup://IBCentral/FAT Viewer?action=UPDATE&amp;creator=factset&amp;DOC_NAME=fat:reuters_annual_pshs_src_window.fat&amp;display_string=Audit&amp;DYN_ARGS=TRUE&amp;VAR:ID1=B01G0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8__FDSAUDITLINK__" localSheetId="0" hidden="1">{"fdsup://IBCentral/FAT Viewer?action=UPDATE&amp;creator=factset&amp;DOC_NAME=fat:reuters_annual_pshs_src_window.fat&amp;display_string=Audit&amp;DYN_ARGS=TRUE&amp;VAR:ID1=B01G0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8__FDSAUDITLINK__" hidden="1">{"fdsup://IBCentral/FAT Viewer?action=UPDATE&amp;creator=factset&amp;DOC_NAME=fat:reuters_annual_pshs_src_window.fat&amp;display_string=Audit&amp;DYN_ARGS=TRUE&amp;VAR:ID1=B01G0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9__FDSAUDITLINK__" localSheetId="2" hidden="1">{"fdsup://IBCentral/FAT Viewer?action=UPDATE&amp;creator=factset&amp;DOC_NAME=fat:reuters_annual_pshs_src_window.fat&amp;display_string=Audit&amp;DYN_ARGS=TRUE&amp;VAR:ID1=624979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9__FDSAUDITLINK__" localSheetId="3" hidden="1">{"fdsup://IBCentral/FAT Viewer?action=UPDATE&amp;creator=factset&amp;DOC_NAME=fat:reuters_annual_pshs_src_window.fat&amp;display_string=Audit&amp;DYN_ARGS=TRUE&amp;VAR:ID1=624979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9__FDSAUDITLINK__" localSheetId="0" hidden="1">{"fdsup://IBCentral/FAT Viewer?action=UPDATE&amp;creator=factset&amp;DOC_NAME=fat:reuters_annual_pshs_src_window.fat&amp;display_string=Audit&amp;DYN_ARGS=TRUE&amp;VAR:ID1=624979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19__FDSAUDITLINK__" hidden="1">{"fdsup://IBCentral/FAT Viewer?action=UPDATE&amp;creator=factset&amp;DOC_NAME=fat:reuters_annual_pshs_src_window.fat&amp;display_string=Audit&amp;DYN_ARGS=TRUE&amp;VAR:ID1=624979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__FDSAUDITLINK__" localSheetId="2" hidden="1">{"fdsup://directions/FAT Viewer?action=UPDATE&amp;creator=factset&amp;DYN_ARGS=TRUE&amp;DOC_NAME=FAT:FQL_AUDITING_CLIENT_TEMPLATE.FAT&amp;display_string=Audit&amp;VAR:KEY=AJGBAXCNCF&amp;VAR:QUERY=UkdGX1JPRShBTk5fUiwyMDA1LCwsLCwsTk9BVURJVCk=&amp;WINDOW=FIRST_POPUP&amp;HEIGHT=450&amp;WIDTH=450&amp;","START_MAXIMIZED=FALSE&amp;VAR:CALENDAR=FIVEDAY&amp;VAR:SYMBOL=650447&amp;VAR:INDEX=0"}</definedName>
    <definedName name="_22__FDSAUDITLINK__" localSheetId="3" hidden="1">{"fdsup://directions/FAT Viewer?action=UPDATE&amp;creator=factset&amp;DYN_ARGS=TRUE&amp;DOC_NAME=FAT:FQL_AUDITING_CLIENT_TEMPLATE.FAT&amp;display_string=Audit&amp;VAR:KEY=AJGBAXCNCF&amp;VAR:QUERY=UkdGX1JPRShBTk5fUiwyMDA1LCwsLCwsTk9BVURJVCk=&amp;WINDOW=FIRST_POPUP&amp;HEIGHT=450&amp;WIDTH=450&amp;","START_MAXIMIZED=FALSE&amp;VAR:CALENDAR=FIVEDAY&amp;VAR:SYMBOL=650447&amp;VAR:INDEX=0"}</definedName>
    <definedName name="_22__FDSAUDITLINK__" localSheetId="0" hidden="1">{"fdsup://directions/FAT Viewer?action=UPDATE&amp;creator=factset&amp;DYN_ARGS=TRUE&amp;DOC_NAME=FAT:FQL_AUDITING_CLIENT_TEMPLATE.FAT&amp;display_string=Audit&amp;VAR:KEY=AJGBAXCNCF&amp;VAR:QUERY=UkdGX1JPRShBTk5fUiwyMDA1LCwsLCwsTk9BVURJVCk=&amp;WINDOW=FIRST_POPUP&amp;HEIGHT=450&amp;WIDTH=450&amp;","START_MAXIMIZED=FALSE&amp;VAR:CALENDAR=FIVEDAY&amp;VAR:SYMBOL=650447&amp;VAR:INDEX=0"}</definedName>
    <definedName name="_22__FDSAUDITLINK__" hidden="1">{"fdsup://directions/FAT Viewer?action=UPDATE&amp;creator=factset&amp;DYN_ARGS=TRUE&amp;DOC_NAME=FAT:FQL_AUDITING_CLIENT_TEMPLATE.FAT&amp;display_string=Audit&amp;VAR:KEY=AJGBAXCNCF&amp;VAR:QUERY=UkdGX1JPRShBTk5fUiwyMDA1LCwsLCwsTk9BVURJVCk=&amp;WINDOW=FIRST_POPUP&amp;HEIGHT=450&amp;WIDTH=450&amp;","START_MAXIMIZED=FALSE&amp;VAR:CALENDAR=FIVEDAY&amp;VAR:SYMBOL=650447&amp;VAR:INDEX=0"}</definedName>
    <definedName name="_220__FDSAUDITLINK__" localSheetId="2" hidden="1">{"fdsup://IBCentral/FAT Viewer?action=UPDATE&amp;creator=factset&amp;DOC_NAME=fat:reuters_annual_pshs_src_window.fat&amp;display_string=Audit&amp;DYN_ARGS=TRUE&amp;VAR:ID1=607564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0__FDSAUDITLINK__" localSheetId="3" hidden="1">{"fdsup://IBCentral/FAT Viewer?action=UPDATE&amp;creator=factset&amp;DOC_NAME=fat:reuters_annual_pshs_src_window.fat&amp;display_string=Audit&amp;DYN_ARGS=TRUE&amp;VAR:ID1=607564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0__FDSAUDITLINK__" localSheetId="0" hidden="1">{"fdsup://IBCentral/FAT Viewer?action=UPDATE&amp;creator=factset&amp;DOC_NAME=fat:reuters_annual_pshs_src_window.fat&amp;display_string=Audit&amp;DYN_ARGS=TRUE&amp;VAR:ID1=607564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0__FDSAUDITLINK__" hidden="1">{"fdsup://IBCentral/FAT Viewer?action=UPDATE&amp;creator=factset&amp;DOC_NAME=fat:reuters_annual_pshs_src_window.fat&amp;display_string=Audit&amp;DYN_ARGS=TRUE&amp;VAR:ID1=607564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1__FDSAUDITLINK__" localSheetId="2" hidden="1">{"fdsup://IBCentral/FAT Viewer?action=UPDATE&amp;creator=factset&amp;DOC_NAME=fat:reuters_annual_pshs_src_window.fat&amp;display_string=Audit&amp;DYN_ARGS=TRUE&amp;VAR:ID1=040828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1__FDSAUDITLINK__" localSheetId="3" hidden="1">{"fdsup://IBCentral/FAT Viewer?action=UPDATE&amp;creator=factset&amp;DOC_NAME=fat:reuters_annual_pshs_src_window.fat&amp;display_string=Audit&amp;DYN_ARGS=TRUE&amp;VAR:ID1=040828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1__FDSAUDITLINK__" localSheetId="0" hidden="1">{"fdsup://IBCentral/FAT Viewer?action=UPDATE&amp;creator=factset&amp;DOC_NAME=fat:reuters_annual_pshs_src_window.fat&amp;display_string=Audit&amp;DYN_ARGS=TRUE&amp;VAR:ID1=040828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1__FDSAUDITLINK__" hidden="1">{"fdsup://IBCentral/FAT Viewer?action=UPDATE&amp;creator=factset&amp;DOC_NAME=fat:reuters_annual_pshs_src_window.fat&amp;display_string=Audit&amp;DYN_ARGS=TRUE&amp;VAR:ID1=040828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2__FDSAUDITLINK__" localSheetId="2" hidden="1">{"fdsup://IBCentral/FAT Viewer?action=UPDATE&amp;creator=factset&amp;DOC_NAME=fat:reuters_annual_pshs_src_window.fat&amp;display_string=Audit&amp;DYN_ARGS=TRUE&amp;VAR:ID1=653611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2__FDSAUDITLINK__" localSheetId="3" hidden="1">{"fdsup://IBCentral/FAT Viewer?action=UPDATE&amp;creator=factset&amp;DOC_NAME=fat:reuters_annual_pshs_src_window.fat&amp;display_string=Audit&amp;DYN_ARGS=TRUE&amp;VAR:ID1=653611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2__FDSAUDITLINK__" localSheetId="0" hidden="1">{"fdsup://IBCentral/FAT Viewer?action=UPDATE&amp;creator=factset&amp;DOC_NAME=fat:reuters_annual_pshs_src_window.fat&amp;display_string=Audit&amp;DYN_ARGS=TRUE&amp;VAR:ID1=653611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2__FDSAUDITLINK__" hidden="1">{"fdsup://IBCentral/FAT Viewer?action=UPDATE&amp;creator=factset&amp;DOC_NAME=fat:reuters_annual_pshs_src_window.fat&amp;display_string=Audit&amp;DYN_ARGS=TRUE&amp;VAR:ID1=653611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3__FDSAUDITLINK__" localSheetId="2" hidden="1">{"fdsup://IBCentral/FAT Viewer?action=UPDATE&amp;creator=factset&amp;DOC_NAME=fat:reuters_annual_pshs_src_window.fat&amp;display_string=Audit&amp;DYN_ARGS=TRUE&amp;VAR:ID1=640837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3__FDSAUDITLINK__" localSheetId="3" hidden="1">{"fdsup://IBCentral/FAT Viewer?action=UPDATE&amp;creator=factset&amp;DOC_NAME=fat:reuters_annual_pshs_src_window.fat&amp;display_string=Audit&amp;DYN_ARGS=TRUE&amp;VAR:ID1=640837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3__FDSAUDITLINK__" localSheetId="0" hidden="1">{"fdsup://IBCentral/FAT Viewer?action=UPDATE&amp;creator=factset&amp;DOC_NAME=fat:reuters_annual_pshs_src_window.fat&amp;display_string=Audit&amp;DYN_ARGS=TRUE&amp;VAR:ID1=640837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3__FDSAUDITLINK__" hidden="1">{"fdsup://IBCentral/FAT Viewer?action=UPDATE&amp;creator=factset&amp;DOC_NAME=fat:reuters_annual_pshs_src_window.fat&amp;display_string=Audit&amp;DYN_ARGS=TRUE&amp;VAR:ID1=640837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4__FDSAUDITLINK__" localSheetId="2" hidden="1">{"fdsup://IBCentral/FAT Viewer?action=UPDATE&amp;creator=factset&amp;DOC_NAME=fat:reuters_annual_pshs_src_window.fat&amp;display_string=Audit&amp;DYN_ARGS=TRUE&amp;VAR:ID1=615816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4__FDSAUDITLINK__" localSheetId="3" hidden="1">{"fdsup://IBCentral/FAT Viewer?action=UPDATE&amp;creator=factset&amp;DOC_NAME=fat:reuters_annual_pshs_src_window.fat&amp;display_string=Audit&amp;DYN_ARGS=TRUE&amp;VAR:ID1=615816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4__FDSAUDITLINK__" localSheetId="0" hidden="1">{"fdsup://IBCentral/FAT Viewer?action=UPDATE&amp;creator=factset&amp;DOC_NAME=fat:reuters_annual_pshs_src_window.fat&amp;display_string=Audit&amp;DYN_ARGS=TRUE&amp;VAR:ID1=615816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4__FDSAUDITLINK__" hidden="1">{"fdsup://IBCentral/FAT Viewer?action=UPDATE&amp;creator=factset&amp;DOC_NAME=fat:reuters_annual_pshs_src_window.fat&amp;display_string=Audit&amp;DYN_ARGS=TRUE&amp;VAR:ID1=615816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5__FDSAUDITLINK__" localSheetId="2" hidden="1">{"fdsup://IBCentral/FAT Viewer?action=UPDATE&amp;creator=factset&amp;DOC_NAME=fat:reuters_annual_pshs_src_window.fat&amp;display_string=Audit&amp;DYN_ARGS=TRUE&amp;VAR:ID1=607953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5__FDSAUDITLINK__" localSheetId="3" hidden="1">{"fdsup://IBCentral/FAT Viewer?action=UPDATE&amp;creator=factset&amp;DOC_NAME=fat:reuters_annual_pshs_src_window.fat&amp;display_string=Audit&amp;DYN_ARGS=TRUE&amp;VAR:ID1=607953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5__FDSAUDITLINK__" localSheetId="0" hidden="1">{"fdsup://IBCentral/FAT Viewer?action=UPDATE&amp;creator=factset&amp;DOC_NAME=fat:reuters_annual_pshs_src_window.fat&amp;display_string=Audit&amp;DYN_ARGS=TRUE&amp;VAR:ID1=607953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5__FDSAUDITLINK__" hidden="1">{"fdsup://IBCentral/FAT Viewer?action=UPDATE&amp;creator=factset&amp;DOC_NAME=fat:reuters_annual_pshs_src_window.fat&amp;display_string=Audit&amp;DYN_ARGS=TRUE&amp;VAR:ID1=607953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7__FDSAUDITLINK__" localSheetId="2" hidden="1">{"fdsup://IBCentral/FAT Viewer?action=UPDATE&amp;creator=factset&amp;DOC_NAME=fat:reuters_annual_pshs_src_window.fat&amp;display_string=Audit&amp;DYN_ARGS=TRUE&amp;VAR:ID1=618204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7__FDSAUDITLINK__" localSheetId="3" hidden="1">{"fdsup://IBCentral/FAT Viewer?action=UPDATE&amp;creator=factset&amp;DOC_NAME=fat:reuters_annual_pshs_src_window.fat&amp;display_string=Audit&amp;DYN_ARGS=TRUE&amp;VAR:ID1=618204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7__FDSAUDITLINK__" localSheetId="0" hidden="1">{"fdsup://IBCentral/FAT Viewer?action=UPDATE&amp;creator=factset&amp;DOC_NAME=fat:reuters_annual_pshs_src_window.fat&amp;display_string=Audit&amp;DYN_ARGS=TRUE&amp;VAR:ID1=618204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7__FDSAUDITLINK__" hidden="1">{"fdsup://IBCentral/FAT Viewer?action=UPDATE&amp;creator=factset&amp;DOC_NAME=fat:reuters_annual_pshs_src_window.fat&amp;display_string=Audit&amp;DYN_ARGS=TRUE&amp;VAR:ID1=618204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8__FDSAUDITLINK__" localSheetId="2" hidden="1">{"fdsup://IBCentral/FAT Viewer?action=UPDATE&amp;creator=factset&amp;DOC_NAME=fat:reuters_annual_pshs_src_window.fat&amp;display_string=Audit&amp;DYN_ARGS=TRUE&amp;VAR:ID1=651872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8__FDSAUDITLINK__" localSheetId="3" hidden="1">{"fdsup://IBCentral/FAT Viewer?action=UPDATE&amp;creator=factset&amp;DOC_NAME=fat:reuters_annual_pshs_src_window.fat&amp;display_string=Audit&amp;DYN_ARGS=TRUE&amp;VAR:ID1=651872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8__FDSAUDITLINK__" localSheetId="0" hidden="1">{"fdsup://IBCentral/FAT Viewer?action=UPDATE&amp;creator=factset&amp;DOC_NAME=fat:reuters_annual_pshs_src_window.fat&amp;display_string=Audit&amp;DYN_ARGS=TRUE&amp;VAR:ID1=651872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pshs_src_window.fat&amp;display_string=Audit&amp;DYN_ARGS=TRUE&amp;VAR:ID1=651872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9__FDSAUDITLINK__" localSheetId="2" hidden="1">{"fdsup://IBCentral/FAT Viewer?action=UPDATE&amp;creator=factset&amp;DOC_NAME=fat:reuters_annual_pshs_src_window.fat&amp;display_string=Audit&amp;DYN_ARGS=TRUE&amp;VAR:ID1=B1Z8X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9__FDSAUDITLINK__" localSheetId="3" hidden="1">{"fdsup://IBCentral/FAT Viewer?action=UPDATE&amp;creator=factset&amp;DOC_NAME=fat:reuters_annual_pshs_src_window.fat&amp;display_string=Audit&amp;DYN_ARGS=TRUE&amp;VAR:ID1=B1Z8X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9__FDSAUDITLINK__" localSheetId="0" hidden="1">{"fdsup://IBCentral/FAT Viewer?action=UPDATE&amp;creator=factset&amp;DOC_NAME=fat:reuters_annual_pshs_src_window.fat&amp;display_string=Audit&amp;DYN_ARGS=TRUE&amp;VAR:ID1=B1Z8X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29__FDSAUDITLINK__" hidden="1">{"fdsup://IBCentral/FAT Viewer?action=UPDATE&amp;creator=factset&amp;DOC_NAME=fat:reuters_annual_pshs_src_window.fat&amp;display_string=Audit&amp;DYN_ARGS=TRUE&amp;VAR:ID1=B1Z8XR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" localSheetId="0">'[23]23'!#REF!</definedName>
    <definedName name="_23" localSheetId="5">'[23]23'!#REF!</definedName>
    <definedName name="_23" localSheetId="6">'[23]23'!#REF!</definedName>
    <definedName name="_23">'[23]23'!#REF!</definedName>
    <definedName name="_23__FDSAUDITLINK__" localSheetId="2" hidden="1">{"fdsup://directions/FAT Viewer?action=UPDATE&amp;creator=factset&amp;DYN_ARGS=TRUE&amp;DOC_NAME=FAT:FQL_AUDITING_CLIENT_TEMPLATE.FAT&amp;display_string=Audit&amp;VAR:KEY=HYNCZODSDU&amp;VAR:QUERY=UkdGX1JPRShBTk5fUiwyMDExLCwsLCwsTk9BVURJVCk=&amp;WINDOW=FIRST_POPUP&amp;HEIGHT=450&amp;WIDTH=450&amp;","START_MAXIMIZED=FALSE&amp;VAR:CALENDAR=FIVEDAY&amp;VAR:SYMBOL=609304&amp;VAR:INDEX=0"}</definedName>
    <definedName name="_23__FDSAUDITLINK__" localSheetId="3" hidden="1">{"fdsup://directions/FAT Viewer?action=UPDATE&amp;creator=factset&amp;DYN_ARGS=TRUE&amp;DOC_NAME=FAT:FQL_AUDITING_CLIENT_TEMPLATE.FAT&amp;display_string=Audit&amp;VAR:KEY=HYNCZODSDU&amp;VAR:QUERY=UkdGX1JPRShBTk5fUiwyMDExLCwsLCwsTk9BVURJVCk=&amp;WINDOW=FIRST_POPUP&amp;HEIGHT=450&amp;WIDTH=450&amp;","START_MAXIMIZED=FALSE&amp;VAR:CALENDAR=FIVEDAY&amp;VAR:SYMBOL=609304&amp;VAR:INDEX=0"}</definedName>
    <definedName name="_23__FDSAUDITLINK__" localSheetId="0" hidden="1">{"fdsup://directions/FAT Viewer?action=UPDATE&amp;creator=factset&amp;DYN_ARGS=TRUE&amp;DOC_NAME=FAT:FQL_AUDITING_CLIENT_TEMPLATE.FAT&amp;display_string=Audit&amp;VAR:KEY=HYNCZODSDU&amp;VAR:QUERY=UkdGX1JPRShBTk5fUiwyMDExLCwsLCwsTk9BVURJVCk=&amp;WINDOW=FIRST_POPUP&amp;HEIGHT=450&amp;WIDTH=450&amp;","START_MAXIMIZED=FALSE&amp;VAR:CALENDAR=FIVEDAY&amp;VAR:SYMBOL=609304&amp;VAR:INDEX=0"}</definedName>
    <definedName name="_23__FDSAUDITLINK__" hidden="1">{"fdsup://directions/FAT Viewer?action=UPDATE&amp;creator=factset&amp;DYN_ARGS=TRUE&amp;DOC_NAME=FAT:FQL_AUDITING_CLIENT_TEMPLATE.FAT&amp;display_string=Audit&amp;VAR:KEY=HYNCZODSDU&amp;VAR:QUERY=UkdGX1JPRShBTk5fUiwyMDExLCwsLCwsTk9BVURJVCk=&amp;WINDOW=FIRST_POPUP&amp;HEIGHT=450&amp;WIDTH=450&amp;","START_MAXIMIZED=FALSE&amp;VAR:CALENDAR=FIVEDAY&amp;VAR:SYMBOL=609304&amp;VAR:INDEX=0"}</definedName>
    <definedName name="_230__FDSAUDITLINK__" localSheetId="2" hidden="1">{"fdsup://IBCentral/FAT Viewer?action=UPDATE&amp;creator=factset&amp;DOC_NAME=fat:reuters_annual_pshs_src_window.fat&amp;display_string=Audit&amp;DYN_ARGS=TRUE&amp;VAR:ID1=631463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0__FDSAUDITLINK__" localSheetId="3" hidden="1">{"fdsup://IBCentral/FAT Viewer?action=UPDATE&amp;creator=factset&amp;DOC_NAME=fat:reuters_annual_pshs_src_window.fat&amp;display_string=Audit&amp;DYN_ARGS=TRUE&amp;VAR:ID1=631463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0__FDSAUDITLINK__" localSheetId="0" hidden="1">{"fdsup://IBCentral/FAT Viewer?action=UPDATE&amp;creator=factset&amp;DOC_NAME=fat:reuters_annual_pshs_src_window.fat&amp;display_string=Audit&amp;DYN_ARGS=TRUE&amp;VAR:ID1=631463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pshs_src_window.fat&amp;display_string=Audit&amp;DYN_ARGS=TRUE&amp;VAR:ID1=631463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1__FDSAUDITLINK__" localSheetId="2" hidden="1">{"fdsup://IBCentral/FAT Viewer?action=UPDATE&amp;creator=factset&amp;DOC_NAME=fat:reuters_annual_pshs_src_window.fat&amp;display_string=Audit&amp;DYN_ARGS=TRUE&amp;VAR:ID1=B03CPM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1__FDSAUDITLINK__" localSheetId="3" hidden="1">{"fdsup://IBCentral/FAT Viewer?action=UPDATE&amp;creator=factset&amp;DOC_NAME=fat:reuters_annual_pshs_src_window.fat&amp;display_string=Audit&amp;DYN_ARGS=TRUE&amp;VAR:ID1=B03CPM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1__FDSAUDITLINK__" localSheetId="0" hidden="1">{"fdsup://IBCentral/FAT Viewer?action=UPDATE&amp;creator=factset&amp;DOC_NAME=fat:reuters_annual_pshs_src_window.fat&amp;display_string=Audit&amp;DYN_ARGS=TRUE&amp;VAR:ID1=B03CPM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pshs_src_window.fat&amp;display_string=Audit&amp;DYN_ARGS=TRUE&amp;VAR:ID1=B03CPM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2__FDSAUDITLINK__" localSheetId="2" hidden="1">{"fdsup://IBCentral/FAT Viewer?action=UPDATE&amp;creator=factset&amp;DOC_NAME=fat:reuters_annual_pshs_src_window.fat&amp;display_string=Audit&amp;DYN_ARGS=TRUE&amp;VAR:ID1=642411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2__FDSAUDITLINK__" localSheetId="3" hidden="1">{"fdsup://IBCentral/FAT Viewer?action=UPDATE&amp;creator=factset&amp;DOC_NAME=fat:reuters_annual_pshs_src_window.fat&amp;display_string=Audit&amp;DYN_ARGS=TRUE&amp;VAR:ID1=642411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2__FDSAUDITLINK__" localSheetId="0" hidden="1">{"fdsup://IBCentral/FAT Viewer?action=UPDATE&amp;creator=factset&amp;DOC_NAME=fat:reuters_annual_pshs_src_window.fat&amp;display_string=Audit&amp;DYN_ARGS=TRUE&amp;VAR:ID1=642411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2__FDSAUDITLINK__" hidden="1">{"fdsup://IBCentral/FAT Viewer?action=UPDATE&amp;creator=factset&amp;DOC_NAME=fat:reuters_annual_pshs_src_window.fat&amp;display_string=Audit&amp;DYN_ARGS=TRUE&amp;VAR:ID1=642411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3__FDSAUDITLINK__" localSheetId="2" hidden="1">{"fdsup://IBCentral/FAT Viewer?action=UPDATE&amp;creator=factset&amp;DOC_NAME=fat:reuters_annual_pshs_src_window.fat&amp;display_string=Audit&amp;DYN_ARGS=TRUE&amp;VAR:ID1=651839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3__FDSAUDITLINK__" localSheetId="3" hidden="1">{"fdsup://IBCentral/FAT Viewer?action=UPDATE&amp;creator=factset&amp;DOC_NAME=fat:reuters_annual_pshs_src_window.fat&amp;display_string=Audit&amp;DYN_ARGS=TRUE&amp;VAR:ID1=651839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3__FDSAUDITLINK__" localSheetId="0" hidden="1">{"fdsup://IBCentral/FAT Viewer?action=UPDATE&amp;creator=factset&amp;DOC_NAME=fat:reuters_annual_pshs_src_window.fat&amp;display_string=Audit&amp;DYN_ARGS=TRUE&amp;VAR:ID1=651839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3__FDSAUDITLINK__" hidden="1">{"fdsup://IBCentral/FAT Viewer?action=UPDATE&amp;creator=factset&amp;DOC_NAME=fat:reuters_annual_pshs_src_window.fat&amp;display_string=Audit&amp;DYN_ARGS=TRUE&amp;VAR:ID1=651839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4__FDSAUDITLINK__" localSheetId="2" hidden="1">{"fdsup://IBCentral/FAT Viewer?action=UPDATE&amp;creator=factset&amp;DOC_NAME=fat:reuters_annual_pshs_src_window.fat&amp;display_string=Audit&amp;DYN_ARGS=TRUE&amp;VAR:ID1=609881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4__FDSAUDITLINK__" localSheetId="3" hidden="1">{"fdsup://IBCentral/FAT Viewer?action=UPDATE&amp;creator=factset&amp;DOC_NAME=fat:reuters_annual_pshs_src_window.fat&amp;display_string=Audit&amp;DYN_ARGS=TRUE&amp;VAR:ID1=609881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4__FDSAUDITLINK__" localSheetId="0" hidden="1">{"fdsup://IBCentral/FAT Viewer?action=UPDATE&amp;creator=factset&amp;DOC_NAME=fat:reuters_annual_pshs_src_window.fat&amp;display_string=Audit&amp;DYN_ARGS=TRUE&amp;VAR:ID1=609881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pshs_src_window.fat&amp;display_string=Audit&amp;DYN_ARGS=TRUE&amp;VAR:ID1=609881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5__FDSAUDITLINK__" localSheetId="2" hidden="1">{"fdsup://IBCentral/FAT Viewer?action=UPDATE&amp;creator=factset&amp;DOC_NAME=fat:reuters_annual_pshs_src_window.fat&amp;display_string=Audit&amp;DYN_ARGS=TRUE&amp;VAR:ID1=618785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5__FDSAUDITLINK__" localSheetId="3" hidden="1">{"fdsup://IBCentral/FAT Viewer?action=UPDATE&amp;creator=factset&amp;DOC_NAME=fat:reuters_annual_pshs_src_window.fat&amp;display_string=Audit&amp;DYN_ARGS=TRUE&amp;VAR:ID1=618785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5__FDSAUDITLINK__" localSheetId="0" hidden="1">{"fdsup://IBCentral/FAT Viewer?action=UPDATE&amp;creator=factset&amp;DOC_NAME=fat:reuters_annual_pshs_src_window.fat&amp;display_string=Audit&amp;DYN_ARGS=TRUE&amp;VAR:ID1=618785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5__FDSAUDITLINK__" hidden="1">{"fdsup://IBCentral/FAT Viewer?action=UPDATE&amp;creator=factset&amp;DOC_NAME=fat:reuters_annual_pshs_src_window.fat&amp;display_string=Audit&amp;DYN_ARGS=TRUE&amp;VAR:ID1=618785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6__FDSAUDITLINK__" localSheetId="2" hidden="1">{"fdsup://IBCentral/FAT Viewer?action=UPDATE&amp;creator=factset&amp;DOC_NAME=fat:reuters_annual_pshs_src_window.fat&amp;display_string=Audit&amp;DYN_ARGS=TRUE&amp;VAR:ID1=632845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6__FDSAUDITLINK__" localSheetId="3" hidden="1">{"fdsup://IBCentral/FAT Viewer?action=UPDATE&amp;creator=factset&amp;DOC_NAME=fat:reuters_annual_pshs_src_window.fat&amp;display_string=Audit&amp;DYN_ARGS=TRUE&amp;VAR:ID1=632845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6__FDSAUDITLINK__" localSheetId="0" hidden="1">{"fdsup://IBCentral/FAT Viewer?action=UPDATE&amp;creator=factset&amp;DOC_NAME=fat:reuters_annual_pshs_src_window.fat&amp;display_string=Audit&amp;DYN_ARGS=TRUE&amp;VAR:ID1=632845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6__FDSAUDITLINK__" hidden="1">{"fdsup://IBCentral/FAT Viewer?action=UPDATE&amp;creator=factset&amp;DOC_NAME=fat:reuters_annual_pshs_src_window.fat&amp;display_string=Audit&amp;DYN_ARGS=TRUE&amp;VAR:ID1=632845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localSheetId="2" hidden="1">{"fdsup://IBCentral/FAT Viewer?action=UPDATE&amp;creator=factset&amp;DOC_NAME=fat:reuters_annual_pshs_src_window.fat&amp;display_string=Audit&amp;DYN_ARGS=TRUE&amp;VAR:ID1=645168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localSheetId="3" hidden="1">{"fdsup://IBCentral/FAT Viewer?action=UPDATE&amp;creator=factset&amp;DOC_NAME=fat:reuters_annual_pshs_src_window.fat&amp;display_string=Audit&amp;DYN_ARGS=TRUE&amp;VAR:ID1=645168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localSheetId="0" hidden="1">{"fdsup://IBCentral/FAT Viewer?action=UPDATE&amp;creator=factset&amp;DOC_NAME=fat:reuters_annual_pshs_src_window.fat&amp;display_string=Audit&amp;DYN_ARGS=TRUE&amp;VAR:ID1=645168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pshs_src_window.fat&amp;display_string=Audit&amp;DYN_ARGS=TRUE&amp;VAR:ID1=645168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8__FDSAUDITLINK__" localSheetId="2" hidden="1">{"fdsup://IBCentral/FAT Viewer?action=UPDATE&amp;creator=factset&amp;DOC_NAME=fat:reuters_annual_pshs_src_window.fat&amp;display_string=Audit&amp;DYN_ARGS=TRUE&amp;VAR:ID1=652587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8__FDSAUDITLINK__" localSheetId="3" hidden="1">{"fdsup://IBCentral/FAT Viewer?action=UPDATE&amp;creator=factset&amp;DOC_NAME=fat:reuters_annual_pshs_src_window.fat&amp;display_string=Audit&amp;DYN_ARGS=TRUE&amp;VAR:ID1=652587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8__FDSAUDITLINK__" localSheetId="0" hidden="1">{"fdsup://IBCentral/FAT Viewer?action=UPDATE&amp;creator=factset&amp;DOC_NAME=fat:reuters_annual_pshs_src_window.fat&amp;display_string=Audit&amp;DYN_ARGS=TRUE&amp;VAR:ID1=652587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8__FDSAUDITLINK__" hidden="1">{"fdsup://IBCentral/FAT Viewer?action=UPDATE&amp;creator=factset&amp;DOC_NAME=fat:reuters_annual_pshs_src_window.fat&amp;display_string=Audit&amp;DYN_ARGS=TRUE&amp;VAR:ID1=652587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9__FDSAUDITLINK__" localSheetId="2" hidden="1">{"fdsup://IBCentral/FAT Viewer?action=UPDATE&amp;creator=factset&amp;DOC_NAME=fat:reuters_annual_pshs_src_window.fat&amp;display_string=Audit&amp;DYN_ARGS=TRUE&amp;VAR:ID1=644406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9__FDSAUDITLINK__" localSheetId="3" hidden="1">{"fdsup://IBCentral/FAT Viewer?action=UPDATE&amp;creator=factset&amp;DOC_NAME=fat:reuters_annual_pshs_src_window.fat&amp;display_string=Audit&amp;DYN_ARGS=TRUE&amp;VAR:ID1=644406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9__FDSAUDITLINK__" localSheetId="0" hidden="1">{"fdsup://IBCentral/FAT Viewer?action=UPDATE&amp;creator=factset&amp;DOC_NAME=fat:reuters_annual_pshs_src_window.fat&amp;display_string=Audit&amp;DYN_ARGS=TRUE&amp;VAR:ID1=644406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9__FDSAUDITLINK__" hidden="1">{"fdsup://IBCentral/FAT Viewer?action=UPDATE&amp;creator=factset&amp;DOC_NAME=fat:reuters_annual_pshs_src_window.fat&amp;display_string=Audit&amp;DYN_ARGS=TRUE&amp;VAR:ID1=644406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__FDSAUDITLINK__" localSheetId="2" hidden="1">{"fdsup://directions/FAT Viewer?action=UPDATE&amp;creator=factset&amp;DYN_ARGS=TRUE&amp;DOC_NAME=FAT:FQL_AUDITING_CLIENT_TEMPLATE.FAT&amp;display_string=Audit&amp;VAR:KEY=GLCZUTARSH&amp;VAR:QUERY=UkdGX1JPRShBTk5fUiwyMDEwLCwsLCwsTk9BVURJVCk=&amp;WINDOW=FIRST_POPUP&amp;HEIGHT=450&amp;WIDTH=450&amp;","START_MAXIMIZED=FALSE&amp;VAR:CALENDAR=FIVEDAY&amp;VAR:SYMBOL=609304&amp;VAR:INDEX=0"}</definedName>
    <definedName name="_24__FDSAUDITLINK__" localSheetId="3" hidden="1">{"fdsup://directions/FAT Viewer?action=UPDATE&amp;creator=factset&amp;DYN_ARGS=TRUE&amp;DOC_NAME=FAT:FQL_AUDITING_CLIENT_TEMPLATE.FAT&amp;display_string=Audit&amp;VAR:KEY=GLCZUTARSH&amp;VAR:QUERY=UkdGX1JPRShBTk5fUiwyMDEwLCwsLCwsTk9BVURJVCk=&amp;WINDOW=FIRST_POPUP&amp;HEIGHT=450&amp;WIDTH=450&amp;","START_MAXIMIZED=FALSE&amp;VAR:CALENDAR=FIVEDAY&amp;VAR:SYMBOL=609304&amp;VAR:INDEX=0"}</definedName>
    <definedName name="_24__FDSAUDITLINK__" localSheetId="0" hidden="1">{"fdsup://directions/FAT Viewer?action=UPDATE&amp;creator=factset&amp;DYN_ARGS=TRUE&amp;DOC_NAME=FAT:FQL_AUDITING_CLIENT_TEMPLATE.FAT&amp;display_string=Audit&amp;VAR:KEY=GLCZUTARSH&amp;VAR:QUERY=UkdGX1JPRShBTk5fUiwyMDEwLCwsLCwsTk9BVURJVCk=&amp;WINDOW=FIRST_POPUP&amp;HEIGHT=450&amp;WIDTH=450&amp;","START_MAXIMIZED=FALSE&amp;VAR:CALENDAR=FIVEDAY&amp;VAR:SYMBOL=609304&amp;VAR:INDEX=0"}</definedName>
    <definedName name="_24__FDSAUDITLINK__" hidden="1">{"fdsup://directions/FAT Viewer?action=UPDATE&amp;creator=factset&amp;DYN_ARGS=TRUE&amp;DOC_NAME=FAT:FQL_AUDITING_CLIENT_TEMPLATE.FAT&amp;display_string=Audit&amp;VAR:KEY=GLCZUTARSH&amp;VAR:QUERY=UkdGX1JPRShBTk5fUiwyMDEwLCwsLCwsTk9BVURJVCk=&amp;WINDOW=FIRST_POPUP&amp;HEIGHT=450&amp;WIDTH=450&amp;","START_MAXIMIZED=FALSE&amp;VAR:CALENDAR=FIVEDAY&amp;VAR:SYMBOL=609304&amp;VAR:INDEX=0"}</definedName>
    <definedName name="_240__FDSAUDITLINK__" localSheetId="2" hidden="1">{"fdsup://IBCentral/FAT Viewer?action=UPDATE&amp;creator=factset&amp;DOC_NAME=fat:reuters_annual_pshs_src_window.fat&amp;display_string=Audit&amp;DYN_ARGS=TRUE&amp;VAR:ID1=641187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0__FDSAUDITLINK__" localSheetId="3" hidden="1">{"fdsup://IBCentral/FAT Viewer?action=UPDATE&amp;creator=factset&amp;DOC_NAME=fat:reuters_annual_pshs_src_window.fat&amp;display_string=Audit&amp;DYN_ARGS=TRUE&amp;VAR:ID1=641187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0__FDSAUDITLINK__" localSheetId="0" hidden="1">{"fdsup://IBCentral/FAT Viewer?action=UPDATE&amp;creator=factset&amp;DOC_NAME=fat:reuters_annual_pshs_src_window.fat&amp;display_string=Audit&amp;DYN_ARGS=TRUE&amp;VAR:ID1=641187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0__FDSAUDITLINK__" hidden="1">{"fdsup://IBCentral/FAT Viewer?action=UPDATE&amp;creator=factset&amp;DOC_NAME=fat:reuters_annual_pshs_src_window.fat&amp;display_string=Audit&amp;DYN_ARGS=TRUE&amp;VAR:ID1=641187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1__FDSAUDITLINK__" localSheetId="2" hidden="1">{"fdsup://IBCentral/FAT Viewer?action=UPDATE&amp;creator=factset&amp;DOC_NAME=fat:reuters_annual_pshs_src_window.fat&amp;display_string=Audit&amp;DYN_ARGS=TRUE&amp;VAR:ID1=641167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1__FDSAUDITLINK__" localSheetId="3" hidden="1">{"fdsup://IBCentral/FAT Viewer?action=UPDATE&amp;creator=factset&amp;DOC_NAME=fat:reuters_annual_pshs_src_window.fat&amp;display_string=Audit&amp;DYN_ARGS=TRUE&amp;VAR:ID1=641167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1__FDSAUDITLINK__" localSheetId="0" hidden="1">{"fdsup://IBCentral/FAT Viewer?action=UPDATE&amp;creator=factset&amp;DOC_NAME=fat:reuters_annual_pshs_src_window.fat&amp;display_string=Audit&amp;DYN_ARGS=TRUE&amp;VAR:ID1=641167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1__FDSAUDITLINK__" hidden="1">{"fdsup://IBCentral/FAT Viewer?action=UPDATE&amp;creator=factset&amp;DOC_NAME=fat:reuters_annual_pshs_src_window.fat&amp;display_string=Audit&amp;DYN_ARGS=TRUE&amp;VAR:ID1=641167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2__FDSAUDITLINK__" localSheetId="2" hidden="1">{"fdsup://IBCentral/FAT Viewer?action=UPDATE&amp;creator=factset&amp;DOC_NAME=fat:reuters_annual_pshs_src_window.fat&amp;display_string=Audit&amp;DYN_ARGS=TRUE&amp;VAR:ID1=642566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2__FDSAUDITLINK__" localSheetId="3" hidden="1">{"fdsup://IBCentral/FAT Viewer?action=UPDATE&amp;creator=factset&amp;DOC_NAME=fat:reuters_annual_pshs_src_window.fat&amp;display_string=Audit&amp;DYN_ARGS=TRUE&amp;VAR:ID1=642566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2__FDSAUDITLINK__" localSheetId="0" hidden="1">{"fdsup://IBCentral/FAT Viewer?action=UPDATE&amp;creator=factset&amp;DOC_NAME=fat:reuters_annual_pshs_src_window.fat&amp;display_string=Audit&amp;DYN_ARGS=TRUE&amp;VAR:ID1=642566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2__FDSAUDITLINK__" hidden="1">{"fdsup://IBCentral/FAT Viewer?action=UPDATE&amp;creator=factset&amp;DOC_NAME=fat:reuters_annual_pshs_src_window.fat&amp;display_string=Audit&amp;DYN_ARGS=TRUE&amp;VAR:ID1=642566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3__FDSAUDITLINK__" localSheetId="2" hidden="1">{"fdsup://IBCentral/FAT Viewer?action=UPDATE&amp;creator=factset&amp;DOC_NAME=fat:reuters_annual_pshs_src_window.fat&amp;display_string=Audit&amp;DYN_ARGS=TRUE&amp;VAR:ID1=643391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3__FDSAUDITLINK__" localSheetId="3" hidden="1">{"fdsup://IBCentral/FAT Viewer?action=UPDATE&amp;creator=factset&amp;DOC_NAME=fat:reuters_annual_pshs_src_window.fat&amp;display_string=Audit&amp;DYN_ARGS=TRUE&amp;VAR:ID1=643391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3__FDSAUDITLINK__" localSheetId="0" hidden="1">{"fdsup://IBCentral/FAT Viewer?action=UPDATE&amp;creator=factset&amp;DOC_NAME=fat:reuters_annual_pshs_src_window.fat&amp;display_string=Audit&amp;DYN_ARGS=TRUE&amp;VAR:ID1=643391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3__FDSAUDITLINK__" hidden="1">{"fdsup://IBCentral/FAT Viewer?action=UPDATE&amp;creator=factset&amp;DOC_NAME=fat:reuters_annual_pshs_src_window.fat&amp;display_string=Audit&amp;DYN_ARGS=TRUE&amp;VAR:ID1=643391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4__FDSAUDITLINK__" localSheetId="2" hidden="1">{"fdsup://IBCentral/FAT Viewer?action=UPDATE&amp;creator=factset&amp;DOC_NAME=fat:reuters_annual_pshs_src_window.fat&amp;display_string=Audit&amp;DYN_ARGS=TRUE&amp;VAR:ID1=643175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4__FDSAUDITLINK__" localSheetId="3" hidden="1">{"fdsup://IBCentral/FAT Viewer?action=UPDATE&amp;creator=factset&amp;DOC_NAME=fat:reuters_annual_pshs_src_window.fat&amp;display_string=Audit&amp;DYN_ARGS=TRUE&amp;VAR:ID1=643175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4__FDSAUDITLINK__" localSheetId="0" hidden="1">{"fdsup://IBCentral/FAT Viewer?action=UPDATE&amp;creator=factset&amp;DOC_NAME=fat:reuters_annual_pshs_src_window.fat&amp;display_string=Audit&amp;DYN_ARGS=TRUE&amp;VAR:ID1=643175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4__FDSAUDITLINK__" hidden="1">{"fdsup://IBCentral/FAT Viewer?action=UPDATE&amp;creator=factset&amp;DOC_NAME=fat:reuters_annual_pshs_src_window.fat&amp;display_string=Audit&amp;DYN_ARGS=TRUE&amp;VAR:ID1=643175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5__FDSAUDITLINK__" localSheetId="2" hidden="1">{"fdsup://IBCentral/FAT Viewer?action=UPDATE&amp;creator=factset&amp;DOC_NAME=fat:reuters_annual_pshs_src_window.fat&amp;display_string=Audit&amp;DYN_ARGS=TRUE&amp;VAR:ID1=652766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5__FDSAUDITLINK__" localSheetId="3" hidden="1">{"fdsup://IBCentral/FAT Viewer?action=UPDATE&amp;creator=factset&amp;DOC_NAME=fat:reuters_annual_pshs_src_window.fat&amp;display_string=Audit&amp;DYN_ARGS=TRUE&amp;VAR:ID1=652766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5__FDSAUDITLINK__" localSheetId="0" hidden="1">{"fdsup://IBCentral/FAT Viewer?action=UPDATE&amp;creator=factset&amp;DOC_NAME=fat:reuters_annual_pshs_src_window.fat&amp;display_string=Audit&amp;DYN_ARGS=TRUE&amp;VAR:ID1=652766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pshs_src_window.fat&amp;display_string=Audit&amp;DYN_ARGS=TRUE&amp;VAR:ID1=652766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6__FDSAUDITLINK__" localSheetId="2" hidden="1">{"fdsup://IBCentral/FAT Viewer?action=UPDATE&amp;creator=factset&amp;DOC_NAME=fat:reuters_annual_pshs_src_window.fat&amp;display_string=Audit&amp;DYN_ARGS=TRUE&amp;VAR:ID1=B1W0J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6__FDSAUDITLINK__" localSheetId="3" hidden="1">{"fdsup://IBCentral/FAT Viewer?action=UPDATE&amp;creator=factset&amp;DOC_NAME=fat:reuters_annual_pshs_src_window.fat&amp;display_string=Audit&amp;DYN_ARGS=TRUE&amp;VAR:ID1=B1W0J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6__FDSAUDITLINK__" localSheetId="0" hidden="1">{"fdsup://IBCentral/FAT Viewer?action=UPDATE&amp;creator=factset&amp;DOC_NAME=fat:reuters_annual_pshs_src_window.fat&amp;display_string=Audit&amp;DYN_ARGS=TRUE&amp;VAR:ID1=B1W0J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pshs_src_window.fat&amp;display_string=Audit&amp;DYN_ARGS=TRUE&amp;VAR:ID1=B1W0JF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7__FDSAUDITLINK__" localSheetId="2" hidden="1">{"fdsup://IBCentral/FAT Viewer?action=UPDATE&amp;creator=factset&amp;DOC_NAME=fat:reuters_annual_pshs_src_window.fat&amp;display_string=Audit&amp;DYN_ARGS=TRUE&amp;VAR:ID1=B1G1QD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7__FDSAUDITLINK__" localSheetId="3" hidden="1">{"fdsup://IBCentral/FAT Viewer?action=UPDATE&amp;creator=factset&amp;DOC_NAME=fat:reuters_annual_pshs_src_window.fat&amp;display_string=Audit&amp;DYN_ARGS=TRUE&amp;VAR:ID1=B1G1QD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7__FDSAUDITLINK__" localSheetId="0" hidden="1">{"fdsup://IBCentral/FAT Viewer?action=UPDATE&amp;creator=factset&amp;DOC_NAME=fat:reuters_annual_pshs_src_window.fat&amp;display_string=Audit&amp;DYN_ARGS=TRUE&amp;VAR:ID1=B1G1QD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7__FDSAUDITLINK__" hidden="1">{"fdsup://IBCentral/FAT Viewer?action=UPDATE&amp;creator=factset&amp;DOC_NAME=fat:reuters_annual_pshs_src_window.fat&amp;display_string=Audit&amp;DYN_ARGS=TRUE&amp;VAR:ID1=B1G1QD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8__FDSAUDITLINK__" localSheetId="2" hidden="1">{"fdsup://IBCentral/FAT Viewer?action=UPDATE&amp;creator=factset&amp;DOC_NAME=fat:reuters_annual_pshs_src_window.fat&amp;display_string=Audit&amp;DYN_ARGS=TRUE&amp;VAR:ID1=B1DYP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8__FDSAUDITLINK__" localSheetId="3" hidden="1">{"fdsup://IBCentral/FAT Viewer?action=UPDATE&amp;creator=factset&amp;DOC_NAME=fat:reuters_annual_pshs_src_window.fat&amp;display_string=Audit&amp;DYN_ARGS=TRUE&amp;VAR:ID1=B1DYP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8__FDSAUDITLINK__" localSheetId="0" hidden="1">{"fdsup://IBCentral/FAT Viewer?action=UPDATE&amp;creator=factset&amp;DOC_NAME=fat:reuters_annual_pshs_src_window.fat&amp;display_string=Audit&amp;DYN_ARGS=TRUE&amp;VAR:ID1=B1DYP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8__FDSAUDITLINK__" hidden="1">{"fdsup://IBCentral/FAT Viewer?action=UPDATE&amp;creator=factset&amp;DOC_NAME=fat:reuters_annual_pshs_src_window.fat&amp;display_string=Audit&amp;DYN_ARGS=TRUE&amp;VAR:ID1=B1DYPZ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9__FDSAUDITLINK__" localSheetId="2" hidden="1">{"fdsup://IBCentral/FAT Viewer?action=UPDATE&amp;creator=factset&amp;DOC_NAME=fat:reuters_annual_pshs_src_window.fat&amp;display_string=Audit&amp;DYN_ARGS=TRUE&amp;VAR:ID1=B15456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9__FDSAUDITLINK__" localSheetId="3" hidden="1">{"fdsup://IBCentral/FAT Viewer?action=UPDATE&amp;creator=factset&amp;DOC_NAME=fat:reuters_annual_pshs_src_window.fat&amp;display_string=Audit&amp;DYN_ARGS=TRUE&amp;VAR:ID1=B15456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9__FDSAUDITLINK__" localSheetId="0" hidden="1">{"fdsup://IBCentral/FAT Viewer?action=UPDATE&amp;creator=factset&amp;DOC_NAME=fat:reuters_annual_pshs_src_window.fat&amp;display_string=Audit&amp;DYN_ARGS=TRUE&amp;VAR:ID1=B15456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49__FDSAUDITLINK__" hidden="1">{"fdsup://IBCentral/FAT Viewer?action=UPDATE&amp;creator=factset&amp;DOC_NAME=fat:reuters_annual_pshs_src_window.fat&amp;display_string=Audit&amp;DYN_ARGS=TRUE&amp;VAR:ID1=B15456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__FDSAUDITLINK__" localSheetId="2" hidden="1">{"fdsup://directions/FAT Viewer?action=UPDATE&amp;creator=factset&amp;DYN_ARGS=TRUE&amp;DOC_NAME=FAT:FQL_AUDITING_CLIENT_TEMPLATE.FAT&amp;display_string=Audit&amp;VAR:KEY=JSZGPSRQHI&amp;VAR:QUERY=UkdGX1JPRShBTk5fUiwyMDA5LCwsLCwsTk9BVURJVCk=&amp;WINDOW=FIRST_POPUP&amp;HEIGHT=450&amp;WIDTH=450&amp;","START_MAXIMIZED=FALSE&amp;VAR:CALENDAR=FIVEDAY&amp;VAR:SYMBOL=609304&amp;VAR:INDEX=0"}</definedName>
    <definedName name="_25__FDSAUDITLINK__" localSheetId="3" hidden="1">{"fdsup://directions/FAT Viewer?action=UPDATE&amp;creator=factset&amp;DYN_ARGS=TRUE&amp;DOC_NAME=FAT:FQL_AUDITING_CLIENT_TEMPLATE.FAT&amp;display_string=Audit&amp;VAR:KEY=JSZGPSRQHI&amp;VAR:QUERY=UkdGX1JPRShBTk5fUiwyMDA5LCwsLCwsTk9BVURJVCk=&amp;WINDOW=FIRST_POPUP&amp;HEIGHT=450&amp;WIDTH=450&amp;","START_MAXIMIZED=FALSE&amp;VAR:CALENDAR=FIVEDAY&amp;VAR:SYMBOL=609304&amp;VAR:INDEX=0"}</definedName>
    <definedName name="_25__FDSAUDITLINK__" localSheetId="0" hidden="1">{"fdsup://directions/FAT Viewer?action=UPDATE&amp;creator=factset&amp;DYN_ARGS=TRUE&amp;DOC_NAME=FAT:FQL_AUDITING_CLIENT_TEMPLATE.FAT&amp;display_string=Audit&amp;VAR:KEY=JSZGPSRQHI&amp;VAR:QUERY=UkdGX1JPRShBTk5fUiwyMDA5LCwsLCwsTk9BVURJVCk=&amp;WINDOW=FIRST_POPUP&amp;HEIGHT=450&amp;WIDTH=450&amp;","START_MAXIMIZED=FALSE&amp;VAR:CALENDAR=FIVEDAY&amp;VAR:SYMBOL=609304&amp;VAR:INDEX=0"}</definedName>
    <definedName name="_25__FDSAUDITLINK__" hidden="1">{"fdsup://directions/FAT Viewer?action=UPDATE&amp;creator=factset&amp;DYN_ARGS=TRUE&amp;DOC_NAME=FAT:FQL_AUDITING_CLIENT_TEMPLATE.FAT&amp;display_string=Audit&amp;VAR:KEY=JSZGPSRQHI&amp;VAR:QUERY=UkdGX1JPRShBTk5fUiwyMDA5LCwsLCwsTk9BVURJVCk=&amp;WINDOW=FIRST_POPUP&amp;HEIGHT=450&amp;WIDTH=450&amp;","START_MAXIMIZED=FALSE&amp;VAR:CALENDAR=FIVEDAY&amp;VAR:SYMBOL=609304&amp;VAR:INDEX=0"}</definedName>
    <definedName name="_250__FDSAUDITLINK__" localSheetId="2" hidden="1">{"fdsup://IBCentral/FAT Viewer?action=UPDATE&amp;creator=factset&amp;DOC_NAME=fat:reuters_annual_pshs_src_window.fat&amp;display_string=Audit&amp;DYN_ARGS=TRUE&amp;VAR:ID1=B0LMTQ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0__FDSAUDITLINK__" localSheetId="3" hidden="1">{"fdsup://IBCentral/FAT Viewer?action=UPDATE&amp;creator=factset&amp;DOC_NAME=fat:reuters_annual_pshs_src_window.fat&amp;display_string=Audit&amp;DYN_ARGS=TRUE&amp;VAR:ID1=B0LMTQ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0__FDSAUDITLINK__" localSheetId="0" hidden="1">{"fdsup://IBCentral/FAT Viewer?action=UPDATE&amp;creator=factset&amp;DOC_NAME=fat:reuters_annual_pshs_src_window.fat&amp;display_string=Audit&amp;DYN_ARGS=TRUE&amp;VAR:ID1=B0LMTQ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pshs_src_window.fat&amp;display_string=Audit&amp;DYN_ARGS=TRUE&amp;VAR:ID1=B0LMTQ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__FDSAUDITLINK__" localSheetId="2" hidden="1">{"fdsup://IBCentral/FAT Viewer?action=UPDATE&amp;creator=factset&amp;DOC_NAME=fat:reuters_annual_pshs_src_window.fat&amp;display_string=Audit&amp;DYN_ARGS=TRUE&amp;VAR:ID1=B0B8Z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__FDSAUDITLINK__" localSheetId="3" hidden="1">{"fdsup://IBCentral/FAT Viewer?action=UPDATE&amp;creator=factset&amp;DOC_NAME=fat:reuters_annual_pshs_src_window.fat&amp;display_string=Audit&amp;DYN_ARGS=TRUE&amp;VAR:ID1=B0B8Z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__FDSAUDITLINK__" localSheetId="0" hidden="1">{"fdsup://IBCentral/FAT Viewer?action=UPDATE&amp;creator=factset&amp;DOC_NAME=fat:reuters_annual_pshs_src_window.fat&amp;display_string=Audit&amp;DYN_ARGS=TRUE&amp;VAR:ID1=B0B8Z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__FDSAUDITLINK__" hidden="1">{"fdsup://IBCentral/FAT Viewer?action=UPDATE&amp;creator=factset&amp;DOC_NAME=fat:reuters_annual_pshs_src_window.fat&amp;display_string=Audit&amp;DYN_ARGS=TRUE&amp;VAR:ID1=B0B8Z2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__FDSAUDITLINK__" localSheetId="2" hidden="1">{"fdsup://IBCentral/FAT Viewer?action=UPDATE&amp;creator=factset&amp;DOC_NAME=fat:reuters_annual_pshs_src_window.fat&amp;display_string=Audit&amp;DYN_ARGS=TRUE&amp;VAR:ID1=646023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__FDSAUDITLINK__" localSheetId="3" hidden="1">{"fdsup://IBCentral/FAT Viewer?action=UPDATE&amp;creator=factset&amp;DOC_NAME=fat:reuters_annual_pshs_src_window.fat&amp;display_string=Audit&amp;DYN_ARGS=TRUE&amp;VAR:ID1=646023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__FDSAUDITLINK__" localSheetId="0" hidden="1">{"fdsup://IBCentral/FAT Viewer?action=UPDATE&amp;creator=factset&amp;DOC_NAME=fat:reuters_annual_pshs_src_window.fat&amp;display_string=Audit&amp;DYN_ARGS=TRUE&amp;VAR:ID1=646023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__FDSAUDITLINK__" hidden="1">{"fdsup://IBCentral/FAT Viewer?action=UPDATE&amp;creator=factset&amp;DOC_NAME=fat:reuters_annual_pshs_src_window.fat&amp;display_string=Audit&amp;DYN_ARGS=TRUE&amp;VAR:ID1=646023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3__FDSAUDITLINK__" localSheetId="2" hidden="1">{"fdsup://IBCentral/FAT Viewer?action=UPDATE&amp;creator=factset&amp;DOC_NAME=fat:reuters_annual_pshs_src_window.fat&amp;display_string=Audit&amp;DYN_ARGS=TRUE&amp;VAR:ID1=652503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3__FDSAUDITLINK__" localSheetId="3" hidden="1">{"fdsup://IBCentral/FAT Viewer?action=UPDATE&amp;creator=factset&amp;DOC_NAME=fat:reuters_annual_pshs_src_window.fat&amp;display_string=Audit&amp;DYN_ARGS=TRUE&amp;VAR:ID1=652503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3__FDSAUDITLINK__" localSheetId="0" hidden="1">{"fdsup://IBCentral/FAT Viewer?action=UPDATE&amp;creator=factset&amp;DOC_NAME=fat:reuters_annual_pshs_src_window.fat&amp;display_string=Audit&amp;DYN_ARGS=TRUE&amp;VAR:ID1=652503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3__FDSAUDITLINK__" hidden="1">{"fdsup://IBCentral/FAT Viewer?action=UPDATE&amp;creator=factset&amp;DOC_NAME=fat:reuters_annual_pshs_src_window.fat&amp;display_string=Audit&amp;DYN_ARGS=TRUE&amp;VAR:ID1=652503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4__FDSAUDITLINK__" localSheetId="2" hidden="1">{"fdsup://IBCentral/FAT Viewer?action=UPDATE&amp;creator=factset&amp;DOC_NAME=fat:reuters_annual_pshs_src_window.fat&amp;display_string=Audit&amp;DYN_ARGS=TRUE&amp;VAR:ID1=691253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4__FDSAUDITLINK__" localSheetId="3" hidden="1">{"fdsup://IBCentral/FAT Viewer?action=UPDATE&amp;creator=factset&amp;DOC_NAME=fat:reuters_annual_pshs_src_window.fat&amp;display_string=Audit&amp;DYN_ARGS=TRUE&amp;VAR:ID1=691253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4__FDSAUDITLINK__" localSheetId="0" hidden="1">{"fdsup://IBCentral/FAT Viewer?action=UPDATE&amp;creator=factset&amp;DOC_NAME=fat:reuters_annual_pshs_src_window.fat&amp;display_string=Audit&amp;DYN_ARGS=TRUE&amp;VAR:ID1=691253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4__FDSAUDITLINK__" hidden="1">{"fdsup://IBCentral/FAT Viewer?action=UPDATE&amp;creator=factset&amp;DOC_NAME=fat:reuters_annual_pshs_src_window.fat&amp;display_string=Audit&amp;DYN_ARGS=TRUE&amp;VAR:ID1=691253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5__FDSAUDITLINK__" localSheetId="2" hidden="1">{"fdsup://IBCentral/FAT Viewer?action=UPDATE&amp;creator=factset&amp;DOC_NAME=fat:reuters_annual_pshs_src_window.fat&amp;display_string=Audit&amp;DYN_ARGS=TRUE&amp;VAR:ID1=697237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5__FDSAUDITLINK__" localSheetId="3" hidden="1">{"fdsup://IBCentral/FAT Viewer?action=UPDATE&amp;creator=factset&amp;DOC_NAME=fat:reuters_annual_pshs_src_window.fat&amp;display_string=Audit&amp;DYN_ARGS=TRUE&amp;VAR:ID1=697237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5__FDSAUDITLINK__" localSheetId="0" hidden="1">{"fdsup://IBCentral/FAT Viewer?action=UPDATE&amp;creator=factset&amp;DOC_NAME=fat:reuters_annual_pshs_src_window.fat&amp;display_string=Audit&amp;DYN_ARGS=TRUE&amp;VAR:ID1=697237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pshs_src_window.fat&amp;display_string=Audit&amp;DYN_ARGS=TRUE&amp;VAR:ID1=697237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FDSAUDITLINK__" localSheetId="2" hidden="1">{"fdsup://IBCentral/FAT Viewer?action=UPDATE&amp;creator=factset&amp;DOC_NAME=fat:reuters_annual_pshs_src_window.fat&amp;display_string=Audit&amp;DYN_ARGS=TRUE&amp;VAR:ID1=B01G0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FDSAUDITLINK__" localSheetId="3" hidden="1">{"fdsup://IBCentral/FAT Viewer?action=UPDATE&amp;creator=factset&amp;DOC_NAME=fat:reuters_annual_pshs_src_window.fat&amp;display_string=Audit&amp;DYN_ARGS=TRUE&amp;VAR:ID1=B01G0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FDSAUDITLINK__" localSheetId="0" hidden="1">{"fdsup://IBCentral/FAT Viewer?action=UPDATE&amp;creator=factset&amp;DOC_NAME=fat:reuters_annual_pshs_src_window.fat&amp;display_string=Audit&amp;DYN_ARGS=TRUE&amp;VAR:ID1=B01G0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FDSAUDITLINK__" hidden="1">{"fdsup://IBCentral/FAT Viewer?action=UPDATE&amp;creator=factset&amp;DOC_NAME=fat:reuters_annual_pshs_src_window.fat&amp;display_string=Audit&amp;DYN_ARGS=TRUE&amp;VAR:ID1=B01G0P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7__FDSAUDITLINK__" localSheetId="2" hidden="1">{"fdsup://IBCentral/FAT Viewer?action=UPDATE&amp;creator=factset&amp;DOC_NAME=fat:reuters_annual_pshs_src_window.fat&amp;display_string=Audit&amp;DYN_ARGS=TRUE&amp;VAR:ID1=624979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7__FDSAUDITLINK__" localSheetId="3" hidden="1">{"fdsup://IBCentral/FAT Viewer?action=UPDATE&amp;creator=factset&amp;DOC_NAME=fat:reuters_annual_pshs_src_window.fat&amp;display_string=Audit&amp;DYN_ARGS=TRUE&amp;VAR:ID1=624979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7__FDSAUDITLINK__" localSheetId="0" hidden="1">{"fdsup://IBCentral/FAT Viewer?action=UPDATE&amp;creator=factset&amp;DOC_NAME=fat:reuters_annual_pshs_src_window.fat&amp;display_string=Audit&amp;DYN_ARGS=TRUE&amp;VAR:ID1=624979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7__FDSAUDITLINK__" hidden="1">{"fdsup://IBCentral/FAT Viewer?action=UPDATE&amp;creator=factset&amp;DOC_NAME=fat:reuters_annual_pshs_src_window.fat&amp;display_string=Audit&amp;DYN_ARGS=TRUE&amp;VAR:ID1=624979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8__FDSAUDITLINK__" localSheetId="2" hidden="1">{"fdsup://IBCentral/FAT Viewer?action=UPDATE&amp;creator=factset&amp;DOC_NAME=fat:reuters_annual_pshs_src_window.fat&amp;display_string=Audit&amp;DYN_ARGS=TRUE&amp;VAR:ID1=607564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8__FDSAUDITLINK__" localSheetId="3" hidden="1">{"fdsup://IBCentral/FAT Viewer?action=UPDATE&amp;creator=factset&amp;DOC_NAME=fat:reuters_annual_pshs_src_window.fat&amp;display_string=Audit&amp;DYN_ARGS=TRUE&amp;VAR:ID1=607564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8__FDSAUDITLINK__" localSheetId="0" hidden="1">{"fdsup://IBCentral/FAT Viewer?action=UPDATE&amp;creator=factset&amp;DOC_NAME=fat:reuters_annual_pshs_src_window.fat&amp;display_string=Audit&amp;DYN_ARGS=TRUE&amp;VAR:ID1=607564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8__FDSAUDITLINK__" hidden="1">{"fdsup://IBCentral/FAT Viewer?action=UPDATE&amp;creator=factset&amp;DOC_NAME=fat:reuters_annual_pshs_src_window.fat&amp;display_string=Audit&amp;DYN_ARGS=TRUE&amp;VAR:ID1=607564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9__FDSAUDITLINK__" localSheetId="2" hidden="1">{"fdsup://IBCentral/FAT Viewer?action=UPDATE&amp;creator=factset&amp;DOC_NAME=fat:reuters_annual_pshs_src_window.fat&amp;display_string=Audit&amp;DYN_ARGS=TRUE&amp;VAR:ID1=040828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9__FDSAUDITLINK__" localSheetId="3" hidden="1">{"fdsup://IBCentral/FAT Viewer?action=UPDATE&amp;creator=factset&amp;DOC_NAME=fat:reuters_annual_pshs_src_window.fat&amp;display_string=Audit&amp;DYN_ARGS=TRUE&amp;VAR:ID1=040828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9__FDSAUDITLINK__" localSheetId="0" hidden="1">{"fdsup://IBCentral/FAT Viewer?action=UPDATE&amp;creator=factset&amp;DOC_NAME=fat:reuters_annual_pshs_src_window.fat&amp;display_string=Audit&amp;DYN_ARGS=TRUE&amp;VAR:ID1=040828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9__FDSAUDITLINK__" hidden="1">{"fdsup://IBCentral/FAT Viewer?action=UPDATE&amp;creator=factset&amp;DOC_NAME=fat:reuters_annual_pshs_src_window.fat&amp;display_string=Audit&amp;DYN_ARGS=TRUE&amp;VAR:ID1=040828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__FDSAUDITLINK__" localSheetId="2" hidden="1">{"fdsup://directions/FAT Viewer?action=UPDATE&amp;creator=factset&amp;DYN_ARGS=TRUE&amp;DOC_NAME=FAT:FQL_AUDITING_CLIENT_TEMPLATE.FAT&amp;display_string=Audit&amp;VAR:KEY=AVMHEHUPAD&amp;VAR:QUERY=UkdGX1JPRShBTk5fUiwyMDA4LCwsLCwsTk9BVURJVCk=&amp;WINDOW=FIRST_POPUP&amp;HEIGHT=450&amp;WIDTH=450&amp;","START_MAXIMIZED=FALSE&amp;VAR:CALENDAR=FIVEDAY&amp;VAR:SYMBOL=609304&amp;VAR:INDEX=0"}</definedName>
    <definedName name="_26__FDSAUDITLINK__" localSheetId="3" hidden="1">{"fdsup://directions/FAT Viewer?action=UPDATE&amp;creator=factset&amp;DYN_ARGS=TRUE&amp;DOC_NAME=FAT:FQL_AUDITING_CLIENT_TEMPLATE.FAT&amp;display_string=Audit&amp;VAR:KEY=AVMHEHUPAD&amp;VAR:QUERY=UkdGX1JPRShBTk5fUiwyMDA4LCwsLCwsTk9BVURJVCk=&amp;WINDOW=FIRST_POPUP&amp;HEIGHT=450&amp;WIDTH=450&amp;","START_MAXIMIZED=FALSE&amp;VAR:CALENDAR=FIVEDAY&amp;VAR:SYMBOL=609304&amp;VAR:INDEX=0"}</definedName>
    <definedName name="_26__FDSAUDITLINK__" localSheetId="0" hidden="1">{"fdsup://directions/FAT Viewer?action=UPDATE&amp;creator=factset&amp;DYN_ARGS=TRUE&amp;DOC_NAME=FAT:FQL_AUDITING_CLIENT_TEMPLATE.FAT&amp;display_string=Audit&amp;VAR:KEY=AVMHEHUPAD&amp;VAR:QUERY=UkdGX1JPRShBTk5fUiwyMDA4LCwsLCwsTk9BVURJVCk=&amp;WINDOW=FIRST_POPUP&amp;HEIGHT=450&amp;WIDTH=450&amp;","START_MAXIMIZED=FALSE&amp;VAR:CALENDAR=FIVEDAY&amp;VAR:SYMBOL=609304&amp;VAR:INDEX=0"}</definedName>
    <definedName name="_26__FDSAUDITLINK__" hidden="1">{"fdsup://directions/FAT Viewer?action=UPDATE&amp;creator=factset&amp;DYN_ARGS=TRUE&amp;DOC_NAME=FAT:FQL_AUDITING_CLIENT_TEMPLATE.FAT&amp;display_string=Audit&amp;VAR:KEY=AVMHEHUPAD&amp;VAR:QUERY=UkdGX1JPRShBTk5fUiwyMDA4LCwsLCwsTk9BVURJVCk=&amp;WINDOW=FIRST_POPUP&amp;HEIGHT=450&amp;WIDTH=450&amp;","START_MAXIMIZED=FALSE&amp;VAR:CALENDAR=FIVEDAY&amp;VAR:SYMBOL=609304&amp;VAR:INDEX=0"}</definedName>
    <definedName name="_260__FDSAUDITLINK__" localSheetId="2" hidden="1">{"fdsup://IBCentral/FAT Viewer?action=UPDATE&amp;creator=factset&amp;DOC_NAME=fat:reuters_annual_pshs_src_window.fat&amp;display_string=Audit&amp;DYN_ARGS=TRUE&amp;VAR:ID1=653611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0__FDSAUDITLINK__" localSheetId="3" hidden="1">{"fdsup://IBCentral/FAT Viewer?action=UPDATE&amp;creator=factset&amp;DOC_NAME=fat:reuters_annual_pshs_src_window.fat&amp;display_string=Audit&amp;DYN_ARGS=TRUE&amp;VAR:ID1=653611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0__FDSAUDITLINK__" localSheetId="0" hidden="1">{"fdsup://IBCentral/FAT Viewer?action=UPDATE&amp;creator=factset&amp;DOC_NAME=fat:reuters_annual_pshs_src_window.fat&amp;display_string=Audit&amp;DYN_ARGS=TRUE&amp;VAR:ID1=653611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0__FDSAUDITLINK__" hidden="1">{"fdsup://IBCentral/FAT Viewer?action=UPDATE&amp;creator=factset&amp;DOC_NAME=fat:reuters_annual_pshs_src_window.fat&amp;display_string=Audit&amp;DYN_ARGS=TRUE&amp;VAR:ID1=653611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1__FDSAUDITLINK__" localSheetId="2" hidden="1">{"fdsup://IBCentral/FAT Viewer?action=UPDATE&amp;creator=factset&amp;DOC_NAME=fat:reuters_annual_pshs_src_window.fat&amp;display_string=Audit&amp;DYN_ARGS=TRUE&amp;VAR:ID1=640837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1__FDSAUDITLINK__" localSheetId="3" hidden="1">{"fdsup://IBCentral/FAT Viewer?action=UPDATE&amp;creator=factset&amp;DOC_NAME=fat:reuters_annual_pshs_src_window.fat&amp;display_string=Audit&amp;DYN_ARGS=TRUE&amp;VAR:ID1=640837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1__FDSAUDITLINK__" localSheetId="0" hidden="1">{"fdsup://IBCentral/FAT Viewer?action=UPDATE&amp;creator=factset&amp;DOC_NAME=fat:reuters_annual_pshs_src_window.fat&amp;display_string=Audit&amp;DYN_ARGS=TRUE&amp;VAR:ID1=640837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1__FDSAUDITLINK__" hidden="1">{"fdsup://IBCentral/FAT Viewer?action=UPDATE&amp;creator=factset&amp;DOC_NAME=fat:reuters_annual_pshs_src_window.fat&amp;display_string=Audit&amp;DYN_ARGS=TRUE&amp;VAR:ID1=640837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2__FDSAUDITLINK__" localSheetId="2" hidden="1">{"fdsup://IBCentral/FAT Viewer?action=UPDATE&amp;creator=factset&amp;DOC_NAME=fat:reuters_annual_pshs_src_window.fat&amp;display_string=Audit&amp;DYN_ARGS=TRUE&amp;VAR:ID1=615816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2__FDSAUDITLINK__" localSheetId="3" hidden="1">{"fdsup://IBCentral/FAT Viewer?action=UPDATE&amp;creator=factset&amp;DOC_NAME=fat:reuters_annual_pshs_src_window.fat&amp;display_string=Audit&amp;DYN_ARGS=TRUE&amp;VAR:ID1=615816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2__FDSAUDITLINK__" localSheetId="0" hidden="1">{"fdsup://IBCentral/FAT Viewer?action=UPDATE&amp;creator=factset&amp;DOC_NAME=fat:reuters_annual_pshs_src_window.fat&amp;display_string=Audit&amp;DYN_ARGS=TRUE&amp;VAR:ID1=615816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62__FDSAUDITLINK__" hidden="1">{"fdsup://IBCentral/FAT Viewer?action=UPDATE&amp;creator=factset&amp;DOC_NAME=fat:reuters_annual_pshs_src_window.fat&amp;display_string=Audit&amp;DYN_ARGS=TRUE&amp;VAR:ID1=615816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__FDSAUDITLINK__" localSheetId="2" hidden="1">{"fdsup://directions/FAT Viewer?action=UPDATE&amp;creator=factset&amp;DYN_ARGS=TRUE&amp;DOC_NAME=FAT:FQL_AUDITING_CLIENT_TEMPLATE.FAT&amp;display_string=Audit&amp;VAR:KEY=HYHOBARGXO&amp;VAR:QUERY=UkdGX1JPRShBTk5fUiwyMDA3LCwsLCwsTk9BVURJVCk=&amp;WINDOW=FIRST_POPUP&amp;HEIGHT=450&amp;WIDTH=450&amp;","START_MAXIMIZED=FALSE&amp;VAR:CALENDAR=FIVEDAY&amp;VAR:SYMBOL=609304&amp;VAR:INDEX=0"}</definedName>
    <definedName name="_27__FDSAUDITLINK__" localSheetId="3" hidden="1">{"fdsup://directions/FAT Viewer?action=UPDATE&amp;creator=factset&amp;DYN_ARGS=TRUE&amp;DOC_NAME=FAT:FQL_AUDITING_CLIENT_TEMPLATE.FAT&amp;display_string=Audit&amp;VAR:KEY=HYHOBARGXO&amp;VAR:QUERY=UkdGX1JPRShBTk5fUiwyMDA3LCwsLCwsTk9BVURJVCk=&amp;WINDOW=FIRST_POPUP&amp;HEIGHT=450&amp;WIDTH=450&amp;","START_MAXIMIZED=FALSE&amp;VAR:CALENDAR=FIVEDAY&amp;VAR:SYMBOL=609304&amp;VAR:INDEX=0"}</definedName>
    <definedName name="_27__FDSAUDITLINK__" localSheetId="0" hidden="1">{"fdsup://directions/FAT Viewer?action=UPDATE&amp;creator=factset&amp;DYN_ARGS=TRUE&amp;DOC_NAME=FAT:FQL_AUDITING_CLIENT_TEMPLATE.FAT&amp;display_string=Audit&amp;VAR:KEY=HYHOBARGXO&amp;VAR:QUERY=UkdGX1JPRShBTk5fUiwyMDA3LCwsLCwsTk9BVURJVCk=&amp;WINDOW=FIRST_POPUP&amp;HEIGHT=450&amp;WIDTH=450&amp;","START_MAXIMIZED=FALSE&amp;VAR:CALENDAR=FIVEDAY&amp;VAR:SYMBOL=609304&amp;VAR:INDEX=0"}</definedName>
    <definedName name="_27__FDSAUDITLINK__" hidden="1">{"fdsup://directions/FAT Viewer?action=UPDATE&amp;creator=factset&amp;DYN_ARGS=TRUE&amp;DOC_NAME=FAT:FQL_AUDITING_CLIENT_TEMPLATE.FAT&amp;display_string=Audit&amp;VAR:KEY=HYHOBARGXO&amp;VAR:QUERY=UkdGX1JPRShBTk5fUiwyMDA3LCwsLCwsTk9BVURJVCk=&amp;WINDOW=FIRST_POPUP&amp;HEIGHT=450&amp;WIDTH=450&amp;","START_MAXIMIZED=FALSE&amp;VAR:CALENDAR=FIVEDAY&amp;VAR:SYMBOL=609304&amp;VAR:INDEX=0"}</definedName>
    <definedName name="_2750_ob" localSheetId="0">#REF!</definedName>
    <definedName name="_2750_ob" localSheetId="5">#REF!</definedName>
    <definedName name="_2750_ob" localSheetId="6">#REF!</definedName>
    <definedName name="_2750_ob">#REF!</definedName>
    <definedName name="_2750_ok" localSheetId="0">#REF!</definedName>
    <definedName name="_2750_ok" localSheetId="5">#REF!</definedName>
    <definedName name="_2750_ok" localSheetId="6">#REF!</definedName>
    <definedName name="_2750_ok">#REF!</definedName>
    <definedName name="_28" localSheetId="0">[24]tanggapan!#REF!</definedName>
    <definedName name="_28" localSheetId="5">[24]tanggapan!#REF!</definedName>
    <definedName name="_28" localSheetId="6">[24]tanggapan!#REF!</definedName>
    <definedName name="_28">[24]tanggapan!#REF!</definedName>
    <definedName name="_28__FDSAUDITLINK__" localSheetId="2" hidden="1">{"fdsup://directions/FAT Viewer?action=UPDATE&amp;creator=factset&amp;DYN_ARGS=TRUE&amp;DOC_NAME=FAT:FQL_AUDITING_CLIENT_TEMPLATE.FAT&amp;display_string=Audit&amp;VAR:KEY=CLSXOZMXQB&amp;VAR:QUERY=UkdGX1JPRShBTk5fUiwyMDA2LCwsLCwsTk9BVURJVCk=&amp;WINDOW=FIRST_POPUP&amp;HEIGHT=450&amp;WIDTH=450&amp;","START_MAXIMIZED=FALSE&amp;VAR:CALENDAR=FIVEDAY&amp;VAR:SYMBOL=609304&amp;VAR:INDEX=0"}</definedName>
    <definedName name="_28__FDSAUDITLINK__" localSheetId="3" hidden="1">{"fdsup://directions/FAT Viewer?action=UPDATE&amp;creator=factset&amp;DYN_ARGS=TRUE&amp;DOC_NAME=FAT:FQL_AUDITING_CLIENT_TEMPLATE.FAT&amp;display_string=Audit&amp;VAR:KEY=CLSXOZMXQB&amp;VAR:QUERY=UkdGX1JPRShBTk5fUiwyMDA2LCwsLCwsTk9BVURJVCk=&amp;WINDOW=FIRST_POPUP&amp;HEIGHT=450&amp;WIDTH=450&amp;","START_MAXIMIZED=FALSE&amp;VAR:CALENDAR=FIVEDAY&amp;VAR:SYMBOL=609304&amp;VAR:INDEX=0"}</definedName>
    <definedName name="_28__FDSAUDITLINK__" localSheetId="0" hidden="1">{"fdsup://directions/FAT Viewer?action=UPDATE&amp;creator=factset&amp;DYN_ARGS=TRUE&amp;DOC_NAME=FAT:FQL_AUDITING_CLIENT_TEMPLATE.FAT&amp;display_string=Audit&amp;VAR:KEY=CLSXOZMXQB&amp;VAR:QUERY=UkdGX1JPRShBTk5fUiwyMDA2LCwsLCwsTk9BVURJVCk=&amp;WINDOW=FIRST_POPUP&amp;HEIGHT=450&amp;WIDTH=450&amp;","START_MAXIMIZED=FALSE&amp;VAR:CALENDAR=FIVEDAY&amp;VAR:SYMBOL=609304&amp;VAR:INDEX=0"}</definedName>
    <definedName name="_28__FDSAUDITLINK__" hidden="1">{"fdsup://directions/FAT Viewer?action=UPDATE&amp;creator=factset&amp;DYN_ARGS=TRUE&amp;DOC_NAME=FAT:FQL_AUDITING_CLIENT_TEMPLATE.FAT&amp;display_string=Audit&amp;VAR:KEY=CLSXOZMXQB&amp;VAR:QUERY=UkdGX1JPRShBTk5fUiwyMDA2LCwsLCwsTk9BVURJVCk=&amp;WINDOW=FIRST_POPUP&amp;HEIGHT=450&amp;WIDTH=450&amp;","START_MAXIMIZED=FALSE&amp;VAR:CALENDAR=FIVEDAY&amp;VAR:SYMBOL=609304&amp;VAR:INDEX=0"}</definedName>
    <definedName name="_29" localSheetId="0">#REF!</definedName>
    <definedName name="_29" localSheetId="5">#REF!</definedName>
    <definedName name="_29" localSheetId="6">#REF!</definedName>
    <definedName name="_29">#REF!</definedName>
    <definedName name="_29__FDSAUDITLINK__" localSheetId="2" hidden="1">{"fdsup://directions/FAT Viewer?action=UPDATE&amp;creator=factset&amp;DYN_ARGS=TRUE&amp;DOC_NAME=FAT:FQL_AUDITING_CLIENT_TEMPLATE.FAT&amp;display_string=Audit&amp;VAR:KEY=JGZEFAVWDI&amp;VAR:QUERY=UkdGX1JPRShBTk5fUiwyMDA1LCwsLCwsTk9BVURJVCk=&amp;WINDOW=FIRST_POPUP&amp;HEIGHT=450&amp;WIDTH=450&amp;","START_MAXIMIZED=FALSE&amp;VAR:CALENDAR=FIVEDAY&amp;VAR:SYMBOL=609304&amp;VAR:INDEX=0"}</definedName>
    <definedName name="_29__FDSAUDITLINK__" localSheetId="3" hidden="1">{"fdsup://directions/FAT Viewer?action=UPDATE&amp;creator=factset&amp;DYN_ARGS=TRUE&amp;DOC_NAME=FAT:FQL_AUDITING_CLIENT_TEMPLATE.FAT&amp;display_string=Audit&amp;VAR:KEY=JGZEFAVWDI&amp;VAR:QUERY=UkdGX1JPRShBTk5fUiwyMDA1LCwsLCwsTk9BVURJVCk=&amp;WINDOW=FIRST_POPUP&amp;HEIGHT=450&amp;WIDTH=450&amp;","START_MAXIMIZED=FALSE&amp;VAR:CALENDAR=FIVEDAY&amp;VAR:SYMBOL=609304&amp;VAR:INDEX=0"}</definedName>
    <definedName name="_29__FDSAUDITLINK__" localSheetId="0" hidden="1">{"fdsup://directions/FAT Viewer?action=UPDATE&amp;creator=factset&amp;DYN_ARGS=TRUE&amp;DOC_NAME=FAT:FQL_AUDITING_CLIENT_TEMPLATE.FAT&amp;display_string=Audit&amp;VAR:KEY=JGZEFAVWDI&amp;VAR:QUERY=UkdGX1JPRShBTk5fUiwyMDA1LCwsLCwsTk9BVURJVCk=&amp;WINDOW=FIRST_POPUP&amp;HEIGHT=450&amp;WIDTH=450&amp;","START_MAXIMIZED=FALSE&amp;VAR:CALENDAR=FIVEDAY&amp;VAR:SYMBOL=609304&amp;VAR:INDEX=0"}</definedName>
    <definedName name="_29__FDSAUDITLINK__" hidden="1">{"fdsup://directions/FAT Viewer?action=UPDATE&amp;creator=factset&amp;DYN_ARGS=TRUE&amp;DOC_NAME=FAT:FQL_AUDITING_CLIENT_TEMPLATE.FAT&amp;display_string=Audit&amp;VAR:KEY=JGZEFAVWDI&amp;VAR:QUERY=UkdGX1JPRShBTk5fUiwyMDA1LCwsLCwsTk9BVURJVCk=&amp;WINDOW=FIRST_POPUP&amp;HEIGHT=450&amp;WIDTH=450&amp;","START_MAXIMIZED=FALSE&amp;VAR:CALENDAR=FIVEDAY&amp;VAR:SYMBOL=609304&amp;VAR:INDEX=0"}</definedName>
    <definedName name="_2Excel_BuiltIn_Print_Area_1_1" localSheetId="0">#REF!</definedName>
    <definedName name="_2Excel_BuiltIn_Print_Area_1_1" localSheetId="5">#REF!</definedName>
    <definedName name="_2Excel_BuiltIn_Print_Area_1_1" localSheetId="6">#REF!</definedName>
    <definedName name="_2Excel_BuiltIn_Print_Area_1_1">#REF!</definedName>
    <definedName name="_2K" localSheetId="0">#REF!</definedName>
    <definedName name="_2K" localSheetId="5">#REF!</definedName>
    <definedName name="_2K" localSheetId="6">#REF!</definedName>
    <definedName name="_2K">#REF!</definedName>
    <definedName name="_3">[19]laporan!$A$57:$H$112</definedName>
    <definedName name="_3.2.__PPh_Pasal_23_Tahun_1990" localSheetId="0">#REF!</definedName>
    <definedName name="_3.2.__PPh_Pasal_23_Tahun_1990" localSheetId="5">#REF!</definedName>
    <definedName name="_3.2.__PPh_Pasal_23_Tahun_1990" localSheetId="6">#REF!</definedName>
    <definedName name="_3.2.__PPh_Pasal_23_Tahun_1990">#REF!</definedName>
    <definedName name="_3__FDSAUDITLINK__" localSheetId="2" hidden="1">{"fdsup://directions/FAT Viewer?action=UPDATE&amp;creator=factset&amp;DYN_ARGS=TRUE&amp;DOC_NAME=FAT:FQL_AUDITING_CLIENT_TEMPLATE.FAT&amp;display_string=Audit&amp;VAR:KEY=UTAPCJELST&amp;VAR:QUERY=UkdGX0JQUyhRVFIsNDExNzMsLCwsVVNELCxOT0FVRElUKQ==&amp;WINDOW=FIRST_POPUP&amp;HEIGHT=450&amp;WIDTH=","450&amp;START_MAXIMIZED=FALSE&amp;VAR:CALENDAR=FIVEDAY&amp;VAR:SYMBOL=665104&amp;VAR:INDEX=0"}</definedName>
    <definedName name="_3__FDSAUDITLINK__" localSheetId="3" hidden="1">{"fdsup://directions/FAT Viewer?action=UPDATE&amp;creator=factset&amp;DYN_ARGS=TRUE&amp;DOC_NAME=FAT:FQL_AUDITING_CLIENT_TEMPLATE.FAT&amp;display_string=Audit&amp;VAR:KEY=UTAPCJELST&amp;VAR:QUERY=UkdGX0JQUyhRVFIsNDExNzMsLCwsVVNELCxOT0FVRElUKQ==&amp;WINDOW=FIRST_POPUP&amp;HEIGHT=450&amp;WIDTH=","450&amp;START_MAXIMIZED=FALSE&amp;VAR:CALENDAR=FIVEDAY&amp;VAR:SYMBOL=665104&amp;VAR:INDEX=0"}</definedName>
    <definedName name="_3__FDSAUDITLINK__" localSheetId="0" hidden="1">{"fdsup://directions/FAT Viewer?action=UPDATE&amp;creator=factset&amp;DYN_ARGS=TRUE&amp;DOC_NAME=FAT:FQL_AUDITING_CLIENT_TEMPLATE.FAT&amp;display_string=Audit&amp;VAR:KEY=UTAPCJELST&amp;VAR:QUERY=UkdGX0JQUyhRVFIsNDExNzMsLCwsVVNELCxOT0FVRElUKQ==&amp;WINDOW=FIRST_POPUP&amp;HEIGHT=450&amp;WIDTH=","450&amp;START_MAXIMIZED=FALSE&amp;VAR:CALENDAR=FIVEDAY&amp;VAR:SYMBOL=665104&amp;VAR:INDEX=0"}</definedName>
    <definedName name="_3__FDSAUDITLINK__" hidden="1">{"fdsup://directions/FAT Viewer?action=UPDATE&amp;creator=factset&amp;DYN_ARGS=TRUE&amp;DOC_NAME=FAT:FQL_AUDITING_CLIENT_TEMPLATE.FAT&amp;display_string=Audit&amp;VAR:KEY=UTAPCJELST&amp;VAR:QUERY=UkdGX0JQUyhRVFIsNDExNzMsLCwsVVNELCxOT0FVRElUKQ==&amp;WINDOW=FIRST_POPUP&amp;HEIGHT=450&amp;WIDTH=","450&amp;START_MAXIMIZED=FALSE&amp;VAR:CALENDAR=FIVEDAY&amp;VAR:SYMBOL=665104&amp;VAR:INDEX=0"}</definedName>
    <definedName name="_30__FDSAUDITLINK__" localSheetId="2" hidden="1">{"fdsup://directions/FAT Viewer?action=UPDATE&amp;creator=factset&amp;DYN_ARGS=TRUE&amp;DOC_NAME=FAT:FQL_AUDITING_CLIENT_TEMPLATE.FAT&amp;display_string=Audit&amp;VAR:KEY=IXYZSLSLKN&amp;VAR:QUERY=UkdGX1JPRShBTk5fUiwyMDExLCwsLCwsTk9BVURJVCk=&amp;WINDOW=FIRST_POPUP&amp;HEIGHT=450&amp;WIDTH=450&amp;","START_MAXIMIZED=FALSE&amp;VAR:CALENDAR=FIVEDAY&amp;VAR:SYMBOL=B7D5Y7&amp;VAR:INDEX=0"}</definedName>
    <definedName name="_30__FDSAUDITLINK__" localSheetId="3" hidden="1">{"fdsup://directions/FAT Viewer?action=UPDATE&amp;creator=factset&amp;DYN_ARGS=TRUE&amp;DOC_NAME=FAT:FQL_AUDITING_CLIENT_TEMPLATE.FAT&amp;display_string=Audit&amp;VAR:KEY=IXYZSLSLKN&amp;VAR:QUERY=UkdGX1JPRShBTk5fUiwyMDExLCwsLCwsTk9BVURJVCk=&amp;WINDOW=FIRST_POPUP&amp;HEIGHT=450&amp;WIDTH=450&amp;","START_MAXIMIZED=FALSE&amp;VAR:CALENDAR=FIVEDAY&amp;VAR:SYMBOL=B7D5Y7&amp;VAR:INDEX=0"}</definedName>
    <definedName name="_30__FDSAUDITLINK__" localSheetId="0" hidden="1">{"fdsup://directions/FAT Viewer?action=UPDATE&amp;creator=factset&amp;DYN_ARGS=TRUE&amp;DOC_NAME=FAT:FQL_AUDITING_CLIENT_TEMPLATE.FAT&amp;display_string=Audit&amp;VAR:KEY=IXYZSLSLKN&amp;VAR:QUERY=UkdGX1JPRShBTk5fUiwyMDExLCwsLCwsTk9BVURJVCk=&amp;WINDOW=FIRST_POPUP&amp;HEIGHT=450&amp;WIDTH=450&amp;","START_MAXIMIZED=FALSE&amp;VAR:CALENDAR=FIVEDAY&amp;VAR:SYMBOL=B7D5Y7&amp;VAR:INDEX=0"}</definedName>
    <definedName name="_30__FDSAUDITLINK__" hidden="1">{"fdsup://directions/FAT Viewer?action=UPDATE&amp;creator=factset&amp;DYN_ARGS=TRUE&amp;DOC_NAME=FAT:FQL_AUDITING_CLIENT_TEMPLATE.FAT&amp;display_string=Audit&amp;VAR:KEY=IXYZSLSLKN&amp;VAR:QUERY=UkdGX1JPRShBTk5fUiwyMDExLCwsLCwsTk9BVURJVCk=&amp;WINDOW=FIRST_POPUP&amp;HEIGHT=450&amp;WIDTH=450&amp;","START_MAXIMIZED=FALSE&amp;VAR:CALENDAR=FIVEDAY&amp;VAR:SYMBOL=B7D5Y7&amp;VAR:INDEX=0"}</definedName>
    <definedName name="_31__FDSAUDITLINK__" localSheetId="2" hidden="1">{"fdsup://directions/FAT Viewer?action=UPDATE&amp;creator=factset&amp;DYN_ARGS=TRUE&amp;DOC_NAME=FAT:FQL_AUDITING_CLIENT_TEMPLATE.FAT&amp;display_string=Audit&amp;VAR:KEY=NODMDSDGVO&amp;VAR:QUERY=UkdGX1JPRShBTk5fUiwyMDEwLCwsLCwsTk9BVURJVCk=&amp;WINDOW=FIRST_POPUP&amp;HEIGHT=450&amp;WIDTH=450&amp;","START_MAXIMIZED=FALSE&amp;VAR:CALENDAR=FIVEDAY&amp;VAR:SYMBOL=B7D5Y7&amp;VAR:INDEX=0"}</definedName>
    <definedName name="_31__FDSAUDITLINK__" localSheetId="3" hidden="1">{"fdsup://directions/FAT Viewer?action=UPDATE&amp;creator=factset&amp;DYN_ARGS=TRUE&amp;DOC_NAME=FAT:FQL_AUDITING_CLIENT_TEMPLATE.FAT&amp;display_string=Audit&amp;VAR:KEY=NODMDSDGVO&amp;VAR:QUERY=UkdGX1JPRShBTk5fUiwyMDEwLCwsLCwsTk9BVURJVCk=&amp;WINDOW=FIRST_POPUP&amp;HEIGHT=450&amp;WIDTH=450&amp;","START_MAXIMIZED=FALSE&amp;VAR:CALENDAR=FIVEDAY&amp;VAR:SYMBOL=B7D5Y7&amp;VAR:INDEX=0"}</definedName>
    <definedName name="_31__FDSAUDITLINK__" localSheetId="0" hidden="1">{"fdsup://directions/FAT Viewer?action=UPDATE&amp;creator=factset&amp;DYN_ARGS=TRUE&amp;DOC_NAME=FAT:FQL_AUDITING_CLIENT_TEMPLATE.FAT&amp;display_string=Audit&amp;VAR:KEY=NODMDSDGVO&amp;VAR:QUERY=UkdGX1JPRShBTk5fUiwyMDEwLCwsLCwsTk9BVURJVCk=&amp;WINDOW=FIRST_POPUP&amp;HEIGHT=450&amp;WIDTH=450&amp;","START_MAXIMIZED=FALSE&amp;VAR:CALENDAR=FIVEDAY&amp;VAR:SYMBOL=B7D5Y7&amp;VAR:INDEX=0"}</definedName>
    <definedName name="_31__FDSAUDITLINK__" hidden="1">{"fdsup://directions/FAT Viewer?action=UPDATE&amp;creator=factset&amp;DYN_ARGS=TRUE&amp;DOC_NAME=FAT:FQL_AUDITING_CLIENT_TEMPLATE.FAT&amp;display_string=Audit&amp;VAR:KEY=NODMDSDGVO&amp;VAR:QUERY=UkdGX1JPRShBTk5fUiwyMDEwLCwsLCwsTk9BVURJVCk=&amp;WINDOW=FIRST_POPUP&amp;HEIGHT=450&amp;WIDTH=450&amp;","START_MAXIMIZED=FALSE&amp;VAR:CALENDAR=FIVEDAY&amp;VAR:SYMBOL=B7D5Y7&amp;VAR:INDEX=0"}</definedName>
    <definedName name="_31_12_2001" localSheetId="0">#REF!</definedName>
    <definedName name="_31_12_2001" localSheetId="5">#REF!</definedName>
    <definedName name="_31_12_2001" localSheetId="6">#REF!</definedName>
    <definedName name="_31_12_2001">#REF!</definedName>
    <definedName name="_32__FDSAUDITLINK__" localSheetId="2" hidden="1">{"fdsup://directions/FAT Viewer?action=UPDATE&amp;creator=factset&amp;DYN_ARGS=TRUE&amp;DOC_NAME=FAT:FQL_AUDITING_CLIENT_TEMPLATE.FAT&amp;display_string=Audit&amp;VAR:KEY=CNMLIZMZOR&amp;VAR:QUERY=UkdGX1JPRShBTk5fUiwyMDA5LCwsLCwsTk9BVURJVCk=&amp;WINDOW=FIRST_POPUP&amp;HEIGHT=450&amp;WIDTH=450&amp;","START_MAXIMIZED=FALSE&amp;VAR:CALENDAR=FIVEDAY&amp;VAR:SYMBOL=B7D5Y7&amp;VAR:INDEX=0"}</definedName>
    <definedName name="_32__FDSAUDITLINK__" localSheetId="3" hidden="1">{"fdsup://directions/FAT Viewer?action=UPDATE&amp;creator=factset&amp;DYN_ARGS=TRUE&amp;DOC_NAME=FAT:FQL_AUDITING_CLIENT_TEMPLATE.FAT&amp;display_string=Audit&amp;VAR:KEY=CNMLIZMZOR&amp;VAR:QUERY=UkdGX1JPRShBTk5fUiwyMDA5LCwsLCwsTk9BVURJVCk=&amp;WINDOW=FIRST_POPUP&amp;HEIGHT=450&amp;WIDTH=450&amp;","START_MAXIMIZED=FALSE&amp;VAR:CALENDAR=FIVEDAY&amp;VAR:SYMBOL=B7D5Y7&amp;VAR:INDEX=0"}</definedName>
    <definedName name="_32__FDSAUDITLINK__" localSheetId="0" hidden="1">{"fdsup://directions/FAT Viewer?action=UPDATE&amp;creator=factset&amp;DYN_ARGS=TRUE&amp;DOC_NAME=FAT:FQL_AUDITING_CLIENT_TEMPLATE.FAT&amp;display_string=Audit&amp;VAR:KEY=CNMLIZMZOR&amp;VAR:QUERY=UkdGX1JPRShBTk5fUiwyMDA5LCwsLCwsTk9BVURJVCk=&amp;WINDOW=FIRST_POPUP&amp;HEIGHT=450&amp;WIDTH=450&amp;","START_MAXIMIZED=FALSE&amp;VAR:CALENDAR=FIVEDAY&amp;VAR:SYMBOL=B7D5Y7&amp;VAR:INDEX=0"}</definedName>
    <definedName name="_32__FDSAUDITLINK__" hidden="1">{"fdsup://directions/FAT Viewer?action=UPDATE&amp;creator=factset&amp;DYN_ARGS=TRUE&amp;DOC_NAME=FAT:FQL_AUDITING_CLIENT_TEMPLATE.FAT&amp;display_string=Audit&amp;VAR:KEY=CNMLIZMZOR&amp;VAR:QUERY=UkdGX1JPRShBTk5fUiwyMDA5LCwsLCwsTk9BVURJVCk=&amp;WINDOW=FIRST_POPUP&amp;HEIGHT=450&amp;WIDTH=450&amp;","START_MAXIMIZED=FALSE&amp;VAR:CALENDAR=FIVEDAY&amp;VAR:SYMBOL=B7D5Y7&amp;VAR:INDEX=0"}</definedName>
    <definedName name="_321" localSheetId="2" hidden="1">#REF!</definedName>
    <definedName name="_321" localSheetId="0" hidden="1">#REF!</definedName>
    <definedName name="_321" localSheetId="5" hidden="1">#REF!</definedName>
    <definedName name="_321" localSheetId="6" hidden="1">#REF!</definedName>
    <definedName name="_321" hidden="1">#REF!</definedName>
    <definedName name="_33__FDSAUDITLINK__" localSheetId="2" hidden="1">{"fdsup://directions/FAT Viewer?action=UPDATE&amp;creator=factset&amp;DYN_ARGS=TRUE&amp;DOC_NAME=FAT:FQL_AUDITING_CLIENT_TEMPLATE.FAT&amp;display_string=Audit&amp;VAR:KEY=DALCLOLQNG&amp;VAR:QUERY=UkdGX1JPRShBTk5fUiwyMDA4LCwsLCwsTk9BVURJVCk=&amp;WINDOW=FIRST_POPUP&amp;HEIGHT=450&amp;WIDTH=450&amp;","START_MAXIMIZED=FALSE&amp;VAR:CALENDAR=FIVEDAY&amp;VAR:SYMBOL=B7D5Y7&amp;VAR:INDEX=0"}</definedName>
    <definedName name="_33__FDSAUDITLINK__" localSheetId="3" hidden="1">{"fdsup://directions/FAT Viewer?action=UPDATE&amp;creator=factset&amp;DYN_ARGS=TRUE&amp;DOC_NAME=FAT:FQL_AUDITING_CLIENT_TEMPLATE.FAT&amp;display_string=Audit&amp;VAR:KEY=DALCLOLQNG&amp;VAR:QUERY=UkdGX1JPRShBTk5fUiwyMDA4LCwsLCwsTk9BVURJVCk=&amp;WINDOW=FIRST_POPUP&amp;HEIGHT=450&amp;WIDTH=450&amp;","START_MAXIMIZED=FALSE&amp;VAR:CALENDAR=FIVEDAY&amp;VAR:SYMBOL=B7D5Y7&amp;VAR:INDEX=0"}</definedName>
    <definedName name="_33__FDSAUDITLINK__" localSheetId="0" hidden="1">{"fdsup://directions/FAT Viewer?action=UPDATE&amp;creator=factset&amp;DYN_ARGS=TRUE&amp;DOC_NAME=FAT:FQL_AUDITING_CLIENT_TEMPLATE.FAT&amp;display_string=Audit&amp;VAR:KEY=DALCLOLQNG&amp;VAR:QUERY=UkdGX1JPRShBTk5fUiwyMDA4LCwsLCwsTk9BVURJVCk=&amp;WINDOW=FIRST_POPUP&amp;HEIGHT=450&amp;WIDTH=450&amp;","START_MAXIMIZED=FALSE&amp;VAR:CALENDAR=FIVEDAY&amp;VAR:SYMBOL=B7D5Y7&amp;VAR:INDEX=0"}</definedName>
    <definedName name="_33__FDSAUDITLINK__" hidden="1">{"fdsup://directions/FAT Viewer?action=UPDATE&amp;creator=factset&amp;DYN_ARGS=TRUE&amp;DOC_NAME=FAT:FQL_AUDITING_CLIENT_TEMPLATE.FAT&amp;display_string=Audit&amp;VAR:KEY=DALCLOLQNG&amp;VAR:QUERY=UkdGX1JPRShBTk5fUiwyMDA4LCwsLCwsTk9BVURJVCk=&amp;WINDOW=FIRST_POPUP&amp;HEIGHT=450&amp;WIDTH=450&amp;","START_MAXIMIZED=FALSE&amp;VAR:CALENDAR=FIVEDAY&amp;VAR:SYMBOL=B7D5Y7&amp;VAR:INDEX=0"}</definedName>
    <definedName name="_34__FDSAUDITLINK__" localSheetId="2" hidden="1">{"fdsup://directions/FAT Viewer?action=UPDATE&amp;creator=factset&amp;DYN_ARGS=TRUE&amp;DOC_NAME=FAT:FQL_AUDITING_CLIENT_TEMPLATE.FAT&amp;display_string=Audit&amp;VAR:KEY=UFGLMHALUL&amp;VAR:QUERY=UkdGX1JPRShBTk5fUiwyMDA3LCwsLCwsTk9BVURJVCk=&amp;WINDOW=FIRST_POPUP&amp;HEIGHT=450&amp;WIDTH=450&amp;","START_MAXIMIZED=FALSE&amp;VAR:CALENDAR=FIVEDAY&amp;VAR:SYMBOL=B7D5Y7&amp;VAR:INDEX=0"}</definedName>
    <definedName name="_34__FDSAUDITLINK__" localSheetId="3" hidden="1">{"fdsup://directions/FAT Viewer?action=UPDATE&amp;creator=factset&amp;DYN_ARGS=TRUE&amp;DOC_NAME=FAT:FQL_AUDITING_CLIENT_TEMPLATE.FAT&amp;display_string=Audit&amp;VAR:KEY=UFGLMHALUL&amp;VAR:QUERY=UkdGX1JPRShBTk5fUiwyMDA3LCwsLCwsTk9BVURJVCk=&amp;WINDOW=FIRST_POPUP&amp;HEIGHT=450&amp;WIDTH=450&amp;","START_MAXIMIZED=FALSE&amp;VAR:CALENDAR=FIVEDAY&amp;VAR:SYMBOL=B7D5Y7&amp;VAR:INDEX=0"}</definedName>
    <definedName name="_34__FDSAUDITLINK__" localSheetId="0" hidden="1">{"fdsup://directions/FAT Viewer?action=UPDATE&amp;creator=factset&amp;DYN_ARGS=TRUE&amp;DOC_NAME=FAT:FQL_AUDITING_CLIENT_TEMPLATE.FAT&amp;display_string=Audit&amp;VAR:KEY=UFGLMHALUL&amp;VAR:QUERY=UkdGX1JPRShBTk5fUiwyMDA3LCwsLCwsTk9BVURJVCk=&amp;WINDOW=FIRST_POPUP&amp;HEIGHT=450&amp;WIDTH=450&amp;","START_MAXIMIZED=FALSE&amp;VAR:CALENDAR=FIVEDAY&amp;VAR:SYMBOL=B7D5Y7&amp;VAR:INDEX=0"}</definedName>
    <definedName name="_34__FDSAUDITLINK__" hidden="1">{"fdsup://directions/FAT Viewer?action=UPDATE&amp;creator=factset&amp;DYN_ARGS=TRUE&amp;DOC_NAME=FAT:FQL_AUDITING_CLIENT_TEMPLATE.FAT&amp;display_string=Audit&amp;VAR:KEY=UFGLMHALUL&amp;VAR:QUERY=UkdGX1JPRShBTk5fUiwyMDA3LCwsLCwsTk9BVURJVCk=&amp;WINDOW=FIRST_POPUP&amp;HEIGHT=450&amp;WIDTH=450&amp;","START_MAXIMIZED=FALSE&amp;VAR:CALENDAR=FIVEDAY&amp;VAR:SYMBOL=B7D5Y7&amp;VAR:INDEX=0"}</definedName>
    <definedName name="_35__FDSAUDITLINK__" localSheetId="2" hidden="1">{"fdsup://directions/FAT Viewer?action=UPDATE&amp;creator=factset&amp;DYN_ARGS=TRUE&amp;DOC_NAME=FAT:FQL_AUDITING_CLIENT_TEMPLATE.FAT&amp;display_string=Audit&amp;VAR:KEY=RGNEXQRKJO&amp;VAR:QUERY=UkdGX1JPRShBTk5fUiwyMDA2LCwsLCwsTk9BVURJVCk=&amp;WINDOW=FIRST_POPUP&amp;HEIGHT=450&amp;WIDTH=450&amp;","START_MAXIMIZED=FALSE&amp;VAR:CALENDAR=FIVEDAY&amp;VAR:SYMBOL=B7D5Y7&amp;VAR:INDEX=0"}</definedName>
    <definedName name="_35__FDSAUDITLINK__" localSheetId="3" hidden="1">{"fdsup://directions/FAT Viewer?action=UPDATE&amp;creator=factset&amp;DYN_ARGS=TRUE&amp;DOC_NAME=FAT:FQL_AUDITING_CLIENT_TEMPLATE.FAT&amp;display_string=Audit&amp;VAR:KEY=RGNEXQRKJO&amp;VAR:QUERY=UkdGX1JPRShBTk5fUiwyMDA2LCwsLCwsTk9BVURJVCk=&amp;WINDOW=FIRST_POPUP&amp;HEIGHT=450&amp;WIDTH=450&amp;","START_MAXIMIZED=FALSE&amp;VAR:CALENDAR=FIVEDAY&amp;VAR:SYMBOL=B7D5Y7&amp;VAR:INDEX=0"}</definedName>
    <definedName name="_35__FDSAUDITLINK__" localSheetId="0" hidden="1">{"fdsup://directions/FAT Viewer?action=UPDATE&amp;creator=factset&amp;DYN_ARGS=TRUE&amp;DOC_NAME=FAT:FQL_AUDITING_CLIENT_TEMPLATE.FAT&amp;display_string=Audit&amp;VAR:KEY=RGNEXQRKJO&amp;VAR:QUERY=UkdGX1JPRShBTk5fUiwyMDA2LCwsLCwsTk9BVURJVCk=&amp;WINDOW=FIRST_POPUP&amp;HEIGHT=450&amp;WIDTH=450&amp;","START_MAXIMIZED=FALSE&amp;VAR:CALENDAR=FIVEDAY&amp;VAR:SYMBOL=B7D5Y7&amp;VAR:INDEX=0"}</definedName>
    <definedName name="_35__FDSAUDITLINK__" hidden="1">{"fdsup://directions/FAT Viewer?action=UPDATE&amp;creator=factset&amp;DYN_ARGS=TRUE&amp;DOC_NAME=FAT:FQL_AUDITING_CLIENT_TEMPLATE.FAT&amp;display_string=Audit&amp;VAR:KEY=RGNEXQRKJO&amp;VAR:QUERY=UkdGX1JPRShBTk5fUiwyMDA2LCwsLCwsTk9BVURJVCk=&amp;WINDOW=FIRST_POPUP&amp;HEIGHT=450&amp;WIDTH=450&amp;","START_MAXIMIZED=FALSE&amp;VAR:CALENDAR=FIVEDAY&amp;VAR:SYMBOL=B7D5Y7&amp;VAR:INDEX=0"}</definedName>
    <definedName name="_36__FDSAUDITLINK__" localSheetId="2" hidden="1">{"fdsup://directions/FAT Viewer?action=UPDATE&amp;creator=factset&amp;DYN_ARGS=TRUE&amp;DOC_NAME=FAT:FQL_AUDITING_CLIENT_TEMPLATE.FAT&amp;display_string=Audit&amp;VAR:KEY=MVETOPGZQX&amp;VAR:QUERY=UkdGX1JPRShBTk5fUiwyMDA1LCwsLCwsTk9BVURJVCk=&amp;WINDOW=FIRST_POPUP&amp;HEIGHT=450&amp;WIDTH=450&amp;","START_MAXIMIZED=FALSE&amp;VAR:CALENDAR=FIVEDAY&amp;VAR:SYMBOL=B7D5Y7&amp;VAR:INDEX=0"}</definedName>
    <definedName name="_36__FDSAUDITLINK__" localSheetId="3" hidden="1">{"fdsup://directions/FAT Viewer?action=UPDATE&amp;creator=factset&amp;DYN_ARGS=TRUE&amp;DOC_NAME=FAT:FQL_AUDITING_CLIENT_TEMPLATE.FAT&amp;display_string=Audit&amp;VAR:KEY=MVETOPGZQX&amp;VAR:QUERY=UkdGX1JPRShBTk5fUiwyMDA1LCwsLCwsTk9BVURJVCk=&amp;WINDOW=FIRST_POPUP&amp;HEIGHT=450&amp;WIDTH=450&amp;","START_MAXIMIZED=FALSE&amp;VAR:CALENDAR=FIVEDAY&amp;VAR:SYMBOL=B7D5Y7&amp;VAR:INDEX=0"}</definedName>
    <definedName name="_36__FDSAUDITLINK__" localSheetId="0" hidden="1">{"fdsup://directions/FAT Viewer?action=UPDATE&amp;creator=factset&amp;DYN_ARGS=TRUE&amp;DOC_NAME=FAT:FQL_AUDITING_CLIENT_TEMPLATE.FAT&amp;display_string=Audit&amp;VAR:KEY=MVETOPGZQX&amp;VAR:QUERY=UkdGX1JPRShBTk5fUiwyMDA1LCwsLCwsTk9BVURJVCk=&amp;WINDOW=FIRST_POPUP&amp;HEIGHT=450&amp;WIDTH=450&amp;","START_MAXIMIZED=FALSE&amp;VAR:CALENDAR=FIVEDAY&amp;VAR:SYMBOL=B7D5Y7&amp;VAR:INDEX=0"}</definedName>
    <definedName name="_36__FDSAUDITLINK__" hidden="1">{"fdsup://directions/FAT Viewer?action=UPDATE&amp;creator=factset&amp;DYN_ARGS=TRUE&amp;DOC_NAME=FAT:FQL_AUDITING_CLIENT_TEMPLATE.FAT&amp;display_string=Audit&amp;VAR:KEY=MVETOPGZQX&amp;VAR:QUERY=UkdGX1JPRShBTk5fUiwyMDA1LCwsLCwsTk9BVURJVCk=&amp;WINDOW=FIRST_POPUP&amp;HEIGHT=450&amp;WIDTH=450&amp;","START_MAXIMIZED=FALSE&amp;VAR:CALENDAR=FIVEDAY&amp;VAR:SYMBOL=B7D5Y7&amp;VAR:INDEX=0"}</definedName>
    <definedName name="_37__FDSAUDITLINK__" localSheetId="2" hidden="1">{"fdsup://directions/FAT Viewer?action=UPDATE&amp;creator=factset&amp;DYN_ARGS=TRUE&amp;DOC_NAME=FAT:FQL_AUDITING_CLIENT_TEMPLATE.FAT&amp;display_string=Audit&amp;VAR:KEY=FQBQRQTEHA&amp;VAR:QUERY=UkdGX1JPRShBTk5fUiwyMDExLCwsLCwsTk9BVURJVCk=&amp;WINDOW=FIRST_POPUP&amp;HEIGHT=450&amp;WIDTH=450&amp;","START_MAXIMIZED=FALSE&amp;VAR:CALENDAR=FIVEDAY&amp;VAR:SYMBOL=601131&amp;VAR:INDEX=0"}</definedName>
    <definedName name="_37__FDSAUDITLINK__" localSheetId="3" hidden="1">{"fdsup://directions/FAT Viewer?action=UPDATE&amp;creator=factset&amp;DYN_ARGS=TRUE&amp;DOC_NAME=FAT:FQL_AUDITING_CLIENT_TEMPLATE.FAT&amp;display_string=Audit&amp;VAR:KEY=FQBQRQTEHA&amp;VAR:QUERY=UkdGX1JPRShBTk5fUiwyMDExLCwsLCwsTk9BVURJVCk=&amp;WINDOW=FIRST_POPUP&amp;HEIGHT=450&amp;WIDTH=450&amp;","START_MAXIMIZED=FALSE&amp;VAR:CALENDAR=FIVEDAY&amp;VAR:SYMBOL=601131&amp;VAR:INDEX=0"}</definedName>
    <definedName name="_37__FDSAUDITLINK__" localSheetId="0" hidden="1">{"fdsup://directions/FAT Viewer?action=UPDATE&amp;creator=factset&amp;DYN_ARGS=TRUE&amp;DOC_NAME=FAT:FQL_AUDITING_CLIENT_TEMPLATE.FAT&amp;display_string=Audit&amp;VAR:KEY=FQBQRQTEHA&amp;VAR:QUERY=UkdGX1JPRShBTk5fUiwyMDExLCwsLCwsTk9BVURJVCk=&amp;WINDOW=FIRST_POPUP&amp;HEIGHT=450&amp;WIDTH=450&amp;","START_MAXIMIZED=FALSE&amp;VAR:CALENDAR=FIVEDAY&amp;VAR:SYMBOL=601131&amp;VAR:INDEX=0"}</definedName>
    <definedName name="_37__FDSAUDITLINK__" hidden="1">{"fdsup://directions/FAT Viewer?action=UPDATE&amp;creator=factset&amp;DYN_ARGS=TRUE&amp;DOC_NAME=FAT:FQL_AUDITING_CLIENT_TEMPLATE.FAT&amp;display_string=Audit&amp;VAR:KEY=FQBQRQTEHA&amp;VAR:QUERY=UkdGX1JPRShBTk5fUiwyMDExLCwsLCwsTk9BVURJVCk=&amp;WINDOW=FIRST_POPUP&amp;HEIGHT=450&amp;WIDTH=450&amp;","START_MAXIMIZED=FALSE&amp;VAR:CALENDAR=FIVEDAY&amp;VAR:SYMBOL=601131&amp;VAR:INDEX=0"}</definedName>
    <definedName name="_38__FDSAUDITLINK__" localSheetId="2" hidden="1">{"fdsup://directions/FAT Viewer?action=UPDATE&amp;creator=factset&amp;DYN_ARGS=TRUE&amp;DOC_NAME=FAT:FQL_AUDITING_CLIENT_TEMPLATE.FAT&amp;display_string=Audit&amp;VAR:KEY=QZCLEPQVON&amp;VAR:QUERY=UkdGX1JPRShBTk5fUiwyMDEwLCwsLCwsTk9BVURJVCk=&amp;WINDOW=FIRST_POPUP&amp;HEIGHT=450&amp;WIDTH=450&amp;","START_MAXIMIZED=FALSE&amp;VAR:CALENDAR=FIVEDAY&amp;VAR:SYMBOL=601131&amp;VAR:INDEX=0"}</definedName>
    <definedName name="_38__FDSAUDITLINK__" localSheetId="3" hidden="1">{"fdsup://directions/FAT Viewer?action=UPDATE&amp;creator=factset&amp;DYN_ARGS=TRUE&amp;DOC_NAME=FAT:FQL_AUDITING_CLIENT_TEMPLATE.FAT&amp;display_string=Audit&amp;VAR:KEY=QZCLEPQVON&amp;VAR:QUERY=UkdGX1JPRShBTk5fUiwyMDEwLCwsLCwsTk9BVURJVCk=&amp;WINDOW=FIRST_POPUP&amp;HEIGHT=450&amp;WIDTH=450&amp;","START_MAXIMIZED=FALSE&amp;VAR:CALENDAR=FIVEDAY&amp;VAR:SYMBOL=601131&amp;VAR:INDEX=0"}</definedName>
    <definedName name="_38__FDSAUDITLINK__" localSheetId="0" hidden="1">{"fdsup://directions/FAT Viewer?action=UPDATE&amp;creator=factset&amp;DYN_ARGS=TRUE&amp;DOC_NAME=FAT:FQL_AUDITING_CLIENT_TEMPLATE.FAT&amp;display_string=Audit&amp;VAR:KEY=QZCLEPQVON&amp;VAR:QUERY=UkdGX1JPRShBTk5fUiwyMDEwLCwsLCwsTk9BVURJVCk=&amp;WINDOW=FIRST_POPUP&amp;HEIGHT=450&amp;WIDTH=450&amp;","START_MAXIMIZED=FALSE&amp;VAR:CALENDAR=FIVEDAY&amp;VAR:SYMBOL=601131&amp;VAR:INDEX=0"}</definedName>
    <definedName name="_38__FDSAUDITLINK__" hidden="1">{"fdsup://directions/FAT Viewer?action=UPDATE&amp;creator=factset&amp;DYN_ARGS=TRUE&amp;DOC_NAME=FAT:FQL_AUDITING_CLIENT_TEMPLATE.FAT&amp;display_string=Audit&amp;VAR:KEY=QZCLEPQVON&amp;VAR:QUERY=UkdGX1JPRShBTk5fUiwyMDEwLCwsLCwsTk9BVURJVCk=&amp;WINDOW=FIRST_POPUP&amp;HEIGHT=450&amp;WIDTH=450&amp;","START_MAXIMIZED=FALSE&amp;VAR:CALENDAR=FIVEDAY&amp;VAR:SYMBOL=601131&amp;VAR:INDEX=0"}</definedName>
    <definedName name="_39__FDSAUDITLINK__" localSheetId="2" hidden="1">{"fdsup://directions/FAT Viewer?action=UPDATE&amp;creator=factset&amp;DYN_ARGS=TRUE&amp;DOC_NAME=FAT:FQL_AUDITING_CLIENT_TEMPLATE.FAT&amp;display_string=Audit&amp;VAR:KEY=JMPOPUFQJM&amp;VAR:QUERY=UkdGX1JPRShBTk5fUiwyMDA5LCwsLCwsTk9BVURJVCk=&amp;WINDOW=FIRST_POPUP&amp;HEIGHT=450&amp;WIDTH=450&amp;","START_MAXIMIZED=FALSE&amp;VAR:CALENDAR=FIVEDAY&amp;VAR:SYMBOL=601131&amp;VAR:INDEX=0"}</definedName>
    <definedName name="_39__FDSAUDITLINK__" localSheetId="3" hidden="1">{"fdsup://directions/FAT Viewer?action=UPDATE&amp;creator=factset&amp;DYN_ARGS=TRUE&amp;DOC_NAME=FAT:FQL_AUDITING_CLIENT_TEMPLATE.FAT&amp;display_string=Audit&amp;VAR:KEY=JMPOPUFQJM&amp;VAR:QUERY=UkdGX1JPRShBTk5fUiwyMDA5LCwsLCwsTk9BVURJVCk=&amp;WINDOW=FIRST_POPUP&amp;HEIGHT=450&amp;WIDTH=450&amp;","START_MAXIMIZED=FALSE&amp;VAR:CALENDAR=FIVEDAY&amp;VAR:SYMBOL=601131&amp;VAR:INDEX=0"}</definedName>
    <definedName name="_39__FDSAUDITLINK__" localSheetId="0" hidden="1">{"fdsup://directions/FAT Viewer?action=UPDATE&amp;creator=factset&amp;DYN_ARGS=TRUE&amp;DOC_NAME=FAT:FQL_AUDITING_CLIENT_TEMPLATE.FAT&amp;display_string=Audit&amp;VAR:KEY=JMPOPUFQJM&amp;VAR:QUERY=UkdGX1JPRShBTk5fUiwyMDA5LCwsLCwsTk9BVURJVCk=&amp;WINDOW=FIRST_POPUP&amp;HEIGHT=450&amp;WIDTH=450&amp;","START_MAXIMIZED=FALSE&amp;VAR:CALENDAR=FIVEDAY&amp;VAR:SYMBOL=601131&amp;VAR:INDEX=0"}</definedName>
    <definedName name="_39__FDSAUDITLINK__" hidden="1">{"fdsup://directions/FAT Viewer?action=UPDATE&amp;creator=factset&amp;DYN_ARGS=TRUE&amp;DOC_NAME=FAT:FQL_AUDITING_CLIENT_TEMPLATE.FAT&amp;display_string=Audit&amp;VAR:KEY=JMPOPUFQJM&amp;VAR:QUERY=UkdGX1JPRShBTk5fUiwyMDA5LCwsLCwsTk9BVURJVCk=&amp;WINDOW=FIRST_POPUP&amp;HEIGHT=450&amp;WIDTH=450&amp;","START_MAXIMIZED=FALSE&amp;VAR:CALENDAR=FIVEDAY&amp;VAR:SYMBOL=601131&amp;VAR:INDEX=0"}</definedName>
    <definedName name="_3E" localSheetId="0">#REF!</definedName>
    <definedName name="_3E" localSheetId="5">#REF!</definedName>
    <definedName name="_3E" localSheetId="6">#REF!</definedName>
    <definedName name="_3E">#REF!</definedName>
    <definedName name="_4">[19]laporan!$A$113:$H$168</definedName>
    <definedName name="_4__FDSAUDITLINK__" localSheetId="2" hidden="1">{"fdsup://IBCentral/FAT Viewer?action=UPDATE&amp;creator=factset&amp;DOC_NAME=fat:reuters_qtrly_source_window.fat&amp;display_string=Audit&amp;DYN_ARGS=TRUE&amp;VAR:ID1=550190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4__FDSAUDITLINK__" localSheetId="3" hidden="1">{"fdsup://IBCentral/FAT Viewer?action=UPDATE&amp;creator=factset&amp;DOC_NAME=fat:reuters_qtrly_source_window.fat&amp;display_string=Audit&amp;DYN_ARGS=TRUE&amp;VAR:ID1=550190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4__FDSAUDITLINK__" localSheetId="0" hidden="1">{"fdsup://IBCentral/FAT Viewer?action=UPDATE&amp;creator=factset&amp;DOC_NAME=fat:reuters_qtrly_source_window.fat&amp;display_string=Audit&amp;DYN_ARGS=TRUE&amp;VAR:ID1=550190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4__FDSAUDITLINK__" hidden="1">{"fdsup://IBCentral/FAT Viewer?action=UPDATE&amp;creator=factset&amp;DOC_NAME=fat:reuters_qtrly_source_window.fat&amp;display_string=Audit&amp;DYN_ARGS=TRUE&amp;VAR:ID1=550190&amp;VAR:RCODE=ATOT&amp;VAR:SDATE=20120699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40__FDSAUDITLINK__" localSheetId="2" hidden="1">{"fdsup://directions/FAT Viewer?action=UPDATE&amp;creator=factset&amp;DYN_ARGS=TRUE&amp;DOC_NAME=FAT:FQL_AUDITING_CLIENT_TEMPLATE.FAT&amp;display_string=Audit&amp;VAR:KEY=YXUJERUHOL&amp;VAR:QUERY=UkdGX1JPRShBTk5fUiwyMDA4LCwsLCwsTk9BVURJVCk=&amp;WINDOW=FIRST_POPUP&amp;HEIGHT=450&amp;WIDTH=450&amp;","START_MAXIMIZED=FALSE&amp;VAR:CALENDAR=FIVEDAY&amp;VAR:SYMBOL=601131&amp;VAR:INDEX=0"}</definedName>
    <definedName name="_40__FDSAUDITLINK__" localSheetId="3" hidden="1">{"fdsup://directions/FAT Viewer?action=UPDATE&amp;creator=factset&amp;DYN_ARGS=TRUE&amp;DOC_NAME=FAT:FQL_AUDITING_CLIENT_TEMPLATE.FAT&amp;display_string=Audit&amp;VAR:KEY=YXUJERUHOL&amp;VAR:QUERY=UkdGX1JPRShBTk5fUiwyMDA4LCwsLCwsTk9BVURJVCk=&amp;WINDOW=FIRST_POPUP&amp;HEIGHT=450&amp;WIDTH=450&amp;","START_MAXIMIZED=FALSE&amp;VAR:CALENDAR=FIVEDAY&amp;VAR:SYMBOL=601131&amp;VAR:INDEX=0"}</definedName>
    <definedName name="_40__FDSAUDITLINK__" localSheetId="0" hidden="1">{"fdsup://directions/FAT Viewer?action=UPDATE&amp;creator=factset&amp;DYN_ARGS=TRUE&amp;DOC_NAME=FAT:FQL_AUDITING_CLIENT_TEMPLATE.FAT&amp;display_string=Audit&amp;VAR:KEY=YXUJERUHOL&amp;VAR:QUERY=UkdGX1JPRShBTk5fUiwyMDA4LCwsLCwsTk9BVURJVCk=&amp;WINDOW=FIRST_POPUP&amp;HEIGHT=450&amp;WIDTH=450&amp;","START_MAXIMIZED=FALSE&amp;VAR:CALENDAR=FIVEDAY&amp;VAR:SYMBOL=601131&amp;VAR:INDEX=0"}</definedName>
    <definedName name="_40__FDSAUDITLINK__" hidden="1">{"fdsup://directions/FAT Viewer?action=UPDATE&amp;creator=factset&amp;DYN_ARGS=TRUE&amp;DOC_NAME=FAT:FQL_AUDITING_CLIENT_TEMPLATE.FAT&amp;display_string=Audit&amp;VAR:KEY=YXUJERUHOL&amp;VAR:QUERY=UkdGX1JPRShBTk5fUiwyMDA4LCwsLCwsTk9BVURJVCk=&amp;WINDOW=FIRST_POPUP&amp;HEIGHT=450&amp;WIDTH=450&amp;","START_MAXIMIZED=FALSE&amp;VAR:CALENDAR=FIVEDAY&amp;VAR:SYMBOL=601131&amp;VAR:INDEX=0"}</definedName>
    <definedName name="_41__FDSAUDITLINK__" localSheetId="2" hidden="1">{"fdsup://directions/FAT Viewer?action=UPDATE&amp;creator=factset&amp;DYN_ARGS=TRUE&amp;DOC_NAME=FAT:FQL_AUDITING_CLIENT_TEMPLATE.FAT&amp;display_string=Audit&amp;VAR:KEY=BCRKBKVGFW&amp;VAR:QUERY=UkdGX1JPRShBTk5fUiwyMDA3LCwsLCwsTk9BVURJVCk=&amp;WINDOW=FIRST_POPUP&amp;HEIGHT=450&amp;WIDTH=450&amp;","START_MAXIMIZED=FALSE&amp;VAR:CALENDAR=FIVEDAY&amp;VAR:SYMBOL=601131&amp;VAR:INDEX=0"}</definedName>
    <definedName name="_41__FDSAUDITLINK__" localSheetId="3" hidden="1">{"fdsup://directions/FAT Viewer?action=UPDATE&amp;creator=factset&amp;DYN_ARGS=TRUE&amp;DOC_NAME=FAT:FQL_AUDITING_CLIENT_TEMPLATE.FAT&amp;display_string=Audit&amp;VAR:KEY=BCRKBKVGFW&amp;VAR:QUERY=UkdGX1JPRShBTk5fUiwyMDA3LCwsLCwsTk9BVURJVCk=&amp;WINDOW=FIRST_POPUP&amp;HEIGHT=450&amp;WIDTH=450&amp;","START_MAXIMIZED=FALSE&amp;VAR:CALENDAR=FIVEDAY&amp;VAR:SYMBOL=601131&amp;VAR:INDEX=0"}</definedName>
    <definedName name="_41__FDSAUDITLINK__" localSheetId="0" hidden="1">{"fdsup://directions/FAT Viewer?action=UPDATE&amp;creator=factset&amp;DYN_ARGS=TRUE&amp;DOC_NAME=FAT:FQL_AUDITING_CLIENT_TEMPLATE.FAT&amp;display_string=Audit&amp;VAR:KEY=BCRKBKVGFW&amp;VAR:QUERY=UkdGX1JPRShBTk5fUiwyMDA3LCwsLCwsTk9BVURJVCk=&amp;WINDOW=FIRST_POPUP&amp;HEIGHT=450&amp;WIDTH=450&amp;","START_MAXIMIZED=FALSE&amp;VAR:CALENDAR=FIVEDAY&amp;VAR:SYMBOL=601131&amp;VAR:INDEX=0"}</definedName>
    <definedName name="_41__FDSAUDITLINK__" hidden="1">{"fdsup://directions/FAT Viewer?action=UPDATE&amp;creator=factset&amp;DYN_ARGS=TRUE&amp;DOC_NAME=FAT:FQL_AUDITING_CLIENT_TEMPLATE.FAT&amp;display_string=Audit&amp;VAR:KEY=BCRKBKVGFW&amp;VAR:QUERY=UkdGX1JPRShBTk5fUiwyMDA3LCwsLCwsTk9BVURJVCk=&amp;WINDOW=FIRST_POPUP&amp;HEIGHT=450&amp;WIDTH=450&amp;","START_MAXIMIZED=FALSE&amp;VAR:CALENDAR=FIVEDAY&amp;VAR:SYMBOL=601131&amp;VAR:INDEX=0"}</definedName>
    <definedName name="_42__FDSAUDITLINK__" localSheetId="2" hidden="1">{"fdsup://directions/FAT Viewer?action=UPDATE&amp;creator=factset&amp;DYN_ARGS=TRUE&amp;DOC_NAME=FAT:FQL_AUDITING_CLIENT_TEMPLATE.FAT&amp;display_string=Audit&amp;VAR:KEY=UVYVODADSP&amp;VAR:QUERY=UkdGX1JPRShBTk5fUiwyMDA2LCwsLCwsTk9BVURJVCk=&amp;WINDOW=FIRST_POPUP&amp;HEIGHT=450&amp;WIDTH=450&amp;","START_MAXIMIZED=FALSE&amp;VAR:CALENDAR=FIVEDAY&amp;VAR:SYMBOL=601131&amp;VAR:INDEX=0"}</definedName>
    <definedName name="_42__FDSAUDITLINK__" localSheetId="3" hidden="1">{"fdsup://directions/FAT Viewer?action=UPDATE&amp;creator=factset&amp;DYN_ARGS=TRUE&amp;DOC_NAME=FAT:FQL_AUDITING_CLIENT_TEMPLATE.FAT&amp;display_string=Audit&amp;VAR:KEY=UVYVODADSP&amp;VAR:QUERY=UkdGX1JPRShBTk5fUiwyMDA2LCwsLCwsTk9BVURJVCk=&amp;WINDOW=FIRST_POPUP&amp;HEIGHT=450&amp;WIDTH=450&amp;","START_MAXIMIZED=FALSE&amp;VAR:CALENDAR=FIVEDAY&amp;VAR:SYMBOL=601131&amp;VAR:INDEX=0"}</definedName>
    <definedName name="_42__FDSAUDITLINK__" localSheetId="0" hidden="1">{"fdsup://directions/FAT Viewer?action=UPDATE&amp;creator=factset&amp;DYN_ARGS=TRUE&amp;DOC_NAME=FAT:FQL_AUDITING_CLIENT_TEMPLATE.FAT&amp;display_string=Audit&amp;VAR:KEY=UVYVODADSP&amp;VAR:QUERY=UkdGX1JPRShBTk5fUiwyMDA2LCwsLCwsTk9BVURJVCk=&amp;WINDOW=FIRST_POPUP&amp;HEIGHT=450&amp;WIDTH=450&amp;","START_MAXIMIZED=FALSE&amp;VAR:CALENDAR=FIVEDAY&amp;VAR:SYMBOL=601131&amp;VAR:INDEX=0"}</definedName>
    <definedName name="_42__FDSAUDITLINK__" hidden="1">{"fdsup://directions/FAT Viewer?action=UPDATE&amp;creator=factset&amp;DYN_ARGS=TRUE&amp;DOC_NAME=FAT:FQL_AUDITING_CLIENT_TEMPLATE.FAT&amp;display_string=Audit&amp;VAR:KEY=UVYVODADSP&amp;VAR:QUERY=UkdGX1JPRShBTk5fUiwyMDA2LCwsLCwsTk9BVURJVCk=&amp;WINDOW=FIRST_POPUP&amp;HEIGHT=450&amp;WIDTH=450&amp;","START_MAXIMIZED=FALSE&amp;VAR:CALENDAR=FIVEDAY&amp;VAR:SYMBOL=601131&amp;VAR:INDEX=0"}</definedName>
    <definedName name="_43__FDSAUDITLINK__" localSheetId="2" hidden="1">{"fdsup://directions/FAT Viewer?action=UPDATE&amp;creator=factset&amp;DYN_ARGS=TRUE&amp;DOC_NAME=FAT:FQL_AUDITING_CLIENT_TEMPLATE.FAT&amp;display_string=Audit&amp;VAR:KEY=HKZAJYLEHY&amp;VAR:QUERY=UkdGX1JPRShBTk5fUiwyMDA1LCwsLCwsTk9BVURJVCk=&amp;WINDOW=FIRST_POPUP&amp;HEIGHT=450&amp;WIDTH=450&amp;","START_MAXIMIZED=FALSE&amp;VAR:CALENDAR=FIVEDAY&amp;VAR:SYMBOL=601131&amp;VAR:INDEX=0"}</definedName>
    <definedName name="_43__FDSAUDITLINK__" localSheetId="3" hidden="1">{"fdsup://directions/FAT Viewer?action=UPDATE&amp;creator=factset&amp;DYN_ARGS=TRUE&amp;DOC_NAME=FAT:FQL_AUDITING_CLIENT_TEMPLATE.FAT&amp;display_string=Audit&amp;VAR:KEY=HKZAJYLEHY&amp;VAR:QUERY=UkdGX1JPRShBTk5fUiwyMDA1LCwsLCwsTk9BVURJVCk=&amp;WINDOW=FIRST_POPUP&amp;HEIGHT=450&amp;WIDTH=450&amp;","START_MAXIMIZED=FALSE&amp;VAR:CALENDAR=FIVEDAY&amp;VAR:SYMBOL=601131&amp;VAR:INDEX=0"}</definedName>
    <definedName name="_43__FDSAUDITLINK__" localSheetId="0" hidden="1">{"fdsup://directions/FAT Viewer?action=UPDATE&amp;creator=factset&amp;DYN_ARGS=TRUE&amp;DOC_NAME=FAT:FQL_AUDITING_CLIENT_TEMPLATE.FAT&amp;display_string=Audit&amp;VAR:KEY=HKZAJYLEHY&amp;VAR:QUERY=UkdGX1JPRShBTk5fUiwyMDA1LCwsLCwsTk9BVURJVCk=&amp;WINDOW=FIRST_POPUP&amp;HEIGHT=450&amp;WIDTH=450&amp;","START_MAXIMIZED=FALSE&amp;VAR:CALENDAR=FIVEDAY&amp;VAR:SYMBOL=601131&amp;VAR:INDEX=0"}</definedName>
    <definedName name="_43__FDSAUDITLINK__" hidden="1">{"fdsup://directions/FAT Viewer?action=UPDATE&amp;creator=factset&amp;DYN_ARGS=TRUE&amp;DOC_NAME=FAT:FQL_AUDITING_CLIENT_TEMPLATE.FAT&amp;display_string=Audit&amp;VAR:KEY=HKZAJYLEHY&amp;VAR:QUERY=UkdGX1JPRShBTk5fUiwyMDA1LCwsLCwsTk9BVURJVCk=&amp;WINDOW=FIRST_POPUP&amp;HEIGHT=450&amp;WIDTH=450&amp;","START_MAXIMIZED=FALSE&amp;VAR:CALENDAR=FIVEDAY&amp;VAR:SYMBOL=601131&amp;VAR:INDEX=0"}</definedName>
    <definedName name="_44__FDSAUDITLINK__" localSheetId="2" hidden="1">{"fdsup://directions/FAT Viewer?action=UPDATE&amp;creator=factset&amp;DYN_ARGS=TRUE&amp;DOC_NAME=FAT:FQL_AUDITING_CLIENT_TEMPLATE.FAT&amp;display_string=Audit&amp;VAR:KEY=EFELMVKLOZ&amp;VAR:QUERY=UkdGX1JPRShBTk5fUiwyMDExLCwsLCwsTk9BVURJVCk=&amp;WINDOW=FIRST_POPUP&amp;HEIGHT=450&amp;WIDTH=450&amp;","START_MAXIMIZED=FALSE&amp;VAR:CALENDAR=FIVEDAY&amp;VAR:SYMBOL=601667&amp;VAR:INDEX=0"}</definedName>
    <definedName name="_44__FDSAUDITLINK__" localSheetId="3" hidden="1">{"fdsup://directions/FAT Viewer?action=UPDATE&amp;creator=factset&amp;DYN_ARGS=TRUE&amp;DOC_NAME=FAT:FQL_AUDITING_CLIENT_TEMPLATE.FAT&amp;display_string=Audit&amp;VAR:KEY=EFELMVKLOZ&amp;VAR:QUERY=UkdGX1JPRShBTk5fUiwyMDExLCwsLCwsTk9BVURJVCk=&amp;WINDOW=FIRST_POPUP&amp;HEIGHT=450&amp;WIDTH=450&amp;","START_MAXIMIZED=FALSE&amp;VAR:CALENDAR=FIVEDAY&amp;VAR:SYMBOL=601667&amp;VAR:INDEX=0"}</definedName>
    <definedName name="_44__FDSAUDITLINK__" localSheetId="0" hidden="1">{"fdsup://directions/FAT Viewer?action=UPDATE&amp;creator=factset&amp;DYN_ARGS=TRUE&amp;DOC_NAME=FAT:FQL_AUDITING_CLIENT_TEMPLATE.FAT&amp;display_string=Audit&amp;VAR:KEY=EFELMVKLOZ&amp;VAR:QUERY=UkdGX1JPRShBTk5fUiwyMDExLCwsLCwsTk9BVURJVCk=&amp;WINDOW=FIRST_POPUP&amp;HEIGHT=450&amp;WIDTH=450&amp;","START_MAXIMIZED=FALSE&amp;VAR:CALENDAR=FIVEDAY&amp;VAR:SYMBOL=601667&amp;VAR:INDEX=0"}</definedName>
    <definedName name="_44__FDSAUDITLINK__" hidden="1">{"fdsup://directions/FAT Viewer?action=UPDATE&amp;creator=factset&amp;DYN_ARGS=TRUE&amp;DOC_NAME=FAT:FQL_AUDITING_CLIENT_TEMPLATE.FAT&amp;display_string=Audit&amp;VAR:KEY=EFELMVKLOZ&amp;VAR:QUERY=UkdGX1JPRShBTk5fUiwyMDExLCwsLCwsTk9BVURJVCk=&amp;WINDOW=FIRST_POPUP&amp;HEIGHT=450&amp;WIDTH=450&amp;","START_MAXIMIZED=FALSE&amp;VAR:CALENDAR=FIVEDAY&amp;VAR:SYMBOL=601667&amp;VAR:INDEX=0"}</definedName>
    <definedName name="_45__FDSAUDITLINK__" localSheetId="2" hidden="1">{"fdsup://directions/FAT Viewer?action=UPDATE&amp;creator=factset&amp;DYN_ARGS=TRUE&amp;DOC_NAME=FAT:FQL_AUDITING_CLIENT_TEMPLATE.FAT&amp;display_string=Audit&amp;VAR:KEY=RIFSRUXCLI&amp;VAR:QUERY=UkdGX1JPRShBTk5fUiwyMDEwLCwsLCwsTk9BVURJVCk=&amp;WINDOW=FIRST_POPUP&amp;HEIGHT=450&amp;WIDTH=450&amp;","START_MAXIMIZED=FALSE&amp;VAR:CALENDAR=FIVEDAY&amp;VAR:SYMBOL=601667&amp;VAR:INDEX=0"}</definedName>
    <definedName name="_45__FDSAUDITLINK__" localSheetId="3" hidden="1">{"fdsup://directions/FAT Viewer?action=UPDATE&amp;creator=factset&amp;DYN_ARGS=TRUE&amp;DOC_NAME=FAT:FQL_AUDITING_CLIENT_TEMPLATE.FAT&amp;display_string=Audit&amp;VAR:KEY=RIFSRUXCLI&amp;VAR:QUERY=UkdGX1JPRShBTk5fUiwyMDEwLCwsLCwsTk9BVURJVCk=&amp;WINDOW=FIRST_POPUP&amp;HEIGHT=450&amp;WIDTH=450&amp;","START_MAXIMIZED=FALSE&amp;VAR:CALENDAR=FIVEDAY&amp;VAR:SYMBOL=601667&amp;VAR:INDEX=0"}</definedName>
    <definedName name="_45__FDSAUDITLINK__" localSheetId="0" hidden="1">{"fdsup://directions/FAT Viewer?action=UPDATE&amp;creator=factset&amp;DYN_ARGS=TRUE&amp;DOC_NAME=FAT:FQL_AUDITING_CLIENT_TEMPLATE.FAT&amp;display_string=Audit&amp;VAR:KEY=RIFSRUXCLI&amp;VAR:QUERY=UkdGX1JPRShBTk5fUiwyMDEwLCwsLCwsTk9BVURJVCk=&amp;WINDOW=FIRST_POPUP&amp;HEIGHT=450&amp;WIDTH=450&amp;","START_MAXIMIZED=FALSE&amp;VAR:CALENDAR=FIVEDAY&amp;VAR:SYMBOL=601667&amp;VAR:INDEX=0"}</definedName>
    <definedName name="_45__FDSAUDITLINK__" hidden="1">{"fdsup://directions/FAT Viewer?action=UPDATE&amp;creator=factset&amp;DYN_ARGS=TRUE&amp;DOC_NAME=FAT:FQL_AUDITING_CLIENT_TEMPLATE.FAT&amp;display_string=Audit&amp;VAR:KEY=RIFSRUXCLI&amp;VAR:QUERY=UkdGX1JPRShBTk5fUiwyMDEwLCwsLCwsTk9BVURJVCk=&amp;WINDOW=FIRST_POPUP&amp;HEIGHT=450&amp;WIDTH=450&amp;","START_MAXIMIZED=FALSE&amp;VAR:CALENDAR=FIVEDAY&amp;VAR:SYMBOL=601667&amp;VAR:INDEX=0"}</definedName>
    <definedName name="_46__FDSAUDITLINK__" localSheetId="2" hidden="1">{"fdsup://directions/FAT Viewer?action=UPDATE&amp;creator=factset&amp;DYN_ARGS=TRUE&amp;DOC_NAME=FAT:FQL_AUDITING_CLIENT_TEMPLATE.FAT&amp;display_string=Audit&amp;VAR:KEY=IFARALQXSV&amp;VAR:QUERY=UkdGX1JPRShBTk5fUiwyMDA5LCwsLCwsTk9BVURJVCk=&amp;WINDOW=FIRST_POPUP&amp;HEIGHT=450&amp;WIDTH=450&amp;","START_MAXIMIZED=FALSE&amp;VAR:CALENDAR=FIVEDAY&amp;VAR:SYMBOL=601667&amp;VAR:INDEX=0"}</definedName>
    <definedName name="_46__FDSAUDITLINK__" localSheetId="3" hidden="1">{"fdsup://directions/FAT Viewer?action=UPDATE&amp;creator=factset&amp;DYN_ARGS=TRUE&amp;DOC_NAME=FAT:FQL_AUDITING_CLIENT_TEMPLATE.FAT&amp;display_string=Audit&amp;VAR:KEY=IFARALQXSV&amp;VAR:QUERY=UkdGX1JPRShBTk5fUiwyMDA5LCwsLCwsTk9BVURJVCk=&amp;WINDOW=FIRST_POPUP&amp;HEIGHT=450&amp;WIDTH=450&amp;","START_MAXIMIZED=FALSE&amp;VAR:CALENDAR=FIVEDAY&amp;VAR:SYMBOL=601667&amp;VAR:INDEX=0"}</definedName>
    <definedName name="_46__FDSAUDITLINK__" localSheetId="0" hidden="1">{"fdsup://directions/FAT Viewer?action=UPDATE&amp;creator=factset&amp;DYN_ARGS=TRUE&amp;DOC_NAME=FAT:FQL_AUDITING_CLIENT_TEMPLATE.FAT&amp;display_string=Audit&amp;VAR:KEY=IFARALQXSV&amp;VAR:QUERY=UkdGX1JPRShBTk5fUiwyMDA5LCwsLCwsTk9BVURJVCk=&amp;WINDOW=FIRST_POPUP&amp;HEIGHT=450&amp;WIDTH=450&amp;","START_MAXIMIZED=FALSE&amp;VAR:CALENDAR=FIVEDAY&amp;VAR:SYMBOL=601667&amp;VAR:INDEX=0"}</definedName>
    <definedName name="_46__FDSAUDITLINK__" hidden="1">{"fdsup://directions/FAT Viewer?action=UPDATE&amp;creator=factset&amp;DYN_ARGS=TRUE&amp;DOC_NAME=FAT:FQL_AUDITING_CLIENT_TEMPLATE.FAT&amp;display_string=Audit&amp;VAR:KEY=IFARALQXSV&amp;VAR:QUERY=UkdGX1JPRShBTk5fUiwyMDA5LCwsLCwsTk9BVURJVCk=&amp;WINDOW=FIRST_POPUP&amp;HEIGHT=450&amp;WIDTH=450&amp;","START_MAXIMIZED=FALSE&amp;VAR:CALENDAR=FIVEDAY&amp;VAR:SYMBOL=601667&amp;VAR:INDEX=0"}</definedName>
    <definedName name="_47__FDSAUDITLINK__" localSheetId="2" hidden="1">{"fdsup://directions/FAT Viewer?action=UPDATE&amp;creator=factset&amp;DYN_ARGS=TRUE&amp;DOC_NAME=FAT:FQL_AUDITING_CLIENT_TEMPLATE.FAT&amp;display_string=Audit&amp;VAR:KEY=BIPWPGRAFC&amp;VAR:QUERY=UkdGX1JPRShBTk5fUiwyMDA4LCwsLCwsTk9BVURJVCk=&amp;WINDOW=FIRST_POPUP&amp;HEIGHT=450&amp;WIDTH=450&amp;","START_MAXIMIZED=FALSE&amp;VAR:CALENDAR=FIVEDAY&amp;VAR:SYMBOL=601667&amp;VAR:INDEX=0"}</definedName>
    <definedName name="_47__FDSAUDITLINK__" localSheetId="3" hidden="1">{"fdsup://directions/FAT Viewer?action=UPDATE&amp;creator=factset&amp;DYN_ARGS=TRUE&amp;DOC_NAME=FAT:FQL_AUDITING_CLIENT_TEMPLATE.FAT&amp;display_string=Audit&amp;VAR:KEY=BIPWPGRAFC&amp;VAR:QUERY=UkdGX1JPRShBTk5fUiwyMDA4LCwsLCwsTk9BVURJVCk=&amp;WINDOW=FIRST_POPUP&amp;HEIGHT=450&amp;WIDTH=450&amp;","START_MAXIMIZED=FALSE&amp;VAR:CALENDAR=FIVEDAY&amp;VAR:SYMBOL=601667&amp;VAR:INDEX=0"}</definedName>
    <definedName name="_47__FDSAUDITLINK__" localSheetId="0" hidden="1">{"fdsup://directions/FAT Viewer?action=UPDATE&amp;creator=factset&amp;DYN_ARGS=TRUE&amp;DOC_NAME=FAT:FQL_AUDITING_CLIENT_TEMPLATE.FAT&amp;display_string=Audit&amp;VAR:KEY=BIPWPGRAFC&amp;VAR:QUERY=UkdGX1JPRShBTk5fUiwyMDA4LCwsLCwsTk9BVURJVCk=&amp;WINDOW=FIRST_POPUP&amp;HEIGHT=450&amp;WIDTH=450&amp;","START_MAXIMIZED=FALSE&amp;VAR:CALENDAR=FIVEDAY&amp;VAR:SYMBOL=601667&amp;VAR:INDEX=0"}</definedName>
    <definedName name="_47__FDSAUDITLINK__" hidden="1">{"fdsup://directions/FAT Viewer?action=UPDATE&amp;creator=factset&amp;DYN_ARGS=TRUE&amp;DOC_NAME=FAT:FQL_AUDITING_CLIENT_TEMPLATE.FAT&amp;display_string=Audit&amp;VAR:KEY=BIPWPGRAFC&amp;VAR:QUERY=UkdGX1JPRShBTk5fUiwyMDA4LCwsLCwsTk9BVURJVCk=&amp;WINDOW=FIRST_POPUP&amp;HEIGHT=450&amp;WIDTH=450&amp;","START_MAXIMIZED=FALSE&amp;VAR:CALENDAR=FIVEDAY&amp;VAR:SYMBOL=601667&amp;VAR:INDEX=0"}</definedName>
    <definedName name="_48__FDSAUDITLINK__" localSheetId="2" hidden="1">{"fdsup://IBCentral/FAT Viewer?action=UPDATE&amp;creator=factset&amp;DOC_NAME=fat:reuters_annual_pshs_src_window.fat&amp;display_string=Audit&amp;DYN_ARGS=TRUE&amp;VAR:ID1=611646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48__FDSAUDITLINK__" localSheetId="3" hidden="1">{"fdsup://IBCentral/FAT Viewer?action=UPDATE&amp;creator=factset&amp;DOC_NAME=fat:reuters_annual_pshs_src_window.fat&amp;display_string=Audit&amp;DYN_ARGS=TRUE&amp;VAR:ID1=611646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48__FDSAUDITLINK__" localSheetId="0" hidden="1">{"fdsup://IBCentral/FAT Viewer?action=UPDATE&amp;creator=factset&amp;DOC_NAME=fat:reuters_annual_pshs_src_window.fat&amp;display_string=Audit&amp;DYN_ARGS=TRUE&amp;VAR:ID1=611646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48__FDSAUDITLINK__" hidden="1">{"fdsup://IBCentral/FAT Viewer?action=UPDATE&amp;creator=factset&amp;DOC_NAME=fat:reuters_annual_pshs_src_window.fat&amp;display_string=Audit&amp;DYN_ARGS=TRUE&amp;VAR:ID1=611646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49__FDSAUDITLINK__" localSheetId="2" hidden="1">{"fdsup://IBCentral/FAT Viewer?action=UPDATE&amp;creator=factset&amp;DOC_NAME=fat:reuters_annual_pshs_src_window.fat&amp;display_string=Audit&amp;DYN_ARGS=TRUE&amp;VAR:ID1=692337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49__FDSAUDITLINK__" localSheetId="3" hidden="1">{"fdsup://IBCentral/FAT Viewer?action=UPDATE&amp;creator=factset&amp;DOC_NAME=fat:reuters_annual_pshs_src_window.fat&amp;display_string=Audit&amp;DYN_ARGS=TRUE&amp;VAR:ID1=692337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49__FDSAUDITLINK__" localSheetId="0" hidden="1">{"fdsup://IBCentral/FAT Viewer?action=UPDATE&amp;creator=factset&amp;DOC_NAME=fat:reuters_annual_pshs_src_window.fat&amp;display_string=Audit&amp;DYN_ARGS=TRUE&amp;VAR:ID1=692337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49__FDSAUDITLINK__" hidden="1">{"fdsup://IBCentral/FAT Viewer?action=UPDATE&amp;creator=factset&amp;DOC_NAME=fat:reuters_annual_pshs_src_window.fat&amp;display_string=Audit&amp;DYN_ARGS=TRUE&amp;VAR:ID1=692337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" localSheetId="0">#REF!</definedName>
    <definedName name="_5" localSheetId="4">#REF!</definedName>
    <definedName name="_5" localSheetId="5">#REF!</definedName>
    <definedName name="_5" localSheetId="6">#REF!</definedName>
    <definedName name="_5">#REF!</definedName>
    <definedName name="_5__FDSAUDITLINK__" localSheetId="2" hidden="1">{"fdsup://directions/FAT Viewer?action=UPDATE&amp;creator=factset&amp;DYN_ARGS=TRUE&amp;DOC_NAME=FAT:FQL_AUDITING_CLIENT_TEMPLATE.FAT&amp;display_string=Audit&amp;VAR:KEY=VGLGHSZYFC&amp;VAR:QUERY=UkdGX1JPRShBTk5fUiwxMy42NzcwNTcsLCwsLCxOT0FVRElUKQ==&amp;WINDOW=FIRST_POPUP&amp;HEIGHT=450&amp;WI","DTH=450&amp;START_MAXIMIZED=FALSE&amp;VAR:CALENDAR=FIVEDAY&amp;VAR:SYMBOL=676655&amp;VAR:INDEX=0"}</definedName>
    <definedName name="_5__FDSAUDITLINK__" localSheetId="3" hidden="1">{"fdsup://directions/FAT Viewer?action=UPDATE&amp;creator=factset&amp;DYN_ARGS=TRUE&amp;DOC_NAME=FAT:FQL_AUDITING_CLIENT_TEMPLATE.FAT&amp;display_string=Audit&amp;VAR:KEY=VGLGHSZYFC&amp;VAR:QUERY=UkdGX1JPRShBTk5fUiwxMy42NzcwNTcsLCwsLCxOT0FVRElUKQ==&amp;WINDOW=FIRST_POPUP&amp;HEIGHT=450&amp;WI","DTH=450&amp;START_MAXIMIZED=FALSE&amp;VAR:CALENDAR=FIVEDAY&amp;VAR:SYMBOL=676655&amp;VAR:INDEX=0"}</definedName>
    <definedName name="_5__FDSAUDITLINK__" localSheetId="0" hidden="1">{"fdsup://directions/FAT Viewer?action=UPDATE&amp;creator=factset&amp;DYN_ARGS=TRUE&amp;DOC_NAME=FAT:FQL_AUDITING_CLIENT_TEMPLATE.FAT&amp;display_string=Audit&amp;VAR:KEY=VGLGHSZYFC&amp;VAR:QUERY=UkdGX1JPRShBTk5fUiwxMy42NzcwNTcsLCwsLCxOT0FVRElUKQ==&amp;WINDOW=FIRST_POPUP&amp;HEIGHT=450&amp;WI","DTH=450&amp;START_MAXIMIZED=FALSE&amp;VAR:CALENDAR=FIVEDAY&amp;VAR:SYMBOL=676655&amp;VAR:INDEX=0"}</definedName>
    <definedName name="_5__FDSAUDITLINK__" hidden="1">{"fdsup://directions/FAT Viewer?action=UPDATE&amp;creator=factset&amp;DYN_ARGS=TRUE&amp;DOC_NAME=FAT:FQL_AUDITING_CLIENT_TEMPLATE.FAT&amp;display_string=Audit&amp;VAR:KEY=VGLGHSZYFC&amp;VAR:QUERY=UkdGX1JPRShBTk5fUiwxMy42NzcwNTcsLCwsLCxOT0FVRElUKQ==&amp;WINDOW=FIRST_POPUP&amp;HEIGHT=450&amp;WI","DTH=450&amp;START_MAXIMIZED=FALSE&amp;VAR:CALENDAR=FIVEDAY&amp;VAR:SYMBOL=676655&amp;VAR:INDEX=0"}</definedName>
    <definedName name="_50__FDSAUDITLINK__" localSheetId="2" hidden="1">{"fdsup://directions/FAT Viewer?action=UPDATE&amp;creator=factset&amp;DYN_ARGS=TRUE&amp;DOC_NAME=FAT:FQL_AUDITING_CLIENT_TEMPLATE.FAT&amp;display_string=Audit&amp;VAR:KEY=UTSJKPOFOP&amp;VAR:QUERY=UkdGX1JPRShBTk5fUiwyMDA1LCwsLCwsTk9BVURJVCk=&amp;WINDOW=FIRST_POPUP&amp;HEIGHT=450&amp;WIDTH=450&amp;","START_MAXIMIZED=FALSE&amp;VAR:CALENDAR=FIVEDAY&amp;VAR:SYMBOL=601667&amp;VAR:INDEX=0"}</definedName>
    <definedName name="_50__FDSAUDITLINK__" localSheetId="3" hidden="1">{"fdsup://directions/FAT Viewer?action=UPDATE&amp;creator=factset&amp;DYN_ARGS=TRUE&amp;DOC_NAME=FAT:FQL_AUDITING_CLIENT_TEMPLATE.FAT&amp;display_string=Audit&amp;VAR:KEY=UTSJKPOFOP&amp;VAR:QUERY=UkdGX1JPRShBTk5fUiwyMDA1LCwsLCwsTk9BVURJVCk=&amp;WINDOW=FIRST_POPUP&amp;HEIGHT=450&amp;WIDTH=450&amp;","START_MAXIMIZED=FALSE&amp;VAR:CALENDAR=FIVEDAY&amp;VAR:SYMBOL=601667&amp;VAR:INDEX=0"}</definedName>
    <definedName name="_50__FDSAUDITLINK__" localSheetId="0" hidden="1">{"fdsup://directions/FAT Viewer?action=UPDATE&amp;creator=factset&amp;DYN_ARGS=TRUE&amp;DOC_NAME=FAT:FQL_AUDITING_CLIENT_TEMPLATE.FAT&amp;display_string=Audit&amp;VAR:KEY=UTSJKPOFOP&amp;VAR:QUERY=UkdGX1JPRShBTk5fUiwyMDA1LCwsLCwsTk9BVURJVCk=&amp;WINDOW=FIRST_POPUP&amp;HEIGHT=450&amp;WIDTH=450&amp;","START_MAXIMIZED=FALSE&amp;VAR:CALENDAR=FIVEDAY&amp;VAR:SYMBOL=601667&amp;VAR:INDEX=0"}</definedName>
    <definedName name="_50__FDSAUDITLINK__" hidden="1">{"fdsup://directions/FAT Viewer?action=UPDATE&amp;creator=factset&amp;DYN_ARGS=TRUE&amp;DOC_NAME=FAT:FQL_AUDITING_CLIENT_TEMPLATE.FAT&amp;display_string=Audit&amp;VAR:KEY=UTSJKPOFOP&amp;VAR:QUERY=UkdGX1JPRShBTk5fUiwyMDA1LCwsLCwsTk9BVURJVCk=&amp;WINDOW=FIRST_POPUP&amp;HEIGHT=450&amp;WIDTH=450&amp;","START_MAXIMIZED=FALSE&amp;VAR:CALENDAR=FIVEDAY&amp;VAR:SYMBOL=601667&amp;VAR:INDEX=0"}</definedName>
    <definedName name="_51__FDSAUDITLINK__" localSheetId="2" hidden="1">{"fdsup://directions/FAT Viewer?action=UPDATE&amp;creator=factset&amp;DYN_ARGS=TRUE&amp;DOC_NAME=FAT:FQL_AUDITING_CLIENT_TEMPLATE.FAT&amp;display_string=Audit&amp;VAR:KEY=LUNSDUZMLE&amp;VAR:QUERY=UkdGX1JPRShBTk5fUiwyMDExLCwsLCwsTk9BVURJVCk=&amp;WINDOW=FIRST_POPUP&amp;HEIGHT=450&amp;WIDTH=450&amp;","START_MAXIMIZED=FALSE&amp;VAR:CALENDAR=FIVEDAY&amp;VAR:SYMBOL=611008&amp;VAR:INDEX=0"}</definedName>
    <definedName name="_51__FDSAUDITLINK__" localSheetId="3" hidden="1">{"fdsup://directions/FAT Viewer?action=UPDATE&amp;creator=factset&amp;DYN_ARGS=TRUE&amp;DOC_NAME=FAT:FQL_AUDITING_CLIENT_TEMPLATE.FAT&amp;display_string=Audit&amp;VAR:KEY=LUNSDUZMLE&amp;VAR:QUERY=UkdGX1JPRShBTk5fUiwyMDExLCwsLCwsTk9BVURJVCk=&amp;WINDOW=FIRST_POPUP&amp;HEIGHT=450&amp;WIDTH=450&amp;","START_MAXIMIZED=FALSE&amp;VAR:CALENDAR=FIVEDAY&amp;VAR:SYMBOL=611008&amp;VAR:INDEX=0"}</definedName>
    <definedName name="_51__FDSAUDITLINK__" localSheetId="0" hidden="1">{"fdsup://directions/FAT Viewer?action=UPDATE&amp;creator=factset&amp;DYN_ARGS=TRUE&amp;DOC_NAME=FAT:FQL_AUDITING_CLIENT_TEMPLATE.FAT&amp;display_string=Audit&amp;VAR:KEY=LUNSDUZMLE&amp;VAR:QUERY=UkdGX1JPRShBTk5fUiwyMDExLCwsLCwsTk9BVURJVCk=&amp;WINDOW=FIRST_POPUP&amp;HEIGHT=450&amp;WIDTH=450&amp;","START_MAXIMIZED=FALSE&amp;VAR:CALENDAR=FIVEDAY&amp;VAR:SYMBOL=611008&amp;VAR:INDEX=0"}</definedName>
    <definedName name="_51__FDSAUDITLINK__" hidden="1">{"fdsup://directions/FAT Viewer?action=UPDATE&amp;creator=factset&amp;DYN_ARGS=TRUE&amp;DOC_NAME=FAT:FQL_AUDITING_CLIENT_TEMPLATE.FAT&amp;display_string=Audit&amp;VAR:KEY=LUNSDUZMLE&amp;VAR:QUERY=UkdGX1JPRShBTk5fUiwyMDExLCwsLCwsTk9BVURJVCk=&amp;WINDOW=FIRST_POPUP&amp;HEIGHT=450&amp;WIDTH=450&amp;","START_MAXIMIZED=FALSE&amp;VAR:CALENDAR=FIVEDAY&amp;VAR:SYMBOL=611008&amp;VAR:INDEX=0"}</definedName>
    <definedName name="_52__FDSAUDITLINK__" localSheetId="2" hidden="1">{"fdsup://directions/FAT Viewer?action=UPDATE&amp;creator=factset&amp;DYN_ARGS=TRUE&amp;DOC_NAME=FAT:FQL_AUDITING_CLIENT_TEMPLATE.FAT&amp;display_string=Audit&amp;VAR:KEY=OXGBMNWLQT&amp;VAR:QUERY=UkdGX1JPRShBTk5fUiwyMDEwLCwsLCwsTk9BVURJVCk=&amp;WINDOW=FIRST_POPUP&amp;HEIGHT=450&amp;WIDTH=450&amp;","START_MAXIMIZED=FALSE&amp;VAR:CALENDAR=FIVEDAY&amp;VAR:SYMBOL=611008&amp;VAR:INDEX=0"}</definedName>
    <definedName name="_52__FDSAUDITLINK__" localSheetId="3" hidden="1">{"fdsup://directions/FAT Viewer?action=UPDATE&amp;creator=factset&amp;DYN_ARGS=TRUE&amp;DOC_NAME=FAT:FQL_AUDITING_CLIENT_TEMPLATE.FAT&amp;display_string=Audit&amp;VAR:KEY=OXGBMNWLQT&amp;VAR:QUERY=UkdGX1JPRShBTk5fUiwyMDEwLCwsLCwsTk9BVURJVCk=&amp;WINDOW=FIRST_POPUP&amp;HEIGHT=450&amp;WIDTH=450&amp;","START_MAXIMIZED=FALSE&amp;VAR:CALENDAR=FIVEDAY&amp;VAR:SYMBOL=611008&amp;VAR:INDEX=0"}</definedName>
    <definedName name="_52__FDSAUDITLINK__" localSheetId="0" hidden="1">{"fdsup://directions/FAT Viewer?action=UPDATE&amp;creator=factset&amp;DYN_ARGS=TRUE&amp;DOC_NAME=FAT:FQL_AUDITING_CLIENT_TEMPLATE.FAT&amp;display_string=Audit&amp;VAR:KEY=OXGBMNWLQT&amp;VAR:QUERY=UkdGX1JPRShBTk5fUiwyMDEwLCwsLCwsTk9BVURJVCk=&amp;WINDOW=FIRST_POPUP&amp;HEIGHT=450&amp;WIDTH=450&amp;","START_MAXIMIZED=FALSE&amp;VAR:CALENDAR=FIVEDAY&amp;VAR:SYMBOL=611008&amp;VAR:INDEX=0"}</definedName>
    <definedName name="_52__FDSAUDITLINK__" hidden="1">{"fdsup://directions/FAT Viewer?action=UPDATE&amp;creator=factset&amp;DYN_ARGS=TRUE&amp;DOC_NAME=FAT:FQL_AUDITING_CLIENT_TEMPLATE.FAT&amp;display_string=Audit&amp;VAR:KEY=OXGBMNWLQT&amp;VAR:QUERY=UkdGX1JPRShBTk5fUiwyMDEwLCwsLCwsTk9BVURJVCk=&amp;WINDOW=FIRST_POPUP&amp;HEIGHT=450&amp;WIDTH=450&amp;","START_MAXIMIZED=FALSE&amp;VAR:CALENDAR=FIVEDAY&amp;VAR:SYMBOL=611008&amp;VAR:INDEX=0"}</definedName>
    <definedName name="_53__FDSAUDITLINK__" localSheetId="2" hidden="1">{"fdsup://IBCentral/FAT Viewer?action=UPDATE&amp;creator=factset&amp;DOC_NAME=fat:reuters_annual_pshs_src_window.fat&amp;display_string=Audit&amp;DYN_ARGS=TRUE&amp;VAR:ID1=687314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__FDSAUDITLINK__" localSheetId="3" hidden="1">{"fdsup://IBCentral/FAT Viewer?action=UPDATE&amp;creator=factset&amp;DOC_NAME=fat:reuters_annual_pshs_src_window.fat&amp;display_string=Audit&amp;DYN_ARGS=TRUE&amp;VAR:ID1=687314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__FDSAUDITLINK__" localSheetId="0" hidden="1">{"fdsup://IBCentral/FAT Viewer?action=UPDATE&amp;creator=factset&amp;DOC_NAME=fat:reuters_annual_pshs_src_window.fat&amp;display_string=Audit&amp;DYN_ARGS=TRUE&amp;VAR:ID1=687314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__FDSAUDITLINK__" hidden="1">{"fdsup://IBCentral/FAT Viewer?action=UPDATE&amp;creator=factset&amp;DOC_NAME=fat:reuters_annual_pshs_src_window.fat&amp;display_string=Audit&amp;DYN_ARGS=TRUE&amp;VAR:ID1=687314&amp;VAR:RCODE=FDSEPS&amp;VAR:SDATE=20091299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__FDSAUDITLINK__" localSheetId="2" hidden="1">{"fdsup://directions/FAT Viewer?action=UPDATE&amp;creator=factset&amp;DYN_ARGS=TRUE&amp;DOC_NAME=FAT:FQL_AUDITING_CLIENT_TEMPLATE.FAT&amp;display_string=Audit&amp;VAR:KEY=EVYJCXKVMJ&amp;VAR:QUERY=UkdGX1JPRShBTk5fUiwyMDA4LCwsLCwsTk9BVURJVCk=&amp;WINDOW=FIRST_POPUP&amp;HEIGHT=450&amp;WIDTH=450&amp;","START_MAXIMIZED=FALSE&amp;VAR:CALENDAR=FIVEDAY&amp;VAR:SYMBOL=611008&amp;VAR:INDEX=0"}</definedName>
    <definedName name="_54__FDSAUDITLINK__" localSheetId="3" hidden="1">{"fdsup://directions/FAT Viewer?action=UPDATE&amp;creator=factset&amp;DYN_ARGS=TRUE&amp;DOC_NAME=FAT:FQL_AUDITING_CLIENT_TEMPLATE.FAT&amp;display_string=Audit&amp;VAR:KEY=EVYJCXKVMJ&amp;VAR:QUERY=UkdGX1JPRShBTk5fUiwyMDA4LCwsLCwsTk9BVURJVCk=&amp;WINDOW=FIRST_POPUP&amp;HEIGHT=450&amp;WIDTH=450&amp;","START_MAXIMIZED=FALSE&amp;VAR:CALENDAR=FIVEDAY&amp;VAR:SYMBOL=611008&amp;VAR:INDEX=0"}</definedName>
    <definedName name="_54__FDSAUDITLINK__" localSheetId="0" hidden="1">{"fdsup://directions/FAT Viewer?action=UPDATE&amp;creator=factset&amp;DYN_ARGS=TRUE&amp;DOC_NAME=FAT:FQL_AUDITING_CLIENT_TEMPLATE.FAT&amp;display_string=Audit&amp;VAR:KEY=EVYJCXKVMJ&amp;VAR:QUERY=UkdGX1JPRShBTk5fUiwyMDA4LCwsLCwsTk9BVURJVCk=&amp;WINDOW=FIRST_POPUP&amp;HEIGHT=450&amp;WIDTH=450&amp;","START_MAXIMIZED=FALSE&amp;VAR:CALENDAR=FIVEDAY&amp;VAR:SYMBOL=611008&amp;VAR:INDEX=0"}</definedName>
    <definedName name="_54__FDSAUDITLINK__" hidden="1">{"fdsup://directions/FAT Viewer?action=UPDATE&amp;creator=factset&amp;DYN_ARGS=TRUE&amp;DOC_NAME=FAT:FQL_AUDITING_CLIENT_TEMPLATE.FAT&amp;display_string=Audit&amp;VAR:KEY=EVYJCXKVMJ&amp;VAR:QUERY=UkdGX1JPRShBTk5fUiwyMDA4LCwsLCwsTk9BVURJVCk=&amp;WINDOW=FIRST_POPUP&amp;HEIGHT=450&amp;WIDTH=450&amp;","START_MAXIMIZED=FALSE&amp;VAR:CALENDAR=FIVEDAY&amp;VAR:SYMBOL=611008&amp;VAR:INDEX=0"}</definedName>
    <definedName name="_55__FDSAUDITLINK__" localSheetId="2" hidden="1">{"fdsup://directions/FAT Viewer?action=UPDATE&amp;creator=factset&amp;DYN_ARGS=TRUE&amp;DOC_NAME=FAT:FQL_AUDITING_CLIENT_TEMPLATE.FAT&amp;display_string=Audit&amp;VAR:KEY=HYXANAXKVM&amp;VAR:QUERY=UkdGX1JPRShBTk5fUiwyMDA3LCwsLCwsTk9BVURJVCk=&amp;WINDOW=FIRST_POPUP&amp;HEIGHT=450&amp;WIDTH=450&amp;","START_MAXIMIZED=FALSE&amp;VAR:CALENDAR=FIVEDAY&amp;VAR:SYMBOL=611008&amp;VAR:INDEX=0"}</definedName>
    <definedName name="_55__FDSAUDITLINK__" localSheetId="3" hidden="1">{"fdsup://directions/FAT Viewer?action=UPDATE&amp;creator=factset&amp;DYN_ARGS=TRUE&amp;DOC_NAME=FAT:FQL_AUDITING_CLIENT_TEMPLATE.FAT&amp;display_string=Audit&amp;VAR:KEY=HYXANAXKVM&amp;VAR:QUERY=UkdGX1JPRShBTk5fUiwyMDA3LCwsLCwsTk9BVURJVCk=&amp;WINDOW=FIRST_POPUP&amp;HEIGHT=450&amp;WIDTH=450&amp;","START_MAXIMIZED=FALSE&amp;VAR:CALENDAR=FIVEDAY&amp;VAR:SYMBOL=611008&amp;VAR:INDEX=0"}</definedName>
    <definedName name="_55__FDSAUDITLINK__" localSheetId="0" hidden="1">{"fdsup://directions/FAT Viewer?action=UPDATE&amp;creator=factset&amp;DYN_ARGS=TRUE&amp;DOC_NAME=FAT:FQL_AUDITING_CLIENT_TEMPLATE.FAT&amp;display_string=Audit&amp;VAR:KEY=HYXANAXKVM&amp;VAR:QUERY=UkdGX1JPRShBTk5fUiwyMDA3LCwsLCwsTk9BVURJVCk=&amp;WINDOW=FIRST_POPUP&amp;HEIGHT=450&amp;WIDTH=450&amp;","START_MAXIMIZED=FALSE&amp;VAR:CALENDAR=FIVEDAY&amp;VAR:SYMBOL=611008&amp;VAR:INDEX=0"}</definedName>
    <definedName name="_55__FDSAUDITLINK__" hidden="1">{"fdsup://directions/FAT Viewer?action=UPDATE&amp;creator=factset&amp;DYN_ARGS=TRUE&amp;DOC_NAME=FAT:FQL_AUDITING_CLIENT_TEMPLATE.FAT&amp;display_string=Audit&amp;VAR:KEY=HYXANAXKVM&amp;VAR:QUERY=UkdGX1JPRShBTk5fUiwyMDA3LCwsLCwsTk9BVURJVCk=&amp;WINDOW=FIRST_POPUP&amp;HEIGHT=450&amp;WIDTH=450&amp;","START_MAXIMIZED=FALSE&amp;VAR:CALENDAR=FIVEDAY&amp;VAR:SYMBOL=611008&amp;VAR:INDEX=0"}</definedName>
    <definedName name="_56__FDSAUDITLINK__" localSheetId="2" hidden="1">{"fdsup://directions/FAT Viewer?action=UPDATE&amp;creator=factset&amp;DYN_ARGS=TRUE&amp;DOC_NAME=FAT:FQL_AUDITING_CLIENT_TEMPLATE.FAT&amp;display_string=Audit&amp;VAR:KEY=GJQRWTOVKH&amp;VAR:QUERY=UkdGX1JPRShBTk5fUiwyMDA2LCwsLCwsTk9BVURJVCk=&amp;WINDOW=FIRST_POPUP&amp;HEIGHT=450&amp;WIDTH=450&amp;","START_MAXIMIZED=FALSE&amp;VAR:CALENDAR=FIVEDAY&amp;VAR:SYMBOL=611008&amp;VAR:INDEX=0"}</definedName>
    <definedName name="_56__FDSAUDITLINK__" localSheetId="3" hidden="1">{"fdsup://directions/FAT Viewer?action=UPDATE&amp;creator=factset&amp;DYN_ARGS=TRUE&amp;DOC_NAME=FAT:FQL_AUDITING_CLIENT_TEMPLATE.FAT&amp;display_string=Audit&amp;VAR:KEY=GJQRWTOVKH&amp;VAR:QUERY=UkdGX1JPRShBTk5fUiwyMDA2LCwsLCwsTk9BVURJVCk=&amp;WINDOW=FIRST_POPUP&amp;HEIGHT=450&amp;WIDTH=450&amp;","START_MAXIMIZED=FALSE&amp;VAR:CALENDAR=FIVEDAY&amp;VAR:SYMBOL=611008&amp;VAR:INDEX=0"}</definedName>
    <definedName name="_56__FDSAUDITLINK__" localSheetId="0" hidden="1">{"fdsup://directions/FAT Viewer?action=UPDATE&amp;creator=factset&amp;DYN_ARGS=TRUE&amp;DOC_NAME=FAT:FQL_AUDITING_CLIENT_TEMPLATE.FAT&amp;display_string=Audit&amp;VAR:KEY=GJQRWTOVKH&amp;VAR:QUERY=UkdGX1JPRShBTk5fUiwyMDA2LCwsLCwsTk9BVURJVCk=&amp;WINDOW=FIRST_POPUP&amp;HEIGHT=450&amp;WIDTH=450&amp;","START_MAXIMIZED=FALSE&amp;VAR:CALENDAR=FIVEDAY&amp;VAR:SYMBOL=611008&amp;VAR:INDEX=0"}</definedName>
    <definedName name="_56__FDSAUDITLINK__" hidden="1">{"fdsup://directions/FAT Viewer?action=UPDATE&amp;creator=factset&amp;DYN_ARGS=TRUE&amp;DOC_NAME=FAT:FQL_AUDITING_CLIENT_TEMPLATE.FAT&amp;display_string=Audit&amp;VAR:KEY=GJQRWTOVKH&amp;VAR:QUERY=UkdGX1JPRShBTk5fUiwyMDA2LCwsLCwsTk9BVURJVCk=&amp;WINDOW=FIRST_POPUP&amp;HEIGHT=450&amp;WIDTH=450&amp;","START_MAXIMIZED=FALSE&amp;VAR:CALENDAR=FIVEDAY&amp;VAR:SYMBOL=611008&amp;VAR:INDEX=0"}</definedName>
    <definedName name="_57__FDSAUDITLINK__" localSheetId="2" hidden="1">{"fdsup://directions/FAT Viewer?action=UPDATE&amp;creator=factset&amp;DYN_ARGS=TRUE&amp;DOC_NAME=FAT:FQL_AUDITING_CLIENT_TEMPLATE.FAT&amp;display_string=Audit&amp;VAR:KEY=UNMBYXIRYP&amp;VAR:QUERY=UkdGX0JQUyhRVFIsOS8yMS8yMDEyLCwsLCwsTk9BVURJVCk=&amp;WINDOW=FIRST_POPUP&amp;HEIGHT=450&amp;WIDTH=","450&amp;START_MAXIMIZED=FALSE&amp;VAR:CALENDAR=FIVEDAY&amp;VAR:SYMBOL=607614&amp;VAR:INDEX=0"}</definedName>
    <definedName name="_57__FDSAUDITLINK__" localSheetId="3" hidden="1">{"fdsup://directions/FAT Viewer?action=UPDATE&amp;creator=factset&amp;DYN_ARGS=TRUE&amp;DOC_NAME=FAT:FQL_AUDITING_CLIENT_TEMPLATE.FAT&amp;display_string=Audit&amp;VAR:KEY=UNMBYXIRYP&amp;VAR:QUERY=UkdGX0JQUyhRVFIsOS8yMS8yMDEyLCwsLCwsTk9BVURJVCk=&amp;WINDOW=FIRST_POPUP&amp;HEIGHT=450&amp;WIDTH=","450&amp;START_MAXIMIZED=FALSE&amp;VAR:CALENDAR=FIVEDAY&amp;VAR:SYMBOL=607614&amp;VAR:INDEX=0"}</definedName>
    <definedName name="_57__FDSAUDITLINK__" localSheetId="0" hidden="1">{"fdsup://directions/FAT Viewer?action=UPDATE&amp;creator=factset&amp;DYN_ARGS=TRUE&amp;DOC_NAME=FAT:FQL_AUDITING_CLIENT_TEMPLATE.FAT&amp;display_string=Audit&amp;VAR:KEY=UNMBYXIRYP&amp;VAR:QUERY=UkdGX0JQUyhRVFIsOS8yMS8yMDEyLCwsLCwsTk9BVURJVCk=&amp;WINDOW=FIRST_POPUP&amp;HEIGHT=450&amp;WIDTH=","450&amp;START_MAXIMIZED=FALSE&amp;VAR:CALENDAR=FIVEDAY&amp;VAR:SYMBOL=607614&amp;VAR:INDEX=0"}</definedName>
    <definedName name="_57__FDSAUDITLINK__" hidden="1">{"fdsup://directions/FAT Viewer?action=UPDATE&amp;creator=factset&amp;DYN_ARGS=TRUE&amp;DOC_NAME=FAT:FQL_AUDITING_CLIENT_TEMPLATE.FAT&amp;display_string=Audit&amp;VAR:KEY=UNMBYXIRYP&amp;VAR:QUERY=UkdGX0JQUyhRVFIsOS8yMS8yMDEyLCwsLCwsTk9BVURJVCk=&amp;WINDOW=FIRST_POPUP&amp;HEIGHT=450&amp;WIDTH=","450&amp;START_MAXIMIZED=FALSE&amp;VAR:CALENDAR=FIVEDAY&amp;VAR:SYMBOL=607614&amp;VAR:INDEX=0"}</definedName>
    <definedName name="_58__FDSAUDITLINK__" localSheetId="2" hidden="1">{"fdsup://directions/FAT Viewer?action=UPDATE&amp;creator=factset&amp;DYN_ARGS=TRUE&amp;DOC_NAME=FAT:FQL_AUDITING_CLIENT_TEMPLATE.FAT&amp;display_string=Audit&amp;VAR:KEY=UVSRIZYTYF&amp;VAR:QUERY=UkdGX1JPRShBTk5fUiwyMDA2LCwsLCwsTk9BVURJVCk=&amp;WINDOW=FIRST_POPUP&amp;HEIGHT=450&amp;WIDTH=450&amp;","START_MAXIMIZED=FALSE&amp;VAR:CALENDAR=FIVEDAY&amp;VAR:SYMBOL=657935&amp;VAR:INDEX=0"}</definedName>
    <definedName name="_58__FDSAUDITLINK__" localSheetId="3" hidden="1">{"fdsup://directions/FAT Viewer?action=UPDATE&amp;creator=factset&amp;DYN_ARGS=TRUE&amp;DOC_NAME=FAT:FQL_AUDITING_CLIENT_TEMPLATE.FAT&amp;display_string=Audit&amp;VAR:KEY=UVSRIZYTYF&amp;VAR:QUERY=UkdGX1JPRShBTk5fUiwyMDA2LCwsLCwsTk9BVURJVCk=&amp;WINDOW=FIRST_POPUP&amp;HEIGHT=450&amp;WIDTH=450&amp;","START_MAXIMIZED=FALSE&amp;VAR:CALENDAR=FIVEDAY&amp;VAR:SYMBOL=657935&amp;VAR:INDEX=0"}</definedName>
    <definedName name="_58__FDSAUDITLINK__" localSheetId="0" hidden="1">{"fdsup://directions/FAT Viewer?action=UPDATE&amp;creator=factset&amp;DYN_ARGS=TRUE&amp;DOC_NAME=FAT:FQL_AUDITING_CLIENT_TEMPLATE.FAT&amp;display_string=Audit&amp;VAR:KEY=UVSRIZYTYF&amp;VAR:QUERY=UkdGX1JPRShBTk5fUiwyMDA2LCwsLCwsTk9BVURJVCk=&amp;WINDOW=FIRST_POPUP&amp;HEIGHT=450&amp;WIDTH=450&amp;","START_MAXIMIZED=FALSE&amp;VAR:CALENDAR=FIVEDAY&amp;VAR:SYMBOL=657935&amp;VAR:INDEX=0"}</definedName>
    <definedName name="_58__FDSAUDITLINK__" hidden="1">{"fdsup://directions/FAT Viewer?action=UPDATE&amp;creator=factset&amp;DYN_ARGS=TRUE&amp;DOC_NAME=FAT:FQL_AUDITING_CLIENT_TEMPLATE.FAT&amp;display_string=Audit&amp;VAR:KEY=UVSRIZYTYF&amp;VAR:QUERY=UkdGX1JPRShBTk5fUiwyMDA2LCwsLCwsTk9BVURJVCk=&amp;WINDOW=FIRST_POPUP&amp;HEIGHT=450&amp;WIDTH=450&amp;","START_MAXIMIZED=FALSE&amp;VAR:CALENDAR=FIVEDAY&amp;VAR:SYMBOL=657935&amp;VAR:INDEX=0"}</definedName>
    <definedName name="_59__FDSAUDITLINK__" localSheetId="2" hidden="1">{"fdsup://directions/FAT Viewer?action=UPDATE&amp;creator=factset&amp;DYN_ARGS=TRUE&amp;DOC_NAME=FAT:FQL_AUDITING_CLIENT_TEMPLATE.FAT&amp;display_string=Audit&amp;VAR:KEY=LWTKNSTINY&amp;VAR:QUERY=UkdGX1JPRShBTk5fUiwyMDA3LCwsLCwsTk9BVURJVCk=&amp;WINDOW=FIRST_POPUP&amp;HEIGHT=450&amp;WIDTH=450&amp;","START_MAXIMIZED=FALSE&amp;VAR:CALENDAR=FIVEDAY&amp;VAR:SYMBOL=657935&amp;VAR:INDEX=0"}</definedName>
    <definedName name="_59__FDSAUDITLINK__" localSheetId="3" hidden="1">{"fdsup://directions/FAT Viewer?action=UPDATE&amp;creator=factset&amp;DYN_ARGS=TRUE&amp;DOC_NAME=FAT:FQL_AUDITING_CLIENT_TEMPLATE.FAT&amp;display_string=Audit&amp;VAR:KEY=LWTKNSTINY&amp;VAR:QUERY=UkdGX1JPRShBTk5fUiwyMDA3LCwsLCwsTk9BVURJVCk=&amp;WINDOW=FIRST_POPUP&amp;HEIGHT=450&amp;WIDTH=450&amp;","START_MAXIMIZED=FALSE&amp;VAR:CALENDAR=FIVEDAY&amp;VAR:SYMBOL=657935&amp;VAR:INDEX=0"}</definedName>
    <definedName name="_59__FDSAUDITLINK__" localSheetId="0" hidden="1">{"fdsup://directions/FAT Viewer?action=UPDATE&amp;creator=factset&amp;DYN_ARGS=TRUE&amp;DOC_NAME=FAT:FQL_AUDITING_CLIENT_TEMPLATE.FAT&amp;display_string=Audit&amp;VAR:KEY=LWTKNSTINY&amp;VAR:QUERY=UkdGX1JPRShBTk5fUiwyMDA3LCwsLCwsTk9BVURJVCk=&amp;WINDOW=FIRST_POPUP&amp;HEIGHT=450&amp;WIDTH=450&amp;","START_MAXIMIZED=FALSE&amp;VAR:CALENDAR=FIVEDAY&amp;VAR:SYMBOL=657935&amp;VAR:INDEX=0"}</definedName>
    <definedName name="_59__FDSAUDITLINK__" hidden="1">{"fdsup://directions/FAT Viewer?action=UPDATE&amp;creator=factset&amp;DYN_ARGS=TRUE&amp;DOC_NAME=FAT:FQL_AUDITING_CLIENT_TEMPLATE.FAT&amp;display_string=Audit&amp;VAR:KEY=LWTKNSTINY&amp;VAR:QUERY=UkdGX1JPRShBTk5fUiwyMDA3LCwsLCwsTk9BVURJVCk=&amp;WINDOW=FIRST_POPUP&amp;HEIGHT=450&amp;WIDTH=450&amp;","START_MAXIMIZED=FALSE&amp;VAR:CALENDAR=FIVEDAY&amp;VAR:SYMBOL=657935&amp;VAR:INDEX=0"}</definedName>
    <definedName name="_6" localSheetId="0">#REF!</definedName>
    <definedName name="_6" localSheetId="4">#REF!</definedName>
    <definedName name="_6" localSheetId="5">#REF!</definedName>
    <definedName name="_6" localSheetId="6">#REF!</definedName>
    <definedName name="_6">#REF!</definedName>
    <definedName name="_6__FDSAUDITLINK__" localSheetId="2" hidden="1">{"fdsup://IBCentral/FAT Viewer?action=UPDATE&amp;creator=factset&amp;DOC_NAME=fat:reuters_qtrly_source_window.fat&amp;display_string=Audit&amp;DYN_ARGS=TRUE&amp;VAR:ID1=207628&amp;VAR:RCODE=ATOT&amp;VAR:SDATE=20120799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6__FDSAUDITLINK__" localSheetId="3" hidden="1">{"fdsup://IBCentral/FAT Viewer?action=UPDATE&amp;creator=factset&amp;DOC_NAME=fat:reuters_qtrly_source_window.fat&amp;display_string=Audit&amp;DYN_ARGS=TRUE&amp;VAR:ID1=207628&amp;VAR:RCODE=ATOT&amp;VAR:SDATE=20120799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6__FDSAUDITLINK__" localSheetId="0" hidden="1">{"fdsup://IBCentral/FAT Viewer?action=UPDATE&amp;creator=factset&amp;DOC_NAME=fat:reuters_qtrly_source_window.fat&amp;display_string=Audit&amp;DYN_ARGS=TRUE&amp;VAR:ID1=207628&amp;VAR:RCODE=ATOT&amp;VAR:SDATE=20120799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6__FDSAUDITLINK__" hidden="1">{"fdsup://IBCentral/FAT Viewer?action=UPDATE&amp;creator=factset&amp;DOC_NAME=fat:reuters_qtrly_source_window.fat&amp;display_string=Audit&amp;DYN_ARGS=TRUE&amp;VAR:ID1=207628&amp;VAR:RCODE=ATOT&amp;VAR:SDATE=20120799&amp;VAR:FREQ=Quarterly&amp;VAR:RELITEM=RP&amp;VAR:CURRENCY=USD&amp;VAR:CURRSOURCE=E","XSHARE&amp;VAR:NATFREQ=QUARTERLY&amp;VAR:RFIELD=FINALIZED&amp;VAR:DB_TYPE=&amp;VAR:UNITS=M&amp;window=popup&amp;width=450&amp;height=300&amp;START_MAXIMIZED=FALSE"}</definedName>
    <definedName name="_60__FDSAUDITLINK__" localSheetId="2" hidden="1">{"fdsup://directions/FAT Viewer?action=UPDATE&amp;creator=factset&amp;DYN_ARGS=TRUE&amp;DOC_NAME=FAT:FQL_AUDITING_CLIENT_TEMPLATE.FAT&amp;display_string=Audit&amp;VAR:KEY=CPIXEVONCB&amp;VAR:QUERY=UkdGX1JPRShBTk5fUiwyMDA4LCwsLCwsTk9BVURJVCk=&amp;WINDOW=FIRST_POPUP&amp;HEIGHT=450&amp;WIDTH=450&amp;","START_MAXIMIZED=FALSE&amp;VAR:CALENDAR=FIVEDAY&amp;VAR:SYMBOL=657935&amp;VAR:INDEX=0"}</definedName>
    <definedName name="_60__FDSAUDITLINK__" localSheetId="3" hidden="1">{"fdsup://directions/FAT Viewer?action=UPDATE&amp;creator=factset&amp;DYN_ARGS=TRUE&amp;DOC_NAME=FAT:FQL_AUDITING_CLIENT_TEMPLATE.FAT&amp;display_string=Audit&amp;VAR:KEY=CPIXEVONCB&amp;VAR:QUERY=UkdGX1JPRShBTk5fUiwyMDA4LCwsLCwsTk9BVURJVCk=&amp;WINDOW=FIRST_POPUP&amp;HEIGHT=450&amp;WIDTH=450&amp;","START_MAXIMIZED=FALSE&amp;VAR:CALENDAR=FIVEDAY&amp;VAR:SYMBOL=657935&amp;VAR:INDEX=0"}</definedName>
    <definedName name="_60__FDSAUDITLINK__" localSheetId="0" hidden="1">{"fdsup://directions/FAT Viewer?action=UPDATE&amp;creator=factset&amp;DYN_ARGS=TRUE&amp;DOC_NAME=FAT:FQL_AUDITING_CLIENT_TEMPLATE.FAT&amp;display_string=Audit&amp;VAR:KEY=CPIXEVONCB&amp;VAR:QUERY=UkdGX1JPRShBTk5fUiwyMDA4LCwsLCwsTk9BVURJVCk=&amp;WINDOW=FIRST_POPUP&amp;HEIGHT=450&amp;WIDTH=450&amp;","START_MAXIMIZED=FALSE&amp;VAR:CALENDAR=FIVEDAY&amp;VAR:SYMBOL=657935&amp;VAR:INDEX=0"}</definedName>
    <definedName name="_60__FDSAUDITLINK__" hidden="1">{"fdsup://directions/FAT Viewer?action=UPDATE&amp;creator=factset&amp;DYN_ARGS=TRUE&amp;DOC_NAME=FAT:FQL_AUDITING_CLIENT_TEMPLATE.FAT&amp;display_string=Audit&amp;VAR:KEY=CPIXEVONCB&amp;VAR:QUERY=UkdGX1JPRShBTk5fUiwyMDA4LCwsLCwsTk9BVURJVCk=&amp;WINDOW=FIRST_POPUP&amp;HEIGHT=450&amp;WIDTH=450&amp;","START_MAXIMIZED=FALSE&amp;VAR:CALENDAR=FIVEDAY&amp;VAR:SYMBOL=657935&amp;VAR:INDEX=0"}</definedName>
    <definedName name="_61__FDSAUDITLINK__" localSheetId="2" hidden="1">{"fdsup://directions/FAT Viewer?action=UPDATE&amp;creator=factset&amp;DYN_ARGS=TRUE&amp;DOC_NAME=FAT:FQL_AUDITING_CLIENT_TEMPLATE.FAT&amp;display_string=Audit&amp;VAR:KEY=OBMHCTOVCH&amp;VAR:QUERY=UkdGX0JQUyhTRU1JLDkvMjEvMjAxMiwsLCwsLE5PQVVESVQp&amp;WINDOW=FIRST_POPUP&amp;HEIGHT=450&amp;WIDTH=","450&amp;START_MAXIMIZED=FALSE&amp;VAR:CALENDAR=FIVEDAY&amp;VAR:SYMBOL=662460&amp;VAR:INDEX=0"}</definedName>
    <definedName name="_61__FDSAUDITLINK__" localSheetId="3" hidden="1">{"fdsup://directions/FAT Viewer?action=UPDATE&amp;creator=factset&amp;DYN_ARGS=TRUE&amp;DOC_NAME=FAT:FQL_AUDITING_CLIENT_TEMPLATE.FAT&amp;display_string=Audit&amp;VAR:KEY=OBMHCTOVCH&amp;VAR:QUERY=UkdGX0JQUyhTRU1JLDkvMjEvMjAxMiwsLCwsLE5PQVVESVQp&amp;WINDOW=FIRST_POPUP&amp;HEIGHT=450&amp;WIDTH=","450&amp;START_MAXIMIZED=FALSE&amp;VAR:CALENDAR=FIVEDAY&amp;VAR:SYMBOL=662460&amp;VAR:INDEX=0"}</definedName>
    <definedName name="_61__FDSAUDITLINK__" localSheetId="0" hidden="1">{"fdsup://directions/FAT Viewer?action=UPDATE&amp;creator=factset&amp;DYN_ARGS=TRUE&amp;DOC_NAME=FAT:FQL_AUDITING_CLIENT_TEMPLATE.FAT&amp;display_string=Audit&amp;VAR:KEY=OBMHCTOVCH&amp;VAR:QUERY=UkdGX0JQUyhTRU1JLDkvMjEvMjAxMiwsLCwsLE5PQVVESVQp&amp;WINDOW=FIRST_POPUP&amp;HEIGHT=450&amp;WIDTH=","450&amp;START_MAXIMIZED=FALSE&amp;VAR:CALENDAR=FIVEDAY&amp;VAR:SYMBOL=662460&amp;VAR:INDEX=0"}</definedName>
    <definedName name="_61__FDSAUDITLINK__" hidden="1">{"fdsup://directions/FAT Viewer?action=UPDATE&amp;creator=factset&amp;DYN_ARGS=TRUE&amp;DOC_NAME=FAT:FQL_AUDITING_CLIENT_TEMPLATE.FAT&amp;display_string=Audit&amp;VAR:KEY=OBMHCTOVCH&amp;VAR:QUERY=UkdGX0JQUyhTRU1JLDkvMjEvMjAxMiwsLCwsLE5PQVVESVQp&amp;WINDOW=FIRST_POPUP&amp;HEIGHT=450&amp;WIDTH=","450&amp;START_MAXIMIZED=FALSE&amp;VAR:CALENDAR=FIVEDAY&amp;VAR:SYMBOL=662460&amp;VAR:INDEX=0"}</definedName>
    <definedName name="_62__FDSAUDITLINK__" localSheetId="2" hidden="1">{"fdsup://directions/FAT Viewer?action=UPDATE&amp;creator=factset&amp;DYN_ARGS=TRUE&amp;DOC_NAME=FAT:FQL_AUDITING_CLIENT_TEMPLATE.FAT&amp;display_string=Audit&amp;VAR:KEY=VATMNMBYDU&amp;VAR:QUERY=UkdGX0JQUyhTRU1JLDkvMjEvMjAxMiwsLCwsLE5PQVVESVQp&amp;WINDOW=FIRST_POPUP&amp;HEIGHT=450&amp;WIDTH=","450&amp;START_MAXIMIZED=FALSE&amp;VAR:CALENDAR=FIVEDAY&amp;VAR:SYMBOL=606558&amp;VAR:INDEX=0"}</definedName>
    <definedName name="_62__FDSAUDITLINK__" localSheetId="3" hidden="1">{"fdsup://directions/FAT Viewer?action=UPDATE&amp;creator=factset&amp;DYN_ARGS=TRUE&amp;DOC_NAME=FAT:FQL_AUDITING_CLIENT_TEMPLATE.FAT&amp;display_string=Audit&amp;VAR:KEY=VATMNMBYDU&amp;VAR:QUERY=UkdGX0JQUyhTRU1JLDkvMjEvMjAxMiwsLCwsLE5PQVVESVQp&amp;WINDOW=FIRST_POPUP&amp;HEIGHT=450&amp;WIDTH=","450&amp;START_MAXIMIZED=FALSE&amp;VAR:CALENDAR=FIVEDAY&amp;VAR:SYMBOL=606558&amp;VAR:INDEX=0"}</definedName>
    <definedName name="_62__FDSAUDITLINK__" localSheetId="0" hidden="1">{"fdsup://directions/FAT Viewer?action=UPDATE&amp;creator=factset&amp;DYN_ARGS=TRUE&amp;DOC_NAME=FAT:FQL_AUDITING_CLIENT_TEMPLATE.FAT&amp;display_string=Audit&amp;VAR:KEY=VATMNMBYDU&amp;VAR:QUERY=UkdGX0JQUyhTRU1JLDkvMjEvMjAxMiwsLCwsLE5PQVVESVQp&amp;WINDOW=FIRST_POPUP&amp;HEIGHT=450&amp;WIDTH=","450&amp;START_MAXIMIZED=FALSE&amp;VAR:CALENDAR=FIVEDAY&amp;VAR:SYMBOL=606558&amp;VAR:INDEX=0"}</definedName>
    <definedName name="_62__FDSAUDITLINK__" hidden="1">{"fdsup://directions/FAT Viewer?action=UPDATE&amp;creator=factset&amp;DYN_ARGS=TRUE&amp;DOC_NAME=FAT:FQL_AUDITING_CLIENT_TEMPLATE.FAT&amp;display_string=Audit&amp;VAR:KEY=VATMNMBYDU&amp;VAR:QUERY=UkdGX0JQUyhTRU1JLDkvMjEvMjAxMiwsLCwsLE5PQVVESVQp&amp;WINDOW=FIRST_POPUP&amp;HEIGHT=450&amp;WIDTH=","450&amp;START_MAXIMIZED=FALSE&amp;VAR:CALENDAR=FIVEDAY&amp;VAR:SYMBOL=606558&amp;VAR:INDEX=0"}</definedName>
    <definedName name="_63__FDSAUDITLINK__" localSheetId="2" hidden="1">{"fdsup://directions/FAT Viewer?action=UPDATE&amp;creator=factset&amp;DYN_ARGS=TRUE&amp;DOC_NAME=FAT:FQL_AUDITING_CLIENT_TEMPLATE.FAT&amp;display_string=Audit&amp;VAR:KEY=HQLGFQJIHA&amp;VAR:QUERY=UkdGX0JQUyhTRU1JLDkvMjEvMjAxMiwsLCwsLE5PQVVESVQp&amp;WINDOW=FIRST_POPUP&amp;HEIGHT=450&amp;WIDTH=","450&amp;START_MAXIMIZED=FALSE&amp;VAR:CALENDAR=FIVEDAY&amp;VAR:SYMBOL=607614&amp;VAR:INDEX=0"}</definedName>
    <definedName name="_63__FDSAUDITLINK__" localSheetId="3" hidden="1">{"fdsup://directions/FAT Viewer?action=UPDATE&amp;creator=factset&amp;DYN_ARGS=TRUE&amp;DOC_NAME=FAT:FQL_AUDITING_CLIENT_TEMPLATE.FAT&amp;display_string=Audit&amp;VAR:KEY=HQLGFQJIHA&amp;VAR:QUERY=UkdGX0JQUyhTRU1JLDkvMjEvMjAxMiwsLCwsLE5PQVVESVQp&amp;WINDOW=FIRST_POPUP&amp;HEIGHT=450&amp;WIDTH=","450&amp;START_MAXIMIZED=FALSE&amp;VAR:CALENDAR=FIVEDAY&amp;VAR:SYMBOL=607614&amp;VAR:INDEX=0"}</definedName>
    <definedName name="_63__FDSAUDITLINK__" localSheetId="0" hidden="1">{"fdsup://directions/FAT Viewer?action=UPDATE&amp;creator=factset&amp;DYN_ARGS=TRUE&amp;DOC_NAME=FAT:FQL_AUDITING_CLIENT_TEMPLATE.FAT&amp;display_string=Audit&amp;VAR:KEY=HQLGFQJIHA&amp;VAR:QUERY=UkdGX0JQUyhTRU1JLDkvMjEvMjAxMiwsLCwsLE5PQVVESVQp&amp;WINDOW=FIRST_POPUP&amp;HEIGHT=450&amp;WIDTH=","450&amp;START_MAXIMIZED=FALSE&amp;VAR:CALENDAR=FIVEDAY&amp;VAR:SYMBOL=607614&amp;VAR:INDEX=0"}</definedName>
    <definedName name="_63__FDSAUDITLINK__" hidden="1">{"fdsup://directions/FAT Viewer?action=UPDATE&amp;creator=factset&amp;DYN_ARGS=TRUE&amp;DOC_NAME=FAT:FQL_AUDITING_CLIENT_TEMPLATE.FAT&amp;display_string=Audit&amp;VAR:KEY=HQLGFQJIHA&amp;VAR:QUERY=UkdGX0JQUyhTRU1JLDkvMjEvMjAxMiwsLCwsLE5PQVVESVQp&amp;WINDOW=FIRST_POPUP&amp;HEIGHT=450&amp;WIDTH=","450&amp;START_MAXIMIZED=FALSE&amp;VAR:CALENDAR=FIVEDAY&amp;VAR:SYMBOL=607614&amp;VAR:INDEX=0"}</definedName>
    <definedName name="_64__FDSAUDITLINK__" localSheetId="2" hidden="1">{"fdsup://directions/FAT Viewer?action=UPDATE&amp;creator=factset&amp;DYN_ARGS=TRUE&amp;DOC_NAME=FAT:FQL_AUDITING_CLIENT_TEMPLATE.FAT&amp;display_string=Audit&amp;VAR:KEY=STOJATAFYR&amp;VAR:QUERY=UkdGX0JQUyhRVFIsOS8yMS8yMDEyLCwsLCwsTk9BVURJVCk=&amp;WINDOW=FIRST_POPUP&amp;HEIGHT=450&amp;WIDTH=","450&amp;START_MAXIMIZED=FALSE&amp;VAR:CALENDAR=FIVEDAY&amp;VAR:SYMBOL=607574&amp;VAR:INDEX=0"}</definedName>
    <definedName name="_64__FDSAUDITLINK__" localSheetId="3" hidden="1">{"fdsup://directions/FAT Viewer?action=UPDATE&amp;creator=factset&amp;DYN_ARGS=TRUE&amp;DOC_NAME=FAT:FQL_AUDITING_CLIENT_TEMPLATE.FAT&amp;display_string=Audit&amp;VAR:KEY=STOJATAFYR&amp;VAR:QUERY=UkdGX0JQUyhRVFIsOS8yMS8yMDEyLCwsLCwsTk9BVURJVCk=&amp;WINDOW=FIRST_POPUP&amp;HEIGHT=450&amp;WIDTH=","450&amp;START_MAXIMIZED=FALSE&amp;VAR:CALENDAR=FIVEDAY&amp;VAR:SYMBOL=607574&amp;VAR:INDEX=0"}</definedName>
    <definedName name="_64__FDSAUDITLINK__" localSheetId="0" hidden="1">{"fdsup://directions/FAT Viewer?action=UPDATE&amp;creator=factset&amp;DYN_ARGS=TRUE&amp;DOC_NAME=FAT:FQL_AUDITING_CLIENT_TEMPLATE.FAT&amp;display_string=Audit&amp;VAR:KEY=STOJATAFYR&amp;VAR:QUERY=UkdGX0JQUyhRVFIsOS8yMS8yMDEyLCwsLCwsTk9BVURJVCk=&amp;WINDOW=FIRST_POPUP&amp;HEIGHT=450&amp;WIDTH=","450&amp;START_MAXIMIZED=FALSE&amp;VAR:CALENDAR=FIVEDAY&amp;VAR:SYMBOL=607574&amp;VAR:INDEX=0"}</definedName>
    <definedName name="_64__FDSAUDITLINK__" hidden="1">{"fdsup://directions/FAT Viewer?action=UPDATE&amp;creator=factset&amp;DYN_ARGS=TRUE&amp;DOC_NAME=FAT:FQL_AUDITING_CLIENT_TEMPLATE.FAT&amp;display_string=Audit&amp;VAR:KEY=STOJATAFYR&amp;VAR:QUERY=UkdGX0JQUyhRVFIsOS8yMS8yMDEyLCwsLCwsTk9BVURJVCk=&amp;WINDOW=FIRST_POPUP&amp;HEIGHT=450&amp;WIDTH=","450&amp;START_MAXIMIZED=FALSE&amp;VAR:CALENDAR=FIVEDAY&amp;VAR:SYMBOL=607574&amp;VAR:INDEX=0"}</definedName>
    <definedName name="_65__FDSAUDITLINK__" localSheetId="2" hidden="1">{"fdsup://IBCentral/FAT Viewer?action=UPDATE&amp;creator=factset&amp;DOC_NAME=fat:reuters_annual_pshs_src_window.fat&amp;display_string=Audit&amp;DYN_ARGS=TRUE&amp;VAR:ID1=611298&amp;VAR:RCODE=FDSEPS&amp;VAR:SDATE=20101299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65__FDSAUDITLINK__" localSheetId="3" hidden="1">{"fdsup://IBCentral/FAT Viewer?action=UPDATE&amp;creator=factset&amp;DOC_NAME=fat:reuters_annual_pshs_src_window.fat&amp;display_string=Audit&amp;DYN_ARGS=TRUE&amp;VAR:ID1=611298&amp;VAR:RCODE=FDSEPS&amp;VAR:SDATE=20101299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65__FDSAUDITLINK__" localSheetId="0" hidden="1">{"fdsup://IBCentral/FAT Viewer?action=UPDATE&amp;creator=factset&amp;DOC_NAME=fat:reuters_annual_pshs_src_window.fat&amp;display_string=Audit&amp;DYN_ARGS=TRUE&amp;VAR:ID1=611298&amp;VAR:RCODE=FDSEPS&amp;VAR:SDATE=20101299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65__FDSAUDITLINK__" hidden="1">{"fdsup://IBCentral/FAT Viewer?action=UPDATE&amp;creator=factset&amp;DOC_NAME=fat:reuters_annual_pshs_src_window.fat&amp;display_string=Audit&amp;DYN_ARGS=TRUE&amp;VAR:ID1=611298&amp;VAR:RCODE=FDSEPS&amp;VAR:SDATE=20101299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7">#N/A</definedName>
    <definedName name="_7__FDSAUDITLINK__" localSheetId="2" hidden="1">{"fdsup://IBCentral/FAT Viewer?action=UPDATE&amp;creator=factset&amp;DOC_NAME=fat:reuters_semi_source_window.fat&amp;display_string=Audit&amp;DYN_ARGS=TRUE&amp;VAR:ID1=054052&amp;VAR:RCODE=ATOT&amp;VAR:SDATE=20120699&amp;VAR:FREQ=FSA&amp;VAR:RELITEM=RP&amp;VAR:CURRENCY=USD&amp;VAR:CURRSOURCE=EXSHARE&amp;","VAR:NATFREQ=FSA&amp;VAR:RFIELD=FINALIZED&amp;VAR:DB_TYPE=&amp;VAR:UNITS=M&amp;window=popup&amp;width=450&amp;height=300&amp;START_MAXIMIZED=FALSE"}</definedName>
    <definedName name="_7__FDSAUDITLINK__" localSheetId="3" hidden="1">{"fdsup://IBCentral/FAT Viewer?action=UPDATE&amp;creator=factset&amp;DOC_NAME=fat:reuters_semi_source_window.fat&amp;display_string=Audit&amp;DYN_ARGS=TRUE&amp;VAR:ID1=054052&amp;VAR:RCODE=ATOT&amp;VAR:SDATE=20120699&amp;VAR:FREQ=FSA&amp;VAR:RELITEM=RP&amp;VAR:CURRENCY=USD&amp;VAR:CURRSOURCE=EXSHARE&amp;","VAR:NATFREQ=FSA&amp;VAR:RFIELD=FINALIZED&amp;VAR:DB_TYPE=&amp;VAR:UNITS=M&amp;window=popup&amp;width=450&amp;height=300&amp;START_MAXIMIZED=FALSE"}</definedName>
    <definedName name="_7__FDSAUDITLINK__" localSheetId="0" hidden="1">{"fdsup://IBCentral/FAT Viewer?action=UPDATE&amp;creator=factset&amp;DOC_NAME=fat:reuters_semi_source_window.fat&amp;display_string=Audit&amp;DYN_ARGS=TRUE&amp;VAR:ID1=054052&amp;VAR:RCODE=ATOT&amp;VAR:SDATE=20120699&amp;VAR:FREQ=FSA&amp;VAR:RELITEM=RP&amp;VAR:CURRENCY=USD&amp;VAR:CURRSOURCE=EXSHARE&amp;","VAR:NATFREQ=FSA&amp;VAR:RFIELD=FINALIZED&amp;VAR:DB_TYPE=&amp;VAR:UNITS=M&amp;window=popup&amp;width=450&amp;height=300&amp;START_MAXIMIZED=FALSE"}</definedName>
    <definedName name="_7__FDSAUDITLINK__" hidden="1">{"fdsup://IBCentral/FAT Viewer?action=UPDATE&amp;creator=factset&amp;DOC_NAME=fat:reuters_semi_source_window.fat&amp;display_string=Audit&amp;DYN_ARGS=TRUE&amp;VAR:ID1=054052&amp;VAR:RCODE=ATOT&amp;VAR:SDATE=20120699&amp;VAR:FREQ=FSA&amp;VAR:RELITEM=RP&amp;VAR:CURRENCY=USD&amp;VAR:CURRSOURCE=EXSHARE&amp;","VAR:NATFREQ=FSA&amp;VAR:RFIELD=FINALIZED&amp;VAR:DB_TYPE=&amp;VAR:UNITS=M&amp;window=popup&amp;width=450&amp;height=300&amp;START_MAXIMIZED=FALSE"}</definedName>
    <definedName name="_70000" localSheetId="0">'[25]LTLGroup-Trans'!#REF!</definedName>
    <definedName name="_70000" localSheetId="4">'[26]LTLGroup-Trans'!#REF!</definedName>
    <definedName name="_70000" localSheetId="5">'[25]LTLGroup-Trans'!#REF!</definedName>
    <definedName name="_70000" localSheetId="6">'[25]LTLGroup-Trans'!#REF!</definedName>
    <definedName name="_70000">'[25]LTLGroup-Trans'!#REF!</definedName>
    <definedName name="_70001" localSheetId="0">[27]LTLGroup!#REF!</definedName>
    <definedName name="_70001" localSheetId="4">[28]LTLGroup!#REF!</definedName>
    <definedName name="_70001" localSheetId="5">[27]LTLGroup!#REF!</definedName>
    <definedName name="_70001" localSheetId="6">[27]LTLGroup!#REF!</definedName>
    <definedName name="_70001">[27]LTLGroup!#REF!</definedName>
    <definedName name="_70002" localSheetId="0">[27]LTLGroup!#REF!</definedName>
    <definedName name="_70002" localSheetId="4">[28]LTLGroup!#REF!</definedName>
    <definedName name="_70002" localSheetId="5">[27]LTLGroup!#REF!</definedName>
    <definedName name="_70002" localSheetId="6">[27]LTLGroup!#REF!</definedName>
    <definedName name="_70002">[27]LTLGroup!#REF!</definedName>
    <definedName name="_70012" localSheetId="0">'[25]LTLGroup-Trans'!#REF!</definedName>
    <definedName name="_70012" localSheetId="4">'[26]LTLGroup-Trans'!#REF!</definedName>
    <definedName name="_70012" localSheetId="5">'[25]LTLGroup-Trans'!#REF!</definedName>
    <definedName name="_70012" localSheetId="6">'[25]LTLGroup-Trans'!#REF!</definedName>
    <definedName name="_70012">'[25]LTLGroup-Trans'!#REF!</definedName>
    <definedName name="_70021" localSheetId="0">'[25]LTLGroup-Trans'!#REF!</definedName>
    <definedName name="_70021" localSheetId="4">'[26]LTLGroup-Trans'!#REF!</definedName>
    <definedName name="_70021" localSheetId="5">'[25]LTLGroup-Trans'!#REF!</definedName>
    <definedName name="_70021" localSheetId="6">'[25]LTLGroup-Trans'!#REF!</definedName>
    <definedName name="_70021">'[25]LTLGroup-Trans'!#REF!</definedName>
    <definedName name="_70022" localSheetId="0">'[25]LTLGroup-Trans'!#REF!</definedName>
    <definedName name="_70022" localSheetId="4">'[26]LTLGroup-Trans'!#REF!</definedName>
    <definedName name="_70022" localSheetId="5">'[25]LTLGroup-Trans'!#REF!</definedName>
    <definedName name="_70022" localSheetId="6">'[25]LTLGroup-Trans'!#REF!</definedName>
    <definedName name="_70022">'[25]LTLGroup-Trans'!#REF!</definedName>
    <definedName name="_70023" localSheetId="0">'[25]LTLGroup-Trans'!#REF!</definedName>
    <definedName name="_70023" localSheetId="4">'[26]LTLGroup-Trans'!#REF!</definedName>
    <definedName name="_70023" localSheetId="5">'[25]LTLGroup-Trans'!#REF!</definedName>
    <definedName name="_70023" localSheetId="6">'[25]LTLGroup-Trans'!#REF!</definedName>
    <definedName name="_70023">'[25]LTLGroup-Trans'!#REF!</definedName>
    <definedName name="_78current" localSheetId="0">#REF!</definedName>
    <definedName name="_78current" localSheetId="5">#REF!</definedName>
    <definedName name="_78current" localSheetId="6">#REF!</definedName>
    <definedName name="_78current">#REF!</definedName>
    <definedName name="_8">[19]laporan!$AD$1:$AL$56</definedName>
    <definedName name="_8__FDSAUDITLINK__" localSheetId="2" hidden="1">{"fdsup://directions/FAT Viewer?action=UPDATE&amp;creator=factset&amp;DYN_ARGS=TRUE&amp;DOC_NAME=FAT:FQL_AUDITING_CLIENT_TEMPLATE.FAT&amp;display_string=Audit&amp;VAR:KEY=AJMPILQDMZ&amp;VAR:QUERY=UkdGX1JPRShBTk5fUiw3LjI2MDE1OCwsLCwsLE5PQVVESVQp&amp;WINDOW=FIRST_POPUP&amp;HEIGHT=450&amp;WIDTH=","450&amp;START_MAXIMIZED=FALSE&amp;VAR:CALENDAR=FIVEDAY&amp;VAR:SYMBOL=676655&amp;VAR:INDEX=0"}</definedName>
    <definedName name="_8__FDSAUDITLINK__" localSheetId="3" hidden="1">{"fdsup://directions/FAT Viewer?action=UPDATE&amp;creator=factset&amp;DYN_ARGS=TRUE&amp;DOC_NAME=FAT:FQL_AUDITING_CLIENT_TEMPLATE.FAT&amp;display_string=Audit&amp;VAR:KEY=AJMPILQDMZ&amp;VAR:QUERY=UkdGX1JPRShBTk5fUiw3LjI2MDE1OCwsLCwsLE5PQVVESVQp&amp;WINDOW=FIRST_POPUP&amp;HEIGHT=450&amp;WIDTH=","450&amp;START_MAXIMIZED=FALSE&amp;VAR:CALENDAR=FIVEDAY&amp;VAR:SYMBOL=676655&amp;VAR:INDEX=0"}</definedName>
    <definedName name="_8__FDSAUDITLINK__" localSheetId="0" hidden="1">{"fdsup://directions/FAT Viewer?action=UPDATE&amp;creator=factset&amp;DYN_ARGS=TRUE&amp;DOC_NAME=FAT:FQL_AUDITING_CLIENT_TEMPLATE.FAT&amp;display_string=Audit&amp;VAR:KEY=AJMPILQDMZ&amp;VAR:QUERY=UkdGX1JPRShBTk5fUiw3LjI2MDE1OCwsLCwsLE5PQVVESVQp&amp;WINDOW=FIRST_POPUP&amp;HEIGHT=450&amp;WIDTH=","450&amp;START_MAXIMIZED=FALSE&amp;VAR:CALENDAR=FIVEDAY&amp;VAR:SYMBOL=676655&amp;VAR:INDEX=0"}</definedName>
    <definedName name="_8__FDSAUDITLINK__" hidden="1">{"fdsup://directions/FAT Viewer?action=UPDATE&amp;creator=factset&amp;DYN_ARGS=TRUE&amp;DOC_NAME=FAT:FQL_AUDITING_CLIENT_TEMPLATE.FAT&amp;display_string=Audit&amp;VAR:KEY=AJMPILQDMZ&amp;VAR:QUERY=UkdGX1JPRShBTk5fUiw3LjI2MDE1OCwsLCwsLE5PQVVESVQp&amp;WINDOW=FIRST_POPUP&amp;HEIGHT=450&amp;WIDTH=","450&amp;START_MAXIMIZED=FALSE&amp;VAR:CALENDAR=FIVEDAY&amp;VAR:SYMBOL=676655&amp;VAR:INDEX=0"}</definedName>
    <definedName name="_86__FDSAUDITLINK__" localSheetId="2" hidden="1">{"fdsup://IBCentral/FAT Viewer?action=UPDATE&amp;creator=factset&amp;DOC_NAME=fat:reuters_annual_pshs_src_window.fat&amp;display_string=Audit&amp;DYN_ARGS=TRUE&amp;VAR:ID1=643689&amp;VAR:RCODE=FDSEPS&amp;VAR:SDATE=20100699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86__FDSAUDITLINK__" localSheetId="3" hidden="1">{"fdsup://IBCentral/FAT Viewer?action=UPDATE&amp;creator=factset&amp;DOC_NAME=fat:reuters_annual_pshs_src_window.fat&amp;display_string=Audit&amp;DYN_ARGS=TRUE&amp;VAR:ID1=643689&amp;VAR:RCODE=FDSEPS&amp;VAR:SDATE=20100699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86__FDSAUDITLINK__" localSheetId="0" hidden="1">{"fdsup://IBCentral/FAT Viewer?action=UPDATE&amp;creator=factset&amp;DOC_NAME=fat:reuters_annual_pshs_src_window.fat&amp;display_string=Audit&amp;DYN_ARGS=TRUE&amp;VAR:ID1=643689&amp;VAR:RCODE=FDSEPS&amp;VAR:SDATE=20100699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86__FDSAUDITLINK__" hidden="1">{"fdsup://IBCentral/FAT Viewer?action=UPDATE&amp;creator=factset&amp;DOC_NAME=fat:reuters_annual_pshs_src_window.fat&amp;display_string=Audit&amp;DYN_ARGS=TRUE&amp;VAR:ID1=643689&amp;VAR:RCODE=FDSEPS&amp;VAR:SDATE=20100699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9">[19]laporan!$AD$57:$AL$112</definedName>
    <definedName name="_9__FDSAUDITLINK__" localSheetId="2" hidden="1">{"fdsup://directions/FAT Viewer?action=UPDATE&amp;creator=factset&amp;DYN_ARGS=TRUE&amp;DOC_NAME=FAT:FQL_AUDITING_CLIENT_TEMPLATE.FAT&amp;display_string=Audit&amp;VAR:KEY=LQHENMRANQ&amp;VAR:QUERY=UkdGX1JPRShBTk5fUiwyMDExLCwsLCwsTk9BVURJVCk=&amp;WINDOW=FIRST_POPUP&amp;HEIGHT=450&amp;WIDTH=450&amp;","START_MAXIMIZED=FALSE&amp;VAR:CALENDAR=FIVEDAY&amp;VAR:SYMBOL=B2NBQM&amp;VAR:INDEX=0"}</definedName>
    <definedName name="_9__FDSAUDITLINK__" localSheetId="3" hidden="1">{"fdsup://directions/FAT Viewer?action=UPDATE&amp;creator=factset&amp;DYN_ARGS=TRUE&amp;DOC_NAME=FAT:FQL_AUDITING_CLIENT_TEMPLATE.FAT&amp;display_string=Audit&amp;VAR:KEY=LQHENMRANQ&amp;VAR:QUERY=UkdGX1JPRShBTk5fUiwyMDExLCwsLCwsTk9BVURJVCk=&amp;WINDOW=FIRST_POPUP&amp;HEIGHT=450&amp;WIDTH=450&amp;","START_MAXIMIZED=FALSE&amp;VAR:CALENDAR=FIVEDAY&amp;VAR:SYMBOL=B2NBQM&amp;VAR:INDEX=0"}</definedName>
    <definedName name="_9__FDSAUDITLINK__" localSheetId="0" hidden="1">{"fdsup://directions/FAT Viewer?action=UPDATE&amp;creator=factset&amp;DYN_ARGS=TRUE&amp;DOC_NAME=FAT:FQL_AUDITING_CLIENT_TEMPLATE.FAT&amp;display_string=Audit&amp;VAR:KEY=LQHENMRANQ&amp;VAR:QUERY=UkdGX1JPRShBTk5fUiwyMDExLCwsLCwsTk9BVURJVCk=&amp;WINDOW=FIRST_POPUP&amp;HEIGHT=450&amp;WIDTH=450&amp;","START_MAXIMIZED=FALSE&amp;VAR:CALENDAR=FIVEDAY&amp;VAR:SYMBOL=B2NBQM&amp;VAR:INDEX=0"}</definedName>
    <definedName name="_9__FDSAUDITLINK__" hidden="1">{"fdsup://directions/FAT Viewer?action=UPDATE&amp;creator=factset&amp;DYN_ARGS=TRUE&amp;DOC_NAME=FAT:FQL_AUDITING_CLIENT_TEMPLATE.FAT&amp;display_string=Audit&amp;VAR:KEY=LQHENMRANQ&amp;VAR:QUERY=UkdGX1JPRShBTk5fUiwyMDExLCwsLCwsTk9BVURJVCk=&amp;WINDOW=FIRST_POPUP&amp;HEIGHT=450&amp;WIDTH=450&amp;","START_MAXIMIZED=FALSE&amp;VAR:CALENDAR=FIVEDAY&amp;VAR:SYMBOL=B2NBQM&amp;VAR:INDEX=0"}</definedName>
    <definedName name="_96">#N/A</definedName>
    <definedName name="_962">#N/A</definedName>
    <definedName name="_A1" localSheetId="0">'[29]直労・販直・営業外(04)'!#REF!</definedName>
    <definedName name="_A1" localSheetId="5">'[29]直労・販直・営業外(04)'!#REF!</definedName>
    <definedName name="_A1" localSheetId="6">'[29]直労・販直・営業外(04)'!#REF!</definedName>
    <definedName name="_A1">'[29]直労・販直・営業外(04)'!#REF!</definedName>
    <definedName name="_A66000" localSheetId="0">#REF!</definedName>
    <definedName name="_A66000" localSheetId="5">#REF!</definedName>
    <definedName name="_A66000" localSheetId="6">#REF!</definedName>
    <definedName name="_A66000">#REF!</definedName>
    <definedName name="_AA1" localSheetId="0">'[30]98-1-OVT'!#REF!</definedName>
    <definedName name="_AA1" localSheetId="5">'[30]98-1-OVT'!#REF!</definedName>
    <definedName name="_AA1" localSheetId="6">'[30]98-1-OVT'!#REF!</definedName>
    <definedName name="_AA1">'[30]98-1-OVT'!#REF!</definedName>
    <definedName name="_aam822" localSheetId="0">'[2]TB-WP'!#REF!</definedName>
    <definedName name="_aam822" localSheetId="4">'[31]TB-WP'!#REF!</definedName>
    <definedName name="_aam822" localSheetId="5">'[2]TB-WP'!#REF!</definedName>
    <definedName name="_aam822" localSheetId="6">'[2]TB-WP'!#REF!</definedName>
    <definedName name="_aam822">'[2]TB-WP'!#REF!</definedName>
    <definedName name="_Acc1" localSheetId="0">#REF!</definedName>
    <definedName name="_Acc1" localSheetId="5">#REF!</definedName>
    <definedName name="_Acc1" localSheetId="6">#REF!</definedName>
    <definedName name="_Acc1">#REF!</definedName>
    <definedName name="_AD68045" localSheetId="0">#REF!</definedName>
    <definedName name="_AD68045" localSheetId="4">#REF!</definedName>
    <definedName name="_AD68045" localSheetId="5">#REF!</definedName>
    <definedName name="_AD68045" localSheetId="6">#REF!</definedName>
    <definedName name="_AD68045">#REF!</definedName>
    <definedName name="_Apr1" localSheetId="0">#REF!</definedName>
    <definedName name="_Apr1" localSheetId="4">'[15]Cashflow Cons MTM-10-'!$E$3</definedName>
    <definedName name="_Apr1" localSheetId="5">#REF!</definedName>
    <definedName name="_Apr1" localSheetId="6">#REF!</definedName>
    <definedName name="_Apr1">#REF!</definedName>
    <definedName name="_Apr2" localSheetId="0">#REF!</definedName>
    <definedName name="_Apr2" localSheetId="4">'[15]Interest Exp MTM-23-'!$F$4</definedName>
    <definedName name="_Apr2" localSheetId="5">#REF!</definedName>
    <definedName name="_Apr2" localSheetId="6">#REF!</definedName>
    <definedName name="_Apr2">#REF!</definedName>
    <definedName name="_Apr3" localSheetId="0">#REF!</definedName>
    <definedName name="_Apr3" localSheetId="4">'[15]Forex Principal MTM -26-'!$F$3</definedName>
    <definedName name="_Apr3" localSheetId="5">#REF!</definedName>
    <definedName name="_Apr3" localSheetId="6">#REF!</definedName>
    <definedName name="_Apr3">#REF!</definedName>
    <definedName name="_Apr4" localSheetId="3">'[16]Forex Exp MTM -28-'!$F$3</definedName>
    <definedName name="_Apr4" localSheetId="0">#REF!</definedName>
    <definedName name="_Apr4" localSheetId="4">'[15]Forex Exp MTM -28-'!$F$3</definedName>
    <definedName name="_Apr4" localSheetId="5">#REF!</definedName>
    <definedName name="_Apr4" localSheetId="6">#REF!</definedName>
    <definedName name="_Apr4">#REF!</definedName>
    <definedName name="_Apr5" localSheetId="0">#REF!</definedName>
    <definedName name="_Apr5" localSheetId="4">'[15]Sales &amp; GM-Cons-12-'!$H$3</definedName>
    <definedName name="_Apr5" localSheetId="5">#REF!</definedName>
    <definedName name="_Apr5" localSheetId="6">#REF!</definedName>
    <definedName name="_Apr5">#REF!</definedName>
    <definedName name="_art25" localSheetId="0">#REF!</definedName>
    <definedName name="_art25" localSheetId="5">#REF!</definedName>
    <definedName name="_art25" localSheetId="6">#REF!</definedName>
    <definedName name="_art25">#REF!</definedName>
    <definedName name="_Aug1" localSheetId="0">#REF!</definedName>
    <definedName name="_Aug1" localSheetId="4">'[15]Cashflow Cons MTM-10-'!$I$3</definedName>
    <definedName name="_Aug1" localSheetId="5">#REF!</definedName>
    <definedName name="_Aug1" localSheetId="6">#REF!</definedName>
    <definedName name="_Aug1">#REF!</definedName>
    <definedName name="_Aug2" localSheetId="0">#REF!</definedName>
    <definedName name="_Aug2" localSheetId="4">'[15]Interest Exp MTM-23-'!$J$4</definedName>
    <definedName name="_Aug2" localSheetId="5">#REF!</definedName>
    <definedName name="_Aug2" localSheetId="6">#REF!</definedName>
    <definedName name="_Aug2">#REF!</definedName>
    <definedName name="_Aug3" localSheetId="0">#REF!</definedName>
    <definedName name="_Aug3" localSheetId="4">'[15]Forex Principal MTM -26-'!$J$3</definedName>
    <definedName name="_Aug3" localSheetId="5">#REF!</definedName>
    <definedName name="_Aug3" localSheetId="6">#REF!</definedName>
    <definedName name="_Aug3">#REF!</definedName>
    <definedName name="_Aug4" localSheetId="3">'[16]Forex Exp MTM -28-'!$J$3</definedName>
    <definedName name="_Aug4" localSheetId="0">#REF!</definedName>
    <definedName name="_Aug4" localSheetId="4">'[15]Forex Exp MTM -28-'!$J$3</definedName>
    <definedName name="_Aug4" localSheetId="5">#REF!</definedName>
    <definedName name="_Aug4" localSheetId="6">#REF!</definedName>
    <definedName name="_Aug4">#REF!</definedName>
    <definedName name="_Aug5" localSheetId="0">#REF!</definedName>
    <definedName name="_Aug5" localSheetId="4">'[15]Sales &amp; GM-Cons-12-'!$L$3</definedName>
    <definedName name="_Aug5" localSheetId="5">#REF!</definedName>
    <definedName name="_Aug5" localSheetId="6">#REF!</definedName>
    <definedName name="_Aug5">#REF!</definedName>
    <definedName name="_B1" localSheetId="0">'[29]直労・販直・営業外(04)'!#REF!</definedName>
    <definedName name="_B1" localSheetId="5">'[29]直労・販直・営業外(04)'!#REF!</definedName>
    <definedName name="_B1" localSheetId="6">'[29]直労・販直・営業外(04)'!#REF!</definedName>
    <definedName name="_B1">'[29]直労・販直・営業外(04)'!#REF!</definedName>
    <definedName name="_BB1" localSheetId="0">'[30]98-1-OVT'!#REF!</definedName>
    <definedName name="_BB1" localSheetId="5">'[30]98-1-OVT'!#REF!</definedName>
    <definedName name="_BB1" localSheetId="6">'[30]98-1-OVT'!#REF!</definedName>
    <definedName name="_BB1">'[30]98-1-OVT'!#REF!</definedName>
    <definedName name="_bdm._6DE9FD41CF0248559D918CB423239EC7" hidden="1">'[32]Data Arrangement'!$A:$IV</definedName>
    <definedName name="_bdm.0E52D3F9A90C4FB086962C0323EEAE86.edm" localSheetId="2" hidden="1">#REF!</definedName>
    <definedName name="_bdm.0E52D3F9A90C4FB086962C0323EEAE86.edm" localSheetId="3" hidden="1">#REF!</definedName>
    <definedName name="_bdm.0E52D3F9A90C4FB086962C0323EEAE86.edm" localSheetId="0" hidden="1">#REF!</definedName>
    <definedName name="_bdm.0E52D3F9A90C4FB086962C0323EEAE86.edm" localSheetId="5" hidden="1">#REF!</definedName>
    <definedName name="_bdm.0E52D3F9A90C4FB086962C0323EEAE86.edm" localSheetId="6" hidden="1">#REF!</definedName>
    <definedName name="_bdm.0E52D3F9A90C4FB086962C0323EEAE86.edm" hidden="1">#REF!</definedName>
    <definedName name="_bdm.1CEE895BAA7B41D59F88EC619FDEF041.edm" localSheetId="2" hidden="1">#REF!</definedName>
    <definedName name="_bdm.1CEE895BAA7B41D59F88EC619FDEF041.edm" localSheetId="3" hidden="1">#REF!</definedName>
    <definedName name="_bdm.1CEE895BAA7B41D59F88EC619FDEF041.edm" localSheetId="0" hidden="1">#REF!</definedName>
    <definedName name="_bdm.1CEE895BAA7B41D59F88EC619FDEF041.edm" localSheetId="5" hidden="1">#REF!</definedName>
    <definedName name="_bdm.1CEE895BAA7B41D59F88EC619FDEF041.edm" localSheetId="6" hidden="1">#REF!</definedName>
    <definedName name="_bdm.1CEE895BAA7B41D59F88EC619FDEF041.edm" hidden="1">#REF!</definedName>
    <definedName name="_bdm.1DA88A3614BD415D8CA3F496DF57A947.edm" localSheetId="2" hidden="1">#REF!</definedName>
    <definedName name="_bdm.1DA88A3614BD415D8CA3F496DF57A947.edm" localSheetId="3" hidden="1">#REF!</definedName>
    <definedName name="_bdm.1DA88A3614BD415D8CA3F496DF57A947.edm" localSheetId="0" hidden="1">#REF!</definedName>
    <definedName name="_bdm.1DA88A3614BD415D8CA3F496DF57A947.edm" localSheetId="5" hidden="1">#REF!</definedName>
    <definedName name="_bdm.1DA88A3614BD415D8CA3F496DF57A947.edm" localSheetId="6" hidden="1">#REF!</definedName>
    <definedName name="_bdm.1DA88A3614BD415D8CA3F496DF57A947.edm" hidden="1">#REF!</definedName>
    <definedName name="_bdm.65A97BA8666A471999A94CAE3CD1C158.edm" localSheetId="2" hidden="1">#REF!</definedName>
    <definedName name="_bdm.65A97BA8666A471999A94CAE3CD1C158.edm" localSheetId="3" hidden="1">#REF!</definedName>
    <definedName name="_bdm.65A97BA8666A471999A94CAE3CD1C158.edm" localSheetId="0" hidden="1">#REF!</definedName>
    <definedName name="_bdm.65A97BA8666A471999A94CAE3CD1C158.edm" localSheetId="5" hidden="1">#REF!</definedName>
    <definedName name="_bdm.65A97BA8666A471999A94CAE3CD1C158.edm" localSheetId="6" hidden="1">#REF!</definedName>
    <definedName name="_bdm.65A97BA8666A471999A94CAE3CD1C158.edm" hidden="1">#REF!</definedName>
    <definedName name="_bdm.6DA1776F93174874B4ED288565DD5EF0.edm" localSheetId="2" hidden="1">#REF!</definedName>
    <definedName name="_bdm.6DA1776F93174874B4ED288565DD5EF0.edm" localSheetId="3" hidden="1">#REF!</definedName>
    <definedName name="_bdm.6DA1776F93174874B4ED288565DD5EF0.edm" localSheetId="0" hidden="1">#REF!</definedName>
    <definedName name="_bdm.6DA1776F93174874B4ED288565DD5EF0.edm" localSheetId="5" hidden="1">#REF!</definedName>
    <definedName name="_bdm.6DA1776F93174874B4ED288565DD5EF0.edm" localSheetId="6" hidden="1">#REF!</definedName>
    <definedName name="_bdm.6DA1776F93174874B4ED288565DD5EF0.edm" hidden="1">#REF!</definedName>
    <definedName name="_bdm.6DE9FD41CF0248559D918CB423239EC7.edm" localSheetId="2" hidden="1">#REF!</definedName>
    <definedName name="_bdm.6DE9FD41CF0248559D918CB423239EC7.edm" localSheetId="3" hidden="1">#REF!</definedName>
    <definedName name="_bdm.6DE9FD41CF0248559D918CB423239EC7.edm" localSheetId="0" hidden="1">#REF!</definedName>
    <definedName name="_bdm.6DE9FD41CF0248559D918CB423239EC7.edm" localSheetId="5" hidden="1">#REF!</definedName>
    <definedName name="_bdm.6DE9FD41CF0248559D918CB423239EC7.edm" localSheetId="6" hidden="1">#REF!</definedName>
    <definedName name="_bdm.6DE9FD41CF0248559D918CB423239EC7.edm" hidden="1">#REF!</definedName>
    <definedName name="_bdm.73419D65FC3842B38327A600843C3498.edm" localSheetId="2" hidden="1">#REF!</definedName>
    <definedName name="_bdm.73419D65FC3842B38327A600843C3498.edm" localSheetId="3" hidden="1">#REF!</definedName>
    <definedName name="_bdm.73419D65FC3842B38327A600843C3498.edm" localSheetId="0" hidden="1">#REF!</definedName>
    <definedName name="_bdm.73419D65FC3842B38327A600843C3498.edm" localSheetId="5" hidden="1">#REF!</definedName>
    <definedName name="_bdm.73419D65FC3842B38327A600843C3498.edm" localSheetId="6" hidden="1">#REF!</definedName>
    <definedName name="_bdm.73419D65FC3842B38327A600843C3498.edm" hidden="1">#REF!</definedName>
    <definedName name="_bdm.744156CE2F6F484F91F1EC802C578DD9.edm" localSheetId="2" hidden="1">#REF!</definedName>
    <definedName name="_bdm.744156CE2F6F484F91F1EC802C578DD9.edm" localSheetId="3" hidden="1">#REF!</definedName>
    <definedName name="_bdm.744156CE2F6F484F91F1EC802C578DD9.edm" localSheetId="0" hidden="1">#REF!</definedName>
    <definedName name="_bdm.744156CE2F6F484F91F1EC802C578DD9.edm" localSheetId="5" hidden="1">#REF!</definedName>
    <definedName name="_bdm.744156CE2F6F484F91F1EC802C578DD9.edm" localSheetId="6" hidden="1">#REF!</definedName>
    <definedName name="_bdm.744156CE2F6F484F91F1EC802C578DD9.edm" hidden="1">#REF!</definedName>
    <definedName name="_bdm.91C8453CA58B4CC99B2B66D29B73BB07.edm" localSheetId="2" hidden="1">#REF!</definedName>
    <definedName name="_bdm.91C8453CA58B4CC99B2B66D29B73BB07.edm" localSheetId="3" hidden="1">#REF!</definedName>
    <definedName name="_bdm.91C8453CA58B4CC99B2B66D29B73BB07.edm" localSheetId="0" hidden="1">#REF!</definedName>
    <definedName name="_bdm.91C8453CA58B4CC99B2B66D29B73BB07.edm" localSheetId="5" hidden="1">#REF!</definedName>
    <definedName name="_bdm.91C8453CA58B4CC99B2B66D29B73BB07.edm" localSheetId="6" hidden="1">#REF!</definedName>
    <definedName name="_bdm.91C8453CA58B4CC99B2B66D29B73BB07.edm" hidden="1">#REF!</definedName>
    <definedName name="_bdm.98603FEA8E0B41808663005463F86358.edm" localSheetId="2" hidden="1">#REF!</definedName>
    <definedName name="_bdm.98603FEA8E0B41808663005463F86358.edm" localSheetId="3" hidden="1">#REF!</definedName>
    <definedName name="_bdm.98603FEA8E0B41808663005463F86358.edm" localSheetId="0" hidden="1">#REF!</definedName>
    <definedName name="_bdm.98603FEA8E0B41808663005463F86358.edm" localSheetId="5" hidden="1">#REF!</definedName>
    <definedName name="_bdm.98603FEA8E0B41808663005463F86358.edm" localSheetId="6" hidden="1">#REF!</definedName>
    <definedName name="_bdm.98603FEA8E0B41808663005463F86358.edm" hidden="1">#REF!</definedName>
    <definedName name="_bdm.A55531A250DC4B15B04ACA74E917DEFB.edm" localSheetId="2" hidden="1">#REF!</definedName>
    <definedName name="_bdm.A55531A250DC4B15B04ACA74E917DEFB.edm" localSheetId="3" hidden="1">#REF!</definedName>
    <definedName name="_bdm.A55531A250DC4B15B04ACA74E917DEFB.edm" localSheetId="0" hidden="1">#REF!</definedName>
    <definedName name="_bdm.A55531A250DC4B15B04ACA74E917DEFB.edm" localSheetId="5" hidden="1">#REF!</definedName>
    <definedName name="_bdm.A55531A250DC4B15B04ACA74E917DEFB.edm" localSheetId="6" hidden="1">#REF!</definedName>
    <definedName name="_bdm.A55531A250DC4B15B04ACA74E917DEFB.edm" hidden="1">#REF!</definedName>
    <definedName name="_bdm.BA7DF401FF66448AB626C492D77D0998.edm" localSheetId="2" hidden="1">#REF!</definedName>
    <definedName name="_bdm.BA7DF401FF66448AB626C492D77D0998.edm" localSheetId="3" hidden="1">#REF!</definedName>
    <definedName name="_bdm.BA7DF401FF66448AB626C492D77D0998.edm" localSheetId="0" hidden="1">#REF!</definedName>
    <definedName name="_bdm.BA7DF401FF66448AB626C492D77D0998.edm" localSheetId="5" hidden="1">#REF!</definedName>
    <definedName name="_bdm.BA7DF401FF66448AB626C492D77D0998.edm" localSheetId="6" hidden="1">#REF!</definedName>
    <definedName name="_bdm.BA7DF401FF66448AB626C492D77D0998.edm" hidden="1">#REF!</definedName>
    <definedName name="_bdm.BE3BE24B357C4043885E6A614F67B989.edm" localSheetId="2" hidden="1">#REF!</definedName>
    <definedName name="_bdm.BE3BE24B357C4043885E6A614F67B989.edm" localSheetId="3" hidden="1">#REF!</definedName>
    <definedName name="_bdm.BE3BE24B357C4043885E6A614F67B989.edm" localSheetId="0" hidden="1">#REF!</definedName>
    <definedName name="_bdm.BE3BE24B357C4043885E6A614F67B989.edm" localSheetId="5" hidden="1">#REF!</definedName>
    <definedName name="_bdm.BE3BE24B357C4043885E6A614F67B989.edm" localSheetId="6" hidden="1">#REF!</definedName>
    <definedName name="_bdm.BE3BE24B357C4043885E6A614F67B989.edm" hidden="1">#REF!</definedName>
    <definedName name="_bdm.CA83D8689AC948CD97223F278E26395C.edm" localSheetId="2" hidden="1">#REF!</definedName>
    <definedName name="_bdm.CA83D8689AC948CD97223F278E26395C.edm" localSheetId="3" hidden="1">#REF!</definedName>
    <definedName name="_bdm.CA83D8689AC948CD97223F278E26395C.edm" localSheetId="0" hidden="1">#REF!</definedName>
    <definedName name="_bdm.CA83D8689AC948CD97223F278E26395C.edm" localSheetId="5" hidden="1">#REF!</definedName>
    <definedName name="_bdm.CA83D8689AC948CD97223F278E26395C.edm" localSheetId="6" hidden="1">#REF!</definedName>
    <definedName name="_bdm.CA83D8689AC948CD97223F278E26395C.edm" hidden="1">#REF!</definedName>
    <definedName name="_bdm.D81AD4AD5AAF442DB4C6A90DFEAD6C84.edm" localSheetId="2" hidden="1">#REF!</definedName>
    <definedName name="_bdm.D81AD4AD5AAF442DB4C6A90DFEAD6C84.edm" localSheetId="3" hidden="1">#REF!</definedName>
    <definedName name="_bdm.D81AD4AD5AAF442DB4C6A90DFEAD6C84.edm" localSheetId="0" hidden="1">#REF!</definedName>
    <definedName name="_bdm.D81AD4AD5AAF442DB4C6A90DFEAD6C84.edm" localSheetId="5" hidden="1">#REF!</definedName>
    <definedName name="_bdm.D81AD4AD5AAF442DB4C6A90DFEAD6C84.edm" localSheetId="6" hidden="1">#REF!</definedName>
    <definedName name="_bdm.D81AD4AD5AAF442DB4C6A90DFEAD6C84.edm" hidden="1">#REF!</definedName>
    <definedName name="_bdm.DD9B8ECD79E44D9CB8441E0DC520141B.edm" localSheetId="2" hidden="1">#REF!</definedName>
    <definedName name="_bdm.DD9B8ECD79E44D9CB8441E0DC520141B.edm" localSheetId="3" hidden="1">#REF!</definedName>
    <definedName name="_bdm.DD9B8ECD79E44D9CB8441E0DC520141B.edm" localSheetId="0" hidden="1">#REF!</definedName>
    <definedName name="_bdm.DD9B8ECD79E44D9CB8441E0DC520141B.edm" localSheetId="5" hidden="1">#REF!</definedName>
    <definedName name="_bdm.DD9B8ECD79E44D9CB8441E0DC520141B.edm" localSheetId="6" hidden="1">#REF!</definedName>
    <definedName name="_bdm.DD9B8ECD79E44D9CB8441E0DC520141B.edm" hidden="1">#REF!</definedName>
    <definedName name="_C" localSheetId="0">[33]Identitas!#REF!</definedName>
    <definedName name="_C" localSheetId="5">[33]Identitas!#REF!</definedName>
    <definedName name="_C" localSheetId="6">[33]Identitas!#REF!</definedName>
    <definedName name="_C">[33]Identitas!#REF!</definedName>
    <definedName name="_CC1" localSheetId="0">'[30]98-1-OVT'!#REF!</definedName>
    <definedName name="_CC1" localSheetId="5">'[30]98-1-OVT'!#REF!</definedName>
    <definedName name="_CC1" localSheetId="6">'[30]98-1-OVT'!#REF!</definedName>
    <definedName name="_CC1">'[30]98-1-OVT'!#REF!</definedName>
    <definedName name="_cyt1250">[18]capacity!$D$5</definedName>
    <definedName name="_cyt1650">[18]capacity!$E$5</definedName>
    <definedName name="_cyt800">[18]capacity!$C$5</definedName>
    <definedName name="_DAT1" localSheetId="0">#REF!</definedName>
    <definedName name="_DAT1" localSheetId="5">#REF!</definedName>
    <definedName name="_DAT1" localSheetId="6">#REF!</definedName>
    <definedName name="_DAT1">#REF!</definedName>
    <definedName name="_DAT10" localSheetId="0">#REF!</definedName>
    <definedName name="_DAT10" localSheetId="5">#REF!</definedName>
    <definedName name="_DAT10" localSheetId="6">#REF!</definedName>
    <definedName name="_DAT10">#REF!</definedName>
    <definedName name="_DAT11" localSheetId="0">#REF!</definedName>
    <definedName name="_DAT11" localSheetId="5">#REF!</definedName>
    <definedName name="_DAT11" localSheetId="6">#REF!</definedName>
    <definedName name="_DAT11">#REF!</definedName>
    <definedName name="_DAT12" localSheetId="0">#REF!</definedName>
    <definedName name="_DAT12" localSheetId="5">#REF!</definedName>
    <definedName name="_DAT12" localSheetId="6">#REF!</definedName>
    <definedName name="_DAT12">#REF!</definedName>
    <definedName name="_DAT13" localSheetId="0">#REF!</definedName>
    <definedName name="_DAT13" localSheetId="5">#REF!</definedName>
    <definedName name="_DAT13" localSheetId="6">#REF!</definedName>
    <definedName name="_DAT13">#REF!</definedName>
    <definedName name="_DAT14" localSheetId="0">#REF!</definedName>
    <definedName name="_DAT14" localSheetId="5">#REF!</definedName>
    <definedName name="_DAT14" localSheetId="6">#REF!</definedName>
    <definedName name="_DAT14">#REF!</definedName>
    <definedName name="_DAT15" localSheetId="0">#REF!</definedName>
    <definedName name="_DAT15" localSheetId="5">#REF!</definedName>
    <definedName name="_DAT15" localSheetId="6">#REF!</definedName>
    <definedName name="_DAT15">#REF!</definedName>
    <definedName name="_DAT16" localSheetId="0">[34]DATA!#REF!</definedName>
    <definedName name="_DAT16" localSheetId="5">[34]DATA!#REF!</definedName>
    <definedName name="_DAT16" localSheetId="6">[34]DATA!#REF!</definedName>
    <definedName name="_DAT16">[34]DATA!#REF!</definedName>
    <definedName name="_DAT17" localSheetId="0">[34]DATA!#REF!</definedName>
    <definedName name="_DAT17" localSheetId="5">[34]DATA!#REF!</definedName>
    <definedName name="_DAT17" localSheetId="6">[34]DATA!#REF!</definedName>
    <definedName name="_DAT17">[34]DATA!#REF!</definedName>
    <definedName name="_DAT18" localSheetId="0">[34]DATA!#REF!</definedName>
    <definedName name="_DAT18" localSheetId="5">[34]DATA!#REF!</definedName>
    <definedName name="_DAT18" localSheetId="6">[34]DATA!#REF!</definedName>
    <definedName name="_DAT18">[34]DATA!#REF!</definedName>
    <definedName name="_DAT19" localSheetId="0">[34]DATA!#REF!</definedName>
    <definedName name="_DAT19" localSheetId="5">[34]DATA!#REF!</definedName>
    <definedName name="_DAT19" localSheetId="6">[34]DATA!#REF!</definedName>
    <definedName name="_DAT19">[34]DATA!#REF!</definedName>
    <definedName name="_DAT2" localSheetId="0">#REF!</definedName>
    <definedName name="_DAT2" localSheetId="5">#REF!</definedName>
    <definedName name="_DAT2" localSheetId="6">#REF!</definedName>
    <definedName name="_DAT2">#REF!</definedName>
    <definedName name="_DAT20" localSheetId="0">[34]DATA!#REF!</definedName>
    <definedName name="_DAT20" localSheetId="5">[34]DATA!#REF!</definedName>
    <definedName name="_DAT20" localSheetId="6">[34]DATA!#REF!</definedName>
    <definedName name="_DAT20">[34]DATA!#REF!</definedName>
    <definedName name="_DAT21" localSheetId="0">[34]DATA!#REF!</definedName>
    <definedName name="_DAT21" localSheetId="5">[34]DATA!#REF!</definedName>
    <definedName name="_DAT21" localSheetId="6">[34]DATA!#REF!</definedName>
    <definedName name="_DAT21">[34]DATA!#REF!</definedName>
    <definedName name="_DAT22" localSheetId="0">[34]DATA!#REF!</definedName>
    <definedName name="_DAT22" localSheetId="5">[34]DATA!#REF!</definedName>
    <definedName name="_DAT22" localSheetId="6">[34]DATA!#REF!</definedName>
    <definedName name="_DAT22">[34]DATA!#REF!</definedName>
    <definedName name="_DAT23" localSheetId="0">[34]DATA!#REF!</definedName>
    <definedName name="_DAT23" localSheetId="5">[34]DATA!#REF!</definedName>
    <definedName name="_DAT23" localSheetId="6">[34]DATA!#REF!</definedName>
    <definedName name="_DAT23">[34]DATA!#REF!</definedName>
    <definedName name="_DAT24" localSheetId="0">[34]DATA!#REF!</definedName>
    <definedName name="_DAT24" localSheetId="5">[34]DATA!#REF!</definedName>
    <definedName name="_DAT24" localSheetId="6">[34]DATA!#REF!</definedName>
    <definedName name="_DAT24">[34]DATA!#REF!</definedName>
    <definedName name="_DAT25" localSheetId="0">[34]DATA!#REF!</definedName>
    <definedName name="_DAT25" localSheetId="5">[34]DATA!#REF!</definedName>
    <definedName name="_DAT25" localSheetId="6">[34]DATA!#REF!</definedName>
    <definedName name="_DAT25">[34]DATA!#REF!</definedName>
    <definedName name="_DAT26" localSheetId="0">[34]DATA!#REF!</definedName>
    <definedName name="_DAT26" localSheetId="5">[34]DATA!#REF!</definedName>
    <definedName name="_DAT26" localSheetId="6">[34]DATA!#REF!</definedName>
    <definedName name="_DAT26">[34]DATA!#REF!</definedName>
    <definedName name="_DAT27" localSheetId="0">[34]DATA!#REF!</definedName>
    <definedName name="_DAT27" localSheetId="5">[34]DATA!#REF!</definedName>
    <definedName name="_DAT27" localSheetId="6">[34]DATA!#REF!</definedName>
    <definedName name="_DAT27">[34]DATA!#REF!</definedName>
    <definedName name="_DAT28" localSheetId="0">[34]DATA!#REF!</definedName>
    <definedName name="_DAT28" localSheetId="5">[34]DATA!#REF!</definedName>
    <definedName name="_DAT28" localSheetId="6">[34]DATA!#REF!</definedName>
    <definedName name="_DAT28">[34]DATA!#REF!</definedName>
    <definedName name="_DAT29" localSheetId="0">[34]DATA!#REF!</definedName>
    <definedName name="_DAT29" localSheetId="5">[34]DATA!#REF!</definedName>
    <definedName name="_DAT29" localSheetId="6">[34]DATA!#REF!</definedName>
    <definedName name="_DAT29">[34]DATA!#REF!</definedName>
    <definedName name="_DAT3" localSheetId="0">#REF!</definedName>
    <definedName name="_DAT3" localSheetId="5">#REF!</definedName>
    <definedName name="_DAT3" localSheetId="6">#REF!</definedName>
    <definedName name="_DAT3">#REF!</definedName>
    <definedName name="_DAT30" localSheetId="0">[34]DATA!#REF!</definedName>
    <definedName name="_DAT30" localSheetId="5">[34]DATA!#REF!</definedName>
    <definedName name="_DAT30" localSheetId="6">[34]DATA!#REF!</definedName>
    <definedName name="_DAT30">[34]DATA!#REF!</definedName>
    <definedName name="_DAT31" localSheetId="0">[34]DATA!#REF!</definedName>
    <definedName name="_DAT31" localSheetId="5">[34]DATA!#REF!</definedName>
    <definedName name="_DAT31" localSheetId="6">[34]DATA!#REF!</definedName>
    <definedName name="_DAT31">[34]DATA!#REF!</definedName>
    <definedName name="_DAT32" localSheetId="0">[34]DATA!#REF!</definedName>
    <definedName name="_DAT32" localSheetId="5">[34]DATA!#REF!</definedName>
    <definedName name="_DAT32" localSheetId="6">[34]DATA!#REF!</definedName>
    <definedName name="_DAT32">[34]DATA!#REF!</definedName>
    <definedName name="_DAT33" localSheetId="0">[34]DATA!#REF!</definedName>
    <definedName name="_DAT33" localSheetId="5">[34]DATA!#REF!</definedName>
    <definedName name="_DAT33" localSheetId="6">[34]DATA!#REF!</definedName>
    <definedName name="_DAT33">[34]DATA!#REF!</definedName>
    <definedName name="_DAT34" localSheetId="0">[34]DATA!#REF!</definedName>
    <definedName name="_DAT34" localSheetId="5">[34]DATA!#REF!</definedName>
    <definedName name="_DAT34" localSheetId="6">[34]DATA!#REF!</definedName>
    <definedName name="_DAT34">[34]DATA!#REF!</definedName>
    <definedName name="_DAT35" localSheetId="0">[34]DATA!#REF!</definedName>
    <definedName name="_DAT35" localSheetId="5">[34]DATA!#REF!</definedName>
    <definedName name="_DAT35" localSheetId="6">[34]DATA!#REF!</definedName>
    <definedName name="_DAT35">[34]DATA!#REF!</definedName>
    <definedName name="_DAT36" localSheetId="0">[34]DATA!#REF!</definedName>
    <definedName name="_DAT36" localSheetId="5">[34]DATA!#REF!</definedName>
    <definedName name="_DAT36" localSheetId="6">[34]DATA!#REF!</definedName>
    <definedName name="_DAT36">[34]DATA!#REF!</definedName>
    <definedName name="_DAT37" localSheetId="0">[34]DATA!#REF!</definedName>
    <definedName name="_DAT37" localSheetId="5">[34]DATA!#REF!</definedName>
    <definedName name="_DAT37" localSheetId="6">[34]DATA!#REF!</definedName>
    <definedName name="_DAT37">[34]DATA!#REF!</definedName>
    <definedName name="_DAT38" localSheetId="0">[34]DATA!#REF!</definedName>
    <definedName name="_DAT38" localSheetId="5">[34]DATA!#REF!</definedName>
    <definedName name="_DAT38" localSheetId="6">[34]DATA!#REF!</definedName>
    <definedName name="_DAT38">[34]DATA!#REF!</definedName>
    <definedName name="_DAT39" localSheetId="0">[34]DATA!#REF!</definedName>
    <definedName name="_DAT39" localSheetId="5">[34]DATA!#REF!</definedName>
    <definedName name="_DAT39" localSheetId="6">[34]DATA!#REF!</definedName>
    <definedName name="_DAT39">[34]DATA!#REF!</definedName>
    <definedName name="_DAT4" localSheetId="0">#REF!</definedName>
    <definedName name="_DAT4" localSheetId="5">#REF!</definedName>
    <definedName name="_DAT4" localSheetId="6">#REF!</definedName>
    <definedName name="_DAT4">#REF!</definedName>
    <definedName name="_DAT40" localSheetId="0">[34]DATA!#REF!</definedName>
    <definedName name="_DAT40" localSheetId="5">[34]DATA!#REF!</definedName>
    <definedName name="_DAT40" localSheetId="6">[34]DATA!#REF!</definedName>
    <definedName name="_DAT40">[34]DATA!#REF!</definedName>
    <definedName name="_DAT41" localSheetId="0">[34]DATA!#REF!</definedName>
    <definedName name="_DAT41" localSheetId="5">[34]DATA!#REF!</definedName>
    <definedName name="_DAT41" localSheetId="6">[34]DATA!#REF!</definedName>
    <definedName name="_DAT41">[34]DATA!#REF!</definedName>
    <definedName name="_DAT42" localSheetId="0">[34]DATA!#REF!</definedName>
    <definedName name="_DAT42" localSheetId="5">[34]DATA!#REF!</definedName>
    <definedName name="_DAT42" localSheetId="6">[34]DATA!#REF!</definedName>
    <definedName name="_DAT42">[34]DATA!#REF!</definedName>
    <definedName name="_DAT43" localSheetId="0">[34]DATA!#REF!</definedName>
    <definedName name="_DAT43" localSheetId="5">[34]DATA!#REF!</definedName>
    <definedName name="_DAT43" localSheetId="6">[34]DATA!#REF!</definedName>
    <definedName name="_DAT43">[34]DATA!#REF!</definedName>
    <definedName name="_DAT44" localSheetId="0">[34]DATA!#REF!</definedName>
    <definedName name="_DAT44" localSheetId="5">[34]DATA!#REF!</definedName>
    <definedName name="_DAT44" localSheetId="6">[34]DATA!#REF!</definedName>
    <definedName name="_DAT44">[34]DATA!#REF!</definedName>
    <definedName name="_DAT45" localSheetId="0">[34]DATA!#REF!</definedName>
    <definedName name="_DAT45" localSheetId="5">[34]DATA!#REF!</definedName>
    <definedName name="_DAT45" localSheetId="6">[34]DATA!#REF!</definedName>
    <definedName name="_DAT45">[34]DATA!#REF!</definedName>
    <definedName name="_DAT46" localSheetId="0">[34]DATA!#REF!</definedName>
    <definedName name="_DAT46" localSheetId="5">[34]DATA!#REF!</definedName>
    <definedName name="_DAT46" localSheetId="6">[34]DATA!#REF!</definedName>
    <definedName name="_DAT46">[34]DATA!#REF!</definedName>
    <definedName name="_DAT47" localSheetId="0">[34]DATA!#REF!</definedName>
    <definedName name="_DAT47" localSheetId="5">[34]DATA!#REF!</definedName>
    <definedName name="_DAT47" localSheetId="6">[34]DATA!#REF!</definedName>
    <definedName name="_DAT47">[34]DATA!#REF!</definedName>
    <definedName name="_DAT48" localSheetId="0">[34]DATA!#REF!</definedName>
    <definedName name="_DAT48" localSheetId="5">[34]DATA!#REF!</definedName>
    <definedName name="_DAT48" localSheetId="6">[34]DATA!#REF!</definedName>
    <definedName name="_DAT48">[34]DATA!#REF!</definedName>
    <definedName name="_DAT49" localSheetId="0">[34]DATA!#REF!</definedName>
    <definedName name="_DAT49" localSheetId="5">[34]DATA!#REF!</definedName>
    <definedName name="_DAT49" localSheetId="6">[34]DATA!#REF!</definedName>
    <definedName name="_DAT49">[34]DATA!#REF!</definedName>
    <definedName name="_DAT5" localSheetId="0">#REF!</definedName>
    <definedName name="_DAT5" localSheetId="5">#REF!</definedName>
    <definedName name="_DAT5" localSheetId="6">#REF!</definedName>
    <definedName name="_DAT5">#REF!</definedName>
    <definedName name="_DAT50" localSheetId="0">[34]DATA!#REF!</definedName>
    <definedName name="_DAT50" localSheetId="5">[34]DATA!#REF!</definedName>
    <definedName name="_DAT50" localSheetId="6">[34]DATA!#REF!</definedName>
    <definedName name="_DAT50">[34]DATA!#REF!</definedName>
    <definedName name="_DAT51" localSheetId="0">[34]DATA!#REF!</definedName>
    <definedName name="_DAT51" localSheetId="5">[34]DATA!#REF!</definedName>
    <definedName name="_DAT51" localSheetId="6">[34]DATA!#REF!</definedName>
    <definedName name="_DAT51">[34]DATA!#REF!</definedName>
    <definedName name="_DAT52" localSheetId="0">[34]DATA!#REF!</definedName>
    <definedName name="_DAT52" localSheetId="5">[34]DATA!#REF!</definedName>
    <definedName name="_DAT52" localSheetId="6">[34]DATA!#REF!</definedName>
    <definedName name="_DAT52">[34]DATA!#REF!</definedName>
    <definedName name="_DAT53" localSheetId="0">[34]DATA!#REF!</definedName>
    <definedName name="_DAT53" localSheetId="5">[34]DATA!#REF!</definedName>
    <definedName name="_DAT53" localSheetId="6">[34]DATA!#REF!</definedName>
    <definedName name="_DAT53">[34]DATA!#REF!</definedName>
    <definedName name="_DAT54" localSheetId="0">[34]DATA!#REF!</definedName>
    <definedName name="_DAT54" localSheetId="5">[34]DATA!#REF!</definedName>
    <definedName name="_DAT54" localSheetId="6">[34]DATA!#REF!</definedName>
    <definedName name="_DAT54">[34]DATA!#REF!</definedName>
    <definedName name="_DAT55" localSheetId="0">[34]DATA!#REF!</definedName>
    <definedName name="_DAT55" localSheetId="5">[34]DATA!#REF!</definedName>
    <definedName name="_DAT55" localSheetId="6">[34]DATA!#REF!</definedName>
    <definedName name="_DAT55">[34]DATA!#REF!</definedName>
    <definedName name="_DAT56" localSheetId="0">[34]DATA!#REF!</definedName>
    <definedName name="_DAT56" localSheetId="5">[34]DATA!#REF!</definedName>
    <definedName name="_DAT56" localSheetId="6">[34]DATA!#REF!</definedName>
    <definedName name="_DAT56">[34]DATA!#REF!</definedName>
    <definedName name="_DAT57" localSheetId="0">[34]DATA!#REF!</definedName>
    <definedName name="_DAT57" localSheetId="5">[34]DATA!#REF!</definedName>
    <definedName name="_DAT57" localSheetId="6">[34]DATA!#REF!</definedName>
    <definedName name="_DAT57">[34]DATA!#REF!</definedName>
    <definedName name="_DAT58" localSheetId="0">[34]DATA!#REF!</definedName>
    <definedName name="_DAT58" localSheetId="5">[34]DATA!#REF!</definedName>
    <definedName name="_DAT58" localSheetId="6">[34]DATA!#REF!</definedName>
    <definedName name="_DAT58">[34]DATA!#REF!</definedName>
    <definedName name="_DAT59" localSheetId="0">[34]DATA!#REF!</definedName>
    <definedName name="_DAT59" localSheetId="5">[34]DATA!#REF!</definedName>
    <definedName name="_DAT59" localSheetId="6">[34]DATA!#REF!</definedName>
    <definedName name="_DAT59">[34]DATA!#REF!</definedName>
    <definedName name="_DAT6" localSheetId="0">#REF!</definedName>
    <definedName name="_DAT6" localSheetId="5">#REF!</definedName>
    <definedName name="_DAT6" localSheetId="6">#REF!</definedName>
    <definedName name="_DAT6">#REF!</definedName>
    <definedName name="_DAT60" localSheetId="0">[34]DATA!#REF!</definedName>
    <definedName name="_DAT60" localSheetId="5">[34]DATA!#REF!</definedName>
    <definedName name="_DAT60" localSheetId="6">[34]DATA!#REF!</definedName>
    <definedName name="_DAT60">[34]DATA!#REF!</definedName>
    <definedName name="_DAT61" localSheetId="0">[34]DATA!#REF!</definedName>
    <definedName name="_DAT61" localSheetId="5">[34]DATA!#REF!</definedName>
    <definedName name="_DAT61" localSheetId="6">[34]DATA!#REF!</definedName>
    <definedName name="_DAT61">[34]DATA!#REF!</definedName>
    <definedName name="_DAT62" localSheetId="0">[34]DATA!#REF!</definedName>
    <definedName name="_DAT62" localSheetId="5">[34]DATA!#REF!</definedName>
    <definedName name="_DAT62" localSheetId="6">[34]DATA!#REF!</definedName>
    <definedName name="_DAT62">[34]DATA!#REF!</definedName>
    <definedName name="_DAT7" localSheetId="0">#REF!</definedName>
    <definedName name="_DAT7" localSheetId="5">#REF!</definedName>
    <definedName name="_DAT7" localSheetId="6">#REF!</definedName>
    <definedName name="_DAT7">#REF!</definedName>
    <definedName name="_DAT8" localSheetId="0">#REF!</definedName>
    <definedName name="_DAT8" localSheetId="5">#REF!</definedName>
    <definedName name="_DAT8" localSheetId="6">#REF!</definedName>
    <definedName name="_DAT8">#REF!</definedName>
    <definedName name="_DAT9" localSheetId="0">#REF!</definedName>
    <definedName name="_DAT9" localSheetId="5">#REF!</definedName>
    <definedName name="_DAT9" localSheetId="6">#REF!</definedName>
    <definedName name="_DAT9">#REF!</definedName>
    <definedName name="_DD1" localSheetId="0">'[30]98-1-OVT'!#REF!</definedName>
    <definedName name="_DD1" localSheetId="5">'[30]98-1-OVT'!#REF!</definedName>
    <definedName name="_DD1" localSheetId="6">'[30]98-1-OVT'!#REF!</definedName>
    <definedName name="_DD1">'[30]98-1-OVT'!#REF!</definedName>
    <definedName name="_Dec1" localSheetId="0">#REF!</definedName>
    <definedName name="_Dec1" localSheetId="5">#REF!</definedName>
    <definedName name="_Dec1" localSheetId="6">#REF!</definedName>
    <definedName name="_Dec1">#REF!</definedName>
    <definedName name="_Dec2" localSheetId="0">#REF!</definedName>
    <definedName name="_Dec2" localSheetId="5">#REF!</definedName>
    <definedName name="_Dec2" localSheetId="6">#REF!</definedName>
    <definedName name="_Dec2">#REF!</definedName>
    <definedName name="_Dec3" localSheetId="0">#REF!</definedName>
    <definedName name="_Dec3" localSheetId="5">#REF!</definedName>
    <definedName name="_Dec3" localSheetId="6">#REF!</definedName>
    <definedName name="_Dec3">#REF!</definedName>
    <definedName name="_Dec4" localSheetId="0">#REF!</definedName>
    <definedName name="_Dec4" localSheetId="5">#REF!</definedName>
    <definedName name="_Dec4" localSheetId="6">#REF!</definedName>
    <definedName name="_Dec4">#REF!</definedName>
    <definedName name="_Dec5" localSheetId="0">#REF!</definedName>
    <definedName name="_Dec5" localSheetId="5">#REF!</definedName>
    <definedName name="_Dec5" localSheetId="6">#REF!</definedName>
    <definedName name="_Dec5">#REF!</definedName>
    <definedName name="_Dist_Bin" localSheetId="2" hidden="1">[35]SPI!#REF!</definedName>
    <definedName name="_Dist_Bin" localSheetId="0" hidden="1">[35]SPI!#REF!</definedName>
    <definedName name="_Dist_Bin" localSheetId="5" hidden="1">[35]SPI!#REF!</definedName>
    <definedName name="_Dist_Bin" localSheetId="6" hidden="1">[35]SPI!#REF!</definedName>
    <definedName name="_Dist_Bin" hidden="1">[35]SPI!#REF!</definedName>
    <definedName name="_Dist_Values" localSheetId="2" hidden="1">[35]SPI!#REF!</definedName>
    <definedName name="_Dist_Values" localSheetId="0" hidden="1">[35]SPI!#REF!</definedName>
    <definedName name="_Dist_Values" localSheetId="5" hidden="1">[35]SPI!#REF!</definedName>
    <definedName name="_Dist_Values" localSheetId="6" hidden="1">[35]SPI!#REF!</definedName>
    <definedName name="_Dist_Values" hidden="1">[35]SPI!#REF!</definedName>
    <definedName name="_DIT3">[7]LAPORAN!$I$1:$S$56</definedName>
    <definedName name="_EE1" localSheetId="0">'[30]98-1-OVT'!#REF!</definedName>
    <definedName name="_EE1" localSheetId="5">'[30]98-1-OVT'!#REF!</definedName>
    <definedName name="_EE1" localSheetId="6">'[30]98-1-OVT'!#REF!</definedName>
    <definedName name="_EE1">'[30]98-1-OVT'!#REF!</definedName>
    <definedName name="_Feb1" localSheetId="0">#REF!</definedName>
    <definedName name="_Feb1" localSheetId="4">'[15]Cashflow Cons MTM-10-'!$C$3</definedName>
    <definedName name="_Feb1" localSheetId="5">#REF!</definedName>
    <definedName name="_Feb1" localSheetId="6">#REF!</definedName>
    <definedName name="_Feb1">#REF!</definedName>
    <definedName name="_Feb2" localSheetId="4">'[15]Interest Exp MTM-23-'!$D$4</definedName>
    <definedName name="_Feb2">'[12]Interest Exp MTM-23-'!$D$4</definedName>
    <definedName name="_Feb3" localSheetId="4">'[15]Forex Principal MTM -26-'!$D$3</definedName>
    <definedName name="_Feb3">'[12]Forex Principal MTM -26-'!$D$3</definedName>
    <definedName name="_Feb4" localSheetId="4">'[15]Forex Exp MTM -28-'!$D$3</definedName>
    <definedName name="_Feb4">'[12]Forex Exp MTM -28-'!$D$3</definedName>
    <definedName name="_Feb5" localSheetId="0">#REF!</definedName>
    <definedName name="_Feb5" localSheetId="4">'[15]Sales &amp; GM-Cons-12-'!$F$3</definedName>
    <definedName name="_Feb5" localSheetId="5">#REF!</definedName>
    <definedName name="_Feb5" localSheetId="6">#REF!</definedName>
    <definedName name="_Feb5">#REF!</definedName>
    <definedName name="_Fill" localSheetId="2" hidden="1">#REF!</definedName>
    <definedName name="_Fill" localSheetId="0" hidden="1">#REF!</definedName>
    <definedName name="_Fill" localSheetId="4" hidden="1">#REF!</definedName>
    <definedName name="_Fill" localSheetId="5" hidden="1">#REF!</definedName>
    <definedName name="_Fill" localSheetId="6" hidden="1">#REF!</definedName>
    <definedName name="_Fill" hidden="1">#REF!</definedName>
    <definedName name="_fill1" localSheetId="2" hidden="1">#REF!</definedName>
    <definedName name="_fill1" localSheetId="0" hidden="1">#REF!</definedName>
    <definedName name="_fill1" localSheetId="5" hidden="1">#REF!</definedName>
    <definedName name="_fill1" localSheetId="6" hidden="1">#REF!</definedName>
    <definedName name="_fill1" hidden="1">#REF!</definedName>
    <definedName name="_Fill2" localSheetId="2" hidden="1">#REF!</definedName>
    <definedName name="_Fill2" localSheetId="0" hidden="1">#REF!</definedName>
    <definedName name="_Fill2" localSheetId="5" hidden="1">#REF!</definedName>
    <definedName name="_Fill2" localSheetId="6" hidden="1">#REF!</definedName>
    <definedName name="_Fill2" hidden="1">#REF!</definedName>
    <definedName name="_xlnm._FilterDatabase" localSheetId="2" hidden="1">'BUDGET REVENUE BP 2021-2025'!$A$8:$EH$897</definedName>
    <definedName name="_xlnm._FilterDatabase" localSheetId="0" hidden="1">'BUDGET REVENUE CML 2021-2025'!$A$7:$CW$350</definedName>
    <definedName name="_xlnm._FilterDatabase" localSheetId="5" hidden="1">#REF!</definedName>
    <definedName name="_xlnm._FilterDatabase" localSheetId="6" hidden="1">#REF!</definedName>
    <definedName name="_xlnm._FilterDatabase" hidden="1">#REF!</definedName>
    <definedName name="_hdi2003" localSheetId="2" hidden="1">[36]SPI!#REF!</definedName>
    <definedName name="_hdi2003" localSheetId="0" hidden="1">[36]SPI!#REF!</definedName>
    <definedName name="_hdi2003" localSheetId="5" hidden="1">[36]SPI!#REF!</definedName>
    <definedName name="_hdi2003" localSheetId="6" hidden="1">[36]SPI!#REF!</definedName>
    <definedName name="_hdi2003" hidden="1">[36]SPI!#REF!</definedName>
    <definedName name="_I333333" localSheetId="0">#REF!</definedName>
    <definedName name="_I333333" localSheetId="5">#REF!</definedName>
    <definedName name="_I333333" localSheetId="6">#REF!</definedName>
    <definedName name="_I333333">#REF!</definedName>
    <definedName name="_Jan1" localSheetId="4">'[15]Cashflow Cons MTM-10-'!$B$3</definedName>
    <definedName name="_Jan1">'[4]Cashflow Cons MTM-10-'!$B$3</definedName>
    <definedName name="_Jan2" localSheetId="4">'[15]Interest Exp MTM-23-'!$C$4</definedName>
    <definedName name="_Jan2">'[12]Interest Exp MTM-23-'!$C$4</definedName>
    <definedName name="_Jan3" localSheetId="4">'[15]Forex Principal MTM -26-'!$C$3</definedName>
    <definedName name="_Jan3">'[12]Forex Principal MTM -26-'!$C$3</definedName>
    <definedName name="_Jan4" localSheetId="4">'[15]Forex Exp MTM -28-'!$C$3</definedName>
    <definedName name="_Jan4">'[12]Forex Exp MTM -28-'!$C$3</definedName>
    <definedName name="_Jan5" localSheetId="0">#REF!</definedName>
    <definedName name="_Jan5" localSheetId="4">'[15]Sales &amp; GM-Cons-12-'!$E$3</definedName>
    <definedName name="_Jan5" localSheetId="5">#REF!</definedName>
    <definedName name="_Jan5" localSheetId="6">#REF!</definedName>
    <definedName name="_Jan5">#REF!</definedName>
    <definedName name="_JAN99">#N/A</definedName>
    <definedName name="_Jul1" localSheetId="0">#REF!</definedName>
    <definedName name="_Jul1" localSheetId="4">'[15]Cashflow Cons MTM-10-'!$H$3</definedName>
    <definedName name="_Jul1" localSheetId="5">#REF!</definedName>
    <definedName name="_Jul1" localSheetId="6">#REF!</definedName>
    <definedName name="_Jul1">#REF!</definedName>
    <definedName name="_Jul2" localSheetId="0">#REF!</definedName>
    <definedName name="_Jul2" localSheetId="4">'[15]Interest Exp MTM-23-'!$I$4</definedName>
    <definedName name="_Jul2" localSheetId="5">#REF!</definedName>
    <definedName name="_Jul2" localSheetId="6">#REF!</definedName>
    <definedName name="_Jul2">#REF!</definedName>
    <definedName name="_Jul3" localSheetId="0">#REF!</definedName>
    <definedName name="_Jul3" localSheetId="4">'[15]Forex Principal MTM -26-'!$I$3</definedName>
    <definedName name="_Jul3" localSheetId="5">#REF!</definedName>
    <definedName name="_Jul3" localSheetId="6">#REF!</definedName>
    <definedName name="_Jul3">#REF!</definedName>
    <definedName name="_Jul4" localSheetId="3">'[16]Forex Exp MTM -28-'!$I$3</definedName>
    <definedName name="_Jul4" localSheetId="0">#REF!</definedName>
    <definedName name="_Jul4" localSheetId="4">'[15]Forex Exp MTM -28-'!$I$3</definedName>
    <definedName name="_Jul4" localSheetId="5">#REF!</definedName>
    <definedName name="_Jul4" localSheetId="6">#REF!</definedName>
    <definedName name="_Jul4">#REF!</definedName>
    <definedName name="_Jul5" localSheetId="0">#REF!</definedName>
    <definedName name="_Jul5" localSheetId="4">'[15]Sales &amp; GM-Cons-12-'!$K$3</definedName>
    <definedName name="_Jul5" localSheetId="5">#REF!</definedName>
    <definedName name="_Jul5" localSheetId="6">#REF!</definedName>
    <definedName name="_Jul5">#REF!</definedName>
    <definedName name="_Jun1" localSheetId="0">#REF!</definedName>
    <definedName name="_Jun1" localSheetId="4">'[15]Cashflow Cons MTM-10-'!$G$3</definedName>
    <definedName name="_Jun1" localSheetId="5">#REF!</definedName>
    <definedName name="_Jun1" localSheetId="6">#REF!</definedName>
    <definedName name="_Jun1">#REF!</definedName>
    <definedName name="_Jun2" localSheetId="0">#REF!</definedName>
    <definedName name="_Jun2" localSheetId="4">'[15]Interest Exp MTM-23-'!$H$4</definedName>
    <definedName name="_Jun2" localSheetId="5">#REF!</definedName>
    <definedName name="_Jun2" localSheetId="6">#REF!</definedName>
    <definedName name="_Jun2">#REF!</definedName>
    <definedName name="_Jun3" localSheetId="0">#REF!</definedName>
    <definedName name="_Jun3" localSheetId="4">'[15]Forex Principal MTM -26-'!$H$3</definedName>
    <definedName name="_Jun3" localSheetId="5">#REF!</definedName>
    <definedName name="_Jun3" localSheetId="6">#REF!</definedName>
    <definedName name="_Jun3">#REF!</definedName>
    <definedName name="_Jun4" localSheetId="3">'[16]Forex Exp MTM -28-'!$H$3</definedName>
    <definedName name="_Jun4" localSheetId="0">#REF!</definedName>
    <definedName name="_Jun4" localSheetId="4">'[15]Forex Exp MTM -28-'!$H$3</definedName>
    <definedName name="_Jun4" localSheetId="5">#REF!</definedName>
    <definedName name="_Jun4" localSheetId="6">#REF!</definedName>
    <definedName name="_Jun4">#REF!</definedName>
    <definedName name="_Jun5" localSheetId="0">#REF!</definedName>
    <definedName name="_Jun5" localSheetId="4">'[15]Sales &amp; GM-Cons-12-'!$J$3</definedName>
    <definedName name="_Jun5" localSheetId="5">#REF!</definedName>
    <definedName name="_Jun5" localSheetId="6">#REF!</definedName>
    <definedName name="_Jun5">#REF!</definedName>
    <definedName name="_Key1" localSheetId="2" hidden="1">#REF!</definedName>
    <definedName name="_Key1" localSheetId="0" hidden="1">#REF!</definedName>
    <definedName name="_Key1" localSheetId="4" hidden="1">#REF!</definedName>
    <definedName name="_Key1" localSheetId="5" hidden="1">#REF!</definedName>
    <definedName name="_Key1" localSheetId="6" hidden="1">#REF!</definedName>
    <definedName name="_Key1" hidden="1">#REF!</definedName>
    <definedName name="_Key2" localSheetId="2" hidden="1">#REF!</definedName>
    <definedName name="_Key2" localSheetId="0" hidden="1">#REF!</definedName>
    <definedName name="_Key2" localSheetId="4" hidden="1">#REF!</definedName>
    <definedName name="_Key2" localSheetId="5" hidden="1">#REF!</definedName>
    <definedName name="_Key2" localSheetId="6" hidden="1">#REF!</definedName>
    <definedName name="_Key2" hidden="1">#REF!</definedName>
    <definedName name="_KOP1" localSheetId="0">#REF!</definedName>
    <definedName name="_KOP1" localSheetId="5">#REF!</definedName>
    <definedName name="_KOP1" localSheetId="6">#REF!</definedName>
    <definedName name="_KOP1">#REF!</definedName>
    <definedName name="_KOP2">#N/A</definedName>
    <definedName name="_lpp2" localSheetId="0">#REF!</definedName>
    <definedName name="_lpp2" localSheetId="5">#REF!</definedName>
    <definedName name="_lpp2" localSheetId="6">#REF!</definedName>
    <definedName name="_lpp2">#REF!</definedName>
    <definedName name="_Mar1" localSheetId="0">#REF!</definedName>
    <definedName name="_Mar1" localSheetId="4">'[15]Cashflow Cons MTM-10-'!$D$3</definedName>
    <definedName name="_Mar1" localSheetId="5">#REF!</definedName>
    <definedName name="_Mar1" localSheetId="6">#REF!</definedName>
    <definedName name="_Mar1">#REF!</definedName>
    <definedName name="_Mar2" localSheetId="0">#REF!</definedName>
    <definedName name="_Mar2" localSheetId="4">'[15]Interest Exp MTM-23-'!$E$4</definedName>
    <definedName name="_Mar2" localSheetId="5">#REF!</definedName>
    <definedName name="_Mar2" localSheetId="6">#REF!</definedName>
    <definedName name="_Mar2">#REF!</definedName>
    <definedName name="_Mar3" localSheetId="0">#REF!</definedName>
    <definedName name="_Mar3" localSheetId="4">'[15]Forex Principal MTM -26-'!$E$3</definedName>
    <definedName name="_Mar3" localSheetId="5">#REF!</definedName>
    <definedName name="_Mar3" localSheetId="6">#REF!</definedName>
    <definedName name="_Mar3">#REF!</definedName>
    <definedName name="_Mar4" localSheetId="0">#REF!</definedName>
    <definedName name="_Mar4" localSheetId="4">'[15]Forex Exp MTM -28-'!$E$3</definedName>
    <definedName name="_Mar4" localSheetId="5">#REF!</definedName>
    <definedName name="_Mar4" localSheetId="6">#REF!</definedName>
    <definedName name="_Mar4">#REF!</definedName>
    <definedName name="_Mar5" localSheetId="0">#REF!</definedName>
    <definedName name="_Mar5" localSheetId="4">'[15]Sales &amp; GM-Cons-12-'!$G$3</definedName>
    <definedName name="_Mar5" localSheetId="5">#REF!</definedName>
    <definedName name="_Mar5" localSheetId="6">#REF!</definedName>
    <definedName name="_Mar5">#REF!</definedName>
    <definedName name="_May1" localSheetId="0">#REF!</definedName>
    <definedName name="_May1" localSheetId="4">'[15]Cashflow Cons MTM-10-'!$F$3</definedName>
    <definedName name="_May1" localSheetId="5">#REF!</definedName>
    <definedName name="_May1" localSheetId="6">#REF!</definedName>
    <definedName name="_May1">#REF!</definedName>
    <definedName name="_May2" localSheetId="0">#REF!</definedName>
    <definedName name="_May2" localSheetId="4">'[15]Interest Exp MTM-23-'!$G$4</definedName>
    <definedName name="_May2" localSheetId="5">#REF!</definedName>
    <definedName name="_May2" localSheetId="6">#REF!</definedName>
    <definedName name="_May2">#REF!</definedName>
    <definedName name="_May3" localSheetId="0">#REF!</definedName>
    <definedName name="_May3" localSheetId="4">'[15]Forex Principal MTM -26-'!$G$3</definedName>
    <definedName name="_May3" localSheetId="5">#REF!</definedName>
    <definedName name="_May3" localSheetId="6">#REF!</definedName>
    <definedName name="_May3">#REF!</definedName>
    <definedName name="_May4" localSheetId="3">'[16]Forex Exp MTM -28-'!$G$3</definedName>
    <definedName name="_May4" localSheetId="0">#REF!</definedName>
    <definedName name="_May4" localSheetId="4">'[15]Forex Exp MTM -28-'!$G$3</definedName>
    <definedName name="_May4" localSheetId="5">#REF!</definedName>
    <definedName name="_May4" localSheetId="6">#REF!</definedName>
    <definedName name="_May4">#REF!</definedName>
    <definedName name="_May5" localSheetId="0">#REF!</definedName>
    <definedName name="_May5" localSheetId="4">'[15]Sales &amp; GM-Cons-12-'!$I$3</definedName>
    <definedName name="_May5" localSheetId="5">#REF!</definedName>
    <definedName name="_May5" localSheetId="6">#REF!</definedName>
    <definedName name="_May5">#REF!</definedName>
    <definedName name="_Nov1" localSheetId="0">#REF!</definedName>
    <definedName name="_Nov1" localSheetId="5">#REF!</definedName>
    <definedName name="_Nov1" localSheetId="6">#REF!</definedName>
    <definedName name="_Nov1">#REF!</definedName>
    <definedName name="_Nov4" localSheetId="3">'[16]Forex Exp MTM -28-'!$M$3</definedName>
    <definedName name="_Nov4">'[37]Forex Exp MTM -28-'!$M$3</definedName>
    <definedName name="_Nov5" localSheetId="0">#REF!</definedName>
    <definedName name="_Nov5" localSheetId="5">#REF!</definedName>
    <definedName name="_Nov5" localSheetId="6">#REF!</definedName>
    <definedName name="_Nov5">#REF!</definedName>
    <definedName name="_Oct1" localSheetId="0">#REF!</definedName>
    <definedName name="_Oct1" localSheetId="5">#REF!</definedName>
    <definedName name="_Oct1" localSheetId="6">#REF!</definedName>
    <definedName name="_Oct1">#REF!</definedName>
    <definedName name="_Oct2" localSheetId="0">#REF!</definedName>
    <definedName name="_Oct2" localSheetId="5">#REF!</definedName>
    <definedName name="_Oct2" localSheetId="6">#REF!</definedName>
    <definedName name="_Oct2">#REF!</definedName>
    <definedName name="_Oct3" localSheetId="0">#REF!</definedName>
    <definedName name="_Oct3" localSheetId="5">#REF!</definedName>
    <definedName name="_Oct3" localSheetId="6">#REF!</definedName>
    <definedName name="_Oct3">#REF!</definedName>
    <definedName name="_Oct4" localSheetId="3">'[16]Forex Exp MTM -28-'!$L$3</definedName>
    <definedName name="_Oct4" localSheetId="0">#REF!</definedName>
    <definedName name="_Oct4" localSheetId="5">#REF!</definedName>
    <definedName name="_Oct4" localSheetId="6">#REF!</definedName>
    <definedName name="_Oct4">#REF!</definedName>
    <definedName name="_Oct5" localSheetId="0">#REF!</definedName>
    <definedName name="_Oct5" localSheetId="5">#REF!</definedName>
    <definedName name="_Oct5" localSheetId="6">#REF!</definedName>
    <definedName name="_Oct5">#REF!</definedName>
    <definedName name="_Order1" localSheetId="4" hidden="1">0</definedName>
    <definedName name="_Order1" hidden="1">255</definedName>
    <definedName name="_Order2" localSheetId="4" hidden="1">0</definedName>
    <definedName name="_Order2" hidden="1">255</definedName>
    <definedName name="_P10" localSheetId="0">#REF!</definedName>
    <definedName name="_P10" localSheetId="5">#REF!</definedName>
    <definedName name="_P10" localSheetId="6">#REF!</definedName>
    <definedName name="_P10">#REF!</definedName>
    <definedName name="_p11" localSheetId="0">#REF!</definedName>
    <definedName name="_p11" localSheetId="5">#REF!</definedName>
    <definedName name="_p11" localSheetId="6">#REF!</definedName>
    <definedName name="_p11">#REF!</definedName>
    <definedName name="_p12" localSheetId="0">#REF!</definedName>
    <definedName name="_p12" localSheetId="5">#REF!</definedName>
    <definedName name="_p12" localSheetId="6">#REF!</definedName>
    <definedName name="_p12">#REF!</definedName>
    <definedName name="_p2" localSheetId="0">#REF!</definedName>
    <definedName name="_p2" localSheetId="5">#REF!</definedName>
    <definedName name="_p2" localSheetId="6">#REF!</definedName>
    <definedName name="_p2">#REF!</definedName>
    <definedName name="_p3" localSheetId="0">#REF!</definedName>
    <definedName name="_p3" localSheetId="5">#REF!</definedName>
    <definedName name="_p3" localSheetId="6">#REF!</definedName>
    <definedName name="_p3">#REF!</definedName>
    <definedName name="_p4" localSheetId="0">#REF!</definedName>
    <definedName name="_p4" localSheetId="5">#REF!</definedName>
    <definedName name="_p4" localSheetId="6">#REF!</definedName>
    <definedName name="_p4">#REF!</definedName>
    <definedName name="_pem1">'[38]DATA WP'!$E$19</definedName>
    <definedName name="_pem2">'[38]DATA WP'!$E$20</definedName>
    <definedName name="_pem3">'[38]DATA WP'!$E$21</definedName>
    <definedName name="_php99" localSheetId="2" hidden="1">#REF!</definedName>
    <definedName name="_php99" localSheetId="0" hidden="1">#REF!</definedName>
    <definedName name="_php99" localSheetId="4" hidden="1">#REF!</definedName>
    <definedName name="_php99" localSheetId="5" hidden="1">#REF!</definedName>
    <definedName name="_php99" localSheetId="6" hidden="1">#REF!</definedName>
    <definedName name="_php99" hidden="1">#REF!</definedName>
    <definedName name="_pm1" localSheetId="0">#REF!</definedName>
    <definedName name="_pm1" localSheetId="4">#REF!</definedName>
    <definedName name="_pm1" localSheetId="5">#REF!</definedName>
    <definedName name="_pm1" localSheetId="6">#REF!</definedName>
    <definedName name="_pm1">#REF!</definedName>
    <definedName name="_PPh23" localSheetId="0">#REF!</definedName>
    <definedName name="_PPh23" localSheetId="5">#REF!</definedName>
    <definedName name="_PPh23" localSheetId="6">#REF!</definedName>
    <definedName name="_PPh23">#REF!</definedName>
    <definedName name="_py1" localSheetId="0">#REF!</definedName>
    <definedName name="_py1" localSheetId="5">#REF!</definedName>
    <definedName name="_py1" localSheetId="6">#REF!</definedName>
    <definedName name="_py1">#REF!</definedName>
    <definedName name="_py10" localSheetId="0">#REF!</definedName>
    <definedName name="_py10" localSheetId="5">#REF!</definedName>
    <definedName name="_py10" localSheetId="6">#REF!</definedName>
    <definedName name="_py10">#REF!</definedName>
    <definedName name="_py11" localSheetId="0">#REF!</definedName>
    <definedName name="_py11" localSheetId="5">#REF!</definedName>
    <definedName name="_py11" localSheetId="6">#REF!</definedName>
    <definedName name="_py11">#REF!</definedName>
    <definedName name="_py12" localSheetId="0">#REF!</definedName>
    <definedName name="_py12" localSheetId="5">#REF!</definedName>
    <definedName name="_py12" localSheetId="6">#REF!</definedName>
    <definedName name="_py12">#REF!</definedName>
    <definedName name="_py2" localSheetId="0">#REF!</definedName>
    <definedName name="_py2" localSheetId="5">#REF!</definedName>
    <definedName name="_py2" localSheetId="6">#REF!</definedName>
    <definedName name="_py2">#REF!</definedName>
    <definedName name="_py3" localSheetId="0">#REF!</definedName>
    <definedName name="_py3" localSheetId="5">#REF!</definedName>
    <definedName name="_py3" localSheetId="6">#REF!</definedName>
    <definedName name="_py3">#REF!</definedName>
    <definedName name="_Regression_Int" hidden="1">1</definedName>
    <definedName name="_s1" localSheetId="0">#REF!</definedName>
    <definedName name="_s1" localSheetId="5">#REF!</definedName>
    <definedName name="_s1" localSheetId="6">#REF!</definedName>
    <definedName name="_s1">#REF!</definedName>
    <definedName name="_s10" localSheetId="0">#REF!</definedName>
    <definedName name="_s10" localSheetId="5">#REF!</definedName>
    <definedName name="_s10" localSheetId="6">#REF!</definedName>
    <definedName name="_s10">#REF!</definedName>
    <definedName name="_s11" localSheetId="0">#REF!</definedName>
    <definedName name="_s11" localSheetId="5">#REF!</definedName>
    <definedName name="_s11" localSheetId="6">#REF!</definedName>
    <definedName name="_s11">#REF!</definedName>
    <definedName name="_s12" localSheetId="0">#REF!</definedName>
    <definedName name="_s12" localSheetId="5">#REF!</definedName>
    <definedName name="_s12" localSheetId="6">#REF!</definedName>
    <definedName name="_s12">#REF!</definedName>
    <definedName name="_s2" localSheetId="0">#REF!</definedName>
    <definedName name="_s2" localSheetId="5">#REF!</definedName>
    <definedName name="_s2" localSheetId="6">#REF!</definedName>
    <definedName name="_s2">#REF!</definedName>
    <definedName name="_s3" localSheetId="0">#REF!</definedName>
    <definedName name="_s3" localSheetId="5">#REF!</definedName>
    <definedName name="_s3" localSheetId="6">#REF!</definedName>
    <definedName name="_s3">#REF!</definedName>
    <definedName name="_s4" localSheetId="0">#REF!</definedName>
    <definedName name="_s4" localSheetId="5">#REF!</definedName>
    <definedName name="_s4" localSheetId="6">#REF!</definedName>
    <definedName name="_s4">#REF!</definedName>
    <definedName name="_SELECT_FUEL_A1" localSheetId="0">#REF!</definedName>
    <definedName name="_SELECT_FUEL_A1" localSheetId="5">#REF!</definedName>
    <definedName name="_SELECT_FUEL_A1" localSheetId="6">#REF!</definedName>
    <definedName name="_SELECT_FUEL_A1">#REF!</definedName>
    <definedName name="_SELECT_KPI_BUD" localSheetId="0">#REF!</definedName>
    <definedName name="_SELECT_KPI_BUD" localSheetId="5">#REF!</definedName>
    <definedName name="_SELECT_KPI_BUD" localSheetId="6">#REF!</definedName>
    <definedName name="_SELECT_KPI_BUD">#REF!</definedName>
    <definedName name="_SELECT_MANNING" localSheetId="0">#REF!</definedName>
    <definedName name="_SELECT_MANNING" localSheetId="5">#REF!</definedName>
    <definedName name="_SELECT_MANNING" localSheetId="6">#REF!</definedName>
    <definedName name="_SELECT_MANNING">#REF!</definedName>
    <definedName name="_SELECT_REVENUE" localSheetId="0">#REF!</definedName>
    <definedName name="_SELECT_REVENUE" localSheetId="5">#REF!</definedName>
    <definedName name="_SELECT_REVENUE" localSheetId="6">#REF!</definedName>
    <definedName name="_SELECT_REVENUE">#REF!</definedName>
    <definedName name="_SELECT_SALARIE" localSheetId="0">#REF!</definedName>
    <definedName name="_SELECT_SALARIE" localSheetId="5">#REF!</definedName>
    <definedName name="_SELECT_SALARIE" localSheetId="6">#REF!</definedName>
    <definedName name="_SELECT_SALARIE">#REF!</definedName>
    <definedName name="_SELECT_WAGES_A" localSheetId="0">#REF!</definedName>
    <definedName name="_SELECT_WAGES_A" localSheetId="5">#REF!</definedName>
    <definedName name="_SELECT_WAGES_A" localSheetId="6">#REF!</definedName>
    <definedName name="_SELECT_WAGES_A">#REF!</definedName>
    <definedName name="_Sep1" localSheetId="0">#REF!</definedName>
    <definedName name="_Sep1" localSheetId="5">#REF!</definedName>
    <definedName name="_Sep1" localSheetId="6">#REF!</definedName>
    <definedName name="_Sep1">#REF!</definedName>
    <definedName name="_Sep4" localSheetId="3">'[16]Forex Exp MTM -28-'!$K$3</definedName>
    <definedName name="_Sep4">'[37]Forex Exp MTM -28-'!$K$3</definedName>
    <definedName name="_Sep5" localSheetId="0">#REF!</definedName>
    <definedName name="_Sep5" localSheetId="5">#REF!</definedName>
    <definedName name="_Sep5" localSheetId="6">#REF!</definedName>
    <definedName name="_Sep5">#REF!</definedName>
    <definedName name="_SET__PRINT_FOO" localSheetId="0">#REF!</definedName>
    <definedName name="_SET__PRINT_FOO" localSheetId="5">#REF!</definedName>
    <definedName name="_SET__PRINT_FOO" localSheetId="6">#REF!</definedName>
    <definedName name="_SET__PRINT_FOO">#REF!</definedName>
    <definedName name="_Sort" localSheetId="2" hidden="1">#REF!</definedName>
    <definedName name="_Sort" localSheetId="0" hidden="1">#REF!</definedName>
    <definedName name="_Sort" localSheetId="5" hidden="1">#REF!</definedName>
    <definedName name="_Sort" localSheetId="6" hidden="1">#REF!</definedName>
    <definedName name="_Sort" hidden="1">#REF!</definedName>
    <definedName name="_SP1" localSheetId="0">#REF!</definedName>
    <definedName name="_SP1" localSheetId="5">#REF!</definedName>
    <definedName name="_SP1" localSheetId="6">#REF!</definedName>
    <definedName name="_SP1">#REF!</definedName>
    <definedName name="_SP2" localSheetId="0">#REF!</definedName>
    <definedName name="_SP2" localSheetId="5">#REF!</definedName>
    <definedName name="_SP2" localSheetId="6">#REF!</definedName>
    <definedName name="_SP2">#REF!</definedName>
    <definedName name="_ss1" localSheetId="0">'[39]ﾙｰﾄ別販売(概況3)'!#REF!</definedName>
    <definedName name="_ss1" localSheetId="5">'[39]ﾙｰﾄ別販売(概況3)'!#REF!</definedName>
    <definedName name="_ss1" localSheetId="6">'[39]ﾙｰﾄ別販売(概況3)'!#REF!</definedName>
    <definedName name="_ss1">'[39]ﾙｰﾄ別販売(概況3)'!#REF!</definedName>
    <definedName name="_sy1" localSheetId="0">#REF!</definedName>
    <definedName name="_sy1" localSheetId="5">#REF!</definedName>
    <definedName name="_sy1" localSheetId="6">#REF!</definedName>
    <definedName name="_sy1">#REF!</definedName>
    <definedName name="_sy10" localSheetId="0">#REF!</definedName>
    <definedName name="_sy10" localSheetId="5">#REF!</definedName>
    <definedName name="_sy10" localSheetId="6">#REF!</definedName>
    <definedName name="_sy10">#REF!</definedName>
    <definedName name="_sy11" localSheetId="0">#REF!</definedName>
    <definedName name="_sy11" localSheetId="5">#REF!</definedName>
    <definedName name="_sy11" localSheetId="6">#REF!</definedName>
    <definedName name="_sy11">#REF!</definedName>
    <definedName name="_sy12" localSheetId="0">#REF!</definedName>
    <definedName name="_sy12" localSheetId="5">#REF!</definedName>
    <definedName name="_sy12" localSheetId="6">#REF!</definedName>
    <definedName name="_sy12">#REF!</definedName>
    <definedName name="_sy2" localSheetId="0">#REF!</definedName>
    <definedName name="_sy2" localSheetId="5">#REF!</definedName>
    <definedName name="_sy2" localSheetId="6">#REF!</definedName>
    <definedName name="_sy2">#REF!</definedName>
    <definedName name="_sy3" localSheetId="0">#REF!</definedName>
    <definedName name="_sy3" localSheetId="5">#REF!</definedName>
    <definedName name="_sy3" localSheetId="6">#REF!</definedName>
    <definedName name="_sy3">#REF!</definedName>
    <definedName name="_Table1_In1" localSheetId="2" hidden="1">#REF!</definedName>
    <definedName name="_Table1_In1" localSheetId="0" hidden="1">#REF!</definedName>
    <definedName name="_Table1_In1" localSheetId="5" hidden="1">#REF!</definedName>
    <definedName name="_Table1_In1" localSheetId="6" hidden="1">#REF!</definedName>
    <definedName name="_Table1_In1" hidden="1">#REF!</definedName>
    <definedName name="_Table1_Out" localSheetId="2" hidden="1">#REF!</definedName>
    <definedName name="_Table1_Out" localSheetId="0" hidden="1">#REF!</definedName>
    <definedName name="_Table1_Out" localSheetId="5" hidden="1">#REF!</definedName>
    <definedName name="_Table1_Out" localSheetId="6" hidden="1">#REF!</definedName>
    <definedName name="_Table1_Out" hidden="1">#REF!</definedName>
    <definedName name="_Table2_Out" localSheetId="2" hidden="1">#REF!</definedName>
    <definedName name="_Table2_Out" localSheetId="0" hidden="1">#REF!</definedName>
    <definedName name="_Table2_Out" localSheetId="5" hidden="1">#REF!</definedName>
    <definedName name="_Table2_Out" localSheetId="6" hidden="1">#REF!</definedName>
    <definedName name="_Table2_Out" hidden="1">#REF!</definedName>
    <definedName name="_TAX01" localSheetId="0">#REF!</definedName>
    <definedName name="_TAX01" localSheetId="5">#REF!</definedName>
    <definedName name="_TAX01" localSheetId="6">#REF!</definedName>
    <definedName name="_TAX01">#REF!</definedName>
    <definedName name="_wbs1" localSheetId="0">#REF!</definedName>
    <definedName name="_wbs1" localSheetId="4">#REF!</definedName>
    <definedName name="_wbs1" localSheetId="5">#REF!</definedName>
    <definedName name="_wbs1" localSheetId="6">#REF!</definedName>
    <definedName name="_wbs1">#REF!</definedName>
    <definedName name="_wbs2" localSheetId="0">#REF!</definedName>
    <definedName name="_wbs2" localSheetId="4">#REF!</definedName>
    <definedName name="_wbs2" localSheetId="5">#REF!</definedName>
    <definedName name="_wbs2" localSheetId="6">#REF!</definedName>
    <definedName name="_wbs2">#REF!</definedName>
    <definedName name="A" localSheetId="0">'[40]NY ADMIN'!#REF!</definedName>
    <definedName name="A" localSheetId="4">'[41]NY ADMIN'!#REF!</definedName>
    <definedName name="A" localSheetId="5">'[40]NY ADMIN'!#REF!</definedName>
    <definedName name="A" localSheetId="6">'[40]NY ADMIN'!#REF!</definedName>
    <definedName name="A">'[40]NY ADMIN'!#REF!</definedName>
    <definedName name="a._Penjualan">'[42]412src2'!$B$390</definedName>
    <definedName name="a_">'[43]rekap impor'!$J$16453:$J$16455</definedName>
    <definedName name="a1nusantara" localSheetId="2" hidden="1">[44]KOR!#REF!</definedName>
    <definedName name="a1nusantara" localSheetId="0" hidden="1">[44]KOR!#REF!</definedName>
    <definedName name="a1nusantara" localSheetId="5" hidden="1">[44]KOR!#REF!</definedName>
    <definedName name="a1nusantara" localSheetId="6" hidden="1">[44]KOR!#REF!</definedName>
    <definedName name="a1nusantara" hidden="1">[44]KOR!#REF!</definedName>
    <definedName name="AA" localSheetId="0">#REF!</definedName>
    <definedName name="AA" localSheetId="5">#REF!</definedName>
    <definedName name="AA" localSheetId="6">#REF!</definedName>
    <definedName name="AA">#REF!</definedName>
    <definedName name="AAA" localSheetId="0">#REF!</definedName>
    <definedName name="aaa" localSheetId="4">#REF!</definedName>
    <definedName name="AAA" localSheetId="5">#REF!</definedName>
    <definedName name="AAA" localSheetId="6">#REF!</definedName>
    <definedName name="AAA">#REF!</definedName>
    <definedName name="aaaaa" localSheetId="0">#REF!</definedName>
    <definedName name="aaaaa" localSheetId="4">#REF!</definedName>
    <definedName name="aaaaa" localSheetId="5">#REF!</definedName>
    <definedName name="aaaaa" localSheetId="6">#REF!</definedName>
    <definedName name="aaaaa">#REF!</definedName>
    <definedName name="aaaaaa" localSheetId="0">#REF!</definedName>
    <definedName name="aaaaaa" localSheetId="4">#REF!</definedName>
    <definedName name="aaaaaa" localSheetId="5">#REF!</definedName>
    <definedName name="aaaaaa" localSheetId="6">#REF!</definedName>
    <definedName name="aaaaaa">#REF!</definedName>
    <definedName name="aah" localSheetId="2" hidden="1">{"'Income Statement'!$A$1:$L$32"}</definedName>
    <definedName name="aah" localSheetId="0" hidden="1">{"'Income Statement'!$A$1:$L$32"}</definedName>
    <definedName name="aah" hidden="1">{"'Income Statement'!$A$1:$L$32"}</definedName>
    <definedName name="ab" localSheetId="0">#REF!</definedName>
    <definedName name="ab" localSheetId="5">#REF!</definedName>
    <definedName name="ab" localSheetId="6">#REF!</definedName>
    <definedName name="ab">#REF!</definedName>
    <definedName name="ABC" localSheetId="0">#REF!</definedName>
    <definedName name="ABC" localSheetId="5">#REF!</definedName>
    <definedName name="ABC" localSheetId="6">#REF!</definedName>
    <definedName name="ABC">#REF!</definedName>
    <definedName name="ABC_Graphs" localSheetId="0">#REF!</definedName>
    <definedName name="ABC_Graphs" localSheetId="5">#REF!</definedName>
    <definedName name="ABC_Graphs" localSheetId="6">#REF!</definedName>
    <definedName name="ABC_Graphs">#REF!</definedName>
    <definedName name="ABC_Graphs2" localSheetId="0">#REF!</definedName>
    <definedName name="ABC_Graphs2" localSheetId="5">#REF!</definedName>
    <definedName name="ABC_Graphs2" localSheetId="6">#REF!</definedName>
    <definedName name="ABC_Graphs2">#REF!</definedName>
    <definedName name="ABC_Worksheet" localSheetId="0">#REF!</definedName>
    <definedName name="ABC_Worksheet" localSheetId="5">#REF!</definedName>
    <definedName name="ABC_Worksheet" localSheetId="6">#REF!</definedName>
    <definedName name="ABC_Worksheet">#REF!</definedName>
    <definedName name="abcd" localSheetId="0">#REF!</definedName>
    <definedName name="abcd" localSheetId="5">#REF!</definedName>
    <definedName name="abcd" localSheetId="6">#REF!</definedName>
    <definedName name="abcd">#REF!</definedName>
    <definedName name="acc" localSheetId="0">#REF!</definedName>
    <definedName name="acc" localSheetId="5">#REF!</definedName>
    <definedName name="acc" localSheetId="6">#REF!</definedName>
    <definedName name="acc">#REF!</definedName>
    <definedName name="AccessDatabase" hidden="1">"C:\EXCEL\LIBRARY\Portofolio Campuran\psr1997.mdb"</definedName>
    <definedName name="ACCOUNT">[45]Account!$A$1:$B$206</definedName>
    <definedName name="account_payables" localSheetId="0">'[2]TB-WP'!#REF!</definedName>
    <definedName name="account_payables" localSheetId="4">'[11]TB-WP'!#REF!</definedName>
    <definedName name="account_payables" localSheetId="5">'[2]TB-WP'!#REF!</definedName>
    <definedName name="account_payables" localSheetId="6">'[2]TB-WP'!#REF!</definedName>
    <definedName name="account_payables">'[2]TB-WP'!#REF!</definedName>
    <definedName name="AcqCost" localSheetId="0">#REF!</definedName>
    <definedName name="AcqCost" localSheetId="5">#REF!</definedName>
    <definedName name="AcqCost" localSheetId="6">#REF!</definedName>
    <definedName name="AcqCost">#REF!</definedName>
    <definedName name="AcqType" localSheetId="0">#REF!</definedName>
    <definedName name="AcqType" localSheetId="5">#REF!</definedName>
    <definedName name="AcqType" localSheetId="6">#REF!</definedName>
    <definedName name="AcqType">#REF!</definedName>
    <definedName name="actMTH">'[46]USDt_FS(4)'!$B$84:XEV$133</definedName>
    <definedName name="actYTD">'[46]USDt_FS(4)'!$B$40:$AD$80</definedName>
    <definedName name="adasd">[22]LAPORAN!$AD$57:$AL$112</definedName>
    <definedName name="adasfd" localSheetId="2" hidden="1">#REF!</definedName>
    <definedName name="adasfd" localSheetId="0" hidden="1">#REF!</definedName>
    <definedName name="adasfd" localSheetId="5" hidden="1">#REF!</definedName>
    <definedName name="adasfd" localSheetId="6" hidden="1">#REF!</definedName>
    <definedName name="adasfd" hidden="1">#REF!</definedName>
    <definedName name="addnpwp">'[47]add-npwp'!$B$3:$E$818</definedName>
    <definedName name="addr" localSheetId="0">#REF!</definedName>
    <definedName name="addr" localSheetId="5">#REF!</definedName>
    <definedName name="addr" localSheetId="6">#REF!</definedName>
    <definedName name="addr">#REF!</definedName>
    <definedName name="address" localSheetId="0">#REF!</definedName>
    <definedName name="address" localSheetId="5">#REF!</definedName>
    <definedName name="address" localSheetId="6">#REF!</definedName>
    <definedName name="address">#REF!</definedName>
    <definedName name="AdmExpGMTytd" localSheetId="0">[48]PREV!#REF!</definedName>
    <definedName name="AdmExpGMTytd" localSheetId="5">[48]PREV!#REF!</definedName>
    <definedName name="AdmExpGMTytd" localSheetId="6">[48]PREV!#REF!</definedName>
    <definedName name="AdmExpGMTytd">[48]PREV!#REF!</definedName>
    <definedName name="AdmExpJGEytd" localSheetId="0">[48]PREV!#REF!</definedName>
    <definedName name="AdmExpJGEytd" localSheetId="5">[48]PREV!#REF!</definedName>
    <definedName name="AdmExpJGEytd" localSheetId="6">[48]PREV!#REF!</definedName>
    <definedName name="AdmExpJGEytd">[48]PREV!#REF!</definedName>
    <definedName name="AdmExpWASytd" localSheetId="0">[48]PREV!#REF!</definedName>
    <definedName name="AdmExpWASytd" localSheetId="5">[48]PREV!#REF!</definedName>
    <definedName name="AdmExpWASytd" localSheetId="6">[48]PREV!#REF!</definedName>
    <definedName name="AdmExpWASytd">[48]PREV!#REF!</definedName>
    <definedName name="Admin">[49]Table!$D$2:$D$9</definedName>
    <definedName name="advance_payment" localSheetId="0">'[2]TB-WP'!#REF!</definedName>
    <definedName name="advance_payment" localSheetId="4">'[11]TB-WP'!#REF!</definedName>
    <definedName name="advance_payment" localSheetId="5">'[2]TB-WP'!#REF!</definedName>
    <definedName name="advance_payment" localSheetId="6">'[2]TB-WP'!#REF!</definedName>
    <definedName name="advance_payment">'[2]TB-WP'!#REF!</definedName>
    <definedName name="af" localSheetId="2" hidden="1">#REF!</definedName>
    <definedName name="af" localSheetId="0" hidden="1">#REF!</definedName>
    <definedName name="af" localSheetId="5" hidden="1">#REF!</definedName>
    <definedName name="af" localSheetId="6" hidden="1">#REF!</definedName>
    <definedName name="af" hidden="1">#REF!</definedName>
    <definedName name="aff" localSheetId="0">#REF!</definedName>
    <definedName name="aff" localSheetId="5">#REF!</definedName>
    <definedName name="aff" localSheetId="6">#REF!</definedName>
    <definedName name="aff">#REF!</definedName>
    <definedName name="affiliation_payables" localSheetId="0">'[2]TB-WP'!#REF!</definedName>
    <definedName name="affiliation_payables" localSheetId="4">'[11]TB-WP'!#REF!</definedName>
    <definedName name="affiliation_payables" localSheetId="5">'[2]TB-WP'!#REF!</definedName>
    <definedName name="affiliation_payables" localSheetId="6">'[2]TB-WP'!#REF!</definedName>
    <definedName name="affiliation_payables">'[2]TB-WP'!#REF!</definedName>
    <definedName name="ag0" localSheetId="0">'[2]TB-WP'!#REF!</definedName>
    <definedName name="ag0" localSheetId="4">'[11]TB-WP'!#REF!</definedName>
    <definedName name="ag0" localSheetId="5">'[2]TB-WP'!#REF!</definedName>
    <definedName name="ag0" localSheetId="6">'[2]TB-WP'!#REF!</definedName>
    <definedName name="ag0">'[2]TB-WP'!#REF!</definedName>
    <definedName name="Age__month" localSheetId="0">#REF!</definedName>
    <definedName name="Age__month" localSheetId="5">#REF!</definedName>
    <definedName name="Age__month" localSheetId="6">#REF!</definedName>
    <definedName name="Age__month">#REF!</definedName>
    <definedName name="agh" localSheetId="0">'[11]TB-WP'!#REF!</definedName>
    <definedName name="agh" localSheetId="4">'[11]TB-WP'!#REF!</definedName>
    <definedName name="agh" localSheetId="5">'[11]TB-WP'!#REF!</definedName>
    <definedName name="agh" localSheetId="6">'[11]TB-WP'!#REF!</definedName>
    <definedName name="agh">'[11]TB-WP'!#REF!</definedName>
    <definedName name="AGS">#N/A</definedName>
    <definedName name="aku">'[50]DATA WP'!$E$5</definedName>
    <definedName name="AL" localSheetId="0">'[51]Ytd-Cust'!#REF!</definedName>
    <definedName name="al" localSheetId="4">#REF!</definedName>
    <definedName name="AL" localSheetId="5">'[51]Ytd-Cust'!#REF!</definedName>
    <definedName name="AL" localSheetId="6">'[51]Ytd-Cust'!#REF!</definedName>
    <definedName name="AL">'[51]Ytd-Cust'!#REF!</definedName>
    <definedName name="alam" localSheetId="0">#REF!</definedName>
    <definedName name="alam" localSheetId="5">#REF!</definedName>
    <definedName name="alam" localSheetId="6">#REF!</definedName>
    <definedName name="alam">#REF!</definedName>
    <definedName name="alamat" localSheetId="0">#REF!</definedName>
    <definedName name="alamat" localSheetId="5">#REF!</definedName>
    <definedName name="alamat" localSheetId="6">#REF!</definedName>
    <definedName name="alamat">#REF!</definedName>
    <definedName name="alamat_kpp" localSheetId="0">#REF!</definedName>
    <definedName name="alamat_kpp" localSheetId="5">#REF!</definedName>
    <definedName name="alamat_kpp" localSheetId="6">#REF!</definedName>
    <definedName name="alamat_kpp">#REF!</definedName>
    <definedName name="Alamat_lok1">'[52]Data WP'!$E$19</definedName>
    <definedName name="ALI">#N/A</definedName>
    <definedName name="alket" localSheetId="4">[53]lamphp!$L$1:$X$61</definedName>
    <definedName name="alket">[54]lamphp!$L$1:$X$61</definedName>
    <definedName name="All" localSheetId="0">#REF!</definedName>
    <definedName name="All" localSheetId="5">#REF!</definedName>
    <definedName name="All" localSheetId="6">#REF!</definedName>
    <definedName name="All">#REF!</definedName>
    <definedName name="AllSMTeams" localSheetId="0">#REF!</definedName>
    <definedName name="AllSMTeams" localSheetId="5">#REF!</definedName>
    <definedName name="AllSMTeams" localSheetId="6">#REF!</definedName>
    <definedName name="AllSMTeams">#REF!</definedName>
    <definedName name="Amort05" localSheetId="2" hidden="1">#REF!</definedName>
    <definedName name="Amort05" localSheetId="0" hidden="1">#REF!</definedName>
    <definedName name="Amort05" localSheetId="5" hidden="1">#REF!</definedName>
    <definedName name="Amort05" localSheetId="6" hidden="1">#REF!</definedName>
    <definedName name="Amort05" hidden="1">#REF!</definedName>
    <definedName name="an">'[55]WBS _2_salah'!$A$2:$IV$4</definedName>
    <definedName name="AnalDate" localSheetId="0">#REF!</definedName>
    <definedName name="AnalDate" localSheetId="5">#REF!</definedName>
    <definedName name="AnalDate" localSheetId="6">#REF!</definedName>
    <definedName name="AnalDate">#REF!</definedName>
    <definedName name="Analyst" localSheetId="0">#REF!</definedName>
    <definedName name="Analyst" localSheetId="5">#REF!</definedName>
    <definedName name="Analyst" localSheetId="6">#REF!</definedName>
    <definedName name="Analyst">#REF!</definedName>
    <definedName name="ANAS" localSheetId="0">[56]MEytd!#REF!</definedName>
    <definedName name="ANAS" localSheetId="5">[56]MEytd!#REF!</definedName>
    <definedName name="ANAS" localSheetId="6">[56]MEytd!#REF!</definedName>
    <definedName name="ANAS">[56]MEytd!#REF!</definedName>
    <definedName name="anggota1">#N/A</definedName>
    <definedName name="anggota2">#N/A</definedName>
    <definedName name="ANGKA" localSheetId="0">#REF!</definedName>
    <definedName name="ANGKA" localSheetId="5">#REF!</definedName>
    <definedName name="ANGKA" localSheetId="6">#REF!</definedName>
    <definedName name="ANGKA">#REF!</definedName>
    <definedName name="ansnas" localSheetId="0">'[57]B 1'!#REF!</definedName>
    <definedName name="ansnas" localSheetId="5">'[57]B 1'!#REF!</definedName>
    <definedName name="ansnas" localSheetId="6">'[57]B 1'!#REF!</definedName>
    <definedName name="ansnas">'[57]B 1'!#REF!</definedName>
    <definedName name="AnswersInsert" localSheetId="0">#REF!</definedName>
    <definedName name="AnswersInsert" localSheetId="5">#REF!</definedName>
    <definedName name="AnswersInsert" localSheetId="6">#REF!</definedName>
    <definedName name="AnswersInsert">#REF!</definedName>
    <definedName name="Apr" localSheetId="0">#REF!</definedName>
    <definedName name="Apr" localSheetId="4">'[15]Interest Principle MTM-21-'!$G$4</definedName>
    <definedName name="Apr" localSheetId="5">#REF!</definedName>
    <definedName name="Apr" localSheetId="6">#REF!</definedName>
    <definedName name="Apr">#REF!</definedName>
    <definedName name="APRC" localSheetId="0">#REF!</definedName>
    <definedName name="APRC" localSheetId="4">[15]Plan!$H$7</definedName>
    <definedName name="APRC" localSheetId="5">#REF!</definedName>
    <definedName name="APRC" localSheetId="6">#REF!</definedName>
    <definedName name="APRC">#REF!</definedName>
    <definedName name="APRP" localSheetId="0">#REF!</definedName>
    <definedName name="APRP" localSheetId="4">[15]Plan!$V$7</definedName>
    <definedName name="APRP" localSheetId="5">#REF!</definedName>
    <definedName name="APRP" localSheetId="6">#REF!</definedName>
    <definedName name="APRP">#REF!</definedName>
    <definedName name="AR" localSheetId="0">'[58]TB-WP'!#REF!</definedName>
    <definedName name="AR" localSheetId="4">'[58]TB-WP'!#REF!</definedName>
    <definedName name="AR" localSheetId="5">'[58]TB-WP'!#REF!</definedName>
    <definedName name="AR" localSheetId="6">'[58]TB-WP'!#REF!</definedName>
    <definedName name="AR">'[58]TB-WP'!#REF!</definedName>
    <definedName name="AREL_1005" localSheetId="2" hidden="1">{"'Income Statement'!$A$1:$L$32"}</definedName>
    <definedName name="AREL_1005" localSheetId="0" hidden="1">{"'Income Statement'!$A$1:$L$32"}</definedName>
    <definedName name="AREL_1005" hidden="1">{"'Income Statement'!$A$1:$L$32"}</definedName>
    <definedName name="as" localSheetId="0">#REF!</definedName>
    <definedName name="as" localSheetId="5">#REF!</definedName>
    <definedName name="as" localSheetId="6">#REF!</definedName>
    <definedName name="as">#REF!</definedName>
    <definedName name="AS2DocOpenMode" hidden="1">"AS2DocumentEdit"</definedName>
    <definedName name="AS2ReportLS" hidden="1">1</definedName>
    <definedName name="AS2StaticLC" localSheetId="2" hidden="1">#REF!</definedName>
    <definedName name="AS2StaticLC" localSheetId="0" hidden="1">#REF!</definedName>
    <definedName name="AS2StaticLC" localSheetId="5" hidden="1">#REF!</definedName>
    <definedName name="AS2StaticLC" localSheetId="6" hidden="1">#REF!</definedName>
    <definedName name="AS2StaticLC" hidden="1">#REF!</definedName>
    <definedName name="AS2StaticLS" localSheetId="2" hidden="1">#REF!</definedName>
    <definedName name="AS2StaticLS" localSheetId="0" hidden="1">#REF!</definedName>
    <definedName name="AS2StaticLS" localSheetId="5" hidden="1">#REF!</definedName>
    <definedName name="AS2StaticLS" localSheetId="6" hidden="1">#REF!</definedName>
    <definedName name="AS2StaticLS" hidden="1">#REF!</definedName>
    <definedName name="AS2SyncStepLS" hidden="1">0</definedName>
    <definedName name="AS2TickmarkLS" localSheetId="2" hidden="1">#REF!</definedName>
    <definedName name="AS2TickmarkLS" localSheetId="0" hidden="1">#REF!</definedName>
    <definedName name="AS2TickmarkLS" localSheetId="5" hidden="1">#REF!</definedName>
    <definedName name="AS2TickmarkLS" localSheetId="6" hidden="1">#REF!</definedName>
    <definedName name="AS2TickmarkLS" hidden="1">#REF!</definedName>
    <definedName name="AS2VersionLS" hidden="1">300</definedName>
    <definedName name="asak">[22]LAPORAN!$AM$1:$AU$56</definedName>
    <definedName name="ASAL" localSheetId="0">#REF!</definedName>
    <definedName name="ASAL" localSheetId="5">#REF!</definedName>
    <definedName name="ASAL" localSheetId="6">#REF!</definedName>
    <definedName name="ASAL">#REF!</definedName>
    <definedName name="asalta166" localSheetId="0">#REF!</definedName>
    <definedName name="asalta166" localSheetId="5">#REF!</definedName>
    <definedName name="asalta166" localSheetId="6">#REF!</definedName>
    <definedName name="asalta166">#REF!</definedName>
    <definedName name="ASI" localSheetId="0">#REF!</definedName>
    <definedName name="ASI" localSheetId="5">#REF!</definedName>
    <definedName name="ASI" localSheetId="6">#REF!</definedName>
    <definedName name="ASI">#REF!</definedName>
    <definedName name="askdna">'[59]by-21'!$K$5:$O$13</definedName>
    <definedName name="asmajlk">[22]LAPORAN!$T$57:$AC$112</definedName>
    <definedName name="asset">'[60]Uang Jalan'!$AG$2:$AG$29</definedName>
    <definedName name="ASSUMPT" localSheetId="0">#REF!</definedName>
    <definedName name="ASSUMPT" localSheetId="5">#REF!</definedName>
    <definedName name="ASSUMPT" localSheetId="6">#REF!</definedName>
    <definedName name="ASSUMPT">#REF!</definedName>
    <definedName name="ASU" localSheetId="2" hidden="1">{"'Income Statement'!$A$1:$L$32"}</definedName>
    <definedName name="ASU" localSheetId="0" hidden="1">{"'Income Statement'!$A$1:$L$32"}</definedName>
    <definedName name="ASU" hidden="1">{"'Income Statement'!$A$1:$L$32"}</definedName>
    <definedName name="Aug" localSheetId="0">#REF!</definedName>
    <definedName name="Aug" localSheetId="4">'[15]Interest Principle MTM-21-'!$K$4</definedName>
    <definedName name="Aug" localSheetId="5">#REF!</definedName>
    <definedName name="Aug" localSheetId="6">#REF!</definedName>
    <definedName name="Aug">#REF!</definedName>
    <definedName name="AUGC" localSheetId="0">#REF!</definedName>
    <definedName name="AUGC" localSheetId="4">[15]Plan!$L$7</definedName>
    <definedName name="AUGC" localSheetId="5">#REF!</definedName>
    <definedName name="AUGC" localSheetId="6">#REF!</definedName>
    <definedName name="AUGC">#REF!</definedName>
    <definedName name="AUGP" localSheetId="0">#REF!</definedName>
    <definedName name="AUGP" localSheetId="4">[15]Plan!$Z$7</definedName>
    <definedName name="AUGP" localSheetId="5">#REF!</definedName>
    <definedName name="AUGP" localSheetId="6">#REF!</definedName>
    <definedName name="AUGP">#REF!</definedName>
    <definedName name="Ausfs">[61]FS!$1:$199</definedName>
    <definedName name="Australia">[62]Cover!$F$27</definedName>
    <definedName name="avrmb" localSheetId="0">#REF!</definedName>
    <definedName name="avrmb" localSheetId="5">#REF!</definedName>
    <definedName name="avrmb" localSheetId="6">#REF!</definedName>
    <definedName name="avrmb">#REF!</definedName>
    <definedName name="avthb" localSheetId="0">#REF!</definedName>
    <definedName name="avthb" localSheetId="5">#REF!</definedName>
    <definedName name="avthb" localSheetId="6">#REF!</definedName>
    <definedName name="avthb">#REF!</definedName>
    <definedName name="awdda" localSheetId="2" hidden="1">#REF!</definedName>
    <definedName name="awdda" localSheetId="0" hidden="1">#REF!</definedName>
    <definedName name="awdda" localSheetId="5" hidden="1">#REF!</definedName>
    <definedName name="awdda" localSheetId="6" hidden="1">#REF!</definedName>
    <definedName name="awdda" hidden="1">#REF!</definedName>
    <definedName name="b" localSheetId="0">'[1]KKP A.2.1'!#REF!</definedName>
    <definedName name="B" localSheetId="4">'[63]1'!#REF!</definedName>
    <definedName name="b" localSheetId="5">'[1]KKP A.2.1'!#REF!</definedName>
    <definedName name="b" localSheetId="6">'[1]KKP A.2.1'!#REF!</definedName>
    <definedName name="b">'[1]KKP A.2.1'!#REF!</definedName>
    <definedName name="b._Penjualan_yang_tidak_dilaporkan">'[42]412src2'!$B$771</definedName>
    <definedName name="b_1_fis">#N/A</definedName>
    <definedName name="b_1_kor">#N/A</definedName>
    <definedName name="b_1_wp">#N/A</definedName>
    <definedName name="b_2_fis">#N/A</definedName>
    <definedName name="b_2_kor">#N/A</definedName>
    <definedName name="b_2_wp">#N/A</definedName>
    <definedName name="b_3_fis">#N/A</definedName>
    <definedName name="b_3_kor">#N/A</definedName>
    <definedName name="b_3_wp">#N/A</definedName>
    <definedName name="b_4_fis">#N/A</definedName>
    <definedName name="b_4_kor">#N/A</definedName>
    <definedName name="b_4_wp">#N/A</definedName>
    <definedName name="Badan" localSheetId="0">#REF!</definedName>
    <definedName name="Badan" localSheetId="5">#REF!</definedName>
    <definedName name="Badan" localSheetId="6">#REF!</definedName>
    <definedName name="Badan">#REF!</definedName>
    <definedName name="BADDEBT" localSheetId="0">#REF!</definedName>
    <definedName name="BADDEBT" localSheetId="5">#REF!</definedName>
    <definedName name="BADDEBT" localSheetId="6">#REF!</definedName>
    <definedName name="BADDEBT">#REF!</definedName>
    <definedName name="Baht" localSheetId="0">#REF!</definedName>
    <definedName name="Baht" localSheetId="5">#REF!</definedName>
    <definedName name="Baht" localSheetId="6">#REF!</definedName>
    <definedName name="Baht">#REF!</definedName>
    <definedName name="BANG">#N/A</definedName>
    <definedName name="BANK_EXP" localSheetId="0">#REF!</definedName>
    <definedName name="BANK_EXP" localSheetId="4">#REF!</definedName>
    <definedName name="BANK_EXP" localSheetId="5">#REF!</definedName>
    <definedName name="BANK_EXP" localSheetId="6">#REF!</definedName>
    <definedName name="BANK_EXP">#REF!</definedName>
    <definedName name="BANKHALL" localSheetId="2" hidden="1">#REF!</definedName>
    <definedName name="BANKHALL" localSheetId="0" hidden="1">#REF!</definedName>
    <definedName name="BANKHALL" localSheetId="4" hidden="1">#REF!</definedName>
    <definedName name="BANKHALL" localSheetId="5" hidden="1">#REF!</definedName>
    <definedName name="BANKHALL" localSheetId="6" hidden="1">#REF!</definedName>
    <definedName name="BANKHALL" hidden="1">#REF!</definedName>
    <definedName name="BAP_Received" localSheetId="0">#REF!</definedName>
    <definedName name="BAP_Received" localSheetId="5">#REF!</definedName>
    <definedName name="BAP_Received" localSheetId="6">#REF!</definedName>
    <definedName name="BAP_Received">#REF!</definedName>
    <definedName name="BAPEKSTA">[64]B2!$A$7:$I$251</definedName>
    <definedName name="BARU" localSheetId="0">'[58]TB-WP'!#REF!</definedName>
    <definedName name="BARU" localSheetId="4">'[58]TB-WP'!#REF!</definedName>
    <definedName name="BARU" localSheetId="5">'[58]TB-WP'!#REF!</definedName>
    <definedName name="BARU" localSheetId="6">'[58]TB-WP'!#REF!</definedName>
    <definedName name="BARU">'[58]TB-WP'!#REF!</definedName>
    <definedName name="Base_EP" localSheetId="0">#REF!</definedName>
    <definedName name="Base_EP" localSheetId="5">#REF!</definedName>
    <definedName name="Base_EP" localSheetId="6">#REF!</definedName>
    <definedName name="Base_EP">#REF!</definedName>
    <definedName name="BB" localSheetId="0">'[30]98-1-OVT'!#REF!</definedName>
    <definedName name="BB" localSheetId="5">'[30]98-1-OVT'!#REF!</definedName>
    <definedName name="BB" localSheetId="6">'[30]98-1-OVT'!#REF!</definedName>
    <definedName name="BB">'[30]98-1-OVT'!#REF!</definedName>
    <definedName name="BCExport" localSheetId="0">#REF!</definedName>
    <definedName name="BCExport" localSheetId="5">#REF!</definedName>
    <definedName name="BCExport" localSheetId="6">#REF!</definedName>
    <definedName name="BCExport">#REF!</definedName>
    <definedName name="BD_Gen">'[65]^Base_Data_Gen'!$A$2</definedName>
    <definedName name="BDN_RP" localSheetId="0">#REF!</definedName>
    <definedName name="BDN_RP" localSheetId="4">#REF!</definedName>
    <definedName name="BDN_RP" localSheetId="5">#REF!</definedName>
    <definedName name="BDN_RP" localSheetId="6">#REF!</definedName>
    <definedName name="BDN_RP">#REF!</definedName>
    <definedName name="BDN_RPD" localSheetId="0">#REF!</definedName>
    <definedName name="BDN_RPD" localSheetId="4">#REF!</definedName>
    <definedName name="BDN_RPD" localSheetId="5">#REF!</definedName>
    <definedName name="BDN_RPD" localSheetId="6">#REF!</definedName>
    <definedName name="BDN_RPD">#REF!</definedName>
    <definedName name="BDN_USD" localSheetId="0">#REF!</definedName>
    <definedName name="BDN_USD" localSheetId="4">#REF!</definedName>
    <definedName name="BDN_USD" localSheetId="5">#REF!</definedName>
    <definedName name="BDN_USD" localSheetId="6">#REF!</definedName>
    <definedName name="BDN_USD">#REF!</definedName>
    <definedName name="BDN_USD1" localSheetId="0">#REF!</definedName>
    <definedName name="BDN_USD1" localSheetId="5">#REF!</definedName>
    <definedName name="BDN_USD1" localSheetId="6">#REF!</definedName>
    <definedName name="BDN_USD1">#REF!</definedName>
    <definedName name="BDPAPFS">[66]FS!$A$1:$Z$201</definedName>
    <definedName name="Beban_Jasa" localSheetId="0">'[67]Worksheet-03'!#REF!</definedName>
    <definedName name="Beban_Jasa" localSheetId="4">'[68]Worksheet-03'!#REF!</definedName>
    <definedName name="Beban_Jasa" localSheetId="5">'[67]Worksheet-03'!#REF!</definedName>
    <definedName name="Beban_Jasa" localSheetId="6">'[67]Worksheet-03'!#REF!</definedName>
    <definedName name="Beban_Jasa">'[67]Worksheet-03'!#REF!</definedName>
    <definedName name="BEGIN" localSheetId="0">[69]RMCONS!#REF!</definedName>
    <definedName name="BEGIN" localSheetId="5">[69]RMCONS!#REF!</definedName>
    <definedName name="BEGIN" localSheetId="6">[69]RMCONS!#REF!</definedName>
    <definedName name="BEGIN">[69]RMCONS!#REF!</definedName>
    <definedName name="BEGO" localSheetId="0">'[58]TB-WP'!#REF!</definedName>
    <definedName name="BEGO" localSheetId="4">'[58]TB-WP'!#REF!</definedName>
    <definedName name="BEGO" localSheetId="5">'[58]TB-WP'!#REF!</definedName>
    <definedName name="BEGO" localSheetId="6">'[58]TB-WP'!#REF!</definedName>
    <definedName name="BEGO">'[58]TB-WP'!#REF!</definedName>
    <definedName name="BegYear" localSheetId="0">#REF!</definedName>
    <definedName name="BegYear" localSheetId="5">#REF!</definedName>
    <definedName name="BegYear" localSheetId="6">#REF!</definedName>
    <definedName name="BegYear">#REF!</definedName>
    <definedName name="Belasan" localSheetId="0">#REF!</definedName>
    <definedName name="Belasan" localSheetId="5">#REF!</definedName>
    <definedName name="Belasan" localSheetId="6">#REF!</definedName>
    <definedName name="Belasan">#REF!</definedName>
    <definedName name="Berhenti" localSheetId="0">#REF!</definedName>
    <definedName name="Berhenti" localSheetId="5">#REF!</definedName>
    <definedName name="Berhenti" localSheetId="6">#REF!</definedName>
    <definedName name="Berhenti">#REF!</definedName>
    <definedName name="BFG">'[18]Man power'!$BB$44</definedName>
    <definedName name="BG_Del" hidden="1">15</definedName>
    <definedName name="BG_Ins" hidden="1">4</definedName>
    <definedName name="BG_Mod" hidden="1">6</definedName>
    <definedName name="biaya_dbyr_dmk" localSheetId="0">'[2]TB-WP'!#REF!</definedName>
    <definedName name="biaya_dbyr_dmk" localSheetId="4">'[11]TB-WP'!#REF!</definedName>
    <definedName name="biaya_dbyr_dmk" localSheetId="5">'[2]TB-WP'!#REF!</definedName>
    <definedName name="biaya_dbyr_dmk" localSheetId="6">'[2]TB-WP'!#REF!</definedName>
    <definedName name="biaya_dbyr_dmk">'[2]TB-WP'!#REF!</definedName>
    <definedName name="Biaya_masih_harus_dibayar" localSheetId="0">'[67]Worksheet-03'!#REF!</definedName>
    <definedName name="Biaya_masih_harus_dibayar" localSheetId="4">'[68]Worksheet-03'!#REF!</definedName>
    <definedName name="Biaya_masih_harus_dibayar" localSheetId="5">'[67]Worksheet-03'!#REF!</definedName>
    <definedName name="Biaya_masih_harus_dibayar" localSheetId="6">'[67]Worksheet-03'!#REF!</definedName>
    <definedName name="Biaya_masih_harus_dibayar">'[67]Worksheet-03'!#REF!</definedName>
    <definedName name="BIK" localSheetId="0">#REF!</definedName>
    <definedName name="BIK" localSheetId="5">#REF!</definedName>
    <definedName name="BIK" localSheetId="6">#REF!</definedName>
    <definedName name="BIK">#REF!</definedName>
    <definedName name="bilang" localSheetId="0">#REF!</definedName>
    <definedName name="bilang" localSheetId="5">#REF!</definedName>
    <definedName name="bilang" localSheetId="6">#REF!</definedName>
    <definedName name="bilang">#REF!</definedName>
    <definedName name="BILL" localSheetId="0">#REF!</definedName>
    <definedName name="BILL" localSheetId="5">#REF!</definedName>
    <definedName name="BILL" localSheetId="6">#REF!</definedName>
    <definedName name="BILL">#REF!</definedName>
    <definedName name="bln" localSheetId="0">#REF!</definedName>
    <definedName name="bln" localSheetId="5">#REF!</definedName>
    <definedName name="bln" localSheetId="6">#REF!</definedName>
    <definedName name="bln">#REF!</definedName>
    <definedName name="BLN_Sanksi">'[52]Data WP'!$E$22</definedName>
    <definedName name="Block" localSheetId="0">#REF!</definedName>
    <definedName name="Block" localSheetId="5">#REF!</definedName>
    <definedName name="Block" localSheetId="6">#REF!</definedName>
    <definedName name="Block">#REF!</definedName>
    <definedName name="Block.ID_Ok" localSheetId="0">#REF!</definedName>
    <definedName name="Block.ID_Ok" localSheetId="5">#REF!</definedName>
    <definedName name="Block.ID_Ok" localSheetId="6">#REF!</definedName>
    <definedName name="Block.ID_Ok">#REF!</definedName>
    <definedName name="Block_ID" localSheetId="0">#REF!</definedName>
    <definedName name="Block_ID" localSheetId="5">#REF!</definedName>
    <definedName name="Block_ID" localSheetId="6">#REF!</definedName>
    <definedName name="Block_ID">#REF!</definedName>
    <definedName name="Block_RKT" localSheetId="0">#REF!</definedName>
    <definedName name="Block_RKT" localSheetId="5">#REF!</definedName>
    <definedName name="Block_RKT" localSheetId="6">#REF!</definedName>
    <definedName name="Block_RKT">#REF!</definedName>
    <definedName name="BLOK">#N/A</definedName>
    <definedName name="bon" localSheetId="0">#REF!</definedName>
    <definedName name="bon" localSheetId="5">#REF!</definedName>
    <definedName name="bon" localSheetId="6">#REF!</definedName>
    <definedName name="bon">#REF!</definedName>
    <definedName name="bonus" localSheetId="0">#REF!</definedName>
    <definedName name="bonus" localSheetId="5">#REF!</definedName>
    <definedName name="bonus" localSheetId="6">#REF!</definedName>
    <definedName name="bonus">#REF!</definedName>
    <definedName name="BORDER" localSheetId="0">#REF!</definedName>
    <definedName name="BORDER" localSheetId="5">#REF!</definedName>
    <definedName name="BORDER" localSheetId="6">#REF!</definedName>
    <definedName name="BORDER">#REF!</definedName>
    <definedName name="BOT" localSheetId="0">#REF!</definedName>
    <definedName name="BOT" localSheetId="5">#REF!</definedName>
    <definedName name="BOT" localSheetId="6">#REF!</definedName>
    <definedName name="BOT">#REF!</definedName>
    <definedName name="BP_percent">[70]CTRL!$J$130</definedName>
    <definedName name="BPI_RP" localSheetId="0">#REF!</definedName>
    <definedName name="BPI_RP" localSheetId="4">#REF!</definedName>
    <definedName name="BPI_RP" localSheetId="5">#REF!</definedName>
    <definedName name="BPI_RP" localSheetId="6">#REF!</definedName>
    <definedName name="BPI_RP">#REF!</definedName>
    <definedName name="BPI_RPD" localSheetId="0">#REF!</definedName>
    <definedName name="BPI_RPD" localSheetId="4">#REF!</definedName>
    <definedName name="BPI_RPD" localSheetId="5">#REF!</definedName>
    <definedName name="BPI_RPD" localSheetId="6">#REF!</definedName>
    <definedName name="BPI_RPD">#REF!</definedName>
    <definedName name="BPI_USD" localSheetId="0">#REF!</definedName>
    <definedName name="BPI_USD" localSheetId="4">#REF!</definedName>
    <definedName name="BPI_USD" localSheetId="5">#REF!</definedName>
    <definedName name="BPI_USD" localSheetId="6">#REF!</definedName>
    <definedName name="BPI_USD">#REF!</definedName>
    <definedName name="BPI_USD1" localSheetId="0">#REF!</definedName>
    <definedName name="BPI_USD1" localSheetId="5">#REF!</definedName>
    <definedName name="BPI_USD1" localSheetId="6">#REF!</definedName>
    <definedName name="BPI_USD1">#REF!</definedName>
    <definedName name="BRIEF" localSheetId="0">[69]CGS!#REF!</definedName>
    <definedName name="BRIEF" localSheetId="5">[69]CGS!#REF!</definedName>
    <definedName name="BRIEF" localSheetId="6">[69]CGS!#REF!</definedName>
    <definedName name="BRIEF">[69]CGS!#REF!</definedName>
    <definedName name="brtcybhc">'[18]Man power'!$BB$52</definedName>
    <definedName name="brtcybhd">'[18]Man power'!$BB$53</definedName>
    <definedName name="brtdbr" localSheetId="0">'[18]Man power'!#REF!</definedName>
    <definedName name="brtdbr" localSheetId="5">'[18]Man power'!#REF!</definedName>
    <definedName name="brtdbr" localSheetId="6">'[18]Man power'!#REF!</definedName>
    <definedName name="brtdbr">'[18]Man power'!#REF!</definedName>
    <definedName name="brtdccf" localSheetId="0">'[18]Man power'!#REF!</definedName>
    <definedName name="brtdccf" localSheetId="5">'[18]Man power'!#REF!</definedName>
    <definedName name="brtdccf" localSheetId="6">'[18]Man power'!#REF!</definedName>
    <definedName name="brtdccf">'[18]Man power'!#REF!</definedName>
    <definedName name="brtdccs" localSheetId="0">'[18]Man power'!#REF!</definedName>
    <definedName name="brtdccs" localSheetId="5">'[18]Man power'!#REF!</definedName>
    <definedName name="brtdccs" localSheetId="6">'[18]Man power'!#REF!</definedName>
    <definedName name="brtdccs">'[18]Man power'!#REF!</definedName>
    <definedName name="brtdeh4" localSheetId="0">'[18]Man power'!#REF!</definedName>
    <definedName name="brtdeh4" localSheetId="5">'[18]Man power'!#REF!</definedName>
    <definedName name="brtdeh4" localSheetId="6">'[18]Man power'!#REF!</definedName>
    <definedName name="brtdeh4">'[18]Man power'!#REF!</definedName>
    <definedName name="brtdeh51s">'[18]Man power'!$BB$43</definedName>
    <definedName name="brtdeh52s">'[18]Man power'!$BB$44</definedName>
    <definedName name="brtdeh5f">'[18]Man power'!$BB$45</definedName>
    <definedName name="brtdop">'[18]Man power'!$BB$51</definedName>
    <definedName name="brtdtc">'[18]Man power'!$BB$47</definedName>
    <definedName name="brtdtcf">'[18]Man power'!$BB$48</definedName>
    <definedName name="brtirc">'[18]Man power'!$BB$46</definedName>
    <definedName name="brtitc">'[18]Man power'!$BB$49</definedName>
    <definedName name="bsba" localSheetId="0">#REF!</definedName>
    <definedName name="bsba" localSheetId="5">#REF!</definedName>
    <definedName name="bsba" localSheetId="6">#REF!</definedName>
    <definedName name="bsba">#REF!</definedName>
    <definedName name="BTWACC" localSheetId="0">#REF!</definedName>
    <definedName name="BTWACC" localSheetId="5">#REF!</definedName>
    <definedName name="BTWACC" localSheetId="6">#REF!</definedName>
    <definedName name="BTWACC">#REF!</definedName>
    <definedName name="BUD" localSheetId="0">#REF!</definedName>
    <definedName name="BUD" localSheetId="5">#REF!</definedName>
    <definedName name="BUD" localSheetId="6">#REF!</definedName>
    <definedName name="BUD">#REF!</definedName>
    <definedName name="BUDGET" localSheetId="0">#REF!</definedName>
    <definedName name="BUDGET" localSheetId="5">#REF!</definedName>
    <definedName name="BUDGET" localSheetId="6">#REF!</definedName>
    <definedName name="BUDGET">#REF!</definedName>
    <definedName name="Budget_1">'[65]^Budget'!$A$2</definedName>
    <definedName name="Bulk_GP_actual">OFFSET('[71]Grafik Bulk'!$C$73,0,'[71]Grafik Bulk'!$L$70-1,1,'[71]Grafik Bulk'!$N$70-'[71]Grafik Bulk'!$L$70+1)</definedName>
    <definedName name="Bulk_GP_budget">OFFSET('[71]Grafik Bulk'!$C$74,0,'[71]Grafik Bulk'!$L$70-1,1,'[71]Grafik Bulk'!$N$70-'[71]Grafik Bulk'!$L$70+1)</definedName>
    <definedName name="Bulk_GP_lastyear">OFFSET('[71]Grafik Bulk'!$C$72,0,'[71]Grafik Bulk'!$L$70-1,1,'[71]Grafik Bulk'!$N$70-'[71]Grafik Bulk'!$L$70+1)</definedName>
    <definedName name="Bulk_GP_Timeline">OFFSET('[71]Grafik Bulk'!$C$71,0,'[71]Grafik Bulk'!$L$70-1,1,'[71]Grafik Bulk'!$N$70-'[71]Grafik Bulk'!$L$70+1)</definedName>
    <definedName name="Bulk_OI_actual">OFFSET('[71]Grafik Bulk'!$C$120,0,'[71]Grafik Bulk'!$K$117-1,1,'[71]Grafik Bulk'!$M$117-'[71]Grafik Bulk'!$K$117+1)</definedName>
    <definedName name="Bulk_OI_budget">OFFSET('[71]Grafik Bulk'!$C$121,0,'[71]Grafik Bulk'!$K$117-1,1,'[71]Grafik Bulk'!$M$117-'[71]Grafik Bulk'!$K$117+1)</definedName>
    <definedName name="Bulk_OI_Lastyear">OFFSET('[71]Grafik Bulk'!$C$119,0,'[71]Grafik Bulk'!$K$117-1,1,'[71]Grafik Bulk'!$M$117-'[71]Grafik Bulk'!$K$117+1)</definedName>
    <definedName name="Bulk_OI_Timeline">OFFSET('[71]Grafik Bulk'!$C$118,0,'[71]Grafik Bulk'!$K$117-1,1,'[71]Grafik Bulk'!$M$117-'[71]Grafik Bulk'!$K$117+1)</definedName>
    <definedName name="Bulk_Revenue_actual">OFFSET('[71]Grafik Bulk'!$C$24,0,'[71]Grafik Bulk'!$L$21-1,1,'[71]Grafik Bulk'!$N$21-'[71]Grafik Bulk'!$L$21+1)</definedName>
    <definedName name="Bulk_Revenue_budget">OFFSET('[71]Grafik Bulk'!$C$25,0,'[71]Grafik Bulk'!$L$21-1,1,'[71]Grafik Bulk'!$N$21-'[71]Grafik Bulk'!$L$21+1)</definedName>
    <definedName name="Bulk_Revenue_Lastyear">OFFSET('[71]Grafik Bulk'!$C$23,0,'[71]Grafik Bulk'!$L$21-1,1,'[71]Grafik Bulk'!$N$21-'[71]Grafik Bulk'!$L$21+1)</definedName>
    <definedName name="Bulk_Revenue_Timeline">OFFSET('[71]Grafik Bulk'!$C$22,0,'[71]Grafik Bulk'!$L$21-1,1,'[71]Grafik Bulk'!$N$21-'[71]Grafik Bulk'!$L$21+1)</definedName>
    <definedName name="bw" localSheetId="0">[72]Piping!#REF!</definedName>
    <definedName name="bw" localSheetId="5">[72]Piping!#REF!</definedName>
    <definedName name="bw" localSheetId="6">[72]Piping!#REF!</definedName>
    <definedName name="bw">[72]Piping!#REF!</definedName>
    <definedName name="By_Bunga03" localSheetId="0">#REF!</definedName>
    <definedName name="By_Bunga03" localSheetId="5">#REF!</definedName>
    <definedName name="By_Bunga03" localSheetId="6">#REF!</definedName>
    <definedName name="By_Bunga03">#REF!</definedName>
    <definedName name="C_F_RP" localSheetId="0">#REF!</definedName>
    <definedName name="C_F_RP" localSheetId="5">#REF!</definedName>
    <definedName name="C_F_RP" localSheetId="6">#REF!</definedName>
    <definedName name="C_F_RP">#REF!</definedName>
    <definedName name="C_F_USD" localSheetId="0">#REF!</definedName>
    <definedName name="C_F_USD" localSheetId="5">#REF!</definedName>
    <definedName name="C_F_USD" localSheetId="6">#REF!</definedName>
    <definedName name="C_F_USD">#REF!</definedName>
    <definedName name="C_I_P" localSheetId="0">[48]PREV!#REF!</definedName>
    <definedName name="C_I_P" localSheetId="5">[48]PREV!#REF!</definedName>
    <definedName name="C_I_P" localSheetId="6">[48]PREV!#REF!</definedName>
    <definedName name="C_I_P">[48]PREV!#REF!</definedName>
    <definedName name="c_s" localSheetId="0">#REF!</definedName>
    <definedName name="c_s" localSheetId="5">#REF!</definedName>
    <definedName name="c_s" localSheetId="6">#REF!</definedName>
    <definedName name="c_s">#REF!</definedName>
    <definedName name="caforward" localSheetId="0">#REF!</definedName>
    <definedName name="caforward" localSheetId="5">#REF!</definedName>
    <definedName name="caforward" localSheetId="6">#REF!</definedName>
    <definedName name="caforward">#REF!</definedName>
    <definedName name="CapChgTV" localSheetId="0">#REF!</definedName>
    <definedName name="CapChgTV" localSheetId="5">#REF!</definedName>
    <definedName name="CapChgTV" localSheetId="6">#REF!</definedName>
    <definedName name="CapChgTV">#REF!</definedName>
    <definedName name="CapChgTVadj" localSheetId="0">#REF!</definedName>
    <definedName name="CapChgTVadj" localSheetId="5">#REF!</definedName>
    <definedName name="CapChgTVadj" localSheetId="6">#REF!</definedName>
    <definedName name="CapChgTVadj">#REF!</definedName>
    <definedName name="Capex_1">'[65]^CAPEX'!$A$2</definedName>
    <definedName name="CAPGAINS" localSheetId="0">#REF!</definedName>
    <definedName name="CAPGAINS" localSheetId="5">#REF!</definedName>
    <definedName name="CAPGAINS" localSheetId="6">#REF!</definedName>
    <definedName name="CAPGAINS">#REF!</definedName>
    <definedName name="Capital_Reference" localSheetId="0">#REF!</definedName>
    <definedName name="Capital_Reference" localSheetId="5">#REF!</definedName>
    <definedName name="Capital_Reference" localSheetId="6">#REF!</definedName>
    <definedName name="Capital_Reference">#REF!</definedName>
    <definedName name="Capitaltvfcf" localSheetId="0">#REF!</definedName>
    <definedName name="Capitaltvfcf" localSheetId="5">#REF!</definedName>
    <definedName name="Capitaltvfcf" localSheetId="6">#REF!</definedName>
    <definedName name="Capitaltvfcf">#REF!</definedName>
    <definedName name="CAPLOSS" localSheetId="0">#REF!</definedName>
    <definedName name="CAPLOSS" localSheetId="5">#REF!</definedName>
    <definedName name="CAPLOSS" localSheetId="6">#REF!</definedName>
    <definedName name="CAPLOSS">#REF!</definedName>
    <definedName name="CapNegEP" localSheetId="0">#REF!</definedName>
    <definedName name="CapNegEP" localSheetId="5">#REF!</definedName>
    <definedName name="CapNegEP" localSheetId="6">#REF!</definedName>
    <definedName name="CapNegEP">#REF!</definedName>
    <definedName name="CAPRISK" localSheetId="0">#REF!</definedName>
    <definedName name="CAPRISK" localSheetId="5">#REF!</definedName>
    <definedName name="CAPRISK" localSheetId="6">#REF!</definedName>
    <definedName name="CAPRISK">#REF!</definedName>
    <definedName name="caprow" localSheetId="0">#REF!</definedName>
    <definedName name="caprow" localSheetId="5">#REF!</definedName>
    <definedName name="caprow" localSheetId="6">#REF!</definedName>
    <definedName name="caprow">#REF!</definedName>
    <definedName name="CapTVadj" localSheetId="0">#REF!</definedName>
    <definedName name="CapTVadj" localSheetId="5">#REF!</definedName>
    <definedName name="CapTVadj" localSheetId="6">#REF!</definedName>
    <definedName name="CapTVadj">#REF!</definedName>
    <definedName name="cash" localSheetId="0">#REF!</definedName>
    <definedName name="cash" localSheetId="5">#REF!</definedName>
    <definedName name="cash" localSheetId="6">#REF!</definedName>
    <definedName name="cash">#REF!</definedName>
    <definedName name="CBW" localSheetId="0">[72]Piping!#REF!</definedName>
    <definedName name="CBW" localSheetId="5">[72]Piping!#REF!</definedName>
    <definedName name="CBW" localSheetId="6">[72]Piping!#REF!</definedName>
    <definedName name="CBW">[72]Piping!#REF!</definedName>
    <definedName name="CC" localSheetId="0">'[30]98-1-OVT'!#REF!</definedName>
    <definedName name="CC" localSheetId="5">'[30]98-1-OVT'!#REF!</definedName>
    <definedName name="CC" localSheetId="6">'[30]98-1-OVT'!#REF!</definedName>
    <definedName name="CC">'[30]98-1-OVT'!#REF!</definedName>
    <definedName name="ccc" localSheetId="0">#REF!</definedName>
    <definedName name="ccc" localSheetId="5">#REF!</definedName>
    <definedName name="ccc" localSheetId="6">#REF!</definedName>
    <definedName name="ccc">#REF!</definedName>
    <definedName name="cek" localSheetId="0">#REF!</definedName>
    <definedName name="cek" localSheetId="5">#REF!</definedName>
    <definedName name="cek" localSheetId="6">#REF!</definedName>
    <definedName name="cek">#REF!</definedName>
    <definedName name="CekPM" localSheetId="0">#REF!</definedName>
    <definedName name="CekPM" localSheetId="5">#REF!</definedName>
    <definedName name="CekPM" localSheetId="6">#REF!</definedName>
    <definedName name="CekPM">#REF!</definedName>
    <definedName name="cf" hidden="1">0</definedName>
    <definedName name="CGSgm2">[73]CGSgm2!$K$43</definedName>
    <definedName name="CgsSP">[73]CGSsp!$I$14</definedName>
    <definedName name="Chassis_Class_20">[74]General!$L$25:$L$26</definedName>
    <definedName name="Chassis_Class_40">[74]General!$L$28:$L$29</definedName>
    <definedName name="Chassis_Class_BX">[74]General!$L$40:$L$41</definedName>
    <definedName name="Chassis_Class_CC">[74]General!$L$34:$L$38</definedName>
    <definedName name="Chassis_Class_MC">[74]General!$L$31:$L$32</definedName>
    <definedName name="Checker" localSheetId="4">[75]Checker!$A$1</definedName>
    <definedName name="Checker">[76]Checker!$A$1</definedName>
    <definedName name="CIQWBGuid" hidden="1">"Crystal - Financial Model 07112018.xlsx"</definedName>
    <definedName name="CK_BANK" localSheetId="0">#REF!</definedName>
    <definedName name="CK_BANK" localSheetId="4">#REF!</definedName>
    <definedName name="CK_BANK" localSheetId="5">#REF!</definedName>
    <definedName name="CK_BANK" localSheetId="6">#REF!</definedName>
    <definedName name="CK_BANK">#REF!</definedName>
    <definedName name="ckk" localSheetId="0">#REF!</definedName>
    <definedName name="ckk" localSheetId="4">#REF!</definedName>
    <definedName name="ckk" localSheetId="5">#REF!</definedName>
    <definedName name="ckk" localSheetId="6">#REF!</definedName>
    <definedName name="ckk">#REF!</definedName>
    <definedName name="Classification">[77]Input!$C$12</definedName>
    <definedName name="ClientFullName" localSheetId="0">#REF!</definedName>
    <definedName name="ClientFullName" localSheetId="5">#REF!</definedName>
    <definedName name="ClientFullName" localSheetId="6">#REF!</definedName>
    <definedName name="ClientFullName">#REF!</definedName>
    <definedName name="ClientName" localSheetId="0">#REF!</definedName>
    <definedName name="ClientName" localSheetId="5">#REF!</definedName>
    <definedName name="ClientName" localSheetId="6">#REF!</definedName>
    <definedName name="ClientName">#REF!</definedName>
    <definedName name="cmdBatal_Click">#N/A</definedName>
    <definedName name="cmdGanti_Click">#N/A</definedName>
    <definedName name="CML_percent">[70]CTRL!$E$144</definedName>
    <definedName name="COGS" localSheetId="0">#REF!</definedName>
    <definedName name="COGS" localSheetId="5">#REF!</definedName>
    <definedName name="COGS" localSheetId="6">#REF!</definedName>
    <definedName name="COGS">#REF!</definedName>
    <definedName name="COM_DrGEN" localSheetId="0">#REF!</definedName>
    <definedName name="COM_DrGEN" localSheetId="5">#REF!</definedName>
    <definedName name="COM_DrGEN" localSheetId="6">#REF!</definedName>
    <definedName name="COM_DrGEN">#REF!</definedName>
    <definedName name="COM_RP" localSheetId="0">#REF!</definedName>
    <definedName name="COM_RP" localSheetId="4">#REF!</definedName>
    <definedName name="COM_RP" localSheetId="5">#REF!</definedName>
    <definedName name="COM_RP" localSheetId="6">#REF!</definedName>
    <definedName name="COM_RP">#REF!</definedName>
    <definedName name="COM_USD" localSheetId="0">#REF!</definedName>
    <definedName name="COM_USD" localSheetId="5">#REF!</definedName>
    <definedName name="COM_USD" localSheetId="6">#REF!</definedName>
    <definedName name="COM_USD">#REF!</definedName>
    <definedName name="Company" localSheetId="0">#REF!</definedName>
    <definedName name="Company" localSheetId="5">#REF!</definedName>
    <definedName name="Company" localSheetId="6">#REF!</definedName>
    <definedName name="Company">#REF!</definedName>
    <definedName name="Company_3" localSheetId="0">#REF!</definedName>
    <definedName name="Company_3" localSheetId="5">#REF!</definedName>
    <definedName name="Company_3" localSheetId="6">#REF!</definedName>
    <definedName name="Company_3">#REF!</definedName>
    <definedName name="Company_4" localSheetId="0">#REF!</definedName>
    <definedName name="Company_4" localSheetId="5">#REF!</definedName>
    <definedName name="Company_4" localSheetId="6">#REF!</definedName>
    <definedName name="Company_4">#REF!</definedName>
    <definedName name="Company_5" localSheetId="0">#REF!</definedName>
    <definedName name="Company_5" localSheetId="5">#REF!</definedName>
    <definedName name="Company_5" localSheetId="6">#REF!</definedName>
    <definedName name="Company_5">#REF!</definedName>
    <definedName name="Company_6" localSheetId="0">#REF!</definedName>
    <definedName name="Company_6" localSheetId="5">#REF!</definedName>
    <definedName name="Company_6" localSheetId="6">#REF!</definedName>
    <definedName name="Company_6">#REF!</definedName>
    <definedName name="Company_7" localSheetId="0">#REF!</definedName>
    <definedName name="Company_7" localSheetId="5">#REF!</definedName>
    <definedName name="Company_7" localSheetId="6">#REF!</definedName>
    <definedName name="Company_7">#REF!</definedName>
    <definedName name="Company_8" localSheetId="0">#REF!</definedName>
    <definedName name="Company_8" localSheetId="5">#REF!</definedName>
    <definedName name="Company_8" localSheetId="6">#REF!</definedName>
    <definedName name="Company_8">#REF!</definedName>
    <definedName name="CompanyName">[78]Title!$C$5</definedName>
    <definedName name="Compt." localSheetId="0">#REF!</definedName>
    <definedName name="Compt." localSheetId="5">#REF!</definedName>
    <definedName name="Compt." localSheetId="6">#REF!</definedName>
    <definedName name="Compt.">#REF!</definedName>
    <definedName name="Compt.Ok" localSheetId="0">#REF!</definedName>
    <definedName name="Compt.Ok" localSheetId="5">#REF!</definedName>
    <definedName name="Compt.Ok" localSheetId="6">#REF!</definedName>
    <definedName name="Compt.Ok">#REF!</definedName>
    <definedName name="Cont._FD" localSheetId="0">#REF!</definedName>
    <definedName name="Cont._FD" localSheetId="5">#REF!</definedName>
    <definedName name="Cont._FD" localSheetId="6">#REF!</definedName>
    <definedName name="Cont._FD">#REF!</definedName>
    <definedName name="Contractors" localSheetId="0">#REF!</definedName>
    <definedName name="Contractors" localSheetId="5">#REF!</definedName>
    <definedName name="Contractors" localSheetId="6">#REF!</definedName>
    <definedName name="Contractors">#REF!</definedName>
    <definedName name="COSGmtYtd" localSheetId="0">[48]PREV!#REF!</definedName>
    <definedName name="COSGmtYtd" localSheetId="5">[48]PREV!#REF!</definedName>
    <definedName name="COSGmtYtd" localSheetId="6">[48]PREV!#REF!</definedName>
    <definedName name="COSGmtYtd">[48]PREV!#REF!</definedName>
    <definedName name="COSJGEytd" localSheetId="0">[48]PREV!#REF!</definedName>
    <definedName name="COSJGEytd" localSheetId="5">[48]PREV!#REF!</definedName>
    <definedName name="COSJGEytd" localSheetId="6">[48]PREV!#REF!</definedName>
    <definedName name="COSJGEytd">[48]PREV!#REF!</definedName>
    <definedName name="cost_categories">'[65]^Base_Data_Gen'!$B$89:$B$100</definedName>
    <definedName name="Cost_Of_Acquisition" localSheetId="0">#REF!</definedName>
    <definedName name="Cost_Of_Acquisition" localSheetId="5">#REF!</definedName>
    <definedName name="Cost_Of_Acquisition" localSheetId="6">#REF!</definedName>
    <definedName name="Cost_Of_Acquisition">#REF!</definedName>
    <definedName name="costaccfr" localSheetId="0">#REF!</definedName>
    <definedName name="costaccfr" localSheetId="5">#REF!</definedName>
    <definedName name="costaccfr" localSheetId="6">#REF!</definedName>
    <definedName name="costaccfr">#REF!</definedName>
    <definedName name="costaccto" localSheetId="0">#REF!</definedName>
    <definedName name="costaccto" localSheetId="5">#REF!</definedName>
    <definedName name="costaccto" localSheetId="6">#REF!</definedName>
    <definedName name="costaccto">#REF!</definedName>
    <definedName name="COUNT" localSheetId="0">#REF!</definedName>
    <definedName name="COUNT" localSheetId="5">#REF!</definedName>
    <definedName name="COUNT" localSheetId="6">#REF!</definedName>
    <definedName name="COUNT">#REF!</definedName>
    <definedName name="Countries">'[65]^Base_Data_Gen'!$P$9:$P$30</definedName>
    <definedName name="cov" localSheetId="0">#REF!</definedName>
    <definedName name="cov" localSheetId="5">#REF!</definedName>
    <definedName name="cov" localSheetId="6">#REF!</definedName>
    <definedName name="cov">#REF!</definedName>
    <definedName name="cover">[22]LAPORAN!$A$57:$H$112</definedName>
    <definedName name="_xlnm.Criteria" localSheetId="0">'[1]KKP A.2.1'!#REF!</definedName>
    <definedName name="_xlnm.Criteria" localSheetId="4">'[1]KKP A.2.1'!#REF!</definedName>
    <definedName name="_xlnm.Criteria" localSheetId="5">'[1]KKP A.2.1'!#REF!</definedName>
    <definedName name="_xlnm.Criteria" localSheetId="6">'[1]KKP A.2.1'!#REF!</definedName>
    <definedName name="_xlnm.Criteria">'[1]KKP A.2.1'!#REF!</definedName>
    <definedName name="Criteria_MI" localSheetId="0">'[1]KKP A.2.1'!#REF!</definedName>
    <definedName name="Criteria_MI" localSheetId="4">'[1]KKP A.2.1'!#REF!</definedName>
    <definedName name="Criteria_MI" localSheetId="5">'[1]KKP A.2.1'!#REF!</definedName>
    <definedName name="Criteria_MI" localSheetId="6">'[1]KKP A.2.1'!#REF!</definedName>
    <definedName name="Criteria_MI">'[1]KKP A.2.1'!#REF!</definedName>
    <definedName name="csbw" localSheetId="0">[79]Piping!#REF!</definedName>
    <definedName name="csbw" localSheetId="4">[80]Piping!#REF!</definedName>
    <definedName name="csbw" localSheetId="5">[79]Piping!#REF!</definedName>
    <definedName name="csbw" localSheetId="6">[79]Piping!#REF!</definedName>
    <definedName name="csbw">[79]Piping!#REF!</definedName>
    <definedName name="csDesignMode">1</definedName>
    <definedName name="CSW" localSheetId="0">[72]Piping!#REF!</definedName>
    <definedName name="CSW" localSheetId="5">[72]Piping!#REF!</definedName>
    <definedName name="CSW" localSheetId="6">[72]Piping!#REF!</definedName>
    <definedName name="CSW">[72]Piping!#REF!</definedName>
    <definedName name="Cuperiodend">[81]Cover!$F$12</definedName>
    <definedName name="CurrAdmExpGMT" localSheetId="0">[48]PREV!#REF!</definedName>
    <definedName name="CurrAdmExpGMT" localSheetId="5">[48]PREV!#REF!</definedName>
    <definedName name="CurrAdmExpGMT" localSheetId="6">[48]PREV!#REF!</definedName>
    <definedName name="CurrAdmExpGMT">[48]PREV!#REF!</definedName>
    <definedName name="CurrAdmExpJGE" localSheetId="0">[48]PREV!#REF!</definedName>
    <definedName name="CurrAdmExpJGE" localSheetId="5">[48]PREV!#REF!</definedName>
    <definedName name="CurrAdmExpJGE" localSheetId="6">[48]PREV!#REF!</definedName>
    <definedName name="CurrAdmExpJGE">[48]PREV!#REF!</definedName>
    <definedName name="CurrAdmExpWASTE" localSheetId="0">[48]PREV!#REF!</definedName>
    <definedName name="CurrAdmExpWASTE" localSheetId="5">[48]PREV!#REF!</definedName>
    <definedName name="CurrAdmExpWASTE" localSheetId="6">[48]PREV!#REF!</definedName>
    <definedName name="CurrAdmExpWASTE">[48]PREV!#REF!</definedName>
    <definedName name="CurrCostSalesGMT" localSheetId="0">[48]PREV!#REF!</definedName>
    <definedName name="CurrCostSalesGMT" localSheetId="5">[48]PREV!#REF!</definedName>
    <definedName name="CurrCostSalesGMT" localSheetId="6">[48]PREV!#REF!</definedName>
    <definedName name="CurrCostSalesGMT">[48]PREV!#REF!</definedName>
    <definedName name="CurrCostSalesJGE" localSheetId="0">[48]PREV!#REF!</definedName>
    <definedName name="CurrCostSalesJGE" localSheetId="5">[48]PREV!#REF!</definedName>
    <definedName name="CurrCostSalesJGE" localSheetId="6">[48]PREV!#REF!</definedName>
    <definedName name="CurrCostSalesJGE">[48]PREV!#REF!</definedName>
    <definedName name="Currencies">'[65]^Base_Data_Gen'!$Q$9:$Q$35</definedName>
    <definedName name="currency" localSheetId="0">#REF!</definedName>
    <definedName name="currency" localSheetId="5">#REF!</definedName>
    <definedName name="currency" localSheetId="6">#REF!</definedName>
    <definedName name="currency">#REF!</definedName>
    <definedName name="CURRENT" localSheetId="0">#REF!</definedName>
    <definedName name="CURRENT" localSheetId="5">#REF!</definedName>
    <definedName name="CURRENT" localSheetId="6">#REF!</definedName>
    <definedName name="CURRENT">#REF!</definedName>
    <definedName name="CurrFinExpGMT" localSheetId="0">[48]PREV!#REF!</definedName>
    <definedName name="CurrFinExpGMT" localSheetId="5">[48]PREV!#REF!</definedName>
    <definedName name="CurrFinExpGMT" localSheetId="6">[48]PREV!#REF!</definedName>
    <definedName name="CurrFinExpGMT">[48]PREV!#REF!</definedName>
    <definedName name="CurrFinExpJGE" localSheetId="0">[48]PREV!#REF!</definedName>
    <definedName name="CurrFinExpJGE" localSheetId="5">[48]PREV!#REF!</definedName>
    <definedName name="CurrFinExpJGE" localSheetId="6">[48]PREV!#REF!</definedName>
    <definedName name="CurrFinExpJGE">[48]PREV!#REF!</definedName>
    <definedName name="CurrFinExpWASTE" localSheetId="0">[48]PREV!#REF!</definedName>
    <definedName name="CurrFinExpWASTE" localSheetId="5">[48]PREV!#REF!</definedName>
    <definedName name="CurrFinExpWASTE" localSheetId="6">[48]PREV!#REF!</definedName>
    <definedName name="CurrFinExpWASTE">[48]PREV!#REF!</definedName>
    <definedName name="CurrSExpGMT" localSheetId="0">[48]PREV!#REF!</definedName>
    <definedName name="CurrSExpGMT" localSheetId="5">[48]PREV!#REF!</definedName>
    <definedName name="CurrSExpGMT" localSheetId="6">[48]PREV!#REF!</definedName>
    <definedName name="CurrSExpGMT">[48]PREV!#REF!</definedName>
    <definedName name="CurrSExpJGE" localSheetId="0">[48]PREV!#REF!</definedName>
    <definedName name="CurrSExpJGE" localSheetId="5">[48]PREV!#REF!</definedName>
    <definedName name="CurrSExpJGE" localSheetId="6">[48]PREV!#REF!</definedName>
    <definedName name="CurrSExpJGE">[48]PREV!#REF!</definedName>
    <definedName name="CurrSExpWASTE" localSheetId="0">[48]PREV!#REF!</definedName>
    <definedName name="CurrSExpWASTE" localSheetId="5">[48]PREV!#REF!</definedName>
    <definedName name="CurrSExpWASTE" localSheetId="6">[48]PREV!#REF!</definedName>
    <definedName name="CurrSExpWASTE">[48]PREV!#REF!</definedName>
    <definedName name="CurrSunIncomeJGE" localSheetId="0">[48]PREV!#REF!</definedName>
    <definedName name="CurrSunIncomeJGE" localSheetId="5">[48]PREV!#REF!</definedName>
    <definedName name="CurrSunIncomeJGE" localSheetId="6">[48]PREV!#REF!</definedName>
    <definedName name="CurrSunIncomeJGE">[48]PREV!#REF!</definedName>
    <definedName name="CurrSunIncomeWASTE" localSheetId="0">[48]PREV!#REF!</definedName>
    <definedName name="CurrSunIncomeWASTE" localSheetId="5">[48]PREV!#REF!</definedName>
    <definedName name="CurrSunIncomeWASTE" localSheetId="6">[48]PREV!#REF!</definedName>
    <definedName name="CurrSunIncomeWASTE">[48]PREV!#REF!</definedName>
    <definedName name="CurrSunLossGMT" localSheetId="0">[48]PREV!#REF!</definedName>
    <definedName name="CurrSunLossGMT" localSheetId="5">[48]PREV!#REF!</definedName>
    <definedName name="CurrSunLossGMT" localSheetId="6">[48]PREV!#REF!</definedName>
    <definedName name="CurrSunLossGMT">[48]PREV!#REF!</definedName>
    <definedName name="CurrSunLossJGE" localSheetId="0">[48]PREV!#REF!</definedName>
    <definedName name="CurrSunLossJGE" localSheetId="5">[48]PREV!#REF!</definedName>
    <definedName name="CurrSunLossJGE" localSheetId="6">[48]PREV!#REF!</definedName>
    <definedName name="CurrSunLossJGE">[48]PREV!#REF!</definedName>
    <definedName name="CurrSunLossWASTE" localSheetId="0">[48]PREV!#REF!</definedName>
    <definedName name="CurrSunLossWASTE" localSheetId="5">[48]PREV!#REF!</definedName>
    <definedName name="CurrSunLossWASTE" localSheetId="6">[48]PREV!#REF!</definedName>
    <definedName name="CurrSunLossWASTE">[48]PREV!#REF!</definedName>
    <definedName name="CustCode">[49]Table!$G$2:$G$21</definedName>
    <definedName name="CuYear" localSheetId="0">#REF!</definedName>
    <definedName name="CuYear" localSheetId="5">#REF!</definedName>
    <definedName name="CuYear" localSheetId="6">#REF!</definedName>
    <definedName name="CuYear">#REF!</definedName>
    <definedName name="cxv" localSheetId="2" hidden="1">{#N/A,#N/A,FALSE,"Cost Report";#N/A,#N/A,FALSE,"Table 2.1";#N/A,#N/A,FALSE,"Plant Statistics";"Plant Costs",#N/A,FALSE,"Cost Summary"}</definedName>
    <definedName name="cxv" localSheetId="0" hidden="1">{#N/A,#N/A,FALSE,"Cost Report";#N/A,#N/A,FALSE,"Table 2.1";#N/A,#N/A,FALSE,"Plant Statistics";"Plant Costs",#N/A,FALSE,"Cost Summary"}</definedName>
    <definedName name="cxv" hidden="1">{#N/A,#N/A,FALSE,"Cost Report";#N/A,#N/A,FALSE,"Table 2.1";#N/A,#N/A,FALSE,"Plant Statistics";"Plant Costs",#N/A,FALSE,"Cost Summary"}</definedName>
    <definedName name="D" localSheetId="0">#REF!</definedName>
    <definedName name="D" localSheetId="5">#REF!</definedName>
    <definedName name="D" localSheetId="6">#REF!</definedName>
    <definedName name="D">#REF!</definedName>
    <definedName name="D.P.P">#N/A</definedName>
    <definedName name="D008.A" localSheetId="0">#REF!</definedName>
    <definedName name="D008.A" localSheetId="5">#REF!</definedName>
    <definedName name="D008.A" localSheetId="6">#REF!</definedName>
    <definedName name="D008.A">#REF!</definedName>
    <definedName name="D008.B" localSheetId="0">#REF!</definedName>
    <definedName name="D008.B" localSheetId="5">#REF!</definedName>
    <definedName name="D008.B" localSheetId="6">#REF!</definedName>
    <definedName name="D008.B">#REF!</definedName>
    <definedName name="D009.A" localSheetId="0">#REF!</definedName>
    <definedName name="D009.A" localSheetId="5">#REF!</definedName>
    <definedName name="D009.A" localSheetId="6">#REF!</definedName>
    <definedName name="D009.A">#REF!</definedName>
    <definedName name="D009.B" localSheetId="0">#REF!</definedName>
    <definedName name="D009.B" localSheetId="5">#REF!</definedName>
    <definedName name="D009.B" localSheetId="6">#REF!</definedName>
    <definedName name="D009.B">#REF!</definedName>
    <definedName name="D010.A" localSheetId="0">#REF!</definedName>
    <definedName name="D010.A" localSheetId="5">#REF!</definedName>
    <definedName name="D010.A" localSheetId="6">#REF!</definedName>
    <definedName name="D010.A">#REF!</definedName>
    <definedName name="D010.B" localSheetId="0">#REF!</definedName>
    <definedName name="D010.B" localSheetId="5">#REF!</definedName>
    <definedName name="D010.B" localSheetId="6">#REF!</definedName>
    <definedName name="D010.B">#REF!</definedName>
    <definedName name="D011.A" localSheetId="0">#REF!</definedName>
    <definedName name="D011.A" localSheetId="5">#REF!</definedName>
    <definedName name="D011.A" localSheetId="6">#REF!</definedName>
    <definedName name="D011.A">#REF!</definedName>
    <definedName name="D011.B" localSheetId="0">#REF!</definedName>
    <definedName name="D011.B" localSheetId="5">#REF!</definedName>
    <definedName name="D011.B" localSheetId="6">#REF!</definedName>
    <definedName name="D011.B">#REF!</definedName>
    <definedName name="D012.A" localSheetId="0">#REF!</definedName>
    <definedName name="D012.A" localSheetId="5">#REF!</definedName>
    <definedName name="D012.A" localSheetId="6">#REF!</definedName>
    <definedName name="D012.A">#REF!</definedName>
    <definedName name="D012.B" localSheetId="0">#REF!</definedName>
    <definedName name="D012.B" localSheetId="5">#REF!</definedName>
    <definedName name="D012.B" localSheetId="6">#REF!</definedName>
    <definedName name="D012.B">#REF!</definedName>
    <definedName name="D013.A" localSheetId="0">#REF!</definedName>
    <definedName name="D013.A" localSheetId="5">#REF!</definedName>
    <definedName name="D013.A" localSheetId="6">#REF!</definedName>
    <definedName name="D013.A">#REF!</definedName>
    <definedName name="D013.B" localSheetId="0">#REF!</definedName>
    <definedName name="D013.B" localSheetId="5">#REF!</definedName>
    <definedName name="D013.B" localSheetId="6">#REF!</definedName>
    <definedName name="D013.B">#REF!</definedName>
    <definedName name="D014.A" localSheetId="0">#REF!</definedName>
    <definedName name="D014.A" localSheetId="5">#REF!</definedName>
    <definedName name="D014.A" localSheetId="6">#REF!</definedName>
    <definedName name="D014.A">#REF!</definedName>
    <definedName name="D014.B" localSheetId="0">#REF!</definedName>
    <definedName name="D014.B" localSheetId="5">#REF!</definedName>
    <definedName name="D014.B" localSheetId="6">#REF!</definedName>
    <definedName name="D014.B">#REF!</definedName>
    <definedName name="D015.A" localSheetId="0">#REF!</definedName>
    <definedName name="D015.A" localSheetId="5">#REF!</definedName>
    <definedName name="D015.A" localSheetId="6">#REF!</definedName>
    <definedName name="D015.A">#REF!</definedName>
    <definedName name="D015.B" localSheetId="0">#REF!</definedName>
    <definedName name="D015.B" localSheetId="5">#REF!</definedName>
    <definedName name="D015.B" localSheetId="6">#REF!</definedName>
    <definedName name="D015.B">#REF!</definedName>
    <definedName name="D016.A" localSheetId="0">#REF!</definedName>
    <definedName name="D016.A" localSheetId="5">#REF!</definedName>
    <definedName name="D016.A" localSheetId="6">#REF!</definedName>
    <definedName name="D016.A">#REF!</definedName>
    <definedName name="D016.B" localSheetId="0">#REF!</definedName>
    <definedName name="D016.B" localSheetId="5">#REF!</definedName>
    <definedName name="D016.B" localSheetId="6">#REF!</definedName>
    <definedName name="D016.B">#REF!</definedName>
    <definedName name="D017.A" localSheetId="0">#REF!</definedName>
    <definedName name="D017.A" localSheetId="5">#REF!</definedName>
    <definedName name="D017.A" localSheetId="6">#REF!</definedName>
    <definedName name="D017.A">#REF!</definedName>
    <definedName name="D017.B" localSheetId="0">#REF!</definedName>
    <definedName name="D017.B" localSheetId="5">#REF!</definedName>
    <definedName name="D017.B" localSheetId="6">#REF!</definedName>
    <definedName name="D017.B">#REF!</definedName>
    <definedName name="D018.A" localSheetId="0">#REF!</definedName>
    <definedName name="D018.A" localSheetId="5">#REF!</definedName>
    <definedName name="D018.A" localSheetId="6">#REF!</definedName>
    <definedName name="D018.A">#REF!</definedName>
    <definedName name="D018.B" localSheetId="0">#REF!</definedName>
    <definedName name="D018.B" localSheetId="5">#REF!</definedName>
    <definedName name="D018.B" localSheetId="6">#REF!</definedName>
    <definedName name="D018.B">#REF!</definedName>
    <definedName name="D019.A" localSheetId="0">#REF!</definedName>
    <definedName name="D019.A" localSheetId="5">#REF!</definedName>
    <definedName name="D019.A" localSheetId="6">#REF!</definedName>
    <definedName name="D019.A">#REF!</definedName>
    <definedName name="D019.B" localSheetId="0">#REF!</definedName>
    <definedName name="D019.B" localSheetId="5">#REF!</definedName>
    <definedName name="D019.B" localSheetId="6">#REF!</definedName>
    <definedName name="D019.B">#REF!</definedName>
    <definedName name="D020.A" localSheetId="0">#REF!</definedName>
    <definedName name="D020.A" localSheetId="5">#REF!</definedName>
    <definedName name="D020.A" localSheetId="6">#REF!</definedName>
    <definedName name="D020.A">#REF!</definedName>
    <definedName name="D020.B" localSheetId="0">#REF!</definedName>
    <definedName name="D020.B" localSheetId="5">#REF!</definedName>
    <definedName name="D020.B" localSheetId="6">#REF!</definedName>
    <definedName name="D020.B">#REF!</definedName>
    <definedName name="D021.A" localSheetId="0">#REF!</definedName>
    <definedName name="D021.A" localSheetId="5">#REF!</definedName>
    <definedName name="D021.A" localSheetId="6">#REF!</definedName>
    <definedName name="D021.A">#REF!</definedName>
    <definedName name="D021.B" localSheetId="0">#REF!</definedName>
    <definedName name="D021.B" localSheetId="5">#REF!</definedName>
    <definedName name="D021.B" localSheetId="6">#REF!</definedName>
    <definedName name="D021.B">#REF!</definedName>
    <definedName name="D022.A" localSheetId="0">#REF!</definedName>
    <definedName name="D022.A" localSheetId="5">#REF!</definedName>
    <definedName name="D022.A" localSheetId="6">#REF!</definedName>
    <definedName name="D022.A">#REF!</definedName>
    <definedName name="D022.B" localSheetId="0">#REF!</definedName>
    <definedName name="D022.B" localSheetId="5">#REF!</definedName>
    <definedName name="D022.B" localSheetId="6">#REF!</definedName>
    <definedName name="D022.B">#REF!</definedName>
    <definedName name="D023.A" localSheetId="0">#REF!</definedName>
    <definedName name="D023.A" localSheetId="5">#REF!</definedName>
    <definedName name="D023.A" localSheetId="6">#REF!</definedName>
    <definedName name="D023.A">#REF!</definedName>
    <definedName name="D023.B" localSheetId="0">#REF!</definedName>
    <definedName name="D023.B" localSheetId="5">#REF!</definedName>
    <definedName name="D023.B" localSheetId="6">#REF!</definedName>
    <definedName name="D023.B">#REF!</definedName>
    <definedName name="D024.A" localSheetId="0">#REF!</definedName>
    <definedName name="D024.A" localSheetId="5">#REF!</definedName>
    <definedName name="D024.A" localSheetId="6">#REF!</definedName>
    <definedName name="D024.A">#REF!</definedName>
    <definedName name="D024.B" localSheetId="0">#REF!</definedName>
    <definedName name="D024.B" localSheetId="5">#REF!</definedName>
    <definedName name="D024.B" localSheetId="6">#REF!</definedName>
    <definedName name="D024.B">#REF!</definedName>
    <definedName name="D025.A" localSheetId="0">#REF!</definedName>
    <definedName name="D025.A" localSheetId="5">#REF!</definedName>
    <definedName name="D025.A" localSheetId="6">#REF!</definedName>
    <definedName name="D025.A">#REF!</definedName>
    <definedName name="D025.B" localSheetId="0">#REF!</definedName>
    <definedName name="D025.B" localSheetId="5">#REF!</definedName>
    <definedName name="D025.B" localSheetId="6">#REF!</definedName>
    <definedName name="D025.B">#REF!</definedName>
    <definedName name="D026.A" localSheetId="0">#REF!</definedName>
    <definedName name="D026.A" localSheetId="5">#REF!</definedName>
    <definedName name="D026.A" localSheetId="6">#REF!</definedName>
    <definedName name="D026.A">#REF!</definedName>
    <definedName name="D026.B" localSheetId="0">#REF!</definedName>
    <definedName name="D026.B" localSheetId="5">#REF!</definedName>
    <definedName name="D026.B" localSheetId="6">#REF!</definedName>
    <definedName name="D026.B">#REF!</definedName>
    <definedName name="D09.01" localSheetId="0">#REF!</definedName>
    <definedName name="D09.01" localSheetId="5">#REF!</definedName>
    <definedName name="D09.01" localSheetId="6">#REF!</definedName>
    <definedName name="D09.01">#REF!</definedName>
    <definedName name="D09.02" localSheetId="0">#REF!</definedName>
    <definedName name="D09.02" localSheetId="5">#REF!</definedName>
    <definedName name="D09.02" localSheetId="6">#REF!</definedName>
    <definedName name="D09.02">#REF!</definedName>
    <definedName name="D09.03" localSheetId="0">#REF!</definedName>
    <definedName name="D09.03" localSheetId="5">#REF!</definedName>
    <definedName name="D09.03" localSheetId="6">#REF!</definedName>
    <definedName name="D09.03">#REF!</definedName>
    <definedName name="D09.04" localSheetId="0">#REF!</definedName>
    <definedName name="D09.04" localSheetId="5">#REF!</definedName>
    <definedName name="D09.04" localSheetId="6">#REF!</definedName>
    <definedName name="D09.04">#REF!</definedName>
    <definedName name="D09.05" localSheetId="0">#REF!</definedName>
    <definedName name="D09.05" localSheetId="5">#REF!</definedName>
    <definedName name="D09.05" localSheetId="6">#REF!</definedName>
    <definedName name="D09.05">#REF!</definedName>
    <definedName name="D09.06" localSheetId="0">#REF!</definedName>
    <definedName name="D09.06" localSheetId="5">#REF!</definedName>
    <definedName name="D09.06" localSheetId="6">#REF!</definedName>
    <definedName name="D09.06">#REF!</definedName>
    <definedName name="D09.07" localSheetId="0">#REF!</definedName>
    <definedName name="D09.07" localSheetId="5">#REF!</definedName>
    <definedName name="D09.07" localSheetId="6">#REF!</definedName>
    <definedName name="D09.07">#REF!</definedName>
    <definedName name="D10.01" localSheetId="0">#REF!</definedName>
    <definedName name="D10.01" localSheetId="5">#REF!</definedName>
    <definedName name="D10.01" localSheetId="6">#REF!</definedName>
    <definedName name="D10.01">#REF!</definedName>
    <definedName name="D10.02" localSheetId="0">#REF!</definedName>
    <definedName name="D10.02" localSheetId="5">#REF!</definedName>
    <definedName name="D10.02" localSheetId="6">#REF!</definedName>
    <definedName name="D10.02">#REF!</definedName>
    <definedName name="D10.03" localSheetId="0">#REF!</definedName>
    <definedName name="D10.03" localSheetId="5">#REF!</definedName>
    <definedName name="D10.03" localSheetId="6">#REF!</definedName>
    <definedName name="D10.03">#REF!</definedName>
    <definedName name="D10.04" localSheetId="0">#REF!</definedName>
    <definedName name="D10.04" localSheetId="5">#REF!</definedName>
    <definedName name="D10.04" localSheetId="6">#REF!</definedName>
    <definedName name="D10.04">#REF!</definedName>
    <definedName name="D10.05" localSheetId="0">#REF!</definedName>
    <definedName name="D10.05" localSheetId="5">#REF!</definedName>
    <definedName name="D10.05" localSheetId="6">#REF!</definedName>
    <definedName name="D10.05">#REF!</definedName>
    <definedName name="D10.06" localSheetId="0">#REF!</definedName>
    <definedName name="D10.06" localSheetId="5">#REF!</definedName>
    <definedName name="D10.06" localSheetId="6">#REF!</definedName>
    <definedName name="D10.06">#REF!</definedName>
    <definedName name="D10.07" localSheetId="0">#REF!</definedName>
    <definedName name="D10.07" localSheetId="5">#REF!</definedName>
    <definedName name="D10.07" localSheetId="6">#REF!</definedName>
    <definedName name="D10.07">#REF!</definedName>
    <definedName name="D10.08" localSheetId="0">#REF!</definedName>
    <definedName name="D10.08" localSheetId="5">#REF!</definedName>
    <definedName name="D10.08" localSheetId="6">#REF!</definedName>
    <definedName name="D10.08">#REF!</definedName>
    <definedName name="D11.01" localSheetId="0">#REF!</definedName>
    <definedName name="D11.01" localSheetId="5">#REF!</definedName>
    <definedName name="D11.01" localSheetId="6">#REF!</definedName>
    <definedName name="D11.01">#REF!</definedName>
    <definedName name="D11.02" localSheetId="0">#REF!</definedName>
    <definedName name="D11.02" localSheetId="5">#REF!</definedName>
    <definedName name="D11.02" localSheetId="6">#REF!</definedName>
    <definedName name="D11.02">#REF!</definedName>
    <definedName name="DADA" localSheetId="0">[82]GENERAL!#REF!</definedName>
    <definedName name="DADA" localSheetId="5">[82]GENERAL!#REF!</definedName>
    <definedName name="DADA" localSheetId="6">[82]GENERAL!#REF!</definedName>
    <definedName name="DADA">[82]GENERAL!#REF!</definedName>
    <definedName name="dadsadsas" localSheetId="5">(#REF!,#REF!)</definedName>
    <definedName name="dadsadsas" localSheetId="6">(#REF!,#REF!)</definedName>
    <definedName name="dadsadsas">(#REF!,#REF!)</definedName>
    <definedName name="daftarkpp">'[83]Daf. KPP'!$A$2:$E$142</definedName>
    <definedName name="dak">[22]LAPORAN!$AD$1:$AL$56</definedName>
    <definedName name="DALL" localSheetId="0">#REF!</definedName>
    <definedName name="DALL" localSheetId="5">#REF!</definedName>
    <definedName name="DALL" localSheetId="6">#REF!</definedName>
    <definedName name="DALL">#REF!</definedName>
    <definedName name="DALLA">#N/A</definedName>
    <definedName name="DALLN">#N/A</definedName>
    <definedName name="DATA" localSheetId="0">#REF!</definedName>
    <definedName name="DATA" localSheetId="5">#REF!</definedName>
    <definedName name="DATA" localSheetId="6">#REF!</definedName>
    <definedName name="DATA">#REF!</definedName>
    <definedName name="DATA_WP" localSheetId="0">#REF!</definedName>
    <definedName name="DATA_WP" localSheetId="5">#REF!</definedName>
    <definedName name="DATA_WP" localSheetId="6">#REF!</definedName>
    <definedName name="DATA_WP">#REF!</definedName>
    <definedName name="DATA1" localSheetId="0">'[84]GL Account'!#REF!</definedName>
    <definedName name="DATA1" localSheetId="5">'[84]GL Account'!#REF!</definedName>
    <definedName name="DATA1" localSheetId="6">'[84]GL Account'!#REF!</definedName>
    <definedName name="DATA1">'[84]GL Account'!#REF!</definedName>
    <definedName name="DATA10" localSheetId="0">'[84]GL Account'!#REF!</definedName>
    <definedName name="DATA10" localSheetId="5">'[84]GL Account'!#REF!</definedName>
    <definedName name="DATA10" localSheetId="6">'[84]GL Account'!#REF!</definedName>
    <definedName name="DATA10">'[84]GL Account'!#REF!</definedName>
    <definedName name="DATA11" localSheetId="0">'[84]GL Account'!#REF!</definedName>
    <definedName name="DATA11" localSheetId="5">'[84]GL Account'!#REF!</definedName>
    <definedName name="DATA11" localSheetId="6">'[84]GL Account'!#REF!</definedName>
    <definedName name="DATA11">'[84]GL Account'!#REF!</definedName>
    <definedName name="DATA12" localSheetId="0">'[84]GL Account'!#REF!</definedName>
    <definedName name="DATA12" localSheetId="5">'[84]GL Account'!#REF!</definedName>
    <definedName name="DATA12" localSheetId="6">'[84]GL Account'!#REF!</definedName>
    <definedName name="DATA12">'[84]GL Account'!#REF!</definedName>
    <definedName name="DATA13" localSheetId="0">'[84]GL Account'!#REF!</definedName>
    <definedName name="DATA13" localSheetId="5">'[84]GL Account'!#REF!</definedName>
    <definedName name="DATA13" localSheetId="6">'[84]GL Account'!#REF!</definedName>
    <definedName name="DATA13">'[84]GL Account'!#REF!</definedName>
    <definedName name="DATA14" localSheetId="0">'[84]GL Account'!#REF!</definedName>
    <definedName name="DATA14" localSheetId="5">'[84]GL Account'!#REF!</definedName>
    <definedName name="DATA14" localSheetId="6">'[84]GL Account'!#REF!</definedName>
    <definedName name="DATA14">'[84]GL Account'!#REF!</definedName>
    <definedName name="DATA15" localSheetId="0">'[84]GL Account'!#REF!</definedName>
    <definedName name="DATA15" localSheetId="5">'[84]GL Account'!#REF!</definedName>
    <definedName name="DATA15" localSheetId="6">'[84]GL Account'!#REF!</definedName>
    <definedName name="DATA15">'[84]GL Account'!#REF!</definedName>
    <definedName name="DATA16" localSheetId="0">'[84]GL Account'!#REF!</definedName>
    <definedName name="DATA16" localSheetId="5">'[84]GL Account'!#REF!</definedName>
    <definedName name="DATA16" localSheetId="6">'[84]GL Account'!#REF!</definedName>
    <definedName name="DATA16">'[84]GL Account'!#REF!</definedName>
    <definedName name="DATA17" localSheetId="0">'[84]GL Account'!#REF!</definedName>
    <definedName name="DATA17" localSheetId="5">'[84]GL Account'!#REF!</definedName>
    <definedName name="DATA17" localSheetId="6">'[84]GL Account'!#REF!</definedName>
    <definedName name="DATA17">'[84]GL Account'!#REF!</definedName>
    <definedName name="DATA18" localSheetId="0">'[84]GL Account'!#REF!</definedName>
    <definedName name="DATA18" localSheetId="5">'[84]GL Account'!#REF!</definedName>
    <definedName name="DATA18" localSheetId="6">'[84]GL Account'!#REF!</definedName>
    <definedName name="DATA18">'[84]GL Account'!#REF!</definedName>
    <definedName name="DATA19" localSheetId="0">'[84]GL Account'!#REF!</definedName>
    <definedName name="DATA19" localSheetId="5">'[84]GL Account'!#REF!</definedName>
    <definedName name="DATA19" localSheetId="6">'[84]GL Account'!#REF!</definedName>
    <definedName name="DATA19">'[84]GL Account'!#REF!</definedName>
    <definedName name="DATA2" localSheetId="0">'[84]GL Account'!#REF!</definedName>
    <definedName name="DATA2" localSheetId="5">'[84]GL Account'!#REF!</definedName>
    <definedName name="DATA2" localSheetId="6">'[84]GL Account'!#REF!</definedName>
    <definedName name="DATA2">'[84]GL Account'!#REF!</definedName>
    <definedName name="DATA20" localSheetId="0">'[84]GL Account'!#REF!</definedName>
    <definedName name="DATA20" localSheetId="5">'[84]GL Account'!#REF!</definedName>
    <definedName name="DATA20" localSheetId="6">'[84]GL Account'!#REF!</definedName>
    <definedName name="DATA20">'[84]GL Account'!#REF!</definedName>
    <definedName name="DATA21" localSheetId="0">'[84]GL Account'!#REF!</definedName>
    <definedName name="DATA21" localSheetId="5">'[84]GL Account'!#REF!</definedName>
    <definedName name="DATA21" localSheetId="6">'[84]GL Account'!#REF!</definedName>
    <definedName name="DATA21">'[84]GL Account'!#REF!</definedName>
    <definedName name="DATA22" localSheetId="0">'[84]GL Account'!#REF!</definedName>
    <definedName name="DATA22" localSheetId="5">'[84]GL Account'!#REF!</definedName>
    <definedName name="DATA22" localSheetId="6">'[84]GL Account'!#REF!</definedName>
    <definedName name="DATA22">'[84]GL Account'!#REF!</definedName>
    <definedName name="DATA23" localSheetId="0">'[84]GL Account'!#REF!</definedName>
    <definedName name="DATA23" localSheetId="5">'[84]GL Account'!#REF!</definedName>
    <definedName name="DATA23" localSheetId="6">'[84]GL Account'!#REF!</definedName>
    <definedName name="DATA23">'[84]GL Account'!#REF!</definedName>
    <definedName name="DATA24" localSheetId="0">'[84]GL Account'!#REF!</definedName>
    <definedName name="DATA24" localSheetId="5">'[84]GL Account'!#REF!</definedName>
    <definedName name="DATA24" localSheetId="6">'[84]GL Account'!#REF!</definedName>
    <definedName name="DATA24">'[84]GL Account'!#REF!</definedName>
    <definedName name="DATA25" localSheetId="0">'[84]GL Account'!#REF!</definedName>
    <definedName name="DATA25" localSheetId="5">'[84]GL Account'!#REF!</definedName>
    <definedName name="DATA25" localSheetId="6">'[84]GL Account'!#REF!</definedName>
    <definedName name="DATA25">'[84]GL Account'!#REF!</definedName>
    <definedName name="DATA26" localSheetId="0">'[84]GL Account'!#REF!</definedName>
    <definedName name="DATA26" localSheetId="5">'[84]GL Account'!#REF!</definedName>
    <definedName name="DATA26" localSheetId="6">'[84]GL Account'!#REF!</definedName>
    <definedName name="DATA26">'[84]GL Account'!#REF!</definedName>
    <definedName name="DATA27" localSheetId="0">'[84]GL Account'!#REF!</definedName>
    <definedName name="DATA27" localSheetId="5">'[84]GL Account'!#REF!</definedName>
    <definedName name="DATA27" localSheetId="6">'[84]GL Account'!#REF!</definedName>
    <definedName name="DATA27">'[84]GL Account'!#REF!</definedName>
    <definedName name="DATA28" localSheetId="0">'[84]GL Account'!#REF!</definedName>
    <definedName name="DATA28" localSheetId="5">'[84]GL Account'!#REF!</definedName>
    <definedName name="DATA28" localSheetId="6">'[84]GL Account'!#REF!</definedName>
    <definedName name="DATA28">'[84]GL Account'!#REF!</definedName>
    <definedName name="DATA29" localSheetId="0">'[84]GL Account'!#REF!</definedName>
    <definedName name="DATA29" localSheetId="5">'[84]GL Account'!#REF!</definedName>
    <definedName name="DATA29" localSheetId="6">'[84]GL Account'!#REF!</definedName>
    <definedName name="DATA29">'[84]GL Account'!#REF!</definedName>
    <definedName name="DATA3" localSheetId="0">'[84]GL Account'!#REF!</definedName>
    <definedName name="DATA3" localSheetId="5">'[84]GL Account'!#REF!</definedName>
    <definedName name="DATA3" localSheetId="6">'[84]GL Account'!#REF!</definedName>
    <definedName name="DATA3">'[84]GL Account'!#REF!</definedName>
    <definedName name="DATA30" localSheetId="0">'[84]GL Account'!#REF!</definedName>
    <definedName name="DATA30" localSheetId="5">'[84]GL Account'!#REF!</definedName>
    <definedName name="DATA30" localSheetId="6">'[84]GL Account'!#REF!</definedName>
    <definedName name="DATA30">'[84]GL Account'!#REF!</definedName>
    <definedName name="DATA31" localSheetId="0">'[84]GL Account'!#REF!</definedName>
    <definedName name="DATA31" localSheetId="5">'[84]GL Account'!#REF!</definedName>
    <definedName name="DATA31" localSheetId="6">'[84]GL Account'!#REF!</definedName>
    <definedName name="DATA31">'[84]GL Account'!#REF!</definedName>
    <definedName name="DATA32" localSheetId="0">'[84]GL Account'!#REF!</definedName>
    <definedName name="DATA32" localSheetId="5">'[84]GL Account'!#REF!</definedName>
    <definedName name="DATA32" localSheetId="6">'[84]GL Account'!#REF!</definedName>
    <definedName name="DATA32">'[84]GL Account'!#REF!</definedName>
    <definedName name="DATA33" localSheetId="0">'[84]GL Account'!#REF!</definedName>
    <definedName name="DATA33" localSheetId="5">'[84]GL Account'!#REF!</definedName>
    <definedName name="DATA33" localSheetId="6">'[84]GL Account'!#REF!</definedName>
    <definedName name="DATA33">'[84]GL Account'!#REF!</definedName>
    <definedName name="DATA34" localSheetId="0">'[84]GL Account'!#REF!</definedName>
    <definedName name="DATA34" localSheetId="5">'[84]GL Account'!#REF!</definedName>
    <definedName name="DATA34" localSheetId="6">'[84]GL Account'!#REF!</definedName>
    <definedName name="DATA34">'[84]GL Account'!#REF!</definedName>
    <definedName name="DATA35" localSheetId="0">'[84]GL Account'!#REF!</definedName>
    <definedName name="DATA35" localSheetId="5">'[84]GL Account'!#REF!</definedName>
    <definedName name="DATA35" localSheetId="6">'[84]GL Account'!#REF!</definedName>
    <definedName name="DATA35">'[84]GL Account'!#REF!</definedName>
    <definedName name="DATA36" localSheetId="0">'[84]GL Account'!#REF!</definedName>
    <definedName name="DATA36" localSheetId="5">'[84]GL Account'!#REF!</definedName>
    <definedName name="DATA36" localSheetId="6">'[84]GL Account'!#REF!</definedName>
    <definedName name="DATA36">'[84]GL Account'!#REF!</definedName>
    <definedName name="DATA37" localSheetId="0">'[84]GL Account'!#REF!</definedName>
    <definedName name="DATA37" localSheetId="5">'[84]GL Account'!#REF!</definedName>
    <definedName name="DATA37" localSheetId="6">'[84]GL Account'!#REF!</definedName>
    <definedName name="DATA37">'[84]GL Account'!#REF!</definedName>
    <definedName name="DATA38" localSheetId="0">'[84]GL Account'!#REF!</definedName>
    <definedName name="DATA38" localSheetId="5">'[84]GL Account'!#REF!</definedName>
    <definedName name="DATA38" localSheetId="6">'[84]GL Account'!#REF!</definedName>
    <definedName name="DATA38">'[84]GL Account'!#REF!</definedName>
    <definedName name="DATA39" localSheetId="0">'[84]GL Account'!#REF!</definedName>
    <definedName name="DATA39" localSheetId="5">'[84]GL Account'!#REF!</definedName>
    <definedName name="DATA39" localSheetId="6">'[84]GL Account'!#REF!</definedName>
    <definedName name="DATA39">'[84]GL Account'!#REF!</definedName>
    <definedName name="DATA4" localSheetId="0">'[84]GL Account'!#REF!</definedName>
    <definedName name="DATA4" localSheetId="5">'[84]GL Account'!#REF!</definedName>
    <definedName name="DATA4" localSheetId="6">'[84]GL Account'!#REF!</definedName>
    <definedName name="DATA4">'[84]GL Account'!#REF!</definedName>
    <definedName name="DATA40" localSheetId="0">'[84]GL Account'!#REF!</definedName>
    <definedName name="DATA40" localSheetId="5">'[84]GL Account'!#REF!</definedName>
    <definedName name="DATA40" localSheetId="6">'[84]GL Account'!#REF!</definedName>
    <definedName name="DATA40">'[84]GL Account'!#REF!</definedName>
    <definedName name="DATA41" localSheetId="0">'[84]GL Account'!#REF!</definedName>
    <definedName name="DATA41" localSheetId="5">'[84]GL Account'!#REF!</definedName>
    <definedName name="DATA41" localSheetId="6">'[84]GL Account'!#REF!</definedName>
    <definedName name="DATA41">'[84]GL Account'!#REF!</definedName>
    <definedName name="DATA5" localSheetId="0">'[84]GL Account'!#REF!</definedName>
    <definedName name="DATA5" localSheetId="5">'[84]GL Account'!#REF!</definedName>
    <definedName name="DATA5" localSheetId="6">'[84]GL Account'!#REF!</definedName>
    <definedName name="DATA5">'[84]GL Account'!#REF!</definedName>
    <definedName name="DATA6" localSheetId="0">'[84]GL Account'!#REF!</definedName>
    <definedName name="DATA6" localSheetId="5">'[84]GL Account'!#REF!</definedName>
    <definedName name="DATA6" localSheetId="6">'[84]GL Account'!#REF!</definedName>
    <definedName name="DATA6">'[84]GL Account'!#REF!</definedName>
    <definedName name="DATA7" localSheetId="0">'[84]GL Account'!#REF!</definedName>
    <definedName name="DATA7" localSheetId="5">'[84]GL Account'!#REF!</definedName>
    <definedName name="DATA7" localSheetId="6">'[84]GL Account'!#REF!</definedName>
    <definedName name="DATA7">'[84]GL Account'!#REF!</definedName>
    <definedName name="DATA8" localSheetId="0">'[84]GL Account'!#REF!</definedName>
    <definedName name="DATA8" localSheetId="5">'[84]GL Account'!#REF!</definedName>
    <definedName name="DATA8" localSheetId="6">'[84]GL Account'!#REF!</definedName>
    <definedName name="DATA8">'[84]GL Account'!#REF!</definedName>
    <definedName name="DATA9" localSheetId="0">'[84]GL Account'!#REF!</definedName>
    <definedName name="DATA9" localSheetId="5">'[84]GL Account'!#REF!</definedName>
    <definedName name="DATA9" localSheetId="6">'[84]GL Account'!#REF!</definedName>
    <definedName name="DATA9">'[84]GL Account'!#REF!</definedName>
    <definedName name="_xlnm.Database" localSheetId="0">#REF!</definedName>
    <definedName name="_xlnm.Database" localSheetId="4">#REF!</definedName>
    <definedName name="_xlnm.Database" localSheetId="5">#REF!</definedName>
    <definedName name="_xlnm.Database" localSheetId="6">#REF!</definedName>
    <definedName name="_xlnm.Database">#REF!</definedName>
    <definedName name="Database_MI" localSheetId="0">#REF!</definedName>
    <definedName name="Database_MI" localSheetId="4">#REF!</definedName>
    <definedName name="Database_MI" localSheetId="5">#REF!</definedName>
    <definedName name="Database_MI" localSheetId="6">#REF!</definedName>
    <definedName name="Database_MI">#REF!</definedName>
    <definedName name="Date_Rec._FD" localSheetId="0">#REF!</definedName>
    <definedName name="Date_Rec._FD" localSheetId="5">#REF!</definedName>
    <definedName name="Date_Rec._FD" localSheetId="6">#REF!</definedName>
    <definedName name="Date_Rec._FD">#REF!</definedName>
    <definedName name="datefr" localSheetId="0">#REF!</definedName>
    <definedName name="datefr" localSheetId="5">#REF!</definedName>
    <definedName name="datefr" localSheetId="6">#REF!</definedName>
    <definedName name="datefr">#REF!</definedName>
    <definedName name="dateto" localSheetId="0">#REF!</definedName>
    <definedName name="dateto" localSheetId="5">#REF!</definedName>
    <definedName name="dateto" localSheetId="6">#REF!</definedName>
    <definedName name="dateto">#REF!</definedName>
    <definedName name="DATT">#N/A</definedName>
    <definedName name="DB" localSheetId="0">#REF!</definedName>
    <definedName name="DB" localSheetId="4">#REF!</definedName>
    <definedName name="DB" localSheetId="5">#REF!</definedName>
    <definedName name="DB" localSheetId="6">#REF!</definedName>
    <definedName name="DB">#REF!</definedName>
    <definedName name="dbase" localSheetId="0">#REF!</definedName>
    <definedName name="dbase" localSheetId="5">#REF!</definedName>
    <definedName name="dbase" localSheetId="6">#REF!</definedName>
    <definedName name="dbase">#REF!</definedName>
    <definedName name="DCUNEARNED1" localSheetId="0">#REF!</definedName>
    <definedName name="DCUNEARNED1" localSheetId="5">#REF!</definedName>
    <definedName name="DCUNEARNED1" localSheetId="6">#REF!</definedName>
    <definedName name="DCUNEARNED1">#REF!</definedName>
    <definedName name="DCUNEARNED2" localSheetId="0">#REF!</definedName>
    <definedName name="DCUNEARNED2" localSheetId="5">#REF!</definedName>
    <definedName name="DCUNEARNED2" localSheetId="6">#REF!</definedName>
    <definedName name="DCUNEARNED2">#REF!</definedName>
    <definedName name="DD" localSheetId="0">'[30]98-1-OVT'!#REF!</definedName>
    <definedName name="DD" localSheetId="5">'[30]98-1-OVT'!#REF!</definedName>
    <definedName name="DD" localSheetId="6">'[30]98-1-OVT'!#REF!</definedName>
    <definedName name="DD">'[30]98-1-OVT'!#REF!</definedName>
    <definedName name="ddshykdhfkads">'[85]USDt_FS(4)'!$B$40:$AD$80</definedName>
    <definedName name="Debet">'[42]412'!$J$525</definedName>
    <definedName name="Dec" localSheetId="0">#REF!</definedName>
    <definedName name="Dec" localSheetId="5">#REF!</definedName>
    <definedName name="Dec" localSheetId="6">#REF!</definedName>
    <definedName name="Dec">#REF!</definedName>
    <definedName name="DECC" localSheetId="0">#REF!</definedName>
    <definedName name="DECC" localSheetId="5">#REF!</definedName>
    <definedName name="DECC" localSheetId="6">#REF!</definedName>
    <definedName name="DECC">#REF!</definedName>
    <definedName name="DECP" localSheetId="0">#REF!</definedName>
    <definedName name="DECP" localSheetId="5">#REF!</definedName>
    <definedName name="DECP" localSheetId="6">#REF!</definedName>
    <definedName name="DECP">#REF!</definedName>
    <definedName name="Def" localSheetId="2" hidden="1">#REF!</definedName>
    <definedName name="Def" localSheetId="0" hidden="1">#REF!</definedName>
    <definedName name="Def" localSheetId="5" hidden="1">#REF!</definedName>
    <definedName name="Def" localSheetId="6" hidden="1">#REF!</definedName>
    <definedName name="Def" hidden="1">#REF!</definedName>
    <definedName name="deffered_tax" localSheetId="0">'[2]TB-WP'!#REF!</definedName>
    <definedName name="deffered_tax" localSheetId="4">'[11]TB-WP'!#REF!</definedName>
    <definedName name="deffered_tax" localSheetId="5">'[2]TB-WP'!#REF!</definedName>
    <definedName name="deffered_tax" localSheetId="6">'[2]TB-WP'!#REF!</definedName>
    <definedName name="deffered_tax">'[2]TB-WP'!#REF!</definedName>
    <definedName name="depaccfr" localSheetId="0">#REF!</definedName>
    <definedName name="depaccfr" localSheetId="5">#REF!</definedName>
    <definedName name="depaccfr" localSheetId="6">#REF!</definedName>
    <definedName name="depaccfr">#REF!</definedName>
    <definedName name="depaccto" localSheetId="0">#REF!</definedName>
    <definedName name="depaccto" localSheetId="5">#REF!</definedName>
    <definedName name="depaccto" localSheetId="6">#REF!</definedName>
    <definedName name="depaccto">#REF!</definedName>
    <definedName name="DEPRECIATION" localSheetId="0">#REF!</definedName>
    <definedName name="DEPRECIATION" localSheetId="5">#REF!</definedName>
    <definedName name="DEPRECIATION" localSheetId="6">#REF!</definedName>
    <definedName name="DEPRECIATION">#REF!</definedName>
    <definedName name="DEPRECIATION0" localSheetId="0">#REF!</definedName>
    <definedName name="DEPRECIATION0" localSheetId="5">#REF!</definedName>
    <definedName name="DEPRECIATION0" localSheetId="6">#REF!</definedName>
    <definedName name="DEPRECIATION0">#REF!</definedName>
    <definedName name="Depreop" localSheetId="0">#REF!</definedName>
    <definedName name="Depreop" localSheetId="5">#REF!</definedName>
    <definedName name="Depreop" localSheetId="6">#REF!</definedName>
    <definedName name="Depreop">#REF!</definedName>
    <definedName name="Deprepro" localSheetId="0">#REF!</definedName>
    <definedName name="Deprepro" localSheetId="5">#REF!</definedName>
    <definedName name="Deprepro" localSheetId="6">#REF!</definedName>
    <definedName name="Deprepro">#REF!</definedName>
    <definedName name="depresiasi" localSheetId="0">#REF!</definedName>
    <definedName name="depresiasi" localSheetId="5">#REF!</definedName>
    <definedName name="depresiasi" localSheetId="6">#REF!</definedName>
    <definedName name="depresiasi">#REF!</definedName>
    <definedName name="Destinasi" localSheetId="0">#REF!</definedName>
    <definedName name="Destinasi" localSheetId="5">#REF!</definedName>
    <definedName name="Destinasi" localSheetId="6">#REF!</definedName>
    <definedName name="Destinasi">#REF!</definedName>
    <definedName name="Det" localSheetId="0">#REF!</definedName>
    <definedName name="Det" localSheetId="5">#REF!</definedName>
    <definedName name="Det" localSheetId="6">#REF!</definedName>
    <definedName name="Det">#REF!</definedName>
    <definedName name="DF_GRID_1" localSheetId="0">#REF!</definedName>
    <definedName name="DF_GRID_1" localSheetId="5">#REF!</definedName>
    <definedName name="DF_GRID_1" localSheetId="6">#REF!</definedName>
    <definedName name="DF_GRID_1">#REF!</definedName>
    <definedName name="DF_NAVPANEL_13" localSheetId="0">#REF!</definedName>
    <definedName name="DF_NAVPANEL_13" localSheetId="5">#REF!</definedName>
    <definedName name="DF_NAVPANEL_13" localSheetId="6">#REF!</definedName>
    <definedName name="DF_NAVPANEL_13">#REF!</definedName>
    <definedName name="DF_NAVPANEL_18" localSheetId="0">#REF!</definedName>
    <definedName name="DF_NAVPANEL_18" localSheetId="5">#REF!</definedName>
    <definedName name="DF_NAVPANEL_18" localSheetId="6">#REF!</definedName>
    <definedName name="DF_NAVPANEL_18">#REF!</definedName>
    <definedName name="dfdfdfd" localSheetId="0">#REF!</definedName>
    <definedName name="dfdfdfd" localSheetId="5">#REF!</definedName>
    <definedName name="dfdfdfd" localSheetId="6">#REF!</definedName>
    <definedName name="dfdfdfd">#REF!</definedName>
    <definedName name="dffd">'[86]USDt_FS(4)'!$B$40:$AD$80</definedName>
    <definedName name="dfgdfdsfdf" localSheetId="0">#REF!</definedName>
    <definedName name="dfgdfdsfdf" localSheetId="5">#REF!</definedName>
    <definedName name="dfgdfdsfdf" localSheetId="6">#REF!</definedName>
    <definedName name="dfgdfdsfdf">#REF!</definedName>
    <definedName name="DFGFGSD" localSheetId="0">[82]GENERAL!#REF!</definedName>
    <definedName name="DFGFGSD" localSheetId="5">[82]GENERAL!#REF!</definedName>
    <definedName name="DFGFGSD" localSheetId="6">[82]GENERAL!#REF!</definedName>
    <definedName name="DFGFGSD">[82]GENERAL!#REF!</definedName>
    <definedName name="DFUNEARNED1" localSheetId="0">#REF!</definedName>
    <definedName name="DFUNEARNED1" localSheetId="5">#REF!</definedName>
    <definedName name="DFUNEARNED1" localSheetId="6">#REF!</definedName>
    <definedName name="DFUNEARNED1">#REF!</definedName>
    <definedName name="DFUNEARNED2" localSheetId="0">#REF!</definedName>
    <definedName name="DFUNEARNED2" localSheetId="5">#REF!</definedName>
    <definedName name="DFUNEARNED2" localSheetId="6">#REF!</definedName>
    <definedName name="DFUNEARNED2">#REF!</definedName>
    <definedName name="dgfgdgrre" localSheetId="2" hidden="1">#REF!</definedName>
    <definedName name="dgfgdgrre" localSheetId="0" hidden="1">#REF!</definedName>
    <definedName name="dgfgdgrre" localSheetId="5" hidden="1">#REF!</definedName>
    <definedName name="dgfgdgrre" localSheetId="6" hidden="1">#REF!</definedName>
    <definedName name="dgfgdgrre" hidden="1">#REF!</definedName>
    <definedName name="dgr" localSheetId="2" hidden="1">#REF!</definedName>
    <definedName name="dgr" localSheetId="0" hidden="1">#REF!</definedName>
    <definedName name="dgr" localSheetId="5" hidden="1">#REF!</definedName>
    <definedName name="dgr" localSheetId="6" hidden="1">#REF!</definedName>
    <definedName name="dgr" hidden="1">#REF!</definedName>
    <definedName name="dgsdsfg" localSheetId="0">#REF!</definedName>
    <definedName name="dgsdsfg" localSheetId="5">#REF!</definedName>
    <definedName name="dgsdsfg" localSheetId="6">#REF!</definedName>
    <definedName name="dgsdsfg">#REF!</definedName>
    <definedName name="dgsfg" localSheetId="0">#REF!</definedName>
    <definedName name="dgsfg" localSheetId="5">#REF!</definedName>
    <definedName name="dgsfg" localSheetId="6">#REF!</definedName>
    <definedName name="dgsfg">#REF!</definedName>
    <definedName name="dhkdfdfshkjdfuykds">[87]table!$A$3:$D$14</definedName>
    <definedName name="dida" localSheetId="0">#REF!</definedName>
    <definedName name="dida" localSheetId="5">#REF!</definedName>
    <definedName name="dida" localSheetId="6">#REF!</definedName>
    <definedName name="dida">#REF!</definedName>
    <definedName name="Dispatcher">[49]Table!$D$13:$D$15</definedName>
    <definedName name="Distribution1">[88]Company!$D$17</definedName>
    <definedName name="Distribution10">[88]Company!$D$26</definedName>
    <definedName name="Distribution11">[88]Company!$D$27</definedName>
    <definedName name="Distribution12">[88]Company!$D$28</definedName>
    <definedName name="Distribution13">[88]Company!$D$29</definedName>
    <definedName name="Distribution14">[88]Company!$D$30</definedName>
    <definedName name="Distribution15">[88]Company!$D$31</definedName>
    <definedName name="Distribution16">[88]Company!$D$32</definedName>
    <definedName name="Distribution17">[88]Company!$D$33</definedName>
    <definedName name="Distribution18">[88]Company!$D$34</definedName>
    <definedName name="Distribution19">[88]Company!$D$35</definedName>
    <definedName name="Distribution2">[88]Company!$D$18</definedName>
    <definedName name="Distribution20">[88]Company!$D$36</definedName>
    <definedName name="Distribution21">[88]Company!$D$37</definedName>
    <definedName name="Distribution22">[88]Company!$D$38</definedName>
    <definedName name="Distribution23">[88]Company!$D$39</definedName>
    <definedName name="Distribution24">[88]Company!$D$40</definedName>
    <definedName name="Distribution25">[88]Company!$D$41</definedName>
    <definedName name="Distribution26">[88]Company!$D$42</definedName>
    <definedName name="Distribution27">[88]Company!$D$43</definedName>
    <definedName name="Distribution3">[88]Company!$D$19</definedName>
    <definedName name="Distribution4">[88]Company!$D$20</definedName>
    <definedName name="Distribution5">[88]Company!$D$21</definedName>
    <definedName name="Distribution6">[88]Company!$D$22</definedName>
    <definedName name="Distribution7">[88]Company!$D$23</definedName>
    <definedName name="Distribution8">[88]Company!$D$24</definedName>
    <definedName name="Distribution9">[88]Company!$D$25</definedName>
    <definedName name="DIT">[7]LAPORAN!$I$169:$S$224</definedName>
    <definedName name="Dividend" localSheetId="0">#REF!</definedName>
    <definedName name="Dividend" localSheetId="5">#REF!</definedName>
    <definedName name="Dividend" localSheetId="6">#REF!</definedName>
    <definedName name="Dividend">#REF!</definedName>
    <definedName name="division" localSheetId="0">#REF!</definedName>
    <definedName name="division" localSheetId="5">#REF!</definedName>
    <definedName name="division" localSheetId="6">#REF!</definedName>
    <definedName name="division">#REF!</definedName>
    <definedName name="DivRate" localSheetId="0">#REF!</definedName>
    <definedName name="DivRate" localSheetId="5">#REF!</definedName>
    <definedName name="DivRate" localSheetId="6">#REF!</definedName>
    <definedName name="DivRate">#REF!</definedName>
    <definedName name="djeyjte">'[89]USDt_FS(4)'!$B$84:XEV$133</definedName>
    <definedName name="DKHSP" localSheetId="0">#REF!</definedName>
    <definedName name="DKHSP" localSheetId="5">#REF!</definedName>
    <definedName name="DKHSP" localSheetId="6">#REF!</definedName>
    <definedName name="DKHSP">#REF!</definedName>
    <definedName name="DM" localSheetId="0">#REF!</definedName>
    <definedName name="DM" localSheetId="5">#REF!</definedName>
    <definedName name="DM" localSheetId="6">#REF!</definedName>
    <definedName name="DM">#REF!</definedName>
    <definedName name="DOK.">#N/A</definedName>
    <definedName name="DPA_KRS" localSheetId="0">#REF!</definedName>
    <definedName name="DPA_KRS" localSheetId="4">#REF!</definedName>
    <definedName name="DPA_KRS" localSheetId="5">#REF!</definedName>
    <definedName name="DPA_KRS" localSheetId="6">#REF!</definedName>
    <definedName name="DPA_KRS">#REF!</definedName>
    <definedName name="DPA_RP" localSheetId="0">#REF!</definedName>
    <definedName name="DPA_RP" localSheetId="4">#REF!</definedName>
    <definedName name="DPA_RP" localSheetId="5">#REF!</definedName>
    <definedName name="DPA_RP" localSheetId="6">#REF!</definedName>
    <definedName name="DPA_RP">#REF!</definedName>
    <definedName name="DPA_USD" localSheetId="0">#REF!</definedName>
    <definedName name="DPA_USD" localSheetId="4">#REF!</definedName>
    <definedName name="DPA_USD" localSheetId="5">#REF!</definedName>
    <definedName name="DPA_USD" localSheetId="6">#REF!</definedName>
    <definedName name="DPA_USD">#REF!</definedName>
    <definedName name="dppppn_fis">#N/A</definedName>
    <definedName name="dppppn_wp">#N/A</definedName>
    <definedName name="DR_KRS" localSheetId="0">#REF!</definedName>
    <definedName name="DR_KRS" localSheetId="4">#REF!</definedName>
    <definedName name="DR_KRS" localSheetId="5">#REF!</definedName>
    <definedName name="DR_KRS" localSheetId="6">#REF!</definedName>
    <definedName name="DR_KRS">#REF!</definedName>
    <definedName name="DR_RP" localSheetId="0">#REF!</definedName>
    <definedName name="DR_RP" localSheetId="5">#REF!</definedName>
    <definedName name="DR_RP" localSheetId="6">#REF!</definedName>
    <definedName name="DR_RP">#REF!</definedName>
    <definedName name="DR_USD" localSheetId="0">#REF!</definedName>
    <definedName name="DR_USD" localSheetId="5">#REF!</definedName>
    <definedName name="DR_USD" localSheetId="6">#REF!</definedName>
    <definedName name="DR_USD">#REF!</definedName>
    <definedName name="Driver">[90]Master!$B$19:$B$486</definedName>
    <definedName name="dsa" localSheetId="2" hidden="1">{"'Income Statement'!$A$1:$L$32"}</definedName>
    <definedName name="dsa" localSheetId="0" hidden="1">{"'Income Statement'!$A$1:$L$32"}</definedName>
    <definedName name="dsa" hidden="1">{"'Income Statement'!$A$1:$L$32"}</definedName>
    <definedName name="dsf" localSheetId="0">#REF!</definedName>
    <definedName name="dsf" localSheetId="5">#REF!</definedName>
    <definedName name="dsf" localSheetId="6">#REF!</definedName>
    <definedName name="dsf">#REF!</definedName>
    <definedName name="dsfdsafdsa" localSheetId="2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dsfdsafdsa" localSheetId="0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dsfdsafdsa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DTrade" localSheetId="0">#REF!</definedName>
    <definedName name="DTrade" localSheetId="5">#REF!</definedName>
    <definedName name="DTrade" localSheetId="6">#REF!</definedName>
    <definedName name="DTrade">#REF!</definedName>
    <definedName name="DUA" localSheetId="0">#REF!</definedName>
    <definedName name="DUA" localSheetId="4">#REF!</definedName>
    <definedName name="DUA" localSheetId="5">#REF!</definedName>
    <definedName name="DUA" localSheetId="6">#REF!</definedName>
    <definedName name="DUA">#REF!</definedName>
    <definedName name="duaenam" localSheetId="0">#REF!</definedName>
    <definedName name="duaenam" localSheetId="5">#REF!</definedName>
    <definedName name="duaenam" localSheetId="6">#REF!</definedName>
    <definedName name="duaenam">#REF!</definedName>
    <definedName name="duasatu" localSheetId="0">#REF!</definedName>
    <definedName name="duasatu" localSheetId="5">#REF!</definedName>
    <definedName name="duasatu" localSheetId="6">#REF!</definedName>
    <definedName name="duasatu">#REF!</definedName>
    <definedName name="duatiga" localSheetId="0">#REF!</definedName>
    <definedName name="duatiga" localSheetId="5">#REF!</definedName>
    <definedName name="duatiga" localSheetId="6">#REF!</definedName>
    <definedName name="duatiga">#REF!</definedName>
    <definedName name="e" localSheetId="2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e" localSheetId="0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e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e_1_1_fis">#N/A</definedName>
    <definedName name="e_1_1_wp">#N/A</definedName>
    <definedName name="e_1_2_fis">#N/A</definedName>
    <definedName name="e_1_2_wp">#N/A</definedName>
    <definedName name="EBT" localSheetId="0">#REF!</definedName>
    <definedName name="EBT" localSheetId="5">#REF!</definedName>
    <definedName name="EBT" localSheetId="6">#REF!</definedName>
    <definedName name="EBT">#REF!</definedName>
    <definedName name="Ekspor" localSheetId="0">#REF!</definedName>
    <definedName name="Ekspor" localSheetId="5">#REF!</definedName>
    <definedName name="Ekspor" localSheetId="6">#REF!</definedName>
    <definedName name="Ekspor">#REF!</definedName>
    <definedName name="empat" localSheetId="0">#REF!</definedName>
    <definedName name="empat" localSheetId="5">#REF!</definedName>
    <definedName name="empat" localSheetId="6">#REF!</definedName>
    <definedName name="empat">#REF!</definedName>
    <definedName name="ENG">NA()</definedName>
    <definedName name="EPMWorkbookOptions_1" hidden="1">"PS0AAB|LCAAAAAAABADtvQdgHEmWJSYvbcp7f0r1StfgdKEIgGATJNiQQBDswYjN5pLsHWlHIymrKoHKZVZlXWYWQMztnbz33nvvvffee||997o7nU4n99//P1xmZAFs9s5K2smeIYCqyB8/fnwfPyIe/x7vFmV6mddNUS0/|2h3vPNRmi|n1axYXnz20bo939799KPf4|g3Th5/t6rfTqrq7Zerlpo2Kb23bB69a4rPPpq37erR3btXV1fjq3v"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"jqr64u7ezs3v39/7i|evpPF9k28WyabPlNP/IvjW7|a2PqNc0fXxSLZf5FH2|qU7WdZ0v258s8iv|Mvj6adZm|il9/iJb5NKb7anNF6t1XXBXXzV5/bLOz3OCN83HhNBHR7//s5df/P5PXp68|O7uzu//PX1pcrWqZ48OdvZ27jbZ6u5kNb37/d//e78XUaAqi1nWFPTXifkLaNDf51nZ5N9/fBc4OIyOV6uymGYe9W6NmYERQvE|1gEfBZh0EB"</definedName>
    <definedName name="EPMWorkbookOptions_3" hidden="1">"ByOQqmdwe/|nYxm|XLp8UiXzaM7nBTh2oTtKFWr|fVlYVxUpVVfcSUeXw38s2md3kYsVd749M3iQxt/q59ll1WddESZt7Lve9u8f6zom7ao7ZeD8CQ7zuALJbDJLptK7/dV8viF61zHvnxycmXX7148/hu7MtNMITkJNr3d3bvHex6AGKTwe9|Wc/y|mjn8V35JQq9WZXZ9cu6WuV1e320e//T||f55Hz7/qez/e39vfOH2wf383x7J8v39meTB"</definedName>
    <definedName name="EPMWorkbookOptions_4" hidden="1">"/sPJvfQc/hWBPDzrGlf5yVJeT77Il9MSFlFmoVsGW1ATeR9j0zfUyJ|f/y9l8evTl|8|fYu/frkNYlvr|0AzG8XeZ3V0/m1a5qSXny0LMrPPgLTfNSRH|/dyMzd7t3HdzeP9vHd25DNm/mfPS796unZmzevjs|ef31G3dnZP9jZuT2f7v7/kE8tGUNWlc|/fHP8/P/rLPtNU|bLV2efn734/z5d/t8jyifHb04///LV7/O1Bfnevfv39/f3by/I"</definedName>
    <definedName name="EPMWorkbookOptions_5" hidden="1">"e///E2RDROJQiO/Jm69|xKJhs1u1GmBREv6zN7/P8zdf39h8|mB35|Dgwe159N7//3jUUjHUqCdfPD/58sXrL/8/z6/fMF3u7ezs/IgkAUnu/4gkPS759Eck6ZLkwf/3SfL/Htv37PmX3/3aZo9irE8/vXfvPYKs/f//2T1QMOTQl88fPvz/Ood|c9R49iNieMT4/V98|eL0/|v0|H|P|jp78eb01cmXX1|DvXc68/7//zSYErGTI3r|/Pc3X/y"</definedName>
    <definedName name="EPMWorkbookOptions_6" hidden="1">"IXb1mt2o1wK6vXr45|eoV0fjk6|dD3p9lP/3/H8t6hJScyNnTV/9fZ9NvjBbPT/6/Tor/90js65MvX57|EGX1wf/7ZfV9|ZNJ2EsK/f7y8f/HGfXrymyEJq9/5Bp|o5L75uyLH6bgHryH4Gb5w8nDh/sPt2eTyb3t/fu7B9uT8wfZdvbp7N7k4b37e3vns/8XGFlQMOTRvZ3d||Odvf|vM|k3SpD98e6PCNLhkN0fEcQjyL0fcUhXZP6/zyH/7z"</definedName>
    <definedName name="EPMWorkbookOptions_7" hidden="1">"F0X5wev/7q1enrH6Kxe/gexu7/IxGloaKEUL/Pm6c/YtD3aRRgE2/0|O7xalUW06wlOPbz4FPTnKBVyyUhTp89zdqMP/Y/fFN1B//4VX5e5838y|WXq3x5dJ6VTf74bvghtzsp86wG0C|Xr7PL3LTsfsxtv1vVbydV9ZbYsmUymtb9L8L2VzOeNdfwy5WM7/8BOh/YEz0tAAA="</definedName>
    <definedName name="EquCost" localSheetId="0">#REF!</definedName>
    <definedName name="EquCost" localSheetId="5">#REF!</definedName>
    <definedName name="EquCost" localSheetId="6">#REF!</definedName>
    <definedName name="EquCost">#REF!</definedName>
    <definedName name="EquDep" localSheetId="0">#REF!</definedName>
    <definedName name="EquDep" localSheetId="5">#REF!</definedName>
    <definedName name="EquDep" localSheetId="6">#REF!</definedName>
    <definedName name="EquDep">#REF!</definedName>
    <definedName name="Equipment_List">'[65]^Direct_Resource_Model'!$Q$20:$Q$29</definedName>
    <definedName name="er" localSheetId="2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er" localSheetId="0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er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erc" localSheetId="0">[72]Piping!#REF!</definedName>
    <definedName name="erc" localSheetId="4">[91]Piping!$AC$3</definedName>
    <definedName name="erc" localSheetId="5">[72]Piping!#REF!</definedName>
    <definedName name="erc" localSheetId="6">[72]Piping!#REF!</definedName>
    <definedName name="erc">[72]Piping!#REF!</definedName>
    <definedName name="erec" localSheetId="0">[79]Piping!#REF!</definedName>
    <definedName name="erec" localSheetId="4">[80]Piping!#REF!</definedName>
    <definedName name="erec" localSheetId="5">[79]Piping!#REF!</definedName>
    <definedName name="erec" localSheetId="6">[79]Piping!#REF!</definedName>
    <definedName name="erec">[79]Piping!#REF!</definedName>
    <definedName name="erna" localSheetId="2" hidden="1">#REF!</definedName>
    <definedName name="erna" localSheetId="0" hidden="1">#REF!</definedName>
    <definedName name="erna" localSheetId="5" hidden="1">#REF!</definedName>
    <definedName name="erna" localSheetId="6" hidden="1">#REF!</definedName>
    <definedName name="erna" hidden="1">#REF!</definedName>
    <definedName name="eroro">#N/A</definedName>
    <definedName name="ertert" localSheetId="2" hidden="1">{"'Income Statement'!$A$1:$L$32"}</definedName>
    <definedName name="ertert" localSheetId="0" hidden="1">{"'Income Statement'!$A$1:$L$32"}</definedName>
    <definedName name="ertert" hidden="1">{"'Income Statement'!$A$1:$L$32"}</definedName>
    <definedName name="Exc." localSheetId="0">#REF!</definedName>
    <definedName name="Exc." localSheetId="5">#REF!</definedName>
    <definedName name="Exc." localSheetId="6">#REF!</definedName>
    <definedName name="Exc.">#REF!</definedName>
    <definedName name="Excel_BuiltIn__FilterDatabase_14" localSheetId="0">[92]Sheet1!#REF!</definedName>
    <definedName name="Excel_BuiltIn__FilterDatabase_14" localSheetId="5">[92]Sheet1!#REF!</definedName>
    <definedName name="Excel_BuiltIn__FilterDatabase_14" localSheetId="6">[92]Sheet1!#REF!</definedName>
    <definedName name="Excel_BuiltIn__FilterDatabase_14">[92]Sheet1!#REF!</definedName>
    <definedName name="Excel_BuiltIn__FilterDatabase_15_1" localSheetId="0">#REF!</definedName>
    <definedName name="Excel_BuiltIn__FilterDatabase_15_1" localSheetId="5">#REF!</definedName>
    <definedName name="Excel_BuiltIn__FilterDatabase_15_1" localSheetId="6">#REF!</definedName>
    <definedName name="Excel_BuiltIn__FilterDatabase_15_1">#REF!</definedName>
    <definedName name="Excel_BuiltIn__FilterDatabase_15_1_12" localSheetId="0">#REF!</definedName>
    <definedName name="Excel_BuiltIn__FilterDatabase_15_1_12" localSheetId="5">#REF!</definedName>
    <definedName name="Excel_BuiltIn__FilterDatabase_15_1_12" localSheetId="6">#REF!</definedName>
    <definedName name="Excel_BuiltIn__FilterDatabase_15_1_12">#REF!</definedName>
    <definedName name="Excel_BuiltIn__FilterDatabase_3" localSheetId="0">#REF!</definedName>
    <definedName name="Excel_BuiltIn__FilterDatabase_3" localSheetId="5">#REF!</definedName>
    <definedName name="Excel_BuiltIn__FilterDatabase_3" localSheetId="6">#REF!</definedName>
    <definedName name="Excel_BuiltIn__FilterDatabase_3">#REF!</definedName>
    <definedName name="Excel_BuiltIn__FilterDatabase_3_1" localSheetId="0">#REF!</definedName>
    <definedName name="Excel_BuiltIn__FilterDatabase_3_1" localSheetId="5">#REF!</definedName>
    <definedName name="Excel_BuiltIn__FilterDatabase_3_1" localSheetId="6">#REF!</definedName>
    <definedName name="Excel_BuiltIn__FilterDatabase_3_1">#REF!</definedName>
    <definedName name="Excel_BuiltIn__FilterDatabase_3_1_1" localSheetId="0">#REF!</definedName>
    <definedName name="Excel_BuiltIn__FilterDatabase_3_1_1" localSheetId="5">#REF!</definedName>
    <definedName name="Excel_BuiltIn__FilterDatabase_3_1_1" localSheetId="6">#REF!</definedName>
    <definedName name="Excel_BuiltIn__FilterDatabase_3_1_1">#REF!</definedName>
    <definedName name="Excel_BuiltIn__FilterDatabase_3_1_1_1" localSheetId="0">#REF!</definedName>
    <definedName name="Excel_BuiltIn__FilterDatabase_3_1_1_1" localSheetId="5">#REF!</definedName>
    <definedName name="Excel_BuiltIn__FilterDatabase_3_1_1_1" localSheetId="6">#REF!</definedName>
    <definedName name="Excel_BuiltIn__FilterDatabase_3_1_1_1">#REF!</definedName>
    <definedName name="Excel_BuiltIn__FilterDatabase_3_1_1_1_12" localSheetId="0">#REF!</definedName>
    <definedName name="Excel_BuiltIn__FilterDatabase_3_1_1_1_12" localSheetId="5">#REF!</definedName>
    <definedName name="Excel_BuiltIn__FilterDatabase_3_1_1_1_12" localSheetId="6">#REF!</definedName>
    <definedName name="Excel_BuiltIn__FilterDatabase_3_1_1_1_12">#REF!</definedName>
    <definedName name="Excel_BuiltIn__FilterDatabase_3_1_1_12" localSheetId="0">#REF!</definedName>
    <definedName name="Excel_BuiltIn__FilterDatabase_3_1_1_12" localSheetId="5">#REF!</definedName>
    <definedName name="Excel_BuiltIn__FilterDatabase_3_1_1_12" localSheetId="6">#REF!</definedName>
    <definedName name="Excel_BuiltIn__FilterDatabase_3_1_1_12">#REF!</definedName>
    <definedName name="Excel_BuiltIn__FilterDatabase_3_1_12" localSheetId="0">#REF!</definedName>
    <definedName name="Excel_BuiltIn__FilterDatabase_3_1_12" localSheetId="5">#REF!</definedName>
    <definedName name="Excel_BuiltIn__FilterDatabase_3_1_12" localSheetId="6">#REF!</definedName>
    <definedName name="Excel_BuiltIn__FilterDatabase_3_1_12">#REF!</definedName>
    <definedName name="Excel_BuiltIn__FilterDatabase_3_1_4" localSheetId="0">#REF!</definedName>
    <definedName name="Excel_BuiltIn__FilterDatabase_3_1_4" localSheetId="5">#REF!</definedName>
    <definedName name="Excel_BuiltIn__FilterDatabase_3_1_4" localSheetId="6">#REF!</definedName>
    <definedName name="Excel_BuiltIn__FilterDatabase_3_1_4">#REF!</definedName>
    <definedName name="Excel_BuiltIn__FilterDatabase_3_1_4_12" localSheetId="0">#REF!</definedName>
    <definedName name="Excel_BuiltIn__FilterDatabase_3_1_4_12" localSheetId="5">#REF!</definedName>
    <definedName name="Excel_BuiltIn__FilterDatabase_3_1_4_12" localSheetId="6">#REF!</definedName>
    <definedName name="Excel_BuiltIn__FilterDatabase_3_1_4_12">#REF!</definedName>
    <definedName name="Excel_BuiltIn__FilterDatabase_3_4" localSheetId="0">#REF!</definedName>
    <definedName name="Excel_BuiltIn__FilterDatabase_3_4" localSheetId="5">#REF!</definedName>
    <definedName name="Excel_BuiltIn__FilterDatabase_3_4" localSheetId="6">#REF!</definedName>
    <definedName name="Excel_BuiltIn__FilterDatabase_3_4">#REF!</definedName>
    <definedName name="Excel_BuiltIn__FilterDatabase_3_4_12" localSheetId="0">#REF!</definedName>
    <definedName name="Excel_BuiltIn__FilterDatabase_3_4_12" localSheetId="5">#REF!</definedName>
    <definedName name="Excel_BuiltIn__FilterDatabase_3_4_12" localSheetId="6">#REF!</definedName>
    <definedName name="Excel_BuiltIn__FilterDatabase_3_4_12">#REF!</definedName>
    <definedName name="Excel_BuiltIn__FilterDatabase_4_1_9" localSheetId="0">#REF!</definedName>
    <definedName name="Excel_BuiltIn__FilterDatabase_4_1_9" localSheetId="5">#REF!</definedName>
    <definedName name="Excel_BuiltIn__FilterDatabase_4_1_9" localSheetId="6">#REF!</definedName>
    <definedName name="Excel_BuiltIn__FilterDatabase_4_1_9">#REF!</definedName>
    <definedName name="Excel_BuiltIn__FilterDatabase_5" localSheetId="0">#REF!</definedName>
    <definedName name="Excel_BuiltIn__FilterDatabase_5" localSheetId="5">#REF!</definedName>
    <definedName name="Excel_BuiltIn__FilterDatabase_5" localSheetId="6">#REF!</definedName>
    <definedName name="Excel_BuiltIn__FilterDatabase_5">#REF!</definedName>
    <definedName name="Excel_BuiltIn__FilterDatabase_5_1" localSheetId="0">#REF!</definedName>
    <definedName name="Excel_BuiltIn__FilterDatabase_5_1" localSheetId="5">#REF!</definedName>
    <definedName name="Excel_BuiltIn__FilterDatabase_5_1" localSheetId="6">#REF!</definedName>
    <definedName name="Excel_BuiltIn__FilterDatabase_5_1">#REF!</definedName>
    <definedName name="Excel_BuiltIn__FilterDatabase_5_1_1" localSheetId="0">#REF!</definedName>
    <definedName name="Excel_BuiltIn__FilterDatabase_5_1_1" localSheetId="5">#REF!</definedName>
    <definedName name="Excel_BuiltIn__FilterDatabase_5_1_1" localSheetId="6">#REF!</definedName>
    <definedName name="Excel_BuiltIn__FilterDatabase_5_1_1">#REF!</definedName>
    <definedName name="Excel_BuiltIn__FilterDatabase_5_1_1_12" localSheetId="0">#REF!</definedName>
    <definedName name="Excel_BuiltIn__FilterDatabase_5_1_1_12" localSheetId="5">#REF!</definedName>
    <definedName name="Excel_BuiltIn__FilterDatabase_5_1_1_12" localSheetId="6">#REF!</definedName>
    <definedName name="Excel_BuiltIn__FilterDatabase_5_1_1_12">#REF!</definedName>
    <definedName name="Excel_BuiltIn__FilterDatabase_5_1_1_2" localSheetId="0">#REF!</definedName>
    <definedName name="Excel_BuiltIn__FilterDatabase_5_1_1_2" localSheetId="5">#REF!</definedName>
    <definedName name="Excel_BuiltIn__FilterDatabase_5_1_1_2" localSheetId="6">#REF!</definedName>
    <definedName name="Excel_BuiltIn__FilterDatabase_5_1_1_2">#REF!</definedName>
    <definedName name="Excel_BuiltIn__FilterDatabase_5_1_1_2_12" localSheetId="0">#REF!</definedName>
    <definedName name="Excel_BuiltIn__FilterDatabase_5_1_1_2_12" localSheetId="5">#REF!</definedName>
    <definedName name="Excel_BuiltIn__FilterDatabase_5_1_1_2_12" localSheetId="6">#REF!</definedName>
    <definedName name="Excel_BuiltIn__FilterDatabase_5_1_1_2_12">#REF!</definedName>
    <definedName name="Excel_BuiltIn__FilterDatabase_5_1_1_4" localSheetId="0">#REF!</definedName>
    <definedName name="Excel_BuiltIn__FilterDatabase_5_1_1_4" localSheetId="5">#REF!</definedName>
    <definedName name="Excel_BuiltIn__FilterDatabase_5_1_1_4" localSheetId="6">#REF!</definedName>
    <definedName name="Excel_BuiltIn__FilterDatabase_5_1_1_4">#REF!</definedName>
    <definedName name="Excel_BuiltIn__FilterDatabase_5_1_1_4_12" localSheetId="0">#REF!</definedName>
    <definedName name="Excel_BuiltIn__FilterDatabase_5_1_1_4_12" localSheetId="5">#REF!</definedName>
    <definedName name="Excel_BuiltIn__FilterDatabase_5_1_1_4_12" localSheetId="6">#REF!</definedName>
    <definedName name="Excel_BuiltIn__FilterDatabase_5_1_1_4_12">#REF!</definedName>
    <definedName name="Excel_BuiltIn__FilterDatabase_5_1_1_8" localSheetId="0">#REF!</definedName>
    <definedName name="Excel_BuiltIn__FilterDatabase_5_1_1_8" localSheetId="5">#REF!</definedName>
    <definedName name="Excel_BuiltIn__FilterDatabase_5_1_1_8" localSheetId="6">#REF!</definedName>
    <definedName name="Excel_BuiltIn__FilterDatabase_5_1_1_8">#REF!</definedName>
    <definedName name="Excel_BuiltIn__FilterDatabase_5_1_1_8_12" localSheetId="0">#REF!</definedName>
    <definedName name="Excel_BuiltIn__FilterDatabase_5_1_1_8_12" localSheetId="5">#REF!</definedName>
    <definedName name="Excel_BuiltIn__FilterDatabase_5_1_1_8_12" localSheetId="6">#REF!</definedName>
    <definedName name="Excel_BuiltIn__FilterDatabase_5_1_1_8_12">#REF!</definedName>
    <definedName name="Excel_BuiltIn__FilterDatabase_5_1_12" localSheetId="0">#REF!</definedName>
    <definedName name="Excel_BuiltIn__FilterDatabase_5_1_12" localSheetId="5">#REF!</definedName>
    <definedName name="Excel_BuiltIn__FilterDatabase_5_1_12" localSheetId="6">#REF!</definedName>
    <definedName name="Excel_BuiltIn__FilterDatabase_5_1_12">#REF!</definedName>
    <definedName name="Excel_BuiltIn__FilterDatabase_5_1_2" localSheetId="0">#REF!</definedName>
    <definedName name="Excel_BuiltIn__FilterDatabase_5_1_2" localSheetId="5">#REF!</definedName>
    <definedName name="Excel_BuiltIn__FilterDatabase_5_1_2" localSheetId="6">#REF!</definedName>
    <definedName name="Excel_BuiltIn__FilterDatabase_5_1_2">#REF!</definedName>
    <definedName name="Excel_BuiltIn__FilterDatabase_5_1_2_12" localSheetId="0">#REF!</definedName>
    <definedName name="Excel_BuiltIn__FilterDatabase_5_1_2_12" localSheetId="5">#REF!</definedName>
    <definedName name="Excel_BuiltIn__FilterDatabase_5_1_2_12" localSheetId="6">#REF!</definedName>
    <definedName name="Excel_BuiltIn__FilterDatabase_5_1_2_12">#REF!</definedName>
    <definedName name="Excel_BuiltIn__FilterDatabase_5_1_4" localSheetId="0">#REF!</definedName>
    <definedName name="Excel_BuiltIn__FilterDatabase_5_1_4" localSheetId="5">#REF!</definedName>
    <definedName name="Excel_BuiltIn__FilterDatabase_5_1_4" localSheetId="6">#REF!</definedName>
    <definedName name="Excel_BuiltIn__FilterDatabase_5_1_4">#REF!</definedName>
    <definedName name="Excel_BuiltIn__FilterDatabase_5_1_4_12" localSheetId="0">#REF!</definedName>
    <definedName name="Excel_BuiltIn__FilterDatabase_5_1_4_12" localSheetId="5">#REF!</definedName>
    <definedName name="Excel_BuiltIn__FilterDatabase_5_1_4_12" localSheetId="6">#REF!</definedName>
    <definedName name="Excel_BuiltIn__FilterDatabase_5_1_4_12">#REF!</definedName>
    <definedName name="Excel_BuiltIn__FilterDatabase_5_1_8" localSheetId="0">#REF!</definedName>
    <definedName name="Excel_BuiltIn__FilterDatabase_5_1_8" localSheetId="5">#REF!</definedName>
    <definedName name="Excel_BuiltIn__FilterDatabase_5_1_8" localSheetId="6">#REF!</definedName>
    <definedName name="Excel_BuiltIn__FilterDatabase_5_1_8">#REF!</definedName>
    <definedName name="Excel_BuiltIn__FilterDatabase_5_1_8_12" localSheetId="0">#REF!</definedName>
    <definedName name="Excel_BuiltIn__FilterDatabase_5_1_8_12" localSheetId="5">#REF!</definedName>
    <definedName name="Excel_BuiltIn__FilterDatabase_5_1_8_12" localSheetId="6">#REF!</definedName>
    <definedName name="Excel_BuiltIn__FilterDatabase_5_1_8_12">#REF!</definedName>
    <definedName name="Excel_BuiltIn__FilterDatabase_6_1" localSheetId="0">#REF!</definedName>
    <definedName name="Excel_BuiltIn__FilterDatabase_6_1" localSheetId="5">#REF!</definedName>
    <definedName name="Excel_BuiltIn__FilterDatabase_6_1" localSheetId="6">#REF!</definedName>
    <definedName name="Excel_BuiltIn__FilterDatabase_6_1">#REF!</definedName>
    <definedName name="Excel_BuiltIn__FilterDatabase_6_1_1" localSheetId="0">#REF!</definedName>
    <definedName name="Excel_BuiltIn__FilterDatabase_6_1_1" localSheetId="5">#REF!</definedName>
    <definedName name="Excel_BuiltIn__FilterDatabase_6_1_1" localSheetId="6">#REF!</definedName>
    <definedName name="Excel_BuiltIn__FilterDatabase_6_1_1">#REF!</definedName>
    <definedName name="Excel_BuiltIn__FilterDatabase_6_1_12" localSheetId="0">#REF!</definedName>
    <definedName name="Excel_BuiltIn__FilterDatabase_6_1_12" localSheetId="5">#REF!</definedName>
    <definedName name="Excel_BuiltIn__FilterDatabase_6_1_12" localSheetId="6">#REF!</definedName>
    <definedName name="Excel_BuiltIn__FilterDatabase_6_1_12">#REF!</definedName>
    <definedName name="Excel_BuiltIn__FilterDatabase_6_1_2" localSheetId="0">#REF!</definedName>
    <definedName name="Excel_BuiltIn__FilterDatabase_6_1_2" localSheetId="5">#REF!</definedName>
    <definedName name="Excel_BuiltIn__FilterDatabase_6_1_2" localSheetId="6">#REF!</definedName>
    <definedName name="Excel_BuiltIn__FilterDatabase_6_1_2">#REF!</definedName>
    <definedName name="Excel_BuiltIn__FilterDatabase_6_1_3" localSheetId="0">#REF!</definedName>
    <definedName name="Excel_BuiltIn__FilterDatabase_6_1_3" localSheetId="5">#REF!</definedName>
    <definedName name="Excel_BuiltIn__FilterDatabase_6_1_3" localSheetId="6">#REF!</definedName>
    <definedName name="Excel_BuiltIn__FilterDatabase_6_1_3">#REF!</definedName>
    <definedName name="Excel_BuiltIn__FilterDatabase_7" localSheetId="0">#REF!</definedName>
    <definedName name="Excel_BuiltIn__FilterDatabase_7" localSheetId="5">#REF!</definedName>
    <definedName name="Excel_BuiltIn__FilterDatabase_7" localSheetId="6">#REF!</definedName>
    <definedName name="Excel_BuiltIn__FilterDatabase_7">#REF!</definedName>
    <definedName name="Excel_BuiltIn__FilterDatabase_8">[93]Items!$A$1:$A$11897</definedName>
    <definedName name="Excel_BuiltIn__FilterDatabase_8_1">[94]Items!$A$1:$A$11897</definedName>
    <definedName name="Excel_BuiltIn__FilterDatabase_8_3">[95]Items!$A$1:$A$11897</definedName>
    <definedName name="Excel_BuiltIn__FilterDatabase_8_4">[95]Items!$A$1:$A$11897</definedName>
    <definedName name="Excel_BuiltIn__FilterDatabase_8_5">[95]Items!$A$1:$A$11897</definedName>
    <definedName name="Excel_BuiltIn__FilterDatabase_8_6">[95]Items!$A$1:$A$11897</definedName>
    <definedName name="Excel_BuiltIn__FilterDatabase_8_7">[95]Items!$A$1:$A$11897</definedName>
    <definedName name="Excel_BuiltIn__FilterDatabase_8_8">[95]Items!$A$1:$A$11897</definedName>
    <definedName name="Excel_BuiltIn__FilterDatabase_9" localSheetId="0">#REF!</definedName>
    <definedName name="Excel_BuiltIn__FilterDatabase_9" localSheetId="5">#REF!</definedName>
    <definedName name="Excel_BuiltIn__FilterDatabase_9" localSheetId="6">#REF!</definedName>
    <definedName name="Excel_BuiltIn__FilterDatabase_9">#REF!</definedName>
    <definedName name="Excel_BuiltIn__FilterDatabase_9_1" localSheetId="0">#REF!</definedName>
    <definedName name="Excel_BuiltIn__FilterDatabase_9_1" localSheetId="5">#REF!</definedName>
    <definedName name="Excel_BuiltIn__FilterDatabase_9_1" localSheetId="6">#REF!</definedName>
    <definedName name="Excel_BuiltIn__FilterDatabase_9_1">#REF!</definedName>
    <definedName name="Excel_BuiltIn__FilterDatabase_9_1_1" localSheetId="0">#REF!</definedName>
    <definedName name="Excel_BuiltIn__FilterDatabase_9_1_1" localSheetId="5">#REF!</definedName>
    <definedName name="Excel_BuiltIn__FilterDatabase_9_1_1" localSheetId="6">#REF!</definedName>
    <definedName name="Excel_BuiltIn__FilterDatabase_9_1_1">#REF!</definedName>
    <definedName name="Excel_BuiltIn__FilterDatabase_9_1_3" localSheetId="0">#REF!</definedName>
    <definedName name="Excel_BuiltIn__FilterDatabase_9_1_3" localSheetId="5">#REF!</definedName>
    <definedName name="Excel_BuiltIn__FilterDatabase_9_1_3" localSheetId="6">#REF!</definedName>
    <definedName name="Excel_BuiltIn__FilterDatabase_9_1_3">#REF!</definedName>
    <definedName name="Excel_BuiltIn__FilterDatabase_9_1_4" localSheetId="0">#REF!</definedName>
    <definedName name="Excel_BuiltIn__FilterDatabase_9_1_4" localSheetId="5">#REF!</definedName>
    <definedName name="Excel_BuiltIn__FilterDatabase_9_1_4" localSheetId="6">#REF!</definedName>
    <definedName name="Excel_BuiltIn__FilterDatabase_9_1_4">#REF!</definedName>
    <definedName name="Excel_BuiltIn__FilterDatabase_9_1_5" localSheetId="0">#REF!</definedName>
    <definedName name="Excel_BuiltIn__FilterDatabase_9_1_5" localSheetId="5">#REF!</definedName>
    <definedName name="Excel_BuiltIn__FilterDatabase_9_1_5" localSheetId="6">#REF!</definedName>
    <definedName name="Excel_BuiltIn__FilterDatabase_9_1_5">#REF!</definedName>
    <definedName name="Excel_BuiltIn__FilterDatabase_9_1_6" localSheetId="0">#REF!</definedName>
    <definedName name="Excel_BuiltIn__FilterDatabase_9_1_6" localSheetId="5">#REF!</definedName>
    <definedName name="Excel_BuiltIn__FilterDatabase_9_1_6" localSheetId="6">#REF!</definedName>
    <definedName name="Excel_BuiltIn__FilterDatabase_9_1_6">#REF!</definedName>
    <definedName name="Excel_BuiltIn__FilterDatabase_9_1_7" localSheetId="0">#REF!</definedName>
    <definedName name="Excel_BuiltIn__FilterDatabase_9_1_7" localSheetId="5">#REF!</definedName>
    <definedName name="Excel_BuiltIn__FilterDatabase_9_1_7" localSheetId="6">#REF!</definedName>
    <definedName name="Excel_BuiltIn__FilterDatabase_9_1_7">#REF!</definedName>
    <definedName name="Excel_BuiltIn__FilterDatabase_9_1_8" localSheetId="0">#REF!</definedName>
    <definedName name="Excel_BuiltIn__FilterDatabase_9_1_8" localSheetId="5">#REF!</definedName>
    <definedName name="Excel_BuiltIn__FilterDatabase_9_1_8" localSheetId="6">#REF!</definedName>
    <definedName name="Excel_BuiltIn__FilterDatabase_9_1_8">#REF!</definedName>
    <definedName name="Excel_BuiltIn__FilterDatabase_9_3" localSheetId="0">#REF!</definedName>
    <definedName name="Excel_BuiltIn__FilterDatabase_9_3" localSheetId="5">#REF!</definedName>
    <definedName name="Excel_BuiltIn__FilterDatabase_9_3" localSheetId="6">#REF!</definedName>
    <definedName name="Excel_BuiltIn__FilterDatabase_9_3">#REF!</definedName>
    <definedName name="Excel_BuiltIn__FilterDatabase_9_4" localSheetId="0">#REF!</definedName>
    <definedName name="Excel_BuiltIn__FilterDatabase_9_4" localSheetId="5">#REF!</definedName>
    <definedName name="Excel_BuiltIn__FilterDatabase_9_4" localSheetId="6">#REF!</definedName>
    <definedName name="Excel_BuiltIn__FilterDatabase_9_4">#REF!</definedName>
    <definedName name="Excel_BuiltIn__FilterDatabase_9_5" localSheetId="0">#REF!</definedName>
    <definedName name="Excel_BuiltIn__FilterDatabase_9_5" localSheetId="5">#REF!</definedName>
    <definedName name="Excel_BuiltIn__FilterDatabase_9_5" localSheetId="6">#REF!</definedName>
    <definedName name="Excel_BuiltIn__FilterDatabase_9_5">#REF!</definedName>
    <definedName name="Excel_BuiltIn__FilterDatabase_9_6" localSheetId="0">#REF!</definedName>
    <definedName name="Excel_BuiltIn__FilterDatabase_9_6" localSheetId="5">#REF!</definedName>
    <definedName name="Excel_BuiltIn__FilterDatabase_9_6" localSheetId="6">#REF!</definedName>
    <definedName name="Excel_BuiltIn__FilterDatabase_9_6">#REF!</definedName>
    <definedName name="Excel_BuiltIn__FilterDatabase_9_7" localSheetId="0">#REF!</definedName>
    <definedName name="Excel_BuiltIn__FilterDatabase_9_7" localSheetId="5">#REF!</definedName>
    <definedName name="Excel_BuiltIn__FilterDatabase_9_7" localSheetId="6">#REF!</definedName>
    <definedName name="Excel_BuiltIn__FilterDatabase_9_7">#REF!</definedName>
    <definedName name="Excel_BuiltIn__FilterDatabase_9_8" localSheetId="0">#REF!</definedName>
    <definedName name="Excel_BuiltIn__FilterDatabase_9_8" localSheetId="5">#REF!</definedName>
    <definedName name="Excel_BuiltIn__FilterDatabase_9_8" localSheetId="6">#REF!</definedName>
    <definedName name="Excel_BuiltIn__FilterDatabase_9_8">#REF!</definedName>
    <definedName name="Excel_BuiltIn_Print_Area">#N/A</definedName>
    <definedName name="Excel_BuiltIn_Print_Area_12" localSheetId="0">#REF!</definedName>
    <definedName name="Excel_BuiltIn_Print_Area_12" localSheetId="5">#REF!</definedName>
    <definedName name="Excel_BuiltIn_Print_Area_12" localSheetId="6">#REF!</definedName>
    <definedName name="Excel_BuiltIn_Print_Area_12">#REF!</definedName>
    <definedName name="Excel_BuiltIn_Print_Area_16" localSheetId="0">#REF!</definedName>
    <definedName name="Excel_BuiltIn_Print_Area_16" localSheetId="4">#REF!</definedName>
    <definedName name="Excel_BuiltIn_Print_Area_16" localSheetId="5">#REF!</definedName>
    <definedName name="Excel_BuiltIn_Print_Area_16" localSheetId="6">#REF!</definedName>
    <definedName name="Excel_BuiltIn_Print_Area_16">#REF!</definedName>
    <definedName name="Excel_BuiltIn_Print_Area_18" localSheetId="0">#REF!</definedName>
    <definedName name="Excel_BuiltIn_Print_Area_18" localSheetId="5">#REF!</definedName>
    <definedName name="Excel_BuiltIn_Print_Area_18" localSheetId="6">#REF!</definedName>
    <definedName name="Excel_BuiltIn_Print_Area_18">#REF!</definedName>
    <definedName name="Excel_BuiltIn_Print_Area_18_12" localSheetId="0">#REF!</definedName>
    <definedName name="Excel_BuiltIn_Print_Area_18_12" localSheetId="5">#REF!</definedName>
    <definedName name="Excel_BuiltIn_Print_Area_18_12" localSheetId="6">#REF!</definedName>
    <definedName name="Excel_BuiltIn_Print_Area_18_12">#REF!</definedName>
    <definedName name="Excel_BuiltIn_Print_Area_2" localSheetId="0">#REF!</definedName>
    <definedName name="Excel_BuiltIn_Print_Area_2" localSheetId="5">#REF!</definedName>
    <definedName name="Excel_BuiltIn_Print_Area_2" localSheetId="6">#REF!</definedName>
    <definedName name="Excel_BuiltIn_Print_Area_2">#REF!</definedName>
    <definedName name="Excel_BuiltIn_Print_Area_2_1" localSheetId="0">(#REF!,#REF!)</definedName>
    <definedName name="Excel_BuiltIn_Print_Area_2_1" localSheetId="5">(#REF!,#REF!)</definedName>
    <definedName name="Excel_BuiltIn_Print_Area_2_1" localSheetId="6">(#REF!,#REF!)</definedName>
    <definedName name="Excel_BuiltIn_Print_Area_2_1">(#REF!,#REF!)</definedName>
    <definedName name="Excel_BuiltIn_Print_Area_2_1_1" localSheetId="0">#REF!</definedName>
    <definedName name="Excel_BuiltIn_Print_Area_2_1_1" localSheetId="5">#REF!</definedName>
    <definedName name="Excel_BuiltIn_Print_Area_2_1_1" localSheetId="6">#REF!</definedName>
    <definedName name="Excel_BuiltIn_Print_Area_2_1_1">#REF!</definedName>
    <definedName name="Excel_BuiltIn_Print_Area_8" localSheetId="0">[96]Sheet2!#REF!</definedName>
    <definedName name="Excel_BuiltIn_Print_Area_8" localSheetId="5">[96]Sheet2!#REF!</definedName>
    <definedName name="Excel_BuiltIn_Print_Area_8" localSheetId="6">[96]Sheet2!#REF!</definedName>
    <definedName name="Excel_BuiltIn_Print_Area_8">[96]Sheet2!#REF!</definedName>
    <definedName name="Excel_BuiltIn_Print_Area_8_1" localSheetId="0">[96]Sheet2!#REF!</definedName>
    <definedName name="Excel_BuiltIn_Print_Area_8_1" localSheetId="5">[96]Sheet2!#REF!</definedName>
    <definedName name="Excel_BuiltIn_Print_Area_8_1" localSheetId="6">[96]Sheet2!#REF!</definedName>
    <definedName name="Excel_BuiltIn_Print_Area_8_1">[96]Sheet2!#REF!</definedName>
    <definedName name="Excel_BuiltIn_Print_Area_8_1_1" localSheetId="0">[96]Sheet2!#REF!</definedName>
    <definedName name="Excel_BuiltIn_Print_Area_8_1_1" localSheetId="5">[96]Sheet2!#REF!</definedName>
    <definedName name="Excel_BuiltIn_Print_Area_8_1_1" localSheetId="6">[96]Sheet2!#REF!</definedName>
    <definedName name="Excel_BuiltIn_Print_Area_8_1_1">[96]Sheet2!#REF!</definedName>
    <definedName name="Excel_BuiltIn_Print_Area_8_1_12" localSheetId="0">[96]Sheet2!#REF!</definedName>
    <definedName name="Excel_BuiltIn_Print_Area_8_1_12" localSheetId="5">[96]Sheet2!#REF!</definedName>
    <definedName name="Excel_BuiltIn_Print_Area_8_1_12" localSheetId="6">[96]Sheet2!#REF!</definedName>
    <definedName name="Excel_BuiltIn_Print_Area_8_1_12">[96]Sheet2!#REF!</definedName>
    <definedName name="Excel_BuiltIn_Print_Area_8_1_2" localSheetId="0">[96]Sheet2!#REF!</definedName>
    <definedName name="Excel_BuiltIn_Print_Area_8_1_2" localSheetId="5">[96]Sheet2!#REF!</definedName>
    <definedName name="Excel_BuiltIn_Print_Area_8_1_2" localSheetId="6">[96]Sheet2!#REF!</definedName>
    <definedName name="Excel_BuiltIn_Print_Area_8_1_2">[96]Sheet2!#REF!</definedName>
    <definedName name="Excel_BuiltIn_Print_Area_8_1_2_1" localSheetId="0">[97]Sheet2!#REF!</definedName>
    <definedName name="Excel_BuiltIn_Print_Area_8_1_2_1" localSheetId="5">[97]Sheet2!#REF!</definedName>
    <definedName name="Excel_BuiltIn_Print_Area_8_1_2_1" localSheetId="6">[97]Sheet2!#REF!</definedName>
    <definedName name="Excel_BuiltIn_Print_Area_8_1_2_1">[97]Sheet2!#REF!</definedName>
    <definedName name="Excel_BuiltIn_Print_Area_8_1_2_12" localSheetId="0">[97]Sheet2!#REF!</definedName>
    <definedName name="Excel_BuiltIn_Print_Area_8_1_2_12" localSheetId="5">[97]Sheet2!#REF!</definedName>
    <definedName name="Excel_BuiltIn_Print_Area_8_1_2_12" localSheetId="6">[97]Sheet2!#REF!</definedName>
    <definedName name="Excel_BuiltIn_Print_Area_8_1_2_12">[97]Sheet2!#REF!</definedName>
    <definedName name="Excel_BuiltIn_Print_Area_8_1_2_2" localSheetId="0">[97]Sheet2!#REF!</definedName>
    <definedName name="Excel_BuiltIn_Print_Area_8_1_2_2" localSheetId="5">[97]Sheet2!#REF!</definedName>
    <definedName name="Excel_BuiltIn_Print_Area_8_1_2_2" localSheetId="6">[97]Sheet2!#REF!</definedName>
    <definedName name="Excel_BuiltIn_Print_Area_8_1_2_2">[97]Sheet2!#REF!</definedName>
    <definedName name="Excel_BuiltIn_Print_Area_8_1_2_3" localSheetId="0">[97]Sheet2!#REF!</definedName>
    <definedName name="Excel_BuiltIn_Print_Area_8_1_2_3" localSheetId="5">[97]Sheet2!#REF!</definedName>
    <definedName name="Excel_BuiltIn_Print_Area_8_1_2_3" localSheetId="6">[97]Sheet2!#REF!</definedName>
    <definedName name="Excel_BuiltIn_Print_Area_8_1_2_3">[97]Sheet2!#REF!</definedName>
    <definedName name="Excel_BuiltIn_Print_Area_8_1_3" localSheetId="0">[96]Sheet2!#REF!</definedName>
    <definedName name="Excel_BuiltIn_Print_Area_8_1_3" localSheetId="5">[96]Sheet2!#REF!</definedName>
    <definedName name="Excel_BuiltIn_Print_Area_8_1_3" localSheetId="6">[96]Sheet2!#REF!</definedName>
    <definedName name="Excel_BuiltIn_Print_Area_8_1_3">[96]Sheet2!#REF!</definedName>
    <definedName name="Excel_BuiltIn_Print_Area_8_1_4" localSheetId="0">[97]Sheet2!#REF!</definedName>
    <definedName name="Excel_BuiltIn_Print_Area_8_1_4" localSheetId="5">[97]Sheet2!#REF!</definedName>
    <definedName name="Excel_BuiltIn_Print_Area_8_1_4" localSheetId="6">[97]Sheet2!#REF!</definedName>
    <definedName name="Excel_BuiltIn_Print_Area_8_1_4">[97]Sheet2!#REF!</definedName>
    <definedName name="Excel_BuiltIn_Print_Area_8_1_4_1" localSheetId="0">[97]Sheet2!#REF!</definedName>
    <definedName name="Excel_BuiltIn_Print_Area_8_1_4_1" localSheetId="5">[97]Sheet2!#REF!</definedName>
    <definedName name="Excel_BuiltIn_Print_Area_8_1_4_1" localSheetId="6">[97]Sheet2!#REF!</definedName>
    <definedName name="Excel_BuiltIn_Print_Area_8_1_4_1">[97]Sheet2!#REF!</definedName>
    <definedName name="Excel_BuiltIn_Print_Area_8_1_4_12" localSheetId="0">[97]Sheet2!#REF!</definedName>
    <definedName name="Excel_BuiltIn_Print_Area_8_1_4_12" localSheetId="5">[97]Sheet2!#REF!</definedName>
    <definedName name="Excel_BuiltIn_Print_Area_8_1_4_12" localSheetId="6">[97]Sheet2!#REF!</definedName>
    <definedName name="Excel_BuiltIn_Print_Area_8_1_4_12">[97]Sheet2!#REF!</definedName>
    <definedName name="Excel_BuiltIn_Print_Area_8_1_4_2" localSheetId="0">[97]Sheet2!#REF!</definedName>
    <definedName name="Excel_BuiltIn_Print_Area_8_1_4_2" localSheetId="5">[97]Sheet2!#REF!</definedName>
    <definedName name="Excel_BuiltIn_Print_Area_8_1_4_2" localSheetId="6">[97]Sheet2!#REF!</definedName>
    <definedName name="Excel_BuiltIn_Print_Area_8_1_4_2">[97]Sheet2!#REF!</definedName>
    <definedName name="Excel_BuiltIn_Print_Area_8_1_4_3" localSheetId="0">[97]Sheet2!#REF!</definedName>
    <definedName name="Excel_BuiltIn_Print_Area_8_1_4_3" localSheetId="5">[97]Sheet2!#REF!</definedName>
    <definedName name="Excel_BuiltIn_Print_Area_8_1_4_3" localSheetId="6">[97]Sheet2!#REF!</definedName>
    <definedName name="Excel_BuiltIn_Print_Area_8_1_4_3">[97]Sheet2!#REF!</definedName>
    <definedName name="Excel_BuiltIn_Print_Area_8_12" localSheetId="0">[96]Sheet2!#REF!</definedName>
    <definedName name="Excel_BuiltIn_Print_Area_8_12" localSheetId="5">[96]Sheet2!#REF!</definedName>
    <definedName name="Excel_BuiltIn_Print_Area_8_12" localSheetId="6">[96]Sheet2!#REF!</definedName>
    <definedName name="Excel_BuiltIn_Print_Area_8_12">[96]Sheet2!#REF!</definedName>
    <definedName name="Excel_BuiltIn_Print_Area_8_14" localSheetId="0">[98]Sheet2!#REF!</definedName>
    <definedName name="Excel_BuiltIn_Print_Area_8_14" localSheetId="5">[98]Sheet2!#REF!</definedName>
    <definedName name="Excel_BuiltIn_Print_Area_8_14" localSheetId="6">[98]Sheet2!#REF!</definedName>
    <definedName name="Excel_BuiltIn_Print_Area_8_14">[98]Sheet2!#REF!</definedName>
    <definedName name="Excel_BuiltIn_Print_Area_8_14_1" localSheetId="0">[98]Sheet2!#REF!</definedName>
    <definedName name="Excel_BuiltIn_Print_Area_8_14_1" localSheetId="5">[98]Sheet2!#REF!</definedName>
    <definedName name="Excel_BuiltIn_Print_Area_8_14_1" localSheetId="6">[98]Sheet2!#REF!</definedName>
    <definedName name="Excel_BuiltIn_Print_Area_8_14_1">[98]Sheet2!#REF!</definedName>
    <definedName name="Excel_BuiltIn_Print_Area_8_14_12" localSheetId="0">[98]Sheet2!#REF!</definedName>
    <definedName name="Excel_BuiltIn_Print_Area_8_14_12" localSheetId="5">[98]Sheet2!#REF!</definedName>
    <definedName name="Excel_BuiltIn_Print_Area_8_14_12" localSheetId="6">[98]Sheet2!#REF!</definedName>
    <definedName name="Excel_BuiltIn_Print_Area_8_14_12">[98]Sheet2!#REF!</definedName>
    <definedName name="Excel_BuiltIn_Print_Area_8_14_2" localSheetId="0">[98]Sheet2!#REF!</definedName>
    <definedName name="Excel_BuiltIn_Print_Area_8_14_2" localSheetId="5">[98]Sheet2!#REF!</definedName>
    <definedName name="Excel_BuiltIn_Print_Area_8_14_2" localSheetId="6">[98]Sheet2!#REF!</definedName>
    <definedName name="Excel_BuiltIn_Print_Area_8_14_2">[98]Sheet2!#REF!</definedName>
    <definedName name="Excel_BuiltIn_Print_Area_8_14_2_1" localSheetId="0">[99]Sheet2!#REF!</definedName>
    <definedName name="Excel_BuiltIn_Print_Area_8_14_2_1" localSheetId="5">[99]Sheet2!#REF!</definedName>
    <definedName name="Excel_BuiltIn_Print_Area_8_14_2_1" localSheetId="6">[99]Sheet2!#REF!</definedName>
    <definedName name="Excel_BuiltIn_Print_Area_8_14_2_1">[99]Sheet2!#REF!</definedName>
    <definedName name="Excel_BuiltIn_Print_Area_8_14_2_12" localSheetId="0">[99]Sheet2!#REF!</definedName>
    <definedName name="Excel_BuiltIn_Print_Area_8_14_2_12" localSheetId="5">[99]Sheet2!#REF!</definedName>
    <definedName name="Excel_BuiltIn_Print_Area_8_14_2_12" localSheetId="6">[99]Sheet2!#REF!</definedName>
    <definedName name="Excel_BuiltIn_Print_Area_8_14_2_12">[99]Sheet2!#REF!</definedName>
    <definedName name="Excel_BuiltIn_Print_Area_8_14_2_2" localSheetId="0">[99]Sheet2!#REF!</definedName>
    <definedName name="Excel_BuiltIn_Print_Area_8_14_2_2" localSheetId="5">[99]Sheet2!#REF!</definedName>
    <definedName name="Excel_BuiltIn_Print_Area_8_14_2_2" localSheetId="6">[99]Sheet2!#REF!</definedName>
    <definedName name="Excel_BuiltIn_Print_Area_8_14_2_2">[99]Sheet2!#REF!</definedName>
    <definedName name="Excel_BuiltIn_Print_Area_8_14_2_3" localSheetId="0">[99]Sheet2!#REF!</definedName>
    <definedName name="Excel_BuiltIn_Print_Area_8_14_2_3" localSheetId="5">[99]Sheet2!#REF!</definedName>
    <definedName name="Excel_BuiltIn_Print_Area_8_14_2_3" localSheetId="6">[99]Sheet2!#REF!</definedName>
    <definedName name="Excel_BuiltIn_Print_Area_8_14_2_3">[99]Sheet2!#REF!</definedName>
    <definedName name="Excel_BuiltIn_Print_Area_8_14_3" localSheetId="0">[98]Sheet2!#REF!</definedName>
    <definedName name="Excel_BuiltIn_Print_Area_8_14_3" localSheetId="5">[98]Sheet2!#REF!</definedName>
    <definedName name="Excel_BuiltIn_Print_Area_8_14_3" localSheetId="6">[98]Sheet2!#REF!</definedName>
    <definedName name="Excel_BuiltIn_Print_Area_8_14_3">[98]Sheet2!#REF!</definedName>
    <definedName name="Excel_BuiltIn_Print_Area_8_14_4" localSheetId="0">[99]Sheet2!#REF!</definedName>
    <definedName name="Excel_BuiltIn_Print_Area_8_14_4" localSheetId="5">[99]Sheet2!#REF!</definedName>
    <definedName name="Excel_BuiltIn_Print_Area_8_14_4" localSheetId="6">[99]Sheet2!#REF!</definedName>
    <definedName name="Excel_BuiltIn_Print_Area_8_14_4">[99]Sheet2!#REF!</definedName>
    <definedName name="Excel_BuiltIn_Print_Area_8_14_4_1" localSheetId="0">[99]Sheet2!#REF!</definedName>
    <definedName name="Excel_BuiltIn_Print_Area_8_14_4_1" localSheetId="5">[99]Sheet2!#REF!</definedName>
    <definedName name="Excel_BuiltIn_Print_Area_8_14_4_1" localSheetId="6">[99]Sheet2!#REF!</definedName>
    <definedName name="Excel_BuiltIn_Print_Area_8_14_4_1">[99]Sheet2!#REF!</definedName>
    <definedName name="Excel_BuiltIn_Print_Area_8_14_4_12" localSheetId="0">[99]Sheet2!#REF!</definedName>
    <definedName name="Excel_BuiltIn_Print_Area_8_14_4_12" localSheetId="5">[99]Sheet2!#REF!</definedName>
    <definedName name="Excel_BuiltIn_Print_Area_8_14_4_12" localSheetId="6">[99]Sheet2!#REF!</definedName>
    <definedName name="Excel_BuiltIn_Print_Area_8_14_4_12">[99]Sheet2!#REF!</definedName>
    <definedName name="Excel_BuiltIn_Print_Area_8_14_4_2" localSheetId="0">[99]Sheet2!#REF!</definedName>
    <definedName name="Excel_BuiltIn_Print_Area_8_14_4_2" localSheetId="5">[99]Sheet2!#REF!</definedName>
    <definedName name="Excel_BuiltIn_Print_Area_8_14_4_2" localSheetId="6">[99]Sheet2!#REF!</definedName>
    <definedName name="Excel_BuiltIn_Print_Area_8_14_4_2">[99]Sheet2!#REF!</definedName>
    <definedName name="Excel_BuiltIn_Print_Area_8_14_4_3" localSheetId="0">[99]Sheet2!#REF!</definedName>
    <definedName name="Excel_BuiltIn_Print_Area_8_14_4_3" localSheetId="5">[99]Sheet2!#REF!</definedName>
    <definedName name="Excel_BuiltIn_Print_Area_8_14_4_3" localSheetId="6">[99]Sheet2!#REF!</definedName>
    <definedName name="Excel_BuiltIn_Print_Area_8_14_4_3">[99]Sheet2!#REF!</definedName>
    <definedName name="Excel_BuiltIn_Print_Area_8_2" localSheetId="0">[96]Sheet2!#REF!</definedName>
    <definedName name="Excel_BuiltIn_Print_Area_8_2" localSheetId="5">[96]Sheet2!#REF!</definedName>
    <definedName name="Excel_BuiltIn_Print_Area_8_2" localSheetId="6">[96]Sheet2!#REF!</definedName>
    <definedName name="Excel_BuiltIn_Print_Area_8_2">[96]Sheet2!#REF!</definedName>
    <definedName name="Excel_BuiltIn_Print_Area_8_2_1" localSheetId="0">[97]Sheet2!#REF!</definedName>
    <definedName name="Excel_BuiltIn_Print_Area_8_2_1" localSheetId="5">[97]Sheet2!#REF!</definedName>
    <definedName name="Excel_BuiltIn_Print_Area_8_2_1" localSheetId="6">[97]Sheet2!#REF!</definedName>
    <definedName name="Excel_BuiltIn_Print_Area_8_2_1">[97]Sheet2!#REF!</definedName>
    <definedName name="Excel_BuiltIn_Print_Area_8_2_12" localSheetId="0">[97]Sheet2!#REF!</definedName>
    <definedName name="Excel_BuiltIn_Print_Area_8_2_12" localSheetId="5">[97]Sheet2!#REF!</definedName>
    <definedName name="Excel_BuiltIn_Print_Area_8_2_12" localSheetId="6">[97]Sheet2!#REF!</definedName>
    <definedName name="Excel_BuiltIn_Print_Area_8_2_12">[97]Sheet2!#REF!</definedName>
    <definedName name="Excel_BuiltIn_Print_Area_8_2_2" localSheetId="0">[97]Sheet2!#REF!</definedName>
    <definedName name="Excel_BuiltIn_Print_Area_8_2_2" localSheetId="5">[97]Sheet2!#REF!</definedName>
    <definedName name="Excel_BuiltIn_Print_Area_8_2_2" localSheetId="6">[97]Sheet2!#REF!</definedName>
    <definedName name="Excel_BuiltIn_Print_Area_8_2_2">[97]Sheet2!#REF!</definedName>
    <definedName name="Excel_BuiltIn_Print_Area_8_2_3" localSheetId="0">[97]Sheet2!#REF!</definedName>
    <definedName name="Excel_BuiltIn_Print_Area_8_2_3" localSheetId="5">[97]Sheet2!#REF!</definedName>
    <definedName name="Excel_BuiltIn_Print_Area_8_2_3" localSheetId="6">[97]Sheet2!#REF!</definedName>
    <definedName name="Excel_BuiltIn_Print_Area_8_2_3">[97]Sheet2!#REF!</definedName>
    <definedName name="Excel_BuiltIn_Print_Area_8_3" localSheetId="0">[96]Sheet2!#REF!</definedName>
    <definedName name="Excel_BuiltIn_Print_Area_8_3" localSheetId="5">[96]Sheet2!#REF!</definedName>
    <definedName name="Excel_BuiltIn_Print_Area_8_3" localSheetId="6">[96]Sheet2!#REF!</definedName>
    <definedName name="Excel_BuiltIn_Print_Area_8_3">[96]Sheet2!#REF!</definedName>
    <definedName name="Excel_BuiltIn_Print_Area_8_4" localSheetId="0">[97]Sheet2!#REF!</definedName>
    <definedName name="Excel_BuiltIn_Print_Area_8_4" localSheetId="5">[97]Sheet2!#REF!</definedName>
    <definedName name="Excel_BuiltIn_Print_Area_8_4" localSheetId="6">[97]Sheet2!#REF!</definedName>
    <definedName name="Excel_BuiltIn_Print_Area_8_4">[97]Sheet2!#REF!</definedName>
    <definedName name="Excel_BuiltIn_Print_Area_8_4_1" localSheetId="0">[97]Sheet2!#REF!</definedName>
    <definedName name="Excel_BuiltIn_Print_Area_8_4_1" localSheetId="5">[97]Sheet2!#REF!</definedName>
    <definedName name="Excel_BuiltIn_Print_Area_8_4_1" localSheetId="6">[97]Sheet2!#REF!</definedName>
    <definedName name="Excel_BuiltIn_Print_Area_8_4_1">[97]Sheet2!#REF!</definedName>
    <definedName name="Excel_BuiltIn_Print_Area_8_4_12" localSheetId="0">[97]Sheet2!#REF!</definedName>
    <definedName name="Excel_BuiltIn_Print_Area_8_4_12" localSheetId="5">[97]Sheet2!#REF!</definedName>
    <definedName name="Excel_BuiltIn_Print_Area_8_4_12" localSheetId="6">[97]Sheet2!#REF!</definedName>
    <definedName name="Excel_BuiltIn_Print_Area_8_4_12">[97]Sheet2!#REF!</definedName>
    <definedName name="Excel_BuiltIn_Print_Area_8_4_2" localSheetId="0">[97]Sheet2!#REF!</definedName>
    <definedName name="Excel_BuiltIn_Print_Area_8_4_2" localSheetId="5">[97]Sheet2!#REF!</definedName>
    <definedName name="Excel_BuiltIn_Print_Area_8_4_2" localSheetId="6">[97]Sheet2!#REF!</definedName>
    <definedName name="Excel_BuiltIn_Print_Area_8_4_2">[97]Sheet2!#REF!</definedName>
    <definedName name="Excel_BuiltIn_Print_Area_8_4_3" localSheetId="0">[97]Sheet2!#REF!</definedName>
    <definedName name="Excel_BuiltIn_Print_Area_8_4_3" localSheetId="5">[97]Sheet2!#REF!</definedName>
    <definedName name="Excel_BuiltIn_Print_Area_8_4_3" localSheetId="6">[97]Sheet2!#REF!</definedName>
    <definedName name="Excel_BuiltIn_Print_Area_8_4_3">[97]Sheet2!#REF!</definedName>
    <definedName name="Excel_BuiltIn_Print_Titles" localSheetId="0">#REF!</definedName>
    <definedName name="Excel_BuiltIn_Print_Titles" localSheetId="4">#REF!</definedName>
    <definedName name="Excel_BuiltIn_Print_Titles" localSheetId="5">#REF!</definedName>
    <definedName name="Excel_BuiltIn_Print_Titles" localSheetId="6">#REF!</definedName>
    <definedName name="Excel_BuiltIn_Print_Titles">#REF!</definedName>
    <definedName name="Excel_BuiltIn_Print_Titles_1" localSheetId="0">#REF!</definedName>
    <definedName name="Excel_BuiltIn_Print_Titles_1" localSheetId="4">#REF!</definedName>
    <definedName name="Excel_BuiltIn_Print_Titles_1" localSheetId="5">#REF!</definedName>
    <definedName name="Excel_BuiltIn_Print_Titles_1" localSheetId="6">#REF!</definedName>
    <definedName name="Excel_BuiltIn_Print_Titles_1">#REF!</definedName>
    <definedName name="Exchange" localSheetId="0">#REF!</definedName>
    <definedName name="Exchange" localSheetId="5">#REF!</definedName>
    <definedName name="Exchange" localSheetId="6">#REF!</definedName>
    <definedName name="Exchange">#REF!</definedName>
    <definedName name="Exchange_Rate_to_AUD" localSheetId="0">#REF!</definedName>
    <definedName name="Exchange_Rate_to_AUD" localSheetId="5">#REF!</definedName>
    <definedName name="Exchange_Rate_to_AUD" localSheetId="6">#REF!</definedName>
    <definedName name="Exchange_Rate_to_AUD">#REF!</definedName>
    <definedName name="ExchangeRatesTable" localSheetId="0">#REF!</definedName>
    <definedName name="ExchangeRatesTable" localSheetId="5">#REF!</definedName>
    <definedName name="ExchangeRatesTable" localSheetId="6">#REF!</definedName>
    <definedName name="ExchangeRatesTable">#REF!</definedName>
    <definedName name="Exim_GP_actual">OFFSET('[100]Grafik Exim'!$C$78,0,'[100]Grafik Exim'!$K$75-1,1,'[100]Grafik Exim'!$M$75-'[100]Grafik Exim'!$K$75+1)</definedName>
    <definedName name="Exim_GP_Budget">OFFSET('[100]Grafik Exim'!$C$79,0,'[100]Grafik Exim'!$K$75-1,1,'[100]Grafik Exim'!$M$75-'[100]Grafik Exim'!$K$75+1)</definedName>
    <definedName name="Exim_GP_Lastyear">OFFSET('[100]Grafik Exim'!$C$77,0,'[100]Grafik Exim'!$K$75-1,1,'[100]Grafik Exim'!$M$75-'[100]Grafik Exim'!$K$75+1)</definedName>
    <definedName name="Exim_GP_Timeline">OFFSET('[100]Grafik Exim'!$C$76,0,'[100]Grafik Exim'!$K$75-1,1,'[100]Grafik Exim'!$M$75-'[100]Grafik Exim'!$K$75+1)</definedName>
    <definedName name="Exim_OI_actual">OFFSET('[100]Grafik Exim'!$C$125,0,'[100]Grafik Exim'!$J$122-1,1,'[100]Grafik Exim'!$L$122-'[100]Grafik Exim'!$J$122+1)</definedName>
    <definedName name="Exim_OI_budget">OFFSET('[100]Grafik Exim'!$C$126,0,'[100]Grafik Exim'!$J$122-1,1,'[100]Grafik Exim'!$L$122-'[100]Grafik Exim'!$J$122+1)</definedName>
    <definedName name="Exim_OI_Lastyear">OFFSET('[100]Grafik Exim'!$C$124,0,'[100]Grafik Exim'!$J$122-1,1,'[100]Grafik Exim'!$L$122-'[100]Grafik Exim'!$J$122+1)</definedName>
    <definedName name="Exim_OI_Timeline">OFFSET('[100]Grafik Exim'!$C$123,0,'[100]Grafik Exim'!$J$122-1,1,'[100]Grafik Exim'!$L$122-'[100]Grafik Exim'!$J$122+1)</definedName>
    <definedName name="Exim_Revenue_actual">OFFSET('[100]Grafik Exim'!$C$24,0,'[100]Grafik Exim'!$H$21-1,1,'[100]Grafik Exim'!$J$21-'[100]Grafik Exim'!$H$21+1)</definedName>
    <definedName name="Exim_Revenue_Budget">OFFSET('[100]Grafik Exim'!$C$25,0,'[100]Grafik Exim'!$H$21-1,1,'[100]Grafik Exim'!$J$21-'[100]Grafik Exim'!$H$21+1)</definedName>
    <definedName name="Exim_Revenue_Lastyear">OFFSET('[100]Grafik Exim'!$C$23,0,'[100]Grafik Exim'!$H$21-1,1,'[100]Grafik Exim'!$J$21-'[100]Grafik Exim'!$H$21+1)</definedName>
    <definedName name="Exim_Revenue_Timeline">OFFSET('[100]Grafik Exim'!$C$22,0,'[100]Grafik Exim'!$H$21-1,1,'[100]Grafik Exim'!$J$21-'[100]Grafik Exim'!$H$21+1)</definedName>
    <definedName name="EXPORT_DB" localSheetId="0">#REF!</definedName>
    <definedName name="EXPORT_DB" localSheetId="4">#REF!</definedName>
    <definedName name="EXPORT_DB" localSheetId="5">#REF!</definedName>
    <definedName name="EXPORT_DB" localSheetId="6">#REF!</definedName>
    <definedName name="EXPORT_DB">#REF!</definedName>
    <definedName name="EXPORT_MA" localSheetId="0">#REF!</definedName>
    <definedName name="EXPORT_MA" localSheetId="5">#REF!</definedName>
    <definedName name="EXPORT_MA" localSheetId="6">#REF!</definedName>
    <definedName name="EXPORT_MA">#REF!</definedName>
    <definedName name="ExRate" localSheetId="0">#REF!</definedName>
    <definedName name="ExRate" localSheetId="5">#REF!</definedName>
    <definedName name="ExRate" localSheetId="6">#REF!</definedName>
    <definedName name="ExRate">#REF!</definedName>
    <definedName name="exrateAusBS">[62]Cover!$N$27</definedName>
    <definedName name="exrateAusPL">[62]Cover!$P$27</definedName>
    <definedName name="exrateBahtBS">[62]Cover!$N$23</definedName>
    <definedName name="exrateBahtPL">[62]Cover!$P$23</definedName>
    <definedName name="exrateMsia">[62]Cover!$N$21</definedName>
    <definedName name="exrateNTBS">[62]Cover!$N$25</definedName>
    <definedName name="exrateNTPL">[62]Cover!$P$25</definedName>
    <definedName name="exrateRMPL">[62]Cover!$P$21</definedName>
    <definedName name="_xlnm.Extract" localSheetId="0">'[1]KKP A.2.1'!#REF!</definedName>
    <definedName name="_xlnm.Extract" localSheetId="4">'[1]KKP A.2.1'!#REF!</definedName>
    <definedName name="_xlnm.Extract" localSheetId="5">'[1]KKP A.2.1'!#REF!</definedName>
    <definedName name="_xlnm.Extract" localSheetId="6">'[1]KKP A.2.1'!#REF!</definedName>
    <definedName name="_xlnm.Extract">'[1]KKP A.2.1'!#REF!</definedName>
    <definedName name="Extract_MI" localSheetId="0">'[1]KKP A.2.1'!#REF!</definedName>
    <definedName name="Extract_MI" localSheetId="4">'[1]KKP A.2.1'!#REF!</definedName>
    <definedName name="Extract_MI" localSheetId="5">'[1]KKP A.2.1'!#REF!</definedName>
    <definedName name="Extract_MI" localSheetId="6">'[1]KKP A.2.1'!#REF!</definedName>
    <definedName name="Extract_MI">'[1]KKP A.2.1'!#REF!</definedName>
    <definedName name="f" localSheetId="0">#REF!</definedName>
    <definedName name="f" localSheetId="5">#REF!</definedName>
    <definedName name="f" localSheetId="6">#REF!</definedName>
    <definedName name="f">#REF!</definedName>
    <definedName name="FA_KOM" localSheetId="4">[101]DEPK2003!$A$932:$L$953</definedName>
    <definedName name="FA_KOM">[102]DEPK2003!$A$932:$L$953</definedName>
    <definedName name="Facility_1">'[65]^Facility'!$A$2</definedName>
    <definedName name="FADE" localSheetId="0">#REF!</definedName>
    <definedName name="FADE" localSheetId="5">#REF!</definedName>
    <definedName name="FADE" localSheetId="6">#REF!</definedName>
    <definedName name="FADE">#REF!</definedName>
    <definedName name="fctr" localSheetId="0">[72]Piping!#REF!</definedName>
    <definedName name="fctr" localSheetId="4">[80]Piping!#REF!</definedName>
    <definedName name="fctr" localSheetId="5">[72]Piping!#REF!</definedName>
    <definedName name="fctr" localSheetId="6">[72]Piping!#REF!</definedName>
    <definedName name="fctr">[72]Piping!#REF!</definedName>
    <definedName name="fctrL" localSheetId="0">[72]Piping!#REF!</definedName>
    <definedName name="fctrl" localSheetId="4">[80]Piping!#REF!</definedName>
    <definedName name="fctrL" localSheetId="5">[72]Piping!#REF!</definedName>
    <definedName name="fctrL" localSheetId="6">[72]Piping!#REF!</definedName>
    <definedName name="fctrL">[72]Piping!#REF!</definedName>
    <definedName name="fctrM" localSheetId="0">[72]Piping!#REF!</definedName>
    <definedName name="fctrm" localSheetId="4">[80]Piping!#REF!</definedName>
    <definedName name="fctrM" localSheetId="5">[72]Piping!#REF!</definedName>
    <definedName name="fctrM" localSheetId="6">[72]Piping!#REF!</definedName>
    <definedName name="fctrM">[72]Piping!#REF!</definedName>
    <definedName name="FCurrency" localSheetId="0">#REF!</definedName>
    <definedName name="FCurrency" localSheetId="5">#REF!</definedName>
    <definedName name="FCurrency" localSheetId="6">#REF!</definedName>
    <definedName name="FCurrency">#REF!</definedName>
    <definedName name="FD" localSheetId="0">#REF!</definedName>
    <definedName name="FD" localSheetId="5">#REF!</definedName>
    <definedName name="FD" localSheetId="6">#REF!</definedName>
    <definedName name="FD">#REF!</definedName>
    <definedName name="fdfgf">'[87]USDt_FS(4)'!$B$84:XEV$133</definedName>
    <definedName name="fdfw" localSheetId="0">#REF!</definedName>
    <definedName name="fdfw" localSheetId="5">#REF!</definedName>
    <definedName name="fdfw" localSheetId="6">#REF!</definedName>
    <definedName name="fdfw">#REF!</definedName>
    <definedName name="fdg" localSheetId="2" hidden="1">#REF!</definedName>
    <definedName name="fdg" localSheetId="0" hidden="1">#REF!</definedName>
    <definedName name="fdg" localSheetId="5" hidden="1">#REF!</definedName>
    <definedName name="fdg" localSheetId="6" hidden="1">#REF!</definedName>
    <definedName name="fdg" hidden="1">#REF!</definedName>
    <definedName name="fdggffgfg">'[87]USDt_FS(4)'!$B$40:$AD$80</definedName>
    <definedName name="Feb" localSheetId="4">'[15]Interest Principle MTM-21-'!$E$4</definedName>
    <definedName name="Feb">'[12]Interest Principle MTM-21-'!$E$4</definedName>
    <definedName name="FEBC" localSheetId="0">#REF!</definedName>
    <definedName name="FEBC" localSheetId="4">[15]Plan!$F$7</definedName>
    <definedName name="FEBC" localSheetId="5">#REF!</definedName>
    <definedName name="FEBC" localSheetId="6">#REF!</definedName>
    <definedName name="FEBC">#REF!</definedName>
    <definedName name="FEBP" localSheetId="0">#REF!</definedName>
    <definedName name="FEBP" localSheetId="4">[15]Plan!$T$7</definedName>
    <definedName name="FEBP" localSheetId="5">#REF!</definedName>
    <definedName name="FEBP" localSheetId="6">#REF!</definedName>
    <definedName name="FEBP">#REF!</definedName>
    <definedName name="ff" localSheetId="0">'[103]Note to account'!#REF!</definedName>
    <definedName name="ff" localSheetId="5">'[103]Note to account'!#REF!</definedName>
    <definedName name="ff" localSheetId="6">'[103]Note to account'!#REF!</definedName>
    <definedName name="ff">'[103]Note to account'!#REF!</definedName>
    <definedName name="FG_FAB_BS" localSheetId="0">#REF!</definedName>
    <definedName name="FG_FAB_BS" localSheetId="5">#REF!</definedName>
    <definedName name="FG_FAB_BS" localSheetId="6">#REF!</definedName>
    <definedName name="FG_FAB_BS">#REF!</definedName>
    <definedName name="FG_FAB_RP" localSheetId="0">#REF!</definedName>
    <definedName name="FG_FAB_RP" localSheetId="5">#REF!</definedName>
    <definedName name="FG_FAB_RP" localSheetId="6">#REF!</definedName>
    <definedName name="FG_FAB_RP">#REF!</definedName>
    <definedName name="FG_GM_PCS" localSheetId="0">#REF!</definedName>
    <definedName name="FG_GM_PCS" localSheetId="5">#REF!</definedName>
    <definedName name="FG_GM_PCS" localSheetId="6">#REF!</definedName>
    <definedName name="FG_GM_PCS">#REF!</definedName>
    <definedName name="FG_GM_RP" localSheetId="0">#REF!</definedName>
    <definedName name="FG_GM_RP" localSheetId="5">#REF!</definedName>
    <definedName name="FG_GM_RP" localSheetId="6">#REF!</definedName>
    <definedName name="FG_GM_RP">#REF!</definedName>
    <definedName name="FG_TOW_RP" localSheetId="0">#REF!</definedName>
    <definedName name="FG_TOW_RP" localSheetId="5">#REF!</definedName>
    <definedName name="FG_TOW_RP" localSheetId="6">#REF!</definedName>
    <definedName name="FG_TOW_RP">#REF!</definedName>
    <definedName name="fg_TWL_M" localSheetId="0">#REF!</definedName>
    <definedName name="fg_TWL_M" localSheetId="5">#REF!</definedName>
    <definedName name="fg_TWL_M" localSheetId="6">#REF!</definedName>
    <definedName name="fg_TWL_M">#REF!</definedName>
    <definedName name="FG_WASTE_KG" localSheetId="0">#REF!</definedName>
    <definedName name="FG_WASTE_KG" localSheetId="5">#REF!</definedName>
    <definedName name="FG_WASTE_KG" localSheetId="6">#REF!</definedName>
    <definedName name="FG_WASTE_KG">#REF!</definedName>
    <definedName name="FG_WASTE_RP" localSheetId="0">#REF!</definedName>
    <definedName name="FG_WASTE_RP" localSheetId="5">#REF!</definedName>
    <definedName name="FG_WASTE_RP" localSheetId="6">#REF!</definedName>
    <definedName name="FG_WASTE_RP">#REF!</definedName>
    <definedName name="FG_YARN_BS" localSheetId="0">#REF!</definedName>
    <definedName name="FG_YARN_BS" localSheetId="5">#REF!</definedName>
    <definedName name="FG_YARN_BS" localSheetId="6">#REF!</definedName>
    <definedName name="FG_YARN_BS">#REF!</definedName>
    <definedName name="FG_YARN_RP" localSheetId="0">#REF!</definedName>
    <definedName name="FG_YARN_RP" localSheetId="5">#REF!</definedName>
    <definedName name="FG_YARN_RP" localSheetId="6">#REF!</definedName>
    <definedName name="FG_YARN_RP">#REF!</definedName>
    <definedName name="fhfhfyfduy" localSheetId="2" hidden="1">#REF!</definedName>
    <definedName name="fhfhfyfduy" localSheetId="0" hidden="1">#REF!</definedName>
    <definedName name="fhfhfyfduy" localSheetId="5" hidden="1">#REF!</definedName>
    <definedName name="fhfhfyfduy" localSheetId="6" hidden="1">#REF!</definedName>
    <definedName name="fhfhfyfduy" hidden="1">#REF!</definedName>
    <definedName name="fhgffhg" localSheetId="2" hidden="1">#REF!</definedName>
    <definedName name="fhgffhg" localSheetId="0" hidden="1">#REF!</definedName>
    <definedName name="fhgffhg" localSheetId="5" hidden="1">#REF!</definedName>
    <definedName name="fhgffhg" localSheetId="6" hidden="1">#REF!</definedName>
    <definedName name="fhgffhg" hidden="1">#REF!</definedName>
    <definedName name="Field_drain" localSheetId="0">#REF!</definedName>
    <definedName name="Field_drain" localSheetId="5">#REF!</definedName>
    <definedName name="Field_drain" localSheetId="6">#REF!</definedName>
    <definedName name="Field_drain">#REF!</definedName>
    <definedName name="Field_Drain___m" localSheetId="0">#REF!</definedName>
    <definedName name="Field_Drain___m" localSheetId="5">#REF!</definedName>
    <definedName name="Field_Drain___m" localSheetId="6">#REF!</definedName>
    <definedName name="Field_Drain___m">#REF!</definedName>
    <definedName name="FilledAnswers" localSheetId="0">#REF!</definedName>
    <definedName name="FilledAnswers" localSheetId="5">#REF!</definedName>
    <definedName name="FilledAnswers" localSheetId="6">#REF!</definedName>
    <definedName name="FilledAnswers">#REF!</definedName>
    <definedName name="FinExpGMTytd" localSheetId="0">[48]PREV!#REF!</definedName>
    <definedName name="FinExpGMTytd" localSheetId="5">[48]PREV!#REF!</definedName>
    <definedName name="FinExpGMTytd" localSheetId="6">[48]PREV!#REF!</definedName>
    <definedName name="FinExpGMTytd">[48]PREV!#REF!</definedName>
    <definedName name="FinExpJGEytd" localSheetId="0">[48]PREV!#REF!</definedName>
    <definedName name="FinExpJGEytd" localSheetId="5">[48]PREV!#REF!</definedName>
    <definedName name="FinExpJGEytd" localSheetId="6">[48]PREV!#REF!</definedName>
    <definedName name="FinExpJGEytd">[48]PREV!#REF!</definedName>
    <definedName name="FinExpWASytd" localSheetId="0">[48]PREV!#REF!</definedName>
    <definedName name="FinExpWASytd" localSheetId="5">[48]PREV!#REF!</definedName>
    <definedName name="FinExpWASytd" localSheetId="6">[48]PREV!#REF!</definedName>
    <definedName name="FinExpWASytd">[48]PREV!#REF!</definedName>
    <definedName name="fixed_asset" localSheetId="0">'[2]TB-WP'!#REF!</definedName>
    <definedName name="fixed_asset" localSheetId="4">'[11]TB-WP'!#REF!</definedName>
    <definedName name="fixed_asset" localSheetId="5">'[2]TB-WP'!#REF!</definedName>
    <definedName name="fixed_asset" localSheetId="6">'[2]TB-WP'!#REF!</definedName>
    <definedName name="fixed_asset">'[2]TB-WP'!#REF!</definedName>
    <definedName name="FixedTerm" localSheetId="0">#REF!</definedName>
    <definedName name="FixedTerm" localSheetId="5">#REF!</definedName>
    <definedName name="FixedTerm" localSheetId="6">#REF!</definedName>
    <definedName name="FixedTerm">#REF!</definedName>
    <definedName name="FOB_RP" localSheetId="0">#REF!</definedName>
    <definedName name="FOB_RP" localSheetId="4">#REF!</definedName>
    <definedName name="FOB_RP" localSheetId="5">#REF!</definedName>
    <definedName name="FOB_RP" localSheetId="6">#REF!</definedName>
    <definedName name="FOB_RP">#REF!</definedName>
    <definedName name="FOB_USD" localSheetId="0">#REF!</definedName>
    <definedName name="FOB_USD" localSheetId="4">#REF!</definedName>
    <definedName name="FOB_USD" localSheetId="5">#REF!</definedName>
    <definedName name="FOB_USD" localSheetId="6">#REF!</definedName>
    <definedName name="FOB_USD">#REF!</definedName>
    <definedName name="Forex" localSheetId="0">#REF!</definedName>
    <definedName name="Forex" localSheetId="5">#REF!</definedName>
    <definedName name="Forex" localSheetId="6">#REF!</definedName>
    <definedName name="Forex">#REF!</definedName>
    <definedName name="FORM" localSheetId="0">#REF!</definedName>
    <definedName name="FORM" localSheetId="5">#REF!</definedName>
    <definedName name="FORM" localSheetId="6">#REF!</definedName>
    <definedName name="FORM">#REF!</definedName>
    <definedName name="FORM___0" localSheetId="0">#REF!</definedName>
    <definedName name="FORM___0" localSheetId="5">#REF!</definedName>
    <definedName name="FORM___0" localSheetId="6">#REF!</definedName>
    <definedName name="FORM___0">#REF!</definedName>
    <definedName name="form1" localSheetId="0">#REF!</definedName>
    <definedName name="form1" localSheetId="5">#REF!</definedName>
    <definedName name="form1" localSheetId="6">#REF!</definedName>
    <definedName name="form1">#REF!</definedName>
    <definedName name="ForwardingFS">[104]FS!$1:$200</definedName>
    <definedName name="Frcst" localSheetId="0">#REF!</definedName>
    <definedName name="Frcst" localSheetId="5">#REF!</definedName>
    <definedName name="Frcst" localSheetId="6">#REF!</definedName>
    <definedName name="Frcst">#REF!</definedName>
    <definedName name="Freeform2">'[65]^Cost_RevenueSummary'!$B$9</definedName>
    <definedName name="Freeform3">'[65]^Freeform (3)'!$B$11</definedName>
    <definedName name="FRG_RP" localSheetId="0">#REF!</definedName>
    <definedName name="FRG_RP" localSheetId="4">#REF!</definedName>
    <definedName name="FRG_RP" localSheetId="5">#REF!</definedName>
    <definedName name="FRG_RP" localSheetId="6">#REF!</definedName>
    <definedName name="FRG_RP">#REF!</definedName>
    <definedName name="FRG_USD" localSheetId="0">#REF!</definedName>
    <definedName name="FRG_USD" localSheetId="5">#REF!</definedName>
    <definedName name="FRG_USD" localSheetId="6">#REF!</definedName>
    <definedName name="FRG_USD">#REF!</definedName>
    <definedName name="frmGantiSheetInduk_Show">#N/A</definedName>
    <definedName name="FS" localSheetId="0">#REF!</definedName>
    <definedName name="FS" localSheetId="5">#REF!</definedName>
    <definedName name="FS" localSheetId="6">#REF!</definedName>
    <definedName name="FS">#REF!</definedName>
    <definedName name="FUEL" localSheetId="0">#REF!</definedName>
    <definedName name="FUEL" localSheetId="5">#REF!</definedName>
    <definedName name="FUEL" localSheetId="6">#REF!</definedName>
    <definedName name="FUEL">#REF!</definedName>
    <definedName name="Fwd." localSheetId="0">#REF!</definedName>
    <definedName name="Fwd." localSheetId="5">#REF!</definedName>
    <definedName name="Fwd." localSheetId="6">#REF!</definedName>
    <definedName name="Fwd.">#REF!</definedName>
    <definedName name="G" localSheetId="0">#REF!</definedName>
    <definedName name="G" localSheetId="5">#REF!</definedName>
    <definedName name="G" localSheetId="6">#REF!</definedName>
    <definedName name="G">#REF!</definedName>
    <definedName name="ga_exp">'[105]PL Mar'!$BQ$761:$BQ$951</definedName>
    <definedName name="Gang" localSheetId="0">#REF!</definedName>
    <definedName name="Gang" localSheetId="5">#REF!</definedName>
    <definedName name="Gang" localSheetId="6">#REF!</definedName>
    <definedName name="Gang">#REF!</definedName>
    <definedName name="GDGHDDG">'[18]Man power'!$BB$53</definedName>
    <definedName name="Gearing1" localSheetId="0">#REF!</definedName>
    <definedName name="Gearing1" localSheetId="5">#REF!</definedName>
    <definedName name="Gearing1" localSheetId="6">#REF!</definedName>
    <definedName name="Gearing1">#REF!</definedName>
    <definedName name="General_Information" localSheetId="0">#REF!</definedName>
    <definedName name="General_Information" localSheetId="5">#REF!</definedName>
    <definedName name="General_Information" localSheetId="6">#REF!</definedName>
    <definedName name="General_Information">#REF!</definedName>
    <definedName name="gf" localSheetId="2" hidden="1">{"'Income Statement'!$A$1:$L$32"}</definedName>
    <definedName name="gf" localSheetId="0" hidden="1">{"'Income Statement'!$A$1:$L$32"}</definedName>
    <definedName name="gf" hidden="1">{"'Income Statement'!$A$1:$L$32"}</definedName>
    <definedName name="GG" localSheetId="0">'[106]TB-WP'!#REF!</definedName>
    <definedName name="GG" localSheetId="4">'[107]TB-WP'!#REF!</definedName>
    <definedName name="GG" localSheetId="5">'[106]TB-WP'!#REF!</definedName>
    <definedName name="GG" localSheetId="6">'[106]TB-WP'!#REF!</definedName>
    <definedName name="GG">'[106]TB-WP'!#REF!</definedName>
    <definedName name="GGS" localSheetId="0">'[108]Man power'!#REF!</definedName>
    <definedName name="GGS" localSheetId="5">'[108]Man power'!#REF!</definedName>
    <definedName name="GGS" localSheetId="6">'[108]Man power'!#REF!</definedName>
    <definedName name="GGS">'[108]Man power'!#REF!</definedName>
    <definedName name="gh" localSheetId="0">#REF!</definedName>
    <definedName name="gh" localSheetId="5">#REF!</definedName>
    <definedName name="gh" localSheetId="6">#REF!</definedName>
    <definedName name="gh">#REF!</definedName>
    <definedName name="ghvhg" localSheetId="0">[109]IDR!#REF!</definedName>
    <definedName name="ghvhg" localSheetId="5">[109]IDR!#REF!</definedName>
    <definedName name="ghvhg" localSheetId="6">[109]IDR!#REF!</definedName>
    <definedName name="ghvhg">[109]IDR!#REF!</definedName>
    <definedName name="GKET" localSheetId="0">[72]Piping!#REF!</definedName>
    <definedName name="GKET" localSheetId="4">[91]Piping!$AE$97</definedName>
    <definedName name="GKET" localSheetId="5">[72]Piping!#REF!</definedName>
    <definedName name="GKET" localSheetId="6">[72]Piping!#REF!</definedName>
    <definedName name="GKET">[72]Piping!#REF!</definedName>
    <definedName name="GLAssumptions" localSheetId="0">#REF!</definedName>
    <definedName name="GLAssumptions" localSheetId="5">#REF!</definedName>
    <definedName name="GLAssumptions" localSheetId="6">#REF!</definedName>
    <definedName name="GLAssumptions">#REF!</definedName>
    <definedName name="go" localSheetId="0">#REF!</definedName>
    <definedName name="go" localSheetId="4">#REF!</definedName>
    <definedName name="go" localSheetId="5">#REF!</definedName>
    <definedName name="go" localSheetId="6">#REF!</definedName>
    <definedName name="go">#REF!</definedName>
    <definedName name="Goodwill" localSheetId="0">#REF!</definedName>
    <definedName name="Goodwill" localSheetId="5">#REF!</definedName>
    <definedName name="Goodwill" localSheetId="6">#REF!</definedName>
    <definedName name="Goodwill">#REF!</definedName>
    <definedName name="Graph_Feed" localSheetId="0">#REF!</definedName>
    <definedName name="Graph_Feed" localSheetId="5">#REF!</definedName>
    <definedName name="Graph_Feed" localSheetId="6">#REF!</definedName>
    <definedName name="Graph_Feed">#REF!</definedName>
    <definedName name="Gross" localSheetId="0">#REF!</definedName>
    <definedName name="Gross" localSheetId="5">#REF!</definedName>
    <definedName name="Gross" localSheetId="6">#REF!</definedName>
    <definedName name="Gross">#REF!</definedName>
    <definedName name="Group" localSheetId="0">#REF!</definedName>
    <definedName name="Group" localSheetId="5">#REF!</definedName>
    <definedName name="Group" localSheetId="6">#REF!</definedName>
    <definedName name="Group">#REF!</definedName>
    <definedName name="Group_3" localSheetId="0">#REF!</definedName>
    <definedName name="Group_3" localSheetId="5">#REF!</definedName>
    <definedName name="Group_3" localSheetId="6">#REF!</definedName>
    <definedName name="Group_3">#REF!</definedName>
    <definedName name="Group_4" localSheetId="0">#REF!</definedName>
    <definedName name="Group_4" localSheetId="5">#REF!</definedName>
    <definedName name="Group_4" localSheetId="6">#REF!</definedName>
    <definedName name="Group_4">#REF!</definedName>
    <definedName name="Group_5" localSheetId="0">#REF!</definedName>
    <definedName name="Group_5" localSheetId="5">#REF!</definedName>
    <definedName name="Group_5" localSheetId="6">#REF!</definedName>
    <definedName name="Group_5">#REF!</definedName>
    <definedName name="Group_6" localSheetId="0">#REF!</definedName>
    <definedName name="Group_6" localSheetId="5">#REF!</definedName>
    <definedName name="Group_6" localSheetId="6">#REF!</definedName>
    <definedName name="Group_6">#REF!</definedName>
    <definedName name="Group_7" localSheetId="0">#REF!</definedName>
    <definedName name="Group_7" localSheetId="5">#REF!</definedName>
    <definedName name="Group_7" localSheetId="6">#REF!</definedName>
    <definedName name="Group_7">#REF!</definedName>
    <definedName name="Group_8" localSheetId="0">#REF!</definedName>
    <definedName name="Group_8" localSheetId="5">#REF!</definedName>
    <definedName name="Group_8" localSheetId="6">#REF!</definedName>
    <definedName name="Group_8">#REF!</definedName>
    <definedName name="guarantee" localSheetId="0">'[2]TB-WP'!#REF!</definedName>
    <definedName name="guarantee" localSheetId="4">'[11]TB-WP'!#REF!</definedName>
    <definedName name="guarantee" localSheetId="5">'[2]TB-WP'!#REF!</definedName>
    <definedName name="guarantee" localSheetId="6">'[2]TB-WP'!#REF!</definedName>
    <definedName name="guarantee">'[2]TB-WP'!#REF!</definedName>
    <definedName name="GWillAcq" localSheetId="0">#REF!</definedName>
    <definedName name="GWillAcq" localSheetId="5">#REF!</definedName>
    <definedName name="GWillAcq" localSheetId="6">#REF!</definedName>
    <definedName name="GWillAcq">#REF!</definedName>
    <definedName name="gwswitch" localSheetId="0">#REF!</definedName>
    <definedName name="gwswitch" localSheetId="5">#REF!</definedName>
    <definedName name="gwswitch" localSheetId="6">#REF!</definedName>
    <definedName name="gwswitch">#REF!</definedName>
    <definedName name="h" localSheetId="0">#REF!</definedName>
    <definedName name="h" localSheetId="5">#REF!</definedName>
    <definedName name="h" localSheetId="6">#REF!</definedName>
    <definedName name="h">#REF!</definedName>
    <definedName name="Harus_nol" localSheetId="0">'[110]BS-PL Komersil and Fiskal'!#REF!</definedName>
    <definedName name="Harus_nol" localSheetId="4">'[111]BS-PL Komersil and Fiskal'!#REF!</definedName>
    <definedName name="Harus_nol" localSheetId="5">'[110]BS-PL Komersil and Fiskal'!#REF!</definedName>
    <definedName name="Harus_nol" localSheetId="6">'[110]BS-PL Komersil and Fiskal'!#REF!</definedName>
    <definedName name="Harus_nol">'[110]BS-PL Komersil and Fiskal'!#REF!</definedName>
    <definedName name="Harv._Check" localSheetId="0">#REF!</definedName>
    <definedName name="Harv._Check" localSheetId="5">#REF!</definedName>
    <definedName name="Harv._Check" localSheetId="6">#REF!</definedName>
    <definedName name="Harv._Check">#REF!</definedName>
    <definedName name="HEADDAYA3">'[112]Calendar 2006'!$R$33:$W$38,'[112]Calendar 2006'!$J$33:$O$38,'[112]Calendar 2006'!$B$33:$G$38,'[112]Calendar 2006'!$B$24:$G$29,'[112]Calendar 2006'!$J$24:$O$29,'[112]Calendar 2006'!$R$24:$W$29,'[112]Calendar 2006'!$R$15:$W$20,'[112]Calendar 2006'!$J$15:$O$19,'[112]Calendar 2006'!$J$20:$O$20,'[112]Calendar 2006'!$B$15:$G$20,'[112]Calendar 2006'!$B$6:$G$11,'[112]Calendar 2006'!$J$6:$O$11,'[112]Calendar 2006'!$R$6:$W$11</definedName>
    <definedName name="HEADDAYA4" localSheetId="0">'[112]Calendar 2006'!$B$6:$G$11,'[112]Calendar 2006'!#REF!,'[112]Calendar 2006'!$O$6,'[112]Calendar 2006'!$J$6:$O$11,'[112]Calendar 2006'!$R$6:$W$11,'[112]Calendar 2006'!$B$15:$G$20,'[112]Calendar 2006'!$J$15:$O$20,'[112]Calendar 2006'!$R$15:$W$20,'[112]Calendar 2006'!$B$24:$G$29,'[112]Calendar 2006'!$J$24:$O$28,'[112]Calendar 2006'!$J$24:$O$29,'[112]Calendar 2006'!$R$24:$W$28,'[112]Calendar 2006'!$W$28,'[112]Calendar 2006'!$R$24:$W$29,'[112]Calendar 2006'!$B$33:$G$38,'[112]Calendar 2006'!$J$33:$O$38,'[112]Calendar 2006'!$R$33:$W$38</definedName>
    <definedName name="HEADDAYA4" localSheetId="5">'[112]Calendar 2006'!$B$6:$G$11,'[112]Calendar 2006'!#REF!,'[112]Calendar 2006'!$O$6,'[112]Calendar 2006'!$J$6:$O$11,'[112]Calendar 2006'!$R$6:$W$11,'[112]Calendar 2006'!$B$15:$G$20,'[112]Calendar 2006'!$J$15:$O$20,'[112]Calendar 2006'!$R$15:$W$20,'[112]Calendar 2006'!$B$24:$G$29,'[112]Calendar 2006'!$J$24:$O$28,'[112]Calendar 2006'!$J$24:$O$29,'[112]Calendar 2006'!$R$24:$W$28,'[112]Calendar 2006'!$W$28,'[112]Calendar 2006'!$R$24:$W$29,'[112]Calendar 2006'!$B$33:$G$38,'[112]Calendar 2006'!$J$33:$O$38,'[112]Calendar 2006'!$R$33:$W$38</definedName>
    <definedName name="HEADDAYA4" localSheetId="6">'[112]Calendar 2006'!$B$6:$G$11,'[112]Calendar 2006'!#REF!,'[112]Calendar 2006'!$O$6,'[112]Calendar 2006'!$J$6:$O$11,'[112]Calendar 2006'!$R$6:$W$11,'[112]Calendar 2006'!$B$15:$G$20,'[112]Calendar 2006'!$J$15:$O$20,'[112]Calendar 2006'!$R$15:$W$20,'[112]Calendar 2006'!$B$24:$G$29,'[112]Calendar 2006'!$J$24:$O$28,'[112]Calendar 2006'!$J$24:$O$29,'[112]Calendar 2006'!$R$24:$W$28,'[112]Calendar 2006'!$W$28,'[112]Calendar 2006'!$R$24:$W$29,'[112]Calendar 2006'!$B$33:$G$38,'[112]Calendar 2006'!$J$33:$O$38,'[112]Calendar 2006'!$R$33:$W$38</definedName>
    <definedName name="HEADDAYA4">'[112]Calendar 2006'!$B$6:$G$11,'[112]Calendar 2006'!#REF!,'[112]Calendar 2006'!$O$6,'[112]Calendar 2006'!$J$6:$O$11,'[112]Calendar 2006'!$R$6:$W$11,'[112]Calendar 2006'!$B$15:$G$20,'[112]Calendar 2006'!$J$15:$O$20,'[112]Calendar 2006'!$R$15:$W$20,'[112]Calendar 2006'!$B$24:$G$29,'[112]Calendar 2006'!$J$24:$O$28,'[112]Calendar 2006'!$J$24:$O$29,'[112]Calendar 2006'!$R$24:$W$28,'[112]Calendar 2006'!$W$28,'[112]Calendar 2006'!$R$24:$W$29,'[112]Calendar 2006'!$B$33:$G$38,'[112]Calendar 2006'!$J$33:$O$38,'[112]Calendar 2006'!$R$33:$W$38</definedName>
    <definedName name="HEADWEEKA3">'[112]Calendar 2006'!$B$5:$G$5,'[112]Calendar 2006'!$J$5:$O$5,'[112]Calendar 2006'!$R$5:$W$5,'[112]Calendar 2006'!$B$14:$G$14,'[112]Calendar 2006'!$J$14:$O$14,'[112]Calendar 2006'!$R$14:$W$14,'[112]Calendar 2006'!$B$23:$G$23,'[112]Calendar 2006'!$J$23:$O$23,'[112]Calendar 2006'!$R$23:$W$23,'[112]Calendar 2006'!$B$32:$G$32,'[112]Calendar 2006'!$J$32:$O$32,'[112]Calendar 2006'!$R$32:$W$32</definedName>
    <definedName name="HEADWEEKA4">'[112]Calendar 2006'!$B$5:$G$5,'[112]Calendar 2006'!$J$5:$O$5,'[112]Calendar 2006'!$R$5:$W$5,'[112]Calendar 2006'!$R$14:$W$14,'[112]Calendar 2006'!$J$14:$O$14,'[112]Calendar 2006'!$B$14:$G$14,'[112]Calendar 2006'!$R$23:$W$23,'[112]Calendar 2006'!$J$23:$O$23,'[112]Calendar 2006'!$B$23:$G$23,'[112]Calendar 2006'!$R$32:$W$32,'[112]Calendar 2006'!$J$32:$O$32,'[112]Calendar 2006'!$B$32:$G$32</definedName>
    <definedName name="hfd" localSheetId="0">#REF!</definedName>
    <definedName name="hfd" localSheetId="5">#REF!</definedName>
    <definedName name="hfd" localSheetId="6">#REF!</definedName>
    <definedName name="hfd">#REF!</definedName>
    <definedName name="hhh" localSheetId="0">#REF!</definedName>
    <definedName name="hhh" localSheetId="5">#REF!</definedName>
    <definedName name="hhh" localSheetId="6">#REF!</definedName>
    <definedName name="hhh">#REF!</definedName>
    <definedName name="hk" localSheetId="0">#REF!</definedName>
    <definedName name="hk" localSheetId="4">#REF!</definedName>
    <definedName name="hk" localSheetId="5">#REF!</definedName>
    <definedName name="hk" localSheetId="6">#REF!</definedName>
    <definedName name="hk">#REF!</definedName>
    <definedName name="HONGZEFS">'[113]FS '!$1:$1048576</definedName>
    <definedName name="HQA_By" localSheetId="0">#REF!</definedName>
    <definedName name="HQA_By" localSheetId="5">#REF!</definedName>
    <definedName name="HQA_By" localSheetId="6">#REF!</definedName>
    <definedName name="HQA_By">#REF!</definedName>
    <definedName name="HQA_Date" localSheetId="0">#REF!</definedName>
    <definedName name="HQA_Date" localSheetId="5">#REF!</definedName>
    <definedName name="HQA_Date" localSheetId="6">#REF!</definedName>
    <definedName name="HQA_Date">#REF!</definedName>
    <definedName name="HQA_Received" localSheetId="0">#REF!</definedName>
    <definedName name="HQA_Received" localSheetId="5">#REF!</definedName>
    <definedName name="HQA_Received" localSheetId="6">#REF!</definedName>
    <definedName name="HQA_Received">#REF!</definedName>
    <definedName name="HQA_Transfer" localSheetId="0">#REF!</definedName>
    <definedName name="HQA_Transfer" localSheetId="5">#REF!</definedName>
    <definedName name="HQA_Transfer" localSheetId="6">#REF!</definedName>
    <definedName name="HQA_Transfer">#REF!</definedName>
    <definedName name="HS" localSheetId="0">'[30]98-1-OVT'!#REF!</definedName>
    <definedName name="HS" localSheetId="5">'[30]98-1-OVT'!#REF!</definedName>
    <definedName name="HS" localSheetId="6">'[30]98-1-OVT'!#REF!</definedName>
    <definedName name="HS">'[30]98-1-OVT'!#REF!</definedName>
    <definedName name="HTML_CodePage" hidden="1">1252</definedName>
    <definedName name="HTML_Control" localSheetId="2" hidden="1">{"'Income Statement'!$A$1:$L$32"}</definedName>
    <definedName name="HTML_Control" localSheetId="0" hidden="1">{"'Income Statement'!$A$1:$L$32"}</definedName>
    <definedName name="HTML_Control" hidden="1">{"'Income Statement'!$A$1:$L$32"}</definedName>
    <definedName name="HTML_Description" hidden="1">""</definedName>
    <definedName name="HTML_Email" hidden="1">""</definedName>
    <definedName name="HTML_Header" hidden="1">"Customer Financial Analysis"</definedName>
    <definedName name="HTML_LastUpdate" hidden="1">"4/19/99"</definedName>
    <definedName name="HTML_LineAfter" hidden="1">FALSE</definedName>
    <definedName name="HTML_LineBefore" hidden="1">FALSE</definedName>
    <definedName name="HTML_Name" hidden="1">"Terry Callahan"</definedName>
    <definedName name="HTML_OBDlg2" hidden="1">TRUE</definedName>
    <definedName name="HTML_OBDlg4" hidden="1">TRUE</definedName>
    <definedName name="HTML_OS" hidden="1">0</definedName>
    <definedName name="HTML_PathFile" hidden="1">"C:\My Documents\EXCEL\crf spread Income Statement.htm"</definedName>
    <definedName name="HTML_Title" hidden="1">"Credit Research Foundation"</definedName>
    <definedName name="Hurdle">[77]Financial!$D$27</definedName>
    <definedName name="Hutang_hubungan_khusus" localSheetId="0">'[67]Worksheet-03'!#REF!</definedName>
    <definedName name="Hutang_hubungan_khusus" localSheetId="4">'[68]Worksheet-03'!#REF!</definedName>
    <definedName name="Hutang_hubungan_khusus" localSheetId="5">'[67]Worksheet-03'!#REF!</definedName>
    <definedName name="Hutang_hubungan_khusus" localSheetId="6">'[67]Worksheet-03'!#REF!</definedName>
    <definedName name="Hutang_hubungan_khusus">'[67]Worksheet-03'!#REF!</definedName>
    <definedName name="Hutang_pajak" localSheetId="0">'[67]Worksheet-03'!#REF!</definedName>
    <definedName name="Hutang_pajak" localSheetId="4">'[68]Worksheet-03'!#REF!</definedName>
    <definedName name="Hutang_pajak" localSheetId="5">'[67]Worksheet-03'!#REF!</definedName>
    <definedName name="Hutang_pajak" localSheetId="6">'[67]Worksheet-03'!#REF!</definedName>
    <definedName name="Hutang_pajak">'[67]Worksheet-03'!#REF!</definedName>
    <definedName name="hyhy" localSheetId="2" hidden="1">[114]DbKtr!#REF!</definedName>
    <definedName name="hyhy" localSheetId="0" hidden="1">[114]DbKtr!#REF!</definedName>
    <definedName name="hyhy" localSheetId="5" hidden="1">[114]DbKtr!#REF!</definedName>
    <definedName name="hyhy" localSheetId="6" hidden="1">[114]DbKtr!#REF!</definedName>
    <definedName name="hyhy" hidden="1">[114]DbKtr!#REF!</definedName>
    <definedName name="i" localSheetId="0">#REF!</definedName>
    <definedName name="i" localSheetId="4">#REF!</definedName>
    <definedName name="i" localSheetId="5">#REF!</definedName>
    <definedName name="i" localSheetId="6">#REF!</definedName>
    <definedName name="i">#REF!</definedName>
    <definedName name="IBD" localSheetId="0">#REF!</definedName>
    <definedName name="IBD" localSheetId="5">#REF!</definedName>
    <definedName name="IBD" localSheetId="6">#REF!</definedName>
    <definedName name="IBD">#REF!</definedName>
    <definedName name="IDR" localSheetId="0">#REF!</definedName>
    <definedName name="IDR" localSheetId="5">#REF!</definedName>
    <definedName name="IDR" localSheetId="6">#REF!</definedName>
    <definedName name="IDR">#REF!</definedName>
    <definedName name="IDR_taxrate">[70]CTRL!$D$119</definedName>
    <definedName name="IHH_KRS" localSheetId="0">#REF!</definedName>
    <definedName name="IHH_KRS" localSheetId="4">#REF!</definedName>
    <definedName name="IHH_KRS" localSheetId="5">#REF!</definedName>
    <definedName name="IHH_KRS" localSheetId="6">#REF!</definedName>
    <definedName name="IHH_KRS">#REF!</definedName>
    <definedName name="IHH_RP" localSheetId="0">#REF!</definedName>
    <definedName name="IHH_RP" localSheetId="4">#REF!</definedName>
    <definedName name="IHH_RP" localSheetId="5">#REF!</definedName>
    <definedName name="IHH_RP" localSheetId="6">#REF!</definedName>
    <definedName name="IHH_RP">#REF!</definedName>
    <definedName name="iii" localSheetId="0">#REF!</definedName>
    <definedName name="iii" localSheetId="5">#REF!</definedName>
    <definedName name="iii" localSheetId="6">#REF!</definedName>
    <definedName name="iii">#REF!</definedName>
    <definedName name="ilo" localSheetId="0">#REF!</definedName>
    <definedName name="ilo" localSheetId="5">#REF!</definedName>
    <definedName name="ilo" localSheetId="6">#REF!</definedName>
    <definedName name="ilo">#REF!</definedName>
    <definedName name="ina" localSheetId="2" hidden="1">{"'Income Statement'!$A$1:$L$32"}</definedName>
    <definedName name="ina" localSheetId="0" hidden="1">{"'Income Statement'!$A$1:$L$32"}</definedName>
    <definedName name="ina" hidden="1">{"'Income Statement'!$A$1:$L$32"}</definedName>
    <definedName name="INAssumptions" localSheetId="0">#REF!</definedName>
    <definedName name="INAssumptions" localSheetId="5">#REF!</definedName>
    <definedName name="INAssumptions" localSheetId="6">#REF!</definedName>
    <definedName name="INAssumptions">#REF!</definedName>
    <definedName name="Income_Projection" localSheetId="0">#REF!</definedName>
    <definedName name="Income_Projection" localSheetId="5">#REF!</definedName>
    <definedName name="Income_Projection" localSheetId="6">#REF!</definedName>
    <definedName name="Income_Projection">#REF!</definedName>
    <definedName name="INDEKS" localSheetId="0">[115]B.1!#REF!</definedName>
    <definedName name="INDEKS" localSheetId="5">[115]B.1!#REF!</definedName>
    <definedName name="INDEKS" localSheetId="6">[115]B.1!#REF!</definedName>
    <definedName name="INDEKS">[115]B.1!#REF!</definedName>
    <definedName name="Index">[65]Index!$A$8</definedName>
    <definedName name="indri" localSheetId="2" hidden="1">#REF!</definedName>
    <definedName name="indri" localSheetId="0" hidden="1">#REF!</definedName>
    <definedName name="indri" localSheetId="5" hidden="1">#REF!</definedName>
    <definedName name="indri" localSheetId="6" hidden="1">#REF!</definedName>
    <definedName name="indri" hidden="1">#REF!</definedName>
    <definedName name="induk" localSheetId="2" hidden="1">#REF!</definedName>
    <definedName name="induk" localSheetId="0" hidden="1">#REF!</definedName>
    <definedName name="induk" localSheetId="5" hidden="1">#REF!</definedName>
    <definedName name="induk" localSheetId="6" hidden="1">#REF!</definedName>
    <definedName name="induk" hidden="1">#REF!</definedName>
    <definedName name="InfRate" localSheetId="0">#REF!</definedName>
    <definedName name="InfRate" localSheetId="5">#REF!</definedName>
    <definedName name="InfRate" localSheetId="6">#REF!</definedName>
    <definedName name="InfRate">#REF!</definedName>
    <definedName name="INPUT" localSheetId="0">'[1]KKP A.2.1'!#REF!</definedName>
    <definedName name="INPUT" localSheetId="4">'[1]KKP A.2.1'!#REF!</definedName>
    <definedName name="INPUT" localSheetId="5">'[1]KKP A.2.1'!#REF!</definedName>
    <definedName name="INPUT" localSheetId="6">'[1]KKP A.2.1'!#REF!</definedName>
    <definedName name="INPUT">'[1]KKP A.2.1'!#REF!</definedName>
    <definedName name="INS_RP" localSheetId="0">#REF!</definedName>
    <definedName name="INS_RP" localSheetId="4">#REF!</definedName>
    <definedName name="INS_RP" localSheetId="5">#REF!</definedName>
    <definedName name="INS_RP" localSheetId="6">#REF!</definedName>
    <definedName name="INS_RP">#REF!</definedName>
    <definedName name="INS_USD" localSheetId="0">#REF!</definedName>
    <definedName name="INS_USD" localSheetId="4">#REF!</definedName>
    <definedName name="INS_USD" localSheetId="5">#REF!</definedName>
    <definedName name="INS_USD" localSheetId="6">#REF!</definedName>
    <definedName name="INS_USD">#REF!</definedName>
    <definedName name="installment" localSheetId="0">#REF!</definedName>
    <definedName name="installment" localSheetId="5">#REF!</definedName>
    <definedName name="installment" localSheetId="6">#REF!</definedName>
    <definedName name="installment">#REF!</definedName>
    <definedName name="INTER" localSheetId="0">#REF!</definedName>
    <definedName name="INTER" localSheetId="5">#REF!</definedName>
    <definedName name="INTER" localSheetId="6">#REF!</definedName>
    <definedName name="INTER">#REF!</definedName>
    <definedName name="INTER_DIVISI" localSheetId="0">[48]PREV!#REF!</definedName>
    <definedName name="INTER_DIVISI" localSheetId="5">[48]PREV!#REF!</definedName>
    <definedName name="INTER_DIVISI" localSheetId="6">[48]PREV!#REF!</definedName>
    <definedName name="INTER_DIVISI">[48]PREV!#REF!</definedName>
    <definedName name="INTEREST" localSheetId="0">#REF!</definedName>
    <definedName name="INTEREST" localSheetId="5">#REF!</definedName>
    <definedName name="INTEREST" localSheetId="6">#REF!</definedName>
    <definedName name="INTEREST">#REF!</definedName>
    <definedName name="IntPaid" localSheetId="0">#REF!</definedName>
    <definedName name="IntPaid" localSheetId="5">#REF!</definedName>
    <definedName name="IntPaid" localSheetId="6">#REF!</definedName>
    <definedName name="IntPaid">#REF!</definedName>
    <definedName name="IntPaid98">[116]CFWork!$D$2</definedName>
    <definedName name="IntRate" localSheetId="0">#REF!</definedName>
    <definedName name="IntRate" localSheetId="5">#REF!</definedName>
    <definedName name="IntRate" localSheetId="6">#REF!</definedName>
    <definedName name="IntRate">#REF!</definedName>
    <definedName name="IntRcv" localSheetId="0">#REF!</definedName>
    <definedName name="IntRcv" localSheetId="5">#REF!</definedName>
    <definedName name="IntRcv" localSheetId="6">#REF!</definedName>
    <definedName name="IntRcv">#REF!</definedName>
    <definedName name="IntRcv98">[116]CFWork!$D$7</definedName>
    <definedName name="InTrm" localSheetId="0">#REF!</definedName>
    <definedName name="InTrm" localSheetId="5">#REF!</definedName>
    <definedName name="InTrm" localSheetId="6">#REF!</definedName>
    <definedName name="InTrm">#REF!</definedName>
    <definedName name="InvAdv" localSheetId="0">#REF!</definedName>
    <definedName name="InvAdv" localSheetId="5">#REF!</definedName>
    <definedName name="InvAdv" localSheetId="6">#REF!</definedName>
    <definedName name="InvAdv">#REF!</definedName>
    <definedName name="Inventory" localSheetId="0">#REF!</definedName>
    <definedName name="Inventory" localSheetId="5">#REF!</definedName>
    <definedName name="Inventory" localSheetId="6">#REF!</definedName>
    <definedName name="Inventory">#REF!</definedName>
    <definedName name="Investment" localSheetId="0">[117]Bank!#REF!</definedName>
    <definedName name="Investment" localSheetId="5">[117]Bank!#REF!</definedName>
    <definedName name="Investment" localSheetId="6">[117]Bank!#REF!</definedName>
    <definedName name="Investment">[117]Bank!#REF!</definedName>
    <definedName name="Invyr0" localSheetId="0">#REF!</definedName>
    <definedName name="Invyr0" localSheetId="5">#REF!</definedName>
    <definedName name="Invyr0" localSheetId="6">#REF!</definedName>
    <definedName name="Invyr0">#REF!</definedName>
    <definedName name="io">[118]Sheet5!$A$6:$E$606</definedName>
    <definedName name="ip" localSheetId="0">#REF!</definedName>
    <definedName name="ip" localSheetId="4">#REF!</definedName>
    <definedName name="ip" localSheetId="5">#REF!</definedName>
    <definedName name="ip" localSheetId="6">#REF!</definedName>
    <definedName name="ip">#REF!</definedName>
    <definedName name="IPIL">[119]FS!$A$1:$K$174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43231.1121180556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RR" localSheetId="0">#REF!</definedName>
    <definedName name="IRR" localSheetId="5">#REF!</definedName>
    <definedName name="IRR" localSheetId="6">#REF!</definedName>
    <definedName name="IRR">#REF!</definedName>
    <definedName name="IRR_Reference" localSheetId="0">#REF!</definedName>
    <definedName name="IRR_Reference" localSheetId="5">#REF!</definedName>
    <definedName name="IRR_Reference" localSheetId="6">#REF!</definedName>
    <definedName name="IRR_Reference">#REF!</definedName>
    <definedName name="irr_table" localSheetId="0">#REF!</definedName>
    <definedName name="irr_table" localSheetId="5">#REF!</definedName>
    <definedName name="irr_table" localSheetId="6">#REF!</definedName>
    <definedName name="irr_table">#REF!</definedName>
    <definedName name="IRRSC" localSheetId="0">#REF!</definedName>
    <definedName name="IRRSC" localSheetId="5">#REF!</definedName>
    <definedName name="IRRSC" localSheetId="6">#REF!</definedName>
    <definedName name="IRRSC">#REF!</definedName>
    <definedName name="IS" localSheetId="2" hidden="1">{"'Income Statement'!$A$1:$L$32"}</definedName>
    <definedName name="IS" localSheetId="0" hidden="1">{"'Income Statement'!$A$1:$L$32"}</definedName>
    <definedName name="IS" hidden="1">{"'Income Statement'!$A$1:$L$32"}</definedName>
    <definedName name="isi" localSheetId="0">#REF!</definedName>
    <definedName name="isi" localSheetId="4">#REF!</definedName>
    <definedName name="isi" localSheetId="5">#REF!</definedName>
    <definedName name="isi" localSheetId="6">#REF!</definedName>
    <definedName name="isi">#REF!</definedName>
    <definedName name="ITEM_CODE">[93]Items!$A$2:$A$12317</definedName>
    <definedName name="ITEM_CODE_3">[95]Items!$A$2:$A$12317</definedName>
    <definedName name="ITEM_CODE_4">[95]Items!$A$2:$A$12317</definedName>
    <definedName name="ITEM_CODE_5">[95]Items!$A$2:$A$12317</definedName>
    <definedName name="ITEM_CODE_6">[95]Items!$A$2:$A$12317</definedName>
    <definedName name="ITEM_CODE_7">[95]Items!$A$2:$A$12317</definedName>
    <definedName name="ITEM_CODE_8">[95]Items!$A$2:$A$12317</definedName>
    <definedName name="IV._KESIMPULAN_DAN_USUL_PEMERIKSA" localSheetId="0">#REF!</definedName>
    <definedName name="IV._KESIMPULAN_DAN_USUL_PEMERIKSA" localSheetId="5">#REF!</definedName>
    <definedName name="IV._KESIMPULAN_DAN_USUL_PEMERIKSA" localSheetId="6">#REF!</definedName>
    <definedName name="IV._KESIMPULAN_DAN_USUL_PEMERIKSA">#REF!</definedName>
    <definedName name="j" localSheetId="0">#REF!</definedName>
    <definedName name="j" localSheetId="5">#REF!</definedName>
    <definedName name="j" localSheetId="6">#REF!</definedName>
    <definedName name="j">#REF!</definedName>
    <definedName name="jaka" localSheetId="0">#REF!</definedName>
    <definedName name="jaka" localSheetId="5">#REF!</definedName>
    <definedName name="jaka" localSheetId="6">#REF!</definedName>
    <definedName name="jaka">#REF!</definedName>
    <definedName name="jakarta">#N/A</definedName>
    <definedName name="jaminan" localSheetId="0">'[2]TB-WP'!#REF!</definedName>
    <definedName name="jaminan" localSheetId="4">'[11]TB-WP'!#REF!</definedName>
    <definedName name="jaminan" localSheetId="5">'[2]TB-WP'!#REF!</definedName>
    <definedName name="jaminan" localSheetId="6">'[2]TB-WP'!#REF!</definedName>
    <definedName name="jaminan">'[2]TB-WP'!#REF!</definedName>
    <definedName name="Jan" localSheetId="4">'[15]Interest Principle MTM-21-'!$D$4</definedName>
    <definedName name="Jan">'[12]Interest Principle MTM-21-'!$D$4</definedName>
    <definedName name="JANC" localSheetId="0">#REF!</definedName>
    <definedName name="JANC" localSheetId="4">[15]Plan!$E$7</definedName>
    <definedName name="JANC" localSheetId="5">#REF!</definedName>
    <definedName name="JANC" localSheetId="6">#REF!</definedName>
    <definedName name="JANC">#REF!</definedName>
    <definedName name="JANP" localSheetId="0">#REF!</definedName>
    <definedName name="JANP" localSheetId="4">[15]Plan!$S$7</definedName>
    <definedName name="JANP" localSheetId="5">#REF!</definedName>
    <definedName name="JANP" localSheetId="6">#REF!</definedName>
    <definedName name="JANP">#REF!</definedName>
    <definedName name="JATI" localSheetId="0">#REF!</definedName>
    <definedName name="JATI" localSheetId="5">#REF!</definedName>
    <definedName name="JATI" localSheetId="6">#REF!</definedName>
    <definedName name="JATI">#REF!</definedName>
    <definedName name="jdhkhdsvkdfyskjd">'[87]USDt_FS(4)'!$B$84:XEV$133</definedName>
    <definedName name="jenisusaha">#N/A</definedName>
    <definedName name="jhrt" localSheetId="0">#REF!</definedName>
    <definedName name="jhrt" localSheetId="5">#REF!</definedName>
    <definedName name="jhrt" localSheetId="6">#REF!</definedName>
    <definedName name="jhrt">#REF!</definedName>
    <definedName name="jj" localSheetId="0">#REF!</definedName>
    <definedName name="jj" localSheetId="4">#REF!</definedName>
    <definedName name="jj" localSheetId="5">#REF!</definedName>
    <definedName name="jj" localSheetId="6">#REF!</definedName>
    <definedName name="jj">#REF!</definedName>
    <definedName name="jjjjjjjjjj" localSheetId="0">#REF!</definedName>
    <definedName name="jjjjjjjjjj" localSheetId="5">#REF!</definedName>
    <definedName name="jjjjjjjjjj" localSheetId="6">#REF!</definedName>
    <definedName name="jjjjjjjjjj">#REF!</definedName>
    <definedName name="jk" localSheetId="0">#REF!</definedName>
    <definedName name="jk" localSheetId="4">#REF!</definedName>
    <definedName name="jk" localSheetId="5">#REF!</definedName>
    <definedName name="jk" localSheetId="6">#REF!</definedName>
    <definedName name="jk">#REF!</definedName>
    <definedName name="jkbbjk" localSheetId="0">#REF!</definedName>
    <definedName name="jkbbjk" localSheetId="5">#REF!</definedName>
    <definedName name="jkbbjk" localSheetId="6">#REF!</definedName>
    <definedName name="jkbbjk">#REF!</definedName>
    <definedName name="jkgjkgukfkyuf" localSheetId="0">#REF!</definedName>
    <definedName name="jkgjkgukfkyuf" localSheetId="5">#REF!</definedName>
    <definedName name="jkgjkgukfkyuf" localSheetId="6">#REF!</definedName>
    <definedName name="jkgjkgukfkyuf">#REF!</definedName>
    <definedName name="jmlbulan">#N/A</definedName>
    <definedName name="jmlsanksi25_fis">#N/A</definedName>
    <definedName name="JN" localSheetId="0">#REF!</definedName>
    <definedName name="JN" localSheetId="4">#REF!</definedName>
    <definedName name="JN" localSheetId="5">#REF!</definedName>
    <definedName name="JN" localSheetId="6">#REF!</definedName>
    <definedName name="JN">#REF!</definedName>
    <definedName name="Job_Titles">'[65]^Wages_&amp;_OnCosts'!$B$22:$B$37</definedName>
    <definedName name="JS" localSheetId="0">'[30]98-1-OVT'!#REF!</definedName>
    <definedName name="JS" localSheetId="5">'[30]98-1-OVT'!#REF!</definedName>
    <definedName name="JS" localSheetId="6">'[30]98-1-OVT'!#REF!</definedName>
    <definedName name="JS">'[30]98-1-OVT'!#REF!</definedName>
    <definedName name="JUAL">#N/A</definedName>
    <definedName name="judul" localSheetId="0">#REF!</definedName>
    <definedName name="judul" localSheetId="4">#REF!</definedName>
    <definedName name="judul" localSheetId="5">#REF!</definedName>
    <definedName name="judul" localSheetId="6">#REF!</definedName>
    <definedName name="judul">#REF!</definedName>
    <definedName name="Jul" localSheetId="0">#REF!</definedName>
    <definedName name="Jul" localSheetId="4">'[15]Interest Principle MTM-21-'!$J$4</definedName>
    <definedName name="Jul" localSheetId="5">#REF!</definedName>
    <definedName name="Jul" localSheetId="6">#REF!</definedName>
    <definedName name="Jul">#REF!</definedName>
    <definedName name="JULC" localSheetId="0">#REF!</definedName>
    <definedName name="JULC" localSheetId="4">[15]Plan!$K$7</definedName>
    <definedName name="JULC" localSheetId="5">#REF!</definedName>
    <definedName name="JULC" localSheetId="6">#REF!</definedName>
    <definedName name="JULC">#REF!</definedName>
    <definedName name="JULP" localSheetId="0">#REF!</definedName>
    <definedName name="JULP" localSheetId="4">[15]Plan!$Y$7</definedName>
    <definedName name="JULP" localSheetId="5">#REF!</definedName>
    <definedName name="JULP" localSheetId="6">#REF!</definedName>
    <definedName name="JULP">#REF!</definedName>
    <definedName name="Jun" localSheetId="0">#REF!</definedName>
    <definedName name="Jun" localSheetId="4">'[15]Interest Principle MTM-21-'!$I$4</definedName>
    <definedName name="Jun" localSheetId="5">#REF!</definedName>
    <definedName name="Jun" localSheetId="6">#REF!</definedName>
    <definedName name="Jun">#REF!</definedName>
    <definedName name="JUNC" localSheetId="0">#REF!</definedName>
    <definedName name="JUNC" localSheetId="4">[15]Plan!$J$7</definedName>
    <definedName name="JUNC" localSheetId="5">#REF!</definedName>
    <definedName name="JUNC" localSheetId="6">#REF!</definedName>
    <definedName name="JUNC">#REF!</definedName>
    <definedName name="JUNP" localSheetId="0">#REF!</definedName>
    <definedName name="JUNP" localSheetId="4">[15]Plan!$X$7</definedName>
    <definedName name="JUNP" localSheetId="5">#REF!</definedName>
    <definedName name="JUNP" localSheetId="6">#REF!</definedName>
    <definedName name="JUNP">#REF!</definedName>
    <definedName name="K" localSheetId="0">#REF!</definedName>
    <definedName name="k" localSheetId="4">#REF!</definedName>
    <definedName name="K" localSheetId="5">#REF!</definedName>
    <definedName name="K" localSheetId="6">#REF!</definedName>
    <definedName name="K">#REF!</definedName>
    <definedName name="K1_" localSheetId="0">#REF!</definedName>
    <definedName name="K1_" localSheetId="5">#REF!</definedName>
    <definedName name="K1_" localSheetId="6">#REF!</definedName>
    <definedName name="K1_">#REF!</definedName>
    <definedName name="K2_" localSheetId="0">#REF!</definedName>
    <definedName name="K2_" localSheetId="5">#REF!</definedName>
    <definedName name="K2_" localSheetId="6">#REF!</definedName>
    <definedName name="K2_">#REF!</definedName>
    <definedName name="kabid">#N/A</definedName>
    <definedName name="KAPAL" localSheetId="0">#REF!</definedName>
    <definedName name="KAPAL" localSheetId="4">#REF!</definedName>
    <definedName name="KAPAL" localSheetId="5">#REF!</definedName>
    <definedName name="KAPAL" localSheetId="6">#REF!</definedName>
    <definedName name="KAPAL">#REF!</definedName>
    <definedName name="kas" localSheetId="0">'[2]TB-WP'!#REF!</definedName>
    <definedName name="kas" localSheetId="4">'[11]TB-WP'!#REF!</definedName>
    <definedName name="kas" localSheetId="5">'[2]TB-WP'!#REF!</definedName>
    <definedName name="kas" localSheetId="6">'[2]TB-WP'!#REF!</definedName>
    <definedName name="kas">'[2]TB-WP'!#REF!</definedName>
    <definedName name="KEPALA" localSheetId="0">#REF!</definedName>
    <definedName name="KEPALA" localSheetId="5">#REF!</definedName>
    <definedName name="KEPALA" localSheetId="6">#REF!</definedName>
    <definedName name="KEPALA">#REF!</definedName>
    <definedName name="KET" localSheetId="0">#REF!</definedName>
    <definedName name="KET" localSheetId="5">#REF!</definedName>
    <definedName name="KET" localSheetId="6">#REF!</definedName>
    <definedName name="KET">#REF!</definedName>
    <definedName name="ketuatim">#N/A</definedName>
    <definedName name="khjdhdkhdkj">[86]table!$A$3:$D$14</definedName>
    <definedName name="KKKKK" localSheetId="0">'[58]TB-WP'!#REF!</definedName>
    <definedName name="KKKKK" localSheetId="4">'[58]TB-WP'!#REF!</definedName>
    <definedName name="KKKKK" localSheetId="5">'[58]TB-WP'!#REF!</definedName>
    <definedName name="KKKKK" localSheetId="6">'[58]TB-WP'!#REF!</definedName>
    <definedName name="KKKKK">'[58]TB-WP'!#REF!</definedName>
    <definedName name="kkkkkk" localSheetId="0">#REF!</definedName>
    <definedName name="kkkkkk" localSheetId="5">#REF!</definedName>
    <definedName name="kkkkkk" localSheetId="6">#REF!</definedName>
    <definedName name="kkkkkk">#REF!</definedName>
    <definedName name="kkkkkkkkkk">[120]Sheet1!$B$7</definedName>
    <definedName name="klddshdk">'[86]USDt_FS(4)'!$B$84:XEV$133</definedName>
    <definedName name="klk" localSheetId="2" hidden="1">{"'Income Statement'!$A$1:$L$32"}</definedName>
    <definedName name="klk" localSheetId="0" hidden="1">{"'Income Statement'!$A$1:$L$32"}</definedName>
    <definedName name="klk" hidden="1">{"'Income Statement'!$A$1:$L$32"}</definedName>
    <definedName name="klu">#N/A</definedName>
    <definedName name="KOM_FA" localSheetId="4">[121]DEPK2003!$A$932:$L$953</definedName>
    <definedName name="KOM_FA">[122]DEPK2003!$A$932:$L$953</definedName>
    <definedName name="kop">#N/A</definedName>
    <definedName name="kota">#N/A</definedName>
    <definedName name="KPI" localSheetId="0">#REF!</definedName>
    <definedName name="KPI" localSheetId="5">#REF!</definedName>
    <definedName name="KPI" localSheetId="6">#REF!</definedName>
    <definedName name="KPI">#REF!</definedName>
    <definedName name="KPP_Jkt">'[123]Data WP'!$E$20</definedName>
    <definedName name="KPP_Lok1">'[52]Data WP'!$E$21</definedName>
    <definedName name="Kredit">'[42]412'!$J$447</definedName>
    <definedName name="kredit_fis">#N/A</definedName>
    <definedName name="kredit_wp">'[124]I-PPh'!$E$24</definedName>
    <definedName name="KREIDT34">[7]LAPORAN!$T$1:$AC$56</definedName>
    <definedName name="ks" localSheetId="0">'[2]TB-WP'!#REF!</definedName>
    <definedName name="ks" localSheetId="4">'[11]TB-WP'!#REF!</definedName>
    <definedName name="ks" localSheetId="5">'[2]TB-WP'!#REF!</definedName>
    <definedName name="ks" localSheetId="6">'[2]TB-WP'!#REF!</definedName>
    <definedName name="ks">'[2]TB-WP'!#REF!</definedName>
    <definedName name="KURS" localSheetId="0">#REF!</definedName>
    <definedName name="KURS" localSheetId="4">#REF!</definedName>
    <definedName name="KURS" localSheetId="5">#REF!</definedName>
    <definedName name="KURS" localSheetId="6">#REF!</definedName>
    <definedName name="KURS">#REF!</definedName>
    <definedName name="KW" localSheetId="0">'[30]98-1-OVT'!#REF!</definedName>
    <definedName name="KW" localSheetId="5">'[30]98-1-OVT'!#REF!</definedName>
    <definedName name="KW" localSheetId="6">'[30]98-1-OVT'!#REF!</definedName>
    <definedName name="KW">'[30]98-1-OVT'!#REF!</definedName>
    <definedName name="L.RMH">#N/A</definedName>
    <definedName name="L.TNH">#N/A</definedName>
    <definedName name="LAMPB1" localSheetId="0">#REF!</definedName>
    <definedName name="LAMPB1" localSheetId="5">#REF!</definedName>
    <definedName name="LAMPB1" localSheetId="6">#REF!</definedName>
    <definedName name="LAMPB1">#REF!</definedName>
    <definedName name="lamppembr" localSheetId="0">#REF!</definedName>
    <definedName name="lamppembr" localSheetId="5">#REF!</definedName>
    <definedName name="lamppembr" localSheetId="6">#REF!</definedName>
    <definedName name="lamppembr">#REF!</definedName>
    <definedName name="LandAmount" localSheetId="0">#REF!</definedName>
    <definedName name="LandAmount" localSheetId="5">#REF!</definedName>
    <definedName name="LandAmount" localSheetId="6">#REF!</definedName>
    <definedName name="LandAmount">#REF!</definedName>
    <definedName name="LandCost" localSheetId="0">#REF!</definedName>
    <definedName name="LandCost" localSheetId="5">#REF!</definedName>
    <definedName name="LandCost" localSheetId="6">#REF!</definedName>
    <definedName name="LandCost">#REF!</definedName>
    <definedName name="lastyr" localSheetId="0">#REF!</definedName>
    <definedName name="lastyr" localSheetId="5">#REF!</definedName>
    <definedName name="lastyr" localSheetId="6">#REF!</definedName>
    <definedName name="lastyr">#REF!</definedName>
    <definedName name="LaYear" localSheetId="0">#REF!</definedName>
    <definedName name="LaYear" localSheetId="5">#REF!</definedName>
    <definedName name="LaYear" localSheetId="6">#REF!</definedName>
    <definedName name="LaYear">#REF!</definedName>
    <definedName name="Layrperiodend">[81]Cover!$F$14</definedName>
    <definedName name="Lease" localSheetId="0">#REF!</definedName>
    <definedName name="Lease" localSheetId="5">#REF!</definedName>
    <definedName name="Lease" localSheetId="6">#REF!</definedName>
    <definedName name="Lease">#REF!</definedName>
    <definedName name="lemhit" localSheetId="0">#REF!</definedName>
    <definedName name="lemhit" localSheetId="5">#REF!</definedName>
    <definedName name="lemhit" localSheetId="6">#REF!</definedName>
    <definedName name="lemhit">#REF!</definedName>
    <definedName name="les" localSheetId="0">#REF!</definedName>
    <definedName name="les" localSheetId="5">#REF!</definedName>
    <definedName name="les" localSheetId="6">#REF!</definedName>
    <definedName name="les">#REF!</definedName>
    <definedName name="LILI" localSheetId="0">[56]MEytd!#REF!</definedName>
    <definedName name="LILI" localSheetId="5">[56]MEytd!#REF!</definedName>
    <definedName name="LILI" localSheetId="6">[56]MEytd!#REF!</definedName>
    <definedName name="LILI">[56]MEytd!#REF!</definedName>
    <definedName name="list_1" localSheetId="0">#REF!</definedName>
    <definedName name="list_1" localSheetId="5">#REF!</definedName>
    <definedName name="list_1" localSheetId="6">#REF!</definedName>
    <definedName name="list_1">#REF!</definedName>
    <definedName name="List_Pendidikan" localSheetId="0">#REF!</definedName>
    <definedName name="List_Pendidikan" localSheetId="5">#REF!</definedName>
    <definedName name="List_Pendidikan" localSheetId="6">#REF!</definedName>
    <definedName name="List_Pendidikan">#REF!</definedName>
    <definedName name="LLS" localSheetId="0">#REF!</definedName>
    <definedName name="LLS" localSheetId="5">#REF!</definedName>
    <definedName name="LLS" localSheetId="6">#REF!</definedName>
    <definedName name="LLS">#REF!</definedName>
    <definedName name="LOC" localSheetId="0">#REF!</definedName>
    <definedName name="LOC" localSheetId="5">#REF!</definedName>
    <definedName name="LOC" localSheetId="6">#REF!</definedName>
    <definedName name="LOC">#REF!</definedName>
    <definedName name="location" localSheetId="0">#REF!</definedName>
    <definedName name="location" localSheetId="5">#REF!</definedName>
    <definedName name="location" localSheetId="6">#REF!</definedName>
    <definedName name="location">#REF!</definedName>
    <definedName name="Logistics" localSheetId="0">#REF!</definedName>
    <definedName name="Logistics" localSheetId="5">#REF!</definedName>
    <definedName name="Logistics" localSheetId="6">#REF!</definedName>
    <definedName name="Logistics">#REF!</definedName>
    <definedName name="Lokal" localSheetId="0">#REF!</definedName>
    <definedName name="Lokal" localSheetId="5">#REF!</definedName>
    <definedName name="Lokal" localSheetId="6">#REF!</definedName>
    <definedName name="Lokal">#REF!</definedName>
    <definedName name="LOKASI">#N/A</definedName>
    <definedName name="LOKASI_BLOK">#N/A</definedName>
    <definedName name="Long_Term_Debt">[42]SELISIHKURSSOURCE!$D$930</definedName>
    <definedName name="Long_Term_Loan_BOTM">[42]SELISIHKURSSOURCE!$D$868</definedName>
    <definedName name="LowerRowTT" localSheetId="2" hidden="1">#REF!</definedName>
    <definedName name="LowerRowTT" localSheetId="3" hidden="1">#REF!</definedName>
    <definedName name="LowerRowTT" localSheetId="0" hidden="1">#REF!</definedName>
    <definedName name="LowerRowTT" localSheetId="5" hidden="1">#REF!</definedName>
    <definedName name="LowerRowTT" localSheetId="6" hidden="1">#REF!</definedName>
    <definedName name="LowerRowTT" hidden="1">#REF!</definedName>
    <definedName name="lp" localSheetId="2" hidden="1">#REF!</definedName>
    <definedName name="lp" localSheetId="0" hidden="1">#REF!</definedName>
    <definedName name="lp" localSheetId="5" hidden="1">#REF!</definedName>
    <definedName name="lp" localSheetId="6" hidden="1">#REF!</definedName>
    <definedName name="lp" hidden="1">#REF!</definedName>
    <definedName name="LSSA">[125]FS!$A$1:$K$175</definedName>
    <definedName name="LTL">'[42]412'!$J$411</definedName>
    <definedName name="LTL_GROUP" localSheetId="0">#REF!</definedName>
    <definedName name="LTL_GROUP" localSheetId="4">#REF!</definedName>
    <definedName name="LTL_GROUP" localSheetId="5">#REF!</definedName>
    <definedName name="LTL_GROUP" localSheetId="6">#REF!</definedName>
    <definedName name="LTL_GROUP">#REF!</definedName>
    <definedName name="m" localSheetId="0">#REF!</definedName>
    <definedName name="m" localSheetId="4">#REF!</definedName>
    <definedName name="m" localSheetId="5">#REF!</definedName>
    <definedName name="m" localSheetId="6">#REF!</definedName>
    <definedName name="m">#REF!</definedName>
    <definedName name="MAIN_AB" localSheetId="0">#REF!</definedName>
    <definedName name="MAIN_AB" localSheetId="5">#REF!</definedName>
    <definedName name="MAIN_AB" localSheetId="6">#REF!</definedName>
    <definedName name="MAIN_AB">#REF!</definedName>
    <definedName name="MAIN_CR">#N/A</definedName>
    <definedName name="MAIN_DB">#N/A</definedName>
    <definedName name="MAIN_DF">#N/A</definedName>
    <definedName name="MAIN_EN">#N/A</definedName>
    <definedName name="MAIN_MA">#N/A</definedName>
    <definedName name="MANNING" localSheetId="0">#REF!</definedName>
    <definedName name="MANNING" localSheetId="5">#REF!</definedName>
    <definedName name="MANNING" localSheetId="6">#REF!</definedName>
    <definedName name="MANNING">#REF!</definedName>
    <definedName name="Mar" localSheetId="0">#REF!</definedName>
    <definedName name="Mar" localSheetId="4">'[15]Interest Principle MTM-21-'!$F$4</definedName>
    <definedName name="Mar" localSheetId="5">#REF!</definedName>
    <definedName name="Mar" localSheetId="6">#REF!</definedName>
    <definedName name="Mar">#REF!</definedName>
    <definedName name="MARC" localSheetId="0">#REF!</definedName>
    <definedName name="MARC" localSheetId="4">[15]Plan!$G$7</definedName>
    <definedName name="MARC" localSheetId="5">#REF!</definedName>
    <definedName name="MARC" localSheetId="6">#REF!</definedName>
    <definedName name="MARC">#REF!</definedName>
    <definedName name="MARCH01" localSheetId="0">#REF!</definedName>
    <definedName name="MARCH01" localSheetId="4">#REF!</definedName>
    <definedName name="MARCH01" localSheetId="5">#REF!</definedName>
    <definedName name="MARCH01" localSheetId="6">#REF!</definedName>
    <definedName name="MARCH01">#REF!</definedName>
    <definedName name="MARP" localSheetId="0">#REF!</definedName>
    <definedName name="MARP" localSheetId="4">[15]Plan!$U$7</definedName>
    <definedName name="MARP" localSheetId="5">#REF!</definedName>
    <definedName name="MARP" localSheetId="6">#REF!</definedName>
    <definedName name="MARP">#REF!</definedName>
    <definedName name="material_desc">'[126]lookup material'!$A$2:$A$616</definedName>
    <definedName name="MatLevle">'[127]B1-2'!$L$19</definedName>
    <definedName name="May" localSheetId="0">#REF!</definedName>
    <definedName name="May" localSheetId="4">'[15]Interest Principle MTM-21-'!$H$4</definedName>
    <definedName name="May" localSheetId="5">#REF!</definedName>
    <definedName name="May" localSheetId="6">#REF!</definedName>
    <definedName name="May">#REF!</definedName>
    <definedName name="MAYC" localSheetId="0">#REF!</definedName>
    <definedName name="MAYC" localSheetId="4">[15]Plan!$I$7</definedName>
    <definedName name="MAYC" localSheetId="5">#REF!</definedName>
    <definedName name="MAYC" localSheetId="6">#REF!</definedName>
    <definedName name="MAYC">#REF!</definedName>
    <definedName name="MAYP" localSheetId="0">#REF!</definedName>
    <definedName name="MAYP" localSheetId="4">[15]Plan!$W$7</definedName>
    <definedName name="MAYP" localSheetId="5">#REF!</definedName>
    <definedName name="MAYP" localSheetId="6">#REF!</definedName>
    <definedName name="MAYP">#REF!</definedName>
    <definedName name="MB" localSheetId="2" hidden="1">{"'Income Statement'!$A$1:$L$32"}</definedName>
    <definedName name="MB" localSheetId="0" hidden="1">{"'Income Statement'!$A$1:$L$32"}</definedName>
    <definedName name="MB" hidden="1">{"'Income Statement'!$A$1:$L$32"}</definedName>
    <definedName name="MEI">#N/A</definedName>
    <definedName name="Methode" localSheetId="0">#REF!</definedName>
    <definedName name="Methode" localSheetId="5">#REF!</definedName>
    <definedName name="Methode" localSheetId="6">#REF!</definedName>
    <definedName name="Methode">#REF!</definedName>
    <definedName name="MID" localSheetId="0">#REF!</definedName>
    <definedName name="MID" localSheetId="5">#REF!</definedName>
    <definedName name="MID" localSheetId="6">#REF!</definedName>
    <definedName name="MID">#REF!</definedName>
    <definedName name="mj" localSheetId="0">#REF!</definedName>
    <definedName name="mj" localSheetId="4">#REF!</definedName>
    <definedName name="mj" localSheetId="5">#REF!</definedName>
    <definedName name="mj" localSheetId="6">#REF!</definedName>
    <definedName name="mj">#REF!</definedName>
    <definedName name="mk" localSheetId="0">#REF!</definedName>
    <definedName name="mk" localSheetId="4">#REF!</definedName>
    <definedName name="mk" localSheetId="5">#REF!</definedName>
    <definedName name="mk" localSheetId="6">#REF!</definedName>
    <definedName name="mk">#REF!</definedName>
    <definedName name="MKNK">NA()</definedName>
    <definedName name="MKTYIELD" localSheetId="0">#REF!</definedName>
    <definedName name="MKTYIELD" localSheetId="5">#REF!</definedName>
    <definedName name="MKTYIELD" localSheetId="6">#REF!</definedName>
    <definedName name="MKTYIELD">#REF!</definedName>
    <definedName name="mm" localSheetId="0">#REF!</definedName>
    <definedName name="mm" localSheetId="4">#REF!</definedName>
    <definedName name="mm" localSheetId="5">#REF!</definedName>
    <definedName name="mm" localSheetId="6">#REF!</definedName>
    <definedName name="mm">#REF!</definedName>
    <definedName name="mmmm" localSheetId="2" hidden="1">{"Admin Costs",#N/A,FALSE,"Act.Fcst Costs"}</definedName>
    <definedName name="mmmm" localSheetId="0" hidden="1">{"Admin Costs",#N/A,FALSE,"Act.Fcst Costs"}</definedName>
    <definedName name="mmmm" hidden="1">{"Admin Costs",#N/A,FALSE,"Act.Fcst Costs"}</definedName>
    <definedName name="Month">[88]Company!$F$14</definedName>
    <definedName name="MONTH_RATE" localSheetId="0">[128]BSliRp!#REF!</definedName>
    <definedName name="MONTH_RATE" localSheetId="5">[128]BSliRp!#REF!</definedName>
    <definedName name="MONTH_RATE" localSheetId="6">[128]BSliRp!#REF!</definedName>
    <definedName name="MONTH_RATE">[128]BSliRp!#REF!</definedName>
    <definedName name="MonthNo">[88]Company!$D$14</definedName>
    <definedName name="MR">[89]table!$A$3:$D$14</definedName>
    <definedName name="MsiaFS">[129]FS!$1:$202</definedName>
    <definedName name="n" localSheetId="0">'[2]TB-WP'!#REF!</definedName>
    <definedName name="n" localSheetId="4">'[11]TB-WP'!#REF!</definedName>
    <definedName name="n" localSheetId="5">'[2]TB-WP'!#REF!</definedName>
    <definedName name="n" localSheetId="6">'[2]TB-WP'!#REF!</definedName>
    <definedName name="n">'[2]TB-WP'!#REF!</definedName>
    <definedName name="NAMA">#N/A</definedName>
    <definedName name="NAMA_PERKIRAAN" localSheetId="0">#REF!</definedName>
    <definedName name="NAMA_PERKIRAAN" localSheetId="5">#REF!</definedName>
    <definedName name="NAMA_PERKIRAAN" localSheetId="6">#REF!</definedName>
    <definedName name="NAMA_PERKIRAAN">#REF!</definedName>
    <definedName name="NAMA_WP">'[130]DATA WP'!$E$4</definedName>
    <definedName name="name" localSheetId="0">#REF!</definedName>
    <definedName name="name" localSheetId="5">#REF!</definedName>
    <definedName name="name" localSheetId="6">#REF!</definedName>
    <definedName name="name">#REF!</definedName>
    <definedName name="NATrading" localSheetId="0">#REF!</definedName>
    <definedName name="NATrading" localSheetId="5">#REF!</definedName>
    <definedName name="NATrading" localSheetId="6">#REF!</definedName>
    <definedName name="NATrading">#REF!</definedName>
    <definedName name="nature">[131]FS!$A$1:$O$165</definedName>
    <definedName name="nb" localSheetId="0">#REF!</definedName>
    <definedName name="nb" localSheetId="4">#REF!</definedName>
    <definedName name="nb" localSheetId="5">#REF!</definedName>
    <definedName name="nb" localSheetId="6">#REF!</definedName>
    <definedName name="nb">#REF!</definedName>
    <definedName name="NCF" localSheetId="0">#REF!</definedName>
    <definedName name="NCF" localSheetId="5">#REF!</definedName>
    <definedName name="NCF" localSheetId="6">#REF!</definedName>
    <definedName name="NCF">#REF!</definedName>
    <definedName name="NCFAD" localSheetId="0">#REF!</definedName>
    <definedName name="NCFAD" localSheetId="5">#REF!</definedName>
    <definedName name="NCFAD" localSheetId="6">#REF!</definedName>
    <definedName name="NCFAD">#REF!</definedName>
    <definedName name="NCFBD" localSheetId="0">#REF!</definedName>
    <definedName name="NCFBD" localSheetId="5">#REF!</definedName>
    <definedName name="NCFBD" localSheetId="6">#REF!</definedName>
    <definedName name="NCFBD">#REF!</definedName>
    <definedName name="NEGARA" localSheetId="0">#REF!</definedName>
    <definedName name="NEGARA" localSheetId="4">#REF!</definedName>
    <definedName name="NEGARA" localSheetId="5">#REF!</definedName>
    <definedName name="NEGARA" localSheetId="6">#REF!</definedName>
    <definedName name="NEGARA">#REF!</definedName>
    <definedName name="Nett" localSheetId="0">#REF!</definedName>
    <definedName name="Nett" localSheetId="5">#REF!</definedName>
    <definedName name="Nett" localSheetId="6">#REF!</definedName>
    <definedName name="Nett">#REF!</definedName>
    <definedName name="new" localSheetId="0">#REF!</definedName>
    <definedName name="new" localSheetId="5">#REF!</definedName>
    <definedName name="new" localSheetId="6">#REF!</definedName>
    <definedName name="new">#REF!</definedName>
    <definedName name="new_fill" localSheetId="2" hidden="1">#REF!</definedName>
    <definedName name="new_fill" localSheetId="0" hidden="1">#REF!</definedName>
    <definedName name="new_fill" localSheetId="5" hidden="1">#REF!</definedName>
    <definedName name="new_fill" localSheetId="6" hidden="1">#REF!</definedName>
    <definedName name="new_fill" hidden="1">#REF!</definedName>
    <definedName name="nipanggota1">#N/A</definedName>
    <definedName name="nipkabid">#N/A</definedName>
    <definedName name="nipkepala">#N/A</definedName>
    <definedName name="nipketuatim">#N/A</definedName>
    <definedName name="nipsupervisor">#N/A</definedName>
    <definedName name="nm" localSheetId="0">#REF!</definedName>
    <definedName name="nm" localSheetId="5">#REF!</definedName>
    <definedName name="nm" localSheetId="6">#REF!</definedName>
    <definedName name="nm">#REF!</definedName>
    <definedName name="No">[132]Master2!$A$2:$A$724</definedName>
    <definedName name="No._Canal" localSheetId="0">#REF!</definedName>
    <definedName name="No._Canal" localSheetId="5">#REF!</definedName>
    <definedName name="No._Canal" localSheetId="6">#REF!</definedName>
    <definedName name="No._Canal">#REF!</definedName>
    <definedName name="No._TPK" localSheetId="0">#REF!</definedName>
    <definedName name="No._TPK" localSheetId="5">#REF!</definedName>
    <definedName name="No._TPK" localSheetId="6">#REF!</definedName>
    <definedName name="No._TPK">#REF!</definedName>
    <definedName name="NO.DOK">#N/A</definedName>
    <definedName name="NO.FAK">#N/A</definedName>
    <definedName name="NO_BF" localSheetId="0">#REF!</definedName>
    <definedName name="NO_BF" localSheetId="4">#REF!</definedName>
    <definedName name="NO_BF" localSheetId="5">#REF!</definedName>
    <definedName name="NO_BF" localSheetId="6">#REF!</definedName>
    <definedName name="NO_BF">#REF!</definedName>
    <definedName name="NO_BK" localSheetId="0">#REF!</definedName>
    <definedName name="NO_BK" localSheetId="4">#REF!</definedName>
    <definedName name="NO_BK" localSheetId="5">#REF!</definedName>
    <definedName name="NO_BK" localSheetId="6">#REF!</definedName>
    <definedName name="NO_BK">#REF!</definedName>
    <definedName name="NO_IN" localSheetId="0">#REF!</definedName>
    <definedName name="NO_IN" localSheetId="4">#REF!</definedName>
    <definedName name="NO_IN" localSheetId="5">#REF!</definedName>
    <definedName name="NO_IN" localSheetId="6">#REF!</definedName>
    <definedName name="NO_IN">#REF!</definedName>
    <definedName name="NO_LC" localSheetId="0">#REF!</definedName>
    <definedName name="NO_LC" localSheetId="5">#REF!</definedName>
    <definedName name="NO_LC" localSheetId="6">#REF!</definedName>
    <definedName name="NO_LC">#REF!</definedName>
    <definedName name="NO_LPP">#N/A</definedName>
    <definedName name="NO_PEB" localSheetId="0">#REF!</definedName>
    <definedName name="NO_PEB" localSheetId="4">#REF!</definedName>
    <definedName name="NO_PEB" localSheetId="5">#REF!</definedName>
    <definedName name="NO_PEB" localSheetId="6">#REF!</definedName>
    <definedName name="NO_PEB">#REF!</definedName>
    <definedName name="NO_SR" localSheetId="0">#REF!</definedName>
    <definedName name="NO_SR" localSheetId="5">#REF!</definedName>
    <definedName name="NO_SR" localSheetId="6">#REF!</definedName>
    <definedName name="NO_SR">#REF!</definedName>
    <definedName name="noey" localSheetId="0">#REF!</definedName>
    <definedName name="noey" localSheetId="5">#REF!</definedName>
    <definedName name="noey" localSheetId="6">#REF!</definedName>
    <definedName name="noey">#REF!</definedName>
    <definedName name="NOMOR" localSheetId="0">#REF!</definedName>
    <definedName name="NOMOR" localSheetId="5">#REF!</definedName>
    <definedName name="NOMOR" localSheetId="6">#REF!</definedName>
    <definedName name="NOMOR">#REF!</definedName>
    <definedName name="NON_LTL_GROUP" localSheetId="0">#REF!</definedName>
    <definedName name="NON_LTL_GROUP" localSheetId="4">#REF!</definedName>
    <definedName name="NON_LTL_GROUP" localSheetId="5">#REF!</definedName>
    <definedName name="NON_LTL_GROUP" localSheetId="6">#REF!</definedName>
    <definedName name="NON_LTL_GROUP">#REF!</definedName>
    <definedName name="NonCA" localSheetId="0">#REF!</definedName>
    <definedName name="NonCA" localSheetId="5">#REF!</definedName>
    <definedName name="NonCA" localSheetId="6">#REF!</definedName>
    <definedName name="NonCA">#REF!</definedName>
    <definedName name="NOPAT_Reference" localSheetId="0">#REF!</definedName>
    <definedName name="NOPAT_Reference" localSheetId="5">#REF!</definedName>
    <definedName name="NOPAT_Reference" localSheetId="6">#REF!</definedName>
    <definedName name="NOPAT_Reference">#REF!</definedName>
    <definedName name="NOPAT_Reference2" localSheetId="0">#REF!</definedName>
    <definedName name="NOPAT_Reference2" localSheetId="5">#REF!</definedName>
    <definedName name="NOPAT_Reference2" localSheetId="6">#REF!</definedName>
    <definedName name="NOPAT_Reference2">#REF!</definedName>
    <definedName name="NOPAT_TV" localSheetId="0">#REF!</definedName>
    <definedName name="NOPAT_TV" localSheetId="5">#REF!</definedName>
    <definedName name="NOPAT_TV" localSheetId="6">#REF!</definedName>
    <definedName name="NOPAT_TV">#REF!</definedName>
    <definedName name="NOPAT_TVadj" localSheetId="0">#REF!</definedName>
    <definedName name="NOPAT_TVadj" localSheetId="5">#REF!</definedName>
    <definedName name="NOPAT_TVadj" localSheetId="6">#REF!</definedName>
    <definedName name="NOPAT_TVadj">#REF!</definedName>
    <definedName name="NOPATtvfcf" localSheetId="0">#REF!</definedName>
    <definedName name="NOPATtvfcf" localSheetId="5">#REF!</definedName>
    <definedName name="NOPATtvfcf" localSheetId="6">#REF!</definedName>
    <definedName name="NOPATtvfcf">#REF!</definedName>
    <definedName name="nopkp">#N/A</definedName>
    <definedName name="noprint">#N/A</definedName>
    <definedName name="NOTE">#N/A</definedName>
    <definedName name="NOTH" localSheetId="0">#REF!</definedName>
    <definedName name="NOTH" localSheetId="5">#REF!</definedName>
    <definedName name="NOTH" localSheetId="6">#REF!</definedName>
    <definedName name="NOTH">#REF!</definedName>
    <definedName name="nothit" localSheetId="0">#REF!</definedName>
    <definedName name="nothit" localSheetId="5">#REF!</definedName>
    <definedName name="nothit" localSheetId="6">#REF!</definedName>
    <definedName name="nothit">#REF!</definedName>
    <definedName name="NOVC" localSheetId="0">#REF!</definedName>
    <definedName name="NOVC" localSheetId="5">#REF!</definedName>
    <definedName name="NOVC" localSheetId="6">#REF!</definedName>
    <definedName name="NOVC">#REF!</definedName>
    <definedName name="NOVP" localSheetId="0">#REF!</definedName>
    <definedName name="NOVP" localSheetId="5">#REF!</definedName>
    <definedName name="NOVP" localSheetId="6">#REF!</definedName>
    <definedName name="NOVP">#REF!</definedName>
    <definedName name="NoWeeks">52</definedName>
    <definedName name="NPAT" localSheetId="0">#REF!</definedName>
    <definedName name="NPAT" localSheetId="5">#REF!</definedName>
    <definedName name="NPAT" localSheetId="6">#REF!</definedName>
    <definedName name="NPAT">#REF!</definedName>
    <definedName name="NPV">'[77]Cash Flow'!$F$80</definedName>
    <definedName name="NPVCalc" localSheetId="0">#REF!</definedName>
    <definedName name="NPVCalc" localSheetId="5">#REF!</definedName>
    <definedName name="NPVCalc" localSheetId="6">#REF!</definedName>
    <definedName name="NPVCalc">#REF!</definedName>
    <definedName name="NPWP">[133]LIST!$B$4:$C$516</definedName>
    <definedName name="NPWP_Lok1">'[52]Data WP'!$E$18</definedName>
    <definedName name="NT">[62]Cover!$F$25</definedName>
    <definedName name="NumBM" localSheetId="0">#REF!</definedName>
    <definedName name="NumBM" localSheetId="5">#REF!</definedName>
    <definedName name="NumBM" localSheetId="6">#REF!</definedName>
    <definedName name="NumBM">#REF!</definedName>
    <definedName name="NumSPK">'[49]01.Dispatch'!$C$1:$C$65536</definedName>
    <definedName name="o" localSheetId="0">#REF!</definedName>
    <definedName name="o" localSheetId="4">#REF!</definedName>
    <definedName name="o" localSheetId="5">#REF!</definedName>
    <definedName name="o" localSheetId="6">#REF!</definedName>
    <definedName name="o">#REF!</definedName>
    <definedName name="OA">'[118]PVT OA'!$A$5:$D$745</definedName>
    <definedName name="obj.21" localSheetId="0">#REF!</definedName>
    <definedName name="obj.21" localSheetId="5">#REF!</definedName>
    <definedName name="obj.21" localSheetId="6">#REF!</definedName>
    <definedName name="obj.21">#REF!</definedName>
    <definedName name="obyek_final_fis">#N/A</definedName>
    <definedName name="obyek_final_wp">#N/A</definedName>
    <definedName name="obyek21_fis">#N/A</definedName>
    <definedName name="obyek21_wp">#N/A</definedName>
    <definedName name="obyek23_fis">#N/A</definedName>
    <definedName name="obyek23_wp">#N/A</definedName>
    <definedName name="obyek26_fis">#N/A</definedName>
    <definedName name="obyek26_wp">#N/A</definedName>
    <definedName name="OCA" localSheetId="0">#REF!</definedName>
    <definedName name="OCA" localSheetId="5">#REF!</definedName>
    <definedName name="OCA" localSheetId="6">#REF!</definedName>
    <definedName name="OCA">#REF!</definedName>
    <definedName name="Oct" localSheetId="0">#REF!</definedName>
    <definedName name="Oct" localSheetId="5">#REF!</definedName>
    <definedName name="Oct" localSheetId="6">#REF!</definedName>
    <definedName name="Oct">#REF!</definedName>
    <definedName name="OCTC" localSheetId="0">#REF!</definedName>
    <definedName name="OCTC" localSheetId="5">#REF!</definedName>
    <definedName name="OCTC" localSheetId="6">#REF!</definedName>
    <definedName name="OCTC">#REF!</definedName>
    <definedName name="OCTP" localSheetId="0">#REF!</definedName>
    <definedName name="OCTP" localSheetId="5">#REF!</definedName>
    <definedName name="OCTP" localSheetId="6">#REF!</definedName>
    <definedName name="OCTP">#REF!</definedName>
    <definedName name="ODYr0" localSheetId="0">#REF!</definedName>
    <definedName name="ODYr0" localSheetId="5">#REF!</definedName>
    <definedName name="ODYr0" localSheetId="6">#REF!</definedName>
    <definedName name="ODYr0">#REF!</definedName>
    <definedName name="Œ___ƒf__ƒ_" localSheetId="0">#REF!</definedName>
    <definedName name="Œ___ƒf__ƒ_" localSheetId="5">#REF!</definedName>
    <definedName name="Œ___ƒf__ƒ_" localSheetId="6">#REF!</definedName>
    <definedName name="Œ___ƒf__ƒ_">#REF!</definedName>
    <definedName name="OHEAD" localSheetId="0">#REF!</definedName>
    <definedName name="OHEAD" localSheetId="5">#REF!</definedName>
    <definedName name="OHEAD" localSheetId="6">#REF!</definedName>
    <definedName name="OHEAD">#REF!</definedName>
    <definedName name="ok" localSheetId="2" hidden="1">#REF!</definedName>
    <definedName name="ok" localSheetId="0" hidden="1">#REF!</definedName>
    <definedName name="ok" localSheetId="5" hidden="1">#REF!</definedName>
    <definedName name="ok" localSheetId="6" hidden="1">#REF!</definedName>
    <definedName name="ok" hidden="1">#REF!</definedName>
    <definedName name="OKT" localSheetId="0">#REF!</definedName>
    <definedName name="OKT" localSheetId="5">#REF!</definedName>
    <definedName name="OKT" localSheetId="6">#REF!</definedName>
    <definedName name="OKT">#REF!</definedName>
    <definedName name="ol" localSheetId="0">#REF!</definedName>
    <definedName name="ol" localSheetId="4">#REF!</definedName>
    <definedName name="ol" localSheetId="5">#REF!</definedName>
    <definedName name="ol" localSheetId="6">#REF!</definedName>
    <definedName name="ol">#REF!</definedName>
    <definedName name="OLD" localSheetId="2" hidden="1">#REF!</definedName>
    <definedName name="OLD" localSheetId="0" hidden="1">#REF!</definedName>
    <definedName name="OLD" localSheetId="4" hidden="1">#REF!</definedName>
    <definedName name="OLD" localSheetId="5" hidden="1">#REF!</definedName>
    <definedName name="OLD" localSheetId="6" hidden="1">#REF!</definedName>
    <definedName name="OLD" hidden="1">#REF!</definedName>
    <definedName name="OLE_LINK3_4" localSheetId="0">#REF!</definedName>
    <definedName name="OLE_LINK3_4" localSheetId="5">#REF!</definedName>
    <definedName name="OLE_LINK3_4" localSheetId="6">#REF!</definedName>
    <definedName name="OLE_LINK3_4">#REF!</definedName>
    <definedName name="OLFDL">'[18]Man power'!$BB$46</definedName>
    <definedName name="olp" localSheetId="0">#REF!</definedName>
    <definedName name="olp" localSheetId="4">#REF!</definedName>
    <definedName name="olp" localSheetId="5">#REF!</definedName>
    <definedName name="olp" localSheetId="6">#REF!</definedName>
    <definedName name="olp">#REF!</definedName>
    <definedName name="ONCAssets" localSheetId="0">#REF!</definedName>
    <definedName name="ONCAssets" localSheetId="5">#REF!</definedName>
    <definedName name="ONCAssets" localSheetId="6">#REF!</definedName>
    <definedName name="ONCAssets">#REF!</definedName>
    <definedName name="ONCL" localSheetId="0">#REF!</definedName>
    <definedName name="ONCL" localSheetId="5">#REF!</definedName>
    <definedName name="ONCL" localSheetId="6">#REF!</definedName>
    <definedName name="ONCL">#REF!</definedName>
    <definedName name="op" localSheetId="2" hidden="1">{"'Income Statement'!$A$1:$L$32"}</definedName>
    <definedName name="op" localSheetId="0" hidden="1">{"'Income Statement'!$A$1:$L$32"}</definedName>
    <definedName name="op" hidden="1">{"'Income Statement'!$A$1:$L$32"}</definedName>
    <definedName name="OPERATION" localSheetId="0">#REF!</definedName>
    <definedName name="OPERATION" localSheetId="5">#REF!</definedName>
    <definedName name="OPERATION" localSheetId="6">#REF!</definedName>
    <definedName name="OPERATION">#REF!</definedName>
    <definedName name="OptTrm" localSheetId="0">#REF!</definedName>
    <definedName name="OptTrm" localSheetId="5">#REF!</definedName>
    <definedName name="OptTrm" localSheetId="6">#REF!</definedName>
    <definedName name="OptTrm">#REF!</definedName>
    <definedName name="OPTYN" localSheetId="0">#REF!</definedName>
    <definedName name="OPTYN" localSheetId="5">#REF!</definedName>
    <definedName name="OPTYN" localSheetId="6">#REF!</definedName>
    <definedName name="OPTYN">#REF!</definedName>
    <definedName name="or" localSheetId="0">#REF!</definedName>
    <definedName name="or" localSheetId="5">#REF!</definedName>
    <definedName name="or" localSheetId="6">#REF!</definedName>
    <definedName name="or">#REF!</definedName>
    <definedName name="Org_Code">[93]Table!$A$4:$A$69</definedName>
    <definedName name="Org_Code_3">[95]Table!$A$4:$A$69</definedName>
    <definedName name="Org_Code_4">[95]Table!$A$4:$A$69</definedName>
    <definedName name="Org_Code_5">[95]Table!$A$4:$A$69</definedName>
    <definedName name="Org_Code_6">[95]Table!$A$4:$A$69</definedName>
    <definedName name="Org_Code_7">[95]Table!$A$4:$A$69</definedName>
    <definedName name="Org_Code_8">[95]Table!$A$4:$A$69</definedName>
    <definedName name="OTH_EXP" localSheetId="0">#REF!</definedName>
    <definedName name="OTH_EXP" localSheetId="4">#REF!</definedName>
    <definedName name="OTH_EXP" localSheetId="5">#REF!</definedName>
    <definedName name="OTH_EXP" localSheetId="6">#REF!</definedName>
    <definedName name="OTH_EXP">#REF!</definedName>
    <definedName name="Oth1Amount" localSheetId="0">#REF!</definedName>
    <definedName name="Oth1Amount" localSheetId="5">#REF!</definedName>
    <definedName name="Oth1Amount" localSheetId="6">#REF!</definedName>
    <definedName name="Oth1Amount">#REF!</definedName>
    <definedName name="Oth2Amount" localSheetId="0">#REF!</definedName>
    <definedName name="Oth2Amount" localSheetId="5">#REF!</definedName>
    <definedName name="Oth2Amount" localSheetId="6">#REF!</definedName>
    <definedName name="Oth2Amount">#REF!</definedName>
    <definedName name="OthCredts" localSheetId="0">#REF!</definedName>
    <definedName name="OthCredts" localSheetId="5">#REF!</definedName>
    <definedName name="OthCredts" localSheetId="6">#REF!</definedName>
    <definedName name="OthCredts">#REF!</definedName>
    <definedName name="OTHER" localSheetId="0">#REF!</definedName>
    <definedName name="OTHER" localSheetId="5">#REF!</definedName>
    <definedName name="OTHER" localSheetId="6">#REF!</definedName>
    <definedName name="OTHER">#REF!</definedName>
    <definedName name="OtherCr" localSheetId="0">#REF!</definedName>
    <definedName name="OtherCr" localSheetId="5">#REF!</definedName>
    <definedName name="OtherCr" localSheetId="6">#REF!</definedName>
    <definedName name="OtherCr">#REF!</definedName>
    <definedName name="OTHEREXP" localSheetId="0">#REF!</definedName>
    <definedName name="OTHEREXP" localSheetId="5">#REF!</definedName>
    <definedName name="OTHEREXP" localSheetId="6">#REF!</definedName>
    <definedName name="OTHEREXP">#REF!</definedName>
    <definedName name="OTHERINCOME" localSheetId="0">#REF!</definedName>
    <definedName name="OTHERINCOME" localSheetId="5">#REF!</definedName>
    <definedName name="OTHERINCOME" localSheetId="6">#REF!</definedName>
    <definedName name="OTHERINCOME">#REF!</definedName>
    <definedName name="OTL" localSheetId="0">#REF!</definedName>
    <definedName name="OTL" localSheetId="5">#REF!</definedName>
    <definedName name="OTL" localSheetId="6">#REF!</definedName>
    <definedName name="OTL">#REF!</definedName>
    <definedName name="Overtime">[49]Table!$P$2:$P$6</definedName>
    <definedName name="Own_Veh">'[65]^Own_Vehicles_Exp'!$A$2</definedName>
    <definedName name="p" localSheetId="0">#REF!</definedName>
    <definedName name="p" localSheetId="4">#REF!</definedName>
    <definedName name="p" localSheetId="5">#REF!</definedName>
    <definedName name="p" localSheetId="6">#REF!</definedName>
    <definedName name="p">#REF!</definedName>
    <definedName name="p2pph" localSheetId="4">[53]lamphp!$A$1:$X$61</definedName>
    <definedName name="p2pph">[54]lamphp!$A$1:$X$61</definedName>
    <definedName name="PA" localSheetId="0">'[30]98-1-OVT'!#REF!</definedName>
    <definedName name="PA" localSheetId="5">'[30]98-1-OVT'!#REF!</definedName>
    <definedName name="PA" localSheetId="6">'[30]98-1-OVT'!#REF!</definedName>
    <definedName name="PA">'[30]98-1-OVT'!#REF!</definedName>
    <definedName name="Package_GP_actual">OFFSET('[134]Grafik Package'!$C$72,0,'[134]Grafik Package'!$L$69-1,1,'[134]Grafik Package'!$N$69-'[134]Grafik Package'!$L$69+1)</definedName>
    <definedName name="Package_GP_budget">OFFSET('[134]Grafik Package'!$C$73,0,'[134]Grafik Package'!$L$69-1,1,'[134]Grafik Package'!$N$69-'[134]Grafik Package'!$L$69+1)</definedName>
    <definedName name="Package_GP_Lastyear">OFFSET('[134]Grafik Package'!$C$71,0,'[134]Grafik Package'!$L$69-1,1,'[134]Grafik Package'!$N$69-'[134]Grafik Package'!$L$69+1)</definedName>
    <definedName name="Package_GP_Timeline">OFFSET('[134]Grafik Package'!$C$70,0,'[134]Grafik Package'!$L$69-1,1,'[134]Grafik Package'!$N$69-'[134]Grafik Package'!$L$69+1)</definedName>
    <definedName name="Package_OI_actual">OFFSET('[134]Grafik Package'!$C$120,0,'[134]Grafik Package'!$K$117-1,1,'[134]Grafik Package'!$M$117-'[134]Grafik Package'!$K$117+1)</definedName>
    <definedName name="Package_OI_budget">OFFSET('[134]Grafik Package'!$C$121,0,'[134]Grafik Package'!$K$117-1,1,'[134]Grafik Package'!$M$117-'[134]Grafik Package'!$K$117+1)</definedName>
    <definedName name="Package_OI_lastyear">OFFSET('[134]Grafik Package'!$C$119,0,'[134]Grafik Package'!$K$117-1,1,'[134]Grafik Package'!$M$117-'[134]Grafik Package'!$K$117+1)</definedName>
    <definedName name="Package_OI_Timeline">OFFSET('[134]Grafik Package'!$C$118,0,'[134]Grafik Package'!$K$117-1,1,'[134]Grafik Package'!$M$117-'[134]Grafik Package'!$K$117+1)</definedName>
    <definedName name="Package_Revenue_actual">OFFSET('[134]Grafik Package'!$C$24,0,'[134]Grafik Package'!$M$21-1,1,'[134]Grafik Package'!$O$21-'[134]Grafik Package'!$M$21+1)</definedName>
    <definedName name="Package_Revenue_budget">OFFSET('[134]Grafik Package'!$C$25,0,'[134]Grafik Package'!$M$21-1,1,'[134]Grafik Package'!$O$21-'[134]Grafik Package'!$M$21+1)</definedName>
    <definedName name="Package_Revenue_Lastyear">OFFSET('[134]Grafik Package'!$C$23,0,'[134]Grafik Package'!$M$21-1,1,'[134]Grafik Package'!$O$21-'[134]Grafik Package'!$M$21+1)</definedName>
    <definedName name="Package_Revenue_Timeline">OFFSET('[134]Grafik Package'!$C$22,0,'[134]Grafik Package'!$M$21-1,1,'[134]Grafik Package'!$O$21-'[134]Grafik Package'!$M$21+1)</definedName>
    <definedName name="Packing" localSheetId="0">#REF!</definedName>
    <definedName name="Packing" localSheetId="5">#REF!</definedName>
    <definedName name="Packing" localSheetId="6">#REF!</definedName>
    <definedName name="Packing">#REF!</definedName>
    <definedName name="page1" localSheetId="0">#REF!</definedName>
    <definedName name="page1" localSheetId="5">#REF!</definedName>
    <definedName name="page1" localSheetId="6">#REF!</definedName>
    <definedName name="page1">#REF!</definedName>
    <definedName name="pajak" localSheetId="0">'[2]TB-WP'!#REF!</definedName>
    <definedName name="pajak" localSheetId="4">'[135]TB-WP'!#REF!</definedName>
    <definedName name="pajak" localSheetId="5">'[2]TB-WP'!#REF!</definedName>
    <definedName name="pajak" localSheetId="6">'[2]TB-WP'!#REF!</definedName>
    <definedName name="pajak">'[2]TB-WP'!#REF!</definedName>
    <definedName name="pajak_dby_dmk" localSheetId="0">'[2]TB-WP'!#REF!</definedName>
    <definedName name="pajak_dby_dmk" localSheetId="4">'[11]TB-WP'!#REF!</definedName>
    <definedName name="pajak_dby_dmk" localSheetId="5">'[2]TB-WP'!#REF!</definedName>
    <definedName name="pajak_dby_dmk" localSheetId="6">'[2]TB-WP'!#REF!</definedName>
    <definedName name="pajak_dby_dmk">'[2]TB-WP'!#REF!</definedName>
    <definedName name="Pajak_dibayar_di_muka" localSheetId="0">'[67]Worksheet-03'!#REF!</definedName>
    <definedName name="Pajak_dibayar_di_muka" localSheetId="4">'[68]Worksheet-03'!#REF!</definedName>
    <definedName name="Pajak_dibayar_di_muka" localSheetId="5">'[67]Worksheet-03'!#REF!</definedName>
    <definedName name="Pajak_dibayar_di_muka" localSheetId="6">'[67]Worksheet-03'!#REF!</definedName>
    <definedName name="Pajak_dibayar_di_muka">'[67]Worksheet-03'!#REF!</definedName>
    <definedName name="Parts">[49]Table!$A$2:$B$28</definedName>
    <definedName name="PASALSTP" localSheetId="0">#REF!</definedName>
    <definedName name="PASALSTP" localSheetId="5">#REF!</definedName>
    <definedName name="PASALSTP" localSheetId="6">#REF!</definedName>
    <definedName name="PASALSTP">#REF!</definedName>
    <definedName name="Payback">'[77]Cash Flow'!$F$81</definedName>
    <definedName name="pbb" localSheetId="0">#REF!</definedName>
    <definedName name="pbb" localSheetId="5">#REF!</definedName>
    <definedName name="pbb" localSheetId="6">#REF!</definedName>
    <definedName name="pbb">#REF!</definedName>
    <definedName name="pctchg" localSheetId="0">#REF!</definedName>
    <definedName name="pctchg" localSheetId="5">#REF!</definedName>
    <definedName name="pctchg" localSheetId="6">#REF!</definedName>
    <definedName name="pctchg">#REF!</definedName>
    <definedName name="pdpt_ymh_dtrm" localSheetId="0">'[2]TB-WP'!#REF!</definedName>
    <definedName name="pdpt_ymh_dtrm" localSheetId="4">'[11]TB-WP'!#REF!</definedName>
    <definedName name="pdpt_ymh_dtrm" localSheetId="5">'[2]TB-WP'!#REF!</definedName>
    <definedName name="pdpt_ymh_dtrm" localSheetId="6">'[2]TB-WP'!#REF!</definedName>
    <definedName name="pdpt_ymh_dtrm">'[2]TB-WP'!#REF!</definedName>
    <definedName name="PEB">#N/A</definedName>
    <definedName name="pehape" localSheetId="0">#REF!</definedName>
    <definedName name="pehape" localSheetId="5">#REF!</definedName>
    <definedName name="pehape" localSheetId="6">#REF!</definedName>
    <definedName name="pehape">#REF!</definedName>
    <definedName name="Pelunasan">'[42]412'!$J$418</definedName>
    <definedName name="pemb." localSheetId="0">#REF!</definedName>
    <definedName name="pemb." localSheetId="5">#REF!</definedName>
    <definedName name="pemb." localSheetId="6">#REF!</definedName>
    <definedName name="pemb.">#REF!</definedName>
    <definedName name="PEMBELI" localSheetId="0">#REF!</definedName>
    <definedName name="PEMBELI" localSheetId="4">#REF!</definedName>
    <definedName name="PEMBELI" localSheetId="5">#REF!</definedName>
    <definedName name="PEMBELI" localSheetId="6">#REF!</definedName>
    <definedName name="PEMBELI">#REF!</definedName>
    <definedName name="PENGURANG" localSheetId="0">#REF!</definedName>
    <definedName name="PENGURANG" localSheetId="5">#REF!</definedName>
    <definedName name="PENGURANG" localSheetId="6">#REF!</definedName>
    <definedName name="PENGURANG">#REF!</definedName>
    <definedName name="Penjualan">'[42]412'!$J$406</definedName>
    <definedName name="Period" localSheetId="0">#REF!</definedName>
    <definedName name="Period" localSheetId="5">#REF!</definedName>
    <definedName name="Period" localSheetId="6">#REF!</definedName>
    <definedName name="Period">#REF!</definedName>
    <definedName name="Period_3" localSheetId="0">#REF!</definedName>
    <definedName name="Period_3" localSheetId="5">#REF!</definedName>
    <definedName name="Period_3" localSheetId="6">#REF!</definedName>
    <definedName name="Period_3">#REF!</definedName>
    <definedName name="Period_4" localSheetId="0">#REF!</definedName>
    <definedName name="Period_4" localSheetId="5">#REF!</definedName>
    <definedName name="Period_4" localSheetId="6">#REF!</definedName>
    <definedName name="Period_4">#REF!</definedName>
    <definedName name="Period_5" localSheetId="0">#REF!</definedName>
    <definedName name="Period_5" localSheetId="5">#REF!</definedName>
    <definedName name="Period_5" localSheetId="6">#REF!</definedName>
    <definedName name="Period_5">#REF!</definedName>
    <definedName name="Period_6" localSheetId="0">#REF!</definedName>
    <definedName name="Period_6" localSheetId="5">#REF!</definedName>
    <definedName name="Period_6" localSheetId="6">#REF!</definedName>
    <definedName name="Period_6">#REF!</definedName>
    <definedName name="Period_7" localSheetId="0">#REF!</definedName>
    <definedName name="Period_7" localSheetId="5">#REF!</definedName>
    <definedName name="Period_7" localSheetId="6">#REF!</definedName>
    <definedName name="Period_7">#REF!</definedName>
    <definedName name="Period_8" localSheetId="0">#REF!</definedName>
    <definedName name="Period_8" localSheetId="5">#REF!</definedName>
    <definedName name="Period_8" localSheetId="6">#REF!</definedName>
    <definedName name="Period_8">#REF!</definedName>
    <definedName name="period_pc" localSheetId="0">#REF!</definedName>
    <definedName name="period_pc" localSheetId="5">#REF!</definedName>
    <definedName name="period_pc" localSheetId="6">#REF!</definedName>
    <definedName name="period_pc">#REF!</definedName>
    <definedName name="periodfr" localSheetId="0">#REF!</definedName>
    <definedName name="periodfr" localSheetId="5">#REF!</definedName>
    <definedName name="periodfr" localSheetId="6">#REF!</definedName>
    <definedName name="periodfr">#REF!</definedName>
    <definedName name="periodto" localSheetId="0">#REF!</definedName>
    <definedName name="periodto" localSheetId="5">#REF!</definedName>
    <definedName name="periodto" localSheetId="6">#REF!</definedName>
    <definedName name="periodto">#REF!</definedName>
    <definedName name="perpajakan" localSheetId="0">#REF!</definedName>
    <definedName name="perpajakan" localSheetId="4">#REF!</definedName>
    <definedName name="perpajakan" localSheetId="5">#REF!</definedName>
    <definedName name="perpajakan" localSheetId="6">#REF!</definedName>
    <definedName name="perpajakan">#REF!</definedName>
    <definedName name="persediaan" localSheetId="0">'[2]TB-WP'!#REF!</definedName>
    <definedName name="persediaan" localSheetId="4">'[11]TB-WP'!#REF!</definedName>
    <definedName name="persediaan" localSheetId="5">'[2]TB-WP'!#REF!</definedName>
    <definedName name="persediaan" localSheetId="6">'[2]TB-WP'!#REF!</definedName>
    <definedName name="persediaan">'[2]TB-WP'!#REF!</definedName>
    <definedName name="Persediaan__spare_part" localSheetId="0">'[67]Worksheet-03'!#REF!</definedName>
    <definedName name="Persediaan__spare_part" localSheetId="4">'[68]Worksheet-03'!#REF!</definedName>
    <definedName name="Persediaan__spare_part" localSheetId="5">'[67]Worksheet-03'!#REF!</definedName>
    <definedName name="Persediaan__spare_part" localSheetId="6">'[67]Worksheet-03'!#REF!</definedName>
    <definedName name="Persediaan__spare_part">'[67]Worksheet-03'!#REF!</definedName>
    <definedName name="PERSON" localSheetId="0">#REF!</definedName>
    <definedName name="PERSON" localSheetId="5">#REF!</definedName>
    <definedName name="PERSON" localSheetId="6">#REF!</definedName>
    <definedName name="PERSON">#REF!</definedName>
    <definedName name="PERSONELCOST" localSheetId="0">#REF!</definedName>
    <definedName name="PERSONELCOST" localSheetId="5">#REF!</definedName>
    <definedName name="PERSONELCOST" localSheetId="6">#REF!</definedName>
    <definedName name="PERSONELCOST">#REF!</definedName>
    <definedName name="Phase" localSheetId="0">#REF!</definedName>
    <definedName name="Phase" localSheetId="5">#REF!</definedName>
    <definedName name="Phase" localSheetId="6">#REF!</definedName>
    <definedName name="Phase">#REF!</definedName>
    <definedName name="php99" localSheetId="2" hidden="1">#REF!</definedName>
    <definedName name="php99" localSheetId="0" hidden="1">#REF!</definedName>
    <definedName name="php99" localSheetId="5" hidden="1">#REF!</definedName>
    <definedName name="php99" localSheetId="6" hidden="1">#REF!</definedName>
    <definedName name="php99" hidden="1">#REF!</definedName>
    <definedName name="Piet" localSheetId="0">#REF!</definedName>
    <definedName name="Piet" localSheetId="4">#REF!</definedName>
    <definedName name="Piet" localSheetId="5">#REF!</definedName>
    <definedName name="Piet" localSheetId="6">#REF!</definedName>
    <definedName name="Piet">#REF!</definedName>
    <definedName name="Piutang">'[42]412'!$J$21</definedName>
    <definedName name="Piutang__Affiliasi" localSheetId="0">'[67]Worksheet-03'!#REF!</definedName>
    <definedName name="Piutang__Affiliasi" localSheetId="4">'[68]Worksheet-03'!#REF!</definedName>
    <definedName name="Piutang__Affiliasi" localSheetId="5">'[67]Worksheet-03'!#REF!</definedName>
    <definedName name="Piutang__Affiliasi" localSheetId="6">'[67]Worksheet-03'!#REF!</definedName>
    <definedName name="Piutang__Affiliasi">'[67]Worksheet-03'!#REF!</definedName>
    <definedName name="piutang_lain" localSheetId="0">'[2]TB-WP'!#REF!</definedName>
    <definedName name="piutang_lain" localSheetId="4">'[11]TB-WP'!#REF!</definedName>
    <definedName name="piutang_lain" localSheetId="5">'[2]TB-WP'!#REF!</definedName>
    <definedName name="piutang_lain" localSheetId="6">'[2]TB-WP'!#REF!</definedName>
    <definedName name="piutang_lain">'[2]TB-WP'!#REF!</definedName>
    <definedName name="piutang_ush" localSheetId="0">'[2]TB-WP'!#REF!</definedName>
    <definedName name="piutang_ush" localSheetId="4">'[11]TB-WP'!#REF!</definedName>
    <definedName name="piutang_ush" localSheetId="5">'[2]TB-WP'!#REF!</definedName>
    <definedName name="piutang_ush" localSheetId="6">'[2]TB-WP'!#REF!</definedName>
    <definedName name="piutang_ush">'[2]TB-WP'!#REF!</definedName>
    <definedName name="pkp_fis">#N/A</definedName>
    <definedName name="pkp_wp">#N/A</definedName>
    <definedName name="PKPPENJUAL" localSheetId="0">#REF!</definedName>
    <definedName name="PKPPENJUAL" localSheetId="4">#REF!</definedName>
    <definedName name="PKPPENJUAL" localSheetId="5">#REF!</definedName>
    <definedName name="PKPPENJUAL" localSheetId="6">#REF!</definedName>
    <definedName name="PKPPENJUAL">#REF!</definedName>
    <definedName name="plant_id">'[126]lookup plant'!$A$2:$A$54</definedName>
    <definedName name="Plat" localSheetId="0">[136]Sheet1!#REF!</definedName>
    <definedName name="Plat" localSheetId="5">[136]Sheet1!#REF!</definedName>
    <definedName name="Plat" localSheetId="6">[136]Sheet1!#REF!</definedName>
    <definedName name="Plat">[136]Sheet1!#REF!</definedName>
    <definedName name="PLT" localSheetId="0">#REF!</definedName>
    <definedName name="PLT" localSheetId="5">#REF!</definedName>
    <definedName name="PLT" localSheetId="6">#REF!</definedName>
    <definedName name="PLT">#REF!</definedName>
    <definedName name="pm" localSheetId="0">#REF!</definedName>
    <definedName name="pm" localSheetId="4">#REF!</definedName>
    <definedName name="pm" localSheetId="5">#REF!</definedName>
    <definedName name="pm" localSheetId="6">#REF!</definedName>
    <definedName name="pm">#REF!</definedName>
    <definedName name="PM_Dagri_dlmmasa" localSheetId="0">#REF!</definedName>
    <definedName name="PM_Dagri_dlmmasa" localSheetId="5">#REF!</definedName>
    <definedName name="PM_Dagri_dlmmasa" localSheetId="6">#REF!</definedName>
    <definedName name="PM_Dagri_dlmmasa">#REF!</definedName>
    <definedName name="PM_Dagri_MsTaksama" localSheetId="0">#REF!</definedName>
    <definedName name="PM_Dagri_MsTaksama" localSheetId="5">#REF!</definedName>
    <definedName name="PM_Dagri_MsTaksama" localSheetId="6">#REF!</definedName>
    <definedName name="PM_Dagri_MsTaksama">#REF!</definedName>
    <definedName name="PM_Impor" localSheetId="0">#REF!</definedName>
    <definedName name="PM_Impor" localSheetId="5">#REF!</definedName>
    <definedName name="PM_Impor" localSheetId="6">#REF!</definedName>
    <definedName name="PM_Impor">#REF!</definedName>
    <definedName name="PO">[137]SNperPO!$A$1:$B$386</definedName>
    <definedName name="poi" localSheetId="2" hidden="1">#REF!</definedName>
    <definedName name="poi" localSheetId="0" hidden="1">#REF!</definedName>
    <definedName name="poi" localSheetId="5" hidden="1">#REF!</definedName>
    <definedName name="poi" localSheetId="6" hidden="1">#REF!</definedName>
    <definedName name="poi" hidden="1">#REF!</definedName>
    <definedName name="poj" localSheetId="0">#REF!</definedName>
    <definedName name="poj" localSheetId="5">#REF!</definedName>
    <definedName name="poj" localSheetId="6">#REF!</definedName>
    <definedName name="poj">#REF!</definedName>
    <definedName name="POKOK_H.JUAL_">#N/A</definedName>
    <definedName name="police_number" localSheetId="0">#REF!</definedName>
    <definedName name="police_number" localSheetId="5">#REF!</definedName>
    <definedName name="police_number" localSheetId="6">#REF!</definedName>
    <definedName name="police_number">#REF!</definedName>
    <definedName name="Pool">[49]Table!$K$2:$K$7</definedName>
    <definedName name="Pos" localSheetId="0">#REF!</definedName>
    <definedName name="Pos" localSheetId="5">#REF!</definedName>
    <definedName name="Pos" localSheetId="6">#REF!</definedName>
    <definedName name="Pos">#REF!</definedName>
    <definedName name="POTONGAN">#N/A</definedName>
    <definedName name="ppe" localSheetId="2" hidden="1">#REF!</definedName>
    <definedName name="ppe" localSheetId="0" hidden="1">#REF!</definedName>
    <definedName name="ppe" localSheetId="5" hidden="1">#REF!</definedName>
    <definedName name="ppe" localSheetId="6" hidden="1">#REF!</definedName>
    <definedName name="ppe" hidden="1">#REF!</definedName>
    <definedName name="pph" localSheetId="0">'[138]BE$-98'!#REF!</definedName>
    <definedName name="pph" localSheetId="5">'[138]BE$-98'!#REF!</definedName>
    <definedName name="pph" localSheetId="6">'[138]BE$-98'!#REF!</definedName>
    <definedName name="pph">'[138]BE$-98'!#REF!</definedName>
    <definedName name="pph_final_fis">#N/A</definedName>
    <definedName name="pph_final_wp">'[124]I-PPh Final'!$E$14</definedName>
    <definedName name="pph21_fis">#N/A</definedName>
    <definedName name="pph21_wp">#N/A</definedName>
    <definedName name="pph23_fis">#N/A</definedName>
    <definedName name="pph23_wp">#N/A</definedName>
    <definedName name="pph25_fis">#N/A</definedName>
    <definedName name="pph25_wp">#N/A</definedName>
    <definedName name="pph26_fis">#N/A</definedName>
    <definedName name="PPh26_wp">#N/A</definedName>
    <definedName name="ppn" localSheetId="2" hidden="1">#REF!</definedName>
    <definedName name="ppn" localSheetId="0" hidden="1">#REF!</definedName>
    <definedName name="ppn" localSheetId="5" hidden="1">#REF!</definedName>
    <definedName name="ppn" localSheetId="6" hidden="1">#REF!</definedName>
    <definedName name="ppn" hidden="1">#REF!</definedName>
    <definedName name="PPN.KE_">#N/A</definedName>
    <definedName name="ppn_fis">#N/A</definedName>
    <definedName name="PPN_KELUARAN">#N/A</definedName>
    <definedName name="PPN_MASUKAN" localSheetId="0">#REF!</definedName>
    <definedName name="PPN_MASUKAN" localSheetId="4">#REF!</definedName>
    <definedName name="PPN_MASUKAN" localSheetId="5">#REF!</definedName>
    <definedName name="PPN_MASUKAN" localSheetId="6">#REF!</definedName>
    <definedName name="PPN_MASUKAN">#REF!</definedName>
    <definedName name="ppn_wp">#N/A</definedName>
    <definedName name="ppnbm" localSheetId="0">#REF!</definedName>
    <definedName name="ppnbm" localSheetId="5">#REF!</definedName>
    <definedName name="ppnbm" localSheetId="6">#REF!</definedName>
    <definedName name="ppnbm">#REF!</definedName>
    <definedName name="ppp" localSheetId="0">#REF!</definedName>
    <definedName name="ppp" localSheetId="5">#REF!</definedName>
    <definedName name="ppp" localSheetId="6">#REF!</definedName>
    <definedName name="ppp">#REF!</definedName>
    <definedName name="PrePayments" localSheetId="0">#REF!</definedName>
    <definedName name="PrePayments" localSheetId="5">#REF!</definedName>
    <definedName name="PrePayments" localSheetId="6">#REF!</definedName>
    <definedName name="PrePayments">#REF!</definedName>
    <definedName name="PrepBy" localSheetId="0">#REF!</definedName>
    <definedName name="PrepBy" localSheetId="5">#REF!</definedName>
    <definedName name="PrepBy" localSheetId="6">#REF!</definedName>
    <definedName name="PrepBy">#REF!</definedName>
    <definedName name="Price">[139]Price!$BI$3:$BM$3</definedName>
    <definedName name="Pricing" localSheetId="0">#REF!</definedName>
    <definedName name="Pricing" localSheetId="5">#REF!</definedName>
    <definedName name="Pricing" localSheetId="6">#REF!</definedName>
    <definedName name="Pricing">#REF!</definedName>
    <definedName name="_xlnm.Print_Area" localSheetId="0">#REF!</definedName>
    <definedName name="_xlnm.Print_Area" localSheetId="4">'BUDGET REVENUE TBS 2021'!$A$1:$L$68</definedName>
    <definedName name="_xlnm.Print_Area" localSheetId="5">#REF!</definedName>
    <definedName name="_xlnm.Print_Area" localSheetId="6">#REF!</definedName>
    <definedName name="_xlnm.Print_Area">#REF!</definedName>
    <definedName name="Print_Area_MI" localSheetId="0">'[110]BS-PL Komersil and Fiskal'!#REF!</definedName>
    <definedName name="Print_Area_MI" localSheetId="4">#REF!</definedName>
    <definedName name="Print_Area_MI" localSheetId="5">'[110]BS-PL Komersil and Fiskal'!#REF!</definedName>
    <definedName name="Print_Area_MI" localSheetId="6">'[110]BS-PL Komersil and Fiskal'!#REF!</definedName>
    <definedName name="Print_Area_MI">'[110]BS-PL Komersil and Fiskal'!#REF!</definedName>
    <definedName name="_xlnm.Print_Titles">#N/A</definedName>
    <definedName name="PRINT_TITLES_MI" localSheetId="0">#REF!</definedName>
    <definedName name="PRINT_TITLES_MI" localSheetId="4">#REF!</definedName>
    <definedName name="PRINT_TITLES_MI" localSheetId="5">#REF!</definedName>
    <definedName name="PRINT_TITLES_MI" localSheetId="6">#REF!</definedName>
    <definedName name="PRINT_TITLES_MI">#REF!</definedName>
    <definedName name="PrintDistribution2" localSheetId="0">'[140]Distribution  Detail'!#REF!</definedName>
    <definedName name="PrintDistribution2" localSheetId="5">'[140]Distribution  Detail'!#REF!</definedName>
    <definedName name="PrintDistribution2" localSheetId="6">'[140]Distribution  Detail'!#REF!</definedName>
    <definedName name="PrintDistribution2">'[140]Distribution  Detail'!#REF!</definedName>
    <definedName name="PrintDistribution3" localSheetId="0">'[140]Distribution  Detail'!#REF!</definedName>
    <definedName name="PrintDistribution3" localSheetId="5">'[140]Distribution  Detail'!#REF!</definedName>
    <definedName name="PrintDistribution3" localSheetId="6">'[140]Distribution  Detail'!#REF!</definedName>
    <definedName name="PrintDistribution3">'[140]Distribution  Detail'!#REF!</definedName>
    <definedName name="PrintDistribution4" localSheetId="0">'[140]Distribution  Detail'!#REF!</definedName>
    <definedName name="PrintDistribution4" localSheetId="5">'[140]Distribution  Detail'!#REF!</definedName>
    <definedName name="PrintDistribution4" localSheetId="6">'[140]Distribution  Detail'!#REF!</definedName>
    <definedName name="PrintDistribution4">'[140]Distribution  Detail'!#REF!</definedName>
    <definedName name="PrintDistribution5" localSheetId="0">'[140]Distribution  Detail'!#REF!</definedName>
    <definedName name="PrintDistribution5" localSheetId="5">'[140]Distribution  Detail'!#REF!</definedName>
    <definedName name="PrintDistribution5" localSheetId="6">'[140]Distribution  Detail'!#REF!</definedName>
    <definedName name="PrintDistribution5">'[140]Distribution  Detail'!#REF!</definedName>
    <definedName name="PrintDistribution6" localSheetId="0">'[140]Distribution  Detail'!#REF!</definedName>
    <definedName name="PrintDistribution6" localSheetId="5">'[140]Distribution  Detail'!#REF!</definedName>
    <definedName name="PrintDistribution6" localSheetId="6">'[140]Distribution  Detail'!#REF!</definedName>
    <definedName name="PrintDistribution6">'[140]Distribution  Detail'!#REF!</definedName>
    <definedName name="PrintDistribution7" localSheetId="0">'[140]Distribution  Detail'!#REF!</definedName>
    <definedName name="PrintDistribution7" localSheetId="5">'[140]Distribution  Detail'!#REF!</definedName>
    <definedName name="PrintDistribution7" localSheetId="6">'[140]Distribution  Detail'!#REF!</definedName>
    <definedName name="PrintDistribution7">'[140]Distribution  Detail'!#REF!</definedName>
    <definedName name="produk">[141]Prof!$B$17:$B$21</definedName>
    <definedName name="ProForma2" localSheetId="0">#REF!</definedName>
    <definedName name="ProForma2" localSheetId="5">#REF!</definedName>
    <definedName name="ProForma2" localSheetId="6">#REF!</definedName>
    <definedName name="ProForma2">#REF!</definedName>
    <definedName name="Proj_Balance_Sheet" localSheetId="0">#REF!</definedName>
    <definedName name="Proj_Balance_Sheet" localSheetId="5">#REF!</definedName>
    <definedName name="Proj_Balance_Sheet" localSheetId="6">#REF!</definedName>
    <definedName name="Proj_Balance_Sheet">#REF!</definedName>
    <definedName name="Project_Code">[93]Table!$A$73:$A$111</definedName>
    <definedName name="Project_Code_3">[95]Table!$A$73:$A$111</definedName>
    <definedName name="Project_Code_4">[95]Table!$A$73:$A$111</definedName>
    <definedName name="Project_Code_5">[95]Table!$A$73:$A$111</definedName>
    <definedName name="Project_Code_6">[95]Table!$A$73:$A$111</definedName>
    <definedName name="Project_Code_7">[95]Table!$A$73:$A$111</definedName>
    <definedName name="Project_Code_8">[95]Table!$A$73:$A$111</definedName>
    <definedName name="ProjectManager">[77]Input!$C$8</definedName>
    <definedName name="ProjectName">[77]Input!$C$7</definedName>
    <definedName name="PROPRISK" localSheetId="0">#REF!</definedName>
    <definedName name="PROPRISK" localSheetId="5">#REF!</definedName>
    <definedName name="PROPRISK" localSheetId="6">#REF!</definedName>
    <definedName name="PROPRISK">#REF!</definedName>
    <definedName name="PROPUP" localSheetId="0">#REF!</definedName>
    <definedName name="PROPUP" localSheetId="5">#REF!</definedName>
    <definedName name="PROPUP" localSheetId="6">#REF!</definedName>
    <definedName name="PROPUP">#REF!</definedName>
    <definedName name="PROVISION" localSheetId="0">#REF!</definedName>
    <definedName name="PROVISION" localSheetId="5">#REF!</definedName>
    <definedName name="PROVISION" localSheetId="6">#REF!</definedName>
    <definedName name="PROVISION">#REF!</definedName>
    <definedName name="ps" localSheetId="0">#REF!</definedName>
    <definedName name="ps" localSheetId="4">#REF!</definedName>
    <definedName name="ps" localSheetId="5">#REF!</definedName>
    <definedName name="ps" localSheetId="6">#REF!</definedName>
    <definedName name="ps">#REF!</definedName>
    <definedName name="PSMS_DOE_Crosstab1" localSheetId="0">#REF!</definedName>
    <definedName name="PSMS_DOE_Crosstab1" localSheetId="5">#REF!</definedName>
    <definedName name="PSMS_DOE_Crosstab1" localSheetId="6">#REF!</definedName>
    <definedName name="PSMS_DOE_Crosstab1">#REF!</definedName>
    <definedName name="pso">[132]DATA1!$C$11</definedName>
    <definedName name="PSWIsControlEnabled_0_28" localSheetId="2" hidden="1">#REF!</definedName>
    <definedName name="PSWIsControlEnabled_0_28" localSheetId="0" hidden="1">#REF!</definedName>
    <definedName name="PSWIsControlEnabled_0_28" localSheetId="5" hidden="1">#REF!</definedName>
    <definedName name="PSWIsControlEnabled_0_28" localSheetId="6" hidden="1">#REF!</definedName>
    <definedName name="PSWIsControlEnabled_0_28" hidden="1">#REF!</definedName>
    <definedName name="PSWIsControlEnabled_0_29" localSheetId="2" hidden="1">#REF!</definedName>
    <definedName name="PSWIsControlEnabled_0_29" localSheetId="0" hidden="1">#REF!</definedName>
    <definedName name="PSWIsControlEnabled_0_29" localSheetId="5" hidden="1">#REF!</definedName>
    <definedName name="PSWIsControlEnabled_0_29" localSheetId="6" hidden="1">#REF!</definedName>
    <definedName name="PSWIsControlEnabled_0_29" hidden="1">#REF!</definedName>
    <definedName name="PSWIsControlEnabled_0_30" localSheetId="2" hidden="1">#REF!</definedName>
    <definedName name="PSWIsControlEnabled_0_30" localSheetId="0" hidden="1">#REF!</definedName>
    <definedName name="PSWIsControlEnabled_0_30" localSheetId="5" hidden="1">#REF!</definedName>
    <definedName name="PSWIsControlEnabled_0_30" localSheetId="6" hidden="1">#REF!</definedName>
    <definedName name="PSWIsControlEnabled_0_30" hidden="1">#REF!</definedName>
    <definedName name="pt" localSheetId="0">#REF!</definedName>
    <definedName name="pt" localSheetId="5">#REF!</definedName>
    <definedName name="pt" localSheetId="6">#REF!</definedName>
    <definedName name="pt">#REF!</definedName>
    <definedName name="PTKP">[142]PARAMETER!$A$1:$B$5</definedName>
    <definedName name="ptkp1" localSheetId="2" hidden="1">#REF!</definedName>
    <definedName name="ptkp1" localSheetId="0" hidden="1">#REF!</definedName>
    <definedName name="ptkp1" localSheetId="5" hidden="1">#REF!</definedName>
    <definedName name="ptkp1" localSheetId="6" hidden="1">#REF!</definedName>
    <definedName name="ptkp1" hidden="1">#REF!</definedName>
    <definedName name="pty" localSheetId="0">#REF!</definedName>
    <definedName name="pty" localSheetId="5">#REF!</definedName>
    <definedName name="pty" localSheetId="6">#REF!</definedName>
    <definedName name="pty">#REF!</definedName>
    <definedName name="Puluhan" localSheetId="0">#REF!</definedName>
    <definedName name="Puluhan" localSheetId="5">#REF!</definedName>
    <definedName name="Puluhan" localSheetId="6">#REF!</definedName>
    <definedName name="Puluhan">#REF!</definedName>
    <definedName name="PurYear" localSheetId="0">#REF!</definedName>
    <definedName name="PurYear" localSheetId="5">#REF!</definedName>
    <definedName name="PurYear" localSheetId="6">#REF!</definedName>
    <definedName name="PurYear">#REF!</definedName>
    <definedName name="PV_Reference" localSheetId="0">#REF!</definedName>
    <definedName name="PV_Reference" localSheetId="5">#REF!</definedName>
    <definedName name="PV_Reference" localSheetId="6">#REF!</definedName>
    <definedName name="PV_Reference">#REF!</definedName>
    <definedName name="pyt" localSheetId="0">#REF!</definedName>
    <definedName name="pyt" localSheetId="5">#REF!</definedName>
    <definedName name="pyt" localSheetId="6">#REF!</definedName>
    <definedName name="pyt">#REF!</definedName>
    <definedName name="Q" localSheetId="0">#REF!</definedName>
    <definedName name="Q" localSheetId="5">#REF!</definedName>
    <definedName name="Q" localSheetId="6">#REF!</definedName>
    <definedName name="Q">#REF!</definedName>
    <definedName name="Ｑ）海外事業室" localSheetId="0">#REF!</definedName>
    <definedName name="Ｑ）海外事業室" localSheetId="5">#REF!</definedName>
    <definedName name="Ｑ）海外事業室" localSheetId="6">#REF!</definedName>
    <definedName name="Ｑ）海外事業室">#REF!</definedName>
    <definedName name="Qingdao">[143]FS!$A$1:$K$160</definedName>
    <definedName name="Query_Cycle_Time" localSheetId="0">#REF!</definedName>
    <definedName name="Query_Cycle_Time" localSheetId="5">#REF!</definedName>
    <definedName name="Query_Cycle_Time" localSheetId="6">#REF!</definedName>
    <definedName name="Query_Cycle_Time">#REF!</definedName>
    <definedName name="Query_Cycle_Time_by_Activity" localSheetId="0">#REF!</definedName>
    <definedName name="Query_Cycle_Time_by_Activity" localSheetId="5">#REF!</definedName>
    <definedName name="Query_Cycle_Time_by_Activity" localSheetId="6">#REF!</definedName>
    <definedName name="Query_Cycle_Time_by_Activity">#REF!</definedName>
    <definedName name="Query_Cycle_Time_by_Activity__All_Detail_">[144]FUTONG!$A$3:$S$313</definedName>
    <definedName name="qw" localSheetId="0">NOPAT_TV2/TV_Capital2</definedName>
    <definedName name="qw" localSheetId="5">NOPAT_TV2/TV_Capital2</definedName>
    <definedName name="qw" localSheetId="6">NOPAT_TV2/TV_Capital2</definedName>
    <definedName name="qw">NOPAT_TV2/TV_Capital2</definedName>
    <definedName name="qwe" localSheetId="2" hidden="1">#REF!</definedName>
    <definedName name="qwe" localSheetId="0" hidden="1">#REF!</definedName>
    <definedName name="qwe" localSheetId="5" hidden="1">#REF!</definedName>
    <definedName name="qwe" localSheetId="6" hidden="1">#REF!</definedName>
    <definedName name="qwe" hidden="1">#REF!</definedName>
    <definedName name="qwqw" localSheetId="2" hidden="1">#REF!</definedName>
    <definedName name="qwqw" localSheetId="0" hidden="1">#REF!</definedName>
    <definedName name="qwqw" localSheetId="5" hidden="1">#REF!</definedName>
    <definedName name="qwqw" localSheetId="6" hidden="1">#REF!</definedName>
    <definedName name="qwqw" hidden="1">#REF!</definedName>
    <definedName name="QWQWQ" localSheetId="0">#REF!</definedName>
    <definedName name="QWQWQ" localSheetId="5">#REF!</definedName>
    <definedName name="QWQWQ" localSheetId="6">#REF!</definedName>
    <definedName name="QWQWQ">#REF!</definedName>
    <definedName name="RATE" localSheetId="0">#REF!</definedName>
    <definedName name="RATE" localSheetId="4">#REF!</definedName>
    <definedName name="RATE" localSheetId="5">#REF!</definedName>
    <definedName name="RATE" localSheetId="6">#REF!</definedName>
    <definedName name="RATE">#REF!</definedName>
    <definedName name="rate98">[73]Factors!$B$2</definedName>
    <definedName name="Rates" localSheetId="4">[145]Rates!$B$5:$D$26</definedName>
    <definedName name="Rates">[146]Rates!$B$5:$D$26</definedName>
    <definedName name="rating">'[141]Daftar Isi'!$D$2:$I$2</definedName>
    <definedName name="Ratusan" localSheetId="0">#REF!</definedName>
    <definedName name="Ratusan" localSheetId="5">#REF!</definedName>
    <definedName name="Ratusan" localSheetId="6">#REF!</definedName>
    <definedName name="Ratusan">#REF!</definedName>
    <definedName name="RAYON" localSheetId="0">#REF!</definedName>
    <definedName name="RAYON" localSheetId="5">#REF!</definedName>
    <definedName name="RAYON" localSheetId="6">#REF!</definedName>
    <definedName name="RAYON">#REF!</definedName>
    <definedName name="rb" localSheetId="0">#REF!</definedName>
    <definedName name="rb" localSheetId="4">#REF!</definedName>
    <definedName name="rb" localSheetId="5">#REF!</definedName>
    <definedName name="rb" localSheetId="6">#REF!</definedName>
    <definedName name="rb">#REF!</definedName>
    <definedName name="RE" localSheetId="0">#REF!</definedName>
    <definedName name="RE" localSheetId="5">#REF!</definedName>
    <definedName name="RE" localSheetId="6">#REF!</definedName>
    <definedName name="RE">#REF!</definedName>
    <definedName name="real" localSheetId="0">#REF!</definedName>
    <definedName name="real" localSheetId="4">#REF!</definedName>
    <definedName name="real" localSheetId="5">#REF!</definedName>
    <definedName name="real" localSheetId="6">#REF!</definedName>
    <definedName name="real">#REF!</definedName>
    <definedName name="Regal">[147]FS!$A$1:$K$159</definedName>
    <definedName name="Remark" localSheetId="0">#REF!</definedName>
    <definedName name="Remark" localSheetId="5">#REF!</definedName>
    <definedName name="Remark" localSheetId="6">#REF!</definedName>
    <definedName name="Remark">#REF!</definedName>
    <definedName name="Remarks" localSheetId="0">#REF!</definedName>
    <definedName name="Remarks" localSheetId="5">#REF!</definedName>
    <definedName name="Remarks" localSheetId="6">#REF!</definedName>
    <definedName name="Remarks">#REF!</definedName>
    <definedName name="rent_options">'[65]^Base_Data_Gen'!$P$38:$P$41</definedName>
    <definedName name="RENTALS" localSheetId="0">#REF!</definedName>
    <definedName name="RENTALS" localSheetId="5">#REF!</definedName>
    <definedName name="RENTALS" localSheetId="6">#REF!</definedName>
    <definedName name="RENTALS">#REF!</definedName>
    <definedName name="RENY" localSheetId="0">'[58]TB-WP'!#REF!</definedName>
    <definedName name="RENY" localSheetId="4">'[58]TB-WP'!#REF!</definedName>
    <definedName name="RENY" localSheetId="5">'[58]TB-WP'!#REF!</definedName>
    <definedName name="RENY" localSheetId="6">'[58]TB-WP'!#REF!</definedName>
    <definedName name="RENY">'[58]TB-WP'!#REF!</definedName>
    <definedName name="RepCur" localSheetId="0">#REF!</definedName>
    <definedName name="RepCur" localSheetId="5">#REF!</definedName>
    <definedName name="RepCur" localSheetId="6">#REF!</definedName>
    <definedName name="RepCur">#REF!</definedName>
    <definedName name="ReqIrr" localSheetId="0">#REF!</definedName>
    <definedName name="ReqIrr" localSheetId="5">#REF!</definedName>
    <definedName name="ReqIrr" localSheetId="6">#REF!</definedName>
    <definedName name="ReqIrr">#REF!</definedName>
    <definedName name="ReqPayback" localSheetId="0">#REF!</definedName>
    <definedName name="ReqPayback" localSheetId="5">#REF!</definedName>
    <definedName name="ReqPayback" localSheetId="6">#REF!</definedName>
    <definedName name="ReqPayback">#REF!</definedName>
    <definedName name="ReqROSHF" localSheetId="0">#REF!</definedName>
    <definedName name="ReqROSHF" localSheetId="5">#REF!</definedName>
    <definedName name="ReqROSHF" localSheetId="6">#REF!</definedName>
    <definedName name="ReqROSHF">#REF!</definedName>
    <definedName name="Restitusi" localSheetId="0">#REF!</definedName>
    <definedName name="Restitusi" localSheetId="5">#REF!</definedName>
    <definedName name="Restitusi" localSheetId="6">#REF!</definedName>
    <definedName name="Restitusi">#REF!</definedName>
    <definedName name="Rev" localSheetId="0">#REF!</definedName>
    <definedName name="Rev" localSheetId="5">#REF!</definedName>
    <definedName name="Rev" localSheetId="6">#REF!</definedName>
    <definedName name="Rev">#REF!</definedName>
    <definedName name="Rev.___Ket" localSheetId="0">#REF!</definedName>
    <definedName name="Rev.___Ket" localSheetId="5">#REF!</definedName>
    <definedName name="Rev.___Ket" localSheetId="6">#REF!</definedName>
    <definedName name="Rev.___Ket">#REF!</definedName>
    <definedName name="RevAdj" localSheetId="0">#REF!</definedName>
    <definedName name="RevAdj" localSheetId="5">#REF!</definedName>
    <definedName name="RevAdj" localSheetId="6">#REF!</definedName>
    <definedName name="RevAdj">#REF!</definedName>
    <definedName name="REVENUE" localSheetId="0">#REF!</definedName>
    <definedName name="REVENUE" localSheetId="5">#REF!</definedName>
    <definedName name="REVENUE" localSheetId="6">#REF!</definedName>
    <definedName name="REVENUE">#REF!</definedName>
    <definedName name="revenue1" localSheetId="0">'[10]TB-WP'!#REF!</definedName>
    <definedName name="revenue1" localSheetId="5">'[10]TB-WP'!#REF!</definedName>
    <definedName name="revenue1" localSheetId="6">'[10]TB-WP'!#REF!</definedName>
    <definedName name="revenue1">'[10]TB-WP'!#REF!</definedName>
    <definedName name="revenue2" localSheetId="0">#REF!</definedName>
    <definedName name="revenue2" localSheetId="5">#REF!</definedName>
    <definedName name="revenue2" localSheetId="6">#REF!</definedName>
    <definedName name="revenue2">#REF!</definedName>
    <definedName name="RFN" localSheetId="0">#REF!</definedName>
    <definedName name="RFN" localSheetId="4">#REF!</definedName>
    <definedName name="RFN" localSheetId="5">#REF!</definedName>
    <definedName name="RFN" localSheetId="6">#REF!</definedName>
    <definedName name="RFN">#REF!</definedName>
    <definedName name="RKPO54" localSheetId="0">#REF!</definedName>
    <definedName name="RKPO54" localSheetId="5">#REF!</definedName>
    <definedName name="RKPO54" localSheetId="6">#REF!</definedName>
    <definedName name="RKPO54">#REF!</definedName>
    <definedName name="RM">[62]Cover!$F$21</definedName>
    <definedName name="RM_GM_RP" localSheetId="0">#REF!</definedName>
    <definedName name="RM_GM_RP" localSheetId="5">#REF!</definedName>
    <definedName name="RM_GM_RP" localSheetId="6">#REF!</definedName>
    <definedName name="RM_GM_RP">#REF!</definedName>
    <definedName name="RM_GM_YDS" localSheetId="0">#REF!</definedName>
    <definedName name="RM_GM_YDS" localSheetId="5">#REF!</definedName>
    <definedName name="RM_GM_YDS" localSheetId="6">#REF!</definedName>
    <definedName name="RM_GM_YDS">#REF!</definedName>
    <definedName name="RM_SP_KG" localSheetId="0">#REF!</definedName>
    <definedName name="RM_SP_KG" localSheetId="5">#REF!</definedName>
    <definedName name="RM_SP_KG" localSheetId="6">#REF!</definedName>
    <definedName name="RM_SP_KG">#REF!</definedName>
    <definedName name="RM_SP_RP" localSheetId="0">#REF!</definedName>
    <definedName name="RM_SP_RP" localSheetId="5">#REF!</definedName>
    <definedName name="RM_SP_RP" localSheetId="6">#REF!</definedName>
    <definedName name="RM_SP_RP">#REF!</definedName>
    <definedName name="rm_trans_qty" localSheetId="0">#REF!</definedName>
    <definedName name="rm_trans_qty" localSheetId="5">#REF!</definedName>
    <definedName name="rm_trans_qty" localSheetId="6">#REF!</definedName>
    <definedName name="rm_trans_qty">#REF!</definedName>
    <definedName name="rm_trans_rp" localSheetId="0">#REF!</definedName>
    <definedName name="rm_trans_rp" localSheetId="5">#REF!</definedName>
    <definedName name="rm_trans_rp" localSheetId="6">#REF!</definedName>
    <definedName name="rm_trans_rp">#REF!</definedName>
    <definedName name="RM_WV_BS" localSheetId="0">#REF!</definedName>
    <definedName name="RM_WV_BS" localSheetId="5">#REF!</definedName>
    <definedName name="RM_WV_BS" localSheetId="6">#REF!</definedName>
    <definedName name="RM_WV_BS">#REF!</definedName>
    <definedName name="RM_WV_MIN_BS" localSheetId="0">#REF!</definedName>
    <definedName name="RM_WV_MIN_BS" localSheetId="5">#REF!</definedName>
    <definedName name="RM_WV_MIN_BS" localSheetId="6">#REF!</definedName>
    <definedName name="RM_WV_MIN_BS">#REF!</definedName>
    <definedName name="RM_WV_MIN_RP" localSheetId="0">#REF!</definedName>
    <definedName name="RM_WV_MIN_RP" localSheetId="5">#REF!</definedName>
    <definedName name="RM_WV_MIN_RP" localSheetId="6">#REF!</definedName>
    <definedName name="RM_WV_MIN_RP">#REF!</definedName>
    <definedName name="RM_WV_RP" localSheetId="0">#REF!</definedName>
    <definedName name="RM_WV_RP" localSheetId="5">#REF!</definedName>
    <definedName name="RM_WV_RP" localSheetId="6">#REF!</definedName>
    <definedName name="RM_WV_RP">#REF!</definedName>
    <definedName name="RMB" localSheetId="0">#REF!</definedName>
    <definedName name="RMB" localSheetId="5">#REF!</definedName>
    <definedName name="RMB" localSheetId="6">#REF!</definedName>
    <definedName name="RMB">#REF!</definedName>
    <definedName name="ROC">#N/A</definedName>
    <definedName name="ROCtvfcf" localSheetId="0">'BUDGET REVENUE CML 2021-2025'!NOPATtvfcf/'BUDGET REVENUE CML 2021-2025'!Capitaltvfcf</definedName>
    <definedName name="ROCtvfcf" localSheetId="5">'Summary Branch-BU (FC by Pa (2'!NOPATtvfcf/'Summary Branch-BU (FC by Pa (2'!Capitaltvfcf</definedName>
    <definedName name="ROCtvfcf" localSheetId="6">'Summary Branch-BU (FC by Pa Jo)'!NOPATtvfcf/'Summary Branch-BU (FC by Pa Jo)'!Capitaltvfcf</definedName>
    <definedName name="ROCtvfcf">NOPATtvfcf/Capitaltvfcf</definedName>
    <definedName name="rol">#N/A</definedName>
    <definedName name="roland">#N/A</definedName>
    <definedName name="ROSHF" localSheetId="0">#REF!</definedName>
    <definedName name="ROSHF" localSheetId="5">#REF!</definedName>
    <definedName name="ROSHF" localSheetId="6">#REF!</definedName>
    <definedName name="ROSHF">#REF!</definedName>
    <definedName name="RouteCode">[49]Route!$A$5:$A$15</definedName>
    <definedName name="ROYALTIES" localSheetId="0">#REF!</definedName>
    <definedName name="ROYALTIES" localSheetId="5">#REF!</definedName>
    <definedName name="ROYALTIES" localSheetId="6">#REF!</definedName>
    <definedName name="ROYALTIES">#REF!</definedName>
    <definedName name="RPKG" localSheetId="0">[72]Piping!#REF!</definedName>
    <definedName name="RPKG" localSheetId="5">[72]Piping!#REF!</definedName>
    <definedName name="RPKG" localSheetId="6">[72]Piping!#REF!</definedName>
    <definedName name="RPKG">[72]Piping!#REF!</definedName>
    <definedName name="rr" localSheetId="0">'[39]ﾙｰﾄ別販売(概況3)'!#REF!</definedName>
    <definedName name="rr" localSheetId="5">'[39]ﾙｰﾄ別販売(概況3)'!#REF!</definedName>
    <definedName name="rr" localSheetId="6">'[39]ﾙｰﾄ別販売(概況3)'!#REF!</definedName>
    <definedName name="rr">'[39]ﾙｰﾄ別販売(概況3)'!#REF!</definedName>
    <definedName name="Ruas_Jalan" localSheetId="0">#REF!</definedName>
    <definedName name="Ruas_Jalan" localSheetId="5">#REF!</definedName>
    <definedName name="Ruas_Jalan" localSheetId="6">#REF!</definedName>
    <definedName name="Ruas_Jalan">#REF!</definedName>
    <definedName name="rwcerq" localSheetId="2" hidden="1">#REF!</definedName>
    <definedName name="rwcerq" localSheetId="0" hidden="1">#REF!</definedName>
    <definedName name="rwcerq" localSheetId="5" hidden="1">#REF!</definedName>
    <definedName name="rwcerq" localSheetId="6" hidden="1">#REF!</definedName>
    <definedName name="rwcerq" hidden="1">#REF!</definedName>
    <definedName name="s" localSheetId="4">#REF!</definedName>
    <definedName name="s">'[148]Customer Code'!$A$2:$A$2402</definedName>
    <definedName name="s_exp">'[105]PL Mar'!$BQ$561:$BQ$756</definedName>
    <definedName name="sa" localSheetId="0">[149]BUMA!#REF!</definedName>
    <definedName name="sa" localSheetId="5">[149]BUMA!#REF!</definedName>
    <definedName name="sa" localSheetId="6">[149]BUMA!#REF!</definedName>
    <definedName name="sa">[149]BUMA!#REF!</definedName>
    <definedName name="SAHAM" localSheetId="2" hidden="1">#REF!</definedName>
    <definedName name="SAHAM" localSheetId="0" hidden="1">#REF!</definedName>
    <definedName name="SAHAM" localSheetId="5" hidden="1">#REF!</definedName>
    <definedName name="SAHAM" localSheetId="6" hidden="1">#REF!</definedName>
    <definedName name="SAHAM" hidden="1">#REF!</definedName>
    <definedName name="sahsk">[22]LAPORAN!$A$169:$H$224</definedName>
    <definedName name="sal" localSheetId="0">#REF!</definedName>
    <definedName name="sal" localSheetId="5">#REF!</definedName>
    <definedName name="sal" localSheetId="6">#REF!</definedName>
    <definedName name="sal">#REF!</definedName>
    <definedName name="SALARIES" localSheetId="0">#REF!</definedName>
    <definedName name="SALARIES" localSheetId="5">#REF!</definedName>
    <definedName name="SALARIES" localSheetId="6">#REF!</definedName>
    <definedName name="SALARIES">#REF!</definedName>
    <definedName name="SALDO">#N/A</definedName>
    <definedName name="salesaccfr" localSheetId="0">#REF!</definedName>
    <definedName name="salesaccfr" localSheetId="5">#REF!</definedName>
    <definedName name="salesaccfr" localSheetId="6">#REF!</definedName>
    <definedName name="salesaccfr">#REF!</definedName>
    <definedName name="salesaccto" localSheetId="0">#REF!</definedName>
    <definedName name="salesaccto" localSheetId="5">#REF!</definedName>
    <definedName name="salesaccto" localSheetId="6">#REF!</definedName>
    <definedName name="salesaccto">#REF!</definedName>
    <definedName name="SalesGM">[73]Sales!$J$26</definedName>
    <definedName name="SalesSP">[73]Sales!$H$7</definedName>
    <definedName name="SalesWV">[73]Sales!$I$19</definedName>
    <definedName name="sampul">[22]LAPORAN!$AD$169:$AL$224</definedName>
    <definedName name="sanksi_13_2_final">#N/A</definedName>
    <definedName name="sanksi_13_2_pph21">#N/A</definedName>
    <definedName name="sanksi_13_2_pph23">#N/A</definedName>
    <definedName name="sanksi_13_2_pph25">#N/A</definedName>
    <definedName name="sanksi_13_2_pph26">#N/A</definedName>
    <definedName name="sanksi_13_2_ppn">#N/A</definedName>
    <definedName name="sanksi_13_3_final">#N/A</definedName>
    <definedName name="sanksi_13_3_pph21">#N/A</definedName>
    <definedName name="sanksi_13_3_pph23">#N/A</definedName>
    <definedName name="sanksi_13_3_pph25">#N/A</definedName>
    <definedName name="sanksi_13_3_pph26">#N/A</definedName>
    <definedName name="sanksi_13_3_ppn">#N/A</definedName>
    <definedName name="SAPBEXdnldView" hidden="1">"CLA8AIYUSHYY0RL0OXW8FDOA2"</definedName>
    <definedName name="SAPBEXhrIndnt" hidden="1">"Wide"</definedName>
    <definedName name="SAPBEXrevision" hidden="1">1</definedName>
    <definedName name="SAPBEXsysID" hidden="1">"BP1"</definedName>
    <definedName name="SAPBEXwbID" hidden="1">"3LZJCNUT8U98N7LY3JLJCEGOX"</definedName>
    <definedName name="SAPsysID" hidden="1">"708C5W7SBKP804JT78WJ0JNKI"</definedName>
    <definedName name="SAPwbID" hidden="1">"ARS"</definedName>
    <definedName name="SATU" localSheetId="0">#REF!</definedName>
    <definedName name="SATU" localSheetId="4">#REF!</definedName>
    <definedName name="SATU" localSheetId="5">#REF!</definedName>
    <definedName name="SATU" localSheetId="6">#REF!</definedName>
    <definedName name="SATU">#REF!</definedName>
    <definedName name="Satuan" localSheetId="0">#REF!</definedName>
    <definedName name="Satuan" localSheetId="5">#REF!</definedName>
    <definedName name="Satuan" localSheetId="6">#REF!</definedName>
    <definedName name="Satuan">#REF!</definedName>
    <definedName name="SBW" localSheetId="0">[72]Piping!#REF!</definedName>
    <definedName name="SBW" localSheetId="5">[72]Piping!#REF!</definedName>
    <definedName name="SBW" localSheetId="6">[72]Piping!#REF!</definedName>
    <definedName name="SBW">[72]Piping!#REF!</definedName>
    <definedName name="Scalling___M3" localSheetId="0">#REF!</definedName>
    <definedName name="Scalling___M3" localSheetId="5">#REF!</definedName>
    <definedName name="Scalling___M3" localSheetId="6">#REF!</definedName>
    <definedName name="Scalling___M3">#REF!</definedName>
    <definedName name="Scen" localSheetId="0">#REF!</definedName>
    <definedName name="Scen" localSheetId="5">#REF!</definedName>
    <definedName name="Scen" localSheetId="6">#REF!</definedName>
    <definedName name="Scen">#REF!</definedName>
    <definedName name="Scenario">[150]Revenue!$K$5:$K$11</definedName>
    <definedName name="Score" localSheetId="0">#REF!</definedName>
    <definedName name="Score" localSheetId="5">#REF!</definedName>
    <definedName name="Score" localSheetId="6">#REF!</definedName>
    <definedName name="Score">#REF!</definedName>
    <definedName name="SD_ST">#N/A</definedName>
    <definedName name="sdabd">'[59]by-21'!$E$5:$I$13</definedName>
    <definedName name="sdfdsf" localSheetId="2" hidden="1">#REF!</definedName>
    <definedName name="sdfdsf" localSheetId="0" hidden="1">#REF!</definedName>
    <definedName name="sdfdsf" localSheetId="5" hidden="1">#REF!</definedName>
    <definedName name="sdfdsf" localSheetId="6" hidden="1">#REF!</definedName>
    <definedName name="sdfdsf" hidden="1">#REF!</definedName>
    <definedName name="sdfffasddddddddd" localSheetId="0">#REF!</definedName>
    <definedName name="sdfffasddddddddd" localSheetId="5">#REF!</definedName>
    <definedName name="sdfffasddddddddd" localSheetId="6">#REF!</definedName>
    <definedName name="sdfffasddddddddd">#REF!</definedName>
    <definedName name="sds" localSheetId="0">'[103]Note to account'!#REF!</definedName>
    <definedName name="sds" localSheetId="5">'[103]Note to account'!#REF!</definedName>
    <definedName name="sds" localSheetId="6">'[103]Note to account'!#REF!</definedName>
    <definedName name="sds">'[103]Note to account'!#REF!</definedName>
    <definedName name="SE" localSheetId="0">#REF!</definedName>
    <definedName name="SE" localSheetId="5">#REF!</definedName>
    <definedName name="SE" localSheetId="6">#REF!</definedName>
    <definedName name="SE">#REF!</definedName>
    <definedName name="SEgarmentYTD" localSheetId="0">[48]PREV!#REF!</definedName>
    <definedName name="SEgarmentYTD" localSheetId="5">[48]PREV!#REF!</definedName>
    <definedName name="SEgarmentYTD" localSheetId="6">[48]PREV!#REF!</definedName>
    <definedName name="SEgarmentYTD">[48]PREV!#REF!</definedName>
    <definedName name="sencount" hidden="1">1</definedName>
    <definedName name="SEP">#N/A</definedName>
    <definedName name="SEPC" localSheetId="0">#REF!</definedName>
    <definedName name="SEPC" localSheetId="5">#REF!</definedName>
    <definedName name="SEPC" localSheetId="6">#REF!</definedName>
    <definedName name="SEPC">#REF!</definedName>
    <definedName name="SEPP" localSheetId="0">#REF!</definedName>
    <definedName name="SEPP" localSheetId="5">#REF!</definedName>
    <definedName name="SEPP" localSheetId="6">#REF!</definedName>
    <definedName name="SEPP">#REF!</definedName>
    <definedName name="SEPT">#N/A</definedName>
    <definedName name="SERV_TYPE">[93]Table!$A$117:$A$135</definedName>
    <definedName name="SERV_TYPE_3">[95]Table!$A$117:$A$135</definedName>
    <definedName name="SERV_TYPE_4">[95]Table!$A$117:$A$135</definedName>
    <definedName name="SERV_TYPE_5">[95]Table!$A$117:$A$135</definedName>
    <definedName name="SERV_TYPE_6">[95]Table!$A$117:$A$135</definedName>
    <definedName name="SERV_TYPE_7">[95]Table!$A$117:$A$135</definedName>
    <definedName name="SERV_TYPE_8">[95]Table!$A$117:$A$135</definedName>
    <definedName name="set" localSheetId="2" hidden="1">#REF!</definedName>
    <definedName name="set" localSheetId="0" hidden="1">#REF!</definedName>
    <definedName name="set" localSheetId="5" hidden="1">#REF!</definedName>
    <definedName name="set" localSheetId="6" hidden="1">#REF!</definedName>
    <definedName name="set" hidden="1">#REF!</definedName>
    <definedName name="SEW" localSheetId="0">#REF!</definedName>
    <definedName name="SEW" localSheetId="5">#REF!</definedName>
    <definedName name="SEW" localSheetId="6">#REF!</definedName>
    <definedName name="SEW">#REF!</definedName>
    <definedName name="SExpJGEytd" localSheetId="0">[48]PREV!#REF!</definedName>
    <definedName name="SExpJGEytd" localSheetId="5">[48]PREV!#REF!</definedName>
    <definedName name="SExpJGEytd" localSheetId="6">[48]PREV!#REF!</definedName>
    <definedName name="SExpJGEytd">[48]PREV!#REF!</definedName>
    <definedName name="SExpWASytd" localSheetId="0">[48]PREV!#REF!</definedName>
    <definedName name="SExpWASytd" localSheetId="5">[48]PREV!#REF!</definedName>
    <definedName name="SExpWASytd" localSheetId="6">[48]PREV!#REF!</definedName>
    <definedName name="SExpWASytd">[48]PREV!#REF!</definedName>
    <definedName name="sfadsad" localSheetId="2" hidden="1">#REF!</definedName>
    <definedName name="sfadsad" localSheetId="0" hidden="1">#REF!</definedName>
    <definedName name="sfadsad" localSheetId="5" hidden="1">#REF!</definedName>
    <definedName name="sfadsad" localSheetId="6" hidden="1">#REF!</definedName>
    <definedName name="sfadsad" hidden="1">#REF!</definedName>
    <definedName name="sfaffffffffffs" localSheetId="0">#REF!</definedName>
    <definedName name="sfaffffffffffs" localSheetId="5">#REF!</definedName>
    <definedName name="sfaffffffffffs" localSheetId="6">#REF!</definedName>
    <definedName name="sfaffffffffffs">#REF!</definedName>
    <definedName name="sfdsadf" localSheetId="2" hidden="1">#REF!</definedName>
    <definedName name="sfdsadf" localSheetId="0" hidden="1">#REF!</definedName>
    <definedName name="sfdsadf" localSheetId="5" hidden="1">#REF!</definedName>
    <definedName name="sfdsadf" localSheetId="6" hidden="1">#REF!</definedName>
    <definedName name="sfdsadf" hidden="1">#REF!</definedName>
    <definedName name="sffsd" localSheetId="0">#REF!</definedName>
    <definedName name="sffsd" localSheetId="5">#REF!</definedName>
    <definedName name="sffsd" localSheetId="6">#REF!</definedName>
    <definedName name="sffsd">#REF!</definedName>
    <definedName name="SHANGHAIEFS">'[151]FS '!$1:$1048576</definedName>
    <definedName name="SHANGHAIFS">'[151]FS '!$1:$1048576</definedName>
    <definedName name="SHANGHAIFSE">'[151]FS '!$1:$1048576</definedName>
    <definedName name="ShareEquity" localSheetId="0">#REF!</definedName>
    <definedName name="ShareEquity" localSheetId="5">#REF!</definedName>
    <definedName name="ShareEquity" localSheetId="6">#REF!</definedName>
    <definedName name="ShareEquity">#REF!</definedName>
    <definedName name="SHIT" localSheetId="0">#REF!</definedName>
    <definedName name="SHIT" localSheetId="5">#REF!</definedName>
    <definedName name="SHIT" localSheetId="6">#REF!</definedName>
    <definedName name="SHIT">#REF!</definedName>
    <definedName name="SHM" localSheetId="2" hidden="1">#REF!</definedName>
    <definedName name="SHM" localSheetId="0" hidden="1">#REF!</definedName>
    <definedName name="SHM" localSheetId="5" hidden="1">#REF!</definedName>
    <definedName name="SHM" localSheetId="6" hidden="1">#REF!</definedName>
    <definedName name="SHM" hidden="1">#REF!</definedName>
    <definedName name="Short_Term_Loan_MBB_I">[42]SELISIHKURSSOURCE!$D$899</definedName>
    <definedName name="Short_Term_Loan_MBB_II">[42]SELISIHKURSSOURCE!$D$787</definedName>
    <definedName name="sisih_piutang" localSheetId="0">'[2]TB-WP'!#REF!</definedName>
    <definedName name="sisih_piutang" localSheetId="4">'[11]TB-WP'!#REF!</definedName>
    <definedName name="sisih_piutang" localSheetId="5">'[2]TB-WP'!#REF!</definedName>
    <definedName name="sisih_piutang" localSheetId="6">'[2]TB-WP'!#REF!</definedName>
    <definedName name="sisih_piutang">'[2]TB-WP'!#REF!</definedName>
    <definedName name="Skd." localSheetId="0">#REF!</definedName>
    <definedName name="Skd." localSheetId="5">#REF!</definedName>
    <definedName name="Skd." localSheetId="6">#REF!</definedName>
    <definedName name="Skd.">#REF!</definedName>
    <definedName name="SM" localSheetId="0">#REF!</definedName>
    <definedName name="SM" localSheetId="5">#REF!</definedName>
    <definedName name="SM" localSheetId="6">#REF!</definedName>
    <definedName name="SM">#REF!</definedName>
    <definedName name="SMDetail_Print" localSheetId="0">#REF!</definedName>
    <definedName name="SMDetail_Print" localSheetId="5">#REF!</definedName>
    <definedName name="SMDetail_Print" localSheetId="6">#REF!</definedName>
    <definedName name="SMDetail_Print">#REF!</definedName>
    <definedName name="SMOHAct_Print" localSheetId="0">#REF!</definedName>
    <definedName name="SMOHAct_Print" localSheetId="5">#REF!</definedName>
    <definedName name="SMOHAct_Print" localSheetId="6">#REF!</definedName>
    <definedName name="SMOHAct_Print">#REF!</definedName>
    <definedName name="SMOHBud_Print" localSheetId="0">#REF!</definedName>
    <definedName name="SMOHBud_Print" localSheetId="5">#REF!</definedName>
    <definedName name="SMOHBud_Print" localSheetId="6">#REF!</definedName>
    <definedName name="SMOHBud_Print">#REF!</definedName>
    <definedName name="SMSumOpPerf_Print" localSheetId="0">#REF!</definedName>
    <definedName name="SMSumOpPerf_Print" localSheetId="5">#REF!</definedName>
    <definedName name="SMSumOpPerf_Print" localSheetId="6">#REF!</definedName>
    <definedName name="SMSumOpPerf_Print">#REF!</definedName>
    <definedName name="SMSumZ_Print" localSheetId="0">#REF!</definedName>
    <definedName name="SMSumZ_Print" localSheetId="5">#REF!</definedName>
    <definedName name="SMSumZ_Print" localSheetId="6">#REF!</definedName>
    <definedName name="SMSumZ_Print">#REF!</definedName>
    <definedName name="SMTeam1" localSheetId="0">#REF!</definedName>
    <definedName name="SMTeam1" localSheetId="5">#REF!</definedName>
    <definedName name="SMTeam1" localSheetId="6">#REF!</definedName>
    <definedName name="SMTeam1">#REF!</definedName>
    <definedName name="SMTeam2" localSheetId="0">#REF!</definedName>
    <definedName name="SMTeam2" localSheetId="5">#REF!</definedName>
    <definedName name="SMTeam2" localSheetId="6">#REF!</definedName>
    <definedName name="SMTeam2">#REF!</definedName>
    <definedName name="SMTeam3" localSheetId="0">#REF!</definedName>
    <definedName name="SMTeam3" localSheetId="5">#REF!</definedName>
    <definedName name="SMTeam3" localSheetId="6">#REF!</definedName>
    <definedName name="SMTeam3">#REF!</definedName>
    <definedName name="SMTeam4" localSheetId="0">#REF!</definedName>
    <definedName name="SMTeam4" localSheetId="5">#REF!</definedName>
    <definedName name="SMTeam4" localSheetId="6">#REF!</definedName>
    <definedName name="SMTeam4">#REF!</definedName>
    <definedName name="SMTeam5" localSheetId="0">#REF!</definedName>
    <definedName name="SMTeam5" localSheetId="5">#REF!</definedName>
    <definedName name="SMTeam5" localSheetId="6">#REF!</definedName>
    <definedName name="SMTeam5">#REF!</definedName>
    <definedName name="SMTeam6" localSheetId="0">#REF!</definedName>
    <definedName name="SMTeam6" localSheetId="5">#REF!</definedName>
    <definedName name="SMTeam6" localSheetId="6">#REF!</definedName>
    <definedName name="SMTeam6">#REF!</definedName>
    <definedName name="so" localSheetId="2" hidden="1">{"'Income Statement'!$A$1:$L$32"}</definedName>
    <definedName name="so" localSheetId="0" hidden="1">{"'Income Statement'!$A$1:$L$32"}</definedName>
    <definedName name="so" hidden="1">{"'Income Statement'!$A$1:$L$32"}</definedName>
    <definedName name="soeryanto" localSheetId="0">#REF!</definedName>
    <definedName name="soeryanto" localSheetId="5">#REF!</definedName>
    <definedName name="soeryanto" localSheetId="6">#REF!</definedName>
    <definedName name="soeryanto">#REF!</definedName>
    <definedName name="soet1" localSheetId="2" hidden="1">#REF!</definedName>
    <definedName name="soet1" localSheetId="0" hidden="1">#REF!</definedName>
    <definedName name="soet1" localSheetId="5" hidden="1">#REF!</definedName>
    <definedName name="soet1" localSheetId="6" hidden="1">#REF!</definedName>
    <definedName name="soet1" hidden="1">#REF!</definedName>
    <definedName name="Sopir">[152]Master!$A$2:$A$35</definedName>
    <definedName name="SP" localSheetId="0">'[30]98-1-OVT'!#REF!</definedName>
    <definedName name="SP" localSheetId="5">'[30]98-1-OVT'!#REF!</definedName>
    <definedName name="SP" localSheetId="6">'[30]98-1-OVT'!#REF!</definedName>
    <definedName name="SP">'[30]98-1-OVT'!#REF!</definedName>
    <definedName name="spnJumSheet_Change">#N/A</definedName>
    <definedName name="Spread">#N/A</definedName>
    <definedName name="ss" localSheetId="0">'[39]ﾙｰﾄ別販売(概況3)'!#REF!</definedName>
    <definedName name="ss" localSheetId="5">'[39]ﾙｰﾄ別販売(概況3)'!#REF!</definedName>
    <definedName name="ss" localSheetId="6">'[39]ﾙｰﾄ別販売(概況3)'!#REF!</definedName>
    <definedName name="ss">'[39]ﾙｰﾄ別販売(概況3)'!#REF!</definedName>
    <definedName name="ssp21_fis">#N/A</definedName>
    <definedName name="ssp21_wp">#N/A</definedName>
    <definedName name="ssp23_fis">#N/A</definedName>
    <definedName name="ssp23_wp">#N/A</definedName>
    <definedName name="ssp25_fis">#N/A</definedName>
    <definedName name="ssp25_wp">#N/A</definedName>
    <definedName name="ssp26_fis">#N/A</definedName>
    <definedName name="ssp26_wp">#N/A</definedName>
    <definedName name="ssp29_fis">#N/A</definedName>
    <definedName name="ssp29_wp">#N/A</definedName>
    <definedName name="sspppn_fis">#N/A</definedName>
    <definedName name="sspppn_wp">#N/A</definedName>
    <definedName name="SSR_GM_RP" localSheetId="0">#REF!</definedName>
    <definedName name="SSR_GM_RP" localSheetId="5">#REF!</definedName>
    <definedName name="SSR_GM_RP" localSheetId="6">#REF!</definedName>
    <definedName name="SSR_GM_RP">#REF!</definedName>
    <definedName name="SSR_TEX_RP" localSheetId="0">#REF!</definedName>
    <definedName name="SSR_TEX_RP" localSheetId="5">#REF!</definedName>
    <definedName name="SSR_TEX_RP" localSheetId="6">#REF!</definedName>
    <definedName name="SSR_TEX_RP">#REF!</definedName>
    <definedName name="sss" localSheetId="0">#REF!</definedName>
    <definedName name="sss" localSheetId="5">#REF!</definedName>
    <definedName name="sss" localSheetId="6">#REF!</definedName>
    <definedName name="sss">#REF!</definedName>
    <definedName name="st" localSheetId="0">#REF!</definedName>
    <definedName name="st" localSheetId="5">#REF!</definedName>
    <definedName name="st" localSheetId="6">#REF!</definedName>
    <definedName name="st">#REF!</definedName>
    <definedName name="Stage">[77]Input!$C$9</definedName>
    <definedName name="Start" localSheetId="0">#REF!</definedName>
    <definedName name="Start" localSheetId="5">#REF!</definedName>
    <definedName name="Start" localSheetId="6">#REF!</definedName>
    <definedName name="Start">#REF!</definedName>
    <definedName name="Startup_1">'[65]^Start-Up'!$A$2</definedName>
    <definedName name="status">NA()</definedName>
    <definedName name="Status1" localSheetId="0">#REF!</definedName>
    <definedName name="Status1" localSheetId="5">#REF!</definedName>
    <definedName name="Status1" localSheetId="6">#REF!</definedName>
    <definedName name="Status1">#REF!</definedName>
    <definedName name="STFTI" localSheetId="0">#REF!</definedName>
    <definedName name="STFTI" localSheetId="5">#REF!</definedName>
    <definedName name="STFTI" localSheetId="6">#REF!</definedName>
    <definedName name="STFTI">#REF!</definedName>
    <definedName name="STL">'[42]412'!$J$410</definedName>
    <definedName name="Stock__ton" localSheetId="0">#REF!</definedName>
    <definedName name="Stock__ton" localSheetId="5">#REF!</definedName>
    <definedName name="Stock__ton" localSheetId="6">#REF!</definedName>
    <definedName name="Stock__ton">#REF!</definedName>
    <definedName name="stp_ppn">#N/A</definedName>
    <definedName name="STRent_1">'[65]^ShTerm_Rental'!$A$2</definedName>
    <definedName name="sty" localSheetId="0">#REF!</definedName>
    <definedName name="sty" localSheetId="5">#REF!</definedName>
    <definedName name="sty" localSheetId="6">#REF!</definedName>
    <definedName name="sty">#REF!</definedName>
    <definedName name="SUB" localSheetId="0">#REF!</definedName>
    <definedName name="SUB" localSheetId="5">#REF!</definedName>
    <definedName name="SUB" localSheetId="6">#REF!</definedName>
    <definedName name="SUB">#REF!</definedName>
    <definedName name="SUB_JN" localSheetId="0">#REF!</definedName>
    <definedName name="SUB_JN" localSheetId="4">#REF!</definedName>
    <definedName name="SUB_JN" localSheetId="5">#REF!</definedName>
    <definedName name="SUB_JN" localSheetId="6">#REF!</definedName>
    <definedName name="SUB_JN">#REF!</definedName>
    <definedName name="Submitted">[77]Cover!$H$7</definedName>
    <definedName name="summary" localSheetId="0">'[25]LTLGroup-Trans'!#REF!</definedName>
    <definedName name="summary" localSheetId="4">'[26]LTLGroup-Trans'!#REF!</definedName>
    <definedName name="summary" localSheetId="5">'[25]LTLGroup-Trans'!#REF!</definedName>
    <definedName name="summary" localSheetId="6">'[25]LTLGroup-Trans'!#REF!</definedName>
    <definedName name="summary">'[25]LTLGroup-Trans'!#REF!</definedName>
    <definedName name="SummaryByGroup" localSheetId="0">#REF!</definedName>
    <definedName name="SummaryByGroup" localSheetId="4">#REF!</definedName>
    <definedName name="SummaryByGroup" localSheetId="5">#REF!</definedName>
    <definedName name="SummaryByGroup" localSheetId="6">#REF!</definedName>
    <definedName name="SummaryByGroup">#REF!</definedName>
    <definedName name="SUNDRYincJGEytd" localSheetId="0">[48]PREV!#REF!</definedName>
    <definedName name="SUNDRYincJGEytd" localSheetId="5">[48]PREV!#REF!</definedName>
    <definedName name="SUNDRYincJGEytd" localSheetId="6">[48]PREV!#REF!</definedName>
    <definedName name="SUNDRYincJGEytd">[48]PREV!#REF!</definedName>
    <definedName name="SUNDRYincWASytd" localSheetId="0">[48]PREV!#REF!</definedName>
    <definedName name="SUNDRYincWASytd" localSheetId="5">[48]PREV!#REF!</definedName>
    <definedName name="SUNDRYincWASytd" localSheetId="6">[48]PREV!#REF!</definedName>
    <definedName name="SUNDRYincWASytd">[48]PREV!#REF!</definedName>
    <definedName name="SundryLossGmtYTD" localSheetId="0">[48]PREV!#REF!</definedName>
    <definedName name="SundryLossGmtYTD" localSheetId="5">[48]PREV!#REF!</definedName>
    <definedName name="SundryLossGmtYTD" localSheetId="6">[48]PREV!#REF!</definedName>
    <definedName name="SundryLossGmtYTD">[48]PREV!#REF!</definedName>
    <definedName name="SundryLossJGEytd" localSheetId="0">[48]PREV!#REF!</definedName>
    <definedName name="SundryLossJGEytd" localSheetId="5">[48]PREV!#REF!</definedName>
    <definedName name="SundryLossJGEytd" localSheetId="6">[48]PREV!#REF!</definedName>
    <definedName name="SundryLossJGEytd">[48]PREV!#REF!</definedName>
    <definedName name="SundryLossWasYTD" localSheetId="0">[48]PREV!#REF!</definedName>
    <definedName name="SundryLossWasYTD" localSheetId="5">[48]PREV!#REF!</definedName>
    <definedName name="SundryLossWasYTD" localSheetId="6">[48]PREV!#REF!</definedName>
    <definedName name="SundryLossWasYTD">[48]PREV!#REF!</definedName>
    <definedName name="supervisor">#N/A</definedName>
    <definedName name="SUPLIST">[153]Supp.List!$A$1:$J$59</definedName>
    <definedName name="Supp_List" localSheetId="0">#REF!</definedName>
    <definedName name="Supp_List" localSheetId="5">#REF!</definedName>
    <definedName name="Supp_List" localSheetId="6">#REF!</definedName>
    <definedName name="Supp_List">#REF!</definedName>
    <definedName name="Supplier_List">[154]Sheet1!$6:$90</definedName>
    <definedName name="SUPPS" localSheetId="0">#REF!</definedName>
    <definedName name="SUPPS" localSheetId="5">#REF!</definedName>
    <definedName name="SUPPS" localSheetId="6">#REF!</definedName>
    <definedName name="SUPPS">#REF!</definedName>
    <definedName name="Supt." localSheetId="0">#REF!</definedName>
    <definedName name="Supt." localSheetId="5">#REF!</definedName>
    <definedName name="Supt." localSheetId="6">#REF!</definedName>
    <definedName name="Supt.">#REF!</definedName>
    <definedName name="Supv." localSheetId="0">#REF!</definedName>
    <definedName name="Supv." localSheetId="5">#REF!</definedName>
    <definedName name="Supv." localSheetId="6">#REF!</definedName>
    <definedName name="Supv.">#REF!</definedName>
    <definedName name="SurveyForm" localSheetId="0">#REF!,#REF!,#REF!,#REF!,#REF!,#REF!,#REF!,#REF!,#REF!,#REF!</definedName>
    <definedName name="SurveyForm" localSheetId="5">#REF!,#REF!,#REF!,#REF!,#REF!,#REF!,#REF!,#REF!,#REF!,#REF!</definedName>
    <definedName name="SurveyForm" localSheetId="6">#REF!,#REF!,#REF!,#REF!,#REF!,#REF!,#REF!,#REF!,#REF!,#REF!</definedName>
    <definedName name="SurveyForm">#REF!,#REF!,#REF!,#REF!,#REF!,#REF!,#REF!,#REF!,#REF!,#REF!</definedName>
    <definedName name="sw" localSheetId="0">[72]Piping!#REF!</definedName>
    <definedName name="sw" localSheetId="5">[72]Piping!#REF!</definedName>
    <definedName name="sw" localSheetId="6">[72]Piping!#REF!</definedName>
    <definedName name="sw">[72]Piping!#REF!</definedName>
    <definedName name="SYNDICATED" localSheetId="0">#REF!</definedName>
    <definedName name="SYNDICATED" localSheetId="5">#REF!</definedName>
    <definedName name="SYNDICATED" localSheetId="6">#REF!</definedName>
    <definedName name="SYNDICATED">#REF!</definedName>
    <definedName name="syt" localSheetId="0">#REF!</definedName>
    <definedName name="syt" localSheetId="5">#REF!</definedName>
    <definedName name="syt" localSheetId="6">#REF!</definedName>
    <definedName name="syt">#REF!</definedName>
    <definedName name="t" localSheetId="2" hidden="1">#REF!</definedName>
    <definedName name="t" localSheetId="0" hidden="1">#REF!</definedName>
    <definedName name="t" localSheetId="5" hidden="1">#REF!</definedName>
    <definedName name="t" localSheetId="6" hidden="1">#REF!</definedName>
    <definedName name="t" hidden="1">#REF!</definedName>
    <definedName name="TABEL" localSheetId="0">#REF!</definedName>
    <definedName name="TABEL" localSheetId="4">#REF!</definedName>
    <definedName name="TABEL" localSheetId="5">#REF!</definedName>
    <definedName name="TABEL" localSheetId="6">#REF!</definedName>
    <definedName name="TABEL">#REF!</definedName>
    <definedName name="Tabel_Jenis_Service" localSheetId="0">#REF!</definedName>
    <definedName name="Tabel_Jenis_Service" localSheetId="5">#REF!</definedName>
    <definedName name="Tabel_Jenis_Service" localSheetId="6">#REF!</definedName>
    <definedName name="Tabel_Jenis_Service">#REF!</definedName>
    <definedName name="Tabel_Operation_Type" localSheetId="0">#REF!</definedName>
    <definedName name="Tabel_Operation_Type" localSheetId="5">#REF!</definedName>
    <definedName name="Tabel_Operation_Type" localSheetId="6">#REF!</definedName>
    <definedName name="Tabel_Operation_Type">#REF!</definedName>
    <definedName name="Tabel_Tol" localSheetId="0">#REF!</definedName>
    <definedName name="Tabel_Tol" localSheetId="5">#REF!</definedName>
    <definedName name="Tabel_Tol" localSheetId="6">#REF!</definedName>
    <definedName name="Tabel_Tol">#REF!</definedName>
    <definedName name="TABLE_OK" localSheetId="0">#REF!</definedName>
    <definedName name="TABLE_OK" localSheetId="5">#REF!</definedName>
    <definedName name="TABLE_OK" localSheetId="6">#REF!</definedName>
    <definedName name="TABLE_OK">#REF!</definedName>
    <definedName name="TAHUN">'[130]DATA WP'!$E$9</definedName>
    <definedName name="TANGGAL">#N/A</definedName>
    <definedName name="Tax" localSheetId="0">'[155]TB-WP'!#REF!</definedName>
    <definedName name="Tax" localSheetId="4">'[156]TB-WP'!#REF!</definedName>
    <definedName name="Tax" localSheetId="5">'[155]TB-WP'!#REF!</definedName>
    <definedName name="Tax" localSheetId="6">'[155]TB-WP'!#REF!</definedName>
    <definedName name="Tax">'[155]TB-WP'!#REF!</definedName>
    <definedName name="tax_payables" localSheetId="0">'[2]TB-WP'!#REF!</definedName>
    <definedName name="tax_payables" localSheetId="4">'[11]TB-WP'!#REF!</definedName>
    <definedName name="tax_payables" localSheetId="5">'[2]TB-WP'!#REF!</definedName>
    <definedName name="tax_payables" localSheetId="6">'[2]TB-WP'!#REF!</definedName>
    <definedName name="tax_payables">'[2]TB-WP'!#REF!</definedName>
    <definedName name="taxdue" localSheetId="0">#REF!</definedName>
    <definedName name="taxdue" localSheetId="5">#REF!</definedName>
    <definedName name="taxdue" localSheetId="6">#REF!</definedName>
    <definedName name="taxdue">#REF!</definedName>
    <definedName name="taxes" localSheetId="0">#REF!</definedName>
    <definedName name="taxes" localSheetId="4">#REF!</definedName>
    <definedName name="taxes" localSheetId="5">#REF!</definedName>
    <definedName name="taxes" localSheetId="6">#REF!</definedName>
    <definedName name="taxes">#REF!</definedName>
    <definedName name="TaxesPayable" localSheetId="0">#REF!</definedName>
    <definedName name="TaxesPayable" localSheetId="5">#REF!</definedName>
    <definedName name="TaxesPayable" localSheetId="6">#REF!</definedName>
    <definedName name="TaxesPayable">#REF!</definedName>
    <definedName name="TaxExpense" localSheetId="0">#REF!</definedName>
    <definedName name="TaxExpense" localSheetId="5">#REF!</definedName>
    <definedName name="TaxExpense" localSheetId="6">#REF!</definedName>
    <definedName name="TaxExpense">#REF!</definedName>
    <definedName name="TaxRate" localSheetId="0">#REF!</definedName>
    <definedName name="TaxRate" localSheetId="5">#REF!</definedName>
    <definedName name="TaxRate" localSheetId="6">#REF!</definedName>
    <definedName name="TaxRate">#REF!</definedName>
    <definedName name="TaxTV">10%</definedName>
    <definedName name="TaxXL">5%</definedName>
    <definedName name="TB">[157]tc!$A$1:$E$78</definedName>
    <definedName name="TBLS">[158]ts!$A$2:$D$610</definedName>
    <definedName name="TBS_percent">[70]CTRL!$J$137</definedName>
    <definedName name="TBS_percent_after">[70]CTRL!$K$137</definedName>
    <definedName name="TC">[157]tc!$A$1:$E$78</definedName>
    <definedName name="TCE" localSheetId="0">#REF!</definedName>
    <definedName name="TCE" localSheetId="5">#REF!</definedName>
    <definedName name="TCE" localSheetId="6">#REF!</definedName>
    <definedName name="TCE">#REF!</definedName>
    <definedName name="Team1">[88]Company!$G$17</definedName>
    <definedName name="Team10">[88]Company!$G$26</definedName>
    <definedName name="Team11">[88]Company!$G$27</definedName>
    <definedName name="Team12">[88]Company!$G$28</definedName>
    <definedName name="Team13">[88]Company!$G$29</definedName>
    <definedName name="Team14">[88]Company!$G$30</definedName>
    <definedName name="Team15">[88]Company!$G$31</definedName>
    <definedName name="Team16">[88]Company!$G$32</definedName>
    <definedName name="Team2">[88]Company!$G$18</definedName>
    <definedName name="Team3">[88]Company!$G$19</definedName>
    <definedName name="Team4">[88]Company!$G$20</definedName>
    <definedName name="Team5">[88]Company!$G$21</definedName>
    <definedName name="Team6">[88]Company!$G$22</definedName>
    <definedName name="Team7">[88]Company!$G$23</definedName>
    <definedName name="Team8">[88]Company!$G$24</definedName>
    <definedName name="Team9">[88]Company!$G$25</definedName>
    <definedName name="Temp_Categories">'[65]^Base_Data_HR'!$B$38:$B$41</definedName>
    <definedName name="TERM" localSheetId="0">#REF!</definedName>
    <definedName name="TERM" localSheetId="5">#REF!</definedName>
    <definedName name="TERM" localSheetId="6">#REF!</definedName>
    <definedName name="TERM">#REF!</definedName>
    <definedName name="TermMethod" localSheetId="0">#REF!</definedName>
    <definedName name="TermMethod" localSheetId="5">#REF!</definedName>
    <definedName name="TermMethod" localSheetId="6">#REF!</definedName>
    <definedName name="TermMethod">#REF!</definedName>
    <definedName name="test" localSheetId="2" hidden="1">#REF!</definedName>
    <definedName name="test" localSheetId="0" hidden="1">#REF!</definedName>
    <definedName name="test" localSheetId="5" hidden="1">#REF!</definedName>
    <definedName name="test" localSheetId="6" hidden="1">#REF!</definedName>
    <definedName name="test" hidden="1">#REF!</definedName>
    <definedName name="TEST0" localSheetId="0">'[84]GL Account'!#REF!</definedName>
    <definedName name="TEST0" localSheetId="5">'[84]GL Account'!#REF!</definedName>
    <definedName name="TEST0" localSheetId="6">'[84]GL Account'!#REF!</definedName>
    <definedName name="TEST0">'[84]GL Account'!#REF!</definedName>
    <definedName name="TEST1" localSheetId="0">'[159]Master SAP'!#REF!</definedName>
    <definedName name="TEST1" localSheetId="5">'[159]Master SAP'!#REF!</definedName>
    <definedName name="TEST1" localSheetId="6">'[159]Master SAP'!#REF!</definedName>
    <definedName name="TEST1">'[159]Master SAP'!#REF!</definedName>
    <definedName name="TEST10" localSheetId="0">[34]DATA!#REF!</definedName>
    <definedName name="TEST10" localSheetId="5">[34]DATA!#REF!</definedName>
    <definedName name="TEST10" localSheetId="6">[34]DATA!#REF!</definedName>
    <definedName name="TEST10">[34]DATA!#REF!</definedName>
    <definedName name="TEST11" localSheetId="0">[34]DATA!#REF!</definedName>
    <definedName name="TEST11" localSheetId="5">[34]DATA!#REF!</definedName>
    <definedName name="TEST11" localSheetId="6">[34]DATA!#REF!</definedName>
    <definedName name="TEST11">[34]DATA!#REF!</definedName>
    <definedName name="TEST12" localSheetId="0">[34]DATA!#REF!</definedName>
    <definedName name="TEST12" localSheetId="5">[34]DATA!#REF!</definedName>
    <definedName name="TEST12" localSheetId="6">[34]DATA!#REF!</definedName>
    <definedName name="TEST12">[34]DATA!#REF!</definedName>
    <definedName name="TEST13" localSheetId="0">[34]DATA!#REF!</definedName>
    <definedName name="TEST13" localSheetId="5">[34]DATA!#REF!</definedName>
    <definedName name="TEST13" localSheetId="6">[34]DATA!#REF!</definedName>
    <definedName name="TEST13">[34]DATA!#REF!</definedName>
    <definedName name="TEST14" localSheetId="0">[34]DATA!#REF!</definedName>
    <definedName name="TEST14" localSheetId="5">[34]DATA!#REF!</definedName>
    <definedName name="TEST14" localSheetId="6">[34]DATA!#REF!</definedName>
    <definedName name="TEST14">[34]DATA!#REF!</definedName>
    <definedName name="TEST15" localSheetId="0">[34]DATA!#REF!</definedName>
    <definedName name="TEST15" localSheetId="5">[34]DATA!#REF!</definedName>
    <definedName name="TEST15" localSheetId="6">[34]DATA!#REF!</definedName>
    <definedName name="TEST15">[34]DATA!#REF!</definedName>
    <definedName name="TEST16" localSheetId="0">[34]DATA!#REF!</definedName>
    <definedName name="TEST16" localSheetId="5">[34]DATA!#REF!</definedName>
    <definedName name="TEST16" localSheetId="6">[34]DATA!#REF!</definedName>
    <definedName name="TEST16">[34]DATA!#REF!</definedName>
    <definedName name="TEST17" localSheetId="0">[34]DATA!#REF!</definedName>
    <definedName name="TEST17" localSheetId="5">[34]DATA!#REF!</definedName>
    <definedName name="TEST17" localSheetId="6">[34]DATA!#REF!</definedName>
    <definedName name="TEST17">[34]DATA!#REF!</definedName>
    <definedName name="TEST18" localSheetId="0">[34]DATA!#REF!</definedName>
    <definedName name="TEST18" localSheetId="5">[34]DATA!#REF!</definedName>
    <definedName name="TEST18" localSheetId="6">[34]DATA!#REF!</definedName>
    <definedName name="TEST18">[34]DATA!#REF!</definedName>
    <definedName name="TEST19" localSheetId="0">[34]DATA!#REF!</definedName>
    <definedName name="TEST19" localSheetId="5">[34]DATA!#REF!</definedName>
    <definedName name="TEST19" localSheetId="6">[34]DATA!#REF!</definedName>
    <definedName name="TEST19">[34]DATA!#REF!</definedName>
    <definedName name="TEST2" localSheetId="0">'[160]7995180'!#REF!</definedName>
    <definedName name="TEST2" localSheetId="5">'[160]7995180'!#REF!</definedName>
    <definedName name="TEST2" localSheetId="6">'[160]7995180'!#REF!</definedName>
    <definedName name="TEST2">'[160]7995180'!#REF!</definedName>
    <definedName name="TEST20" localSheetId="0">[34]DATA!#REF!</definedName>
    <definedName name="TEST20" localSheetId="5">[34]DATA!#REF!</definedName>
    <definedName name="TEST20" localSheetId="6">[34]DATA!#REF!</definedName>
    <definedName name="TEST20">[34]DATA!#REF!</definedName>
    <definedName name="TEST21" localSheetId="0">[34]DATA!#REF!</definedName>
    <definedName name="TEST21" localSheetId="5">[34]DATA!#REF!</definedName>
    <definedName name="TEST21" localSheetId="6">[34]DATA!#REF!</definedName>
    <definedName name="TEST21">[34]DATA!#REF!</definedName>
    <definedName name="TEST22" localSheetId="0">[34]DATA!#REF!</definedName>
    <definedName name="TEST22" localSheetId="5">[34]DATA!#REF!</definedName>
    <definedName name="TEST22" localSheetId="6">[34]DATA!#REF!</definedName>
    <definedName name="TEST22">[34]DATA!#REF!</definedName>
    <definedName name="TEST23" localSheetId="0">[34]DATA!#REF!</definedName>
    <definedName name="TEST23" localSheetId="5">[34]DATA!#REF!</definedName>
    <definedName name="TEST23" localSheetId="6">[34]DATA!#REF!</definedName>
    <definedName name="TEST23">[34]DATA!#REF!</definedName>
    <definedName name="TEST24" localSheetId="0">[34]DATA!#REF!</definedName>
    <definedName name="TEST24" localSheetId="5">[34]DATA!#REF!</definedName>
    <definedName name="TEST24" localSheetId="6">[34]DATA!#REF!</definedName>
    <definedName name="TEST24">[34]DATA!#REF!</definedName>
    <definedName name="TEST25" localSheetId="0">[34]DATA!#REF!</definedName>
    <definedName name="TEST25" localSheetId="5">[34]DATA!#REF!</definedName>
    <definedName name="TEST25" localSheetId="6">[34]DATA!#REF!</definedName>
    <definedName name="TEST25">[34]DATA!#REF!</definedName>
    <definedName name="TEST26" localSheetId="0">[34]DATA!#REF!</definedName>
    <definedName name="TEST26" localSheetId="5">[34]DATA!#REF!</definedName>
    <definedName name="TEST26" localSheetId="6">[34]DATA!#REF!</definedName>
    <definedName name="TEST26">[34]DATA!#REF!</definedName>
    <definedName name="TEST27" localSheetId="0">[34]DATA!#REF!</definedName>
    <definedName name="TEST27" localSheetId="5">[34]DATA!#REF!</definedName>
    <definedName name="TEST27" localSheetId="6">[34]DATA!#REF!</definedName>
    <definedName name="TEST27">[34]DATA!#REF!</definedName>
    <definedName name="TEST28" localSheetId="0">[34]DATA!#REF!</definedName>
    <definedName name="TEST28" localSheetId="5">[34]DATA!#REF!</definedName>
    <definedName name="TEST28" localSheetId="6">[34]DATA!#REF!</definedName>
    <definedName name="TEST28">[34]DATA!#REF!</definedName>
    <definedName name="TEST29" localSheetId="0">[34]DATA!#REF!</definedName>
    <definedName name="TEST29" localSheetId="5">[34]DATA!#REF!</definedName>
    <definedName name="TEST29" localSheetId="6">[34]DATA!#REF!</definedName>
    <definedName name="TEST29">[34]DATA!#REF!</definedName>
    <definedName name="TEST3" localSheetId="0">'[160]7995180'!#REF!</definedName>
    <definedName name="TEST3" localSheetId="5">'[160]7995180'!#REF!</definedName>
    <definedName name="TEST3" localSheetId="6">'[160]7995180'!#REF!</definedName>
    <definedName name="TEST3">'[160]7995180'!#REF!</definedName>
    <definedName name="TEST30" localSheetId="0">[34]DATA!#REF!</definedName>
    <definedName name="TEST30" localSheetId="5">[34]DATA!#REF!</definedName>
    <definedName name="TEST30" localSheetId="6">[34]DATA!#REF!</definedName>
    <definedName name="TEST30">[34]DATA!#REF!</definedName>
    <definedName name="TEST31" localSheetId="0">[34]DATA!#REF!</definedName>
    <definedName name="TEST31" localSheetId="5">[34]DATA!#REF!</definedName>
    <definedName name="TEST31" localSheetId="6">[34]DATA!#REF!</definedName>
    <definedName name="TEST31">[34]DATA!#REF!</definedName>
    <definedName name="TEST32" localSheetId="0">[34]DATA!#REF!</definedName>
    <definedName name="TEST32" localSheetId="5">[34]DATA!#REF!</definedName>
    <definedName name="TEST32" localSheetId="6">[34]DATA!#REF!</definedName>
    <definedName name="TEST32">[34]DATA!#REF!</definedName>
    <definedName name="TEST33" localSheetId="0">[34]DATA!#REF!</definedName>
    <definedName name="TEST33" localSheetId="5">[34]DATA!#REF!</definedName>
    <definedName name="TEST33" localSheetId="6">[34]DATA!#REF!</definedName>
    <definedName name="TEST33">[34]DATA!#REF!</definedName>
    <definedName name="TEST34" localSheetId="0">[34]DATA!#REF!</definedName>
    <definedName name="TEST34" localSheetId="5">[34]DATA!#REF!</definedName>
    <definedName name="TEST34" localSheetId="6">[34]DATA!#REF!</definedName>
    <definedName name="TEST34">[34]DATA!#REF!</definedName>
    <definedName name="TEST35" localSheetId="0">[34]DATA!#REF!</definedName>
    <definedName name="TEST35" localSheetId="5">[34]DATA!#REF!</definedName>
    <definedName name="TEST35" localSheetId="6">[34]DATA!#REF!</definedName>
    <definedName name="TEST35">[34]DATA!#REF!</definedName>
    <definedName name="TEST36" localSheetId="0">[34]DATA!#REF!</definedName>
    <definedName name="TEST36" localSheetId="5">[34]DATA!#REF!</definedName>
    <definedName name="TEST36" localSheetId="6">[34]DATA!#REF!</definedName>
    <definedName name="TEST36">[34]DATA!#REF!</definedName>
    <definedName name="TEST37" localSheetId="0">[34]DATA!#REF!</definedName>
    <definedName name="TEST37" localSheetId="5">[34]DATA!#REF!</definedName>
    <definedName name="TEST37" localSheetId="6">[34]DATA!#REF!</definedName>
    <definedName name="TEST37">[34]DATA!#REF!</definedName>
    <definedName name="TEST38" localSheetId="0">[34]DATA!#REF!</definedName>
    <definedName name="TEST38" localSheetId="5">[34]DATA!#REF!</definedName>
    <definedName name="TEST38" localSheetId="6">[34]DATA!#REF!</definedName>
    <definedName name="TEST38">[34]DATA!#REF!</definedName>
    <definedName name="TEST4" localSheetId="0">'[160]6770000'!#REF!</definedName>
    <definedName name="TEST4" localSheetId="5">'[160]6770000'!#REF!</definedName>
    <definedName name="TEST4" localSheetId="6">'[160]6770000'!#REF!</definedName>
    <definedName name="TEST4">'[160]6770000'!#REF!</definedName>
    <definedName name="TEST5" localSheetId="0">'[160]6770000'!#REF!</definedName>
    <definedName name="TEST5" localSheetId="5">'[160]6770000'!#REF!</definedName>
    <definedName name="TEST5" localSheetId="6">'[160]6770000'!#REF!</definedName>
    <definedName name="TEST5">'[160]6770000'!#REF!</definedName>
    <definedName name="TEST6" localSheetId="0">[34]DATA!#REF!</definedName>
    <definedName name="TEST6" localSheetId="5">[34]DATA!#REF!</definedName>
    <definedName name="TEST6" localSheetId="6">[34]DATA!#REF!</definedName>
    <definedName name="TEST6">[34]DATA!#REF!</definedName>
    <definedName name="TEST7" localSheetId="0">'[160]6770000'!#REF!</definedName>
    <definedName name="TEST7" localSheetId="5">'[160]6770000'!#REF!</definedName>
    <definedName name="TEST7" localSheetId="6">'[160]6770000'!#REF!</definedName>
    <definedName name="TEST7">'[160]6770000'!#REF!</definedName>
    <definedName name="TEST8" localSheetId="0">[34]DATA!#REF!</definedName>
    <definedName name="TEST8" localSheetId="5">[34]DATA!#REF!</definedName>
    <definedName name="TEST8" localSheetId="6">[34]DATA!#REF!</definedName>
    <definedName name="TEST8">[34]DATA!#REF!</definedName>
    <definedName name="TEST9" localSheetId="0">[34]DATA!#REF!</definedName>
    <definedName name="TEST9" localSheetId="5">[34]DATA!#REF!</definedName>
    <definedName name="TEST9" localSheetId="6">[34]DATA!#REF!</definedName>
    <definedName name="TEST9">[34]DATA!#REF!</definedName>
    <definedName name="TESTHKEY" localSheetId="0">'[84]GL Account'!#REF!</definedName>
    <definedName name="TESTHKEY" localSheetId="5">'[84]GL Account'!#REF!</definedName>
    <definedName name="TESTHKEY" localSheetId="6">'[84]GL Account'!#REF!</definedName>
    <definedName name="TESTHKEY">'[84]GL Account'!#REF!</definedName>
    <definedName name="TESTKEYS" localSheetId="0">'[84]GL Account'!#REF!</definedName>
    <definedName name="TESTKEYS" localSheetId="5">'[84]GL Account'!#REF!</definedName>
    <definedName name="TESTKEYS" localSheetId="6">'[84]GL Account'!#REF!</definedName>
    <definedName name="TESTKEYS">'[84]GL Account'!#REF!</definedName>
    <definedName name="TESTVKEY" localSheetId="0">#REF!</definedName>
    <definedName name="TESTVKEY" localSheetId="5">#REF!</definedName>
    <definedName name="TESTVKEY" localSheetId="6">#REF!</definedName>
    <definedName name="TESTVKEY">#REF!</definedName>
    <definedName name="TextRefCopy2" localSheetId="0">'[161]Note to account'!#REF!</definedName>
    <definedName name="TextRefCopy2" localSheetId="5">'[161]Note to account'!#REF!</definedName>
    <definedName name="TextRefCopy2" localSheetId="6">'[161]Note to account'!#REF!</definedName>
    <definedName name="TextRefCopy2">'[161]Note to account'!#REF!</definedName>
    <definedName name="TextRefCopyRangeCount" hidden="1">1</definedName>
    <definedName name="TGL" localSheetId="0">#REF!</definedName>
    <definedName name="TGL" localSheetId="4">#REF!</definedName>
    <definedName name="TGL" localSheetId="5">#REF!</definedName>
    <definedName name="TGL" localSheetId="6">#REF!</definedName>
    <definedName name="TGL">#REF!</definedName>
    <definedName name="TGL_LPP">#N/A</definedName>
    <definedName name="tglpkp">#N/A</definedName>
    <definedName name="tglprint">#N/A</definedName>
    <definedName name="tglspt21">#N/A</definedName>
    <definedName name="tglspt25">#N/A</definedName>
    <definedName name="thai">[162]FS!$1:$202</definedName>
    <definedName name="THAIFS">'[163]FS '!$1:$1048576</definedName>
    <definedName name="ThirdParty" localSheetId="0">#REF!</definedName>
    <definedName name="ThirdParty" localSheetId="5">#REF!</definedName>
    <definedName name="ThirdParty" localSheetId="6">#REF!</definedName>
    <definedName name="ThirdParty">#REF!</definedName>
    <definedName name="TIGA" localSheetId="0">#REF!</definedName>
    <definedName name="TIGA" localSheetId="4">#REF!</definedName>
    <definedName name="TIGA" localSheetId="5">#REF!</definedName>
    <definedName name="TIGA" localSheetId="6">#REF!</definedName>
    <definedName name="TIGA">#REF!</definedName>
    <definedName name="tipe" localSheetId="0">#REF!</definedName>
    <definedName name="tipe" localSheetId="5">#REF!</definedName>
    <definedName name="tipe" localSheetId="6">#REF!</definedName>
    <definedName name="tipe">#REF!</definedName>
    <definedName name="TipeKendaraan" localSheetId="0">#REF!</definedName>
    <definedName name="TipeKendaraan" localSheetId="5">#REF!</definedName>
    <definedName name="TipeKendaraan" localSheetId="6">#REF!</definedName>
    <definedName name="TipeKendaraan">#REF!</definedName>
    <definedName name="title_wbs1" localSheetId="0">#REF!</definedName>
    <definedName name="title_wbs1" localSheetId="5">#REF!</definedName>
    <definedName name="title_wbs1" localSheetId="6">#REF!</definedName>
    <definedName name="title_wbs1">#REF!</definedName>
    <definedName name="title_wbs2" localSheetId="0">#REF!</definedName>
    <definedName name="title_wbs2" localSheetId="5">#REF!</definedName>
    <definedName name="title_wbs2" localSheetId="6">#REF!</definedName>
    <definedName name="title_wbs2">#REF!</definedName>
    <definedName name="title_wpl" localSheetId="0">#REF!</definedName>
    <definedName name="title_wpl" localSheetId="5">#REF!</definedName>
    <definedName name="title_wpl" localSheetId="6">#REF!</definedName>
    <definedName name="title_wpl">#REF!</definedName>
    <definedName name="TOP" localSheetId="0">#REF!</definedName>
    <definedName name="TOP" localSheetId="5">#REF!</definedName>
    <definedName name="TOP" localSheetId="6">#REF!</definedName>
    <definedName name="TOP">#REF!</definedName>
    <definedName name="TOPMENU" localSheetId="0">#REF!</definedName>
    <definedName name="TOPMENU" localSheetId="5">#REF!</definedName>
    <definedName name="TOPMENU" localSheetId="6">#REF!</definedName>
    <definedName name="TOPMENU">#REF!</definedName>
    <definedName name="Total_Akm._Penyusutan" localSheetId="0">'[67]Worksheet-03'!#REF!</definedName>
    <definedName name="Total_Akm._Penyusutan" localSheetId="4">'[68]Worksheet-03'!#REF!</definedName>
    <definedName name="Total_Akm._Penyusutan" localSheetId="5">'[67]Worksheet-03'!#REF!</definedName>
    <definedName name="Total_Akm._Penyusutan" localSheetId="6">'[67]Worksheet-03'!#REF!</definedName>
    <definedName name="Total_Akm._Penyusutan">'[67]Worksheet-03'!#REF!</definedName>
    <definedName name="Total_Harga_perolehan" localSheetId="0">'[67]Worksheet-03'!#REF!</definedName>
    <definedName name="Total_Harga_perolehan" localSheetId="4">'[68]Worksheet-03'!#REF!</definedName>
    <definedName name="Total_Harga_perolehan" localSheetId="5">'[67]Worksheet-03'!#REF!</definedName>
    <definedName name="Total_Harga_perolehan" localSheetId="6">'[67]Worksheet-03'!#REF!</definedName>
    <definedName name="Total_Harga_perolehan">'[67]Worksheet-03'!#REF!</definedName>
    <definedName name="TRA">NA()</definedName>
    <definedName name="trade_receivable" localSheetId="0">'[2]TB-WP'!#REF!</definedName>
    <definedName name="trade_receivable" localSheetId="4">'[11]TB-WP'!#REF!</definedName>
    <definedName name="trade_receivable" localSheetId="5">'[2]TB-WP'!#REF!</definedName>
    <definedName name="trade_receivable" localSheetId="6">'[2]TB-WP'!#REF!</definedName>
    <definedName name="trade_receivable">'[2]TB-WP'!#REF!</definedName>
    <definedName name="TradeCredit" localSheetId="0">#REF!</definedName>
    <definedName name="TradeCredit" localSheetId="5">#REF!</definedName>
    <definedName name="TradeCredit" localSheetId="6">#REF!</definedName>
    <definedName name="TradeCredit">#REF!</definedName>
    <definedName name="TradeDebt" localSheetId="0">#REF!</definedName>
    <definedName name="TradeDebt" localSheetId="5">#REF!</definedName>
    <definedName name="TradeDebt" localSheetId="6">#REF!</definedName>
    <definedName name="TradeDebt">#REF!</definedName>
    <definedName name="Trading" localSheetId="0">#REF!</definedName>
    <definedName name="Trading" localSheetId="5">#REF!</definedName>
    <definedName name="Trading" localSheetId="6">#REF!</definedName>
    <definedName name="Trading">#REF!</definedName>
    <definedName name="Transport_rates">'[164]Transportation Rates'!$B$3:$D$68</definedName>
    <definedName name="Truck">[165]Unit!$B$4:$B$14</definedName>
    <definedName name="Truck_Class_20">[74]General!$L$5</definedName>
    <definedName name="Truck_Class_40">[74]General!$L$7:$L$9</definedName>
    <definedName name="Truck_Class_BX">[74]General!$L$18:$L$19</definedName>
    <definedName name="Truck_Class_CC">[74]General!$L$14:$L$16</definedName>
    <definedName name="Truck_Class_MC">[74]General!$L$11:$L$12</definedName>
    <definedName name="truck_type">[166]Sheet1!$A$29:$A$31</definedName>
    <definedName name="Trucks">[49]Truck!$B$6:$B$50</definedName>
    <definedName name="TS">[158]ts!$A$2:$D$349</definedName>
    <definedName name="TURNOVER" localSheetId="0">#REF!</definedName>
    <definedName name="TURNOVER" localSheetId="5">#REF!</definedName>
    <definedName name="TURNOVER" localSheetId="6">#REF!</definedName>
    <definedName name="TURNOVER">#REF!</definedName>
    <definedName name="TV_Capital" localSheetId="0">#REF!</definedName>
    <definedName name="TV_Capital" localSheetId="5">#REF!</definedName>
    <definedName name="TV_Capital" localSheetId="6">#REF!</definedName>
    <definedName name="TV_Capital">#REF!</definedName>
    <definedName name="txtJumSheet_Change">#N/A</definedName>
    <definedName name="TYPE" localSheetId="0">#REF!</definedName>
    <definedName name="TYPE" localSheetId="5">#REF!</definedName>
    <definedName name="TYPE" localSheetId="6">#REF!</definedName>
    <definedName name="TYPE">#REF!</definedName>
    <definedName name="TYPE_3" localSheetId="0">#REF!</definedName>
    <definedName name="TYPE_3" localSheetId="5">#REF!</definedName>
    <definedName name="TYPE_3" localSheetId="6">#REF!</definedName>
    <definedName name="TYPE_3">#REF!</definedName>
    <definedName name="TYPE_4" localSheetId="0">#REF!</definedName>
    <definedName name="TYPE_4" localSheetId="5">#REF!</definedName>
    <definedName name="TYPE_4" localSheetId="6">#REF!</definedName>
    <definedName name="TYPE_4">#REF!</definedName>
    <definedName name="TYPE_5" localSheetId="0">#REF!</definedName>
    <definedName name="TYPE_5" localSheetId="5">#REF!</definedName>
    <definedName name="TYPE_5" localSheetId="6">#REF!</definedName>
    <definedName name="TYPE_5">#REF!</definedName>
    <definedName name="TYPE_6" localSheetId="0">#REF!</definedName>
    <definedName name="TYPE_6" localSheetId="5">#REF!</definedName>
    <definedName name="TYPE_6" localSheetId="6">#REF!</definedName>
    <definedName name="TYPE_6">#REF!</definedName>
    <definedName name="TYPE_7" localSheetId="0">#REF!</definedName>
    <definedName name="TYPE_7" localSheetId="5">#REF!</definedName>
    <definedName name="TYPE_7" localSheetId="6">#REF!</definedName>
    <definedName name="TYPE_7">#REF!</definedName>
    <definedName name="TYPE_8" localSheetId="0">#REF!</definedName>
    <definedName name="TYPE_8" localSheetId="5">#REF!</definedName>
    <definedName name="TYPE_8" localSheetId="6">#REF!</definedName>
    <definedName name="TYPE_8">#REF!</definedName>
    <definedName name="tyy" localSheetId="2" hidden="1">#REF!</definedName>
    <definedName name="tyy" localSheetId="0" hidden="1">#REF!</definedName>
    <definedName name="tyy" localSheetId="5" hidden="1">#REF!</definedName>
    <definedName name="tyy" localSheetId="6" hidden="1">#REF!</definedName>
    <definedName name="tyy" hidden="1">#REF!</definedName>
    <definedName name="u" localSheetId="4">#REF!</definedName>
    <definedName name="U">#N/A</definedName>
    <definedName name="uang_muka" localSheetId="0">'[2]TB-WP'!#REF!</definedName>
    <definedName name="uang_muka" localSheetId="4">'[11]TB-WP'!#REF!</definedName>
    <definedName name="uang_muka" localSheetId="5">'[2]TB-WP'!#REF!</definedName>
    <definedName name="uang_muka" localSheetId="6">'[2]TB-WP'!#REF!</definedName>
    <definedName name="uang_muka">'[2]TB-WP'!#REF!</definedName>
    <definedName name="um" localSheetId="0">#REF!</definedName>
    <definedName name="um" localSheetId="4">#REF!</definedName>
    <definedName name="um" localSheetId="5">#REF!</definedName>
    <definedName name="um" localSheetId="6">#REF!</definedName>
    <definedName name="um">#REF!</definedName>
    <definedName name="UMAR" localSheetId="0">#REF!</definedName>
    <definedName name="UMAR" localSheetId="5">#REF!</definedName>
    <definedName name="UMAR" localSheetId="6">#REF!</definedName>
    <definedName name="UMAR">#REF!</definedName>
    <definedName name="umm">[120]Sheet1!$B$4</definedName>
    <definedName name="UN" localSheetId="0">'[30]98-1-OVT'!#REF!</definedName>
    <definedName name="UN" localSheetId="5">'[30]98-1-OVT'!#REF!</definedName>
    <definedName name="UN" localSheetId="6">'[30]98-1-OVT'!#REF!</definedName>
    <definedName name="UN">'[30]98-1-OVT'!#REF!</definedName>
    <definedName name="Unit" localSheetId="0">#REF!</definedName>
    <definedName name="Unit" localSheetId="5">#REF!</definedName>
    <definedName name="Unit" localSheetId="6">#REF!</definedName>
    <definedName name="Unit">#REF!</definedName>
    <definedName name="UnitMeasure" localSheetId="0">#REF!</definedName>
    <definedName name="UnitMeasure" localSheetId="5">#REF!</definedName>
    <definedName name="UnitMeasure" localSheetId="6">#REF!</definedName>
    <definedName name="UnitMeasure">#REF!</definedName>
    <definedName name="UnitMeaure" localSheetId="0">#REF!</definedName>
    <definedName name="UnitMeaure" localSheetId="5">#REF!</definedName>
    <definedName name="UnitMeaure" localSheetId="6">#REF!</definedName>
    <definedName name="UnitMeaure">#REF!</definedName>
    <definedName name="Units">[88]Company!$D$11</definedName>
    <definedName name="UOM">[88]Company!$D$10</definedName>
    <definedName name="UpperRowTT" localSheetId="2" hidden="1">#REF!</definedName>
    <definedName name="UpperRowTT" localSheetId="3" hidden="1">#REF!</definedName>
    <definedName name="UpperRowTT" localSheetId="0" hidden="1">#REF!</definedName>
    <definedName name="UpperRowTT" localSheetId="5" hidden="1">#REF!</definedName>
    <definedName name="UpperRowTT" localSheetId="6" hidden="1">#REF!</definedName>
    <definedName name="UpperRowTT" hidden="1">#REF!</definedName>
    <definedName name="US_Capital" localSheetId="0">#REF!</definedName>
    <definedName name="US_Capital" localSheetId="5">#REF!</definedName>
    <definedName name="US_Capital" localSheetId="6">#REF!</definedName>
    <definedName name="US_Capital">#REF!</definedName>
    <definedName name="US_NOPAT" localSheetId="0">#REF!</definedName>
    <definedName name="US_NOPAT" localSheetId="5">#REF!</definedName>
    <definedName name="US_NOPAT" localSheetId="6">#REF!</definedName>
    <definedName name="US_NOPAT">#REF!</definedName>
    <definedName name="US_PVReference" localSheetId="0">#REF!</definedName>
    <definedName name="US_PVReference" localSheetId="5">#REF!</definedName>
    <definedName name="US_PVReference" localSheetId="6">#REF!</definedName>
    <definedName name="US_PVReference">#REF!</definedName>
    <definedName name="US_ROC" localSheetId="0">'BUDGET REVENUE CML 2021-2025'!US_NOPAT/'BUDGET REVENUE CML 2021-2025'!US_Capital</definedName>
    <definedName name="US_ROC" localSheetId="5">'Summary Branch-BU (FC by Pa (2'!US_NOPAT/'Summary Branch-BU (FC by Pa (2'!US_Capital</definedName>
    <definedName name="US_ROC" localSheetId="6">'Summary Branch-BU (FC by Pa Jo)'!US_NOPAT/'Summary Branch-BU (FC by Pa Jo)'!US_Capital</definedName>
    <definedName name="US_ROC">US_NOPAT/US_Capital</definedName>
    <definedName name="US_Spread">#N/A</definedName>
    <definedName name="US_TVcapchg" localSheetId="0">#REF!</definedName>
    <definedName name="US_TVcapchg" localSheetId="5">#REF!</definedName>
    <definedName name="US_TVcapchg" localSheetId="6">#REF!</definedName>
    <definedName name="US_TVcapchg">#REF!</definedName>
    <definedName name="US_wacc" localSheetId="0">#REF!</definedName>
    <definedName name="US_wacc" localSheetId="5">#REF!</definedName>
    <definedName name="US_wacc" localSheetId="6">#REF!</definedName>
    <definedName name="US_wacc">#REF!</definedName>
    <definedName name="USA" localSheetId="2" hidden="1">{"'Income Statement'!$A$1:$L$32"}</definedName>
    <definedName name="USA" localSheetId="0" hidden="1">{"'Income Statement'!$A$1:$L$32"}</definedName>
    <definedName name="USA" hidden="1">{"'Income Statement'!$A$1:$L$32"}</definedName>
    <definedName name="USC_LC" localSheetId="0">#REF!</definedName>
    <definedName name="USC_LC" localSheetId="4">#REF!</definedName>
    <definedName name="USC_LC" localSheetId="5">#REF!</definedName>
    <definedName name="USC_LC" localSheetId="6">#REF!</definedName>
    <definedName name="USC_LC">#REF!</definedName>
    <definedName name="usd" localSheetId="0">[72]Piping!#REF!</definedName>
    <definedName name="usd" localSheetId="4">[80]Piping!#REF!</definedName>
    <definedName name="usd" localSheetId="5">[72]Piping!#REF!</definedName>
    <definedName name="usd" localSheetId="6">[72]Piping!#REF!</definedName>
    <definedName name="usd">[72]Piping!#REF!</definedName>
    <definedName name="USDIDR">[70]CTRL!$D$120</definedName>
    <definedName name="usi" localSheetId="2" hidden="1">{"'Income Statement'!$A$1:$L$32"}</definedName>
    <definedName name="usi" localSheetId="0" hidden="1">{"'Income Statement'!$A$1:$L$32"}</definedName>
    <definedName name="usi" hidden="1">{"'Income Statement'!$A$1:$L$32"}</definedName>
    <definedName name="USroc2" localSheetId="0">USnopat2/UScapital2</definedName>
    <definedName name="USroc2" localSheetId="5">USnopat2/UScapital2</definedName>
    <definedName name="USroc2" localSheetId="6">USnopat2/UScapital2</definedName>
    <definedName name="USroc2">USnopat2/UScapital2</definedName>
    <definedName name="USwacc" localSheetId="0">#REF!</definedName>
    <definedName name="USwacc" localSheetId="5">#REF!</definedName>
    <definedName name="USwacc" localSheetId="6">#REF!</definedName>
    <definedName name="USwacc">#REF!</definedName>
    <definedName name="ut" localSheetId="2" hidden="1">#REF!</definedName>
    <definedName name="ut" localSheetId="0" hidden="1">#REF!</definedName>
    <definedName name="ut" localSheetId="5" hidden="1">#REF!</definedName>
    <definedName name="ut" localSheetId="6" hidden="1">#REF!</definedName>
    <definedName name="ut" hidden="1">#REF!</definedName>
    <definedName name="uuu" localSheetId="0">#REF!</definedName>
    <definedName name="uuu" localSheetId="5">#REF!</definedName>
    <definedName name="uuu" localSheetId="6">#REF!</definedName>
    <definedName name="uuu">#REF!</definedName>
    <definedName name="V" localSheetId="0">#REF!</definedName>
    <definedName name="V" localSheetId="5">#REF!</definedName>
    <definedName name="V" localSheetId="6">#REF!</definedName>
    <definedName name="V">#REF!</definedName>
    <definedName name="VAR" localSheetId="0">#REF!</definedName>
    <definedName name="VAR" localSheetId="5">#REF!</definedName>
    <definedName name="VAR" localSheetId="6">#REF!</definedName>
    <definedName name="VAR">#REF!</definedName>
    <definedName name="VENDOR">'[126]lookup vendor'!$B$2:$B$2937</definedName>
    <definedName name="Vera" localSheetId="2" hidden="1">#REF!</definedName>
    <definedName name="Vera" localSheetId="0" hidden="1">#REF!</definedName>
    <definedName name="Vera" localSheetId="5" hidden="1">#REF!</definedName>
    <definedName name="Vera" localSheetId="6" hidden="1">#REF!</definedName>
    <definedName name="Vera" hidden="1">#REF!</definedName>
    <definedName name="verawatie" localSheetId="2" hidden="1">#REF!</definedName>
    <definedName name="verawatie" localSheetId="0" hidden="1">#REF!</definedName>
    <definedName name="verawatie" localSheetId="5" hidden="1">#REF!</definedName>
    <definedName name="verawatie" localSheetId="6" hidden="1">#REF!</definedName>
    <definedName name="verawatie" hidden="1">#REF!</definedName>
    <definedName name="Version_Number" localSheetId="0">#REF!</definedName>
    <definedName name="Version_Number" localSheetId="5">#REF!</definedName>
    <definedName name="Version_Number" localSheetId="6">#REF!</definedName>
    <definedName name="Version_Number">#REF!</definedName>
    <definedName name="VNVJVH" localSheetId="2" hidden="1">{"'Income Statement'!$A$1:$L$32"}</definedName>
    <definedName name="VNVJVH" localSheetId="0" hidden="1">{"'Income Statement'!$A$1:$L$32"}</definedName>
    <definedName name="VNVJVH" hidden="1">{"'Income Statement'!$A$1:$L$32"}</definedName>
    <definedName name="VO_LBR" localSheetId="0">#REF!</definedName>
    <definedName name="VO_LBR" localSheetId="4">#REF!</definedName>
    <definedName name="VO_LBR" localSheetId="5">#REF!</definedName>
    <definedName name="VO_LBR" localSheetId="6">#REF!</definedName>
    <definedName name="VO_LBR">#REF!</definedName>
    <definedName name="VO_M3" localSheetId="0">#REF!</definedName>
    <definedName name="VO_M3" localSheetId="4">#REF!</definedName>
    <definedName name="VO_M3" localSheetId="5">#REF!</definedName>
    <definedName name="VO_M3" localSheetId="6">#REF!</definedName>
    <definedName name="VO_M3">#REF!</definedName>
    <definedName name="VO_MSF" localSheetId="0">#REF!</definedName>
    <definedName name="VO_MSF" localSheetId="4">#REF!</definedName>
    <definedName name="VO_MSF" localSheetId="5">#REF!</definedName>
    <definedName name="VO_MSF" localSheetId="6">#REF!</definedName>
    <definedName name="VO_MSF">#REF!</definedName>
    <definedName name="w" localSheetId="0">'[25]LTLGroup-Trans'!#REF!</definedName>
    <definedName name="w" localSheetId="4">'[26]LTLGroup-Trans'!#REF!</definedName>
    <definedName name="w" localSheetId="5">'[25]LTLGroup-Trans'!#REF!</definedName>
    <definedName name="w" localSheetId="6">'[25]LTLGroup-Trans'!#REF!</definedName>
    <definedName name="w">'[25]LTLGroup-Trans'!#REF!</definedName>
    <definedName name="wa" localSheetId="0">#REF!</definedName>
    <definedName name="wa" localSheetId="5">#REF!</definedName>
    <definedName name="wa" localSheetId="6">#REF!</definedName>
    <definedName name="wa">#REF!</definedName>
    <definedName name="wacc" localSheetId="0">#REF!</definedName>
    <definedName name="wacc" localSheetId="5">#REF!</definedName>
    <definedName name="wacc" localSheetId="6">#REF!</definedName>
    <definedName name="wacc">#REF!</definedName>
    <definedName name="WAGES" localSheetId="0">#REF!</definedName>
    <definedName name="WAGES" localSheetId="5">#REF!</definedName>
    <definedName name="WAGES" localSheetId="6">#REF!</definedName>
    <definedName name="WAGES">#REF!</definedName>
    <definedName name="WAPU23" localSheetId="2" hidden="1">#REF!</definedName>
    <definedName name="WAPU23" localSheetId="0" hidden="1">#REF!</definedName>
    <definedName name="WAPU23" localSheetId="5" hidden="1">#REF!</definedName>
    <definedName name="WAPU23" localSheetId="6" hidden="1">#REF!</definedName>
    <definedName name="WAPU23" hidden="1">#REF!</definedName>
    <definedName name="WCR_Warning">[65]W_Cap!$D$2:$E$4</definedName>
    <definedName name="weeeeeaf" localSheetId="2" hidden="1">#REF!</definedName>
    <definedName name="weeeeeaf" localSheetId="0" hidden="1">#REF!</definedName>
    <definedName name="weeeeeaf" localSheetId="5" hidden="1">#REF!</definedName>
    <definedName name="weeeeeaf" localSheetId="6" hidden="1">#REF!</definedName>
    <definedName name="weeeeeaf" hidden="1">#REF!</definedName>
    <definedName name="Week">'[167]Base Data'!$C$1</definedName>
    <definedName name="WF" localSheetId="0">[69]RMCONS!#REF!</definedName>
    <definedName name="WF" localSheetId="5">[69]RMCONS!#REF!</definedName>
    <definedName name="WF" localSheetId="6">[69]RMCONS!#REF!</definedName>
    <definedName name="WF">[69]RMCONS!#REF!</definedName>
    <definedName name="wg" localSheetId="0">#REF!</definedName>
    <definedName name="wg" localSheetId="4">#REF!</definedName>
    <definedName name="wg" localSheetId="5">#REF!</definedName>
    <definedName name="wg" localSheetId="6">#REF!</definedName>
    <definedName name="wg">#REF!</definedName>
    <definedName name="wip_FAB_M" localSheetId="0">#REF!</definedName>
    <definedName name="wip_FAB_M" localSheetId="5">#REF!</definedName>
    <definedName name="wip_FAB_M" localSheetId="6">#REF!</definedName>
    <definedName name="wip_FAB_M">#REF!</definedName>
    <definedName name="WIP_FAB_RP" localSheetId="0">#REF!</definedName>
    <definedName name="WIP_FAB_RP" localSheetId="5">#REF!</definedName>
    <definedName name="WIP_FAB_RP" localSheetId="6">#REF!</definedName>
    <definedName name="WIP_FAB_RP">#REF!</definedName>
    <definedName name="WIP_GM_PCS" localSheetId="0">#REF!</definedName>
    <definedName name="WIP_GM_PCS" localSheetId="5">#REF!</definedName>
    <definedName name="WIP_GM_PCS" localSheetId="6">#REF!</definedName>
    <definedName name="WIP_GM_PCS">#REF!</definedName>
    <definedName name="WIP_GM_RP" localSheetId="0">#REF!</definedName>
    <definedName name="WIP_GM_RP" localSheetId="5">#REF!</definedName>
    <definedName name="WIP_GM_RP" localSheetId="6">#REF!</definedName>
    <definedName name="WIP_GM_RP">#REF!</definedName>
    <definedName name="WIP_YARN_KG" localSheetId="0">#REF!</definedName>
    <definedName name="WIP_YARN_KG" localSheetId="5">#REF!</definedName>
    <definedName name="WIP_YARN_KG" localSheetId="6">#REF!</definedName>
    <definedName name="WIP_YARN_KG">#REF!</definedName>
    <definedName name="WIP_YARN_RP" localSheetId="0">#REF!</definedName>
    <definedName name="WIP_YARN_RP" localSheetId="5">#REF!</definedName>
    <definedName name="WIP_YARN_RP" localSheetId="6">#REF!</definedName>
    <definedName name="WIP_YARN_RP">#REF!</definedName>
    <definedName name="Working_Cap1">[65]W_Cap!$A$2</definedName>
    <definedName name="wpl" localSheetId="0">#REF!</definedName>
    <definedName name="wpl" localSheetId="4">#REF!</definedName>
    <definedName name="wpl" localSheetId="5">#REF!</definedName>
    <definedName name="wpl" localSheetId="6">#REF!</definedName>
    <definedName name="wpl">#REF!</definedName>
    <definedName name="WPL_Assistant" localSheetId="2" hidden="1">#REF!</definedName>
    <definedName name="WPL_Assistant" localSheetId="3" hidden="1">#REF!</definedName>
    <definedName name="WPL_Assistant" localSheetId="0" hidden="1">#REF!</definedName>
    <definedName name="WPL_Assistant" localSheetId="5" hidden="1">#REF!</definedName>
    <definedName name="WPL_Assistant" localSheetId="6" hidden="1">#REF!</definedName>
    <definedName name="WPL_Assistant" hidden="1">#REF!</definedName>
    <definedName name="WPL_AssistantEmail" localSheetId="2" hidden="1">#REF!</definedName>
    <definedName name="WPL_AssistantEmail" localSheetId="3" hidden="1">#REF!</definedName>
    <definedName name="WPL_AssistantEmail" localSheetId="0" hidden="1">#REF!</definedName>
    <definedName name="WPL_AssistantEmail" localSheetId="5" hidden="1">#REF!</definedName>
    <definedName name="WPL_AssistantEmail" localSheetId="6" hidden="1">#REF!</definedName>
    <definedName name="WPL_AssistantEmail" hidden="1">#REF!</definedName>
    <definedName name="WPL_AssistantPhone" localSheetId="2" hidden="1">#REF!</definedName>
    <definedName name="WPL_AssistantPhone" localSheetId="3" hidden="1">#REF!</definedName>
    <definedName name="WPL_AssistantPhone" localSheetId="0" hidden="1">#REF!</definedName>
    <definedName name="WPL_AssistantPhone" localSheetId="5" hidden="1">#REF!</definedName>
    <definedName name="WPL_AssistantPhone" localSheetId="6" hidden="1">#REF!</definedName>
    <definedName name="WPL_AssistantPhone" hidden="1">#REF!</definedName>
    <definedName name="WPL_ChineseName" localSheetId="2" hidden="1">#REF!</definedName>
    <definedName name="WPL_ChineseName" localSheetId="3" hidden="1">#REF!</definedName>
    <definedName name="WPL_ChineseName" localSheetId="0" hidden="1">#REF!</definedName>
    <definedName name="WPL_ChineseName" localSheetId="5" hidden="1">#REF!</definedName>
    <definedName name="WPL_ChineseName" localSheetId="6" hidden="1">#REF!</definedName>
    <definedName name="WPL_ChineseName" hidden="1">#REF!</definedName>
    <definedName name="WPL_ChineseTitle" localSheetId="2" hidden="1">#REF!</definedName>
    <definedName name="WPL_ChineseTitle" localSheetId="3" hidden="1">#REF!</definedName>
    <definedName name="WPL_ChineseTitle" localSheetId="0" hidden="1">#REF!</definedName>
    <definedName name="WPL_ChineseTitle" localSheetId="5" hidden="1">#REF!</definedName>
    <definedName name="WPL_ChineseTitle" localSheetId="6" hidden="1">#REF!</definedName>
    <definedName name="WPL_ChineseTitle" hidden="1">#REF!</definedName>
    <definedName name="WPL_CompanyAddress" localSheetId="2" hidden="1">#REF!</definedName>
    <definedName name="WPL_CompanyAddress" localSheetId="3" hidden="1">#REF!</definedName>
    <definedName name="WPL_CompanyAddress" localSheetId="0" hidden="1">#REF!</definedName>
    <definedName name="WPL_CompanyAddress" localSheetId="5" hidden="1">#REF!</definedName>
    <definedName name="WPL_CompanyAddress" localSheetId="6" hidden="1">#REF!</definedName>
    <definedName name="WPL_CompanyAddress" hidden="1">#REF!</definedName>
    <definedName name="WPL_CompanyAddress2" localSheetId="2" hidden="1">#REF!</definedName>
    <definedName name="WPL_CompanyAddress2" localSheetId="3" hidden="1">#REF!</definedName>
    <definedName name="WPL_CompanyAddress2" localSheetId="0" hidden="1">#REF!</definedName>
    <definedName name="WPL_CompanyAddress2" localSheetId="5" hidden="1">#REF!</definedName>
    <definedName name="WPL_CompanyAddress2" localSheetId="6" hidden="1">#REF!</definedName>
    <definedName name="WPL_CompanyAddress2" hidden="1">#REF!</definedName>
    <definedName name="WPL_CompanyAddress3" localSheetId="2" hidden="1">#REF!</definedName>
    <definedName name="WPL_CompanyAddress3" localSheetId="3" hidden="1">#REF!</definedName>
    <definedName name="WPL_CompanyAddress3" localSheetId="0" hidden="1">#REF!</definedName>
    <definedName name="WPL_CompanyAddress3" localSheetId="5" hidden="1">#REF!</definedName>
    <definedName name="WPL_CompanyAddress3" localSheetId="6" hidden="1">#REF!</definedName>
    <definedName name="WPL_CompanyAddress3" hidden="1">#REF!</definedName>
    <definedName name="WPL_CompanyFax" localSheetId="2" hidden="1">#REF!</definedName>
    <definedName name="WPL_CompanyFax" localSheetId="3" hidden="1">#REF!</definedName>
    <definedName name="WPL_CompanyFax" localSheetId="0" hidden="1">#REF!</definedName>
    <definedName name="WPL_CompanyFax" localSheetId="5" hidden="1">#REF!</definedName>
    <definedName name="WPL_CompanyFax" localSheetId="6" hidden="1">#REF!</definedName>
    <definedName name="WPL_CompanyFax" hidden="1">#REF!</definedName>
    <definedName name="WPL_CompanyLogo" localSheetId="2" hidden="1">#REF!</definedName>
    <definedName name="WPL_CompanyLogo" localSheetId="3" hidden="1">#REF!</definedName>
    <definedName name="WPL_CompanyLogo" localSheetId="0" hidden="1">#REF!</definedName>
    <definedName name="WPL_CompanyLogo" localSheetId="5" hidden="1">#REF!</definedName>
    <definedName name="WPL_CompanyLogo" localSheetId="6" hidden="1">#REF!</definedName>
    <definedName name="WPL_CompanyLogo" hidden="1">#REF!</definedName>
    <definedName name="WPL_CompanyName" localSheetId="2" hidden="1">#REF!</definedName>
    <definedName name="WPL_CompanyName" localSheetId="3" hidden="1">#REF!</definedName>
    <definedName name="WPL_CompanyName" localSheetId="0" hidden="1">#REF!</definedName>
    <definedName name="WPL_CompanyName" localSheetId="5" hidden="1">#REF!</definedName>
    <definedName name="WPL_CompanyName" localSheetId="6" hidden="1">#REF!</definedName>
    <definedName name="WPL_CompanyName" hidden="1">#REF!</definedName>
    <definedName name="WPL_CompanyPhone" localSheetId="2" hidden="1">#REF!</definedName>
    <definedName name="WPL_CompanyPhone" localSheetId="3" hidden="1">#REF!</definedName>
    <definedName name="WPL_CompanyPhone" localSheetId="0" hidden="1">#REF!</definedName>
    <definedName name="WPL_CompanyPhone" localSheetId="5" hidden="1">#REF!</definedName>
    <definedName name="WPL_CompanyPhone" localSheetId="6" hidden="1">#REF!</definedName>
    <definedName name="WPL_CompanyPhone" hidden="1">#REF!</definedName>
    <definedName name="WPL_DepartmentFax" localSheetId="2" hidden="1">#REF!</definedName>
    <definedName name="WPL_DepartmentFax" localSheetId="3" hidden="1">#REF!</definedName>
    <definedName name="WPL_DepartmentFax" localSheetId="0" hidden="1">#REF!</definedName>
    <definedName name="WPL_DepartmentFax" localSheetId="5" hidden="1">#REF!</definedName>
    <definedName name="WPL_DepartmentFax" localSheetId="6" hidden="1">#REF!</definedName>
    <definedName name="WPL_DepartmentFax" hidden="1">#REF!</definedName>
    <definedName name="WPL_DepartmentName" localSheetId="2" hidden="1">#REF!</definedName>
    <definedName name="WPL_DepartmentName" localSheetId="3" hidden="1">#REF!</definedName>
    <definedName name="WPL_DepartmentName" localSheetId="0" hidden="1">#REF!</definedName>
    <definedName name="WPL_DepartmentName" localSheetId="5" hidden="1">#REF!</definedName>
    <definedName name="WPL_DepartmentName" localSheetId="6" hidden="1">#REF!</definedName>
    <definedName name="WPL_DepartmentName" hidden="1">#REF!</definedName>
    <definedName name="WPL_DepartmentPhone" localSheetId="2" hidden="1">#REF!</definedName>
    <definedName name="WPL_DepartmentPhone" localSheetId="3" hidden="1">#REF!</definedName>
    <definedName name="WPL_DepartmentPhone" localSheetId="0" hidden="1">#REF!</definedName>
    <definedName name="WPL_DepartmentPhone" localSheetId="5" hidden="1">#REF!</definedName>
    <definedName name="WPL_DepartmentPhone" localSheetId="6" hidden="1">#REF!</definedName>
    <definedName name="WPL_DepartmentPhone" hidden="1">#REF!</definedName>
    <definedName name="WPL_Email" localSheetId="2" hidden="1">#REF!</definedName>
    <definedName name="WPL_Email" localSheetId="3" hidden="1">#REF!</definedName>
    <definedName name="WPL_Email" localSheetId="0" hidden="1">#REF!</definedName>
    <definedName name="WPL_Email" localSheetId="5" hidden="1">#REF!</definedName>
    <definedName name="WPL_Email" localSheetId="6" hidden="1">#REF!</definedName>
    <definedName name="WPL_Email" hidden="1">#REF!</definedName>
    <definedName name="WPL_Fax" localSheetId="2" hidden="1">#REF!</definedName>
    <definedName name="WPL_Fax" localSheetId="3" hidden="1">#REF!</definedName>
    <definedName name="WPL_Fax" localSheetId="0" hidden="1">#REF!</definedName>
    <definedName name="WPL_Fax" localSheetId="5" hidden="1">#REF!</definedName>
    <definedName name="WPL_Fax" localSheetId="6" hidden="1">#REF!</definedName>
    <definedName name="WPL_Fax" hidden="1">#REF!</definedName>
    <definedName name="WPL_FirstName" localSheetId="2" hidden="1">#REF!</definedName>
    <definedName name="WPL_FirstName" localSheetId="3" hidden="1">#REF!</definedName>
    <definedName name="WPL_FirstName" localSheetId="0" hidden="1">#REF!</definedName>
    <definedName name="WPL_FirstName" localSheetId="5" hidden="1">#REF!</definedName>
    <definedName name="WPL_FirstName" localSheetId="6" hidden="1">#REF!</definedName>
    <definedName name="WPL_FirstName" hidden="1">#REF!</definedName>
    <definedName name="WPL_LastName" localSheetId="2" hidden="1">#REF!</definedName>
    <definedName name="WPL_LastName" localSheetId="3" hidden="1">#REF!</definedName>
    <definedName name="WPL_LastName" localSheetId="0" hidden="1">#REF!</definedName>
    <definedName name="WPL_LastName" localSheetId="5" hidden="1">#REF!</definedName>
    <definedName name="WPL_LastName" localSheetId="6" hidden="1">#REF!</definedName>
    <definedName name="WPL_LastName" hidden="1">#REF!</definedName>
    <definedName name="WPL_Mobile" localSheetId="2" hidden="1">#REF!</definedName>
    <definedName name="WPL_Mobile" localSheetId="3" hidden="1">#REF!</definedName>
    <definedName name="WPL_Mobile" localSheetId="0" hidden="1">#REF!</definedName>
    <definedName name="WPL_Mobile" localSheetId="5" hidden="1">#REF!</definedName>
    <definedName name="WPL_Mobile" localSheetId="6" hidden="1">#REF!</definedName>
    <definedName name="WPL_Mobile" hidden="1">#REF!</definedName>
    <definedName name="WPL_Telephone" localSheetId="2" hidden="1">#REF!</definedName>
    <definedName name="WPL_Telephone" localSheetId="3" hidden="1">#REF!</definedName>
    <definedName name="WPL_Telephone" localSheetId="0" hidden="1">#REF!</definedName>
    <definedName name="WPL_Telephone" localSheetId="5" hidden="1">#REF!</definedName>
    <definedName name="WPL_Telephone" localSheetId="6" hidden="1">#REF!</definedName>
    <definedName name="WPL_Telephone" hidden="1">#REF!</definedName>
    <definedName name="WPL_Title" localSheetId="2" hidden="1">#REF!</definedName>
    <definedName name="WPL_Title" localSheetId="3" hidden="1">#REF!</definedName>
    <definedName name="WPL_Title" localSheetId="0" hidden="1">#REF!</definedName>
    <definedName name="WPL_Title" localSheetId="5" hidden="1">#REF!</definedName>
    <definedName name="WPL_Title" localSheetId="6" hidden="1">#REF!</definedName>
    <definedName name="WPL_Title" hidden="1">#REF!</definedName>
    <definedName name="wq" localSheetId="2" hidden="1">#REF!</definedName>
    <definedName name="wq" localSheetId="0" hidden="1">#REF!</definedName>
    <definedName name="wq" localSheetId="5" hidden="1">#REF!</definedName>
    <definedName name="wq" localSheetId="6" hidden="1">#REF!</definedName>
    <definedName name="wq" hidden="1">#REF!</definedName>
    <definedName name="wrn.12._.Costs._.Act._.Fcast._.All." localSheetId="2" hidden="1">{#N/A,#N/A,FALSE,"Act.Fcst Costs"}</definedName>
    <definedName name="wrn.12._.Costs._.Act._.Fcast._.All." localSheetId="0" hidden="1">{#N/A,#N/A,FALSE,"Act.Fcst Costs"}</definedName>
    <definedName name="wrn.12._.Costs._.Act._.Fcast._.All." hidden="1">{#N/A,#N/A,FALSE,"Act.Fcst Costs"}</definedName>
    <definedName name="wrn.Budget._.Document." localSheetId="2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localSheetId="0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Debbie._.Hawkins." localSheetId="2" hidden="1">{"Admin Costs",#N/A,FALSE,"Act.Fcst Costs"}</definedName>
    <definedName name="wrn.Debbie._.Hawkins." localSheetId="0" hidden="1">{"Admin Costs",#N/A,FALSE,"Act.Fcst Costs"}</definedName>
    <definedName name="wrn.Debbie._.Hawkins." hidden="1">{"Admin Costs",#N/A,FALSE,"Act.Fcst Costs"}</definedName>
    <definedName name="wrn.George._.Viska." localSheetId="2" hidden="1">{#N/A,#N/A,FALSE,"Cost Report";#N/A,#N/A,FALSE,"Qtly Summ.";#N/A,#N/A,FALSE,"Mar  Qtr";#N/A,#N/A,FALSE,"Report Summary"}</definedName>
    <definedName name="wrn.George._.Viska." localSheetId="0" hidden="1">{#N/A,#N/A,FALSE,"Cost Report";#N/A,#N/A,FALSE,"Qtly Summ.";#N/A,#N/A,FALSE,"Mar  Qtr";#N/A,#N/A,FALSE,"Report Summary"}</definedName>
    <definedName name="wrn.George._.Viska." hidden="1">{#N/A,#N/A,FALSE,"Cost Report";#N/A,#N/A,FALSE,"Qtly Summ.";#N/A,#N/A,FALSE,"Mar  Qtr";#N/A,#N/A,FALSE,"Report Summary"}</definedName>
    <definedName name="wrn.Melbourne." localSheetId="2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localSheetId="0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onth._.Report." localSheetId="2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localSheetId="0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urray._.Simons." localSheetId="2" hidden="1">{#N/A,#N/A,FALSE,"Cost Report";#N/A,#N/A,FALSE,"Table 2.1";#N/A,#N/A,FALSE,"Plant Statistics";"Plant Costs",#N/A,FALSE,"Cost Summary"}</definedName>
    <definedName name="wrn.Murray._.Simons." localSheetId="0" hidden="1">{#N/A,#N/A,FALSE,"Cost Report";#N/A,#N/A,FALSE,"Table 2.1";#N/A,#N/A,FALSE,"Plant Statistics";"Plant Costs",#N/A,FALSE,"Cost Summary"}</definedName>
    <definedName name="wrn.Murray._.Simons." hidden="1">{#N/A,#N/A,FALSE,"Cost Report";#N/A,#N/A,FALSE,"Table 2.1";#N/A,#N/A,FALSE,"Plant Statistics";"Plant Costs",#N/A,FALSE,"Cost Summary"}</definedName>
    <definedName name="wrn.Peter._.Johnston." localSheetId="2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localSheetId="0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Rob._.Smith." localSheetId="2" hidden="1">{#N/A,#N/A,FALSE,"Cost Report";"Geology",#N/A,FALSE,"Cost Summary";"Geolgy Recon",#N/A,FALSE,"UG Geology Rep."}</definedName>
    <definedName name="wrn.Rob._.Smith." localSheetId="0" hidden="1">{#N/A,#N/A,FALSE,"Cost Report";"Geology",#N/A,FALSE,"Cost Summary";"Geolgy Recon",#N/A,FALSE,"UG Geology Rep."}</definedName>
    <definedName name="wrn.Rob._.Smith." hidden="1">{#N/A,#N/A,FALSE,"Cost Report";"Geology",#N/A,FALSE,"Cost Summary";"Geolgy Recon",#N/A,FALSE,"UG Geology Rep."}</definedName>
    <definedName name="wrn.Simon._.Wulff." localSheetId="2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localSheetId="0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x">'[39]ﾙｰﾄ別販売(概況3)'!$H$32</definedName>
    <definedName name="xc" localSheetId="2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xc" localSheetId="0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xc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xcv" localSheetId="2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xcv" localSheetId="0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xcv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xp" localSheetId="2" hidden="1">#REF!</definedName>
    <definedName name="xp" localSheetId="0" hidden="1">#REF!</definedName>
    <definedName name="xp" localSheetId="5" hidden="1">#REF!</definedName>
    <definedName name="xp" localSheetId="6" hidden="1">#REF!</definedName>
    <definedName name="xp" hidden="1">#REF!</definedName>
    <definedName name="XRAY_TABLE" localSheetId="0">#REF!</definedName>
    <definedName name="XRAY_TABLE" localSheetId="4">'[168]{CALC}'!$C$6:$G$18</definedName>
    <definedName name="XRAY_TABLE" localSheetId="5">#REF!</definedName>
    <definedName name="XRAY_TABLE" localSheetId="6">#REF!</definedName>
    <definedName name="XRAY_TABLE">#REF!</definedName>
    <definedName name="XRefActiveRow" localSheetId="2" hidden="1">#REF!</definedName>
    <definedName name="XRefActiveRow" localSheetId="0" hidden="1">#REF!</definedName>
    <definedName name="XRefActiveRow" localSheetId="5" hidden="1">#REF!</definedName>
    <definedName name="XRefActiveRow" localSheetId="6" hidden="1">#REF!</definedName>
    <definedName name="XRefActiveRow" hidden="1">#REF!</definedName>
    <definedName name="XRefColumnsCount" hidden="1">4</definedName>
    <definedName name="XRefPaste1Row" localSheetId="2" hidden="1">#REF!</definedName>
    <definedName name="XRefPaste1Row" localSheetId="0" hidden="1">#REF!</definedName>
    <definedName name="XRefPaste1Row" localSheetId="5" hidden="1">#REF!</definedName>
    <definedName name="XRefPaste1Row" localSheetId="6" hidden="1">#REF!</definedName>
    <definedName name="XRefPaste1Row" hidden="1">#REF!</definedName>
    <definedName name="XRefPaste2Row" localSheetId="2" hidden="1">#REF!</definedName>
    <definedName name="XRefPaste2Row" localSheetId="0" hidden="1">#REF!</definedName>
    <definedName name="XRefPaste2Row" localSheetId="5" hidden="1">#REF!</definedName>
    <definedName name="XRefPaste2Row" localSheetId="6" hidden="1">#REF!</definedName>
    <definedName name="XRefPaste2Row" hidden="1">#REF!</definedName>
    <definedName name="XRefPaste3Row" localSheetId="2" hidden="1">#REF!</definedName>
    <definedName name="XRefPaste3Row" localSheetId="0" hidden="1">#REF!</definedName>
    <definedName name="XRefPaste3Row" localSheetId="5" hidden="1">#REF!</definedName>
    <definedName name="XRefPaste3Row" localSheetId="6" hidden="1">#REF!</definedName>
    <definedName name="XRefPaste3Row" hidden="1">#REF!</definedName>
    <definedName name="XRefPaste4Row" localSheetId="2" hidden="1">#REF!</definedName>
    <definedName name="XRefPaste4Row" localSheetId="0" hidden="1">#REF!</definedName>
    <definedName name="XRefPaste4Row" localSheetId="5" hidden="1">#REF!</definedName>
    <definedName name="XRefPaste4Row" localSheetId="6" hidden="1">#REF!</definedName>
    <definedName name="XRefPaste4Row" hidden="1">#REF!</definedName>
    <definedName name="XRefPaste5Row" localSheetId="2" hidden="1">#REF!</definedName>
    <definedName name="XRefPaste5Row" localSheetId="0" hidden="1">#REF!</definedName>
    <definedName name="XRefPaste5Row" localSheetId="5" hidden="1">#REF!</definedName>
    <definedName name="XRefPaste5Row" localSheetId="6" hidden="1">#REF!</definedName>
    <definedName name="XRefPaste5Row" hidden="1">#REF!</definedName>
    <definedName name="XRefPaste6Row" localSheetId="2" hidden="1">#REF!</definedName>
    <definedName name="XRefPaste6Row" localSheetId="0" hidden="1">#REF!</definedName>
    <definedName name="XRefPaste6Row" localSheetId="5" hidden="1">#REF!</definedName>
    <definedName name="XRefPaste6Row" localSheetId="6" hidden="1">#REF!</definedName>
    <definedName name="XRefPaste6Row" hidden="1">#REF!</definedName>
    <definedName name="XRefPasteRangeCount" hidden="1">6</definedName>
    <definedName name="xsc" localSheetId="2" hidden="1">{"'Income Statement'!$A$1:$L$32"}</definedName>
    <definedName name="xsc" localSheetId="0" hidden="1">{"'Income Statement'!$A$1:$L$32"}</definedName>
    <definedName name="xsc" hidden="1">{"'Income Statement'!$A$1:$L$32"}</definedName>
    <definedName name="xx" localSheetId="0">#REF!</definedName>
    <definedName name="xx" localSheetId="4">#REF!</definedName>
    <definedName name="xx" localSheetId="5">#REF!</definedName>
    <definedName name="xx" localSheetId="6">#REF!</definedName>
    <definedName name="xx">#REF!</definedName>
    <definedName name="xxzs" localSheetId="0">#REF!</definedName>
    <definedName name="xxzs" localSheetId="5">#REF!</definedName>
    <definedName name="xxzs" localSheetId="6">#REF!</definedName>
    <definedName name="xxzs">#REF!</definedName>
    <definedName name="xzvxdgfs" localSheetId="0">#REF!</definedName>
    <definedName name="xzvxdgfs" localSheetId="5">#REF!</definedName>
    <definedName name="xzvxdgfs" localSheetId="6">#REF!</definedName>
    <definedName name="xzvxdgfs">#REF!</definedName>
    <definedName name="Y" localSheetId="0">#REF!</definedName>
    <definedName name="Y" localSheetId="5">#REF!</definedName>
    <definedName name="Y" localSheetId="6">#REF!</definedName>
    <definedName name="Y">#REF!</definedName>
    <definedName name="YE">[81]Cover!$C$10</definedName>
    <definedName name="Years" localSheetId="0">#REF!</definedName>
    <definedName name="Years" localSheetId="5">#REF!</definedName>
    <definedName name="Years" localSheetId="6">#REF!</definedName>
    <definedName name="Years">#REF!</definedName>
    <definedName name="yes" localSheetId="2" hidden="1">#REF!</definedName>
    <definedName name="yes" localSheetId="0" hidden="1">#REF!</definedName>
    <definedName name="yes" localSheetId="5" hidden="1">#REF!</definedName>
    <definedName name="yes" localSheetId="6" hidden="1">#REF!</definedName>
    <definedName name="yes" hidden="1">#REF!</definedName>
    <definedName name="Yes_No">'[65]^Base_Data_Gen'!$P$34:$P$35</definedName>
    <definedName name="ymh_final">#N/A</definedName>
    <definedName name="YMH_pph21">#N/A</definedName>
    <definedName name="YMH_pph25">#N/A</definedName>
    <definedName name="YMH_ppn">#N/A</definedName>
    <definedName name="yn" localSheetId="2" hidden="1">{"'Income Statement'!$A$1:$L$32"}</definedName>
    <definedName name="yn" localSheetId="0" hidden="1">{"'Income Statement'!$A$1:$L$32"}</definedName>
    <definedName name="yn" hidden="1">{"'Income Statement'!$A$1:$L$32"}</definedName>
    <definedName name="yrfr" localSheetId="0">#REF!</definedName>
    <definedName name="yrfr" localSheetId="5">#REF!</definedName>
    <definedName name="yrfr" localSheetId="6">#REF!</definedName>
    <definedName name="yrfr">#REF!</definedName>
    <definedName name="YrPur1" localSheetId="0">#REF!</definedName>
    <definedName name="YrPur1" localSheetId="5">#REF!</definedName>
    <definedName name="YrPur1" localSheetId="6">#REF!</definedName>
    <definedName name="YrPur1">#REF!</definedName>
    <definedName name="YrPur2" localSheetId="0">#REF!</definedName>
    <definedName name="YrPur2" localSheetId="5">#REF!</definedName>
    <definedName name="YrPur2" localSheetId="6">#REF!</definedName>
    <definedName name="YrPur2">#REF!</definedName>
    <definedName name="YrPur3" localSheetId="0">#REF!</definedName>
    <definedName name="YrPur3" localSheetId="5">#REF!</definedName>
    <definedName name="YrPur3" localSheetId="6">#REF!</definedName>
    <definedName name="YrPur3">#REF!</definedName>
    <definedName name="YrPur4" localSheetId="0">#REF!</definedName>
    <definedName name="YrPur4" localSheetId="5">#REF!</definedName>
    <definedName name="YrPur4" localSheetId="6">#REF!</definedName>
    <definedName name="YrPur4">#REF!</definedName>
    <definedName name="YrPur5" localSheetId="0">#REF!</definedName>
    <definedName name="YrPur5" localSheetId="5">#REF!</definedName>
    <definedName name="YrPur5" localSheetId="6">#REF!</definedName>
    <definedName name="YrPur5">#REF!</definedName>
    <definedName name="yrto" localSheetId="0">#REF!</definedName>
    <definedName name="yrto" localSheetId="5">#REF!</definedName>
    <definedName name="yrto" localSheetId="6">#REF!</definedName>
    <definedName name="yrto">#REF!</definedName>
    <definedName name="yt">'[141]Daftar Isi'!$D$1:$E$1</definedName>
    <definedName name="Ytd">[46]table!$A$3:$D$14</definedName>
    <definedName name="YTD_DATA" localSheetId="0">[69]CGS!#REF!</definedName>
    <definedName name="YTD_DATA" localSheetId="5">[69]CGS!#REF!</definedName>
    <definedName name="YTD_DATA" localSheetId="6">[69]CGS!#REF!</definedName>
    <definedName name="YTD_DATA">[69]CGS!#REF!</definedName>
    <definedName name="YTD_month">[70]CTRL!$D$102</definedName>
    <definedName name="yuyy">'[169]USDt_FS(4)'!$B$84:XEV$133</definedName>
    <definedName name="yyy">[169]table!$A$3:$D$14</definedName>
    <definedName name="z" localSheetId="2" hidden="1">{"'Income Statement'!$A$1:$L$32"}</definedName>
    <definedName name="z" localSheetId="0" hidden="1">{"'Income Statement'!$A$1:$L$32"}</definedName>
    <definedName name="z" hidden="1">{"'Income Statement'!$A$1:$L$32"}</definedName>
    <definedName name="Z_43F2D396_B366_4A2F_A5B5_0E8032FDF9D7_.wvu.PrintArea_3" localSheetId="0">#REF!</definedName>
    <definedName name="Z_43F2D396_B366_4A2F_A5B5_0E8032FDF9D7_.wvu.PrintArea_3" localSheetId="5">#REF!</definedName>
    <definedName name="Z_43F2D396_B366_4A2F_A5B5_0E8032FDF9D7_.wvu.PrintArea_3" localSheetId="6">#REF!</definedName>
    <definedName name="Z_43F2D396_B366_4A2F_A5B5_0E8032FDF9D7_.wvu.PrintArea_3">#REF!</definedName>
    <definedName name="Z_43F2D396_B366_4A2F_A5B5_0E8032FDF9D7_.wvu.PrintArea_6" localSheetId="0">#REF!</definedName>
    <definedName name="Z_43F2D396_B366_4A2F_A5B5_0E8032FDF9D7_.wvu.PrintArea_6" localSheetId="5">#REF!</definedName>
    <definedName name="Z_43F2D396_B366_4A2F_A5B5_0E8032FDF9D7_.wvu.PrintArea_6" localSheetId="6">#REF!</definedName>
    <definedName name="Z_43F2D396_B366_4A2F_A5B5_0E8032FDF9D7_.wvu.PrintArea_6">#REF!</definedName>
    <definedName name="Z_43F2D396_B366_4A2F_A5B5_0E8032FDF9D7_.wvu.PrintTitles_1" localSheetId="0">#REF!</definedName>
    <definedName name="Z_43F2D396_B366_4A2F_A5B5_0E8032FDF9D7_.wvu.PrintTitles_1" localSheetId="5">#REF!</definedName>
    <definedName name="Z_43F2D396_B366_4A2F_A5B5_0E8032FDF9D7_.wvu.PrintTitles_1" localSheetId="6">#REF!</definedName>
    <definedName name="Z_43F2D396_B366_4A2F_A5B5_0E8032FDF9D7_.wvu.PrintTitles_1">#REF!</definedName>
    <definedName name="Z_43F2D396_B366_4A2F_A5B5_0E8032FDF9D7_.wvu.PrintTitles_1_3" localSheetId="0">#REF!</definedName>
    <definedName name="Z_43F2D396_B366_4A2F_A5B5_0E8032FDF9D7_.wvu.PrintTitles_1_3" localSheetId="5">#REF!</definedName>
    <definedName name="Z_43F2D396_B366_4A2F_A5B5_0E8032FDF9D7_.wvu.PrintTitles_1_3" localSheetId="6">#REF!</definedName>
    <definedName name="Z_43F2D396_B366_4A2F_A5B5_0E8032FDF9D7_.wvu.PrintTitles_1_3">#REF!</definedName>
    <definedName name="Z_43F2D396_B366_4A2F_A5B5_0E8032FDF9D7_.wvu.PrintTitles_1_4" localSheetId="0">#REF!</definedName>
    <definedName name="Z_43F2D396_B366_4A2F_A5B5_0E8032FDF9D7_.wvu.PrintTitles_1_4" localSheetId="5">#REF!</definedName>
    <definedName name="Z_43F2D396_B366_4A2F_A5B5_0E8032FDF9D7_.wvu.PrintTitles_1_4" localSheetId="6">#REF!</definedName>
    <definedName name="Z_43F2D396_B366_4A2F_A5B5_0E8032FDF9D7_.wvu.PrintTitles_1_4">#REF!</definedName>
    <definedName name="Z_43F2D396_B366_4A2F_A5B5_0E8032FDF9D7_.wvu.PrintTitles_1_5" localSheetId="0">#REF!</definedName>
    <definedName name="Z_43F2D396_B366_4A2F_A5B5_0E8032FDF9D7_.wvu.PrintTitles_1_5" localSheetId="5">#REF!</definedName>
    <definedName name="Z_43F2D396_B366_4A2F_A5B5_0E8032FDF9D7_.wvu.PrintTitles_1_5" localSheetId="6">#REF!</definedName>
    <definedName name="Z_43F2D396_B366_4A2F_A5B5_0E8032FDF9D7_.wvu.PrintTitles_1_5">#REF!</definedName>
    <definedName name="Z_43F2D396_B366_4A2F_A5B5_0E8032FDF9D7_.wvu.PrintTitles_1_6" localSheetId="0">#REF!</definedName>
    <definedName name="Z_43F2D396_B366_4A2F_A5B5_0E8032FDF9D7_.wvu.PrintTitles_1_6" localSheetId="5">#REF!</definedName>
    <definedName name="Z_43F2D396_B366_4A2F_A5B5_0E8032FDF9D7_.wvu.PrintTitles_1_6" localSheetId="6">#REF!</definedName>
    <definedName name="Z_43F2D396_B366_4A2F_A5B5_0E8032FDF9D7_.wvu.PrintTitles_1_6">#REF!</definedName>
    <definedName name="Z_43F2D396_B366_4A2F_A5B5_0E8032FDF9D7_.wvu.PrintTitles_1_7" localSheetId="0">#REF!</definedName>
    <definedName name="Z_43F2D396_B366_4A2F_A5B5_0E8032FDF9D7_.wvu.PrintTitles_1_7" localSheetId="5">#REF!</definedName>
    <definedName name="Z_43F2D396_B366_4A2F_A5B5_0E8032FDF9D7_.wvu.PrintTitles_1_7" localSheetId="6">#REF!</definedName>
    <definedName name="Z_43F2D396_B366_4A2F_A5B5_0E8032FDF9D7_.wvu.PrintTitles_1_7">#REF!</definedName>
    <definedName name="Z_43F2D396_B366_4A2F_A5B5_0E8032FDF9D7_.wvu.PrintTitles_1_8" localSheetId="0">#REF!</definedName>
    <definedName name="Z_43F2D396_B366_4A2F_A5B5_0E8032FDF9D7_.wvu.PrintTitles_1_8" localSheetId="5">#REF!</definedName>
    <definedName name="Z_43F2D396_B366_4A2F_A5B5_0E8032FDF9D7_.wvu.PrintTitles_1_8" localSheetId="6">#REF!</definedName>
    <definedName name="Z_43F2D396_B366_4A2F_A5B5_0E8032FDF9D7_.wvu.PrintTitles_1_8">#REF!</definedName>
    <definedName name="Z_43F2D396_B366_4A2F_A5B5_0E8032FDF9D7_.wvu.Rows" localSheetId="0">(#REF!,#REF!)</definedName>
    <definedName name="Z_43F2D396_B366_4A2F_A5B5_0E8032FDF9D7_.wvu.Rows" localSheetId="5">(#REF!,#REF!)</definedName>
    <definedName name="Z_43F2D396_B366_4A2F_A5B5_0E8032FDF9D7_.wvu.Rows" localSheetId="6">(#REF!,#REF!)</definedName>
    <definedName name="Z_43F2D396_B366_4A2F_A5B5_0E8032FDF9D7_.wvu.Rows">(#REF!,#REF!)</definedName>
    <definedName name="Z_43F2D396_B366_4A2F_A5B5_0E8032FDF9D7_.wvu.Rows_3" localSheetId="0">(#REF!,#REF!)</definedName>
    <definedName name="Z_43F2D396_B366_4A2F_A5B5_0E8032FDF9D7_.wvu.Rows_3" localSheetId="5">(#REF!,#REF!)</definedName>
    <definedName name="Z_43F2D396_B366_4A2F_A5B5_0E8032FDF9D7_.wvu.Rows_3" localSheetId="6">(#REF!,#REF!)</definedName>
    <definedName name="Z_43F2D396_B366_4A2F_A5B5_0E8032FDF9D7_.wvu.Rows_3">(#REF!,#REF!)</definedName>
    <definedName name="Z_43F2D396_B366_4A2F_A5B5_0E8032FDF9D7_.wvu.Rows_4" localSheetId="0">(#REF!,#REF!)</definedName>
    <definedName name="Z_43F2D396_B366_4A2F_A5B5_0E8032FDF9D7_.wvu.Rows_4" localSheetId="5">(#REF!,#REF!)</definedName>
    <definedName name="Z_43F2D396_B366_4A2F_A5B5_0E8032FDF9D7_.wvu.Rows_4" localSheetId="6">(#REF!,#REF!)</definedName>
    <definedName name="Z_43F2D396_B366_4A2F_A5B5_0E8032FDF9D7_.wvu.Rows_4">(#REF!,#REF!)</definedName>
    <definedName name="Z_43F2D396_B366_4A2F_A5B5_0E8032FDF9D7_.wvu.Rows_5" localSheetId="0">(#REF!,#REF!)</definedName>
    <definedName name="Z_43F2D396_B366_4A2F_A5B5_0E8032FDF9D7_.wvu.Rows_5" localSheetId="5">(#REF!,#REF!)</definedName>
    <definedName name="Z_43F2D396_B366_4A2F_A5B5_0E8032FDF9D7_.wvu.Rows_5" localSheetId="6">(#REF!,#REF!)</definedName>
    <definedName name="Z_43F2D396_B366_4A2F_A5B5_0E8032FDF9D7_.wvu.Rows_5">(#REF!,#REF!)</definedName>
    <definedName name="Z_43F2D396_B366_4A2F_A5B5_0E8032FDF9D7_.wvu.Rows_6" localSheetId="0">(#REF!,#REF!)</definedName>
    <definedName name="Z_43F2D396_B366_4A2F_A5B5_0E8032FDF9D7_.wvu.Rows_6" localSheetId="5">(#REF!,#REF!)</definedName>
    <definedName name="Z_43F2D396_B366_4A2F_A5B5_0E8032FDF9D7_.wvu.Rows_6" localSheetId="6">(#REF!,#REF!)</definedName>
    <definedName name="Z_43F2D396_B366_4A2F_A5B5_0E8032FDF9D7_.wvu.Rows_6">(#REF!,#REF!)</definedName>
    <definedName name="Z_43F2D396_B366_4A2F_A5B5_0E8032FDF9D7_.wvu.Rows_7" localSheetId="0">(#REF!,#REF!)</definedName>
    <definedName name="Z_43F2D396_B366_4A2F_A5B5_0E8032FDF9D7_.wvu.Rows_7" localSheetId="5">(#REF!,#REF!)</definedName>
    <definedName name="Z_43F2D396_B366_4A2F_A5B5_0E8032FDF9D7_.wvu.Rows_7" localSheetId="6">(#REF!,#REF!)</definedName>
    <definedName name="Z_43F2D396_B366_4A2F_A5B5_0E8032FDF9D7_.wvu.Rows_7">(#REF!,#REF!)</definedName>
    <definedName name="Z_43F2D396_B366_4A2F_A5B5_0E8032FDF9D7_.wvu.Rows_8" localSheetId="0">(#REF!,#REF!)</definedName>
    <definedName name="Z_43F2D396_B366_4A2F_A5B5_0E8032FDF9D7_.wvu.Rows_8" localSheetId="5">(#REF!,#REF!)</definedName>
    <definedName name="Z_43F2D396_B366_4A2F_A5B5_0E8032FDF9D7_.wvu.Rows_8" localSheetId="6">(#REF!,#REF!)</definedName>
    <definedName name="Z_43F2D396_B366_4A2F_A5B5_0E8032FDF9D7_.wvu.Rows_8">(#REF!,#REF!)</definedName>
    <definedName name="Z_772D7751_F9A8_47A1_82DC_5FE798027945_.wvu.PrintArea_3" localSheetId="0">#REF!</definedName>
    <definedName name="Z_772D7751_F9A8_47A1_82DC_5FE798027945_.wvu.PrintArea_3" localSheetId="5">#REF!</definedName>
    <definedName name="Z_772D7751_F9A8_47A1_82DC_5FE798027945_.wvu.PrintArea_3" localSheetId="6">#REF!</definedName>
    <definedName name="Z_772D7751_F9A8_47A1_82DC_5FE798027945_.wvu.PrintArea_3">#REF!</definedName>
    <definedName name="Z_772D7751_F9A8_47A1_82DC_5FE798027945_.wvu.PrintArea_6" localSheetId="0">#REF!</definedName>
    <definedName name="Z_772D7751_F9A8_47A1_82DC_5FE798027945_.wvu.PrintArea_6" localSheetId="5">#REF!</definedName>
    <definedName name="Z_772D7751_F9A8_47A1_82DC_5FE798027945_.wvu.PrintArea_6" localSheetId="6">#REF!</definedName>
    <definedName name="Z_772D7751_F9A8_47A1_82DC_5FE798027945_.wvu.PrintArea_6">#REF!</definedName>
    <definedName name="Z_772D7751_F9A8_47A1_82DC_5FE798027945_.wvu.PrintTitles_1" localSheetId="0">#REF!</definedName>
    <definedName name="Z_772D7751_F9A8_47A1_82DC_5FE798027945_.wvu.PrintTitles_1" localSheetId="5">#REF!</definedName>
    <definedName name="Z_772D7751_F9A8_47A1_82DC_5FE798027945_.wvu.PrintTitles_1" localSheetId="6">#REF!</definedName>
    <definedName name="Z_772D7751_F9A8_47A1_82DC_5FE798027945_.wvu.PrintTitles_1">#REF!</definedName>
    <definedName name="Z_772D7751_F9A8_47A1_82DC_5FE798027945_.wvu.PrintTitles_1_3" localSheetId="0">#REF!</definedName>
    <definedName name="Z_772D7751_F9A8_47A1_82DC_5FE798027945_.wvu.PrintTitles_1_3" localSheetId="5">#REF!</definedName>
    <definedName name="Z_772D7751_F9A8_47A1_82DC_5FE798027945_.wvu.PrintTitles_1_3" localSheetId="6">#REF!</definedName>
    <definedName name="Z_772D7751_F9A8_47A1_82DC_5FE798027945_.wvu.PrintTitles_1_3">#REF!</definedName>
    <definedName name="Z_772D7751_F9A8_47A1_82DC_5FE798027945_.wvu.PrintTitles_1_4" localSheetId="0">#REF!</definedName>
    <definedName name="Z_772D7751_F9A8_47A1_82DC_5FE798027945_.wvu.PrintTitles_1_4" localSheetId="5">#REF!</definedName>
    <definedName name="Z_772D7751_F9A8_47A1_82DC_5FE798027945_.wvu.PrintTitles_1_4" localSheetId="6">#REF!</definedName>
    <definedName name="Z_772D7751_F9A8_47A1_82DC_5FE798027945_.wvu.PrintTitles_1_4">#REF!</definedName>
    <definedName name="Z_772D7751_F9A8_47A1_82DC_5FE798027945_.wvu.PrintTitles_1_5" localSheetId="0">#REF!</definedName>
    <definedName name="Z_772D7751_F9A8_47A1_82DC_5FE798027945_.wvu.PrintTitles_1_5" localSheetId="5">#REF!</definedName>
    <definedName name="Z_772D7751_F9A8_47A1_82DC_5FE798027945_.wvu.PrintTitles_1_5" localSheetId="6">#REF!</definedName>
    <definedName name="Z_772D7751_F9A8_47A1_82DC_5FE798027945_.wvu.PrintTitles_1_5">#REF!</definedName>
    <definedName name="Z_772D7751_F9A8_47A1_82DC_5FE798027945_.wvu.PrintTitles_1_6" localSheetId="0">#REF!</definedName>
    <definedName name="Z_772D7751_F9A8_47A1_82DC_5FE798027945_.wvu.PrintTitles_1_6" localSheetId="5">#REF!</definedName>
    <definedName name="Z_772D7751_F9A8_47A1_82DC_5FE798027945_.wvu.PrintTitles_1_6" localSheetId="6">#REF!</definedName>
    <definedName name="Z_772D7751_F9A8_47A1_82DC_5FE798027945_.wvu.PrintTitles_1_6">#REF!</definedName>
    <definedName name="Z_772D7751_F9A8_47A1_82DC_5FE798027945_.wvu.PrintTitles_1_7" localSheetId="0">#REF!</definedName>
    <definedName name="Z_772D7751_F9A8_47A1_82DC_5FE798027945_.wvu.PrintTitles_1_7" localSheetId="5">#REF!</definedName>
    <definedName name="Z_772D7751_F9A8_47A1_82DC_5FE798027945_.wvu.PrintTitles_1_7" localSheetId="6">#REF!</definedName>
    <definedName name="Z_772D7751_F9A8_47A1_82DC_5FE798027945_.wvu.PrintTitles_1_7">#REF!</definedName>
    <definedName name="Z_772D7751_F9A8_47A1_82DC_5FE798027945_.wvu.PrintTitles_1_8" localSheetId="0">#REF!</definedName>
    <definedName name="Z_772D7751_F9A8_47A1_82DC_5FE798027945_.wvu.PrintTitles_1_8" localSheetId="5">#REF!</definedName>
    <definedName name="Z_772D7751_F9A8_47A1_82DC_5FE798027945_.wvu.PrintTitles_1_8" localSheetId="6">#REF!</definedName>
    <definedName name="Z_772D7751_F9A8_47A1_82DC_5FE798027945_.wvu.PrintTitles_1_8">#REF!</definedName>
    <definedName name="Z_772D7751_F9A8_47A1_82DC_5FE798027945_.wvu.Rows" localSheetId="0">(#REF!,#REF!)</definedName>
    <definedName name="Z_772D7751_F9A8_47A1_82DC_5FE798027945_.wvu.Rows" localSheetId="5">(#REF!,#REF!)</definedName>
    <definedName name="Z_772D7751_F9A8_47A1_82DC_5FE798027945_.wvu.Rows" localSheetId="6">(#REF!,#REF!)</definedName>
    <definedName name="Z_772D7751_F9A8_47A1_82DC_5FE798027945_.wvu.Rows">(#REF!,#REF!)</definedName>
    <definedName name="Z_772D7751_F9A8_47A1_82DC_5FE798027945_.wvu.Rows_3" localSheetId="0">(#REF!,#REF!)</definedName>
    <definedName name="Z_772D7751_F9A8_47A1_82DC_5FE798027945_.wvu.Rows_3" localSheetId="5">(#REF!,#REF!)</definedName>
    <definedName name="Z_772D7751_F9A8_47A1_82DC_5FE798027945_.wvu.Rows_3" localSheetId="6">(#REF!,#REF!)</definedName>
    <definedName name="Z_772D7751_F9A8_47A1_82DC_5FE798027945_.wvu.Rows_3">(#REF!,#REF!)</definedName>
    <definedName name="Z_772D7751_F9A8_47A1_82DC_5FE798027945_.wvu.Rows_4" localSheetId="0">(#REF!,#REF!)</definedName>
    <definedName name="Z_772D7751_F9A8_47A1_82DC_5FE798027945_.wvu.Rows_4" localSheetId="5">(#REF!,#REF!)</definedName>
    <definedName name="Z_772D7751_F9A8_47A1_82DC_5FE798027945_.wvu.Rows_4" localSheetId="6">(#REF!,#REF!)</definedName>
    <definedName name="Z_772D7751_F9A8_47A1_82DC_5FE798027945_.wvu.Rows_4">(#REF!,#REF!)</definedName>
    <definedName name="Z_772D7751_F9A8_47A1_82DC_5FE798027945_.wvu.Rows_5" localSheetId="0">(#REF!,#REF!)</definedName>
    <definedName name="Z_772D7751_F9A8_47A1_82DC_5FE798027945_.wvu.Rows_5" localSheetId="5">(#REF!,#REF!)</definedName>
    <definedName name="Z_772D7751_F9A8_47A1_82DC_5FE798027945_.wvu.Rows_5" localSheetId="6">(#REF!,#REF!)</definedName>
    <definedName name="Z_772D7751_F9A8_47A1_82DC_5FE798027945_.wvu.Rows_5">(#REF!,#REF!)</definedName>
    <definedName name="Z_772D7751_F9A8_47A1_82DC_5FE798027945_.wvu.Rows_6" localSheetId="0">(#REF!,#REF!)</definedName>
    <definedName name="Z_772D7751_F9A8_47A1_82DC_5FE798027945_.wvu.Rows_6" localSheetId="5">(#REF!,#REF!)</definedName>
    <definedName name="Z_772D7751_F9A8_47A1_82DC_5FE798027945_.wvu.Rows_6" localSheetId="6">(#REF!,#REF!)</definedName>
    <definedName name="Z_772D7751_F9A8_47A1_82DC_5FE798027945_.wvu.Rows_6">(#REF!,#REF!)</definedName>
    <definedName name="Z_772D7751_F9A8_47A1_82DC_5FE798027945_.wvu.Rows_7" localSheetId="0">(#REF!,#REF!)</definedName>
    <definedName name="Z_772D7751_F9A8_47A1_82DC_5FE798027945_.wvu.Rows_7" localSheetId="5">(#REF!,#REF!)</definedName>
    <definedName name="Z_772D7751_F9A8_47A1_82DC_5FE798027945_.wvu.Rows_7" localSheetId="6">(#REF!,#REF!)</definedName>
    <definedName name="Z_772D7751_F9A8_47A1_82DC_5FE798027945_.wvu.Rows_7">(#REF!,#REF!)</definedName>
    <definedName name="Z_772D7751_F9A8_47A1_82DC_5FE798027945_.wvu.Rows_8" localSheetId="0">(#REF!,#REF!)</definedName>
    <definedName name="Z_772D7751_F9A8_47A1_82DC_5FE798027945_.wvu.Rows_8" localSheetId="5">(#REF!,#REF!)</definedName>
    <definedName name="Z_772D7751_F9A8_47A1_82DC_5FE798027945_.wvu.Rows_8" localSheetId="6">(#REF!,#REF!)</definedName>
    <definedName name="Z_772D7751_F9A8_47A1_82DC_5FE798027945_.wvu.Rows_8">(#REF!,#REF!)</definedName>
    <definedName name="Z_8D989B25_F79F_4158_B5D6_421AA81298D4_.wvu.PrintArea_3" localSheetId="0">#REF!</definedName>
    <definedName name="Z_8D989B25_F79F_4158_B5D6_421AA81298D4_.wvu.PrintArea_3" localSheetId="5">#REF!</definedName>
    <definedName name="Z_8D989B25_F79F_4158_B5D6_421AA81298D4_.wvu.PrintArea_3" localSheetId="6">#REF!</definedName>
    <definedName name="Z_8D989B25_F79F_4158_B5D6_421AA81298D4_.wvu.PrintArea_3">#REF!</definedName>
    <definedName name="Z_8D989B25_F79F_4158_B5D6_421AA81298D4_.wvu.PrintArea_6" localSheetId="0">#REF!</definedName>
    <definedName name="Z_8D989B25_F79F_4158_B5D6_421AA81298D4_.wvu.PrintArea_6" localSheetId="5">#REF!</definedName>
    <definedName name="Z_8D989B25_F79F_4158_B5D6_421AA81298D4_.wvu.PrintArea_6" localSheetId="6">#REF!</definedName>
    <definedName name="Z_8D989B25_F79F_4158_B5D6_421AA81298D4_.wvu.PrintArea_6">#REF!</definedName>
    <definedName name="Z_8D989B25_F79F_4158_B5D6_421AA81298D4_.wvu.PrintTitles_1" localSheetId="0">#REF!</definedName>
    <definedName name="Z_8D989B25_F79F_4158_B5D6_421AA81298D4_.wvu.PrintTitles_1" localSheetId="5">#REF!</definedName>
    <definedName name="Z_8D989B25_F79F_4158_B5D6_421AA81298D4_.wvu.PrintTitles_1" localSheetId="6">#REF!</definedName>
    <definedName name="Z_8D989B25_F79F_4158_B5D6_421AA81298D4_.wvu.PrintTitles_1">#REF!</definedName>
    <definedName name="Z_8D989B25_F79F_4158_B5D6_421AA81298D4_.wvu.PrintTitles_1_3" localSheetId="0">#REF!</definedName>
    <definedName name="Z_8D989B25_F79F_4158_B5D6_421AA81298D4_.wvu.PrintTitles_1_3" localSheetId="5">#REF!</definedName>
    <definedName name="Z_8D989B25_F79F_4158_B5D6_421AA81298D4_.wvu.PrintTitles_1_3" localSheetId="6">#REF!</definedName>
    <definedName name="Z_8D989B25_F79F_4158_B5D6_421AA81298D4_.wvu.PrintTitles_1_3">#REF!</definedName>
    <definedName name="Z_8D989B25_F79F_4158_B5D6_421AA81298D4_.wvu.PrintTitles_1_4" localSheetId="0">#REF!</definedName>
    <definedName name="Z_8D989B25_F79F_4158_B5D6_421AA81298D4_.wvu.PrintTitles_1_4" localSheetId="5">#REF!</definedName>
    <definedName name="Z_8D989B25_F79F_4158_B5D6_421AA81298D4_.wvu.PrintTitles_1_4" localSheetId="6">#REF!</definedName>
    <definedName name="Z_8D989B25_F79F_4158_B5D6_421AA81298D4_.wvu.PrintTitles_1_4">#REF!</definedName>
    <definedName name="Z_8D989B25_F79F_4158_B5D6_421AA81298D4_.wvu.PrintTitles_1_5" localSheetId="0">#REF!</definedName>
    <definedName name="Z_8D989B25_F79F_4158_B5D6_421AA81298D4_.wvu.PrintTitles_1_5" localSheetId="5">#REF!</definedName>
    <definedName name="Z_8D989B25_F79F_4158_B5D6_421AA81298D4_.wvu.PrintTitles_1_5" localSheetId="6">#REF!</definedName>
    <definedName name="Z_8D989B25_F79F_4158_B5D6_421AA81298D4_.wvu.PrintTitles_1_5">#REF!</definedName>
    <definedName name="Z_8D989B25_F79F_4158_B5D6_421AA81298D4_.wvu.PrintTitles_1_6" localSheetId="0">#REF!</definedName>
    <definedName name="Z_8D989B25_F79F_4158_B5D6_421AA81298D4_.wvu.PrintTitles_1_6" localSheetId="5">#REF!</definedName>
    <definedName name="Z_8D989B25_F79F_4158_B5D6_421AA81298D4_.wvu.PrintTitles_1_6" localSheetId="6">#REF!</definedName>
    <definedName name="Z_8D989B25_F79F_4158_B5D6_421AA81298D4_.wvu.PrintTitles_1_6">#REF!</definedName>
    <definedName name="Z_8D989B25_F79F_4158_B5D6_421AA81298D4_.wvu.PrintTitles_1_7" localSheetId="0">#REF!</definedName>
    <definedName name="Z_8D989B25_F79F_4158_B5D6_421AA81298D4_.wvu.PrintTitles_1_7" localSheetId="5">#REF!</definedName>
    <definedName name="Z_8D989B25_F79F_4158_B5D6_421AA81298D4_.wvu.PrintTitles_1_7" localSheetId="6">#REF!</definedName>
    <definedName name="Z_8D989B25_F79F_4158_B5D6_421AA81298D4_.wvu.PrintTitles_1_7">#REF!</definedName>
    <definedName name="Z_8D989B25_F79F_4158_B5D6_421AA81298D4_.wvu.PrintTitles_1_8" localSheetId="0">#REF!</definedName>
    <definedName name="Z_8D989B25_F79F_4158_B5D6_421AA81298D4_.wvu.PrintTitles_1_8" localSheetId="5">#REF!</definedName>
    <definedName name="Z_8D989B25_F79F_4158_B5D6_421AA81298D4_.wvu.PrintTitles_1_8" localSheetId="6">#REF!</definedName>
    <definedName name="Z_8D989B25_F79F_4158_B5D6_421AA81298D4_.wvu.PrintTitles_1_8">#REF!</definedName>
    <definedName name="Z_8D989B25_F79F_4158_B5D6_421AA81298D4_.wvu.Rows" localSheetId="0">(#REF!,#REF!)</definedName>
    <definedName name="Z_8D989B25_F79F_4158_B5D6_421AA81298D4_.wvu.Rows" localSheetId="5">(#REF!,#REF!)</definedName>
    <definedName name="Z_8D989B25_F79F_4158_B5D6_421AA81298D4_.wvu.Rows" localSheetId="6">(#REF!,#REF!)</definedName>
    <definedName name="Z_8D989B25_F79F_4158_B5D6_421AA81298D4_.wvu.Rows">(#REF!,#REF!)</definedName>
    <definedName name="Z_8D989B25_F79F_4158_B5D6_421AA81298D4_.wvu.Rows_3" localSheetId="0">(#REF!,#REF!)</definedName>
    <definedName name="Z_8D989B25_F79F_4158_B5D6_421AA81298D4_.wvu.Rows_3" localSheetId="5">(#REF!,#REF!)</definedName>
    <definedName name="Z_8D989B25_F79F_4158_B5D6_421AA81298D4_.wvu.Rows_3" localSheetId="6">(#REF!,#REF!)</definedName>
    <definedName name="Z_8D989B25_F79F_4158_B5D6_421AA81298D4_.wvu.Rows_3">(#REF!,#REF!)</definedName>
    <definedName name="Z_8D989B25_F79F_4158_B5D6_421AA81298D4_.wvu.Rows_4" localSheetId="0">(#REF!,#REF!)</definedName>
    <definedName name="Z_8D989B25_F79F_4158_B5D6_421AA81298D4_.wvu.Rows_4" localSheetId="5">(#REF!,#REF!)</definedName>
    <definedName name="Z_8D989B25_F79F_4158_B5D6_421AA81298D4_.wvu.Rows_4" localSheetId="6">(#REF!,#REF!)</definedName>
    <definedName name="Z_8D989B25_F79F_4158_B5D6_421AA81298D4_.wvu.Rows_4">(#REF!,#REF!)</definedName>
    <definedName name="Z_8D989B25_F79F_4158_B5D6_421AA81298D4_.wvu.Rows_5" localSheetId="0">(#REF!,#REF!)</definedName>
    <definedName name="Z_8D989B25_F79F_4158_B5D6_421AA81298D4_.wvu.Rows_5" localSheetId="5">(#REF!,#REF!)</definedName>
    <definedName name="Z_8D989B25_F79F_4158_B5D6_421AA81298D4_.wvu.Rows_5" localSheetId="6">(#REF!,#REF!)</definedName>
    <definedName name="Z_8D989B25_F79F_4158_B5D6_421AA81298D4_.wvu.Rows_5">(#REF!,#REF!)</definedName>
    <definedName name="Z_8D989B25_F79F_4158_B5D6_421AA81298D4_.wvu.Rows_6" localSheetId="0">(#REF!,#REF!)</definedName>
    <definedName name="Z_8D989B25_F79F_4158_B5D6_421AA81298D4_.wvu.Rows_6" localSheetId="5">(#REF!,#REF!)</definedName>
    <definedName name="Z_8D989B25_F79F_4158_B5D6_421AA81298D4_.wvu.Rows_6" localSheetId="6">(#REF!,#REF!)</definedName>
    <definedName name="Z_8D989B25_F79F_4158_B5D6_421AA81298D4_.wvu.Rows_6">(#REF!,#REF!)</definedName>
    <definedName name="Z_8D989B25_F79F_4158_B5D6_421AA81298D4_.wvu.Rows_7" localSheetId="0">(#REF!,#REF!)</definedName>
    <definedName name="Z_8D989B25_F79F_4158_B5D6_421AA81298D4_.wvu.Rows_7" localSheetId="5">(#REF!,#REF!)</definedName>
    <definedName name="Z_8D989B25_F79F_4158_B5D6_421AA81298D4_.wvu.Rows_7" localSheetId="6">(#REF!,#REF!)</definedName>
    <definedName name="Z_8D989B25_F79F_4158_B5D6_421AA81298D4_.wvu.Rows_7">(#REF!,#REF!)</definedName>
    <definedName name="Z_8D989B25_F79F_4158_B5D6_421AA81298D4_.wvu.Rows_8" localSheetId="0">(#REF!,#REF!)</definedName>
    <definedName name="Z_8D989B25_F79F_4158_B5D6_421AA81298D4_.wvu.Rows_8" localSheetId="5">(#REF!,#REF!)</definedName>
    <definedName name="Z_8D989B25_F79F_4158_B5D6_421AA81298D4_.wvu.Rows_8" localSheetId="6">(#REF!,#REF!)</definedName>
    <definedName name="Z_8D989B25_F79F_4158_B5D6_421AA81298D4_.wvu.Rows_8">(#REF!,#REF!)</definedName>
    <definedName name="Z_B0F45B97_8536_4689_975D_28CA318312D7_.wvu.PrintArea_3" localSheetId="0">#REF!</definedName>
    <definedName name="Z_B0F45B97_8536_4689_975D_28CA318312D7_.wvu.PrintArea_3" localSheetId="5">#REF!</definedName>
    <definedName name="Z_B0F45B97_8536_4689_975D_28CA318312D7_.wvu.PrintArea_3" localSheetId="6">#REF!</definedName>
    <definedName name="Z_B0F45B97_8536_4689_975D_28CA318312D7_.wvu.PrintArea_3">#REF!</definedName>
    <definedName name="Z_B0F45B97_8536_4689_975D_28CA318312D7_.wvu.PrintArea_6" localSheetId="0">#REF!</definedName>
    <definedName name="Z_B0F45B97_8536_4689_975D_28CA318312D7_.wvu.PrintArea_6" localSheetId="5">#REF!</definedName>
    <definedName name="Z_B0F45B97_8536_4689_975D_28CA318312D7_.wvu.PrintArea_6" localSheetId="6">#REF!</definedName>
    <definedName name="Z_B0F45B97_8536_4689_975D_28CA318312D7_.wvu.PrintArea_6">#REF!</definedName>
    <definedName name="Z_B0F45B97_8536_4689_975D_28CA318312D7_.wvu.PrintTitles_1" localSheetId="0">#REF!</definedName>
    <definedName name="Z_B0F45B97_8536_4689_975D_28CA318312D7_.wvu.PrintTitles_1" localSheetId="5">#REF!</definedName>
    <definedName name="Z_B0F45B97_8536_4689_975D_28CA318312D7_.wvu.PrintTitles_1" localSheetId="6">#REF!</definedName>
    <definedName name="Z_B0F45B97_8536_4689_975D_28CA318312D7_.wvu.PrintTitles_1">#REF!</definedName>
    <definedName name="Z_B0F45B97_8536_4689_975D_28CA318312D7_.wvu.PrintTitles_1_3" localSheetId="0">#REF!</definedName>
    <definedName name="Z_B0F45B97_8536_4689_975D_28CA318312D7_.wvu.PrintTitles_1_3" localSheetId="5">#REF!</definedName>
    <definedName name="Z_B0F45B97_8536_4689_975D_28CA318312D7_.wvu.PrintTitles_1_3" localSheetId="6">#REF!</definedName>
    <definedName name="Z_B0F45B97_8536_4689_975D_28CA318312D7_.wvu.PrintTitles_1_3">#REF!</definedName>
    <definedName name="Z_B0F45B97_8536_4689_975D_28CA318312D7_.wvu.PrintTitles_1_4" localSheetId="0">#REF!</definedName>
    <definedName name="Z_B0F45B97_8536_4689_975D_28CA318312D7_.wvu.PrintTitles_1_4" localSheetId="5">#REF!</definedName>
    <definedName name="Z_B0F45B97_8536_4689_975D_28CA318312D7_.wvu.PrintTitles_1_4" localSheetId="6">#REF!</definedName>
    <definedName name="Z_B0F45B97_8536_4689_975D_28CA318312D7_.wvu.PrintTitles_1_4">#REF!</definedName>
    <definedName name="Z_B0F45B97_8536_4689_975D_28CA318312D7_.wvu.PrintTitles_1_5" localSheetId="0">#REF!</definedName>
    <definedName name="Z_B0F45B97_8536_4689_975D_28CA318312D7_.wvu.PrintTitles_1_5" localSheetId="5">#REF!</definedName>
    <definedName name="Z_B0F45B97_8536_4689_975D_28CA318312D7_.wvu.PrintTitles_1_5" localSheetId="6">#REF!</definedName>
    <definedName name="Z_B0F45B97_8536_4689_975D_28CA318312D7_.wvu.PrintTitles_1_5">#REF!</definedName>
    <definedName name="Z_B0F45B97_8536_4689_975D_28CA318312D7_.wvu.PrintTitles_1_6" localSheetId="0">#REF!</definedName>
    <definedName name="Z_B0F45B97_8536_4689_975D_28CA318312D7_.wvu.PrintTitles_1_6" localSheetId="5">#REF!</definedName>
    <definedName name="Z_B0F45B97_8536_4689_975D_28CA318312D7_.wvu.PrintTitles_1_6" localSheetId="6">#REF!</definedName>
    <definedName name="Z_B0F45B97_8536_4689_975D_28CA318312D7_.wvu.PrintTitles_1_6">#REF!</definedName>
    <definedName name="Z_B0F45B97_8536_4689_975D_28CA318312D7_.wvu.PrintTitles_1_7" localSheetId="0">#REF!</definedName>
    <definedName name="Z_B0F45B97_8536_4689_975D_28CA318312D7_.wvu.PrintTitles_1_7" localSheetId="5">#REF!</definedName>
    <definedName name="Z_B0F45B97_8536_4689_975D_28CA318312D7_.wvu.PrintTitles_1_7" localSheetId="6">#REF!</definedName>
    <definedName name="Z_B0F45B97_8536_4689_975D_28CA318312D7_.wvu.PrintTitles_1_7">#REF!</definedName>
    <definedName name="Z_B0F45B97_8536_4689_975D_28CA318312D7_.wvu.PrintTitles_1_8" localSheetId="0">#REF!</definedName>
    <definedName name="Z_B0F45B97_8536_4689_975D_28CA318312D7_.wvu.PrintTitles_1_8" localSheetId="5">#REF!</definedName>
    <definedName name="Z_B0F45B97_8536_4689_975D_28CA318312D7_.wvu.PrintTitles_1_8" localSheetId="6">#REF!</definedName>
    <definedName name="Z_B0F45B97_8536_4689_975D_28CA318312D7_.wvu.PrintTitles_1_8">#REF!</definedName>
    <definedName name="Z_B0F45B97_8536_4689_975D_28CA318312D7_.wvu.Rows" localSheetId="0">(#REF!,#REF!)</definedName>
    <definedName name="Z_B0F45B97_8536_4689_975D_28CA318312D7_.wvu.Rows" localSheetId="5">(#REF!,#REF!)</definedName>
    <definedName name="Z_B0F45B97_8536_4689_975D_28CA318312D7_.wvu.Rows" localSheetId="6">(#REF!,#REF!)</definedName>
    <definedName name="Z_B0F45B97_8536_4689_975D_28CA318312D7_.wvu.Rows">(#REF!,#REF!)</definedName>
    <definedName name="Z_B0F45B97_8536_4689_975D_28CA318312D7_.wvu.Rows_3" localSheetId="0">(#REF!,#REF!)</definedName>
    <definedName name="Z_B0F45B97_8536_4689_975D_28CA318312D7_.wvu.Rows_3" localSheetId="5">(#REF!,#REF!)</definedName>
    <definedName name="Z_B0F45B97_8536_4689_975D_28CA318312D7_.wvu.Rows_3" localSheetId="6">(#REF!,#REF!)</definedName>
    <definedName name="Z_B0F45B97_8536_4689_975D_28CA318312D7_.wvu.Rows_3">(#REF!,#REF!)</definedName>
    <definedName name="Z_B0F45B97_8536_4689_975D_28CA318312D7_.wvu.Rows_4" localSheetId="0">(#REF!,#REF!)</definedName>
    <definedName name="Z_B0F45B97_8536_4689_975D_28CA318312D7_.wvu.Rows_4" localSheetId="5">(#REF!,#REF!)</definedName>
    <definedName name="Z_B0F45B97_8536_4689_975D_28CA318312D7_.wvu.Rows_4" localSheetId="6">(#REF!,#REF!)</definedName>
    <definedName name="Z_B0F45B97_8536_4689_975D_28CA318312D7_.wvu.Rows_4">(#REF!,#REF!)</definedName>
    <definedName name="Z_B0F45B97_8536_4689_975D_28CA318312D7_.wvu.Rows_5" localSheetId="0">(#REF!,#REF!)</definedName>
    <definedName name="Z_B0F45B97_8536_4689_975D_28CA318312D7_.wvu.Rows_5" localSheetId="5">(#REF!,#REF!)</definedName>
    <definedName name="Z_B0F45B97_8536_4689_975D_28CA318312D7_.wvu.Rows_5" localSheetId="6">(#REF!,#REF!)</definedName>
    <definedName name="Z_B0F45B97_8536_4689_975D_28CA318312D7_.wvu.Rows_5">(#REF!,#REF!)</definedName>
    <definedName name="Z_B0F45B97_8536_4689_975D_28CA318312D7_.wvu.Rows_6" localSheetId="0">(#REF!,#REF!)</definedName>
    <definedName name="Z_B0F45B97_8536_4689_975D_28CA318312D7_.wvu.Rows_6" localSheetId="5">(#REF!,#REF!)</definedName>
    <definedName name="Z_B0F45B97_8536_4689_975D_28CA318312D7_.wvu.Rows_6" localSheetId="6">(#REF!,#REF!)</definedName>
    <definedName name="Z_B0F45B97_8536_4689_975D_28CA318312D7_.wvu.Rows_6">(#REF!,#REF!)</definedName>
    <definedName name="Z_B0F45B97_8536_4689_975D_28CA318312D7_.wvu.Rows_7" localSheetId="0">(#REF!,#REF!)</definedName>
    <definedName name="Z_B0F45B97_8536_4689_975D_28CA318312D7_.wvu.Rows_7" localSheetId="5">(#REF!,#REF!)</definedName>
    <definedName name="Z_B0F45B97_8536_4689_975D_28CA318312D7_.wvu.Rows_7" localSheetId="6">(#REF!,#REF!)</definedName>
    <definedName name="Z_B0F45B97_8536_4689_975D_28CA318312D7_.wvu.Rows_7">(#REF!,#REF!)</definedName>
    <definedName name="Z_B0F45B97_8536_4689_975D_28CA318312D7_.wvu.Rows_8" localSheetId="0">(#REF!,#REF!)</definedName>
    <definedName name="Z_B0F45B97_8536_4689_975D_28CA318312D7_.wvu.Rows_8" localSheetId="5">(#REF!,#REF!)</definedName>
    <definedName name="Z_B0F45B97_8536_4689_975D_28CA318312D7_.wvu.Rows_8" localSheetId="6">(#REF!,#REF!)</definedName>
    <definedName name="Z_B0F45B97_8536_4689_975D_28CA318312D7_.wvu.Rows_8">(#REF!,#REF!)</definedName>
    <definedName name="Z_B6B19EE4_FBDC_44B2_A255_CD5587765992_.wvu.PrintArea_3" localSheetId="0">#REF!</definedName>
    <definedName name="Z_B6B19EE4_FBDC_44B2_A255_CD5587765992_.wvu.PrintArea_3" localSheetId="5">#REF!</definedName>
    <definedName name="Z_B6B19EE4_FBDC_44B2_A255_CD5587765992_.wvu.PrintArea_3" localSheetId="6">#REF!</definedName>
    <definedName name="Z_B6B19EE4_FBDC_44B2_A255_CD5587765992_.wvu.PrintArea_3">#REF!</definedName>
    <definedName name="Z_B6B19EE4_FBDC_44B2_A255_CD5587765992_.wvu.PrintArea_6" localSheetId="0">#REF!</definedName>
    <definedName name="Z_B6B19EE4_FBDC_44B2_A255_CD5587765992_.wvu.PrintArea_6" localSheetId="5">#REF!</definedName>
    <definedName name="Z_B6B19EE4_FBDC_44B2_A255_CD5587765992_.wvu.PrintArea_6" localSheetId="6">#REF!</definedName>
    <definedName name="Z_B6B19EE4_FBDC_44B2_A255_CD5587765992_.wvu.PrintArea_6">#REF!</definedName>
    <definedName name="Z_B6B19EE4_FBDC_44B2_A255_CD5587765992_.wvu.PrintTitles_1" localSheetId="0">#REF!</definedName>
    <definedName name="Z_B6B19EE4_FBDC_44B2_A255_CD5587765992_.wvu.PrintTitles_1" localSheetId="5">#REF!</definedName>
    <definedName name="Z_B6B19EE4_FBDC_44B2_A255_CD5587765992_.wvu.PrintTitles_1" localSheetId="6">#REF!</definedName>
    <definedName name="Z_B6B19EE4_FBDC_44B2_A255_CD5587765992_.wvu.PrintTitles_1">#REF!</definedName>
    <definedName name="Z_B6B19EE4_FBDC_44B2_A255_CD5587765992_.wvu.PrintTitles_1_3" localSheetId="0">#REF!</definedName>
    <definedName name="Z_B6B19EE4_FBDC_44B2_A255_CD5587765992_.wvu.PrintTitles_1_3" localSheetId="5">#REF!</definedName>
    <definedName name="Z_B6B19EE4_FBDC_44B2_A255_CD5587765992_.wvu.PrintTitles_1_3" localSheetId="6">#REF!</definedName>
    <definedName name="Z_B6B19EE4_FBDC_44B2_A255_CD5587765992_.wvu.PrintTitles_1_3">#REF!</definedName>
    <definedName name="Z_B6B19EE4_FBDC_44B2_A255_CD5587765992_.wvu.PrintTitles_1_4" localSheetId="0">#REF!</definedName>
    <definedName name="Z_B6B19EE4_FBDC_44B2_A255_CD5587765992_.wvu.PrintTitles_1_4" localSheetId="5">#REF!</definedName>
    <definedName name="Z_B6B19EE4_FBDC_44B2_A255_CD5587765992_.wvu.PrintTitles_1_4" localSheetId="6">#REF!</definedName>
    <definedName name="Z_B6B19EE4_FBDC_44B2_A255_CD5587765992_.wvu.PrintTitles_1_4">#REF!</definedName>
    <definedName name="Z_B6B19EE4_FBDC_44B2_A255_CD5587765992_.wvu.PrintTitles_1_5" localSheetId="0">#REF!</definedName>
    <definedName name="Z_B6B19EE4_FBDC_44B2_A255_CD5587765992_.wvu.PrintTitles_1_5" localSheetId="5">#REF!</definedName>
    <definedName name="Z_B6B19EE4_FBDC_44B2_A255_CD5587765992_.wvu.PrintTitles_1_5" localSheetId="6">#REF!</definedName>
    <definedName name="Z_B6B19EE4_FBDC_44B2_A255_CD5587765992_.wvu.PrintTitles_1_5">#REF!</definedName>
    <definedName name="Z_B6B19EE4_FBDC_44B2_A255_CD5587765992_.wvu.PrintTitles_1_6" localSheetId="0">#REF!</definedName>
    <definedName name="Z_B6B19EE4_FBDC_44B2_A255_CD5587765992_.wvu.PrintTitles_1_6" localSheetId="5">#REF!</definedName>
    <definedName name="Z_B6B19EE4_FBDC_44B2_A255_CD5587765992_.wvu.PrintTitles_1_6" localSheetId="6">#REF!</definedName>
    <definedName name="Z_B6B19EE4_FBDC_44B2_A255_CD5587765992_.wvu.PrintTitles_1_6">#REF!</definedName>
    <definedName name="Z_B6B19EE4_FBDC_44B2_A255_CD5587765992_.wvu.PrintTitles_1_7" localSheetId="0">#REF!</definedName>
    <definedName name="Z_B6B19EE4_FBDC_44B2_A255_CD5587765992_.wvu.PrintTitles_1_7" localSheetId="5">#REF!</definedName>
    <definedName name="Z_B6B19EE4_FBDC_44B2_A255_CD5587765992_.wvu.PrintTitles_1_7" localSheetId="6">#REF!</definedName>
    <definedName name="Z_B6B19EE4_FBDC_44B2_A255_CD5587765992_.wvu.PrintTitles_1_7">#REF!</definedName>
    <definedName name="Z_B6B19EE4_FBDC_44B2_A255_CD5587765992_.wvu.PrintTitles_1_8" localSheetId="0">#REF!</definedName>
    <definedName name="Z_B6B19EE4_FBDC_44B2_A255_CD5587765992_.wvu.PrintTitles_1_8" localSheetId="5">#REF!</definedName>
    <definedName name="Z_B6B19EE4_FBDC_44B2_A255_CD5587765992_.wvu.PrintTitles_1_8" localSheetId="6">#REF!</definedName>
    <definedName name="Z_B6B19EE4_FBDC_44B2_A255_CD5587765992_.wvu.PrintTitles_1_8">#REF!</definedName>
    <definedName name="Z_B6B19EE4_FBDC_44B2_A255_CD5587765992_.wvu.Rows" localSheetId="0">(#REF!,#REF!)</definedName>
    <definedName name="Z_B6B19EE4_FBDC_44B2_A255_CD5587765992_.wvu.Rows" localSheetId="5">(#REF!,#REF!)</definedName>
    <definedName name="Z_B6B19EE4_FBDC_44B2_A255_CD5587765992_.wvu.Rows" localSheetId="6">(#REF!,#REF!)</definedName>
    <definedName name="Z_B6B19EE4_FBDC_44B2_A255_CD5587765992_.wvu.Rows">(#REF!,#REF!)</definedName>
    <definedName name="Z_B6B19EE4_FBDC_44B2_A255_CD5587765992_.wvu.Rows_3" localSheetId="0">(#REF!,#REF!)</definedName>
    <definedName name="Z_B6B19EE4_FBDC_44B2_A255_CD5587765992_.wvu.Rows_3" localSheetId="5">(#REF!,#REF!)</definedName>
    <definedName name="Z_B6B19EE4_FBDC_44B2_A255_CD5587765992_.wvu.Rows_3" localSheetId="6">(#REF!,#REF!)</definedName>
    <definedName name="Z_B6B19EE4_FBDC_44B2_A255_CD5587765992_.wvu.Rows_3">(#REF!,#REF!)</definedName>
    <definedName name="Z_B6B19EE4_FBDC_44B2_A255_CD5587765992_.wvu.Rows_4" localSheetId="0">(#REF!,#REF!)</definedName>
    <definedName name="Z_B6B19EE4_FBDC_44B2_A255_CD5587765992_.wvu.Rows_4" localSheetId="5">(#REF!,#REF!)</definedName>
    <definedName name="Z_B6B19EE4_FBDC_44B2_A255_CD5587765992_.wvu.Rows_4" localSheetId="6">(#REF!,#REF!)</definedName>
    <definedName name="Z_B6B19EE4_FBDC_44B2_A255_CD5587765992_.wvu.Rows_4">(#REF!,#REF!)</definedName>
    <definedName name="Z_B6B19EE4_FBDC_44B2_A255_CD5587765992_.wvu.Rows_5" localSheetId="0">(#REF!,#REF!)</definedName>
    <definedName name="Z_B6B19EE4_FBDC_44B2_A255_CD5587765992_.wvu.Rows_5" localSheetId="5">(#REF!,#REF!)</definedName>
    <definedName name="Z_B6B19EE4_FBDC_44B2_A255_CD5587765992_.wvu.Rows_5" localSheetId="6">(#REF!,#REF!)</definedName>
    <definedName name="Z_B6B19EE4_FBDC_44B2_A255_CD5587765992_.wvu.Rows_5">(#REF!,#REF!)</definedName>
    <definedName name="Z_B6B19EE4_FBDC_44B2_A255_CD5587765992_.wvu.Rows_6" localSheetId="0">(#REF!,#REF!)</definedName>
    <definedName name="Z_B6B19EE4_FBDC_44B2_A255_CD5587765992_.wvu.Rows_6" localSheetId="5">(#REF!,#REF!)</definedName>
    <definedName name="Z_B6B19EE4_FBDC_44B2_A255_CD5587765992_.wvu.Rows_6" localSheetId="6">(#REF!,#REF!)</definedName>
    <definedName name="Z_B6B19EE4_FBDC_44B2_A255_CD5587765992_.wvu.Rows_6">(#REF!,#REF!)</definedName>
    <definedName name="Z_B6B19EE4_FBDC_44B2_A255_CD5587765992_.wvu.Rows_7" localSheetId="0">(#REF!,#REF!)</definedName>
    <definedName name="Z_B6B19EE4_FBDC_44B2_A255_CD5587765992_.wvu.Rows_7" localSheetId="5">(#REF!,#REF!)</definedName>
    <definedName name="Z_B6B19EE4_FBDC_44B2_A255_CD5587765992_.wvu.Rows_7" localSheetId="6">(#REF!,#REF!)</definedName>
    <definedName name="Z_B6B19EE4_FBDC_44B2_A255_CD5587765992_.wvu.Rows_7">(#REF!,#REF!)</definedName>
    <definedName name="Z_B6B19EE4_FBDC_44B2_A255_CD5587765992_.wvu.Rows_8" localSheetId="0">(#REF!,#REF!)</definedName>
    <definedName name="Z_B6B19EE4_FBDC_44B2_A255_CD5587765992_.wvu.Rows_8" localSheetId="5">(#REF!,#REF!)</definedName>
    <definedName name="Z_B6B19EE4_FBDC_44B2_A255_CD5587765992_.wvu.Rows_8" localSheetId="6">(#REF!,#REF!)</definedName>
    <definedName name="Z_B6B19EE4_FBDC_44B2_A255_CD5587765992_.wvu.Rows_8">(#REF!,#REF!)</definedName>
    <definedName name="Z_BC7A3A8B_2B3D_4FF7_85C2_1A73984AEA3C_.wvu.PrintArea_3" localSheetId="0">#REF!</definedName>
    <definedName name="Z_BC7A3A8B_2B3D_4FF7_85C2_1A73984AEA3C_.wvu.PrintArea_3" localSheetId="5">#REF!</definedName>
    <definedName name="Z_BC7A3A8B_2B3D_4FF7_85C2_1A73984AEA3C_.wvu.PrintArea_3" localSheetId="6">#REF!</definedName>
    <definedName name="Z_BC7A3A8B_2B3D_4FF7_85C2_1A73984AEA3C_.wvu.PrintArea_3">#REF!</definedName>
    <definedName name="Z_BC7A3A8B_2B3D_4FF7_85C2_1A73984AEA3C_.wvu.PrintArea_6" localSheetId="0">#REF!</definedName>
    <definedName name="Z_BC7A3A8B_2B3D_4FF7_85C2_1A73984AEA3C_.wvu.PrintArea_6" localSheetId="5">#REF!</definedName>
    <definedName name="Z_BC7A3A8B_2B3D_4FF7_85C2_1A73984AEA3C_.wvu.PrintArea_6" localSheetId="6">#REF!</definedName>
    <definedName name="Z_BC7A3A8B_2B3D_4FF7_85C2_1A73984AEA3C_.wvu.PrintArea_6">#REF!</definedName>
    <definedName name="Z_BC7A3A8B_2B3D_4FF7_85C2_1A73984AEA3C_.wvu.PrintTitles_1" localSheetId="0">#REF!</definedName>
    <definedName name="Z_BC7A3A8B_2B3D_4FF7_85C2_1A73984AEA3C_.wvu.PrintTitles_1" localSheetId="5">#REF!</definedName>
    <definedName name="Z_BC7A3A8B_2B3D_4FF7_85C2_1A73984AEA3C_.wvu.PrintTitles_1" localSheetId="6">#REF!</definedName>
    <definedName name="Z_BC7A3A8B_2B3D_4FF7_85C2_1A73984AEA3C_.wvu.PrintTitles_1">#REF!</definedName>
    <definedName name="Z_BC7A3A8B_2B3D_4FF7_85C2_1A73984AEA3C_.wvu.PrintTitles_1_3" localSheetId="0">#REF!</definedName>
    <definedName name="Z_BC7A3A8B_2B3D_4FF7_85C2_1A73984AEA3C_.wvu.PrintTitles_1_3" localSheetId="5">#REF!</definedName>
    <definedName name="Z_BC7A3A8B_2B3D_4FF7_85C2_1A73984AEA3C_.wvu.PrintTitles_1_3" localSheetId="6">#REF!</definedName>
    <definedName name="Z_BC7A3A8B_2B3D_4FF7_85C2_1A73984AEA3C_.wvu.PrintTitles_1_3">#REF!</definedName>
    <definedName name="Z_BC7A3A8B_2B3D_4FF7_85C2_1A73984AEA3C_.wvu.PrintTitles_1_4" localSheetId="0">#REF!</definedName>
    <definedName name="Z_BC7A3A8B_2B3D_4FF7_85C2_1A73984AEA3C_.wvu.PrintTitles_1_4" localSheetId="5">#REF!</definedName>
    <definedName name="Z_BC7A3A8B_2B3D_4FF7_85C2_1A73984AEA3C_.wvu.PrintTitles_1_4" localSheetId="6">#REF!</definedName>
    <definedName name="Z_BC7A3A8B_2B3D_4FF7_85C2_1A73984AEA3C_.wvu.PrintTitles_1_4">#REF!</definedName>
    <definedName name="Z_BC7A3A8B_2B3D_4FF7_85C2_1A73984AEA3C_.wvu.PrintTitles_1_5" localSheetId="0">#REF!</definedName>
    <definedName name="Z_BC7A3A8B_2B3D_4FF7_85C2_1A73984AEA3C_.wvu.PrintTitles_1_5" localSheetId="5">#REF!</definedName>
    <definedName name="Z_BC7A3A8B_2B3D_4FF7_85C2_1A73984AEA3C_.wvu.PrintTitles_1_5" localSheetId="6">#REF!</definedName>
    <definedName name="Z_BC7A3A8B_2B3D_4FF7_85C2_1A73984AEA3C_.wvu.PrintTitles_1_5">#REF!</definedName>
    <definedName name="Z_BC7A3A8B_2B3D_4FF7_85C2_1A73984AEA3C_.wvu.PrintTitles_1_6" localSheetId="0">#REF!</definedName>
    <definedName name="Z_BC7A3A8B_2B3D_4FF7_85C2_1A73984AEA3C_.wvu.PrintTitles_1_6" localSheetId="5">#REF!</definedName>
    <definedName name="Z_BC7A3A8B_2B3D_4FF7_85C2_1A73984AEA3C_.wvu.PrintTitles_1_6" localSheetId="6">#REF!</definedName>
    <definedName name="Z_BC7A3A8B_2B3D_4FF7_85C2_1A73984AEA3C_.wvu.PrintTitles_1_6">#REF!</definedName>
    <definedName name="Z_BC7A3A8B_2B3D_4FF7_85C2_1A73984AEA3C_.wvu.PrintTitles_1_7" localSheetId="0">#REF!</definedName>
    <definedName name="Z_BC7A3A8B_2B3D_4FF7_85C2_1A73984AEA3C_.wvu.PrintTitles_1_7" localSheetId="5">#REF!</definedName>
    <definedName name="Z_BC7A3A8B_2B3D_4FF7_85C2_1A73984AEA3C_.wvu.PrintTitles_1_7" localSheetId="6">#REF!</definedName>
    <definedName name="Z_BC7A3A8B_2B3D_4FF7_85C2_1A73984AEA3C_.wvu.PrintTitles_1_7">#REF!</definedName>
    <definedName name="Z_BC7A3A8B_2B3D_4FF7_85C2_1A73984AEA3C_.wvu.PrintTitles_1_8" localSheetId="0">#REF!</definedName>
    <definedName name="Z_BC7A3A8B_2B3D_4FF7_85C2_1A73984AEA3C_.wvu.PrintTitles_1_8" localSheetId="5">#REF!</definedName>
    <definedName name="Z_BC7A3A8B_2B3D_4FF7_85C2_1A73984AEA3C_.wvu.PrintTitles_1_8" localSheetId="6">#REF!</definedName>
    <definedName name="Z_BC7A3A8B_2B3D_4FF7_85C2_1A73984AEA3C_.wvu.PrintTitles_1_8">#REF!</definedName>
    <definedName name="Z_BC7A3A8B_2B3D_4FF7_85C2_1A73984AEA3C_.wvu.Rows" localSheetId="0">(#REF!,#REF!)</definedName>
    <definedName name="Z_BC7A3A8B_2B3D_4FF7_85C2_1A73984AEA3C_.wvu.Rows" localSheetId="5">(#REF!,#REF!)</definedName>
    <definedName name="Z_BC7A3A8B_2B3D_4FF7_85C2_1A73984AEA3C_.wvu.Rows" localSheetId="6">(#REF!,#REF!)</definedName>
    <definedName name="Z_BC7A3A8B_2B3D_4FF7_85C2_1A73984AEA3C_.wvu.Rows">(#REF!,#REF!)</definedName>
    <definedName name="Z_BC7A3A8B_2B3D_4FF7_85C2_1A73984AEA3C_.wvu.Rows_3" localSheetId="0">(#REF!,#REF!)</definedName>
    <definedName name="Z_BC7A3A8B_2B3D_4FF7_85C2_1A73984AEA3C_.wvu.Rows_3" localSheetId="5">(#REF!,#REF!)</definedName>
    <definedName name="Z_BC7A3A8B_2B3D_4FF7_85C2_1A73984AEA3C_.wvu.Rows_3" localSheetId="6">(#REF!,#REF!)</definedName>
    <definedName name="Z_BC7A3A8B_2B3D_4FF7_85C2_1A73984AEA3C_.wvu.Rows_3">(#REF!,#REF!)</definedName>
    <definedName name="Z_BC7A3A8B_2B3D_4FF7_85C2_1A73984AEA3C_.wvu.Rows_4" localSheetId="0">(#REF!,#REF!)</definedName>
    <definedName name="Z_BC7A3A8B_2B3D_4FF7_85C2_1A73984AEA3C_.wvu.Rows_4" localSheetId="5">(#REF!,#REF!)</definedName>
    <definedName name="Z_BC7A3A8B_2B3D_4FF7_85C2_1A73984AEA3C_.wvu.Rows_4" localSheetId="6">(#REF!,#REF!)</definedName>
    <definedName name="Z_BC7A3A8B_2B3D_4FF7_85C2_1A73984AEA3C_.wvu.Rows_4">(#REF!,#REF!)</definedName>
    <definedName name="Z_BC7A3A8B_2B3D_4FF7_85C2_1A73984AEA3C_.wvu.Rows_5" localSheetId="0">(#REF!,#REF!)</definedName>
    <definedName name="Z_BC7A3A8B_2B3D_4FF7_85C2_1A73984AEA3C_.wvu.Rows_5" localSheetId="5">(#REF!,#REF!)</definedName>
    <definedName name="Z_BC7A3A8B_2B3D_4FF7_85C2_1A73984AEA3C_.wvu.Rows_5" localSheetId="6">(#REF!,#REF!)</definedName>
    <definedName name="Z_BC7A3A8B_2B3D_4FF7_85C2_1A73984AEA3C_.wvu.Rows_5">(#REF!,#REF!)</definedName>
    <definedName name="Z_BC7A3A8B_2B3D_4FF7_85C2_1A73984AEA3C_.wvu.Rows_6" localSheetId="0">(#REF!,#REF!)</definedName>
    <definedName name="Z_BC7A3A8B_2B3D_4FF7_85C2_1A73984AEA3C_.wvu.Rows_6" localSheetId="5">(#REF!,#REF!)</definedName>
    <definedName name="Z_BC7A3A8B_2B3D_4FF7_85C2_1A73984AEA3C_.wvu.Rows_6" localSheetId="6">(#REF!,#REF!)</definedName>
    <definedName name="Z_BC7A3A8B_2B3D_4FF7_85C2_1A73984AEA3C_.wvu.Rows_6">(#REF!,#REF!)</definedName>
    <definedName name="Z_BC7A3A8B_2B3D_4FF7_85C2_1A73984AEA3C_.wvu.Rows_7" localSheetId="0">(#REF!,#REF!)</definedName>
    <definedName name="Z_BC7A3A8B_2B3D_4FF7_85C2_1A73984AEA3C_.wvu.Rows_7" localSheetId="5">(#REF!,#REF!)</definedName>
    <definedName name="Z_BC7A3A8B_2B3D_4FF7_85C2_1A73984AEA3C_.wvu.Rows_7" localSheetId="6">(#REF!,#REF!)</definedName>
    <definedName name="Z_BC7A3A8B_2B3D_4FF7_85C2_1A73984AEA3C_.wvu.Rows_7">(#REF!,#REF!)</definedName>
    <definedName name="Z_BC7A3A8B_2B3D_4FF7_85C2_1A73984AEA3C_.wvu.Rows_8" localSheetId="0">(#REF!,#REF!)</definedName>
    <definedName name="Z_BC7A3A8B_2B3D_4FF7_85C2_1A73984AEA3C_.wvu.Rows_8" localSheetId="5">(#REF!,#REF!)</definedName>
    <definedName name="Z_BC7A3A8B_2B3D_4FF7_85C2_1A73984AEA3C_.wvu.Rows_8" localSheetId="6">(#REF!,#REF!)</definedName>
    <definedName name="Z_BC7A3A8B_2B3D_4FF7_85C2_1A73984AEA3C_.wvu.Rows_8">(#REF!,#REF!)</definedName>
    <definedName name="zbr" localSheetId="0">#REF!</definedName>
    <definedName name="zbr" localSheetId="5">#REF!</definedName>
    <definedName name="zbr" localSheetId="6">#REF!</definedName>
    <definedName name="zbr">#REF!</definedName>
    <definedName name="zdfsdaf" localSheetId="2" hidden="1">#REF!</definedName>
    <definedName name="zdfsdaf" localSheetId="0" hidden="1">#REF!</definedName>
    <definedName name="zdfsdaf" localSheetId="5" hidden="1">#REF!</definedName>
    <definedName name="zdfsdaf" localSheetId="6" hidden="1">#REF!</definedName>
    <definedName name="zdfsdaf" hidden="1">#REF!</definedName>
    <definedName name="Zone_Name">'[74]Zone Code'!$C$3:$C$129</definedName>
    <definedName name="zvzdsd" localSheetId="0">#REF!</definedName>
    <definedName name="zvzdsd" localSheetId="5">#REF!</definedName>
    <definedName name="zvzdsd" localSheetId="6">#REF!</definedName>
    <definedName name="zvzdsd">#REF!</definedName>
    <definedName name="zzz" localSheetId="0">#REF!</definedName>
    <definedName name="zzz" localSheetId="5">#REF!</definedName>
    <definedName name="zzz" localSheetId="6">#REF!</definedName>
    <definedName name="zzz">#REF!</definedName>
    <definedName name="海外事業室" localSheetId="0">#REF!</definedName>
    <definedName name="海外事業室" localSheetId="5">#REF!</definedName>
    <definedName name="海外事業室" localSheetId="6">#REF!</definedName>
    <definedName name="海外事業室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E850" i="3" l="1"/>
  <c r="CQ232" i="4" l="1"/>
  <c r="CQ233" i="4"/>
  <c r="CQ229" i="4"/>
  <c r="CQ230" i="4"/>
  <c r="CQ231" i="4"/>
  <c r="CH197" i="4"/>
  <c r="CI197" i="4"/>
  <c r="CJ197" i="4"/>
  <c r="CK197" i="4"/>
  <c r="CL197" i="4"/>
  <c r="CM197" i="4"/>
  <c r="CN197" i="4"/>
  <c r="CO197" i="4"/>
  <c r="CP197" i="4"/>
  <c r="CG197" i="4"/>
  <c r="CO286" i="4"/>
  <c r="CP286" i="4"/>
  <c r="CK286" i="4"/>
  <c r="CH286" i="4"/>
  <c r="CI286" i="4"/>
  <c r="CO276" i="4"/>
  <c r="CP276" i="4"/>
  <c r="CK276" i="4"/>
  <c r="CJ276" i="4"/>
  <c r="CH276" i="4"/>
  <c r="CI276" i="4"/>
  <c r="CJ279" i="4"/>
  <c r="CH279" i="4"/>
  <c r="CG279" i="4"/>
  <c r="CF279" i="4"/>
  <c r="CI279" i="4"/>
  <c r="DR434" i="3"/>
  <c r="DR433" i="3"/>
  <c r="DR432" i="3"/>
  <c r="DR431" i="3"/>
  <c r="DR429" i="3"/>
  <c r="DR428" i="3"/>
  <c r="DR427" i="3"/>
  <c r="DR426" i="3"/>
  <c r="DR425" i="3"/>
  <c r="DR424" i="3"/>
  <c r="DR423" i="3"/>
  <c r="DR422" i="3"/>
  <c r="DR421" i="3"/>
  <c r="DR420" i="3"/>
  <c r="DR419" i="3"/>
  <c r="DR418" i="3"/>
  <c r="DR417" i="3"/>
  <c r="DR416" i="3"/>
  <c r="DR415" i="3"/>
  <c r="DR414" i="3"/>
  <c r="DR413" i="3"/>
  <c r="DR412" i="3"/>
  <c r="DR407" i="3"/>
  <c r="DR406" i="3"/>
  <c r="DR405" i="3"/>
  <c r="DR404" i="3"/>
  <c r="DR403" i="3"/>
  <c r="DR402" i="3"/>
  <c r="DR401" i="3"/>
  <c r="DR400" i="3"/>
  <c r="DR398" i="3"/>
  <c r="DR397" i="3"/>
  <c r="DR396" i="3"/>
  <c r="DR395" i="3"/>
  <c r="DR394" i="3"/>
  <c r="DR393" i="3"/>
  <c r="DR392" i="3"/>
  <c r="DR391" i="3"/>
  <c r="DR390" i="3"/>
  <c r="DR389" i="3"/>
  <c r="DR388" i="3"/>
  <c r="DR387" i="3"/>
  <c r="DR386" i="3"/>
  <c r="DR385" i="3"/>
  <c r="DR384" i="3"/>
  <c r="DR383" i="3"/>
  <c r="DR382" i="3"/>
  <c r="DR381" i="3"/>
  <c r="DR380" i="3"/>
  <c r="DR379" i="3"/>
  <c r="DR378" i="3"/>
  <c r="DR377" i="3"/>
  <c r="DR375" i="3"/>
  <c r="DR374" i="3"/>
  <c r="DR373" i="3"/>
  <c r="DR372" i="3"/>
  <c r="DR371" i="3"/>
  <c r="DR370" i="3"/>
  <c r="DR369" i="3"/>
  <c r="DR368" i="3"/>
  <c r="DR367" i="3"/>
  <c r="DR366" i="3"/>
  <c r="DR365" i="3"/>
  <c r="DR364" i="3"/>
  <c r="DR363" i="3"/>
  <c r="DR362" i="3"/>
  <c r="DR361" i="3"/>
  <c r="DR360" i="3"/>
  <c r="DR359" i="3"/>
  <c r="DR358" i="3"/>
  <c r="DR357" i="3"/>
  <c r="DR356" i="3"/>
  <c r="DR355" i="3"/>
  <c r="DR354" i="3"/>
  <c r="DR353" i="3"/>
  <c r="DR352" i="3"/>
  <c r="DR351" i="3"/>
  <c r="DR350" i="3"/>
  <c r="DR349" i="3"/>
  <c r="DR348" i="3"/>
  <c r="DR347" i="3"/>
  <c r="DR346" i="3"/>
  <c r="DR344" i="3"/>
  <c r="DR343" i="3"/>
  <c r="DR341" i="3"/>
  <c r="DR340" i="3"/>
  <c r="DR339" i="3"/>
  <c r="DR338" i="3"/>
  <c r="DR337" i="3"/>
  <c r="DR336" i="3"/>
  <c r="DR335" i="3"/>
  <c r="DR334" i="3"/>
  <c r="DR333" i="3"/>
  <c r="DR332" i="3"/>
  <c r="DR331" i="3"/>
  <c r="DR330" i="3"/>
  <c r="DR329" i="3"/>
  <c r="DR328" i="3"/>
  <c r="DR327" i="3"/>
  <c r="DR326" i="3"/>
  <c r="DR325" i="3"/>
  <c r="DR324" i="3"/>
  <c r="DR323" i="3"/>
  <c r="DR322" i="3"/>
  <c r="DR321" i="3"/>
  <c r="DR320" i="3"/>
  <c r="DR319" i="3"/>
  <c r="DR318" i="3"/>
  <c r="DR317" i="3"/>
  <c r="DR316" i="3"/>
  <c r="DR315" i="3"/>
  <c r="DR314" i="3"/>
  <c r="DR313" i="3"/>
  <c r="DR312" i="3"/>
  <c r="DR311" i="3"/>
  <c r="DR310" i="3"/>
  <c r="DR309" i="3"/>
  <c r="DR308" i="3"/>
  <c r="DR307" i="3"/>
  <c r="DR306" i="3"/>
  <c r="DR305" i="3"/>
  <c r="DR304" i="3"/>
  <c r="DR303" i="3"/>
  <c r="DR302" i="3"/>
  <c r="DR301" i="3"/>
  <c r="DR300" i="3"/>
  <c r="DR299" i="3"/>
  <c r="DR298" i="3"/>
  <c r="DR293" i="3"/>
  <c r="DR292" i="3"/>
  <c r="DR288" i="3"/>
  <c r="DR287" i="3"/>
  <c r="DR281" i="3"/>
  <c r="DR280" i="3"/>
  <c r="DR278" i="3"/>
  <c r="DR276" i="3"/>
  <c r="DR275" i="3"/>
  <c r="DR274" i="3"/>
  <c r="DR269" i="3"/>
  <c r="DR268" i="3"/>
  <c r="DR267" i="3"/>
  <c r="DR262" i="3"/>
  <c r="DR259" i="3"/>
  <c r="DR257" i="3"/>
  <c r="DR256" i="3"/>
  <c r="DR254" i="3"/>
  <c r="DR253" i="3"/>
  <c r="DR252" i="3"/>
  <c r="DR251" i="3"/>
  <c r="DR250" i="3"/>
  <c r="DR249" i="3"/>
  <c r="DR248" i="3"/>
  <c r="DR246" i="3"/>
  <c r="DR243" i="3"/>
  <c r="DR237" i="3"/>
  <c r="DR236" i="3"/>
  <c r="DR235" i="3"/>
  <c r="DR234" i="3"/>
  <c r="DR233" i="3"/>
  <c r="DR232" i="3"/>
  <c r="DR231" i="3"/>
  <c r="DR230" i="3"/>
  <c r="DR229" i="3"/>
  <c r="DR228" i="3"/>
  <c r="DR227" i="3"/>
  <c r="DR226" i="3"/>
  <c r="DR225" i="3"/>
  <c r="DR224" i="3"/>
  <c r="DR223" i="3"/>
  <c r="DR222" i="3"/>
  <c r="DR221" i="3"/>
  <c r="DR220" i="3"/>
  <c r="DR219" i="3"/>
  <c r="DR218" i="3"/>
  <c r="DR217" i="3"/>
  <c r="DR216" i="3"/>
  <c r="DR215" i="3"/>
  <c r="DR214" i="3"/>
  <c r="DR213" i="3"/>
  <c r="DR212" i="3"/>
  <c r="DR211" i="3"/>
  <c r="DR210" i="3"/>
  <c r="DR209" i="3"/>
  <c r="DR207" i="3"/>
  <c r="DR206" i="3"/>
  <c r="DR205" i="3"/>
  <c r="DR204" i="3"/>
  <c r="DR203" i="3"/>
  <c r="DR202" i="3"/>
  <c r="DR200" i="3"/>
  <c r="DR199" i="3"/>
  <c r="DR198" i="3"/>
  <c r="DR197" i="3"/>
  <c r="DR196" i="3"/>
  <c r="DR195" i="3"/>
  <c r="DR194" i="3"/>
  <c r="DR193" i="3"/>
  <c r="DR192" i="3"/>
  <c r="DR191" i="3"/>
  <c r="DR190" i="3"/>
  <c r="DR189" i="3"/>
  <c r="DR188" i="3"/>
  <c r="DR187" i="3"/>
  <c r="DR186" i="3"/>
  <c r="DR185" i="3"/>
  <c r="DR184" i="3"/>
  <c r="DR183" i="3"/>
  <c r="DR182" i="3"/>
  <c r="DR181" i="3"/>
  <c r="DR180" i="3"/>
  <c r="DR179" i="3"/>
  <c r="DR178" i="3"/>
  <c r="DR177" i="3"/>
  <c r="DR176" i="3"/>
  <c r="DR175" i="3"/>
  <c r="DR174" i="3"/>
  <c r="DR173" i="3"/>
  <c r="DR172" i="3"/>
  <c r="DR171" i="3"/>
  <c r="DR170" i="3"/>
  <c r="DR169" i="3"/>
  <c r="DR168" i="3"/>
  <c r="DR167" i="3"/>
  <c r="DR166" i="3"/>
  <c r="DR165" i="3"/>
  <c r="DR164" i="3"/>
  <c r="DR153" i="3"/>
  <c r="DR152" i="3"/>
  <c r="DR154" i="3"/>
  <c r="DR162" i="3"/>
  <c r="DR11" i="3"/>
  <c r="DS849" i="3" l="1"/>
  <c r="DR832" i="3"/>
  <c r="DR831" i="3"/>
  <c r="DR830" i="3"/>
  <c r="DR829" i="3" s="1"/>
  <c r="DR874" i="3"/>
  <c r="DR873" i="3"/>
  <c r="DR872" i="3"/>
  <c r="DR871" i="3"/>
  <c r="DR870" i="3"/>
  <c r="DR869" i="3"/>
  <c r="DR868" i="3"/>
  <c r="DR867" i="3"/>
  <c r="DR866" i="3"/>
  <c r="DR865" i="3"/>
  <c r="DR864" i="3"/>
  <c r="DR863" i="3"/>
  <c r="DR862" i="3"/>
  <c r="DR861" i="3"/>
  <c r="DR860" i="3"/>
  <c r="DR859" i="3"/>
  <c r="DR858" i="3"/>
  <c r="DR857" i="3"/>
  <c r="DR856" i="3"/>
  <c r="DR855" i="3" s="1"/>
  <c r="DR881" i="3"/>
  <c r="DR880" i="3"/>
  <c r="DR879" i="3"/>
  <c r="DR878" i="3"/>
  <c r="DR876" i="3"/>
  <c r="DR883" i="3"/>
  <c r="DR884" i="3"/>
  <c r="DR885" i="3"/>
  <c r="DR886" i="3"/>
  <c r="DR887" i="3"/>
  <c r="DR888" i="3"/>
  <c r="DR889" i="3"/>
  <c r="DR430" i="3"/>
  <c r="DR411" i="3"/>
  <c r="DR345" i="3"/>
  <c r="DR208" i="3"/>
  <c r="DR882" i="3"/>
  <c r="AW39" i="57" l="1"/>
  <c r="BJ41" i="57"/>
  <c r="BJ57" i="57"/>
  <c r="BJ56" i="57"/>
  <c r="BJ55" i="57"/>
  <c r="BJ54" i="57"/>
  <c r="BJ53" i="57"/>
  <c r="BJ52" i="57"/>
  <c r="BJ51" i="57"/>
  <c r="BJ50" i="57"/>
  <c r="BJ49" i="57"/>
  <c r="BJ48" i="57"/>
  <c r="BJ47" i="57"/>
  <c r="BJ46" i="57"/>
  <c r="BJ45" i="57"/>
  <c r="BJ44" i="57"/>
  <c r="BJ43" i="57"/>
  <c r="BJ42" i="57"/>
  <c r="BJ39" i="57"/>
  <c r="BJ38" i="57"/>
  <c r="BJ37" i="57"/>
  <c r="BJ36" i="57"/>
  <c r="BJ35" i="57"/>
  <c r="BJ34" i="57"/>
  <c r="BJ33" i="57"/>
  <c r="BJ32" i="57"/>
  <c r="BJ31" i="57"/>
  <c r="BJ30" i="57"/>
  <c r="BJ29" i="57"/>
  <c r="BJ28" i="57"/>
  <c r="BJ27" i="57"/>
  <c r="BJ9" i="57"/>
  <c r="BJ10" i="57"/>
  <c r="BJ11" i="57"/>
  <c r="BJ12" i="57"/>
  <c r="BJ13" i="57"/>
  <c r="BJ14" i="57"/>
  <c r="BJ15" i="57"/>
  <c r="BJ16" i="57"/>
  <c r="BJ17" i="57"/>
  <c r="BJ18" i="57"/>
  <c r="BJ19" i="57"/>
  <c r="BJ20" i="57"/>
  <c r="BJ21" i="57"/>
  <c r="BJ22" i="57"/>
  <c r="BJ23" i="57"/>
  <c r="BJ24" i="57"/>
  <c r="BJ25" i="57"/>
  <c r="BJ8" i="57"/>
  <c r="BJ7" i="57" s="1"/>
  <c r="BI40" i="57"/>
  <c r="BH40" i="57"/>
  <c r="BG40" i="57"/>
  <c r="BF40" i="57"/>
  <c r="BE40" i="57"/>
  <c r="BD40" i="57"/>
  <c r="BC40" i="57"/>
  <c r="BB40" i="57"/>
  <c r="BA40" i="57"/>
  <c r="AZ40" i="57"/>
  <c r="AY40" i="57"/>
  <c r="AX40" i="57"/>
  <c r="AS40" i="57"/>
  <c r="AP40" i="57"/>
  <c r="AM40" i="57"/>
  <c r="AK40" i="57"/>
  <c r="AJ40" i="57"/>
  <c r="AH40" i="57"/>
  <c r="AF40" i="57"/>
  <c r="AE40" i="57"/>
  <c r="AD40" i="57"/>
  <c r="AC40" i="57"/>
  <c r="AB40" i="57"/>
  <c r="AA40" i="57"/>
  <c r="Z40" i="57"/>
  <c r="Y40" i="57"/>
  <c r="X40" i="57"/>
  <c r="W40" i="57"/>
  <c r="V40" i="57"/>
  <c r="U40" i="57"/>
  <c r="S40" i="57"/>
  <c r="R40" i="57"/>
  <c r="Q40" i="57"/>
  <c r="P40" i="57"/>
  <c r="O40" i="57"/>
  <c r="N40" i="57"/>
  <c r="M40" i="57"/>
  <c r="L40" i="57"/>
  <c r="K40" i="57"/>
  <c r="J40" i="57"/>
  <c r="I40" i="57"/>
  <c r="H40" i="57"/>
  <c r="BI26" i="57"/>
  <c r="BH26" i="57"/>
  <c r="BG26" i="57"/>
  <c r="BF26" i="57"/>
  <c r="BE26" i="57"/>
  <c r="BD26" i="57"/>
  <c r="BC26" i="57"/>
  <c r="BB26" i="57"/>
  <c r="BA26" i="57"/>
  <c r="AZ26" i="57"/>
  <c r="AY26" i="57"/>
  <c r="AX26" i="57"/>
  <c r="AS26" i="57"/>
  <c r="AP26" i="57"/>
  <c r="AM26" i="57"/>
  <c r="AK26" i="57"/>
  <c r="AJ26" i="57"/>
  <c r="AH26" i="57"/>
  <c r="AF26" i="57"/>
  <c r="AE26" i="57"/>
  <c r="AD26" i="57"/>
  <c r="AC26" i="57"/>
  <c r="AB26" i="57"/>
  <c r="Z26" i="57"/>
  <c r="X26" i="57"/>
  <c r="W26" i="57"/>
  <c r="V26" i="57"/>
  <c r="U26" i="57"/>
  <c r="S26" i="57"/>
  <c r="R26" i="57"/>
  <c r="Q26" i="57"/>
  <c r="P26" i="57"/>
  <c r="O26" i="57"/>
  <c r="N26" i="57"/>
  <c r="M26" i="57"/>
  <c r="L26" i="57"/>
  <c r="K26" i="57"/>
  <c r="J26" i="57"/>
  <c r="I26" i="57"/>
  <c r="H26" i="57"/>
  <c r="I7" i="57"/>
  <c r="J7" i="57"/>
  <c r="K7" i="57"/>
  <c r="L7" i="57"/>
  <c r="M7" i="57"/>
  <c r="N7" i="57"/>
  <c r="O7" i="57"/>
  <c r="P7" i="57"/>
  <c r="Q7" i="57"/>
  <c r="R7" i="57"/>
  <c r="S7" i="57"/>
  <c r="U7" i="57"/>
  <c r="V7" i="57"/>
  <c r="W7" i="57"/>
  <c r="X7" i="57"/>
  <c r="Y7" i="57"/>
  <c r="Z7" i="57"/>
  <c r="AA7" i="57"/>
  <c r="AB7" i="57"/>
  <c r="AC7" i="57"/>
  <c r="AD7" i="57"/>
  <c r="AE7" i="57"/>
  <c r="AF7" i="57"/>
  <c r="AH7" i="57"/>
  <c r="AJ7" i="57"/>
  <c r="AK7" i="57"/>
  <c r="AM7" i="57"/>
  <c r="AP7" i="57"/>
  <c r="AS7" i="57"/>
  <c r="AX7" i="57"/>
  <c r="AY7" i="57"/>
  <c r="AZ7" i="57"/>
  <c r="BA7" i="57"/>
  <c r="BB7" i="57"/>
  <c r="BC7" i="57"/>
  <c r="BC58" i="57" s="1"/>
  <c r="BD7" i="57"/>
  <c r="BE7" i="57"/>
  <c r="BF7" i="57"/>
  <c r="BF58" i="57" s="1"/>
  <c r="BG7" i="57"/>
  <c r="BH7" i="57"/>
  <c r="BI7" i="57"/>
  <c r="H7" i="57"/>
  <c r="AY58" i="57" l="1"/>
  <c r="BB58" i="57"/>
  <c r="BG58" i="57"/>
  <c r="AX58" i="57"/>
  <c r="BE58" i="57"/>
  <c r="BJ26" i="57"/>
  <c r="BJ40" i="57"/>
  <c r="AZ58" i="57"/>
  <c r="BH58" i="57"/>
  <c r="BA58" i="57"/>
  <c r="BI58" i="57"/>
  <c r="BD58" i="57"/>
  <c r="BJ58" i="57"/>
  <c r="DT785" i="3" l="1"/>
  <c r="DU785" i="3"/>
  <c r="DV785" i="3"/>
  <c r="DW785" i="3"/>
  <c r="DX785" i="3"/>
  <c r="DY785" i="3"/>
  <c r="DZ785" i="3"/>
  <c r="EA785" i="3"/>
  <c r="EB785" i="3"/>
  <c r="EC785" i="3"/>
  <c r="ED785" i="3"/>
  <c r="DS785" i="3"/>
  <c r="BK57" i="57"/>
  <c r="BL57" i="57" s="1"/>
  <c r="BM57" i="57" s="1"/>
  <c r="BN57" i="57" s="1"/>
  <c r="BK56" i="57"/>
  <c r="BL56" i="57" s="1"/>
  <c r="BM56" i="57" s="1"/>
  <c r="BN56" i="57" s="1"/>
  <c r="BK55" i="57"/>
  <c r="BL55" i="57" s="1"/>
  <c r="BM55" i="57" s="1"/>
  <c r="BN55" i="57" s="1"/>
  <c r="BK54" i="57"/>
  <c r="BL54" i="57" s="1"/>
  <c r="BM54" i="57" s="1"/>
  <c r="BN54" i="57" s="1"/>
  <c r="BK53" i="57"/>
  <c r="BL53" i="57" s="1"/>
  <c r="BM53" i="57" s="1"/>
  <c r="BN53" i="57" s="1"/>
  <c r="BK52" i="57"/>
  <c r="BL52" i="57" s="1"/>
  <c r="BM52" i="57" s="1"/>
  <c r="BN52" i="57" s="1"/>
  <c r="BK51" i="57"/>
  <c r="BL51" i="57" s="1"/>
  <c r="BM51" i="57" s="1"/>
  <c r="BN51" i="57" s="1"/>
  <c r="BK50" i="57"/>
  <c r="BL50" i="57" s="1"/>
  <c r="BM50" i="57" s="1"/>
  <c r="BN50" i="57" s="1"/>
  <c r="BK49" i="57"/>
  <c r="BL49" i="57" s="1"/>
  <c r="BM49" i="57" s="1"/>
  <c r="BN49" i="57" s="1"/>
  <c r="BK48" i="57"/>
  <c r="BL48" i="57" s="1"/>
  <c r="BM48" i="57" s="1"/>
  <c r="BN48" i="57" s="1"/>
  <c r="BK45" i="57"/>
  <c r="BL45" i="57" s="1"/>
  <c r="BM45" i="57" s="1"/>
  <c r="BN45" i="57" s="1"/>
  <c r="BK44" i="57"/>
  <c r="BL44" i="57" s="1"/>
  <c r="BM44" i="57" s="1"/>
  <c r="BN44" i="57" s="1"/>
  <c r="BK39" i="57"/>
  <c r="BL39" i="57" s="1"/>
  <c r="BM39" i="57" s="1"/>
  <c r="BN39" i="57" s="1"/>
  <c r="BK38" i="57"/>
  <c r="BL38" i="57" s="1"/>
  <c r="BM38" i="57" s="1"/>
  <c r="BN38" i="57" s="1"/>
  <c r="BK37" i="57"/>
  <c r="BL37" i="57" s="1"/>
  <c r="BM37" i="57" s="1"/>
  <c r="BN37" i="57" s="1"/>
  <c r="BK30" i="57"/>
  <c r="BL30" i="57" s="1"/>
  <c r="BM30" i="57" s="1"/>
  <c r="BN30" i="57" s="1"/>
  <c r="BK29" i="57"/>
  <c r="BL29" i="57" s="1"/>
  <c r="BM29" i="57" s="1"/>
  <c r="BN29" i="57" s="1"/>
  <c r="BK28" i="57"/>
  <c r="BK21" i="57"/>
  <c r="BL21" i="57" s="1"/>
  <c r="BM21" i="57" s="1"/>
  <c r="BN21" i="57" s="1"/>
  <c r="BK20" i="57"/>
  <c r="BL20" i="57" s="1"/>
  <c r="BM20" i="57" s="1"/>
  <c r="BN20" i="57" s="1"/>
  <c r="BK18" i="57"/>
  <c r="BL18" i="57" s="1"/>
  <c r="BM18" i="57" s="1"/>
  <c r="BN18" i="57" s="1"/>
  <c r="BK17" i="57"/>
  <c r="BL17" i="57" s="1"/>
  <c r="BM17" i="57" s="1"/>
  <c r="BN17" i="57" s="1"/>
  <c r="BK16" i="57"/>
  <c r="BL16" i="57" s="1"/>
  <c r="BM16" i="57" s="1"/>
  <c r="BN16" i="57" s="1"/>
  <c r="BK15" i="57"/>
  <c r="BL15" i="57" s="1"/>
  <c r="BM15" i="57" s="1"/>
  <c r="BN15" i="57" s="1"/>
  <c r="BK14" i="57"/>
  <c r="BL14" i="57" s="1"/>
  <c r="BM14" i="57" s="1"/>
  <c r="BN14" i="57" s="1"/>
  <c r="BK13" i="57"/>
  <c r="BL13" i="57" s="1"/>
  <c r="BM13" i="57" s="1"/>
  <c r="BN13" i="57" s="1"/>
  <c r="BK12" i="57"/>
  <c r="BL12" i="57" s="1"/>
  <c r="BM12" i="57" s="1"/>
  <c r="BN12" i="57" s="1"/>
  <c r="BP7" i="77"/>
  <c r="BP8" i="77"/>
  <c r="BP9" i="77"/>
  <c r="BP10" i="77"/>
  <c r="BP11" i="77"/>
  <c r="BP12" i="77"/>
  <c r="BP13" i="77"/>
  <c r="BP14" i="77"/>
  <c r="BP15" i="77"/>
  <c r="BP16" i="77"/>
  <c r="BP17" i="77"/>
  <c r="BP18" i="77"/>
  <c r="BP19" i="77"/>
  <c r="BP20" i="77"/>
  <c r="BP21" i="77"/>
  <c r="BP22" i="77"/>
  <c r="BP23" i="77"/>
  <c r="BP24" i="77"/>
  <c r="BP25" i="77"/>
  <c r="BP26" i="77"/>
  <c r="BP27" i="77"/>
  <c r="BP28" i="77"/>
  <c r="BP29" i="77"/>
  <c r="BP30" i="77"/>
  <c r="BP31" i="77"/>
  <c r="BP32" i="77"/>
  <c r="BP33" i="77"/>
  <c r="BP34" i="77"/>
  <c r="BP35" i="77"/>
  <c r="BP36" i="77"/>
  <c r="BP37" i="77"/>
  <c r="BP38" i="77"/>
  <c r="BP39" i="77"/>
  <c r="BP40" i="77"/>
  <c r="BP41" i="77"/>
  <c r="BP42" i="77"/>
  <c r="BP43" i="77"/>
  <c r="BP44" i="77"/>
  <c r="BP45" i="77"/>
  <c r="BP46" i="77"/>
  <c r="BP47" i="77"/>
  <c r="BP48" i="77"/>
  <c r="BP49" i="77"/>
  <c r="BP50" i="77"/>
  <c r="BP51" i="77"/>
  <c r="BP52" i="77"/>
  <c r="BP53" i="77"/>
  <c r="BP54" i="77"/>
  <c r="BP55" i="77"/>
  <c r="BP56" i="77"/>
  <c r="BP57" i="77"/>
  <c r="BP58" i="77"/>
  <c r="BP59" i="77"/>
  <c r="BP66" i="77"/>
  <c r="BP6" i="77"/>
  <c r="AY66" i="77"/>
  <c r="AW66" i="77"/>
  <c r="AJ66" i="77"/>
  <c r="AH66" i="77"/>
  <c r="W66" i="77"/>
  <c r="V66" i="77"/>
  <c r="U66" i="77"/>
  <c r="L66" i="77"/>
  <c r="K66" i="77"/>
  <c r="BK8" i="57" l="1"/>
  <c r="AZ66" i="77"/>
  <c r="BL28" i="57"/>
  <c r="BK41" i="57"/>
  <c r="BB66" i="77"/>
  <c r="BP68" i="77"/>
  <c r="BA66" i="77"/>
  <c r="BL8" i="57" l="1"/>
  <c r="BL41" i="57"/>
  <c r="BM28" i="57"/>
  <c r="AY906" i="3"/>
  <c r="AY907" i="3"/>
  <c r="AY908" i="3"/>
  <c r="AY909" i="3"/>
  <c r="AY910" i="3"/>
  <c r="AY911" i="3"/>
  <c r="AY912" i="3"/>
  <c r="AY913" i="3"/>
  <c r="AY914" i="3"/>
  <c r="AY915" i="3"/>
  <c r="AY916" i="3"/>
  <c r="AY917" i="3"/>
  <c r="AY918" i="3"/>
  <c r="AY919" i="3"/>
  <c r="AY920" i="3"/>
  <c r="AY921" i="3"/>
  <c r="AY922" i="3"/>
  <c r="AY923" i="3"/>
  <c r="AY924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EI835" i="3"/>
  <c r="EI838" i="3" s="1"/>
  <c r="EI906" i="3" s="1"/>
  <c r="EH835" i="3"/>
  <c r="EH838" i="3" s="1"/>
  <c r="EH906" i="3" s="1"/>
  <c r="EG835" i="3"/>
  <c r="EG838" i="3" s="1"/>
  <c r="EG906" i="3" s="1"/>
  <c r="EF835" i="3"/>
  <c r="EF838" i="3" s="1"/>
  <c r="EF906" i="3" s="1"/>
  <c r="EE835" i="3"/>
  <c r="EE838" i="3" s="1"/>
  <c r="EE906" i="3" s="1"/>
  <c r="EC835" i="3"/>
  <c r="EC838" i="3" s="1"/>
  <c r="EB835" i="3"/>
  <c r="EB838" i="3" s="1"/>
  <c r="EA835" i="3"/>
  <c r="EA838" i="3" s="1"/>
  <c r="DZ835" i="3"/>
  <c r="DZ838" i="3" s="1"/>
  <c r="DY835" i="3"/>
  <c r="DY838" i="3" s="1"/>
  <c r="DX835" i="3"/>
  <c r="DX838" i="3" s="1"/>
  <c r="DW835" i="3"/>
  <c r="DW838" i="3" s="1"/>
  <c r="DV835" i="3"/>
  <c r="DV838" i="3" s="1"/>
  <c r="DU835" i="3"/>
  <c r="DU838" i="3" s="1"/>
  <c r="DT835" i="3"/>
  <c r="DT838" i="3" s="1"/>
  <c r="DS835" i="3"/>
  <c r="DS838" i="3" s="1"/>
  <c r="DR835" i="3"/>
  <c r="DR838" i="3" s="1"/>
  <c r="DR906" i="3" s="1"/>
  <c r="DQ835" i="3"/>
  <c r="DQ838" i="3" s="1"/>
  <c r="DQ906" i="3" s="1"/>
  <c r="DP835" i="3"/>
  <c r="DP838" i="3" s="1"/>
  <c r="DP906" i="3" s="1"/>
  <c r="DO835" i="3"/>
  <c r="DO838" i="3" s="1"/>
  <c r="DO906" i="3" s="1"/>
  <c r="DN835" i="3"/>
  <c r="DN838" i="3" s="1"/>
  <c r="DN906" i="3" s="1"/>
  <c r="DM835" i="3"/>
  <c r="DM838" i="3" s="1"/>
  <c r="DM906" i="3" s="1"/>
  <c r="DL835" i="3"/>
  <c r="DL838" i="3" s="1"/>
  <c r="DL906" i="3" s="1"/>
  <c r="DK835" i="3"/>
  <c r="DK838" i="3" s="1"/>
  <c r="DK906" i="3" s="1"/>
  <c r="DJ835" i="3"/>
  <c r="DJ838" i="3" s="1"/>
  <c r="DJ906" i="3" s="1"/>
  <c r="DI835" i="3"/>
  <c r="DI838" i="3" s="1"/>
  <c r="DI906" i="3" s="1"/>
  <c r="DH835" i="3"/>
  <c r="DH838" i="3" s="1"/>
  <c r="DH906" i="3" s="1"/>
  <c r="DG835" i="3"/>
  <c r="DG838" i="3" s="1"/>
  <c r="DG906" i="3" s="1"/>
  <c r="DF835" i="3"/>
  <c r="DF838" i="3" s="1"/>
  <c r="DF906" i="3" s="1"/>
  <c r="DE835" i="3"/>
  <c r="DE838" i="3" s="1"/>
  <c r="DE906" i="3" s="1"/>
  <c r="DD835" i="3"/>
  <c r="DD838" i="3" s="1"/>
  <c r="DD906" i="3" s="1"/>
  <c r="DC835" i="3"/>
  <c r="DC838" i="3" s="1"/>
  <c r="DC906" i="3" s="1"/>
  <c r="DB835" i="3"/>
  <c r="DB838" i="3" s="1"/>
  <c r="DB906" i="3" s="1"/>
  <c r="DA835" i="3"/>
  <c r="DA838" i="3" s="1"/>
  <c r="DA906" i="3" s="1"/>
  <c r="CZ835" i="3"/>
  <c r="CZ838" i="3" s="1"/>
  <c r="CZ906" i="3" s="1"/>
  <c r="CY835" i="3"/>
  <c r="CY838" i="3" s="1"/>
  <c r="CY906" i="3" s="1"/>
  <c r="CX835" i="3"/>
  <c r="CX838" i="3" s="1"/>
  <c r="CX906" i="3" s="1"/>
  <c r="CW835" i="3"/>
  <c r="CW838" i="3" s="1"/>
  <c r="CW906" i="3" s="1"/>
  <c r="CV835" i="3"/>
  <c r="CV838" i="3" s="1"/>
  <c r="CV906" i="3" s="1"/>
  <c r="CU835" i="3"/>
  <c r="CU838" i="3" s="1"/>
  <c r="CU906" i="3" s="1"/>
  <c r="CT835" i="3"/>
  <c r="CT838" i="3" s="1"/>
  <c r="CT906" i="3" s="1"/>
  <c r="CS835" i="3"/>
  <c r="CS838" i="3" s="1"/>
  <c r="CS906" i="3" s="1"/>
  <c r="CR835" i="3"/>
  <c r="CR838" i="3" s="1"/>
  <c r="CR906" i="3" s="1"/>
  <c r="CQ835" i="3"/>
  <c r="CQ838" i="3" s="1"/>
  <c r="CQ906" i="3" s="1"/>
  <c r="CP835" i="3"/>
  <c r="CP838" i="3" s="1"/>
  <c r="CP906" i="3" s="1"/>
  <c r="CO835" i="3"/>
  <c r="CO838" i="3" s="1"/>
  <c r="CO906" i="3" s="1"/>
  <c r="CN835" i="3"/>
  <c r="CN838" i="3" s="1"/>
  <c r="CN906" i="3" s="1"/>
  <c r="CM835" i="3"/>
  <c r="CM838" i="3" s="1"/>
  <c r="CM906" i="3" s="1"/>
  <c r="CL835" i="3"/>
  <c r="CL838" i="3" s="1"/>
  <c r="CL906" i="3" s="1"/>
  <c r="CK835" i="3"/>
  <c r="CK838" i="3" s="1"/>
  <c r="CK906" i="3" s="1"/>
  <c r="CJ835" i="3"/>
  <c r="CJ838" i="3" s="1"/>
  <c r="CJ906" i="3" s="1"/>
  <c r="CI835" i="3"/>
  <c r="CI838" i="3" s="1"/>
  <c r="CI906" i="3" s="1"/>
  <c r="CH835" i="3"/>
  <c r="CH838" i="3" s="1"/>
  <c r="CH906" i="3" s="1"/>
  <c r="CG835" i="3"/>
  <c r="CG838" i="3" s="1"/>
  <c r="CG906" i="3" s="1"/>
  <c r="CF835" i="3"/>
  <c r="CF838" i="3" s="1"/>
  <c r="CF906" i="3" s="1"/>
  <c r="CE835" i="3"/>
  <c r="CE838" i="3" s="1"/>
  <c r="CE906" i="3" s="1"/>
  <c r="CD835" i="3"/>
  <c r="CD838" i="3" s="1"/>
  <c r="CD906" i="3" s="1"/>
  <c r="CC835" i="3"/>
  <c r="CC838" i="3" s="1"/>
  <c r="CC906" i="3" s="1"/>
  <c r="CB835" i="3"/>
  <c r="CB838" i="3" s="1"/>
  <c r="CB906" i="3" s="1"/>
  <c r="BZ835" i="3"/>
  <c r="BZ838" i="3" s="1"/>
  <c r="BZ906" i="3" s="1"/>
  <c r="BY835" i="3"/>
  <c r="BY838" i="3" s="1"/>
  <c r="BY906" i="3" s="1"/>
  <c r="BX835" i="3"/>
  <c r="BX838" i="3" s="1"/>
  <c r="BX906" i="3" s="1"/>
  <c r="BW835" i="3"/>
  <c r="BW838" i="3" s="1"/>
  <c r="BW906" i="3" s="1"/>
  <c r="BV835" i="3"/>
  <c r="BV838" i="3" s="1"/>
  <c r="BV906" i="3" s="1"/>
  <c r="BU835" i="3"/>
  <c r="BU838" i="3" s="1"/>
  <c r="BU906" i="3" s="1"/>
  <c r="BT835" i="3"/>
  <c r="BT838" i="3" s="1"/>
  <c r="BT906" i="3" s="1"/>
  <c r="BS835" i="3"/>
  <c r="BS838" i="3" s="1"/>
  <c r="BS906" i="3" s="1"/>
  <c r="BR835" i="3"/>
  <c r="BR838" i="3" s="1"/>
  <c r="BR906" i="3" s="1"/>
  <c r="BQ835" i="3"/>
  <c r="BQ838" i="3" s="1"/>
  <c r="BQ906" i="3" s="1"/>
  <c r="BP835" i="3"/>
  <c r="BP838" i="3" s="1"/>
  <c r="BP906" i="3" s="1"/>
  <c r="BO835" i="3"/>
  <c r="BO838" i="3" s="1"/>
  <c r="BO906" i="3" s="1"/>
  <c r="BN835" i="3"/>
  <c r="BN838" i="3" s="1"/>
  <c r="BN906" i="3" s="1"/>
  <c r="BM835" i="3"/>
  <c r="BM838" i="3" s="1"/>
  <c r="BM906" i="3" s="1"/>
  <c r="BL835" i="3"/>
  <c r="BL838" i="3" s="1"/>
  <c r="BL906" i="3" s="1"/>
  <c r="BK835" i="3"/>
  <c r="BK838" i="3" s="1"/>
  <c r="BK906" i="3" s="1"/>
  <c r="BJ835" i="3"/>
  <c r="BJ838" i="3" s="1"/>
  <c r="BJ906" i="3" s="1"/>
  <c r="BI835" i="3"/>
  <c r="BI838" i="3" s="1"/>
  <c r="BI906" i="3" s="1"/>
  <c r="BH835" i="3"/>
  <c r="BH838" i="3" s="1"/>
  <c r="BH906" i="3" s="1"/>
  <c r="BG835" i="3"/>
  <c r="BG838" i="3" s="1"/>
  <c r="BG906" i="3" s="1"/>
  <c r="BF835" i="3"/>
  <c r="BF838" i="3" s="1"/>
  <c r="BF906" i="3" s="1"/>
  <c r="BE835" i="3"/>
  <c r="BE838" i="3" s="1"/>
  <c r="BE906" i="3" s="1"/>
  <c r="BD835" i="3"/>
  <c r="BD838" i="3" s="1"/>
  <c r="BD906" i="3" s="1"/>
  <c r="BC835" i="3"/>
  <c r="BC838" i="3" s="1"/>
  <c r="BC906" i="3" s="1"/>
  <c r="BB835" i="3"/>
  <c r="BB838" i="3" s="1"/>
  <c r="BB906" i="3" s="1"/>
  <c r="BA835" i="3"/>
  <c r="BA838" i="3" s="1"/>
  <c r="BA906" i="3" s="1"/>
  <c r="AZ835" i="3"/>
  <c r="AZ838" i="3" s="1"/>
  <c r="AZ906" i="3" s="1"/>
  <c r="AX835" i="3"/>
  <c r="AX838" i="3" s="1"/>
  <c r="AX906" i="3" s="1"/>
  <c r="AW835" i="3"/>
  <c r="AW838" i="3" s="1"/>
  <c r="AW906" i="3" s="1"/>
  <c r="AV835" i="3"/>
  <c r="AV838" i="3" s="1"/>
  <c r="AV906" i="3" s="1"/>
  <c r="AU835" i="3"/>
  <c r="AU838" i="3" s="1"/>
  <c r="AU906" i="3" s="1"/>
  <c r="AT835" i="3"/>
  <c r="AT838" i="3" s="1"/>
  <c r="AT906" i="3" s="1"/>
  <c r="AS835" i="3"/>
  <c r="AS838" i="3" s="1"/>
  <c r="AS906" i="3" s="1"/>
  <c r="AR835" i="3"/>
  <c r="AR838" i="3" s="1"/>
  <c r="AR906" i="3" s="1"/>
  <c r="AQ835" i="3"/>
  <c r="AQ838" i="3" s="1"/>
  <c r="AQ906" i="3" s="1"/>
  <c r="AP835" i="3"/>
  <c r="AP838" i="3" s="1"/>
  <c r="AP906" i="3" s="1"/>
  <c r="AO835" i="3"/>
  <c r="AO838" i="3" s="1"/>
  <c r="AO906" i="3" s="1"/>
  <c r="AN835" i="3"/>
  <c r="AN838" i="3" s="1"/>
  <c r="AN906" i="3" s="1"/>
  <c r="AM835" i="3"/>
  <c r="AM838" i="3" s="1"/>
  <c r="AM906" i="3" s="1"/>
  <c r="AL835" i="3"/>
  <c r="AL838" i="3" s="1"/>
  <c r="AL906" i="3" s="1"/>
  <c r="AK835" i="3"/>
  <c r="AK838" i="3" s="1"/>
  <c r="AK906" i="3" s="1"/>
  <c r="AJ835" i="3"/>
  <c r="AJ838" i="3" s="1"/>
  <c r="AJ906" i="3" s="1"/>
  <c r="AI835" i="3"/>
  <c r="AI838" i="3" s="1"/>
  <c r="AI906" i="3" s="1"/>
  <c r="AG835" i="3"/>
  <c r="AG838" i="3" s="1"/>
  <c r="AG906" i="3" s="1"/>
  <c r="AF835" i="3"/>
  <c r="AF838" i="3" s="1"/>
  <c r="AF906" i="3" s="1"/>
  <c r="AE835" i="3"/>
  <c r="AE838" i="3" s="1"/>
  <c r="AE906" i="3" s="1"/>
  <c r="AD835" i="3"/>
  <c r="AD838" i="3" s="1"/>
  <c r="AD906" i="3" s="1"/>
  <c r="AC835" i="3"/>
  <c r="AC838" i="3" s="1"/>
  <c r="AC906" i="3" s="1"/>
  <c r="AB835" i="3"/>
  <c r="AB838" i="3" s="1"/>
  <c r="AB906" i="3" s="1"/>
  <c r="AA835" i="3"/>
  <c r="AA838" i="3" s="1"/>
  <c r="AA906" i="3" s="1"/>
  <c r="Z835" i="3"/>
  <c r="Z838" i="3" s="1"/>
  <c r="Z906" i="3" s="1"/>
  <c r="Y835" i="3"/>
  <c r="Y838" i="3" s="1"/>
  <c r="Y906" i="3" s="1"/>
  <c r="X835" i="3"/>
  <c r="X838" i="3" s="1"/>
  <c r="X906" i="3" s="1"/>
  <c r="W835" i="3"/>
  <c r="W838" i="3" s="1"/>
  <c r="W906" i="3" s="1"/>
  <c r="V835" i="3"/>
  <c r="V838" i="3" s="1"/>
  <c r="V906" i="3" s="1"/>
  <c r="U835" i="3"/>
  <c r="U838" i="3" s="1"/>
  <c r="U906" i="3" s="1"/>
  <c r="T835" i="3"/>
  <c r="T838" i="3" s="1"/>
  <c r="T906" i="3" s="1"/>
  <c r="S835" i="3"/>
  <c r="S838" i="3" s="1"/>
  <c r="S906" i="3" s="1"/>
  <c r="R835" i="3"/>
  <c r="R838" i="3" s="1"/>
  <c r="R906" i="3" s="1"/>
  <c r="Q835" i="3"/>
  <c r="Q838" i="3" s="1"/>
  <c r="Q906" i="3" s="1"/>
  <c r="P835" i="3"/>
  <c r="P838" i="3" s="1"/>
  <c r="P906" i="3" s="1"/>
  <c r="O835" i="3"/>
  <c r="O838" i="3" s="1"/>
  <c r="O906" i="3" s="1"/>
  <c r="N835" i="3"/>
  <c r="N838" i="3" s="1"/>
  <c r="N906" i="3" s="1"/>
  <c r="M835" i="3"/>
  <c r="M838" i="3" s="1"/>
  <c r="M906" i="3" s="1"/>
  <c r="L835" i="3"/>
  <c r="L838" i="3" s="1"/>
  <c r="L906" i="3" s="1"/>
  <c r="K835" i="3"/>
  <c r="K838" i="3" s="1"/>
  <c r="K906" i="3" s="1"/>
  <c r="J835" i="3"/>
  <c r="J838" i="3" s="1"/>
  <c r="J906" i="3" s="1"/>
  <c r="I835" i="3"/>
  <c r="I838" i="3" s="1"/>
  <c r="I906" i="3" s="1"/>
  <c r="H835" i="3"/>
  <c r="H838" i="3" s="1"/>
  <c r="H906" i="3" s="1"/>
  <c r="G835" i="3"/>
  <c r="G838" i="3" s="1"/>
  <c r="G906" i="3" s="1"/>
  <c r="ED835" i="3"/>
  <c r="ED838" i="3" s="1"/>
  <c r="G833" i="3"/>
  <c r="BM8" i="57" l="1"/>
  <c r="HZ8" i="80"/>
  <c r="ED906" i="3"/>
  <c r="CN924" i="3"/>
  <c r="CN907" i="3"/>
  <c r="HO8" i="80"/>
  <c r="DS906" i="3"/>
  <c r="HP8" i="80"/>
  <c r="DT906" i="3"/>
  <c r="HQ8" i="80"/>
  <c r="DU906" i="3"/>
  <c r="HR8" i="80"/>
  <c r="DV906" i="3"/>
  <c r="HS8" i="80"/>
  <c r="DW906" i="3"/>
  <c r="HT8" i="80"/>
  <c r="DX906" i="3"/>
  <c r="HU8" i="80"/>
  <c r="DY906" i="3"/>
  <c r="HV8" i="80"/>
  <c r="DZ906" i="3"/>
  <c r="HW8" i="80"/>
  <c r="EA906" i="3"/>
  <c r="HX8" i="80"/>
  <c r="EB906" i="3"/>
  <c r="HY8" i="80"/>
  <c r="EC906" i="3"/>
  <c r="BN28" i="57"/>
  <c r="BM41" i="57"/>
  <c r="BP69" i="77"/>
  <c r="BN8" i="57" l="1"/>
  <c r="BN41" i="57"/>
  <c r="IA8" i="80"/>
  <c r="EE620" i="3"/>
  <c r="EE621" i="3"/>
  <c r="EE622" i="3"/>
  <c r="EE619" i="3"/>
  <c r="EE618" i="3"/>
  <c r="EE617" i="3"/>
  <c r="EE616" i="3"/>
  <c r="EE615" i="3"/>
  <c r="EE614" i="3"/>
  <c r="EE613" i="3"/>
  <c r="EE612" i="3"/>
  <c r="EE611" i="3"/>
  <c r="EE610" i="3"/>
  <c r="EE609" i="3"/>
  <c r="EE608" i="3"/>
  <c r="EE607" i="3"/>
  <c r="EE606" i="3"/>
  <c r="EE605" i="3"/>
  <c r="EE603" i="3"/>
  <c r="EE770" i="3"/>
  <c r="EE771" i="3"/>
  <c r="EE772" i="3"/>
  <c r="EE773" i="3"/>
  <c r="EE774" i="3"/>
  <c r="EE775" i="3"/>
  <c r="EE776" i="3"/>
  <c r="EE777" i="3"/>
  <c r="EE778" i="3"/>
  <c r="EE779" i="3"/>
  <c r="EE780" i="3"/>
  <c r="EE781" i="3"/>
  <c r="EE782" i="3"/>
  <c r="EE783" i="3"/>
  <c r="EE784" i="3"/>
  <c r="EE785" i="3"/>
  <c r="EE786" i="3"/>
  <c r="EE787" i="3"/>
  <c r="EE788" i="3"/>
  <c r="EE789" i="3"/>
  <c r="EE790" i="3"/>
  <c r="EE791" i="3"/>
  <c r="EE792" i="3"/>
  <c r="EE793" i="3"/>
  <c r="EE794" i="3"/>
  <c r="EE795" i="3"/>
  <c r="EE767" i="3"/>
  <c r="EE768" i="3"/>
  <c r="EE769" i="3"/>
  <c r="DS766" i="3"/>
  <c r="EE759" i="3"/>
  <c r="EE760" i="3"/>
  <c r="DS642" i="3"/>
  <c r="DS628" i="3"/>
  <c r="DS602" i="3"/>
  <c r="DS448" i="3"/>
  <c r="DS575" i="3"/>
  <c r="EE238" i="3"/>
  <c r="DS208" i="3"/>
  <c r="DT10" i="3"/>
  <c r="DU10" i="3"/>
  <c r="DV10" i="3"/>
  <c r="DW10" i="3"/>
  <c r="DX10" i="3"/>
  <c r="DY10" i="3"/>
  <c r="DZ10" i="3"/>
  <c r="EA10" i="3"/>
  <c r="EB10" i="3"/>
  <c r="EC10" i="3"/>
  <c r="ED10" i="3"/>
  <c r="EE283" i="3"/>
  <c r="ED163" i="3"/>
  <c r="DS882" i="3"/>
  <c r="DS875" i="3"/>
  <c r="DS855" i="3"/>
  <c r="DS840" i="3"/>
  <c r="DS853" i="3" s="1"/>
  <c r="DS797" i="3"/>
  <c r="DS810" i="3"/>
  <c r="DT745" i="3"/>
  <c r="DU745" i="3"/>
  <c r="DV745" i="3"/>
  <c r="DW745" i="3"/>
  <c r="DX745" i="3"/>
  <c r="DY745" i="3"/>
  <c r="DZ745" i="3"/>
  <c r="EA745" i="3"/>
  <c r="EB745" i="3"/>
  <c r="EC745" i="3"/>
  <c r="ED745" i="3"/>
  <c r="DS74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DS659" i="3"/>
  <c r="DS761" i="3" s="1"/>
  <c r="DS435" i="3"/>
  <c r="DS430" i="3"/>
  <c r="DS411" i="3"/>
  <c r="DS440" i="3"/>
  <c r="DS376" i="3"/>
  <c r="DS345" i="3"/>
  <c r="DS297" i="3"/>
  <c r="DS282" i="3"/>
  <c r="DS273" i="3"/>
  <c r="DT208" i="3"/>
  <c r="DU208" i="3"/>
  <c r="DV208" i="3"/>
  <c r="DW208" i="3"/>
  <c r="DX208" i="3"/>
  <c r="DY208" i="3"/>
  <c r="DZ208" i="3"/>
  <c r="EA208" i="3"/>
  <c r="EB208" i="3"/>
  <c r="EC208" i="3"/>
  <c r="ED208" i="3"/>
  <c r="DS163" i="3"/>
  <c r="DS10" i="3"/>
  <c r="CQ221" i="4"/>
  <c r="CQ222" i="4"/>
  <c r="CQ223" i="4"/>
  <c r="CQ224" i="4"/>
  <c r="CQ225" i="4"/>
  <c r="CQ226" i="4"/>
  <c r="CQ227" i="4"/>
  <c r="CQ197" i="4" s="1"/>
  <c r="CQ228" i="4"/>
  <c r="CU290" i="4"/>
  <c r="CT290" i="4"/>
  <c r="CS290" i="4"/>
  <c r="CR290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E310" i="4"/>
  <c r="CE304" i="4"/>
  <c r="CE300" i="4"/>
  <c r="CE295" i="4"/>
  <c r="CE280" i="4"/>
  <c r="CE270" i="4"/>
  <c r="CE288" i="4" s="1"/>
  <c r="CE254" i="4"/>
  <c r="CE236" i="4"/>
  <c r="CF197" i="4"/>
  <c r="CE197" i="4"/>
  <c r="CE171" i="4"/>
  <c r="CF157" i="4"/>
  <c r="CG157" i="4"/>
  <c r="CH157" i="4"/>
  <c r="CI157" i="4"/>
  <c r="CJ157" i="4"/>
  <c r="CK157" i="4"/>
  <c r="CL157" i="4"/>
  <c r="CM157" i="4"/>
  <c r="CN157" i="4"/>
  <c r="CO157" i="4"/>
  <c r="CP157" i="4"/>
  <c r="CE121" i="4"/>
  <c r="CF83" i="4"/>
  <c r="CG83" i="4"/>
  <c r="CH83" i="4"/>
  <c r="CI83" i="4"/>
  <c r="CJ83" i="4"/>
  <c r="CK83" i="4"/>
  <c r="CL83" i="4"/>
  <c r="CM83" i="4"/>
  <c r="CN83" i="4"/>
  <c r="CO83" i="4"/>
  <c r="CP83" i="4"/>
  <c r="CE83" i="4"/>
  <c r="CE72" i="4"/>
  <c r="CE7" i="4"/>
  <c r="CE119" i="4" s="1"/>
  <c r="CE356" i="4" s="1"/>
  <c r="CE153" i="4"/>
  <c r="EE401" i="3"/>
  <c r="EE402" i="3"/>
  <c r="EE403" i="3"/>
  <c r="EE404" i="3"/>
  <c r="EE405" i="3"/>
  <c r="EE406" i="3"/>
  <c r="EE407" i="3"/>
  <c r="DT376" i="3"/>
  <c r="DU376" i="3"/>
  <c r="DV376" i="3"/>
  <c r="DW376" i="3"/>
  <c r="DX376" i="3"/>
  <c r="DY376" i="3"/>
  <c r="DZ376" i="3"/>
  <c r="EA376" i="3"/>
  <c r="EB376" i="3"/>
  <c r="EC376" i="3"/>
  <c r="ED376" i="3"/>
  <c r="CQ79" i="4"/>
  <c r="CQ307" i="4"/>
  <c r="CQ332" i="4"/>
  <c r="EE877" i="3"/>
  <c r="EE890" i="3"/>
  <c r="EE889" i="3"/>
  <c r="EE888" i="3"/>
  <c r="EE887" i="3"/>
  <c r="EE886" i="3"/>
  <c r="EE885" i="3"/>
  <c r="EE884" i="3"/>
  <c r="EE883" i="3"/>
  <c r="EE882" i="3" s="1"/>
  <c r="EE881" i="3"/>
  <c r="EE880" i="3"/>
  <c r="EE879" i="3"/>
  <c r="EE878" i="3"/>
  <c r="EE876" i="3"/>
  <c r="EE875" i="3" s="1"/>
  <c r="EE874" i="3"/>
  <c r="EE873" i="3"/>
  <c r="EE872" i="3"/>
  <c r="EE871" i="3"/>
  <c r="EE870" i="3"/>
  <c r="EE868" i="3"/>
  <c r="EE867" i="3"/>
  <c r="EE865" i="3"/>
  <c r="EE864" i="3"/>
  <c r="EE863" i="3"/>
  <c r="EE862" i="3"/>
  <c r="EE861" i="3"/>
  <c r="EE860" i="3"/>
  <c r="EE859" i="3"/>
  <c r="EE858" i="3"/>
  <c r="EE852" i="3"/>
  <c r="EE851" i="3"/>
  <c r="EE847" i="3"/>
  <c r="EE846" i="3"/>
  <c r="EE845" i="3"/>
  <c r="EE844" i="3"/>
  <c r="EE843" i="3"/>
  <c r="EE842" i="3"/>
  <c r="EE841" i="3"/>
  <c r="EE840" i="3" s="1"/>
  <c r="EE832" i="3"/>
  <c r="EE831" i="3"/>
  <c r="EE828" i="3"/>
  <c r="EE827" i="3"/>
  <c r="EE824" i="3"/>
  <c r="EE823" i="3"/>
  <c r="EE822" i="3"/>
  <c r="EE821" i="3"/>
  <c r="EE809" i="3"/>
  <c r="EE808" i="3"/>
  <c r="EE807" i="3"/>
  <c r="EE806" i="3"/>
  <c r="EE805" i="3"/>
  <c r="EE804" i="3"/>
  <c r="EE803" i="3"/>
  <c r="EE802" i="3"/>
  <c r="EE801" i="3"/>
  <c r="EE800" i="3"/>
  <c r="EE799" i="3"/>
  <c r="EE798" i="3"/>
  <c r="EE758" i="3"/>
  <c r="EE757" i="3"/>
  <c r="EE756" i="3"/>
  <c r="EE755" i="3"/>
  <c r="EE754" i="3"/>
  <c r="EE753" i="3"/>
  <c r="EE752" i="3"/>
  <c r="EE751" i="3"/>
  <c r="EE750" i="3"/>
  <c r="EE749" i="3"/>
  <c r="EE748" i="3"/>
  <c r="EE747" i="3"/>
  <c r="EE746" i="3"/>
  <c r="EE744" i="3"/>
  <c r="EE743" i="3"/>
  <c r="EE742" i="3"/>
  <c r="EE741" i="3"/>
  <c r="EE740" i="3"/>
  <c r="EE739" i="3"/>
  <c r="EE738" i="3"/>
  <c r="EE737" i="3"/>
  <c r="EE736" i="3"/>
  <c r="EE735" i="3"/>
  <c r="EE734" i="3"/>
  <c r="EE733" i="3"/>
  <c r="EE732" i="3"/>
  <c r="EE731" i="3"/>
  <c r="EE730" i="3"/>
  <c r="EE729" i="3"/>
  <c r="EE728" i="3"/>
  <c r="EE727" i="3"/>
  <c r="EE726" i="3"/>
  <c r="EE724" i="3"/>
  <c r="EE723" i="3"/>
  <c r="EE722" i="3"/>
  <c r="EE721" i="3"/>
  <c r="EE720" i="3"/>
  <c r="EE719" i="3"/>
  <c r="EE718" i="3"/>
  <c r="EE717" i="3"/>
  <c r="EE716" i="3"/>
  <c r="EE715" i="3"/>
  <c r="EE714" i="3"/>
  <c r="EE713" i="3"/>
  <c r="EE712" i="3"/>
  <c r="EE711" i="3"/>
  <c r="EE710" i="3"/>
  <c r="EE709" i="3"/>
  <c r="EE708" i="3"/>
  <c r="EE707" i="3"/>
  <c r="EE706" i="3"/>
  <c r="EE705" i="3"/>
  <c r="EE704" i="3"/>
  <c r="EE703" i="3"/>
  <c r="EE702" i="3"/>
  <c r="EE701" i="3"/>
  <c r="EE700" i="3"/>
  <c r="EE699" i="3"/>
  <c r="EE698" i="3"/>
  <c r="EE697" i="3"/>
  <c r="EE696" i="3"/>
  <c r="EE695" i="3"/>
  <c r="EE694" i="3"/>
  <c r="EE693" i="3"/>
  <c r="EE692" i="3"/>
  <c r="EE691" i="3"/>
  <c r="EE690" i="3"/>
  <c r="EE689" i="3"/>
  <c r="EE688" i="3"/>
  <c r="EE687" i="3"/>
  <c r="EE686" i="3"/>
  <c r="EE685" i="3"/>
  <c r="EE684" i="3"/>
  <c r="EE683" i="3"/>
  <c r="EE682" i="3"/>
  <c r="EE681" i="3"/>
  <c r="EE680" i="3"/>
  <c r="EE679" i="3"/>
  <c r="EE678" i="3"/>
  <c r="EE677" i="3"/>
  <c r="EE676" i="3"/>
  <c r="EE675" i="3"/>
  <c r="EE674" i="3"/>
  <c r="EE673" i="3"/>
  <c r="EE672" i="3"/>
  <c r="EE671" i="3"/>
  <c r="EE670" i="3"/>
  <c r="EE669" i="3"/>
  <c r="EE668" i="3"/>
  <c r="EE667" i="3"/>
  <c r="EE666" i="3"/>
  <c r="EE665" i="3"/>
  <c r="EE664" i="3"/>
  <c r="EE663" i="3"/>
  <c r="EE662" i="3"/>
  <c r="EE661" i="3"/>
  <c r="EE660" i="3"/>
  <c r="EE654" i="3"/>
  <c r="EE653" i="3"/>
  <c r="EE652" i="3"/>
  <c r="EE651" i="3"/>
  <c r="EE649" i="3"/>
  <c r="EE648" i="3"/>
  <c r="EE647" i="3"/>
  <c r="EE646" i="3"/>
  <c r="EE645" i="3"/>
  <c r="EE644" i="3"/>
  <c r="EE643" i="3"/>
  <c r="EE641" i="3"/>
  <c r="EE640" i="3"/>
  <c r="EE639" i="3"/>
  <c r="EE638" i="3"/>
  <c r="EE637" i="3"/>
  <c r="EE636" i="3"/>
  <c r="EE635" i="3"/>
  <c r="EE634" i="3"/>
  <c r="EE633" i="3"/>
  <c r="EE632" i="3"/>
  <c r="EE631" i="3"/>
  <c r="EE630" i="3"/>
  <c r="EE629" i="3"/>
  <c r="EE623" i="3"/>
  <c r="EE604" i="3"/>
  <c r="EE601" i="3"/>
  <c r="EE600" i="3"/>
  <c r="EE599" i="3"/>
  <c r="EE598" i="3"/>
  <c r="EE597" i="3"/>
  <c r="EE596" i="3"/>
  <c r="EE595" i="3"/>
  <c r="EE594" i="3"/>
  <c r="EE593" i="3"/>
  <c r="EE592" i="3"/>
  <c r="EE591" i="3"/>
  <c r="EE590" i="3"/>
  <c r="EE589" i="3"/>
  <c r="EE588" i="3"/>
  <c r="EE587" i="3"/>
  <c r="EE586" i="3"/>
  <c r="EE585" i="3"/>
  <c r="EE584" i="3"/>
  <c r="EE583" i="3"/>
  <c r="EE582" i="3"/>
  <c r="EE581" i="3"/>
  <c r="EE580" i="3"/>
  <c r="EE579" i="3"/>
  <c r="EE578" i="3"/>
  <c r="EE577" i="3"/>
  <c r="EE576" i="3"/>
  <c r="EE574" i="3"/>
  <c r="EE573" i="3"/>
  <c r="EE572" i="3"/>
  <c r="EE571" i="3"/>
  <c r="EE570" i="3"/>
  <c r="EE569" i="3"/>
  <c r="EE568" i="3"/>
  <c r="EE567" i="3"/>
  <c r="EE566" i="3"/>
  <c r="EE565" i="3"/>
  <c r="EE564" i="3"/>
  <c r="EE563" i="3"/>
  <c r="EE562" i="3"/>
  <c r="EE561" i="3"/>
  <c r="EE560" i="3"/>
  <c r="EE559" i="3"/>
  <c r="EE558" i="3"/>
  <c r="EE557" i="3"/>
  <c r="EE556" i="3"/>
  <c r="EE555" i="3"/>
  <c r="EE554" i="3"/>
  <c r="EE553" i="3"/>
  <c r="EE552" i="3"/>
  <c r="EE551" i="3"/>
  <c r="EE550" i="3"/>
  <c r="EE549" i="3"/>
  <c r="EE548" i="3"/>
  <c r="EE547" i="3"/>
  <c r="EE546" i="3"/>
  <c r="EE545" i="3"/>
  <c r="EE544" i="3"/>
  <c r="EE543" i="3"/>
  <c r="EE542" i="3"/>
  <c r="EE541" i="3"/>
  <c r="EE540" i="3"/>
  <c r="EE539" i="3"/>
  <c r="EE538" i="3"/>
  <c r="EE537" i="3"/>
  <c r="EE536" i="3"/>
  <c r="EE535" i="3"/>
  <c r="EE534" i="3"/>
  <c r="EE533" i="3"/>
  <c r="EE532" i="3"/>
  <c r="EE531" i="3"/>
  <c r="EE530" i="3"/>
  <c r="EE529" i="3"/>
  <c r="EE528" i="3"/>
  <c r="EE527" i="3"/>
  <c r="EE526" i="3"/>
  <c r="EE525" i="3"/>
  <c r="EE524" i="3"/>
  <c r="EE523" i="3"/>
  <c r="EE522" i="3"/>
  <c r="EE521" i="3"/>
  <c r="EE520" i="3"/>
  <c r="EE519" i="3"/>
  <c r="EE518" i="3"/>
  <c r="EE517" i="3"/>
  <c r="EE516" i="3"/>
  <c r="EE515" i="3"/>
  <c r="EE514" i="3"/>
  <c r="EE513" i="3"/>
  <c r="EE512" i="3"/>
  <c r="EE511" i="3"/>
  <c r="EE510" i="3"/>
  <c r="EE509" i="3"/>
  <c r="EE508" i="3"/>
  <c r="EE507" i="3"/>
  <c r="EE506" i="3"/>
  <c r="EE505" i="3"/>
  <c r="EE504" i="3"/>
  <c r="EE503" i="3"/>
  <c r="EE502" i="3"/>
  <c r="EE501" i="3"/>
  <c r="EE500" i="3"/>
  <c r="EE499" i="3"/>
  <c r="EE498" i="3"/>
  <c r="EE497" i="3"/>
  <c r="EE496" i="3"/>
  <c r="EE495" i="3"/>
  <c r="EE494" i="3"/>
  <c r="EE493" i="3"/>
  <c r="EE492" i="3"/>
  <c r="EE491" i="3"/>
  <c r="EE490" i="3"/>
  <c r="EE489" i="3"/>
  <c r="EE488" i="3"/>
  <c r="EE487" i="3"/>
  <c r="EE486" i="3"/>
  <c r="EE485" i="3"/>
  <c r="EE484" i="3"/>
  <c r="EE483" i="3"/>
  <c r="EE482" i="3"/>
  <c r="EE481" i="3"/>
  <c r="EE480" i="3"/>
  <c r="EE479" i="3"/>
  <c r="EE478" i="3"/>
  <c r="EE477" i="3"/>
  <c r="EE476" i="3"/>
  <c r="EE475" i="3"/>
  <c r="EE474" i="3"/>
  <c r="EE473" i="3"/>
  <c r="EE472" i="3"/>
  <c r="EE471" i="3"/>
  <c r="EE470" i="3"/>
  <c r="EE469" i="3"/>
  <c r="EE468" i="3"/>
  <c r="EE467" i="3"/>
  <c r="EE466" i="3"/>
  <c r="EE465" i="3"/>
  <c r="EE464" i="3"/>
  <c r="EE463" i="3"/>
  <c r="EE462" i="3"/>
  <c r="EE461" i="3"/>
  <c r="EE460" i="3"/>
  <c r="EE459" i="3"/>
  <c r="EE458" i="3"/>
  <c r="EE457" i="3"/>
  <c r="EE456" i="3"/>
  <c r="EE455" i="3"/>
  <c r="EE454" i="3"/>
  <c r="EE453" i="3"/>
  <c r="EE452" i="3"/>
  <c r="EE451" i="3"/>
  <c r="EE450" i="3"/>
  <c r="EE449" i="3"/>
  <c r="EE439" i="3"/>
  <c r="EE438" i="3"/>
  <c r="EE432" i="3"/>
  <c r="EE428" i="3"/>
  <c r="EE427" i="3"/>
  <c r="EE424" i="3"/>
  <c r="EE421" i="3"/>
  <c r="EE420" i="3"/>
  <c r="EE418" i="3"/>
  <c r="EE414" i="3"/>
  <c r="EE408" i="3"/>
  <c r="EE400" i="3"/>
  <c r="EE399" i="3"/>
  <c r="EE398" i="3"/>
  <c r="EE397" i="3"/>
  <c r="EE396" i="3"/>
  <c r="EE395" i="3"/>
  <c r="EE394" i="3"/>
  <c r="EE393" i="3"/>
  <c r="EE392" i="3"/>
  <c r="EE391" i="3"/>
  <c r="EE390" i="3"/>
  <c r="EE389" i="3"/>
  <c r="EE388" i="3"/>
  <c r="EE387" i="3"/>
  <c r="EE386" i="3"/>
  <c r="EE385" i="3"/>
  <c r="EE384" i="3"/>
  <c r="EE383" i="3"/>
  <c r="EE382" i="3"/>
  <c r="EE381" i="3"/>
  <c r="EE380" i="3"/>
  <c r="EE379" i="3"/>
  <c r="EE378" i="3"/>
  <c r="EE377" i="3"/>
  <c r="EE375" i="3"/>
  <c r="EE374" i="3"/>
  <c r="EE373" i="3"/>
  <c r="EE372" i="3"/>
  <c r="EE371" i="3"/>
  <c r="EE370" i="3"/>
  <c r="EE369" i="3"/>
  <c r="EE368" i="3"/>
  <c r="EE367" i="3"/>
  <c r="EE366" i="3"/>
  <c r="EE365" i="3"/>
  <c r="EE364" i="3"/>
  <c r="EE363" i="3"/>
  <c r="EE362" i="3"/>
  <c r="EE361" i="3"/>
  <c r="EE360" i="3"/>
  <c r="EE359" i="3"/>
  <c r="EE358" i="3"/>
  <c r="EE357" i="3"/>
  <c r="EE356" i="3"/>
  <c r="EE355" i="3"/>
  <c r="EE354" i="3"/>
  <c r="EE353" i="3"/>
  <c r="EE352" i="3"/>
  <c r="EE351" i="3"/>
  <c r="EE350" i="3"/>
  <c r="EE349" i="3"/>
  <c r="EE348" i="3"/>
  <c r="EE347" i="3"/>
  <c r="EE346" i="3"/>
  <c r="EE344" i="3"/>
  <c r="EE343" i="3"/>
  <c r="EE342" i="3"/>
  <c r="EE341" i="3"/>
  <c r="EE340" i="3"/>
  <c r="EE339" i="3"/>
  <c r="EE338" i="3"/>
  <c r="EE337" i="3"/>
  <c r="EE336" i="3"/>
  <c r="EE335" i="3"/>
  <c r="EE334" i="3"/>
  <c r="EE333" i="3"/>
  <c r="EE332" i="3"/>
  <c r="EE331" i="3"/>
  <c r="EE330" i="3"/>
  <c r="EE329" i="3"/>
  <c r="EE328" i="3"/>
  <c r="EE327" i="3"/>
  <c r="EE326" i="3"/>
  <c r="EE325" i="3"/>
  <c r="EE324" i="3"/>
  <c r="EE323" i="3"/>
  <c r="EE322" i="3"/>
  <c r="EE321" i="3"/>
  <c r="EE320" i="3"/>
  <c r="EE319" i="3"/>
  <c r="EE318" i="3"/>
  <c r="EE317" i="3"/>
  <c r="EE316" i="3"/>
  <c r="EE315" i="3"/>
  <c r="EE314" i="3"/>
  <c r="EE313" i="3"/>
  <c r="EE312" i="3"/>
  <c r="EE311" i="3"/>
  <c r="EE310" i="3"/>
  <c r="EE309" i="3"/>
  <c r="EE308" i="3"/>
  <c r="EE307" i="3"/>
  <c r="EE306" i="3"/>
  <c r="EE305" i="3"/>
  <c r="EE304" i="3"/>
  <c r="EE303" i="3"/>
  <c r="EE302" i="3"/>
  <c r="EE301" i="3"/>
  <c r="EE300" i="3"/>
  <c r="EE299" i="3"/>
  <c r="EE298" i="3"/>
  <c r="EE294" i="3"/>
  <c r="EE293" i="3"/>
  <c r="EE292" i="3"/>
  <c r="EE291" i="3"/>
  <c r="EE290" i="3"/>
  <c r="EE289" i="3"/>
  <c r="EE288" i="3"/>
  <c r="EE287" i="3"/>
  <c r="EE286" i="3"/>
  <c r="EE285" i="3"/>
  <c r="EE284" i="3"/>
  <c r="EE281" i="3"/>
  <c r="EE280" i="3"/>
  <c r="EE279" i="3"/>
  <c r="EE278" i="3"/>
  <c r="EE277" i="3"/>
  <c r="EE276" i="3"/>
  <c r="EE275" i="3"/>
  <c r="EE274" i="3"/>
  <c r="EE244" i="3"/>
  <c r="EE245" i="3"/>
  <c r="EE246" i="3"/>
  <c r="EE249" i="3"/>
  <c r="EE250" i="3"/>
  <c r="EE251" i="3"/>
  <c r="EE252" i="3"/>
  <c r="EE253" i="3"/>
  <c r="EE254" i="3"/>
  <c r="EE255" i="3"/>
  <c r="EE256" i="3"/>
  <c r="EE257" i="3"/>
  <c r="EE258" i="3"/>
  <c r="EE259" i="3"/>
  <c r="EE260" i="3"/>
  <c r="EE262" i="3"/>
  <c r="EE263" i="3"/>
  <c r="EE264" i="3"/>
  <c r="EE265" i="3"/>
  <c r="EE266" i="3"/>
  <c r="EE267" i="3"/>
  <c r="EE268" i="3"/>
  <c r="EE269" i="3"/>
  <c r="EE270" i="3"/>
  <c r="EE271" i="3"/>
  <c r="EE272" i="3"/>
  <c r="EE243" i="3"/>
  <c r="EE11" i="3"/>
  <c r="EE162" i="3"/>
  <c r="EE161" i="3"/>
  <c r="EF161" i="3" s="1"/>
  <c r="EG161" i="3" s="1"/>
  <c r="EH161" i="3" s="1"/>
  <c r="EI161" i="3" s="1"/>
  <c r="EE160" i="3"/>
  <c r="EE159" i="3"/>
  <c r="EF159" i="3" s="1"/>
  <c r="EG159" i="3" s="1"/>
  <c r="EH159" i="3" s="1"/>
  <c r="EI159" i="3" s="1"/>
  <c r="EE158" i="3"/>
  <c r="EF158" i="3" s="1"/>
  <c r="EG158" i="3" s="1"/>
  <c r="EH158" i="3" s="1"/>
  <c r="EI158" i="3" s="1"/>
  <c r="EE157" i="3"/>
  <c r="EE156" i="3"/>
  <c r="EE155" i="3"/>
  <c r="EE154" i="3"/>
  <c r="EF154" i="3" s="1"/>
  <c r="EG154" i="3" s="1"/>
  <c r="EH154" i="3" s="1"/>
  <c r="EI154" i="3" s="1"/>
  <c r="EE153" i="3"/>
  <c r="EF153" i="3" s="1"/>
  <c r="EG153" i="3" s="1"/>
  <c r="EH153" i="3" s="1"/>
  <c r="EI153" i="3" s="1"/>
  <c r="EE152" i="3"/>
  <c r="EE151" i="3"/>
  <c r="EF151" i="3" s="1"/>
  <c r="EG151" i="3" s="1"/>
  <c r="EH151" i="3" s="1"/>
  <c r="EI151" i="3" s="1"/>
  <c r="EE150" i="3"/>
  <c r="EE149" i="3"/>
  <c r="EE148" i="3"/>
  <c r="EE147" i="3"/>
  <c r="EE146" i="3"/>
  <c r="EE145" i="3"/>
  <c r="EF145" i="3" s="1"/>
  <c r="EG145" i="3" s="1"/>
  <c r="EH145" i="3" s="1"/>
  <c r="EI145" i="3" s="1"/>
  <c r="EE144" i="3"/>
  <c r="EE143" i="3"/>
  <c r="EF143" i="3" s="1"/>
  <c r="EG143" i="3" s="1"/>
  <c r="EH143" i="3" s="1"/>
  <c r="EI143" i="3" s="1"/>
  <c r="EE142" i="3"/>
  <c r="EF142" i="3" s="1"/>
  <c r="EG142" i="3" s="1"/>
  <c r="EH142" i="3" s="1"/>
  <c r="EI142" i="3" s="1"/>
  <c r="EE141" i="3"/>
  <c r="EE140" i="3"/>
  <c r="EE139" i="3"/>
  <c r="EE138" i="3"/>
  <c r="EF138" i="3" s="1"/>
  <c r="EG138" i="3" s="1"/>
  <c r="EH138" i="3" s="1"/>
  <c r="EI138" i="3" s="1"/>
  <c r="EE137" i="3"/>
  <c r="EF137" i="3" s="1"/>
  <c r="EG137" i="3" s="1"/>
  <c r="EH137" i="3" s="1"/>
  <c r="EI137" i="3" s="1"/>
  <c r="EE136" i="3"/>
  <c r="EE135" i="3"/>
  <c r="EF135" i="3" s="1"/>
  <c r="EG135" i="3" s="1"/>
  <c r="EH135" i="3" s="1"/>
  <c r="EI135" i="3" s="1"/>
  <c r="EE134" i="3"/>
  <c r="EE133" i="3"/>
  <c r="EF133" i="3" s="1"/>
  <c r="EG133" i="3" s="1"/>
  <c r="EH133" i="3" s="1"/>
  <c r="EI133" i="3" s="1"/>
  <c r="EE132" i="3"/>
  <c r="EE131" i="3"/>
  <c r="EE130" i="3"/>
  <c r="EF130" i="3" s="1"/>
  <c r="EG130" i="3" s="1"/>
  <c r="EH130" i="3" s="1"/>
  <c r="EI130" i="3" s="1"/>
  <c r="EE129" i="3"/>
  <c r="EF129" i="3" s="1"/>
  <c r="EG129" i="3" s="1"/>
  <c r="EH129" i="3" s="1"/>
  <c r="EI129" i="3" s="1"/>
  <c r="EE128" i="3"/>
  <c r="EE127" i="3"/>
  <c r="EF127" i="3" s="1"/>
  <c r="EG127" i="3" s="1"/>
  <c r="EH127" i="3" s="1"/>
  <c r="EI127" i="3" s="1"/>
  <c r="EE126" i="3"/>
  <c r="EF126" i="3" s="1"/>
  <c r="EG126" i="3" s="1"/>
  <c r="EH126" i="3" s="1"/>
  <c r="EI126" i="3" s="1"/>
  <c r="EE125" i="3"/>
  <c r="EF125" i="3" s="1"/>
  <c r="EG125" i="3" s="1"/>
  <c r="EH125" i="3" s="1"/>
  <c r="EI125" i="3" s="1"/>
  <c r="EE124" i="3"/>
  <c r="EE123" i="3"/>
  <c r="EE122" i="3"/>
  <c r="EE121" i="3"/>
  <c r="EF121" i="3" s="1"/>
  <c r="EG121" i="3" s="1"/>
  <c r="EH121" i="3" s="1"/>
  <c r="EI121" i="3" s="1"/>
  <c r="EE120" i="3"/>
  <c r="EE119" i="3"/>
  <c r="EF119" i="3" s="1"/>
  <c r="EG119" i="3" s="1"/>
  <c r="EH119" i="3" s="1"/>
  <c r="EI119" i="3" s="1"/>
  <c r="EE118" i="3"/>
  <c r="EF118" i="3" s="1"/>
  <c r="EG118" i="3" s="1"/>
  <c r="EH118" i="3" s="1"/>
  <c r="EI118" i="3" s="1"/>
  <c r="EE117" i="3"/>
  <c r="EF117" i="3" s="1"/>
  <c r="EG117" i="3" s="1"/>
  <c r="EH117" i="3" s="1"/>
  <c r="EI117" i="3" s="1"/>
  <c r="EE116" i="3"/>
  <c r="EE115" i="3"/>
  <c r="EE114" i="3"/>
  <c r="EF114" i="3" s="1"/>
  <c r="EG114" i="3" s="1"/>
  <c r="EH114" i="3" s="1"/>
  <c r="EI114" i="3" s="1"/>
  <c r="EE113" i="3"/>
  <c r="EF113" i="3" s="1"/>
  <c r="EG113" i="3" s="1"/>
  <c r="EH113" i="3" s="1"/>
  <c r="EI113" i="3" s="1"/>
  <c r="EE112" i="3"/>
  <c r="EE111" i="3"/>
  <c r="EF111" i="3" s="1"/>
  <c r="EG111" i="3" s="1"/>
  <c r="EH111" i="3" s="1"/>
  <c r="EI111" i="3" s="1"/>
  <c r="EE110" i="3"/>
  <c r="EF110" i="3" s="1"/>
  <c r="EG110" i="3" s="1"/>
  <c r="EH110" i="3" s="1"/>
  <c r="EI110" i="3" s="1"/>
  <c r="EE109" i="3"/>
  <c r="EF109" i="3" s="1"/>
  <c r="EG109" i="3" s="1"/>
  <c r="EH109" i="3" s="1"/>
  <c r="EI109" i="3" s="1"/>
  <c r="EE108" i="3"/>
  <c r="EE107" i="3"/>
  <c r="EE106" i="3"/>
  <c r="EF106" i="3" s="1"/>
  <c r="EG106" i="3" s="1"/>
  <c r="EH106" i="3" s="1"/>
  <c r="EI106" i="3" s="1"/>
  <c r="EE105" i="3"/>
  <c r="EF105" i="3" s="1"/>
  <c r="EG105" i="3" s="1"/>
  <c r="EH105" i="3" s="1"/>
  <c r="EI105" i="3" s="1"/>
  <c r="EE104" i="3"/>
  <c r="EE103" i="3"/>
  <c r="EF103" i="3" s="1"/>
  <c r="EG103" i="3" s="1"/>
  <c r="EH103" i="3" s="1"/>
  <c r="EI103" i="3" s="1"/>
  <c r="EE102" i="3"/>
  <c r="EE101" i="3"/>
  <c r="EF101" i="3" s="1"/>
  <c r="EG101" i="3" s="1"/>
  <c r="EH101" i="3" s="1"/>
  <c r="EI101" i="3" s="1"/>
  <c r="EE100" i="3"/>
  <c r="EE99" i="3"/>
  <c r="EE98" i="3"/>
  <c r="EF98" i="3" s="1"/>
  <c r="EG98" i="3" s="1"/>
  <c r="EH98" i="3" s="1"/>
  <c r="EI98" i="3" s="1"/>
  <c r="EE97" i="3"/>
  <c r="EF97" i="3" s="1"/>
  <c r="EG97" i="3" s="1"/>
  <c r="EH97" i="3" s="1"/>
  <c r="EI97" i="3" s="1"/>
  <c r="EE96" i="3"/>
  <c r="EE95" i="3"/>
  <c r="EF95" i="3" s="1"/>
  <c r="EG95" i="3" s="1"/>
  <c r="EH95" i="3" s="1"/>
  <c r="EI95" i="3" s="1"/>
  <c r="EE94" i="3"/>
  <c r="EF94" i="3" s="1"/>
  <c r="EG94" i="3" s="1"/>
  <c r="EH94" i="3" s="1"/>
  <c r="EI94" i="3" s="1"/>
  <c r="EE93" i="3"/>
  <c r="EF93" i="3" s="1"/>
  <c r="EG93" i="3" s="1"/>
  <c r="EH93" i="3" s="1"/>
  <c r="EI93" i="3" s="1"/>
  <c r="EE92" i="3"/>
  <c r="EE91" i="3"/>
  <c r="EE90" i="3"/>
  <c r="EE89" i="3"/>
  <c r="EF89" i="3" s="1"/>
  <c r="EG89" i="3" s="1"/>
  <c r="EH89" i="3" s="1"/>
  <c r="EI89" i="3" s="1"/>
  <c r="EE88" i="3"/>
  <c r="EE87" i="3"/>
  <c r="EF87" i="3" s="1"/>
  <c r="EG87" i="3" s="1"/>
  <c r="EH87" i="3" s="1"/>
  <c r="EI87" i="3" s="1"/>
  <c r="EE86" i="3"/>
  <c r="EF86" i="3" s="1"/>
  <c r="EG86" i="3" s="1"/>
  <c r="EH86" i="3" s="1"/>
  <c r="EI86" i="3" s="1"/>
  <c r="EE85" i="3"/>
  <c r="EF85" i="3" s="1"/>
  <c r="EG85" i="3" s="1"/>
  <c r="EH85" i="3" s="1"/>
  <c r="EI85" i="3" s="1"/>
  <c r="EE84" i="3"/>
  <c r="EE83" i="3"/>
  <c r="EE82" i="3"/>
  <c r="EF82" i="3" s="1"/>
  <c r="EG82" i="3" s="1"/>
  <c r="EH82" i="3" s="1"/>
  <c r="EI82" i="3" s="1"/>
  <c r="EE81" i="3"/>
  <c r="EF81" i="3" s="1"/>
  <c r="EG81" i="3" s="1"/>
  <c r="EH81" i="3" s="1"/>
  <c r="EI81" i="3" s="1"/>
  <c r="EE80" i="3"/>
  <c r="EE79" i="3"/>
  <c r="EF79" i="3" s="1"/>
  <c r="EG79" i="3" s="1"/>
  <c r="EH79" i="3" s="1"/>
  <c r="EI79" i="3" s="1"/>
  <c r="EE78" i="3"/>
  <c r="EF78" i="3" s="1"/>
  <c r="EG78" i="3" s="1"/>
  <c r="EH78" i="3" s="1"/>
  <c r="EI78" i="3" s="1"/>
  <c r="EE77" i="3"/>
  <c r="EF77" i="3" s="1"/>
  <c r="EG77" i="3" s="1"/>
  <c r="EH77" i="3" s="1"/>
  <c r="EI77" i="3" s="1"/>
  <c r="EE76" i="3"/>
  <c r="EE75" i="3"/>
  <c r="EE74" i="3"/>
  <c r="EF74" i="3" s="1"/>
  <c r="EG74" i="3" s="1"/>
  <c r="EH74" i="3" s="1"/>
  <c r="EI74" i="3" s="1"/>
  <c r="EE73" i="3"/>
  <c r="EF73" i="3" s="1"/>
  <c r="EG73" i="3" s="1"/>
  <c r="EH73" i="3" s="1"/>
  <c r="EI73" i="3" s="1"/>
  <c r="EE72" i="3"/>
  <c r="EE71" i="3"/>
  <c r="EF71" i="3" s="1"/>
  <c r="EG71" i="3" s="1"/>
  <c r="EH71" i="3" s="1"/>
  <c r="EI71" i="3" s="1"/>
  <c r="EE70" i="3"/>
  <c r="EE69" i="3"/>
  <c r="EF69" i="3" s="1"/>
  <c r="EG69" i="3" s="1"/>
  <c r="EH69" i="3" s="1"/>
  <c r="EI69" i="3" s="1"/>
  <c r="EE68" i="3"/>
  <c r="EE67" i="3"/>
  <c r="EE66" i="3"/>
  <c r="EF66" i="3" s="1"/>
  <c r="EG66" i="3" s="1"/>
  <c r="EH66" i="3" s="1"/>
  <c r="EI66" i="3" s="1"/>
  <c r="EE65" i="3"/>
  <c r="EF65" i="3" s="1"/>
  <c r="EG65" i="3" s="1"/>
  <c r="EH65" i="3" s="1"/>
  <c r="EI65" i="3" s="1"/>
  <c r="EE64" i="3"/>
  <c r="EE63" i="3"/>
  <c r="EF63" i="3" s="1"/>
  <c r="EG63" i="3" s="1"/>
  <c r="EE62" i="3"/>
  <c r="EF62" i="3" s="1"/>
  <c r="EG62" i="3" s="1"/>
  <c r="EH62" i="3" s="1"/>
  <c r="EI62" i="3" s="1"/>
  <c r="EE61" i="3"/>
  <c r="EF61" i="3" s="1"/>
  <c r="EG61" i="3" s="1"/>
  <c r="EH61" i="3" s="1"/>
  <c r="EI61" i="3" s="1"/>
  <c r="EE60" i="3"/>
  <c r="EE59" i="3"/>
  <c r="EE58" i="3"/>
  <c r="EE57" i="3"/>
  <c r="EF57" i="3" s="1"/>
  <c r="EG57" i="3" s="1"/>
  <c r="EH57" i="3" s="1"/>
  <c r="EI57" i="3" s="1"/>
  <c r="EE56" i="3"/>
  <c r="EE55" i="3"/>
  <c r="EF55" i="3" s="1"/>
  <c r="EG55" i="3" s="1"/>
  <c r="EH55" i="3" s="1"/>
  <c r="EI55" i="3" s="1"/>
  <c r="EE54" i="3"/>
  <c r="EF54" i="3" s="1"/>
  <c r="EG54" i="3" s="1"/>
  <c r="EH54" i="3" s="1"/>
  <c r="EI54" i="3" s="1"/>
  <c r="EE53" i="3"/>
  <c r="EF53" i="3" s="1"/>
  <c r="EG53" i="3" s="1"/>
  <c r="EH53" i="3" s="1"/>
  <c r="EI53" i="3" s="1"/>
  <c r="EE52" i="3"/>
  <c r="EE51" i="3"/>
  <c r="EE50" i="3"/>
  <c r="EF50" i="3" s="1"/>
  <c r="EG50" i="3" s="1"/>
  <c r="EH50" i="3" s="1"/>
  <c r="EI50" i="3" s="1"/>
  <c r="EE49" i="3"/>
  <c r="EF49" i="3" s="1"/>
  <c r="EG49" i="3" s="1"/>
  <c r="EH49" i="3" s="1"/>
  <c r="EI49" i="3" s="1"/>
  <c r="EE48" i="3"/>
  <c r="EE47" i="3"/>
  <c r="EF47" i="3" s="1"/>
  <c r="EG47" i="3" s="1"/>
  <c r="EH47" i="3" s="1"/>
  <c r="EI47" i="3" s="1"/>
  <c r="EE46" i="3"/>
  <c r="EF46" i="3" s="1"/>
  <c r="EG46" i="3" s="1"/>
  <c r="EH46" i="3" s="1"/>
  <c r="EI46" i="3" s="1"/>
  <c r="EE45" i="3"/>
  <c r="EE44" i="3"/>
  <c r="EE43" i="3"/>
  <c r="EE42" i="3"/>
  <c r="EE41" i="3"/>
  <c r="EE40" i="3"/>
  <c r="EE39" i="3"/>
  <c r="EE38" i="3"/>
  <c r="EE37" i="3"/>
  <c r="EE36" i="3"/>
  <c r="EE35" i="3"/>
  <c r="EE34" i="3"/>
  <c r="EE33" i="3"/>
  <c r="EE32" i="3"/>
  <c r="EE31" i="3"/>
  <c r="EE30" i="3"/>
  <c r="EE29" i="3"/>
  <c r="EE28" i="3"/>
  <c r="EE27" i="3"/>
  <c r="EE26" i="3"/>
  <c r="EE25" i="3"/>
  <c r="EE24" i="3"/>
  <c r="EE23" i="3"/>
  <c r="EE22" i="3"/>
  <c r="EE21" i="3"/>
  <c r="EE20" i="3"/>
  <c r="EE19" i="3"/>
  <c r="EE18" i="3"/>
  <c r="EE17" i="3"/>
  <c r="EE16" i="3"/>
  <c r="EE15" i="3"/>
  <c r="EE14" i="3"/>
  <c r="EE13" i="3"/>
  <c r="EE12" i="3"/>
  <c r="EE164" i="3"/>
  <c r="EF852" i="3"/>
  <c r="EG852" i="3" s="1"/>
  <c r="EH852" i="3" s="1"/>
  <c r="EI852" i="3" s="1"/>
  <c r="CP304" i="4"/>
  <c r="CO304" i="4"/>
  <c r="CN304" i="4"/>
  <c r="CM304" i="4"/>
  <c r="CL304" i="4"/>
  <c r="CK304" i="4"/>
  <c r="CJ304" i="4"/>
  <c r="CI304" i="4"/>
  <c r="CH304" i="4"/>
  <c r="CG304" i="4"/>
  <c r="CF304" i="4"/>
  <c r="ED869" i="3"/>
  <c r="EE869" i="3" s="1"/>
  <c r="DX866" i="3"/>
  <c r="EE866" i="3" s="1"/>
  <c r="DX857" i="3"/>
  <c r="EE857" i="3" s="1"/>
  <c r="EC856" i="3"/>
  <c r="DX856" i="3"/>
  <c r="EE856" i="3" s="1"/>
  <c r="EE855" i="3" s="1"/>
  <c r="CQ116" i="4"/>
  <c r="CQ10" i="4"/>
  <c r="CE160" i="4"/>
  <c r="CE157" i="4" s="1"/>
  <c r="CF292" i="4"/>
  <c r="CF293" i="4" s="1"/>
  <c r="CF290" i="4" s="1"/>
  <c r="CG292" i="4"/>
  <c r="CG293" i="4" s="1"/>
  <c r="CG290" i="4" s="1"/>
  <c r="CH292" i="4"/>
  <c r="CH293" i="4" s="1"/>
  <c r="CH290" i="4" s="1"/>
  <c r="CI292" i="4"/>
  <c r="CI293" i="4" s="1"/>
  <c r="CJ292" i="4"/>
  <c r="CJ293" i="4" s="1"/>
  <c r="CJ290" i="4" s="1"/>
  <c r="CK292" i="4"/>
  <c r="CK293" i="4" s="1"/>
  <c r="CK290" i="4" s="1"/>
  <c r="CL292" i="4"/>
  <c r="CL293" i="4" s="1"/>
  <c r="CL290" i="4" s="1"/>
  <c r="CM292" i="4"/>
  <c r="CM293" i="4" s="1"/>
  <c r="CM290" i="4" s="1"/>
  <c r="CN292" i="4"/>
  <c r="CN293" i="4" s="1"/>
  <c r="CN290" i="4" s="1"/>
  <c r="CO292" i="4"/>
  <c r="CO293" i="4" s="1"/>
  <c r="CO290" i="4" s="1"/>
  <c r="CP292" i="4"/>
  <c r="CP293" i="4" s="1"/>
  <c r="CP290" i="4" s="1"/>
  <c r="CE292" i="4"/>
  <c r="CE293" i="4" s="1"/>
  <c r="CE290" i="4" s="1"/>
  <c r="CQ333" i="4"/>
  <c r="CP280" i="4"/>
  <c r="CO280" i="4"/>
  <c r="CN280" i="4"/>
  <c r="CM280" i="4"/>
  <c r="CL280" i="4"/>
  <c r="CK280" i="4"/>
  <c r="CJ280" i="4"/>
  <c r="CI280" i="4"/>
  <c r="CH280" i="4"/>
  <c r="CG280" i="4"/>
  <c r="CF280" i="4"/>
  <c r="CQ272" i="4"/>
  <c r="CF142" i="4"/>
  <c r="DV261" i="3"/>
  <c r="DT261" i="3"/>
  <c r="EE261" i="3" s="1"/>
  <c r="DU248" i="3"/>
  <c r="DS248" i="3"/>
  <c r="DY247" i="3"/>
  <c r="EB247" i="3"/>
  <c r="DX247" i="3"/>
  <c r="EA247" i="3" s="1"/>
  <c r="ED247" i="3" s="1"/>
  <c r="DW247" i="3"/>
  <c r="EF48" i="3"/>
  <c r="EG48" i="3" s="1"/>
  <c r="EH48" i="3" s="1"/>
  <c r="EI48" i="3" s="1"/>
  <c r="EF51" i="3"/>
  <c r="EG51" i="3" s="1"/>
  <c r="EF52" i="3"/>
  <c r="EG52" i="3" s="1"/>
  <c r="EF56" i="3"/>
  <c r="EG56" i="3" s="1"/>
  <c r="EF58" i="3"/>
  <c r="EG58" i="3" s="1"/>
  <c r="EF59" i="3"/>
  <c r="EG59" i="3" s="1"/>
  <c r="EF60" i="3"/>
  <c r="EG60" i="3" s="1"/>
  <c r="EF64" i="3"/>
  <c r="EG64" i="3" s="1"/>
  <c r="EF67" i="3"/>
  <c r="EG67" i="3" s="1"/>
  <c r="EH67" i="3" s="1"/>
  <c r="EI67" i="3" s="1"/>
  <c r="EF68" i="3"/>
  <c r="EG68" i="3" s="1"/>
  <c r="EH68" i="3" s="1"/>
  <c r="EI68" i="3" s="1"/>
  <c r="EF70" i="3"/>
  <c r="EG70" i="3" s="1"/>
  <c r="EH70" i="3" s="1"/>
  <c r="EI70" i="3" s="1"/>
  <c r="EF72" i="3"/>
  <c r="EG72" i="3" s="1"/>
  <c r="EH72" i="3" s="1"/>
  <c r="EI72" i="3" s="1"/>
  <c r="EF75" i="3"/>
  <c r="EG75" i="3" s="1"/>
  <c r="EH75" i="3" s="1"/>
  <c r="EI75" i="3" s="1"/>
  <c r="EF76" i="3"/>
  <c r="EG76" i="3" s="1"/>
  <c r="EH76" i="3" s="1"/>
  <c r="EI76" i="3" s="1"/>
  <c r="EF80" i="3"/>
  <c r="EG80" i="3" s="1"/>
  <c r="EH80" i="3" s="1"/>
  <c r="EI80" i="3" s="1"/>
  <c r="EF83" i="3"/>
  <c r="EG83" i="3" s="1"/>
  <c r="EH83" i="3" s="1"/>
  <c r="EI83" i="3" s="1"/>
  <c r="EF84" i="3"/>
  <c r="EG84" i="3" s="1"/>
  <c r="EH84" i="3" s="1"/>
  <c r="EI84" i="3" s="1"/>
  <c r="EF88" i="3"/>
  <c r="EG88" i="3" s="1"/>
  <c r="EH88" i="3" s="1"/>
  <c r="EI88" i="3" s="1"/>
  <c r="EF90" i="3"/>
  <c r="EG90" i="3" s="1"/>
  <c r="EH90" i="3" s="1"/>
  <c r="EI90" i="3" s="1"/>
  <c r="EF91" i="3"/>
  <c r="EG91" i="3" s="1"/>
  <c r="EH91" i="3" s="1"/>
  <c r="EI91" i="3" s="1"/>
  <c r="EF92" i="3"/>
  <c r="EG92" i="3" s="1"/>
  <c r="EH92" i="3" s="1"/>
  <c r="EI92" i="3" s="1"/>
  <c r="EF96" i="3"/>
  <c r="EG96" i="3" s="1"/>
  <c r="EH96" i="3" s="1"/>
  <c r="EI96" i="3" s="1"/>
  <c r="EF99" i="3"/>
  <c r="EG99" i="3" s="1"/>
  <c r="EH99" i="3" s="1"/>
  <c r="EI99" i="3" s="1"/>
  <c r="EF100" i="3"/>
  <c r="EG100" i="3" s="1"/>
  <c r="EH100" i="3" s="1"/>
  <c r="EI100" i="3" s="1"/>
  <c r="EF102" i="3"/>
  <c r="EG102" i="3" s="1"/>
  <c r="EH102" i="3" s="1"/>
  <c r="EI102" i="3" s="1"/>
  <c r="EF104" i="3"/>
  <c r="EG104" i="3" s="1"/>
  <c r="EH104" i="3" s="1"/>
  <c r="EI104" i="3" s="1"/>
  <c r="EF107" i="3"/>
  <c r="EG107" i="3" s="1"/>
  <c r="EH107" i="3" s="1"/>
  <c r="EI107" i="3" s="1"/>
  <c r="EF108" i="3"/>
  <c r="EG108" i="3" s="1"/>
  <c r="EH108" i="3" s="1"/>
  <c r="EI108" i="3" s="1"/>
  <c r="EF112" i="3"/>
  <c r="EG112" i="3" s="1"/>
  <c r="EH112" i="3" s="1"/>
  <c r="EI112" i="3" s="1"/>
  <c r="EF115" i="3"/>
  <c r="EG115" i="3" s="1"/>
  <c r="EH115" i="3" s="1"/>
  <c r="EI115" i="3" s="1"/>
  <c r="EF116" i="3"/>
  <c r="EG116" i="3" s="1"/>
  <c r="EH116" i="3" s="1"/>
  <c r="EI116" i="3" s="1"/>
  <c r="EF120" i="3"/>
  <c r="EG120" i="3" s="1"/>
  <c r="EH120" i="3" s="1"/>
  <c r="EI120" i="3" s="1"/>
  <c r="EF122" i="3"/>
  <c r="EG122" i="3" s="1"/>
  <c r="EH122" i="3" s="1"/>
  <c r="EI122" i="3" s="1"/>
  <c r="EF123" i="3"/>
  <c r="EG123" i="3" s="1"/>
  <c r="EH123" i="3" s="1"/>
  <c r="EI123" i="3" s="1"/>
  <c r="EF124" i="3"/>
  <c r="EG124" i="3" s="1"/>
  <c r="EH124" i="3" s="1"/>
  <c r="EI124" i="3" s="1"/>
  <c r="EF128" i="3"/>
  <c r="EG128" i="3" s="1"/>
  <c r="EH128" i="3" s="1"/>
  <c r="EI128" i="3" s="1"/>
  <c r="EF131" i="3"/>
  <c r="EG131" i="3" s="1"/>
  <c r="EH131" i="3" s="1"/>
  <c r="EI131" i="3" s="1"/>
  <c r="EF132" i="3"/>
  <c r="EG132" i="3" s="1"/>
  <c r="EH132" i="3" s="1"/>
  <c r="EI132" i="3" s="1"/>
  <c r="EF134" i="3"/>
  <c r="EG134" i="3" s="1"/>
  <c r="EH134" i="3" s="1"/>
  <c r="EI134" i="3" s="1"/>
  <c r="EF136" i="3"/>
  <c r="EG136" i="3" s="1"/>
  <c r="EH136" i="3" s="1"/>
  <c r="EI136" i="3" s="1"/>
  <c r="EF139" i="3"/>
  <c r="EG139" i="3" s="1"/>
  <c r="EH139" i="3" s="1"/>
  <c r="EI139" i="3" s="1"/>
  <c r="EF140" i="3"/>
  <c r="EG140" i="3" s="1"/>
  <c r="EH140" i="3" s="1"/>
  <c r="EI140" i="3" s="1"/>
  <c r="EF141" i="3"/>
  <c r="EG141" i="3" s="1"/>
  <c r="EH141" i="3" s="1"/>
  <c r="EI141" i="3" s="1"/>
  <c r="EF144" i="3"/>
  <c r="EG144" i="3" s="1"/>
  <c r="EH144" i="3" s="1"/>
  <c r="EI144" i="3" s="1"/>
  <c r="EF146" i="3"/>
  <c r="EG146" i="3" s="1"/>
  <c r="EH146" i="3" s="1"/>
  <c r="EI146" i="3" s="1"/>
  <c r="EF147" i="3"/>
  <c r="EG147" i="3" s="1"/>
  <c r="EH147" i="3" s="1"/>
  <c r="EI147" i="3" s="1"/>
  <c r="EF148" i="3"/>
  <c r="EG148" i="3" s="1"/>
  <c r="EH148" i="3" s="1"/>
  <c r="EI148" i="3" s="1"/>
  <c r="EF149" i="3"/>
  <c r="EG149" i="3" s="1"/>
  <c r="EH149" i="3" s="1"/>
  <c r="EI149" i="3" s="1"/>
  <c r="EF150" i="3"/>
  <c r="EG150" i="3" s="1"/>
  <c r="EH150" i="3" s="1"/>
  <c r="EI150" i="3" s="1"/>
  <c r="EF152" i="3"/>
  <c r="EG152" i="3" s="1"/>
  <c r="EH152" i="3" s="1"/>
  <c r="EI152" i="3" s="1"/>
  <c r="EF155" i="3"/>
  <c r="EG155" i="3" s="1"/>
  <c r="EH155" i="3" s="1"/>
  <c r="EI155" i="3" s="1"/>
  <c r="EF156" i="3"/>
  <c r="EG156" i="3" s="1"/>
  <c r="EH156" i="3" s="1"/>
  <c r="EI156" i="3" s="1"/>
  <c r="EF157" i="3"/>
  <c r="EG157" i="3" s="1"/>
  <c r="EH157" i="3" s="1"/>
  <c r="EI157" i="3" s="1"/>
  <c r="EF160" i="3"/>
  <c r="EG160" i="3" s="1"/>
  <c r="EH160" i="3" s="1"/>
  <c r="EI160" i="3" s="1"/>
  <c r="EF162" i="3"/>
  <c r="EG162" i="3" s="1"/>
  <c r="EH162" i="3" s="1"/>
  <c r="EI162" i="3" s="1"/>
  <c r="EF164" i="3"/>
  <c r="EG164" i="3" s="1"/>
  <c r="EH164" i="3" s="1"/>
  <c r="EI164" i="3" s="1"/>
  <c r="EE165" i="3"/>
  <c r="EF165" i="3" s="1"/>
  <c r="EG165" i="3" s="1"/>
  <c r="EH165" i="3" s="1"/>
  <c r="EI165" i="3" s="1"/>
  <c r="EE166" i="3"/>
  <c r="EF166" i="3" s="1"/>
  <c r="EG166" i="3" s="1"/>
  <c r="EH166" i="3" s="1"/>
  <c r="EI166" i="3" s="1"/>
  <c r="EE167" i="3"/>
  <c r="EF167" i="3" s="1"/>
  <c r="EG167" i="3" s="1"/>
  <c r="EH167" i="3" s="1"/>
  <c r="EI167" i="3" s="1"/>
  <c r="EE168" i="3"/>
  <c r="EF168" i="3" s="1"/>
  <c r="EG168" i="3" s="1"/>
  <c r="EH168" i="3" s="1"/>
  <c r="EI168" i="3" s="1"/>
  <c r="EE169" i="3"/>
  <c r="EF169" i="3" s="1"/>
  <c r="EG169" i="3" s="1"/>
  <c r="EH169" i="3" s="1"/>
  <c r="EI169" i="3" s="1"/>
  <c r="EE170" i="3"/>
  <c r="EF170" i="3" s="1"/>
  <c r="EG170" i="3" s="1"/>
  <c r="EH170" i="3" s="1"/>
  <c r="EI170" i="3" s="1"/>
  <c r="EE171" i="3"/>
  <c r="EF171" i="3" s="1"/>
  <c r="EG171" i="3" s="1"/>
  <c r="EH171" i="3" s="1"/>
  <c r="EI171" i="3" s="1"/>
  <c r="EE172" i="3"/>
  <c r="EF172" i="3" s="1"/>
  <c r="EG172" i="3" s="1"/>
  <c r="EH172" i="3" s="1"/>
  <c r="EI172" i="3" s="1"/>
  <c r="EE173" i="3"/>
  <c r="EF173" i="3" s="1"/>
  <c r="EG173" i="3" s="1"/>
  <c r="EH173" i="3" s="1"/>
  <c r="EI173" i="3" s="1"/>
  <c r="EE174" i="3"/>
  <c r="EF174" i="3" s="1"/>
  <c r="EG174" i="3" s="1"/>
  <c r="EH174" i="3" s="1"/>
  <c r="EI174" i="3" s="1"/>
  <c r="EE175" i="3"/>
  <c r="EF175" i="3" s="1"/>
  <c r="EG175" i="3" s="1"/>
  <c r="EH175" i="3" s="1"/>
  <c r="EI175" i="3" s="1"/>
  <c r="EE176" i="3"/>
  <c r="EF176" i="3" s="1"/>
  <c r="EG176" i="3" s="1"/>
  <c r="EH176" i="3" s="1"/>
  <c r="EI176" i="3" s="1"/>
  <c r="EE177" i="3"/>
  <c r="EF177" i="3" s="1"/>
  <c r="EG177" i="3" s="1"/>
  <c r="EH177" i="3" s="1"/>
  <c r="EI177" i="3" s="1"/>
  <c r="EE178" i="3"/>
  <c r="EF178" i="3" s="1"/>
  <c r="EG178" i="3" s="1"/>
  <c r="EH178" i="3" s="1"/>
  <c r="EI178" i="3" s="1"/>
  <c r="EE179" i="3"/>
  <c r="EF179" i="3" s="1"/>
  <c r="EG179" i="3" s="1"/>
  <c r="EH179" i="3" s="1"/>
  <c r="EI179" i="3" s="1"/>
  <c r="EE180" i="3"/>
  <c r="EF180" i="3" s="1"/>
  <c r="EG180" i="3" s="1"/>
  <c r="EH180" i="3" s="1"/>
  <c r="EI180" i="3" s="1"/>
  <c r="EE181" i="3"/>
  <c r="EF181" i="3" s="1"/>
  <c r="EG181" i="3" s="1"/>
  <c r="EH181" i="3" s="1"/>
  <c r="EI181" i="3" s="1"/>
  <c r="EE182" i="3"/>
  <c r="EF182" i="3" s="1"/>
  <c r="EG182" i="3" s="1"/>
  <c r="EH182" i="3" s="1"/>
  <c r="EI182" i="3" s="1"/>
  <c r="EE183" i="3"/>
  <c r="EF183" i="3" s="1"/>
  <c r="EG183" i="3" s="1"/>
  <c r="EH183" i="3" s="1"/>
  <c r="EI183" i="3" s="1"/>
  <c r="EE184" i="3"/>
  <c r="EF184" i="3" s="1"/>
  <c r="EG184" i="3" s="1"/>
  <c r="EH184" i="3" s="1"/>
  <c r="EI184" i="3" s="1"/>
  <c r="EE185" i="3"/>
  <c r="EF185" i="3" s="1"/>
  <c r="EG185" i="3" s="1"/>
  <c r="EH185" i="3" s="1"/>
  <c r="EI185" i="3" s="1"/>
  <c r="EE186" i="3"/>
  <c r="EF186" i="3" s="1"/>
  <c r="EG186" i="3" s="1"/>
  <c r="EH186" i="3" s="1"/>
  <c r="EI186" i="3" s="1"/>
  <c r="EE187" i="3"/>
  <c r="EF187" i="3" s="1"/>
  <c r="EG187" i="3" s="1"/>
  <c r="EH187" i="3" s="1"/>
  <c r="EI187" i="3" s="1"/>
  <c r="EE188" i="3"/>
  <c r="EF188" i="3" s="1"/>
  <c r="EG188" i="3" s="1"/>
  <c r="EH188" i="3" s="1"/>
  <c r="EI188" i="3" s="1"/>
  <c r="EE189" i="3"/>
  <c r="EF189" i="3" s="1"/>
  <c r="EG189" i="3" s="1"/>
  <c r="EH189" i="3" s="1"/>
  <c r="EI189" i="3" s="1"/>
  <c r="EE190" i="3"/>
  <c r="EF190" i="3" s="1"/>
  <c r="EG190" i="3" s="1"/>
  <c r="EH190" i="3" s="1"/>
  <c r="EI190" i="3" s="1"/>
  <c r="EE191" i="3"/>
  <c r="EF191" i="3" s="1"/>
  <c r="EG191" i="3" s="1"/>
  <c r="EH191" i="3" s="1"/>
  <c r="EI191" i="3" s="1"/>
  <c r="EE192" i="3"/>
  <c r="EF192" i="3" s="1"/>
  <c r="EG192" i="3" s="1"/>
  <c r="EH192" i="3" s="1"/>
  <c r="EI192" i="3" s="1"/>
  <c r="EE193" i="3"/>
  <c r="EF193" i="3" s="1"/>
  <c r="EG193" i="3" s="1"/>
  <c r="EH193" i="3" s="1"/>
  <c r="EI193" i="3" s="1"/>
  <c r="EE194" i="3"/>
  <c r="EF194" i="3" s="1"/>
  <c r="EG194" i="3" s="1"/>
  <c r="EH194" i="3" s="1"/>
  <c r="EI194" i="3" s="1"/>
  <c r="EE195" i="3"/>
  <c r="EF195" i="3" s="1"/>
  <c r="EG195" i="3" s="1"/>
  <c r="EH195" i="3" s="1"/>
  <c r="EI195" i="3" s="1"/>
  <c r="EE196" i="3"/>
  <c r="EF196" i="3" s="1"/>
  <c r="EG196" i="3" s="1"/>
  <c r="EH196" i="3" s="1"/>
  <c r="EI196" i="3" s="1"/>
  <c r="EE197" i="3"/>
  <c r="EF197" i="3" s="1"/>
  <c r="EG197" i="3" s="1"/>
  <c r="EH197" i="3" s="1"/>
  <c r="EI197" i="3" s="1"/>
  <c r="EE198" i="3"/>
  <c r="EF198" i="3" s="1"/>
  <c r="EG198" i="3" s="1"/>
  <c r="EH198" i="3" s="1"/>
  <c r="EI198" i="3" s="1"/>
  <c r="EE199" i="3"/>
  <c r="EF199" i="3" s="1"/>
  <c r="EG199" i="3" s="1"/>
  <c r="EH199" i="3" s="1"/>
  <c r="EI199" i="3" s="1"/>
  <c r="EE200" i="3"/>
  <c r="EF200" i="3" s="1"/>
  <c r="EG200" i="3" s="1"/>
  <c r="EH200" i="3" s="1"/>
  <c r="EI200" i="3" s="1"/>
  <c r="EE201" i="3"/>
  <c r="EF201" i="3" s="1"/>
  <c r="EG201" i="3" s="1"/>
  <c r="EH201" i="3" s="1"/>
  <c r="EI201" i="3" s="1"/>
  <c r="EE202" i="3"/>
  <c r="EF202" i="3" s="1"/>
  <c r="EG202" i="3" s="1"/>
  <c r="EH202" i="3" s="1"/>
  <c r="EI202" i="3" s="1"/>
  <c r="EE203" i="3"/>
  <c r="EF203" i="3" s="1"/>
  <c r="EG203" i="3" s="1"/>
  <c r="EH203" i="3" s="1"/>
  <c r="EI203" i="3" s="1"/>
  <c r="EE204" i="3"/>
  <c r="EF204" i="3" s="1"/>
  <c r="EG204" i="3" s="1"/>
  <c r="EH204" i="3" s="1"/>
  <c r="EI204" i="3" s="1"/>
  <c r="EE205" i="3"/>
  <c r="EF205" i="3" s="1"/>
  <c r="EG205" i="3" s="1"/>
  <c r="EH205" i="3" s="1"/>
  <c r="EI205" i="3" s="1"/>
  <c r="EE206" i="3"/>
  <c r="EF206" i="3" s="1"/>
  <c r="EG206" i="3" s="1"/>
  <c r="EH206" i="3" s="1"/>
  <c r="EI206" i="3" s="1"/>
  <c r="EE207" i="3"/>
  <c r="EF207" i="3" s="1"/>
  <c r="EG207" i="3" s="1"/>
  <c r="EH207" i="3" s="1"/>
  <c r="EI207" i="3" s="1"/>
  <c r="EE209" i="3"/>
  <c r="EE210" i="3"/>
  <c r="EF210" i="3" s="1"/>
  <c r="EG210" i="3" s="1"/>
  <c r="EH210" i="3" s="1"/>
  <c r="EI210" i="3" s="1"/>
  <c r="EE211" i="3"/>
  <c r="EF211" i="3" s="1"/>
  <c r="EG211" i="3" s="1"/>
  <c r="EH211" i="3" s="1"/>
  <c r="EI211" i="3" s="1"/>
  <c r="EE212" i="3"/>
  <c r="EF212" i="3" s="1"/>
  <c r="EG212" i="3" s="1"/>
  <c r="EH212" i="3" s="1"/>
  <c r="EI212" i="3" s="1"/>
  <c r="EE213" i="3"/>
  <c r="EF213" i="3" s="1"/>
  <c r="EG213" i="3" s="1"/>
  <c r="EH213" i="3" s="1"/>
  <c r="EI213" i="3" s="1"/>
  <c r="EE214" i="3"/>
  <c r="EF214" i="3" s="1"/>
  <c r="EG214" i="3" s="1"/>
  <c r="EH214" i="3" s="1"/>
  <c r="EI214" i="3" s="1"/>
  <c r="EE215" i="3"/>
  <c r="EF215" i="3" s="1"/>
  <c r="EG215" i="3" s="1"/>
  <c r="EH215" i="3" s="1"/>
  <c r="EI215" i="3" s="1"/>
  <c r="EE216" i="3"/>
  <c r="EF216" i="3" s="1"/>
  <c r="EG216" i="3" s="1"/>
  <c r="EH216" i="3" s="1"/>
  <c r="EI216" i="3" s="1"/>
  <c r="EE217" i="3"/>
  <c r="EF217" i="3" s="1"/>
  <c r="EG217" i="3" s="1"/>
  <c r="EH217" i="3" s="1"/>
  <c r="EI217" i="3" s="1"/>
  <c r="EE218" i="3"/>
  <c r="EF218" i="3" s="1"/>
  <c r="EG218" i="3" s="1"/>
  <c r="EH218" i="3" s="1"/>
  <c r="EI218" i="3" s="1"/>
  <c r="EE219" i="3"/>
  <c r="EF219" i="3" s="1"/>
  <c r="EG219" i="3" s="1"/>
  <c r="EH219" i="3" s="1"/>
  <c r="EI219" i="3" s="1"/>
  <c r="EE220" i="3"/>
  <c r="EF220" i="3" s="1"/>
  <c r="EG220" i="3" s="1"/>
  <c r="EH220" i="3" s="1"/>
  <c r="EI220" i="3" s="1"/>
  <c r="EE221" i="3"/>
  <c r="EF221" i="3" s="1"/>
  <c r="EG221" i="3" s="1"/>
  <c r="EH221" i="3" s="1"/>
  <c r="EI221" i="3" s="1"/>
  <c r="EE222" i="3"/>
  <c r="EF222" i="3" s="1"/>
  <c r="EG222" i="3" s="1"/>
  <c r="EH222" i="3" s="1"/>
  <c r="EI222" i="3" s="1"/>
  <c r="EE223" i="3"/>
  <c r="EF223" i="3" s="1"/>
  <c r="EG223" i="3" s="1"/>
  <c r="EH223" i="3" s="1"/>
  <c r="EI223" i="3" s="1"/>
  <c r="EE224" i="3"/>
  <c r="EF224" i="3" s="1"/>
  <c r="EG224" i="3" s="1"/>
  <c r="EH224" i="3" s="1"/>
  <c r="EI224" i="3" s="1"/>
  <c r="EE225" i="3"/>
  <c r="EF225" i="3" s="1"/>
  <c r="EG225" i="3" s="1"/>
  <c r="EH225" i="3" s="1"/>
  <c r="EI225" i="3" s="1"/>
  <c r="EE226" i="3"/>
  <c r="EF226" i="3" s="1"/>
  <c r="EG226" i="3" s="1"/>
  <c r="EH226" i="3" s="1"/>
  <c r="EI226" i="3" s="1"/>
  <c r="EE227" i="3"/>
  <c r="EF227" i="3" s="1"/>
  <c r="EG227" i="3" s="1"/>
  <c r="EH227" i="3" s="1"/>
  <c r="EI227" i="3" s="1"/>
  <c r="EE228" i="3"/>
  <c r="EF228" i="3" s="1"/>
  <c r="EG228" i="3" s="1"/>
  <c r="EH228" i="3" s="1"/>
  <c r="EI228" i="3" s="1"/>
  <c r="EE229" i="3"/>
  <c r="EF229" i="3" s="1"/>
  <c r="EG229" i="3" s="1"/>
  <c r="EH229" i="3" s="1"/>
  <c r="EI229" i="3" s="1"/>
  <c r="EE230" i="3"/>
  <c r="EF230" i="3" s="1"/>
  <c r="EG230" i="3" s="1"/>
  <c r="EH230" i="3" s="1"/>
  <c r="EI230" i="3" s="1"/>
  <c r="EE231" i="3"/>
  <c r="EF231" i="3" s="1"/>
  <c r="EG231" i="3" s="1"/>
  <c r="EH231" i="3" s="1"/>
  <c r="EI231" i="3" s="1"/>
  <c r="EE232" i="3"/>
  <c r="EF232" i="3" s="1"/>
  <c r="EG232" i="3" s="1"/>
  <c r="EH232" i="3" s="1"/>
  <c r="EI232" i="3" s="1"/>
  <c r="EE233" i="3"/>
  <c r="EF233" i="3" s="1"/>
  <c r="EG233" i="3" s="1"/>
  <c r="EH233" i="3" s="1"/>
  <c r="EI233" i="3" s="1"/>
  <c r="EE234" i="3"/>
  <c r="EF234" i="3" s="1"/>
  <c r="EG234" i="3" s="1"/>
  <c r="EH234" i="3" s="1"/>
  <c r="EI234" i="3" s="1"/>
  <c r="EE235" i="3"/>
  <c r="EF235" i="3" s="1"/>
  <c r="EG235" i="3" s="1"/>
  <c r="EH235" i="3" s="1"/>
  <c r="EI235" i="3" s="1"/>
  <c r="EE236" i="3"/>
  <c r="EF236" i="3" s="1"/>
  <c r="EG236" i="3" s="1"/>
  <c r="EH236" i="3" s="1"/>
  <c r="EI236" i="3" s="1"/>
  <c r="EE237" i="3"/>
  <c r="EF237" i="3" s="1"/>
  <c r="EG237" i="3" s="1"/>
  <c r="EH237" i="3" s="1"/>
  <c r="EI237" i="3" s="1"/>
  <c r="CQ13" i="4"/>
  <c r="CQ12" i="4"/>
  <c r="CR12" i="4" s="1"/>
  <c r="CS12" i="4" s="1"/>
  <c r="CT12" i="4" s="1"/>
  <c r="CU12" i="4" s="1"/>
  <c r="CE169" i="4"/>
  <c r="AM8" i="80" s="1"/>
  <c r="DS655" i="3"/>
  <c r="JI8" i="80" s="1"/>
  <c r="CF121" i="4"/>
  <c r="CF153" i="4"/>
  <c r="CH8" i="80"/>
  <c r="DT242" i="3"/>
  <c r="DT273" i="3"/>
  <c r="DT282" i="3"/>
  <c r="DT628" i="3"/>
  <c r="DT642" i="3"/>
  <c r="DT655" i="3"/>
  <c r="JJ8" i="80" s="1"/>
  <c r="CG121" i="4"/>
  <c r="CG153" i="4"/>
  <c r="CI8" i="80"/>
  <c r="DU242" i="3"/>
  <c r="DU273" i="3"/>
  <c r="DU282" i="3"/>
  <c r="DU628" i="3"/>
  <c r="DU642" i="3"/>
  <c r="DU655" i="3"/>
  <c r="JK8" i="80" s="1"/>
  <c r="CH121" i="4"/>
  <c r="CH153" i="4"/>
  <c r="CJ8" i="80"/>
  <c r="DV242" i="3"/>
  <c r="DV273" i="3"/>
  <c r="DV282" i="3"/>
  <c r="DV628" i="3"/>
  <c r="DV642" i="3"/>
  <c r="DV655" i="3"/>
  <c r="JL8" i="80" s="1"/>
  <c r="CI121" i="4"/>
  <c r="CI153" i="4"/>
  <c r="DW242" i="3"/>
  <c r="DW273" i="3"/>
  <c r="DW282" i="3"/>
  <c r="DW628" i="3"/>
  <c r="DW642" i="3"/>
  <c r="DW655" i="3"/>
  <c r="JM8" i="80" s="1"/>
  <c r="CJ121" i="4"/>
  <c r="CJ153" i="4"/>
  <c r="DX242" i="3"/>
  <c r="DX273" i="3"/>
  <c r="DX282" i="3"/>
  <c r="DX628" i="3"/>
  <c r="DX642" i="3"/>
  <c r="DX655" i="3"/>
  <c r="JN8" i="80" s="1"/>
  <c r="CK121" i="4"/>
  <c r="CK153" i="4"/>
  <c r="CM8" i="80"/>
  <c r="DY242" i="3"/>
  <c r="DY273" i="3"/>
  <c r="DY282" i="3"/>
  <c r="DY628" i="3"/>
  <c r="DY642" i="3"/>
  <c r="DY655" i="3"/>
  <c r="JO8" i="80" s="1"/>
  <c r="CL121" i="4"/>
  <c r="CL153" i="4"/>
  <c r="CL169" i="4" s="1"/>
  <c r="CN8" i="80"/>
  <c r="DZ273" i="3"/>
  <c r="DZ282" i="3"/>
  <c r="DZ628" i="3"/>
  <c r="DZ642" i="3"/>
  <c r="DZ655" i="3"/>
  <c r="JP8" i="80" s="1"/>
  <c r="CM121" i="4"/>
  <c r="CM153" i="4"/>
  <c r="EA242" i="3"/>
  <c r="EA273" i="3"/>
  <c r="EA282" i="3"/>
  <c r="EA628" i="3"/>
  <c r="EA642" i="3"/>
  <c r="EA655" i="3"/>
  <c r="JQ8" i="80" s="1"/>
  <c r="CN121" i="4"/>
  <c r="CN153" i="4"/>
  <c r="CP8" i="80"/>
  <c r="EB242" i="3"/>
  <c r="EB273" i="3"/>
  <c r="EB282" i="3"/>
  <c r="EB628" i="3"/>
  <c r="EB642" i="3"/>
  <c r="EB655" i="3"/>
  <c r="JR8" i="80" s="1"/>
  <c r="CO121" i="4"/>
  <c r="CO153" i="4"/>
  <c r="CQ8" i="80"/>
  <c r="EC273" i="3"/>
  <c r="EC282" i="3"/>
  <c r="EC628" i="3"/>
  <c r="EC642" i="3"/>
  <c r="EC655" i="3"/>
  <c r="JS8" i="80" s="1"/>
  <c r="CP121" i="4"/>
  <c r="CP153" i="4"/>
  <c r="CR8" i="80"/>
  <c r="ED242" i="3"/>
  <c r="ED273" i="3"/>
  <c r="ED282" i="3"/>
  <c r="ED628" i="3"/>
  <c r="ED642" i="3"/>
  <c r="ED655" i="3"/>
  <c r="JT8" i="80" s="1"/>
  <c r="HO9" i="80"/>
  <c r="JI9" i="80"/>
  <c r="CF171" i="4"/>
  <c r="CF234" i="4" s="1"/>
  <c r="CF295" i="4"/>
  <c r="CF300" i="4"/>
  <c r="DT345" i="3"/>
  <c r="DT297" i="3"/>
  <c r="DT409" i="3"/>
  <c r="FV9" i="80" s="1"/>
  <c r="DT840" i="3"/>
  <c r="DT849" i="3"/>
  <c r="DT659" i="3"/>
  <c r="DT761" i="3" s="1"/>
  <c r="JJ9" i="80" s="1"/>
  <c r="CG171" i="4"/>
  <c r="CG295" i="4"/>
  <c r="CG300" i="4"/>
  <c r="DU345" i="3"/>
  <c r="DU297" i="3"/>
  <c r="DU840" i="3"/>
  <c r="DU849" i="3"/>
  <c r="DU659" i="3"/>
  <c r="DU761" i="3"/>
  <c r="JK9" i="80" s="1"/>
  <c r="CH171" i="4"/>
  <c r="CH295" i="4"/>
  <c r="CH300" i="4"/>
  <c r="DV345" i="3"/>
  <c r="DV297" i="3"/>
  <c r="DV409" i="3"/>
  <c r="FX9" i="80" s="1"/>
  <c r="DV840" i="3"/>
  <c r="DV849" i="3"/>
  <c r="DV659" i="3"/>
  <c r="DV761" i="3" s="1"/>
  <c r="JL9" i="80" s="1"/>
  <c r="CI171" i="4"/>
  <c r="CI295" i="4"/>
  <c r="CI300" i="4"/>
  <c r="DW345" i="3"/>
  <c r="DW297" i="3"/>
  <c r="DW840" i="3"/>
  <c r="DW849" i="3"/>
  <c r="DW853" i="3" s="1"/>
  <c r="HS9" i="80" s="1"/>
  <c r="DW659" i="3"/>
  <c r="DW761" i="3"/>
  <c r="JM9" i="80" s="1"/>
  <c r="CJ171" i="4"/>
  <c r="CJ295" i="4"/>
  <c r="CJ300" i="4"/>
  <c r="DX345" i="3"/>
  <c r="DX297" i="3"/>
  <c r="DX840" i="3"/>
  <c r="DX849" i="3"/>
  <c r="DX853" i="3" s="1"/>
  <c r="DX659" i="3"/>
  <c r="DX761" i="3" s="1"/>
  <c r="JN9" i="80" s="1"/>
  <c r="CK171" i="4"/>
  <c r="CK295" i="4"/>
  <c r="CK300" i="4"/>
  <c r="DY345" i="3"/>
  <c r="DY297" i="3"/>
  <c r="DY840" i="3"/>
  <c r="DY849" i="3"/>
  <c r="DY659" i="3"/>
  <c r="DY761" i="3"/>
  <c r="JO9" i="80" s="1"/>
  <c r="CL171" i="4"/>
  <c r="CL295" i="4"/>
  <c r="CL300" i="4"/>
  <c r="DZ345" i="3"/>
  <c r="DZ297" i="3"/>
  <c r="DZ840" i="3"/>
  <c r="DZ849" i="3"/>
  <c r="DZ853" i="3"/>
  <c r="HV9" i="80" s="1"/>
  <c r="DZ659" i="3"/>
  <c r="DZ761" i="3" s="1"/>
  <c r="JP9" i="80" s="1"/>
  <c r="CM171" i="4"/>
  <c r="CM295" i="4"/>
  <c r="CM300" i="4"/>
  <c r="EA345" i="3"/>
  <c r="EA297" i="3"/>
  <c r="EA840" i="3"/>
  <c r="EA849" i="3"/>
  <c r="EA853" i="3" s="1"/>
  <c r="HW9" i="80" s="1"/>
  <c r="EA659" i="3"/>
  <c r="EA761" i="3"/>
  <c r="JQ9" i="80" s="1"/>
  <c r="CN171" i="4"/>
  <c r="CN234" i="4"/>
  <c r="AV9" i="80" s="1"/>
  <c r="CN295" i="4"/>
  <c r="CN300" i="4"/>
  <c r="EB345" i="3"/>
  <c r="EB297" i="3"/>
  <c r="EB409" i="3"/>
  <c r="GD9" i="80" s="1"/>
  <c r="EB840" i="3"/>
  <c r="EB849" i="3"/>
  <c r="EB659" i="3"/>
  <c r="EB761" i="3" s="1"/>
  <c r="JR9" i="80" s="1"/>
  <c r="CO171" i="4"/>
  <c r="CO295" i="4"/>
  <c r="CO300" i="4"/>
  <c r="EC345" i="3"/>
  <c r="EC297" i="3"/>
  <c r="EC840" i="3"/>
  <c r="EC849" i="3"/>
  <c r="EC659" i="3"/>
  <c r="EC761" i="3"/>
  <c r="JS9" i="80" s="1"/>
  <c r="CP171" i="4"/>
  <c r="CP295" i="4"/>
  <c r="CP300" i="4"/>
  <c r="ED345" i="3"/>
  <c r="ED297" i="3"/>
  <c r="ED409" i="3"/>
  <c r="GF9" i="80" s="1"/>
  <c r="ED840" i="3"/>
  <c r="ED849" i="3"/>
  <c r="ED659" i="3"/>
  <c r="ED761" i="3" s="1"/>
  <c r="JT9" i="80" s="1"/>
  <c r="CE252" i="4"/>
  <c r="CE334" i="4"/>
  <c r="CE375" i="4" s="1"/>
  <c r="JI10" i="80"/>
  <c r="CF236" i="4"/>
  <c r="CF252" i="4"/>
  <c r="CF254" i="4"/>
  <c r="CF310" i="4"/>
  <c r="CF334" i="4" s="1"/>
  <c r="DT411" i="3"/>
  <c r="DT430" i="3"/>
  <c r="DT435" i="3"/>
  <c r="DT855" i="3"/>
  <c r="DT875" i="3"/>
  <c r="DT882" i="3"/>
  <c r="DT766" i="3"/>
  <c r="DT797" i="3"/>
  <c r="CG236" i="4"/>
  <c r="CG252" i="4"/>
  <c r="CG254" i="4"/>
  <c r="CG310" i="4"/>
  <c r="CG334" i="4" s="1"/>
  <c r="DU411" i="3"/>
  <c r="DU430" i="3"/>
  <c r="DU435" i="3"/>
  <c r="DU855" i="3"/>
  <c r="DU875" i="3"/>
  <c r="DU882" i="3"/>
  <c r="DU766" i="3"/>
  <c r="DU797" i="3"/>
  <c r="DU810" i="3"/>
  <c r="JK10" i="80" s="1"/>
  <c r="CH236" i="4"/>
  <c r="CH252" i="4"/>
  <c r="CH254" i="4"/>
  <c r="CH310" i="4"/>
  <c r="CH334" i="4" s="1"/>
  <c r="CJ10" i="80" s="1"/>
  <c r="DV411" i="3"/>
  <c r="DV430" i="3"/>
  <c r="DV435" i="3"/>
  <c r="DV855" i="3"/>
  <c r="DV875" i="3"/>
  <c r="DV882" i="3"/>
  <c r="DV766" i="3"/>
  <c r="DV797" i="3"/>
  <c r="DV810" i="3"/>
  <c r="JL10" i="80" s="1"/>
  <c r="CI236" i="4"/>
  <c r="CI252" i="4"/>
  <c r="CI254" i="4"/>
  <c r="CI310" i="4"/>
  <c r="CI334" i="4" s="1"/>
  <c r="DW411" i="3"/>
  <c r="DW430" i="3"/>
  <c r="DW435" i="3"/>
  <c r="DW855" i="3"/>
  <c r="DW875" i="3"/>
  <c r="DW882" i="3"/>
  <c r="DW766" i="3"/>
  <c r="DW797" i="3"/>
  <c r="DW810" i="3"/>
  <c r="JM10" i="80" s="1"/>
  <c r="CJ236" i="4"/>
  <c r="CJ252" i="4"/>
  <c r="CJ254" i="4"/>
  <c r="CJ310" i="4"/>
  <c r="CJ334" i="4" s="1"/>
  <c r="DX411" i="3"/>
  <c r="DX430" i="3"/>
  <c r="DX435" i="3"/>
  <c r="DX855" i="3"/>
  <c r="DX875" i="3"/>
  <c r="DX882" i="3"/>
  <c r="DX766" i="3"/>
  <c r="DX797" i="3"/>
  <c r="DX810" i="3"/>
  <c r="JN10" i="80" s="1"/>
  <c r="CK236" i="4"/>
  <c r="CK252" i="4"/>
  <c r="CK254" i="4"/>
  <c r="CK310" i="4"/>
  <c r="CK334" i="4" s="1"/>
  <c r="DY411" i="3"/>
  <c r="DY430" i="3"/>
  <c r="DY435" i="3"/>
  <c r="DY855" i="3"/>
  <c r="DY875" i="3"/>
  <c r="DY882" i="3"/>
  <c r="DY766" i="3"/>
  <c r="DY797" i="3"/>
  <c r="DY810" i="3"/>
  <c r="JO10" i="80" s="1"/>
  <c r="CL236" i="4"/>
  <c r="CL252" i="4"/>
  <c r="CL254" i="4"/>
  <c r="CL265" i="4"/>
  <c r="CL310" i="4"/>
  <c r="CL334" i="4" s="1"/>
  <c r="CN10" i="80" s="1"/>
  <c r="DZ411" i="3"/>
  <c r="DZ430" i="3"/>
  <c r="DZ435" i="3"/>
  <c r="DZ855" i="3"/>
  <c r="DZ875" i="3"/>
  <c r="DZ882" i="3"/>
  <c r="DZ766" i="3"/>
  <c r="DZ797" i="3"/>
  <c r="DZ810" i="3"/>
  <c r="JP10" i="80" s="1"/>
  <c r="CM236" i="4"/>
  <c r="CM252" i="4"/>
  <c r="CM254" i="4"/>
  <c r="CM310" i="4"/>
  <c r="CM334" i="4" s="1"/>
  <c r="EA411" i="3"/>
  <c r="EA430" i="3"/>
  <c r="EA435" i="3"/>
  <c r="EA855" i="3"/>
  <c r="EA875" i="3"/>
  <c r="EA882" i="3"/>
  <c r="EA766" i="3"/>
  <c r="EA797" i="3"/>
  <c r="EA810" i="3"/>
  <c r="JQ10" i="80" s="1"/>
  <c r="CN236" i="4"/>
  <c r="CN252" i="4"/>
  <c r="CN254" i="4"/>
  <c r="CN310" i="4"/>
  <c r="CN334" i="4" s="1"/>
  <c r="EB411" i="3"/>
  <c r="EB430" i="3"/>
  <c r="EB435" i="3"/>
  <c r="EB855" i="3"/>
  <c r="EB875" i="3"/>
  <c r="EB882" i="3"/>
  <c r="EB766" i="3"/>
  <c r="EB797" i="3"/>
  <c r="EB810" i="3"/>
  <c r="JR10" i="80" s="1"/>
  <c r="CO236" i="4"/>
  <c r="CO252" i="4"/>
  <c r="CO254" i="4"/>
  <c r="CO310" i="4"/>
  <c r="CO334" i="4"/>
  <c r="EC411" i="3"/>
  <c r="EC430" i="3"/>
  <c r="EC435" i="3"/>
  <c r="EC855" i="3"/>
  <c r="EC875" i="3"/>
  <c r="EC882" i="3"/>
  <c r="EC766" i="3"/>
  <c r="EC797" i="3"/>
  <c r="EC810" i="3"/>
  <c r="JS10" i="80" s="1"/>
  <c r="CP236" i="4"/>
  <c r="CP252" i="4"/>
  <c r="CP254" i="4"/>
  <c r="CP265" i="4"/>
  <c r="AX10" i="80" s="1"/>
  <c r="CP310" i="4"/>
  <c r="CP334" i="4" s="1"/>
  <c r="CR10" i="80" s="1"/>
  <c r="ED411" i="3"/>
  <c r="ED430" i="3"/>
  <c r="ED435" i="3"/>
  <c r="ED855" i="3"/>
  <c r="ED875" i="3"/>
  <c r="ED882" i="3"/>
  <c r="ED766" i="3"/>
  <c r="ED797" i="3"/>
  <c r="ED810" i="3"/>
  <c r="JT10" i="80" s="1"/>
  <c r="DS820" i="3"/>
  <c r="DS825" i="3"/>
  <c r="DS829" i="3"/>
  <c r="DS833" i="3"/>
  <c r="HO7" i="80" s="1"/>
  <c r="BD68" i="77"/>
  <c r="LC7" i="80" s="1"/>
  <c r="CF7" i="4"/>
  <c r="CF72" i="4"/>
  <c r="CF270" i="4"/>
  <c r="CF288" i="4" s="1"/>
  <c r="DT163" i="3"/>
  <c r="DT240" i="3"/>
  <c r="FV7" i="80" s="1"/>
  <c r="DT820" i="3"/>
  <c r="DT825" i="3"/>
  <c r="DT829" i="3"/>
  <c r="DT602" i="3"/>
  <c r="DT575" i="3"/>
  <c r="DT448" i="3"/>
  <c r="BE68" i="77"/>
  <c r="LD7" i="80" s="1"/>
  <c r="LD11" i="80" s="1"/>
  <c r="CG7" i="4"/>
  <c r="CG72" i="4"/>
  <c r="CG270" i="4"/>
  <c r="CG288" i="4" s="1"/>
  <c r="DU163" i="3"/>
  <c r="DU240" i="3"/>
  <c r="FW7" i="80" s="1"/>
  <c r="DU820" i="3"/>
  <c r="DU825" i="3"/>
  <c r="DU829" i="3"/>
  <c r="DU602" i="3"/>
  <c r="DU575" i="3"/>
  <c r="DU448" i="3"/>
  <c r="BF68" i="77"/>
  <c r="LE7" i="80" s="1"/>
  <c r="LE11" i="80" s="1"/>
  <c r="CH7" i="4"/>
  <c r="CH72" i="4"/>
  <c r="CH270" i="4"/>
  <c r="DV163" i="3"/>
  <c r="DV240" i="3"/>
  <c r="FX7" i="80" s="1"/>
  <c r="DV820" i="3"/>
  <c r="DV825" i="3"/>
  <c r="DV829" i="3"/>
  <c r="DV602" i="3"/>
  <c r="DV575" i="3"/>
  <c r="DV448" i="3"/>
  <c r="BG68" i="77"/>
  <c r="LF7" i="80" s="1"/>
  <c r="LF11" i="80" s="1"/>
  <c r="CI7" i="4"/>
  <c r="CI72" i="4"/>
  <c r="CI270" i="4"/>
  <c r="DW163" i="3"/>
  <c r="DW240" i="3"/>
  <c r="FY7" i="80" s="1"/>
  <c r="DW820" i="3"/>
  <c r="DW825" i="3"/>
  <c r="DW829" i="3"/>
  <c r="DW602" i="3"/>
  <c r="DW575" i="3"/>
  <c r="DW448" i="3"/>
  <c r="BH68" i="77"/>
  <c r="LG7" i="80" s="1"/>
  <c r="LG11" i="80" s="1"/>
  <c r="CJ7" i="4"/>
  <c r="CJ72" i="4"/>
  <c r="CJ270" i="4"/>
  <c r="DX163" i="3"/>
  <c r="DX240" i="3"/>
  <c r="FZ7" i="80" s="1"/>
  <c r="DX820" i="3"/>
  <c r="DX825" i="3"/>
  <c r="DX829" i="3"/>
  <c r="DX602" i="3"/>
  <c r="DX575" i="3"/>
  <c r="DX448" i="3"/>
  <c r="DX624" i="3"/>
  <c r="JN7" i="80" s="1"/>
  <c r="JN11" i="80" s="1"/>
  <c r="BI68" i="77"/>
  <c r="LH7" i="80" s="1"/>
  <c r="LH11" i="80" s="1"/>
  <c r="CK7" i="4"/>
  <c r="CK72" i="4"/>
  <c r="CK270" i="4"/>
  <c r="CK288" i="4" s="1"/>
  <c r="DY163" i="3"/>
  <c r="DY240" i="3"/>
  <c r="GA7" i="80" s="1"/>
  <c r="DY820" i="3"/>
  <c r="DY825" i="3"/>
  <c r="DY829" i="3"/>
  <c r="DY602" i="3"/>
  <c r="DY575" i="3"/>
  <c r="DY448" i="3"/>
  <c r="DY624" i="3"/>
  <c r="JO7" i="80" s="1"/>
  <c r="BJ68" i="77"/>
  <c r="LI7" i="80" s="1"/>
  <c r="LI11" i="80" s="1"/>
  <c r="CL7" i="4"/>
  <c r="CL72" i="4"/>
  <c r="CL270" i="4"/>
  <c r="DZ163" i="3"/>
  <c r="DZ820" i="3"/>
  <c r="DZ825" i="3"/>
  <c r="DZ829" i="3"/>
  <c r="DZ602" i="3"/>
  <c r="DZ575" i="3"/>
  <c r="DZ448" i="3"/>
  <c r="BK68" i="77"/>
  <c r="LJ7" i="80" s="1"/>
  <c r="LJ11" i="80" s="1"/>
  <c r="CM7" i="4"/>
  <c r="CM72" i="4"/>
  <c r="CM270" i="4"/>
  <c r="EA163" i="3"/>
  <c r="EA820" i="3"/>
  <c r="EA825" i="3"/>
  <c r="EA829" i="3"/>
  <c r="EA602" i="3"/>
  <c r="EA575" i="3"/>
  <c r="EA448" i="3"/>
  <c r="BL68" i="77"/>
  <c r="LK7" i="80" s="1"/>
  <c r="LK11" i="80" s="1"/>
  <c r="CN7" i="4"/>
  <c r="CN72" i="4"/>
  <c r="CN270" i="4"/>
  <c r="CN288" i="4" s="1"/>
  <c r="EB163" i="3"/>
  <c r="EB240" i="3"/>
  <c r="GD7" i="80" s="1"/>
  <c r="EB820" i="3"/>
  <c r="EB825" i="3"/>
  <c r="EB829" i="3"/>
  <c r="EB602" i="3"/>
  <c r="EB575" i="3"/>
  <c r="EB448" i="3"/>
  <c r="EB624" i="3"/>
  <c r="JR7" i="80" s="1"/>
  <c r="JR11" i="80" s="1"/>
  <c r="BM68" i="77"/>
  <c r="LL7" i="80" s="1"/>
  <c r="LL11" i="80" s="1"/>
  <c r="CO7" i="4"/>
  <c r="CO72" i="4"/>
  <c r="CO270" i="4"/>
  <c r="CO288" i="4" s="1"/>
  <c r="EC163" i="3"/>
  <c r="EC240" i="3"/>
  <c r="GE7" i="80" s="1"/>
  <c r="EC820" i="3"/>
  <c r="EC825" i="3"/>
  <c r="EC829" i="3"/>
  <c r="EC602" i="3"/>
  <c r="EC575" i="3"/>
  <c r="EC448" i="3"/>
  <c r="EC624" i="3"/>
  <c r="JS7" i="80" s="1"/>
  <c r="BN68" i="77"/>
  <c r="LM7" i="80" s="1"/>
  <c r="LM11" i="80" s="1"/>
  <c r="CP7" i="4"/>
  <c r="CP72" i="4"/>
  <c r="CP270" i="4"/>
  <c r="ED820" i="3"/>
  <c r="ED825" i="3"/>
  <c r="ED829" i="3"/>
  <c r="ED602" i="3"/>
  <c r="ED575" i="3"/>
  <c r="ED448" i="3"/>
  <c r="BO68" i="77"/>
  <c r="LN7" i="80" s="1"/>
  <c r="LN11" i="80" s="1"/>
  <c r="L6" i="77"/>
  <c r="V6" i="77"/>
  <c r="BA6" i="77"/>
  <c r="OW11" i="80"/>
  <c r="OV11" i="80"/>
  <c r="OU11" i="80"/>
  <c r="OT11" i="80"/>
  <c r="OS11" i="80"/>
  <c r="OR11" i="80"/>
  <c r="OQ11" i="80"/>
  <c r="OP11" i="80"/>
  <c r="OO11" i="80"/>
  <c r="ON11" i="80"/>
  <c r="OM11" i="80"/>
  <c r="OL11" i="80"/>
  <c r="OX10" i="80"/>
  <c r="OX9" i="80"/>
  <c r="OX8" i="80"/>
  <c r="OX7" i="80"/>
  <c r="OX11" i="80" s="1"/>
  <c r="MY11" i="80"/>
  <c r="NI10" i="80"/>
  <c r="NI9" i="80"/>
  <c r="NI8" i="80"/>
  <c r="NH11" i="80"/>
  <c r="NG11" i="80"/>
  <c r="NF11" i="80"/>
  <c r="NE11" i="80"/>
  <c r="ND11" i="80"/>
  <c r="NC11" i="80"/>
  <c r="NB11" i="80"/>
  <c r="NA11" i="80"/>
  <c r="MZ11" i="80"/>
  <c r="NI7" i="80"/>
  <c r="MX11" i="80"/>
  <c r="MW11" i="80"/>
  <c r="LO10" i="80"/>
  <c r="LO8" i="80"/>
  <c r="EM10" i="80"/>
  <c r="EM9" i="80"/>
  <c r="EM8" i="80"/>
  <c r="MG7" i="80"/>
  <c r="MJ7" i="80"/>
  <c r="MM7" i="80"/>
  <c r="MP7" i="80"/>
  <c r="MV8" i="80"/>
  <c r="MV9" i="80"/>
  <c r="MV10" i="80"/>
  <c r="LO9" i="80"/>
  <c r="B253" i="4"/>
  <c r="R58" i="57"/>
  <c r="E68" i="77"/>
  <c r="JV17" i="80" s="1"/>
  <c r="JV21" i="80" s="1"/>
  <c r="G68" i="77"/>
  <c r="JX17" i="80" s="1"/>
  <c r="JW17" i="80" s="1"/>
  <c r="I68" i="77"/>
  <c r="JZ17" i="80" s="1"/>
  <c r="M68" i="77"/>
  <c r="KB17" i="80" s="1"/>
  <c r="KA17" i="80" s="1"/>
  <c r="O68" i="77"/>
  <c r="KD17" i="80" s="1"/>
  <c r="KC17" i="80" s="1"/>
  <c r="R68" i="77"/>
  <c r="KF17" i="80" s="1"/>
  <c r="X68" i="77"/>
  <c r="KH17" i="80" s="1"/>
  <c r="AA68" i="77"/>
  <c r="KJ17" i="80" s="1"/>
  <c r="AD68" i="77"/>
  <c r="KL17" i="80" s="1"/>
  <c r="KM17" i="80" s="1"/>
  <c r="AK68" i="77"/>
  <c r="KO17" i="80" s="1"/>
  <c r="AO68" i="77"/>
  <c r="KR17" i="80" s="1"/>
  <c r="AS68" i="77"/>
  <c r="KU17" i="80" s="1"/>
  <c r="KT17" i="80" s="1"/>
  <c r="LQ17" i="80"/>
  <c r="LS17" i="80"/>
  <c r="LU17" i="80"/>
  <c r="LU21" i="80"/>
  <c r="LW17" i="80"/>
  <c r="LW21" i="80"/>
  <c r="LY17" i="80"/>
  <c r="MA17" i="80"/>
  <c r="MA21" i="80"/>
  <c r="MC17" i="80"/>
  <c r="ME17" i="80"/>
  <c r="ME21" i="80"/>
  <c r="MG17" i="80"/>
  <c r="MG27" i="80" s="1"/>
  <c r="MH17" i="80"/>
  <c r="MH21" i="80"/>
  <c r="MJ17" i="80"/>
  <c r="MK17" i="80"/>
  <c r="MK21" i="80" s="1"/>
  <c r="MM17" i="80"/>
  <c r="MN17" i="80"/>
  <c r="MN21" i="80"/>
  <c r="MP17" i="80"/>
  <c r="MT17" i="80"/>
  <c r="NK17" i="80"/>
  <c r="NM17" i="80"/>
  <c r="NM27" i="80"/>
  <c r="NO17" i="80"/>
  <c r="NQ17" i="80"/>
  <c r="NS17" i="80"/>
  <c r="OH17" i="80"/>
  <c r="NS27" i="80"/>
  <c r="NU17" i="80"/>
  <c r="NU21" i="80"/>
  <c r="NW17" i="80"/>
  <c r="NY17" i="80"/>
  <c r="OA17" i="80"/>
  <c r="OA21" i="80"/>
  <c r="OC17" i="80"/>
  <c r="OE17" i="80"/>
  <c r="OE21" i="80"/>
  <c r="OJ17" i="80"/>
  <c r="AZ18" i="80"/>
  <c r="BB18" i="80"/>
  <c r="BD18" i="80"/>
  <c r="BC18" i="80" s="1"/>
  <c r="BF18" i="80"/>
  <c r="BH18" i="80"/>
  <c r="BJ18" i="80"/>
  <c r="BI18" i="80" s="1"/>
  <c r="BL8" i="80"/>
  <c r="BL28" i="80" s="1"/>
  <c r="BK18" i="80"/>
  <c r="BN8" i="80"/>
  <c r="BM18" i="80" s="1"/>
  <c r="BP8" i="80"/>
  <c r="BS8" i="80"/>
  <c r="BV8" i="80"/>
  <c r="BW18" i="80" s="1"/>
  <c r="BY8" i="80"/>
  <c r="BX18" i="80" s="1"/>
  <c r="BY18" i="80" s="1"/>
  <c r="CU18" i="80"/>
  <c r="CU28" i="80"/>
  <c r="CW18" i="80"/>
  <c r="DK18" i="80"/>
  <c r="DK28" i="80"/>
  <c r="DN18" i="80"/>
  <c r="DQ18" i="80"/>
  <c r="DT18" i="80"/>
  <c r="DT28" i="80" s="1"/>
  <c r="DU18" i="80"/>
  <c r="DV18" i="80"/>
  <c r="DW18" i="80"/>
  <c r="DX18" i="80"/>
  <c r="GI18" i="80"/>
  <c r="GK18" i="80"/>
  <c r="GK28" i="80"/>
  <c r="GM18" i="80"/>
  <c r="GM28" i="80" s="1"/>
  <c r="GO18" i="80"/>
  <c r="GO28" i="80"/>
  <c r="GQ18" i="80"/>
  <c r="GS18" i="80"/>
  <c r="GS28" i="80" s="1"/>
  <c r="GU18" i="80"/>
  <c r="GW18" i="80"/>
  <c r="GW28" i="80" s="1"/>
  <c r="GY18" i="80"/>
  <c r="GZ18" i="80"/>
  <c r="GZ28" i="80" s="1"/>
  <c r="HB18" i="80"/>
  <c r="HB28" i="80"/>
  <c r="HC18" i="80"/>
  <c r="HC28" i="80" s="1"/>
  <c r="HE18" i="80"/>
  <c r="HF18" i="80"/>
  <c r="HF28" i="80" s="1"/>
  <c r="HH18" i="80"/>
  <c r="HH28" i="80" s="1"/>
  <c r="HL18" i="80"/>
  <c r="JW18" i="80"/>
  <c r="JY18" i="80"/>
  <c r="JY28" i="80" s="1"/>
  <c r="KG18" i="80"/>
  <c r="KI18" i="80"/>
  <c r="KK18" i="80"/>
  <c r="KK28" i="80" s="1"/>
  <c r="KM18" i="80"/>
  <c r="KM28" i="80"/>
  <c r="KN18" i="80"/>
  <c r="KN28" i="80" s="1"/>
  <c r="KP18" i="80"/>
  <c r="KP28" i="80" s="1"/>
  <c r="KQ18" i="80"/>
  <c r="KQ28" i="80" s="1"/>
  <c r="KS18" i="80"/>
  <c r="KS28" i="80"/>
  <c r="KT18" i="80"/>
  <c r="KT28" i="80"/>
  <c r="KV18" i="80"/>
  <c r="KX18" i="80"/>
  <c r="KZ18" i="80"/>
  <c r="MG18" i="80"/>
  <c r="MJ18" i="80"/>
  <c r="MJ28" i="80" s="1"/>
  <c r="MM18" i="80"/>
  <c r="MM28" i="80" s="1"/>
  <c r="MP18" i="80"/>
  <c r="MP28" i="80" s="1"/>
  <c r="MQ18" i="80"/>
  <c r="MR18" i="80"/>
  <c r="MS18" i="80"/>
  <c r="MT18" i="80"/>
  <c r="OG18" i="80"/>
  <c r="OH18" i="80"/>
  <c r="OI18" i="80"/>
  <c r="OJ18" i="80"/>
  <c r="CU19" i="80"/>
  <c r="CW19" i="80"/>
  <c r="DK19" i="80"/>
  <c r="DK29" i="80"/>
  <c r="DN19" i="80"/>
  <c r="DN29" i="80" s="1"/>
  <c r="DQ19" i="80"/>
  <c r="DT19" i="80"/>
  <c r="DT29" i="80"/>
  <c r="DV19" i="80"/>
  <c r="DW19" i="80"/>
  <c r="DX19" i="80"/>
  <c r="JW19" i="80"/>
  <c r="JY19" i="80"/>
  <c r="JY29" i="80"/>
  <c r="KG19" i="80"/>
  <c r="KI19" i="80"/>
  <c r="KK19" i="80"/>
  <c r="KK29" i="80"/>
  <c r="KM19" i="80"/>
  <c r="KM29" i="80" s="1"/>
  <c r="KN19" i="80"/>
  <c r="KN29" i="80"/>
  <c r="KP19" i="80"/>
  <c r="KP29" i="80" s="1"/>
  <c r="KQ19" i="80"/>
  <c r="KQ29" i="80"/>
  <c r="KS19" i="80"/>
  <c r="KS29" i="80" s="1"/>
  <c r="KT19" i="80"/>
  <c r="KT29" i="80"/>
  <c r="KV19" i="80"/>
  <c r="KV29" i="80" s="1"/>
  <c r="KX19" i="80"/>
  <c r="KZ19" i="80"/>
  <c r="MG19" i="80"/>
  <c r="MG29" i="80" s="1"/>
  <c r="MJ19" i="80"/>
  <c r="MM19" i="80"/>
  <c r="MM29" i="80" s="1"/>
  <c r="MP19" i="80"/>
  <c r="MP29" i="80"/>
  <c r="MQ19" i="80"/>
  <c r="MR19" i="80"/>
  <c r="MS19" i="80"/>
  <c r="MT19" i="80"/>
  <c r="OG19" i="80"/>
  <c r="OH19" i="80"/>
  <c r="OI19" i="80"/>
  <c r="OJ19" i="80"/>
  <c r="CU20" i="80"/>
  <c r="CU30" i="80"/>
  <c r="CW20" i="80"/>
  <c r="DK20" i="80"/>
  <c r="DK30" i="80"/>
  <c r="DN20" i="80"/>
  <c r="DQ20" i="80"/>
  <c r="DQ30" i="80"/>
  <c r="DT20" i="80"/>
  <c r="DV20" i="80"/>
  <c r="DW20" i="80"/>
  <c r="DX20" i="80"/>
  <c r="JW20" i="80"/>
  <c r="JY20" i="80"/>
  <c r="JY30" i="80"/>
  <c r="KG20" i="80"/>
  <c r="KI20" i="80"/>
  <c r="KI30" i="80" s="1"/>
  <c r="KK20" i="80"/>
  <c r="KK30" i="80"/>
  <c r="KM20" i="80"/>
  <c r="KM30" i="80" s="1"/>
  <c r="KN20" i="80"/>
  <c r="KN30" i="80"/>
  <c r="KP20" i="80"/>
  <c r="KP30" i="80" s="1"/>
  <c r="KQ20" i="80"/>
  <c r="KS20" i="80"/>
  <c r="KS30" i="80"/>
  <c r="KT20" i="80"/>
  <c r="KT30" i="80"/>
  <c r="KV20" i="80"/>
  <c r="KV30" i="80"/>
  <c r="KX20" i="80"/>
  <c r="KZ20" i="80"/>
  <c r="MG20" i="80"/>
  <c r="MG30" i="80"/>
  <c r="MJ20" i="80"/>
  <c r="MM20" i="80"/>
  <c r="MP20" i="80"/>
  <c r="MP30" i="80" s="1"/>
  <c r="MV20" i="80"/>
  <c r="MQ20" i="80"/>
  <c r="MR20" i="80"/>
  <c r="MS20" i="80"/>
  <c r="MT20" i="80"/>
  <c r="OG20" i="80"/>
  <c r="OH20" i="80"/>
  <c r="OI20" i="80"/>
  <c r="OJ20" i="80"/>
  <c r="LP21" i="80"/>
  <c r="LR21" i="80"/>
  <c r="LT21" i="80"/>
  <c r="LV21" i="80"/>
  <c r="LX21" i="80"/>
  <c r="LY21" i="80"/>
  <c r="LZ21" i="80"/>
  <c r="MB21" i="80"/>
  <c r="MD21" i="80"/>
  <c r="MF21" i="80"/>
  <c r="MI21" i="80"/>
  <c r="ML21" i="80"/>
  <c r="MO21" i="80"/>
  <c r="NJ21" i="80"/>
  <c r="NL21" i="80"/>
  <c r="NN21" i="80"/>
  <c r="NP21" i="80"/>
  <c r="NQ21" i="80"/>
  <c r="NR21" i="80"/>
  <c r="NS21" i="80"/>
  <c r="NT21" i="80"/>
  <c r="NV21" i="80"/>
  <c r="NX21" i="80"/>
  <c r="NY21" i="80"/>
  <c r="NZ21" i="80"/>
  <c r="OB21" i="80"/>
  <c r="OD21" i="80"/>
  <c r="OF21" i="80"/>
  <c r="J23" i="80"/>
  <c r="EP23" i="80"/>
  <c r="ER23" i="80"/>
  <c r="GJ23" i="80"/>
  <c r="GL23" i="80"/>
  <c r="ID23" i="80"/>
  <c r="IF23" i="80"/>
  <c r="JX23" i="80"/>
  <c r="JZ23" i="80"/>
  <c r="LP27" i="80"/>
  <c r="LV27" i="80"/>
  <c r="LX27" i="80"/>
  <c r="LY27" i="80"/>
  <c r="LZ27" i="80"/>
  <c r="MB27" i="80"/>
  <c r="MC27" i="80"/>
  <c r="MD27" i="80"/>
  <c r="MF27" i="80"/>
  <c r="MH27" i="80"/>
  <c r="MI27" i="80"/>
  <c r="ML27" i="80"/>
  <c r="MN27" i="80"/>
  <c r="MO27" i="80"/>
  <c r="NJ27" i="80"/>
  <c r="NP27" i="80"/>
  <c r="NQ27" i="80"/>
  <c r="NR27" i="80"/>
  <c r="NT27" i="80"/>
  <c r="NV27" i="80"/>
  <c r="NX27" i="80"/>
  <c r="NY27" i="80"/>
  <c r="NZ27" i="80"/>
  <c r="OA27" i="80"/>
  <c r="OB27" i="80"/>
  <c r="OD27" i="80"/>
  <c r="OF27" i="80"/>
  <c r="CT28" i="80"/>
  <c r="CV28" i="80"/>
  <c r="CW28" i="80"/>
  <c r="CX28" i="80"/>
  <c r="CY28" i="80"/>
  <c r="CZ28" i="80"/>
  <c r="DA28" i="80"/>
  <c r="DB28" i="80"/>
  <c r="DC28" i="80"/>
  <c r="DD28" i="80"/>
  <c r="DE28" i="80"/>
  <c r="DF28" i="80"/>
  <c r="DG28" i="80"/>
  <c r="DH28" i="80"/>
  <c r="DI28" i="80"/>
  <c r="DJ28" i="80"/>
  <c r="DL28" i="80"/>
  <c r="DM28" i="80"/>
  <c r="DN28" i="80"/>
  <c r="DO28" i="80"/>
  <c r="DP28" i="80"/>
  <c r="DQ28" i="80"/>
  <c r="DR28" i="80"/>
  <c r="DS28" i="80"/>
  <c r="GH28" i="80"/>
  <c r="GJ28" i="80"/>
  <c r="GL28" i="80"/>
  <c r="GN28" i="80"/>
  <c r="GP28" i="80"/>
  <c r="GR28" i="80"/>
  <c r="GT28" i="80"/>
  <c r="GV28" i="80"/>
  <c r="GX28" i="80"/>
  <c r="GY28" i="80"/>
  <c r="HA28" i="80"/>
  <c r="HD28" i="80"/>
  <c r="HE28" i="80"/>
  <c r="HG28" i="80"/>
  <c r="JV28" i="80"/>
  <c r="JX28" i="80"/>
  <c r="JZ28" i="80"/>
  <c r="KA28" i="80"/>
  <c r="KB28" i="80"/>
  <c r="KC28" i="80"/>
  <c r="KD28" i="80"/>
  <c r="KE28" i="80"/>
  <c r="KF28" i="80"/>
  <c r="KH28" i="80"/>
  <c r="KI28" i="80"/>
  <c r="KJ28" i="80"/>
  <c r="KL28" i="80"/>
  <c r="KO28" i="80"/>
  <c r="KR28" i="80"/>
  <c r="KU28" i="80"/>
  <c r="KV28" i="80"/>
  <c r="LP28" i="80"/>
  <c r="LQ28" i="80"/>
  <c r="LR28" i="80"/>
  <c r="LS28" i="80"/>
  <c r="LT28" i="80"/>
  <c r="LU28" i="80"/>
  <c r="LV28" i="80"/>
  <c r="LW28" i="80"/>
  <c r="LX28" i="80"/>
  <c r="LY28" i="80"/>
  <c r="LZ28" i="80"/>
  <c r="MA28" i="80"/>
  <c r="MB28" i="80"/>
  <c r="MC28" i="80"/>
  <c r="MD28" i="80"/>
  <c r="ME28" i="80"/>
  <c r="MF28" i="80"/>
  <c r="MH28" i="80"/>
  <c r="MI28" i="80"/>
  <c r="MK28" i="80"/>
  <c r="ML28" i="80"/>
  <c r="MN28" i="80"/>
  <c r="MO28" i="80"/>
  <c r="NU28" i="80"/>
  <c r="NV28" i="80"/>
  <c r="NW28" i="80"/>
  <c r="NX28" i="80"/>
  <c r="NY28" i="80"/>
  <c r="NZ28" i="80"/>
  <c r="OA28" i="80"/>
  <c r="OB28" i="80"/>
  <c r="OC28" i="80"/>
  <c r="OD28" i="80"/>
  <c r="OE28" i="80"/>
  <c r="OF28" i="80"/>
  <c r="CT29" i="80"/>
  <c r="CU29" i="80"/>
  <c r="CV29" i="80"/>
  <c r="CX29" i="80"/>
  <c r="CY29" i="80"/>
  <c r="CZ29" i="80"/>
  <c r="DA29" i="80"/>
  <c r="DB29" i="80"/>
  <c r="DC29" i="80"/>
  <c r="DD29" i="80"/>
  <c r="DE29" i="80"/>
  <c r="DF29" i="80"/>
  <c r="DG29" i="80"/>
  <c r="DH29" i="80"/>
  <c r="DI29" i="80"/>
  <c r="DJ29" i="80"/>
  <c r="DL29" i="80"/>
  <c r="DM29" i="80"/>
  <c r="DO29" i="80"/>
  <c r="DP29" i="80"/>
  <c r="DQ29" i="80"/>
  <c r="DR29" i="80"/>
  <c r="DS29" i="80"/>
  <c r="JV29" i="80"/>
  <c r="JX29" i="80"/>
  <c r="JZ29" i="80"/>
  <c r="KA29" i="80"/>
  <c r="KB29" i="80"/>
  <c r="KC29" i="80"/>
  <c r="KD29" i="80"/>
  <c r="KE29" i="80"/>
  <c r="KF29" i="80"/>
  <c r="KH29" i="80"/>
  <c r="KI29" i="80"/>
  <c r="KJ29" i="80"/>
  <c r="KL29" i="80"/>
  <c r="KO29" i="80"/>
  <c r="KR29" i="80"/>
  <c r="KU29" i="80"/>
  <c r="LP29" i="80"/>
  <c r="LQ29" i="80"/>
  <c r="LR29" i="80"/>
  <c r="LS29" i="80"/>
  <c r="LT29" i="80"/>
  <c r="LU29" i="80"/>
  <c r="LV29" i="80"/>
  <c r="LW29" i="80"/>
  <c r="LX29" i="80"/>
  <c r="LY29" i="80"/>
  <c r="LZ29" i="80"/>
  <c r="MA29" i="80"/>
  <c r="MB29" i="80"/>
  <c r="MC29" i="80"/>
  <c r="MD29" i="80"/>
  <c r="ME29" i="80"/>
  <c r="MF29" i="80"/>
  <c r="MH29" i="80"/>
  <c r="MI29" i="80"/>
  <c r="MJ29" i="80"/>
  <c r="MK29" i="80"/>
  <c r="ML29" i="80"/>
  <c r="MN29" i="80"/>
  <c r="MO29" i="80"/>
  <c r="NU29" i="80"/>
  <c r="NV29" i="80"/>
  <c r="NW29" i="80"/>
  <c r="NZ29" i="80"/>
  <c r="NX29" i="80"/>
  <c r="NY29" i="80"/>
  <c r="OA29" i="80"/>
  <c r="OB29" i="80"/>
  <c r="OC29" i="80"/>
  <c r="OD29" i="80"/>
  <c r="OE29" i="80"/>
  <c r="OF29" i="80"/>
  <c r="CT30" i="80"/>
  <c r="CV30" i="80"/>
  <c r="CX30" i="80"/>
  <c r="CY30" i="80"/>
  <c r="CZ30" i="80"/>
  <c r="DA30" i="80"/>
  <c r="DB30" i="80"/>
  <c r="DC30" i="80"/>
  <c r="DD30" i="80"/>
  <c r="DE30" i="80"/>
  <c r="DF30" i="80"/>
  <c r="DG30" i="80"/>
  <c r="DH30" i="80"/>
  <c r="DI30" i="80"/>
  <c r="DJ30" i="80"/>
  <c r="DL30" i="80"/>
  <c r="DM30" i="80"/>
  <c r="DN30" i="80"/>
  <c r="DO30" i="80"/>
  <c r="DP30" i="80"/>
  <c r="DR30" i="80"/>
  <c r="DS30" i="80"/>
  <c r="DX30" i="80" s="1"/>
  <c r="DT30" i="80"/>
  <c r="JV30" i="80"/>
  <c r="JX30" i="80"/>
  <c r="JZ30" i="80"/>
  <c r="KA30" i="80"/>
  <c r="KB30" i="80"/>
  <c r="KC30" i="80"/>
  <c r="KD30" i="80"/>
  <c r="KE30" i="80"/>
  <c r="KF30" i="80"/>
  <c r="KH30" i="80"/>
  <c r="KJ30" i="80"/>
  <c r="KL30" i="80"/>
  <c r="KO30" i="80"/>
  <c r="KQ30" i="80"/>
  <c r="KR30" i="80"/>
  <c r="KU30" i="80"/>
  <c r="LP30" i="80"/>
  <c r="LQ30" i="80"/>
  <c r="LR30" i="80"/>
  <c r="LS30" i="80"/>
  <c r="LT30" i="80"/>
  <c r="LU30" i="80"/>
  <c r="LV30" i="80"/>
  <c r="LW30" i="80"/>
  <c r="LX30" i="80"/>
  <c r="LY30" i="80"/>
  <c r="LZ30" i="80"/>
  <c r="MA30" i="80"/>
  <c r="MB30" i="80"/>
  <c r="MC30" i="80"/>
  <c r="MD30" i="80"/>
  <c r="ME30" i="80"/>
  <c r="MF30" i="80"/>
  <c r="MH30" i="80"/>
  <c r="MI30" i="80"/>
  <c r="MK30" i="80"/>
  <c r="ML30" i="80"/>
  <c r="MM30" i="80"/>
  <c r="MN30" i="80"/>
  <c r="MO30" i="80"/>
  <c r="NU30" i="80"/>
  <c r="NV30" i="80"/>
  <c r="NW30" i="80"/>
  <c r="NX30" i="80"/>
  <c r="NY30" i="80"/>
  <c r="NZ30" i="80"/>
  <c r="OI30" i="80" s="1"/>
  <c r="OA30" i="80"/>
  <c r="OB30" i="80"/>
  <c r="OC30" i="80"/>
  <c r="OD30" i="80"/>
  <c r="OE30" i="80"/>
  <c r="OF30" i="80"/>
  <c r="AK35" i="80"/>
  <c r="BA35" i="80"/>
  <c r="BC35" i="80"/>
  <c r="CE35" i="80"/>
  <c r="DY35" i="80"/>
  <c r="FS35" i="80"/>
  <c r="HM35" i="80"/>
  <c r="JG35" i="80"/>
  <c r="LA35" i="80"/>
  <c r="MU35" i="80"/>
  <c r="MU36" i="80"/>
  <c r="MU37" i="80"/>
  <c r="MU38" i="80"/>
  <c r="MU39" i="80"/>
  <c r="MU40" i="80"/>
  <c r="MU41" i="80"/>
  <c r="MU42" i="80"/>
  <c r="OK35" i="80"/>
  <c r="QD35" i="80"/>
  <c r="AK36" i="80"/>
  <c r="BA36" i="80"/>
  <c r="BC36" i="80"/>
  <c r="CE36" i="80"/>
  <c r="DY36" i="80"/>
  <c r="FS36" i="80"/>
  <c r="FS37" i="80"/>
  <c r="FS38" i="80"/>
  <c r="FS39" i="80"/>
  <c r="FS40" i="80"/>
  <c r="FS41" i="80"/>
  <c r="FS42" i="80"/>
  <c r="HM36" i="80"/>
  <c r="JG36" i="80"/>
  <c r="LA36" i="80"/>
  <c r="OK36" i="80"/>
  <c r="QD36" i="80"/>
  <c r="AI37" i="80"/>
  <c r="AK37" i="80"/>
  <c r="BA37" i="80"/>
  <c r="BC37" i="80"/>
  <c r="BE37" i="80"/>
  <c r="CE37" i="80"/>
  <c r="DY37" i="80"/>
  <c r="DY38" i="80"/>
  <c r="DY39" i="80"/>
  <c r="DY40" i="80"/>
  <c r="DY41" i="80"/>
  <c r="DY42" i="80"/>
  <c r="DY44" i="80"/>
  <c r="HM37" i="80"/>
  <c r="JG37" i="80"/>
  <c r="LA37" i="80"/>
  <c r="OK37" i="80"/>
  <c r="QD37" i="80"/>
  <c r="AK38" i="80"/>
  <c r="BA38" i="80"/>
  <c r="BC38" i="80"/>
  <c r="CE38" i="80"/>
  <c r="HM38" i="80"/>
  <c r="JG38" i="80"/>
  <c r="LA38" i="80"/>
  <c r="OK38" i="80"/>
  <c r="OK39" i="80"/>
  <c r="OK40" i="80"/>
  <c r="OK41" i="80"/>
  <c r="OK42" i="80"/>
  <c r="QD38" i="80"/>
  <c r="AI39" i="80"/>
  <c r="AK39" i="80"/>
  <c r="BA39" i="80"/>
  <c r="BC39" i="80"/>
  <c r="BE39" i="80"/>
  <c r="CE39" i="80"/>
  <c r="HM39" i="80"/>
  <c r="JG39" i="80"/>
  <c r="LA39" i="80"/>
  <c r="QD39" i="80"/>
  <c r="AI40" i="80"/>
  <c r="AK40" i="80"/>
  <c r="BA40" i="80"/>
  <c r="BC40" i="80"/>
  <c r="CE40" i="80"/>
  <c r="HM40" i="80"/>
  <c r="JG40" i="80"/>
  <c r="LA40" i="80"/>
  <c r="QD40" i="80"/>
  <c r="AK41" i="80"/>
  <c r="BA41" i="80"/>
  <c r="AZ41" i="80" s="1"/>
  <c r="BC41" i="80"/>
  <c r="BB41" i="80" s="1"/>
  <c r="CE41" i="80"/>
  <c r="HM41" i="80"/>
  <c r="JG41" i="80"/>
  <c r="LA41" i="80"/>
  <c r="QD41" i="80"/>
  <c r="AI42" i="80"/>
  <c r="AJ42" i="80"/>
  <c r="AK42" i="80"/>
  <c r="AZ42" i="80"/>
  <c r="BA42" i="80"/>
  <c r="BC42" i="80"/>
  <c r="BE42" i="80"/>
  <c r="BB42" i="80"/>
  <c r="CE42" i="80"/>
  <c r="HM42" i="80"/>
  <c r="JG42" i="80"/>
  <c r="LA42" i="80"/>
  <c r="QD42" i="80"/>
  <c r="BD43" i="80"/>
  <c r="BE43" i="80"/>
  <c r="LA44" i="80"/>
  <c r="QF11" i="80"/>
  <c r="OF11" i="80"/>
  <c r="OE11" i="80"/>
  <c r="OD11" i="80"/>
  <c r="OC11" i="80"/>
  <c r="OB11" i="80"/>
  <c r="OA11" i="80"/>
  <c r="NZ11" i="80"/>
  <c r="NY11" i="80"/>
  <c r="NX11" i="80"/>
  <c r="NW11" i="80"/>
  <c r="NV11" i="80"/>
  <c r="NU11" i="80"/>
  <c r="MO11" i="80"/>
  <c r="MN11" i="80"/>
  <c r="ML11" i="80"/>
  <c r="MK11" i="80"/>
  <c r="MI11" i="80"/>
  <c r="MH11" i="80"/>
  <c r="MF11" i="80"/>
  <c r="ME11" i="80"/>
  <c r="MD11" i="80"/>
  <c r="MC11" i="80"/>
  <c r="MB11" i="80"/>
  <c r="MA11" i="80"/>
  <c r="LZ11" i="80"/>
  <c r="LY11" i="80"/>
  <c r="LX11" i="80"/>
  <c r="LW11" i="80"/>
  <c r="LV11" i="80"/>
  <c r="LU11" i="80"/>
  <c r="LS11" i="80"/>
  <c r="LQ11" i="80"/>
  <c r="LP11" i="80"/>
  <c r="KU11" i="80"/>
  <c r="KR11" i="80"/>
  <c r="KO11" i="80"/>
  <c r="KL11" i="80"/>
  <c r="KJ11" i="80"/>
  <c r="KH11" i="80"/>
  <c r="KF11" i="80"/>
  <c r="KD11" i="80"/>
  <c r="KB11" i="80"/>
  <c r="JZ11" i="80"/>
  <c r="JX11" i="80"/>
  <c r="JA11" i="80"/>
  <c r="IX11" i="80"/>
  <c r="IU11" i="80"/>
  <c r="IR11" i="80"/>
  <c r="IP11" i="80"/>
  <c r="IN11" i="80"/>
  <c r="IL11" i="80"/>
  <c r="IJ11" i="80"/>
  <c r="IH11" i="80"/>
  <c r="HG11" i="80"/>
  <c r="HD11" i="80"/>
  <c r="HA11" i="80"/>
  <c r="GX11" i="80"/>
  <c r="GV11" i="80"/>
  <c r="GT11" i="80"/>
  <c r="GR11" i="80"/>
  <c r="GP11" i="80"/>
  <c r="GN11" i="80"/>
  <c r="FM11" i="80"/>
  <c r="FJ11" i="80"/>
  <c r="FG11" i="80"/>
  <c r="FD11" i="80"/>
  <c r="FB11" i="80"/>
  <c r="EZ11" i="80"/>
  <c r="EX11" i="80"/>
  <c r="EV11" i="80"/>
  <c r="ET11" i="80"/>
  <c r="DS11" i="80"/>
  <c r="DP11" i="80"/>
  <c r="DM11" i="80"/>
  <c r="DJ11" i="80"/>
  <c r="DH11" i="80"/>
  <c r="DF11" i="80"/>
  <c r="DD11" i="80"/>
  <c r="DB11" i="80"/>
  <c r="BJ11" i="80"/>
  <c r="BH11" i="80"/>
  <c r="BF11" i="80"/>
  <c r="P11" i="80"/>
  <c r="N11" i="80"/>
  <c r="L11" i="80"/>
  <c r="OJ10" i="80"/>
  <c r="OI10" i="80"/>
  <c r="MT10" i="80"/>
  <c r="MS10" i="80"/>
  <c r="MR10" i="80"/>
  <c r="MQ10" i="80"/>
  <c r="LB10" i="80"/>
  <c r="KZ10" i="80"/>
  <c r="KW10" i="80"/>
  <c r="KX10" i="80"/>
  <c r="KY10" i="80"/>
  <c r="JF10" i="80"/>
  <c r="HL10" i="80"/>
  <c r="FR10" i="80"/>
  <c r="DZ10" i="80"/>
  <c r="DX10" i="80"/>
  <c r="DW10" i="80"/>
  <c r="DV10" i="80"/>
  <c r="DU10" i="80"/>
  <c r="OJ9" i="80"/>
  <c r="OI9" i="80"/>
  <c r="MT9" i="80"/>
  <c r="MS9" i="80"/>
  <c r="MR9" i="80"/>
  <c r="MQ9" i="80"/>
  <c r="LB9" i="80"/>
  <c r="KZ9" i="80"/>
  <c r="KY9" i="80"/>
  <c r="KX9" i="80"/>
  <c r="KW9" i="80"/>
  <c r="JF9" i="80"/>
  <c r="HL9" i="80"/>
  <c r="FR9" i="80"/>
  <c r="FR7" i="80"/>
  <c r="FR8" i="80"/>
  <c r="FR11" i="80"/>
  <c r="BB38" i="80" s="1"/>
  <c r="DZ9" i="80"/>
  <c r="DX9" i="80"/>
  <c r="DW9" i="80"/>
  <c r="DV9" i="80"/>
  <c r="DU9" i="80"/>
  <c r="OJ8" i="80"/>
  <c r="OI8" i="80"/>
  <c r="MT8" i="80"/>
  <c r="MQ8" i="80"/>
  <c r="MR8" i="80"/>
  <c r="MS8" i="80"/>
  <c r="LB8" i="80"/>
  <c r="KZ8" i="80"/>
  <c r="KY8" i="80"/>
  <c r="KX8" i="80"/>
  <c r="KW8" i="80"/>
  <c r="JF8" i="80"/>
  <c r="HN8" i="80"/>
  <c r="HL8" i="80"/>
  <c r="HK8" i="80"/>
  <c r="HJ8" i="80"/>
  <c r="HI8" i="80"/>
  <c r="DZ8" i="80"/>
  <c r="DX8" i="80"/>
  <c r="DW8" i="80"/>
  <c r="DV8" i="80"/>
  <c r="DU8" i="80"/>
  <c r="DY8" i="80" s="1"/>
  <c r="BX8" i="80"/>
  <c r="BX28" i="80" s="1"/>
  <c r="BU8" i="80"/>
  <c r="BR8" i="80"/>
  <c r="BO8" i="80"/>
  <c r="BM8" i="80"/>
  <c r="BK8" i="80"/>
  <c r="BI8" i="80"/>
  <c r="BG8" i="80"/>
  <c r="BE8" i="80"/>
  <c r="BD8" i="80"/>
  <c r="BC8" i="80"/>
  <c r="BB8" i="80"/>
  <c r="BA8" i="80"/>
  <c r="AZ8" i="80"/>
  <c r="PI7" i="80"/>
  <c r="PG7" i="80"/>
  <c r="OJ7" i="80"/>
  <c r="OI7" i="80"/>
  <c r="OH7" i="80"/>
  <c r="NN7" i="80"/>
  <c r="NL7" i="80"/>
  <c r="NL27" i="80"/>
  <c r="MT7" i="80"/>
  <c r="MS7" i="80"/>
  <c r="MR7" i="80"/>
  <c r="LT7" i="80"/>
  <c r="MQ7" i="80" s="1"/>
  <c r="LT27" i="80"/>
  <c r="LR7" i="80"/>
  <c r="LR27" i="80"/>
  <c r="KZ7" i="80"/>
  <c r="KZ11" i="80" s="1"/>
  <c r="AV68" i="77"/>
  <c r="KV7" i="80" s="1"/>
  <c r="AR68" i="77"/>
  <c r="KS7" i="80" s="1"/>
  <c r="KS11" i="80" s="1"/>
  <c r="AN68" i="77"/>
  <c r="KP7" i="80" s="1"/>
  <c r="KP11" i="80" s="1"/>
  <c r="AB7" i="77"/>
  <c r="AB9" i="77"/>
  <c r="AB12" i="77"/>
  <c r="AB13" i="77"/>
  <c r="AB17" i="77"/>
  <c r="AB21" i="77"/>
  <c r="AB22" i="77"/>
  <c r="AB23" i="77"/>
  <c r="AB28" i="77"/>
  <c r="AB31" i="77"/>
  <c r="AB32" i="77"/>
  <c r="AB33" i="77"/>
  <c r="AB34" i="77"/>
  <c r="AB36" i="77"/>
  <c r="AB37" i="77"/>
  <c r="Y68" i="77"/>
  <c r="KG7" i="80" s="1"/>
  <c r="S68" i="77"/>
  <c r="KE7" i="80" s="1"/>
  <c r="KE11" i="80" s="1"/>
  <c r="P68" i="77"/>
  <c r="KC7" i="80" s="1"/>
  <c r="N68" i="77"/>
  <c r="KA7" i="80" s="1"/>
  <c r="KA11" i="80" s="1"/>
  <c r="J68" i="77"/>
  <c r="JY7" i="80" s="1"/>
  <c r="JY11" i="80" s="1"/>
  <c r="JW7" i="80"/>
  <c r="JW27" i="80" s="1"/>
  <c r="F68" i="77"/>
  <c r="JV7" i="80" s="1"/>
  <c r="JF7" i="80"/>
  <c r="JF11" i="80" s="1"/>
  <c r="BB40" i="80" s="1"/>
  <c r="HL7" i="80"/>
  <c r="DX7" i="80"/>
  <c r="AI8" i="57"/>
  <c r="AI9" i="57"/>
  <c r="AL9" i="57" s="1"/>
  <c r="AG10" i="57"/>
  <c r="AI11" i="57"/>
  <c r="AL11" i="57" s="1"/>
  <c r="AO11" i="57" s="1"/>
  <c r="AR11" i="57" s="1"/>
  <c r="AU11" i="57" s="1"/>
  <c r="AG12" i="57"/>
  <c r="AI12" i="57" s="1"/>
  <c r="AL12" i="57" s="1"/>
  <c r="AI13" i="57"/>
  <c r="AL13" i="57" s="1"/>
  <c r="AO13" i="57" s="1"/>
  <c r="AR13" i="57" s="1"/>
  <c r="AG14" i="57"/>
  <c r="AI14" i="57" s="1"/>
  <c r="AL14" i="57" s="1"/>
  <c r="AI15" i="57"/>
  <c r="AL15" i="57" s="1"/>
  <c r="AO15" i="57" s="1"/>
  <c r="AG16" i="57"/>
  <c r="AI16" i="57" s="1"/>
  <c r="AL16" i="57" s="1"/>
  <c r="AI17" i="57"/>
  <c r="AL17" i="57" s="1"/>
  <c r="AO17" i="57" s="1"/>
  <c r="AG18" i="57"/>
  <c r="AI18" i="57" s="1"/>
  <c r="AL18" i="57" s="1"/>
  <c r="AO18" i="57" s="1"/>
  <c r="AR18" i="57" s="1"/>
  <c r="AU18" i="57" s="1"/>
  <c r="AG19" i="57"/>
  <c r="AI19" i="57"/>
  <c r="AL19" i="57" s="1"/>
  <c r="AO19" i="57" s="1"/>
  <c r="AI20" i="57"/>
  <c r="AL20" i="57" s="1"/>
  <c r="AO20" i="57" s="1"/>
  <c r="AR20" i="57" s="1"/>
  <c r="AU20" i="57" s="1"/>
  <c r="AG21" i="57"/>
  <c r="AI21" i="57" s="1"/>
  <c r="AL21" i="57" s="1"/>
  <c r="AO21" i="57" s="1"/>
  <c r="AR21" i="57" s="1"/>
  <c r="AU21" i="57" s="1"/>
  <c r="AG22" i="57"/>
  <c r="AI22" i="57"/>
  <c r="AL22" i="57" s="1"/>
  <c r="AO22" i="57" s="1"/>
  <c r="AR22" i="57" s="1"/>
  <c r="AU22" i="57" s="1"/>
  <c r="AG23" i="57"/>
  <c r="AI23" i="57" s="1"/>
  <c r="AL23" i="57" s="1"/>
  <c r="AG24" i="57"/>
  <c r="AI24" i="57" s="1"/>
  <c r="AL24" i="57" s="1"/>
  <c r="AI25" i="57"/>
  <c r="AL25" i="57" s="1"/>
  <c r="AO25" i="57" s="1"/>
  <c r="AR25" i="57" s="1"/>
  <c r="AU25" i="57" s="1"/>
  <c r="AG27" i="57"/>
  <c r="AG28" i="57"/>
  <c r="AI28" i="57" s="1"/>
  <c r="AL28" i="57" s="1"/>
  <c r="AG29" i="57"/>
  <c r="AI29" i="57" s="1"/>
  <c r="AL29" i="57" s="1"/>
  <c r="AI31" i="57"/>
  <c r="AL31" i="57" s="1"/>
  <c r="AG32" i="57"/>
  <c r="AI32" i="57" s="1"/>
  <c r="AL32" i="57" s="1"/>
  <c r="AG33" i="57"/>
  <c r="AI33" i="57" s="1"/>
  <c r="AL33" i="57" s="1"/>
  <c r="AG42" i="57"/>
  <c r="AI42" i="57" s="1"/>
  <c r="AG43" i="57"/>
  <c r="AI43" i="57" s="1"/>
  <c r="AL43" i="57" s="1"/>
  <c r="AO43" i="57" s="1"/>
  <c r="AG44" i="57"/>
  <c r="AI44" i="57" s="1"/>
  <c r="AL44" i="57" s="1"/>
  <c r="AO46" i="57"/>
  <c r="AR46" i="57" s="1"/>
  <c r="AU46" i="57" s="1"/>
  <c r="AG47" i="57"/>
  <c r="AI47" i="57" s="1"/>
  <c r="AL47" i="57" s="1"/>
  <c r="AM58" i="57"/>
  <c r="AG41" i="57"/>
  <c r="AI41" i="57"/>
  <c r="AI40" i="57" s="1"/>
  <c r="AL45" i="57"/>
  <c r="AF58" i="57"/>
  <c r="AA30" i="57"/>
  <c r="AA26" i="57" s="1"/>
  <c r="Y30" i="57"/>
  <c r="Y26" i="57" s="1"/>
  <c r="LU27" i="80"/>
  <c r="LU31" i="80" s="1"/>
  <c r="OH21" i="80"/>
  <c r="MJ30" i="80"/>
  <c r="OJ30" i="80"/>
  <c r="NU27" i="80"/>
  <c r="NU31" i="80" s="1"/>
  <c r="MP21" i="80"/>
  <c r="NM21" i="80"/>
  <c r="LZ31" i="80"/>
  <c r="NK27" i="80"/>
  <c r="MO31" i="80"/>
  <c r="JW29" i="80"/>
  <c r="KW29" i="80" s="1"/>
  <c r="MA27" i="80"/>
  <c r="LY31" i="80"/>
  <c r="MR29" i="80"/>
  <c r="OD31" i="80"/>
  <c r="OA31" i="80"/>
  <c r="ME27" i="80"/>
  <c r="ME31" i="80" s="1"/>
  <c r="LW27" i="80"/>
  <c r="LW31" i="80"/>
  <c r="LV31" i="80"/>
  <c r="MC21" i="80"/>
  <c r="MV18" i="80"/>
  <c r="MG21" i="80"/>
  <c r="NX31" i="80"/>
  <c r="MP27" i="80"/>
  <c r="OB31" i="80"/>
  <c r="OE27" i="80"/>
  <c r="OE31" i="80"/>
  <c r="NO27" i="80"/>
  <c r="MV19" i="80"/>
  <c r="ML31" i="80"/>
  <c r="MC31" i="80"/>
  <c r="MU18" i="80"/>
  <c r="MV17" i="80"/>
  <c r="MV21" i="80" s="1"/>
  <c r="MS28" i="80"/>
  <c r="KG28" i="80"/>
  <c r="MV30" i="80"/>
  <c r="MR28" i="80"/>
  <c r="OJ28" i="80"/>
  <c r="MT27" i="80"/>
  <c r="MV29" i="80"/>
  <c r="DW29" i="80"/>
  <c r="KZ30" i="80"/>
  <c r="KZ28" i="80"/>
  <c r="KY28" i="80"/>
  <c r="HL28" i="80"/>
  <c r="HJ18" i="80"/>
  <c r="KD27" i="80"/>
  <c r="KD31" i="80" s="1"/>
  <c r="DW28" i="80"/>
  <c r="DW30" i="80"/>
  <c r="BI28" i="80"/>
  <c r="KD21" i="80"/>
  <c r="KB21" i="80"/>
  <c r="AZ28" i="80"/>
  <c r="KL27" i="80"/>
  <c r="KL31" i="80" s="1"/>
  <c r="KL21" i="80"/>
  <c r="JX27" i="80"/>
  <c r="JX31" i="80" s="1"/>
  <c r="BC28" i="80"/>
  <c r="BJ28" i="80"/>
  <c r="BU18" i="80"/>
  <c r="BV18" i="80" s="1"/>
  <c r="KK17" i="80"/>
  <c r="KK21" i="80" s="1"/>
  <c r="KC21" i="80"/>
  <c r="LT31" i="80"/>
  <c r="OI28" i="80"/>
  <c r="MQ28" i="80"/>
  <c r="JG44" i="80"/>
  <c r="KX29" i="80"/>
  <c r="MF31" i="80"/>
  <c r="LX31" i="80"/>
  <c r="OG7" i="80"/>
  <c r="NN27" i="80"/>
  <c r="AK44" i="80"/>
  <c r="LR11" i="80"/>
  <c r="QD44" i="80"/>
  <c r="MN31" i="80"/>
  <c r="MQ30" i="80"/>
  <c r="MB31" i="80"/>
  <c r="KX28" i="80"/>
  <c r="MS29" i="80"/>
  <c r="KZ29" i="80"/>
  <c r="MG28" i="80"/>
  <c r="GQ28" i="80"/>
  <c r="HJ28" i="80"/>
  <c r="MU19" i="80"/>
  <c r="KM21" i="80"/>
  <c r="CW29" i="80"/>
  <c r="KG30" i="80"/>
  <c r="KY30" i="80" s="1"/>
  <c r="CW30" i="80"/>
  <c r="DZ30" i="80" s="1"/>
  <c r="MK27" i="80"/>
  <c r="MK31" i="80"/>
  <c r="BZ18" i="80"/>
  <c r="OI17" i="80"/>
  <c r="OI21" i="80"/>
  <c r="NO21" i="80"/>
  <c r="DZ20" i="80"/>
  <c r="OK18" i="80"/>
  <c r="DZ18" i="80"/>
  <c r="DZ19" i="80"/>
  <c r="DX11" i="80"/>
  <c r="BB37" i="80" s="1"/>
  <c r="MR11" i="80"/>
  <c r="DY9" i="80"/>
  <c r="OI11" i="80"/>
  <c r="LA9" i="80"/>
  <c r="NR9" i="80"/>
  <c r="NR29" i="80" s="1"/>
  <c r="NT9" i="80"/>
  <c r="NT29" i="80" s="1"/>
  <c r="NR8" i="80"/>
  <c r="PG8" i="80" s="1"/>
  <c r="BV28" i="80"/>
  <c r="NT8" i="80"/>
  <c r="NT28" i="80"/>
  <c r="BY28" i="80"/>
  <c r="MU10" i="80"/>
  <c r="MP11" i="80"/>
  <c r="MG11" i="80"/>
  <c r="LT11" i="80"/>
  <c r="MT11" i="80"/>
  <c r="OJ11" i="80"/>
  <c r="OK7" i="80"/>
  <c r="JW11" i="80"/>
  <c r="MJ11" i="80"/>
  <c r="BK47" i="57"/>
  <c r="BL47" i="57" s="1"/>
  <c r="BK23" i="57"/>
  <c r="BL23" i="57" s="1"/>
  <c r="BM23" i="57" s="1"/>
  <c r="BN23" i="57" s="1"/>
  <c r="BK11" i="57"/>
  <c r="BL11" i="57" s="1"/>
  <c r="BM11" i="57" s="1"/>
  <c r="BN11" i="57" s="1"/>
  <c r="DU30" i="80"/>
  <c r="OG27" i="80"/>
  <c r="DZ29" i="80"/>
  <c r="BP28" i="80"/>
  <c r="PG9" i="80"/>
  <c r="EH832" i="3"/>
  <c r="EI832" i="3"/>
  <c r="EG828" i="3"/>
  <c r="EH828" i="3"/>
  <c r="EI828" i="3"/>
  <c r="EE820" i="3"/>
  <c r="EH797" i="3"/>
  <c r="EI797" i="3"/>
  <c r="EF642" i="3"/>
  <c r="EH642" i="3"/>
  <c r="EI642" i="3"/>
  <c r="EF575" i="3"/>
  <c r="EG575" i="3"/>
  <c r="EH575" i="3"/>
  <c r="EI575" i="3"/>
  <c r="EE430" i="3"/>
  <c r="EF430" i="3"/>
  <c r="EG430" i="3"/>
  <c r="EH430" i="3"/>
  <c r="EI430" i="3"/>
  <c r="EI273" i="3"/>
  <c r="EH273" i="3"/>
  <c r="EG273" i="3"/>
  <c r="EF273" i="3"/>
  <c r="DU905" i="3"/>
  <c r="EC899" i="3"/>
  <c r="EB911" i="3"/>
  <c r="DT911" i="3"/>
  <c r="DX917" i="3"/>
  <c r="DV898" i="3"/>
  <c r="DY911" i="3"/>
  <c r="DX911" i="3"/>
  <c r="EB917" i="3"/>
  <c r="DV910" i="3"/>
  <c r="ED910" i="3"/>
  <c r="ED911" i="3"/>
  <c r="DV911" i="3"/>
  <c r="DZ905" i="3"/>
  <c r="EC911" i="3"/>
  <c r="DY905" i="3"/>
  <c r="EA911" i="3"/>
  <c r="DS911" i="3"/>
  <c r="DU911" i="3"/>
  <c r="DW912" i="3"/>
  <c r="DZ911" i="3"/>
  <c r="EC905" i="3"/>
  <c r="EB814" i="3"/>
  <c r="DW911" i="3"/>
  <c r="DZ912" i="3"/>
  <c r="DW917" i="3"/>
  <c r="EC917" i="3"/>
  <c r="DU917" i="3"/>
  <c r="DS900" i="3"/>
  <c r="DY814" i="3"/>
  <c r="DY917" i="3"/>
  <c r="DX814" i="3"/>
  <c r="DQ46" i="3"/>
  <c r="CQ9" i="4"/>
  <c r="DZ917" i="3"/>
  <c r="DV917" i="3"/>
  <c r="DS917" i="3"/>
  <c r="ED905" i="3"/>
  <c r="DW905" i="3"/>
  <c r="DU898" i="3"/>
  <c r="JU9" i="80"/>
  <c r="DY898" i="3"/>
  <c r="DY899" i="3"/>
  <c r="DY923" i="3" s="1"/>
  <c r="EA917" i="3"/>
  <c r="DX899" i="3"/>
  <c r="DS912" i="3"/>
  <c r="DS905" i="3"/>
  <c r="EA912" i="3"/>
  <c r="ED917" i="3"/>
  <c r="DT898" i="3"/>
  <c r="EB898" i="3"/>
  <c r="EB910" i="3"/>
  <c r="JO11" i="80"/>
  <c r="DX905" i="3"/>
  <c r="EC898" i="3"/>
  <c r="EA905" i="3"/>
  <c r="DT910" i="3"/>
  <c r="DT905" i="3"/>
  <c r="DW898" i="3"/>
  <c r="DV905" i="3"/>
  <c r="EB899" i="3"/>
  <c r="DX898" i="3"/>
  <c r="EB905" i="3"/>
  <c r="LS11" i="78"/>
  <c r="AG68" i="77"/>
  <c r="KM7" i="80" s="1"/>
  <c r="KM11" i="80" s="1"/>
  <c r="CA306" i="4"/>
  <c r="AL36" i="57"/>
  <c r="AU68" i="77"/>
  <c r="AQ68" i="77"/>
  <c r="AM68" i="77"/>
  <c r="AF68" i="77"/>
  <c r="AN46" i="57"/>
  <c r="AQ46" i="57" s="1"/>
  <c r="AT46" i="57" s="1"/>
  <c r="AQ30" i="57"/>
  <c r="AT30" i="57" s="1"/>
  <c r="AN32" i="57"/>
  <c r="AQ32" i="57" s="1"/>
  <c r="AN31" i="57"/>
  <c r="AQ31" i="57" s="1"/>
  <c r="AT31" i="57" s="1"/>
  <c r="AN29" i="57"/>
  <c r="AN27" i="57"/>
  <c r="AN13" i="57"/>
  <c r="AQ13" i="57" s="1"/>
  <c r="AN47" i="57"/>
  <c r="AQ47" i="57" s="1"/>
  <c r="AN45" i="57"/>
  <c r="AQ45" i="57" s="1"/>
  <c r="AN36" i="57"/>
  <c r="AQ36" i="57" s="1"/>
  <c r="AN44" i="57"/>
  <c r="AQ44" i="57" s="1"/>
  <c r="AN43" i="57"/>
  <c r="AQ43" i="57" s="1"/>
  <c r="AT43" i="57" s="1"/>
  <c r="AV43" i="57" s="1"/>
  <c r="AN39" i="57"/>
  <c r="AN41" i="57"/>
  <c r="AN33" i="57"/>
  <c r="AQ33" i="57" s="1"/>
  <c r="AN28" i="57"/>
  <c r="AQ28" i="57" s="1"/>
  <c r="AN25" i="57"/>
  <c r="AQ25" i="57" s="1"/>
  <c r="AN24" i="57"/>
  <c r="AQ24" i="57" s="1"/>
  <c r="AN23" i="57"/>
  <c r="AQ23" i="57" s="1"/>
  <c r="AN22" i="57"/>
  <c r="AQ22" i="57" s="1"/>
  <c r="AT22" i="57" s="1"/>
  <c r="AV22" i="57" s="1"/>
  <c r="AN21" i="57"/>
  <c r="AQ21" i="57" s="1"/>
  <c r="AT21" i="57" s="1"/>
  <c r="AV21" i="57" s="1"/>
  <c r="AN20" i="57"/>
  <c r="AQ20" i="57" s="1"/>
  <c r="AT20" i="57" s="1"/>
  <c r="AV20" i="57" s="1"/>
  <c r="AN19" i="57"/>
  <c r="AQ19" i="57" s="1"/>
  <c r="AN18" i="57"/>
  <c r="AQ18" i="57" s="1"/>
  <c r="AT18" i="57" s="1"/>
  <c r="AV18" i="57" s="1"/>
  <c r="AN17" i="57"/>
  <c r="AQ17" i="57" s="1"/>
  <c r="AT17" i="57" s="1"/>
  <c r="AV17" i="57" s="1"/>
  <c r="AN16" i="57"/>
  <c r="AQ16" i="57" s="1"/>
  <c r="AN15" i="57"/>
  <c r="AQ15" i="57" s="1"/>
  <c r="AN14" i="57"/>
  <c r="AQ14" i="57" s="1"/>
  <c r="AT14" i="57" s="1"/>
  <c r="AV14" i="57" s="1"/>
  <c r="AN12" i="57"/>
  <c r="AQ12" i="57" s="1"/>
  <c r="AT12" i="57" s="1"/>
  <c r="AV12" i="57" s="1"/>
  <c r="AN11" i="57"/>
  <c r="AQ11" i="57" s="1"/>
  <c r="AT11" i="57" s="1"/>
  <c r="AN10" i="57"/>
  <c r="AQ10" i="57" s="1"/>
  <c r="AN9" i="57"/>
  <c r="AQ9" i="57"/>
  <c r="AT9" i="57" s="1"/>
  <c r="AV9" i="57" s="1"/>
  <c r="AN8" i="57"/>
  <c r="DQ660" i="3"/>
  <c r="DQ889" i="3"/>
  <c r="DQ888" i="3"/>
  <c r="DQ887" i="3"/>
  <c r="DQ886" i="3"/>
  <c r="DQ885" i="3"/>
  <c r="DQ884" i="3"/>
  <c r="DQ883" i="3"/>
  <c r="DQ881" i="3"/>
  <c r="DQ880" i="3"/>
  <c r="DQ879" i="3"/>
  <c r="DQ878" i="3"/>
  <c r="DQ876" i="3"/>
  <c r="DQ874" i="3"/>
  <c r="DQ873" i="3"/>
  <c r="DQ872" i="3"/>
  <c r="DQ871" i="3"/>
  <c r="DQ870" i="3"/>
  <c r="DQ869" i="3"/>
  <c r="DQ868" i="3"/>
  <c r="DQ867" i="3"/>
  <c r="DQ866" i="3"/>
  <c r="DQ865" i="3"/>
  <c r="DQ864" i="3"/>
  <c r="DQ863" i="3"/>
  <c r="DQ862" i="3"/>
  <c r="DQ861" i="3"/>
  <c r="DQ860" i="3"/>
  <c r="DQ859" i="3"/>
  <c r="DQ858" i="3"/>
  <c r="DQ857" i="3"/>
  <c r="DQ856" i="3"/>
  <c r="DQ852" i="3"/>
  <c r="DQ851" i="3"/>
  <c r="DQ850" i="3"/>
  <c r="DQ846" i="3"/>
  <c r="DQ845" i="3"/>
  <c r="DQ844" i="3"/>
  <c r="DQ843" i="3"/>
  <c r="DQ842" i="3"/>
  <c r="DQ841" i="3"/>
  <c r="DQ832" i="3"/>
  <c r="DQ830" i="3"/>
  <c r="DQ828" i="3"/>
  <c r="DQ827" i="3"/>
  <c r="DQ824" i="3"/>
  <c r="DQ823" i="3"/>
  <c r="DQ822" i="3"/>
  <c r="DQ821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5" i="3"/>
  <c r="DQ794" i="3"/>
  <c r="DQ793" i="3"/>
  <c r="DQ792" i="3"/>
  <c r="DQ791" i="3"/>
  <c r="DQ790" i="3"/>
  <c r="DQ789" i="3"/>
  <c r="DQ788" i="3"/>
  <c r="DQ787" i="3"/>
  <c r="DQ786" i="3"/>
  <c r="DQ785" i="3"/>
  <c r="DQ784" i="3"/>
  <c r="DQ783" i="3"/>
  <c r="DQ782" i="3"/>
  <c r="DQ781" i="3"/>
  <c r="DQ780" i="3"/>
  <c r="DQ779" i="3"/>
  <c r="DQ778" i="3"/>
  <c r="DQ777" i="3"/>
  <c r="DQ776" i="3"/>
  <c r="DQ775" i="3"/>
  <c r="DQ774" i="3"/>
  <c r="DQ773" i="3"/>
  <c r="DQ772" i="3"/>
  <c r="DQ771" i="3"/>
  <c r="DQ770" i="3"/>
  <c r="DQ769" i="3"/>
  <c r="DQ768" i="3"/>
  <c r="DQ767" i="3"/>
  <c r="DQ757" i="3"/>
  <c r="DQ756" i="3"/>
  <c r="DQ755" i="3"/>
  <c r="DQ754" i="3"/>
  <c r="DQ753" i="3"/>
  <c r="DQ752" i="3"/>
  <c r="DQ751" i="3"/>
  <c r="DQ750" i="3"/>
  <c r="DQ749" i="3"/>
  <c r="DQ748" i="3"/>
  <c r="DQ747" i="3"/>
  <c r="DQ746" i="3"/>
  <c r="DQ744" i="3"/>
  <c r="DQ743" i="3"/>
  <c r="DQ742" i="3"/>
  <c r="DQ741" i="3"/>
  <c r="DQ740" i="3"/>
  <c r="DQ739" i="3"/>
  <c r="DQ738" i="3"/>
  <c r="DQ737" i="3"/>
  <c r="DQ736" i="3"/>
  <c r="DQ735" i="3"/>
  <c r="DQ734" i="3"/>
  <c r="DQ733" i="3"/>
  <c r="DQ732" i="3"/>
  <c r="DQ731" i="3"/>
  <c r="DQ730" i="3"/>
  <c r="DQ729" i="3"/>
  <c r="DQ728" i="3"/>
  <c r="DQ727" i="3"/>
  <c r="DQ726" i="3"/>
  <c r="DQ724" i="3"/>
  <c r="DQ723" i="3"/>
  <c r="DQ722" i="3"/>
  <c r="DQ721" i="3"/>
  <c r="DQ720" i="3"/>
  <c r="DQ719" i="3"/>
  <c r="DQ718" i="3"/>
  <c r="DQ717" i="3"/>
  <c r="DQ716" i="3"/>
  <c r="DQ715" i="3"/>
  <c r="DQ714" i="3"/>
  <c r="DQ713" i="3"/>
  <c r="DQ712" i="3"/>
  <c r="DQ711" i="3"/>
  <c r="DQ710" i="3"/>
  <c r="DQ709" i="3"/>
  <c r="DQ708" i="3"/>
  <c r="DQ707" i="3"/>
  <c r="DQ706" i="3"/>
  <c r="DQ705" i="3"/>
  <c r="DQ704" i="3"/>
  <c r="DQ703" i="3"/>
  <c r="DQ702" i="3"/>
  <c r="DQ701" i="3"/>
  <c r="DQ700" i="3"/>
  <c r="DQ699" i="3"/>
  <c r="DQ698" i="3"/>
  <c r="DQ697" i="3"/>
  <c r="DQ696" i="3"/>
  <c r="DQ695" i="3"/>
  <c r="DQ694" i="3"/>
  <c r="DQ693" i="3"/>
  <c r="DQ692" i="3"/>
  <c r="DQ691" i="3"/>
  <c r="DQ690" i="3"/>
  <c r="DQ689" i="3"/>
  <c r="DQ688" i="3"/>
  <c r="DQ687" i="3"/>
  <c r="DQ686" i="3"/>
  <c r="DQ685" i="3"/>
  <c r="DQ684" i="3"/>
  <c r="DQ683" i="3"/>
  <c r="DQ682" i="3"/>
  <c r="DQ681" i="3"/>
  <c r="DQ680" i="3"/>
  <c r="DQ679" i="3"/>
  <c r="DQ678" i="3"/>
  <c r="DQ677" i="3"/>
  <c r="DQ676" i="3"/>
  <c r="DQ675" i="3"/>
  <c r="DQ674" i="3"/>
  <c r="DQ673" i="3"/>
  <c r="DQ672" i="3"/>
  <c r="DQ671" i="3"/>
  <c r="DQ670" i="3"/>
  <c r="DQ669" i="3"/>
  <c r="DQ668" i="3"/>
  <c r="DQ667" i="3"/>
  <c r="DQ666" i="3"/>
  <c r="DQ665" i="3"/>
  <c r="DQ664" i="3"/>
  <c r="DQ663" i="3"/>
  <c r="DQ662" i="3"/>
  <c r="DQ661" i="3"/>
  <c r="DQ653" i="3"/>
  <c r="DQ652" i="3"/>
  <c r="DQ651" i="3"/>
  <c r="DQ649" i="3"/>
  <c r="DQ647" i="3"/>
  <c r="DQ644" i="3"/>
  <c r="DQ643" i="3"/>
  <c r="DQ641" i="3"/>
  <c r="DQ640" i="3"/>
  <c r="DQ639" i="3"/>
  <c r="DQ633" i="3"/>
  <c r="DQ632" i="3"/>
  <c r="DQ631" i="3"/>
  <c r="DQ629" i="3"/>
  <c r="DQ619" i="3"/>
  <c r="DQ618" i="3"/>
  <c r="DQ617" i="3"/>
  <c r="DQ616" i="3"/>
  <c r="DQ615" i="3"/>
  <c r="DQ614" i="3"/>
  <c r="DQ613" i="3"/>
  <c r="DQ612" i="3"/>
  <c r="DQ611" i="3"/>
  <c r="DQ610" i="3"/>
  <c r="DQ609" i="3"/>
  <c r="DQ608" i="3"/>
  <c r="DQ607" i="3"/>
  <c r="DQ606" i="3"/>
  <c r="DQ605" i="3"/>
  <c r="DQ604" i="3"/>
  <c r="DQ603" i="3"/>
  <c r="DQ600" i="3"/>
  <c r="DQ599" i="3"/>
  <c r="DQ598" i="3"/>
  <c r="DQ597" i="3"/>
  <c r="DQ596" i="3"/>
  <c r="DQ595" i="3"/>
  <c r="DQ594" i="3"/>
  <c r="DQ593" i="3"/>
  <c r="DQ592" i="3"/>
  <c r="DQ591" i="3"/>
  <c r="DQ590" i="3"/>
  <c r="DQ589" i="3"/>
  <c r="DQ588" i="3"/>
  <c r="DQ587" i="3"/>
  <c r="DQ586" i="3"/>
  <c r="DQ585" i="3"/>
  <c r="DQ584" i="3"/>
  <c r="DQ583" i="3"/>
  <c r="DQ582" i="3"/>
  <c r="DQ581" i="3"/>
  <c r="DQ580" i="3"/>
  <c r="DQ579" i="3"/>
  <c r="DQ578" i="3"/>
  <c r="DQ577" i="3"/>
  <c r="DQ576" i="3"/>
  <c r="DQ574" i="3"/>
  <c r="DQ573" i="3"/>
  <c r="DQ572" i="3"/>
  <c r="DQ571" i="3"/>
  <c r="DQ570" i="3"/>
  <c r="DQ569" i="3"/>
  <c r="DQ568" i="3"/>
  <c r="DQ567" i="3"/>
  <c r="DQ566" i="3"/>
  <c r="DQ565" i="3"/>
  <c r="DQ564" i="3"/>
  <c r="DQ563" i="3"/>
  <c r="DQ562" i="3"/>
  <c r="DQ561" i="3"/>
  <c r="DQ560" i="3"/>
  <c r="DQ559" i="3"/>
  <c r="DQ558" i="3"/>
  <c r="DQ557" i="3"/>
  <c r="DQ556" i="3"/>
  <c r="DQ555" i="3"/>
  <c r="DQ554" i="3"/>
  <c r="DQ553" i="3"/>
  <c r="DQ552" i="3"/>
  <c r="DQ551" i="3"/>
  <c r="DQ550" i="3"/>
  <c r="DQ549" i="3"/>
  <c r="DQ548" i="3"/>
  <c r="DQ547" i="3"/>
  <c r="DQ546" i="3"/>
  <c r="DQ545" i="3"/>
  <c r="DQ544" i="3"/>
  <c r="DQ543" i="3"/>
  <c r="DQ542" i="3"/>
  <c r="DQ541" i="3"/>
  <c r="DQ540" i="3"/>
  <c r="DQ539" i="3"/>
  <c r="DQ538" i="3"/>
  <c r="DQ537" i="3"/>
  <c r="DQ536" i="3"/>
  <c r="DQ535" i="3"/>
  <c r="DQ534" i="3"/>
  <c r="DQ533" i="3"/>
  <c r="DQ532" i="3"/>
  <c r="DQ531" i="3"/>
  <c r="DQ530" i="3"/>
  <c r="DQ529" i="3"/>
  <c r="DQ528" i="3"/>
  <c r="DQ527" i="3"/>
  <c r="DQ526" i="3"/>
  <c r="DQ525" i="3"/>
  <c r="DQ524" i="3"/>
  <c r="DQ523" i="3"/>
  <c r="DQ522" i="3"/>
  <c r="DQ521" i="3"/>
  <c r="DQ520" i="3"/>
  <c r="DQ519" i="3"/>
  <c r="DQ518" i="3"/>
  <c r="DQ517" i="3"/>
  <c r="DQ516" i="3"/>
  <c r="DQ515" i="3"/>
  <c r="DQ514" i="3"/>
  <c r="DQ513" i="3"/>
  <c r="DQ512" i="3"/>
  <c r="DQ511" i="3"/>
  <c r="DQ510" i="3"/>
  <c r="DQ509" i="3"/>
  <c r="DQ508" i="3"/>
  <c r="DQ507" i="3"/>
  <c r="DQ506" i="3"/>
  <c r="DQ505" i="3"/>
  <c r="DQ504" i="3"/>
  <c r="DQ503" i="3"/>
  <c r="DQ502" i="3"/>
  <c r="DQ501" i="3"/>
  <c r="DQ500" i="3"/>
  <c r="DQ499" i="3"/>
  <c r="DQ498" i="3"/>
  <c r="DQ497" i="3"/>
  <c r="DQ496" i="3"/>
  <c r="DQ495" i="3"/>
  <c r="DQ494" i="3"/>
  <c r="DQ493" i="3"/>
  <c r="DQ492" i="3"/>
  <c r="DQ491" i="3"/>
  <c r="DQ490" i="3"/>
  <c r="DQ489" i="3"/>
  <c r="DQ488" i="3"/>
  <c r="DQ487" i="3"/>
  <c r="DQ486" i="3"/>
  <c r="DQ485" i="3"/>
  <c r="DQ484" i="3"/>
  <c r="DQ483" i="3"/>
  <c r="DQ482" i="3"/>
  <c r="DQ481" i="3"/>
  <c r="DQ480" i="3"/>
  <c r="DQ479" i="3"/>
  <c r="DQ478" i="3"/>
  <c r="DQ477" i="3"/>
  <c r="DQ476" i="3"/>
  <c r="DQ475" i="3"/>
  <c r="DQ474" i="3"/>
  <c r="DQ473" i="3"/>
  <c r="DQ472" i="3"/>
  <c r="DQ471" i="3"/>
  <c r="DQ470" i="3"/>
  <c r="DQ469" i="3"/>
  <c r="DQ468" i="3"/>
  <c r="DQ467" i="3"/>
  <c r="DQ466" i="3"/>
  <c r="DQ465" i="3"/>
  <c r="DQ464" i="3"/>
  <c r="DQ463" i="3"/>
  <c r="DQ462" i="3"/>
  <c r="DQ461" i="3"/>
  <c r="DQ460" i="3"/>
  <c r="DQ459" i="3"/>
  <c r="DQ458" i="3"/>
  <c r="DQ457" i="3"/>
  <c r="DQ456" i="3"/>
  <c r="DQ455" i="3"/>
  <c r="DQ454" i="3"/>
  <c r="DQ453" i="3"/>
  <c r="DQ452" i="3"/>
  <c r="DQ451" i="3"/>
  <c r="DQ450" i="3"/>
  <c r="DQ449" i="3"/>
  <c r="DQ438" i="3"/>
  <c r="DQ439" i="3"/>
  <c r="DQ437" i="3"/>
  <c r="DQ436" i="3"/>
  <c r="DQ431" i="3"/>
  <c r="DQ434" i="3"/>
  <c r="DQ433" i="3"/>
  <c r="DQ432" i="3"/>
  <c r="DQ429" i="3"/>
  <c r="DQ428" i="3"/>
  <c r="DQ427" i="3"/>
  <c r="DQ426" i="3"/>
  <c r="DQ425" i="3"/>
  <c r="DQ424" i="3"/>
  <c r="DQ423" i="3"/>
  <c r="DQ422" i="3"/>
  <c r="DQ421" i="3"/>
  <c r="DQ420" i="3"/>
  <c r="DQ419" i="3"/>
  <c r="DQ418" i="3"/>
  <c r="DQ417" i="3"/>
  <c r="DQ416" i="3"/>
  <c r="DQ415" i="3"/>
  <c r="DQ414" i="3"/>
  <c r="DQ413" i="3"/>
  <c r="DQ412" i="3"/>
  <c r="DQ400" i="3"/>
  <c r="DQ398" i="3"/>
  <c r="DQ397" i="3"/>
  <c r="DQ396" i="3"/>
  <c r="DQ395" i="3"/>
  <c r="DQ394" i="3"/>
  <c r="DQ393" i="3"/>
  <c r="DQ392" i="3"/>
  <c r="DQ391" i="3"/>
  <c r="DQ390" i="3"/>
  <c r="DQ389" i="3"/>
  <c r="DQ388" i="3"/>
  <c r="DQ387" i="3"/>
  <c r="DQ386" i="3"/>
  <c r="DQ385" i="3"/>
  <c r="DQ384" i="3"/>
  <c r="DQ383" i="3"/>
  <c r="DQ382" i="3"/>
  <c r="DQ381" i="3"/>
  <c r="DQ380" i="3"/>
  <c r="DQ379" i="3"/>
  <c r="DQ378" i="3"/>
  <c r="DQ377" i="3"/>
  <c r="DQ375" i="3"/>
  <c r="DQ374" i="3"/>
  <c r="DQ373" i="3"/>
  <c r="DQ372" i="3"/>
  <c r="DQ371" i="3"/>
  <c r="DQ370" i="3"/>
  <c r="DQ369" i="3"/>
  <c r="DQ368" i="3"/>
  <c r="DQ367" i="3"/>
  <c r="DQ366" i="3"/>
  <c r="DQ365" i="3"/>
  <c r="DQ364" i="3"/>
  <c r="DQ363" i="3"/>
  <c r="DQ362" i="3"/>
  <c r="DQ361" i="3"/>
  <c r="DQ360" i="3"/>
  <c r="DQ359" i="3"/>
  <c r="DQ358" i="3"/>
  <c r="DQ357" i="3"/>
  <c r="DQ356" i="3"/>
  <c r="DQ355" i="3"/>
  <c r="DQ354" i="3"/>
  <c r="DQ353" i="3"/>
  <c r="DQ352" i="3"/>
  <c r="DQ351" i="3"/>
  <c r="DQ350" i="3"/>
  <c r="DQ349" i="3"/>
  <c r="DQ348" i="3"/>
  <c r="DQ347" i="3"/>
  <c r="DQ346" i="3"/>
  <c r="DQ344" i="3"/>
  <c r="DQ343" i="3"/>
  <c r="DQ341" i="3"/>
  <c r="DQ340" i="3"/>
  <c r="DQ339" i="3"/>
  <c r="DQ338" i="3"/>
  <c r="DQ337" i="3"/>
  <c r="DQ336" i="3"/>
  <c r="DQ335" i="3"/>
  <c r="DQ334" i="3"/>
  <c r="DQ333" i="3"/>
  <c r="DQ332" i="3"/>
  <c r="DQ331" i="3"/>
  <c r="DQ330" i="3"/>
  <c r="DQ329" i="3"/>
  <c r="DQ328" i="3"/>
  <c r="DQ327" i="3"/>
  <c r="DQ326" i="3"/>
  <c r="DQ325" i="3"/>
  <c r="DQ324" i="3"/>
  <c r="DQ323" i="3"/>
  <c r="DQ322" i="3"/>
  <c r="DQ321" i="3"/>
  <c r="DQ320" i="3"/>
  <c r="DQ319" i="3"/>
  <c r="DQ318" i="3"/>
  <c r="DQ317" i="3"/>
  <c r="DQ316" i="3"/>
  <c r="DQ315" i="3"/>
  <c r="DQ314" i="3"/>
  <c r="DQ313" i="3"/>
  <c r="DQ312" i="3"/>
  <c r="DQ311" i="3"/>
  <c r="DQ310" i="3"/>
  <c r="DQ309" i="3"/>
  <c r="DQ308" i="3"/>
  <c r="DQ307" i="3"/>
  <c r="DQ306" i="3"/>
  <c r="DQ305" i="3"/>
  <c r="DQ304" i="3"/>
  <c r="DQ303" i="3"/>
  <c r="DQ302" i="3"/>
  <c r="DQ301" i="3"/>
  <c r="DQ300" i="3"/>
  <c r="DQ299" i="3"/>
  <c r="DQ298" i="3"/>
  <c r="DQ292" i="3"/>
  <c r="DQ288" i="3"/>
  <c r="DQ287" i="3"/>
  <c r="DQ281" i="3"/>
  <c r="DQ280" i="3"/>
  <c r="DQ278" i="3"/>
  <c r="DQ276" i="3"/>
  <c r="DQ275" i="3"/>
  <c r="DQ274" i="3"/>
  <c r="DQ246" i="3"/>
  <c r="DQ248" i="3"/>
  <c r="DQ249" i="3"/>
  <c r="DQ250" i="3"/>
  <c r="DQ251" i="3"/>
  <c r="DQ252" i="3"/>
  <c r="DQ254" i="3"/>
  <c r="DQ256" i="3"/>
  <c r="DQ257" i="3"/>
  <c r="DQ259" i="3"/>
  <c r="DQ262" i="3"/>
  <c r="DQ267" i="3"/>
  <c r="DQ268" i="3"/>
  <c r="DQ269" i="3"/>
  <c r="DQ243" i="3"/>
  <c r="DQ210" i="3"/>
  <c r="DQ211" i="3"/>
  <c r="DQ212" i="3"/>
  <c r="DQ213" i="3"/>
  <c r="DQ214" i="3"/>
  <c r="DQ215" i="3"/>
  <c r="DQ216" i="3"/>
  <c r="DQ217" i="3"/>
  <c r="DQ218" i="3"/>
  <c r="DQ219" i="3"/>
  <c r="DQ220" i="3"/>
  <c r="DQ221" i="3"/>
  <c r="DQ222" i="3"/>
  <c r="DQ223" i="3"/>
  <c r="DQ224" i="3"/>
  <c r="DQ225" i="3"/>
  <c r="DQ226" i="3"/>
  <c r="DQ227" i="3"/>
  <c r="DQ228" i="3"/>
  <c r="DQ229" i="3"/>
  <c r="DQ230" i="3"/>
  <c r="DQ231" i="3"/>
  <c r="DQ232" i="3"/>
  <c r="DQ233" i="3"/>
  <c r="DQ234" i="3"/>
  <c r="DQ235" i="3"/>
  <c r="DQ236" i="3"/>
  <c r="DQ237" i="3"/>
  <c r="DQ209" i="3"/>
  <c r="DQ165" i="3"/>
  <c r="DQ166" i="3"/>
  <c r="DQ167" i="3"/>
  <c r="DQ168" i="3"/>
  <c r="DQ169" i="3"/>
  <c r="DQ170" i="3"/>
  <c r="DQ171" i="3"/>
  <c r="DQ172" i="3"/>
  <c r="DQ173" i="3"/>
  <c r="DQ174" i="3"/>
  <c r="DQ175" i="3"/>
  <c r="DQ176" i="3"/>
  <c r="DQ177" i="3"/>
  <c r="DQ178" i="3"/>
  <c r="DQ179" i="3"/>
  <c r="DQ180" i="3"/>
  <c r="DQ181" i="3"/>
  <c r="DQ182" i="3"/>
  <c r="DQ183" i="3"/>
  <c r="DQ184" i="3"/>
  <c r="DQ185" i="3"/>
  <c r="DQ186" i="3"/>
  <c r="DQ187" i="3"/>
  <c r="DQ188" i="3"/>
  <c r="DQ189" i="3"/>
  <c r="DQ190" i="3"/>
  <c r="DQ191" i="3"/>
  <c r="DQ192" i="3"/>
  <c r="DQ193" i="3"/>
  <c r="DQ194" i="3"/>
  <c r="DQ195" i="3"/>
  <c r="DQ196" i="3"/>
  <c r="DQ197" i="3"/>
  <c r="DQ198" i="3"/>
  <c r="DQ199" i="3"/>
  <c r="DQ200" i="3"/>
  <c r="DQ202" i="3"/>
  <c r="DQ203" i="3"/>
  <c r="DQ204" i="3"/>
  <c r="DQ205" i="3"/>
  <c r="DQ206" i="3"/>
  <c r="DQ207" i="3"/>
  <c r="DQ164" i="3"/>
  <c r="DQ12" i="3"/>
  <c r="DQ13" i="3"/>
  <c r="DQ14" i="3"/>
  <c r="DQ15" i="3"/>
  <c r="DQ16" i="3"/>
  <c r="DQ17" i="3"/>
  <c r="DQ18" i="3"/>
  <c r="DQ19" i="3"/>
  <c r="DQ20" i="3"/>
  <c r="DQ21" i="3"/>
  <c r="DQ22" i="3"/>
  <c r="DQ23" i="3"/>
  <c r="DQ24" i="3"/>
  <c r="DQ25" i="3"/>
  <c r="DQ26" i="3"/>
  <c r="DQ27" i="3"/>
  <c r="DQ28" i="3"/>
  <c r="DQ29" i="3"/>
  <c r="DQ30" i="3"/>
  <c r="DQ31" i="3"/>
  <c r="DQ32" i="3"/>
  <c r="DQ33" i="3"/>
  <c r="DQ34" i="3"/>
  <c r="DQ35" i="3"/>
  <c r="DQ36" i="3"/>
  <c r="DQ37" i="3"/>
  <c r="DQ38" i="3"/>
  <c r="DQ39" i="3"/>
  <c r="DQ40" i="3"/>
  <c r="DQ41" i="3"/>
  <c r="DQ42" i="3"/>
  <c r="DQ43" i="3"/>
  <c r="DQ44" i="3"/>
  <c r="DQ45" i="3"/>
  <c r="DQ47" i="3"/>
  <c r="DQ48" i="3"/>
  <c r="DQ49" i="3"/>
  <c r="DQ51" i="3"/>
  <c r="DQ52" i="3"/>
  <c r="DQ53" i="3"/>
  <c r="DQ54" i="3"/>
  <c r="DQ55" i="3"/>
  <c r="DQ56" i="3"/>
  <c r="DQ57" i="3"/>
  <c r="DQ58" i="3"/>
  <c r="DQ59" i="3"/>
  <c r="DQ60" i="3"/>
  <c r="DQ61" i="3"/>
  <c r="DQ62" i="3"/>
  <c r="DQ63" i="3"/>
  <c r="DQ64" i="3"/>
  <c r="DQ65" i="3"/>
  <c r="DQ66" i="3"/>
  <c r="DQ67" i="3"/>
  <c r="DQ68" i="3"/>
  <c r="DQ69" i="3"/>
  <c r="DQ70" i="3"/>
  <c r="DQ71" i="3"/>
  <c r="DQ72" i="3"/>
  <c r="DQ73" i="3"/>
  <c r="DQ74" i="3"/>
  <c r="DQ75" i="3"/>
  <c r="DQ76" i="3"/>
  <c r="DQ77" i="3"/>
  <c r="DQ78" i="3"/>
  <c r="DQ79" i="3"/>
  <c r="DQ80" i="3"/>
  <c r="DQ81" i="3"/>
  <c r="DQ82" i="3"/>
  <c r="DQ83" i="3"/>
  <c r="DQ84" i="3"/>
  <c r="DQ85" i="3"/>
  <c r="DQ86" i="3"/>
  <c r="DQ87" i="3"/>
  <c r="DQ88" i="3"/>
  <c r="DQ89" i="3"/>
  <c r="DQ90" i="3"/>
  <c r="DQ91" i="3"/>
  <c r="DQ92" i="3"/>
  <c r="DQ93" i="3"/>
  <c r="DQ94" i="3"/>
  <c r="DQ95" i="3"/>
  <c r="DQ96" i="3"/>
  <c r="DQ97" i="3"/>
  <c r="DQ98" i="3"/>
  <c r="DQ99" i="3"/>
  <c r="DQ100" i="3"/>
  <c r="DQ101" i="3"/>
  <c r="DQ102" i="3"/>
  <c r="DQ103" i="3"/>
  <c r="DQ104" i="3"/>
  <c r="DQ105" i="3"/>
  <c r="DQ106" i="3"/>
  <c r="DQ107" i="3"/>
  <c r="DQ108" i="3"/>
  <c r="DQ109" i="3"/>
  <c r="DQ110" i="3"/>
  <c r="DQ111" i="3"/>
  <c r="DQ112" i="3"/>
  <c r="DQ113" i="3"/>
  <c r="DQ114" i="3"/>
  <c r="DQ115" i="3"/>
  <c r="DQ116" i="3"/>
  <c r="DQ117" i="3"/>
  <c r="DQ118" i="3"/>
  <c r="DQ119" i="3"/>
  <c r="DQ120" i="3"/>
  <c r="DQ121" i="3"/>
  <c r="DQ122" i="3"/>
  <c r="DQ123" i="3"/>
  <c r="DQ124" i="3"/>
  <c r="DQ125" i="3"/>
  <c r="DQ126" i="3"/>
  <c r="DQ127" i="3"/>
  <c r="DQ128" i="3"/>
  <c r="DQ129" i="3"/>
  <c r="DQ130" i="3"/>
  <c r="DQ131" i="3"/>
  <c r="DQ132" i="3"/>
  <c r="DQ133" i="3"/>
  <c r="DQ134" i="3"/>
  <c r="DQ135" i="3"/>
  <c r="DQ136" i="3"/>
  <c r="DQ137" i="3"/>
  <c r="DQ138" i="3"/>
  <c r="DQ139" i="3"/>
  <c r="DQ140" i="3"/>
  <c r="DQ141" i="3"/>
  <c r="DQ142" i="3"/>
  <c r="DQ143" i="3"/>
  <c r="DQ144" i="3"/>
  <c r="DQ145" i="3"/>
  <c r="DQ146" i="3"/>
  <c r="DQ147" i="3"/>
  <c r="DQ148" i="3"/>
  <c r="DQ149" i="3"/>
  <c r="DQ150" i="3"/>
  <c r="DQ151" i="3"/>
  <c r="DQ152" i="3"/>
  <c r="DQ153" i="3"/>
  <c r="DQ154" i="3"/>
  <c r="DQ155" i="3"/>
  <c r="DQ156" i="3"/>
  <c r="DQ157" i="3"/>
  <c r="DQ158" i="3"/>
  <c r="DQ159" i="3"/>
  <c r="DQ160" i="3"/>
  <c r="DQ161" i="3"/>
  <c r="DQ11" i="3"/>
  <c r="DO882" i="3"/>
  <c r="DO877" i="3"/>
  <c r="DO875" i="3"/>
  <c r="DO855" i="3"/>
  <c r="DO849" i="3"/>
  <c r="DO840" i="3"/>
  <c r="DO829" i="3"/>
  <c r="DO825" i="3"/>
  <c r="DO820" i="3"/>
  <c r="DO833" i="3" s="1"/>
  <c r="DO797" i="3"/>
  <c r="DO766" i="3"/>
  <c r="DO810" i="3" s="1"/>
  <c r="DO745" i="3"/>
  <c r="DO725" i="3"/>
  <c r="DO659" i="3"/>
  <c r="DO650" i="3"/>
  <c r="DO648" i="3"/>
  <c r="DO646" i="3"/>
  <c r="DO645" i="3"/>
  <c r="DO638" i="3"/>
  <c r="DO637" i="3"/>
  <c r="DO636" i="3"/>
  <c r="DO635" i="3"/>
  <c r="DO634" i="3"/>
  <c r="DO630" i="3"/>
  <c r="DO602" i="3"/>
  <c r="DO575" i="3"/>
  <c r="DO448" i="3"/>
  <c r="DO435" i="3"/>
  <c r="DO430" i="3"/>
  <c r="DO411" i="3"/>
  <c r="DO376" i="3"/>
  <c r="DO345" i="3"/>
  <c r="DO342" i="3"/>
  <c r="DO297" i="3" s="1"/>
  <c r="DO293" i="3"/>
  <c r="DO291" i="3"/>
  <c r="DO290" i="3"/>
  <c r="DO289" i="3"/>
  <c r="DO286" i="3"/>
  <c r="DO285" i="3"/>
  <c r="DO284" i="3"/>
  <c r="DO283" i="3"/>
  <c r="DO279" i="3"/>
  <c r="DO273" i="3"/>
  <c r="DO272" i="3"/>
  <c r="DO270" i="3"/>
  <c r="DO266" i="3"/>
  <c r="DO264" i="3"/>
  <c r="DO263" i="3"/>
  <c r="DO261" i="3"/>
  <c r="DO260" i="3"/>
  <c r="DO258" i="3"/>
  <c r="DO255" i="3"/>
  <c r="DO253" i="3"/>
  <c r="DO247" i="3"/>
  <c r="DO245" i="3"/>
  <c r="DO242" i="3" s="1"/>
  <c r="DO208" i="3"/>
  <c r="DO201" i="3"/>
  <c r="DO163" i="3"/>
  <c r="DO50" i="3"/>
  <c r="DO10" i="3" s="1"/>
  <c r="DL882" i="3"/>
  <c r="DL877" i="3"/>
  <c r="DL875" i="3" s="1"/>
  <c r="DQ877" i="3"/>
  <c r="DQ875" i="3" s="1"/>
  <c r="DL855" i="3"/>
  <c r="DL891" i="3" s="1"/>
  <c r="DL849" i="3"/>
  <c r="DL847" i="3"/>
  <c r="DQ847" i="3" s="1"/>
  <c r="DQ840" i="3" s="1"/>
  <c r="DL840" i="3"/>
  <c r="DL853" i="3" s="1"/>
  <c r="DL912" i="3" s="1"/>
  <c r="DL829" i="3"/>
  <c r="DL826" i="3"/>
  <c r="DL825" i="3"/>
  <c r="DL820" i="3"/>
  <c r="DL797" i="3"/>
  <c r="DL766" i="3"/>
  <c r="DL745" i="3"/>
  <c r="DL725" i="3"/>
  <c r="DL659" i="3"/>
  <c r="DL650" i="3"/>
  <c r="DL648" i="3"/>
  <c r="DL646" i="3"/>
  <c r="DL645" i="3"/>
  <c r="DL642" i="3" s="1"/>
  <c r="DL638" i="3"/>
  <c r="DL637" i="3"/>
  <c r="DL636" i="3"/>
  <c r="DL635" i="3"/>
  <c r="DL634" i="3"/>
  <c r="DL630" i="3"/>
  <c r="DL602" i="3"/>
  <c r="DL575" i="3"/>
  <c r="DL448" i="3"/>
  <c r="DL435" i="3"/>
  <c r="DL430" i="3"/>
  <c r="DL411" i="3"/>
  <c r="DL440" i="3" s="1"/>
  <c r="DL376" i="3"/>
  <c r="DL345" i="3"/>
  <c r="DL342" i="3"/>
  <c r="DQ342" i="3" s="1"/>
  <c r="DL297" i="3"/>
  <c r="DL293" i="3"/>
  <c r="DL291" i="3"/>
  <c r="DL290" i="3"/>
  <c r="DL289" i="3"/>
  <c r="DL286" i="3"/>
  <c r="DL285" i="3"/>
  <c r="DL284" i="3"/>
  <c r="DL283" i="3"/>
  <c r="DL279" i="3"/>
  <c r="DL273" i="3"/>
  <c r="DL272" i="3"/>
  <c r="DL270" i="3"/>
  <c r="DL266" i="3"/>
  <c r="DL264" i="3"/>
  <c r="DL263" i="3"/>
  <c r="DL261" i="3"/>
  <c r="DL260" i="3"/>
  <c r="DL258" i="3"/>
  <c r="DL255" i="3"/>
  <c r="DL253" i="3"/>
  <c r="DL247" i="3"/>
  <c r="DL245" i="3"/>
  <c r="DL244" i="3"/>
  <c r="DL208" i="3"/>
  <c r="DL201" i="3"/>
  <c r="DL163" i="3"/>
  <c r="DL50" i="3"/>
  <c r="DL10" i="3" s="1"/>
  <c r="DL240" i="3" s="1"/>
  <c r="DL898" i="3" s="1"/>
  <c r="DI882" i="3"/>
  <c r="DI875" i="3"/>
  <c r="DI855" i="3"/>
  <c r="DI891" i="3" s="1"/>
  <c r="DI918" i="3" s="1"/>
  <c r="DI849" i="3"/>
  <c r="DI840" i="3"/>
  <c r="DI829" i="3"/>
  <c r="DI826" i="3"/>
  <c r="DI825" i="3" s="1"/>
  <c r="DI820" i="3"/>
  <c r="DI797" i="3"/>
  <c r="DI766" i="3"/>
  <c r="DI810" i="3" s="1"/>
  <c r="DI745" i="3"/>
  <c r="DI725" i="3"/>
  <c r="DI659" i="3"/>
  <c r="DI650" i="3"/>
  <c r="DI648" i="3"/>
  <c r="DI646" i="3"/>
  <c r="DI645" i="3"/>
  <c r="DI638" i="3"/>
  <c r="DI637" i="3"/>
  <c r="DI636" i="3"/>
  <c r="DI635" i="3"/>
  <c r="DI634" i="3"/>
  <c r="DI630" i="3"/>
  <c r="DI602" i="3"/>
  <c r="DI575" i="3"/>
  <c r="DI448" i="3"/>
  <c r="DI435" i="3"/>
  <c r="DI430" i="3"/>
  <c r="DI411" i="3"/>
  <c r="DI440" i="3" s="1"/>
  <c r="DI376" i="3"/>
  <c r="DI345" i="3"/>
  <c r="DI297" i="3"/>
  <c r="DI293" i="3"/>
  <c r="DI290" i="3"/>
  <c r="DI289" i="3"/>
  <c r="DI286" i="3"/>
  <c r="DI285" i="3"/>
  <c r="DI284" i="3"/>
  <c r="DI283" i="3"/>
  <c r="DI279" i="3"/>
  <c r="DI277" i="3"/>
  <c r="DI273" i="3" s="1"/>
  <c r="DI272" i="3"/>
  <c r="DI271" i="3"/>
  <c r="DI270" i="3"/>
  <c r="DI266" i="3"/>
  <c r="DI264" i="3"/>
  <c r="DI263" i="3"/>
  <c r="DI261" i="3"/>
  <c r="DI260" i="3"/>
  <c r="DI258" i="3"/>
  <c r="DI255" i="3"/>
  <c r="DI253" i="3"/>
  <c r="DI247" i="3"/>
  <c r="DI245" i="3"/>
  <c r="DI244" i="3"/>
  <c r="DI208" i="3"/>
  <c r="DI201" i="3"/>
  <c r="DI163" i="3"/>
  <c r="DI50" i="3"/>
  <c r="DF882" i="3"/>
  <c r="DF875" i="3"/>
  <c r="DF855" i="3"/>
  <c r="DF849" i="3"/>
  <c r="DF840" i="3"/>
  <c r="DF829" i="3"/>
  <c r="DF826" i="3"/>
  <c r="DF825" i="3" s="1"/>
  <c r="DF820" i="3"/>
  <c r="DF797" i="3"/>
  <c r="DF766" i="3"/>
  <c r="DF745" i="3"/>
  <c r="DF725" i="3"/>
  <c r="DF659" i="3"/>
  <c r="DF650" i="3"/>
  <c r="DF648" i="3"/>
  <c r="DF646" i="3"/>
  <c r="DQ646" i="3" s="1"/>
  <c r="DF645" i="3"/>
  <c r="DF638" i="3"/>
  <c r="DQ638" i="3" s="1"/>
  <c r="DF637" i="3"/>
  <c r="DQ637" i="3" s="1"/>
  <c r="DF636" i="3"/>
  <c r="DF635" i="3"/>
  <c r="DQ635" i="3" s="1"/>
  <c r="DF634" i="3"/>
  <c r="DQ634" i="3" s="1"/>
  <c r="DF630" i="3"/>
  <c r="DF602" i="3"/>
  <c r="DF575" i="3"/>
  <c r="DF448" i="3"/>
  <c r="DF435" i="3"/>
  <c r="DF430" i="3"/>
  <c r="DF411" i="3"/>
  <c r="DF440" i="3" s="1"/>
  <c r="DF376" i="3"/>
  <c r="DF345" i="3"/>
  <c r="DF297" i="3"/>
  <c r="DF294" i="3"/>
  <c r="DQ294" i="3" s="1"/>
  <c r="DF290" i="3"/>
  <c r="DF289" i="3"/>
  <c r="DF286" i="3"/>
  <c r="DQ286" i="3" s="1"/>
  <c r="DF285" i="3"/>
  <c r="DF284" i="3"/>
  <c r="DF283" i="3"/>
  <c r="DF279" i="3"/>
  <c r="DF273" i="3" s="1"/>
  <c r="DF272" i="3"/>
  <c r="DF271" i="3"/>
  <c r="DQ271" i="3" s="1"/>
  <c r="DF270" i="3"/>
  <c r="DF266" i="3"/>
  <c r="DQ266" i="3" s="1"/>
  <c r="DF264" i="3"/>
  <c r="DF263" i="3"/>
  <c r="DF261" i="3"/>
  <c r="DF260" i="3"/>
  <c r="DF258" i="3"/>
  <c r="DF255" i="3"/>
  <c r="DF253" i="3"/>
  <c r="DQ253" i="3" s="1"/>
  <c r="DF247" i="3"/>
  <c r="DQ247" i="3" s="1"/>
  <c r="DF245" i="3"/>
  <c r="DF244" i="3"/>
  <c r="DF208" i="3"/>
  <c r="DF201" i="3"/>
  <c r="DF163" i="3" s="1"/>
  <c r="DF50" i="3"/>
  <c r="DO853" i="3"/>
  <c r="DO912" i="3"/>
  <c r="DQ293" i="3"/>
  <c r="DL810" i="3"/>
  <c r="DL917" i="3"/>
  <c r="DQ829" i="3"/>
  <c r="DF10" i="3"/>
  <c r="DQ255" i="3"/>
  <c r="DQ645" i="3"/>
  <c r="DQ826" i="3"/>
  <c r="DQ825" i="3" s="1"/>
  <c r="DQ855" i="3"/>
  <c r="DQ882" i="3"/>
  <c r="DQ630" i="3"/>
  <c r="DQ245" i="3"/>
  <c r="DQ430" i="3"/>
  <c r="DQ284" i="3"/>
  <c r="DQ260" i="3"/>
  <c r="DQ264" i="3"/>
  <c r="DQ285" i="3"/>
  <c r="DQ289" i="3"/>
  <c r="DQ636" i="3"/>
  <c r="DQ270" i="3"/>
  <c r="DQ575" i="3"/>
  <c r="DQ277" i="3"/>
  <c r="AQ29" i="57"/>
  <c r="AT29" i="57" s="1"/>
  <c r="AV29" i="57" s="1"/>
  <c r="AN42" i="57"/>
  <c r="DO642" i="3"/>
  <c r="DO282" i="3"/>
  <c r="DO628" i="3"/>
  <c r="DO761" i="3"/>
  <c r="DO911" i="3"/>
  <c r="DL761" i="3"/>
  <c r="DL911" i="3" s="1"/>
  <c r="DO891" i="3"/>
  <c r="DO918" i="3" s="1"/>
  <c r="DL833" i="3"/>
  <c r="DL900" i="3" s="1"/>
  <c r="DL624" i="3"/>
  <c r="DL899" i="3" s="1"/>
  <c r="DF642" i="3"/>
  <c r="DI242" i="3"/>
  <c r="DI628" i="3"/>
  <c r="DF282" i="3"/>
  <c r="DI642" i="3"/>
  <c r="DF628" i="3"/>
  <c r="DI624" i="3"/>
  <c r="DI899" i="3" s="1"/>
  <c r="DF810" i="3"/>
  <c r="DF917" i="3" s="1"/>
  <c r="DF761" i="3"/>
  <c r="DF911" i="3" s="1"/>
  <c r="DF853" i="3"/>
  <c r="DF912" i="3"/>
  <c r="CB348" i="4"/>
  <c r="CB346" i="4"/>
  <c r="CB370" i="4" s="1"/>
  <c r="CB344" i="4"/>
  <c r="CB342" i="4"/>
  <c r="CB332" i="4"/>
  <c r="CB331" i="4"/>
  <c r="CB330" i="4"/>
  <c r="CB329" i="4"/>
  <c r="CB326" i="4"/>
  <c r="CB325" i="4"/>
  <c r="CB324" i="4"/>
  <c r="CB323" i="4"/>
  <c r="CB322" i="4"/>
  <c r="CB321" i="4"/>
  <c r="CB320" i="4"/>
  <c r="CB319" i="4"/>
  <c r="CB318" i="4"/>
  <c r="CB317" i="4"/>
  <c r="CB316" i="4"/>
  <c r="CB315" i="4"/>
  <c r="CB314" i="4"/>
  <c r="CB313" i="4"/>
  <c r="CB312" i="4"/>
  <c r="CB311" i="4"/>
  <c r="CB307" i="4"/>
  <c r="CB305" i="4"/>
  <c r="CB303" i="4"/>
  <c r="CB302" i="4"/>
  <c r="CB301" i="4"/>
  <c r="CB299" i="4"/>
  <c r="CB298" i="4"/>
  <c r="CB297" i="4"/>
  <c r="CB296" i="4"/>
  <c r="CB287" i="4"/>
  <c r="CB286" i="4"/>
  <c r="CB284" i="4"/>
  <c r="CB283" i="4"/>
  <c r="CB282" i="4"/>
  <c r="CB281" i="4"/>
  <c r="CB278" i="4"/>
  <c r="CB277" i="4"/>
  <c r="CB276" i="4"/>
  <c r="CB275" i="4"/>
  <c r="CB274" i="4"/>
  <c r="CB273" i="4"/>
  <c r="CB272" i="4"/>
  <c r="CB271" i="4"/>
  <c r="CB264" i="4"/>
  <c r="CB263" i="4"/>
  <c r="CB262" i="4"/>
  <c r="CB261" i="4"/>
  <c r="CB259" i="4"/>
  <c r="CB258" i="4"/>
  <c r="CB257" i="4"/>
  <c r="CB256" i="4"/>
  <c r="CB255" i="4"/>
  <c r="CB251" i="4"/>
  <c r="CB252" i="4"/>
  <c r="CB250" i="4"/>
  <c r="CB249" i="4"/>
  <c r="CB248" i="4"/>
  <c r="CB247" i="4"/>
  <c r="CB246" i="4"/>
  <c r="CB245" i="4"/>
  <c r="CB244" i="4"/>
  <c r="CB243" i="4"/>
  <c r="CB242" i="4"/>
  <c r="CB241" i="4"/>
  <c r="CB240" i="4"/>
  <c r="CB239" i="4"/>
  <c r="CB238" i="4"/>
  <c r="CB237" i="4"/>
  <c r="CB228" i="4"/>
  <c r="CB220" i="4"/>
  <c r="CB219" i="4"/>
  <c r="CB218" i="4"/>
  <c r="CB217" i="4"/>
  <c r="CB216" i="4"/>
  <c r="CB215" i="4"/>
  <c r="CB214" i="4"/>
  <c r="CB213" i="4"/>
  <c r="CB212" i="4"/>
  <c r="CB211" i="4"/>
  <c r="CB210" i="4"/>
  <c r="CB209" i="4"/>
  <c r="CB208" i="4"/>
  <c r="CB207" i="4"/>
  <c r="CB206" i="4"/>
  <c r="CB205" i="4"/>
  <c r="CB204" i="4"/>
  <c r="CB202" i="4"/>
  <c r="CB201" i="4"/>
  <c r="CB200" i="4"/>
  <c r="CB199" i="4"/>
  <c r="CB198" i="4"/>
  <c r="CB196" i="4"/>
  <c r="CB195" i="4"/>
  <c r="CB194" i="4"/>
  <c r="CB193" i="4" s="1"/>
  <c r="CB192" i="4"/>
  <c r="CB191" i="4"/>
  <c r="CB190" i="4"/>
  <c r="CB189" i="4"/>
  <c r="CB188" i="4"/>
  <c r="CB187" i="4"/>
  <c r="CB186" i="4"/>
  <c r="CB185" i="4"/>
  <c r="CB184" i="4"/>
  <c r="CB183" i="4"/>
  <c r="CB182" i="4"/>
  <c r="CB181" i="4"/>
  <c r="CB180" i="4"/>
  <c r="CB179" i="4"/>
  <c r="CB178" i="4"/>
  <c r="CB177" i="4"/>
  <c r="CB176" i="4"/>
  <c r="CB175" i="4"/>
  <c r="CB174" i="4"/>
  <c r="CB173" i="4"/>
  <c r="CB172" i="4"/>
  <c r="CB159" i="4"/>
  <c r="CB160" i="4"/>
  <c r="CB163" i="4"/>
  <c r="CB165" i="4"/>
  <c r="CB166" i="4"/>
  <c r="CB167" i="4"/>
  <c r="CB168" i="4"/>
  <c r="CB158" i="4"/>
  <c r="CB155" i="4"/>
  <c r="CB151" i="4"/>
  <c r="CB149" i="4"/>
  <c r="CB148" i="4"/>
  <c r="CB147" i="4"/>
  <c r="CB146" i="4"/>
  <c r="CB145" i="4"/>
  <c r="CB143" i="4"/>
  <c r="CB141" i="4"/>
  <c r="CB140" i="4"/>
  <c r="CB139" i="4"/>
  <c r="CB137" i="4"/>
  <c r="CB136" i="4"/>
  <c r="CB134" i="4"/>
  <c r="CB133" i="4"/>
  <c r="CB132" i="4"/>
  <c r="CB131" i="4"/>
  <c r="CB129" i="4"/>
  <c r="CB128" i="4"/>
  <c r="CB126" i="4"/>
  <c r="CB125" i="4"/>
  <c r="CB124" i="4"/>
  <c r="CB123" i="4"/>
  <c r="CB122" i="4"/>
  <c r="CB118" i="4"/>
  <c r="CB117" i="4"/>
  <c r="CB116" i="4"/>
  <c r="CB115" i="4"/>
  <c r="CB114" i="4"/>
  <c r="CB113" i="4"/>
  <c r="CB112" i="4"/>
  <c r="CB111" i="4"/>
  <c r="CB110" i="4"/>
  <c r="CB109" i="4"/>
  <c r="CB108" i="4"/>
  <c r="CB107" i="4"/>
  <c r="CB106" i="4"/>
  <c r="CB105" i="4"/>
  <c r="CB104" i="4"/>
  <c r="CB103" i="4"/>
  <c r="CB102" i="4"/>
  <c r="CB101" i="4"/>
  <c r="CB100" i="4"/>
  <c r="CB99" i="4"/>
  <c r="CB98" i="4"/>
  <c r="CB97" i="4"/>
  <c r="CB96" i="4"/>
  <c r="CB95" i="4"/>
  <c r="CB94" i="4"/>
  <c r="CB93" i="4"/>
  <c r="CB92" i="4"/>
  <c r="CB91" i="4"/>
  <c r="CB90" i="4"/>
  <c r="CB89" i="4"/>
  <c r="CB87" i="4"/>
  <c r="CB86" i="4"/>
  <c r="CB85" i="4"/>
  <c r="CB84" i="4"/>
  <c r="CB82" i="4"/>
  <c r="CB81" i="4"/>
  <c r="CB80" i="4"/>
  <c r="CB79" i="4"/>
  <c r="CB78" i="4"/>
  <c r="CB77" i="4"/>
  <c r="CB76" i="4"/>
  <c r="CB75" i="4"/>
  <c r="CB74" i="4"/>
  <c r="CB73" i="4"/>
  <c r="CB12" i="4"/>
  <c r="CB13" i="4"/>
  <c r="CB14" i="4"/>
  <c r="CB15" i="4"/>
  <c r="CB16" i="4"/>
  <c r="CB17" i="4"/>
  <c r="CB18" i="4"/>
  <c r="CB19" i="4"/>
  <c r="CB20" i="4"/>
  <c r="CB21" i="4"/>
  <c r="CB22" i="4"/>
  <c r="CB23" i="4"/>
  <c r="CB24" i="4"/>
  <c r="CB25" i="4"/>
  <c r="CB26" i="4"/>
  <c r="CB27" i="4"/>
  <c r="CB28" i="4"/>
  <c r="CB29" i="4"/>
  <c r="CB30" i="4"/>
  <c r="CB31" i="4"/>
  <c r="CB32" i="4"/>
  <c r="CB33" i="4"/>
  <c r="CB34" i="4"/>
  <c r="CB35" i="4"/>
  <c r="CB36" i="4"/>
  <c r="CB37" i="4"/>
  <c r="CB38" i="4"/>
  <c r="CB39" i="4"/>
  <c r="CB40" i="4"/>
  <c r="CB41" i="4"/>
  <c r="CB42" i="4"/>
  <c r="CB43" i="4"/>
  <c r="CB44" i="4"/>
  <c r="CB45" i="4"/>
  <c r="CB46" i="4"/>
  <c r="CB47" i="4"/>
  <c r="CB48" i="4"/>
  <c r="CB49" i="4"/>
  <c r="CB50" i="4"/>
  <c r="CB51" i="4"/>
  <c r="CB53" i="4"/>
  <c r="CB54" i="4"/>
  <c r="CB55" i="4"/>
  <c r="CB56" i="4"/>
  <c r="CB57" i="4"/>
  <c r="CB58" i="4"/>
  <c r="CB59" i="4"/>
  <c r="CB60" i="4"/>
  <c r="CB61" i="4"/>
  <c r="CB62" i="4"/>
  <c r="CB63" i="4"/>
  <c r="CB64" i="4"/>
  <c r="CB65" i="4"/>
  <c r="CB66" i="4"/>
  <c r="CB67" i="4"/>
  <c r="CB68" i="4"/>
  <c r="CB69" i="4"/>
  <c r="CB70" i="4"/>
  <c r="CB71" i="4"/>
  <c r="CB9" i="4"/>
  <c r="CB10" i="4"/>
  <c r="CB11" i="4"/>
  <c r="CB8" i="4"/>
  <c r="CC348" i="4"/>
  <c r="CC346" i="4"/>
  <c r="CC344" i="4"/>
  <c r="CC342" i="4"/>
  <c r="CC332" i="4"/>
  <c r="CC331" i="4"/>
  <c r="CC330" i="4"/>
  <c r="CC329" i="4"/>
  <c r="CC326" i="4"/>
  <c r="CC325" i="4"/>
  <c r="CC324" i="4"/>
  <c r="CC323" i="4"/>
  <c r="CC322" i="4"/>
  <c r="CC321" i="4"/>
  <c r="CC320" i="4"/>
  <c r="CC319" i="4"/>
  <c r="CC318" i="4"/>
  <c r="CC317" i="4"/>
  <c r="CC316" i="4"/>
  <c r="CC315" i="4"/>
  <c r="CC314" i="4"/>
  <c r="CC313" i="4"/>
  <c r="CC312" i="4"/>
  <c r="CC311" i="4"/>
  <c r="CC307" i="4"/>
  <c r="CC305" i="4"/>
  <c r="CC303" i="4"/>
  <c r="CC302" i="4"/>
  <c r="CC301" i="4"/>
  <c r="CC299" i="4"/>
  <c r="CC298" i="4"/>
  <c r="CC297" i="4"/>
  <c r="CC295" i="4" s="1"/>
  <c r="CC296" i="4"/>
  <c r="CC287" i="4"/>
  <c r="CC286" i="4"/>
  <c r="CC284" i="4"/>
  <c r="CC283" i="4"/>
  <c r="CC282" i="4"/>
  <c r="CC281" i="4"/>
  <c r="CC278" i="4"/>
  <c r="CC277" i="4"/>
  <c r="CC276" i="4"/>
  <c r="CC275" i="4"/>
  <c r="CC274" i="4"/>
  <c r="CC273" i="4"/>
  <c r="CC272" i="4"/>
  <c r="CC271" i="4"/>
  <c r="CC264" i="4"/>
  <c r="CC263" i="4"/>
  <c r="CC262" i="4"/>
  <c r="CC261" i="4"/>
  <c r="CC259" i="4"/>
  <c r="CC258" i="4"/>
  <c r="CC257" i="4"/>
  <c r="CC256" i="4"/>
  <c r="CC255" i="4"/>
  <c r="CC251" i="4"/>
  <c r="CC250" i="4"/>
  <c r="CC249" i="4"/>
  <c r="CC248" i="4"/>
  <c r="CC247" i="4"/>
  <c r="CC246" i="4"/>
  <c r="CC245" i="4"/>
  <c r="CC244" i="4"/>
  <c r="CC243" i="4"/>
  <c r="CC242" i="4"/>
  <c r="CC241" i="4"/>
  <c r="CC240" i="4"/>
  <c r="CC239" i="4"/>
  <c r="CC238" i="4"/>
  <c r="CC237" i="4"/>
  <c r="CC228" i="4"/>
  <c r="CC220" i="4"/>
  <c r="CC219" i="4"/>
  <c r="CC218" i="4"/>
  <c r="CC217" i="4"/>
  <c r="CC216" i="4"/>
  <c r="CC215" i="4"/>
  <c r="CC214" i="4"/>
  <c r="CC213" i="4"/>
  <c r="CC212" i="4"/>
  <c r="CC211" i="4"/>
  <c r="CC210" i="4"/>
  <c r="CC209" i="4"/>
  <c r="CC208" i="4"/>
  <c r="CC207" i="4"/>
  <c r="CC206" i="4"/>
  <c r="CC205" i="4"/>
  <c r="CC204" i="4"/>
  <c r="CC202" i="4"/>
  <c r="CC201" i="4"/>
  <c r="CC200" i="4"/>
  <c r="CC199" i="4"/>
  <c r="CC198" i="4"/>
  <c r="CC196" i="4"/>
  <c r="CC195" i="4"/>
  <c r="CC194" i="4"/>
  <c r="CC192" i="4"/>
  <c r="CC191" i="4"/>
  <c r="CC190" i="4"/>
  <c r="CC189" i="4"/>
  <c r="CC188" i="4"/>
  <c r="CC187" i="4"/>
  <c r="CC186" i="4"/>
  <c r="CC185" i="4"/>
  <c r="CC184" i="4"/>
  <c r="CC183" i="4"/>
  <c r="CC182" i="4"/>
  <c r="CC181" i="4"/>
  <c r="CC180" i="4"/>
  <c r="CC179" i="4"/>
  <c r="CC178" i="4"/>
  <c r="CC177" i="4"/>
  <c r="CC176" i="4"/>
  <c r="CC175" i="4"/>
  <c r="CC174" i="4"/>
  <c r="CC173" i="4"/>
  <c r="CC172" i="4"/>
  <c r="CC168" i="4"/>
  <c r="CC167" i="4"/>
  <c r="CC166" i="4"/>
  <c r="CC165" i="4"/>
  <c r="CC163" i="4"/>
  <c r="CC160" i="4"/>
  <c r="CC159" i="4"/>
  <c r="CC158" i="4"/>
  <c r="CC155" i="4"/>
  <c r="CC151" i="4"/>
  <c r="CC149" i="4"/>
  <c r="CC148" i="4"/>
  <c r="CC147" i="4"/>
  <c r="CC146" i="4"/>
  <c r="CC145" i="4"/>
  <c r="CC143" i="4"/>
  <c r="CC141" i="4"/>
  <c r="CC140" i="4"/>
  <c r="CC139" i="4"/>
  <c r="CC137" i="4"/>
  <c r="CC136" i="4"/>
  <c r="CC134" i="4"/>
  <c r="CC133" i="4"/>
  <c r="CC132" i="4"/>
  <c r="CC131" i="4"/>
  <c r="CC129" i="4"/>
  <c r="CC128" i="4"/>
  <c r="CC126" i="4"/>
  <c r="CC125" i="4"/>
  <c r="CC124" i="4"/>
  <c r="CC123" i="4"/>
  <c r="CC122" i="4"/>
  <c r="CC118" i="4"/>
  <c r="CC117" i="4"/>
  <c r="CC116" i="4"/>
  <c r="CC115" i="4"/>
  <c r="CC114" i="4"/>
  <c r="CC113" i="4"/>
  <c r="CC112" i="4"/>
  <c r="CC111" i="4"/>
  <c r="CC110" i="4"/>
  <c r="CC109" i="4"/>
  <c r="CC108" i="4"/>
  <c r="CC107" i="4"/>
  <c r="CC106" i="4"/>
  <c r="CC105" i="4"/>
  <c r="CC104" i="4"/>
  <c r="CC103" i="4"/>
  <c r="CC102" i="4"/>
  <c r="CC101" i="4"/>
  <c r="CC100" i="4"/>
  <c r="CC99" i="4"/>
  <c r="CC98" i="4"/>
  <c r="CC97" i="4"/>
  <c r="CC96" i="4"/>
  <c r="CC95" i="4"/>
  <c r="CC94" i="4"/>
  <c r="CC93" i="4"/>
  <c r="CC92" i="4"/>
  <c r="CC91" i="4"/>
  <c r="CC90" i="4"/>
  <c r="CC89" i="4"/>
  <c r="CC87" i="4"/>
  <c r="CC86" i="4"/>
  <c r="CC85" i="4"/>
  <c r="CC84" i="4"/>
  <c r="CC82" i="4"/>
  <c r="CC81" i="4"/>
  <c r="CC80" i="4"/>
  <c r="CC79" i="4"/>
  <c r="CC78" i="4"/>
  <c r="CC77" i="4"/>
  <c r="CC76" i="4"/>
  <c r="CC75" i="4"/>
  <c r="CC74" i="4"/>
  <c r="CC73" i="4"/>
  <c r="CC9" i="4"/>
  <c r="CC10" i="4"/>
  <c r="CC11" i="4"/>
  <c r="CC12" i="4"/>
  <c r="CC13" i="4"/>
  <c r="CC14" i="4"/>
  <c r="CC15" i="4"/>
  <c r="CC16" i="4"/>
  <c r="CC17" i="4"/>
  <c r="CC18" i="4"/>
  <c r="CC19" i="4"/>
  <c r="CC20" i="4"/>
  <c r="CC21" i="4"/>
  <c r="CC22" i="4"/>
  <c r="CC23" i="4"/>
  <c r="CC24" i="4"/>
  <c r="CC25" i="4"/>
  <c r="CC26" i="4"/>
  <c r="CC27" i="4"/>
  <c r="CC28" i="4"/>
  <c r="CC29" i="4"/>
  <c r="CC30" i="4"/>
  <c r="CC31" i="4"/>
  <c r="CC32" i="4"/>
  <c r="CC33" i="4"/>
  <c r="CC34" i="4"/>
  <c r="CC35" i="4"/>
  <c r="CC36" i="4"/>
  <c r="CC37" i="4"/>
  <c r="CC38" i="4"/>
  <c r="CC39" i="4"/>
  <c r="CC40" i="4"/>
  <c r="CC41" i="4"/>
  <c r="CC42" i="4"/>
  <c r="CC43" i="4"/>
  <c r="CC44" i="4"/>
  <c r="CC45" i="4"/>
  <c r="CC46" i="4"/>
  <c r="CC47" i="4"/>
  <c r="CC48" i="4"/>
  <c r="CC49" i="4"/>
  <c r="CC50" i="4"/>
  <c r="CC51" i="4"/>
  <c r="CC53" i="4"/>
  <c r="CC54" i="4"/>
  <c r="CC55" i="4"/>
  <c r="CC56" i="4"/>
  <c r="CC57" i="4"/>
  <c r="CC58" i="4"/>
  <c r="CC59" i="4"/>
  <c r="CC60" i="4"/>
  <c r="CC61" i="4"/>
  <c r="CC62" i="4"/>
  <c r="CC63" i="4"/>
  <c r="CC64" i="4"/>
  <c r="CC65" i="4"/>
  <c r="CC66" i="4"/>
  <c r="CC67" i="4"/>
  <c r="CC68" i="4"/>
  <c r="CC69" i="4"/>
  <c r="CC70" i="4"/>
  <c r="CC71" i="4"/>
  <c r="CC8" i="4"/>
  <c r="BZ376" i="4"/>
  <c r="BZ370" i="4"/>
  <c r="BZ364" i="4"/>
  <c r="BZ358" i="4"/>
  <c r="BZ349" i="4"/>
  <c r="BZ328" i="4"/>
  <c r="BZ327" i="4"/>
  <c r="BZ310" i="4"/>
  <c r="BZ334" i="4" s="1"/>
  <c r="BZ375" i="4" s="1"/>
  <c r="BZ306" i="4"/>
  <c r="BZ304" i="4" s="1"/>
  <c r="BZ300" i="4"/>
  <c r="BZ295" i="4"/>
  <c r="BZ292" i="4"/>
  <c r="BZ293" i="4" s="1"/>
  <c r="BZ363" i="4" s="1"/>
  <c r="BZ285" i="4"/>
  <c r="BZ280" i="4"/>
  <c r="BZ279" i="4"/>
  <c r="BZ270" i="4"/>
  <c r="BZ260" i="4"/>
  <c r="BZ254" i="4" s="1"/>
  <c r="BZ252" i="4"/>
  <c r="BZ236" i="4"/>
  <c r="BZ197" i="4"/>
  <c r="BZ193" i="4"/>
  <c r="BZ171" i="4"/>
  <c r="BZ164" i="4"/>
  <c r="BZ161" i="4"/>
  <c r="BZ156" i="4"/>
  <c r="BZ154" i="4"/>
  <c r="BZ152" i="4"/>
  <c r="BZ150" i="4"/>
  <c r="BZ142" i="4"/>
  <c r="BZ138" i="4"/>
  <c r="BZ135" i="4"/>
  <c r="BZ130" i="4"/>
  <c r="BZ127" i="4"/>
  <c r="BZ88" i="4"/>
  <c r="BZ83" i="4"/>
  <c r="BZ72" i="4"/>
  <c r="BZ52" i="4"/>
  <c r="BZ7" i="4" s="1"/>
  <c r="BZ119" i="4" s="1"/>
  <c r="BW376" i="4"/>
  <c r="BW370" i="4"/>
  <c r="BW364" i="4"/>
  <c r="BW358" i="4"/>
  <c r="BW349" i="4"/>
  <c r="BW328" i="4"/>
  <c r="BW327" i="4"/>
  <c r="BW310" i="4" s="1"/>
  <c r="BW334" i="4" s="1"/>
  <c r="BW375" i="4" s="1"/>
  <c r="BW306" i="4"/>
  <c r="BW304" i="4"/>
  <c r="BW300" i="4"/>
  <c r="BW295" i="4"/>
  <c r="BW292" i="4"/>
  <c r="BW293" i="4" s="1"/>
  <c r="BW363" i="4" s="1"/>
  <c r="BW285" i="4"/>
  <c r="BW280" i="4"/>
  <c r="BW279" i="4"/>
  <c r="BW270" i="4" s="1"/>
  <c r="BW260" i="4"/>
  <c r="BW254" i="4"/>
  <c r="BW252" i="4"/>
  <c r="BW236" i="4"/>
  <c r="BW197" i="4"/>
  <c r="BW193" i="4"/>
  <c r="BW171" i="4"/>
  <c r="BW164" i="4"/>
  <c r="BW161" i="4"/>
  <c r="BW156" i="4"/>
  <c r="BW154" i="4"/>
  <c r="BW153" i="4" s="1"/>
  <c r="BW152" i="4"/>
  <c r="BW150" i="4"/>
  <c r="BW144" i="4"/>
  <c r="BW142" i="4"/>
  <c r="BW138" i="4"/>
  <c r="BW135" i="4"/>
  <c r="BW130" i="4"/>
  <c r="BW127" i="4"/>
  <c r="BW121" i="4" s="1"/>
  <c r="BW88" i="4"/>
  <c r="BW83" i="4" s="1"/>
  <c r="BW72" i="4"/>
  <c r="BW52" i="4"/>
  <c r="BW7" i="4" s="1"/>
  <c r="BT376" i="4"/>
  <c r="BT370" i="4"/>
  <c r="BT364" i="4"/>
  <c r="BT358" i="4"/>
  <c r="BT349" i="4"/>
  <c r="BT328" i="4"/>
  <c r="BT327" i="4"/>
  <c r="BT310" i="4" s="1"/>
  <c r="BT304" i="4"/>
  <c r="BT300" i="4"/>
  <c r="BT295" i="4"/>
  <c r="BT292" i="4"/>
  <c r="BT293" i="4" s="1"/>
  <c r="BT363" i="4" s="1"/>
  <c r="BT285" i="4"/>
  <c r="BT280" i="4" s="1"/>
  <c r="BT279" i="4"/>
  <c r="BT270" i="4"/>
  <c r="BT260" i="4"/>
  <c r="BT254" i="4"/>
  <c r="BT252" i="4"/>
  <c r="BT236" i="4"/>
  <c r="BT203" i="4"/>
  <c r="BT197" i="4" s="1"/>
  <c r="BT193" i="4"/>
  <c r="BT171" i="4"/>
  <c r="BT164" i="4"/>
  <c r="BT157" i="4" s="1"/>
  <c r="BT156" i="4"/>
  <c r="BT154" i="4"/>
  <c r="BT153" i="4" s="1"/>
  <c r="BT152" i="4"/>
  <c r="BT150" i="4"/>
  <c r="BT144" i="4"/>
  <c r="BT142" i="4"/>
  <c r="BT138" i="4"/>
  <c r="BT135" i="4"/>
  <c r="BT130" i="4"/>
  <c r="BT127" i="4"/>
  <c r="BT88" i="4"/>
  <c r="BT83" i="4" s="1"/>
  <c r="BT72" i="4"/>
  <c r="BT52" i="4"/>
  <c r="BT7" i="4"/>
  <c r="BT119" i="4" s="1"/>
  <c r="BT356" i="4" s="1"/>
  <c r="BQ376" i="4"/>
  <c r="BQ370" i="4"/>
  <c r="BQ364" i="4"/>
  <c r="BQ358" i="4"/>
  <c r="BQ349" i="4"/>
  <c r="BQ328" i="4"/>
  <c r="BQ327" i="4"/>
  <c r="BQ310" i="4"/>
  <c r="BQ334" i="4" s="1"/>
  <c r="BQ375" i="4" s="1"/>
  <c r="BQ304" i="4"/>
  <c r="BQ300" i="4"/>
  <c r="BQ295" i="4"/>
  <c r="BQ292" i="4"/>
  <c r="BQ293" i="4" s="1"/>
  <c r="BQ363" i="4" s="1"/>
  <c r="BQ285" i="4"/>
  <c r="BQ280" i="4"/>
  <c r="BQ279" i="4"/>
  <c r="BQ270" i="4" s="1"/>
  <c r="BQ288" i="4" s="1"/>
  <c r="BQ260" i="4"/>
  <c r="BQ254" i="4"/>
  <c r="BQ252" i="4"/>
  <c r="BQ236" i="4"/>
  <c r="BQ203" i="4"/>
  <c r="BQ197" i="4"/>
  <c r="BQ193" i="4"/>
  <c r="BQ171" i="4"/>
  <c r="BQ164" i="4"/>
  <c r="BQ162" i="4"/>
  <c r="BQ161" i="4"/>
  <c r="BQ156" i="4"/>
  <c r="BQ154" i="4"/>
  <c r="BQ153" i="4" s="1"/>
  <c r="BQ152" i="4"/>
  <c r="BQ150" i="4"/>
  <c r="BQ144" i="4"/>
  <c r="BQ142" i="4"/>
  <c r="BQ138" i="4"/>
  <c r="BQ135" i="4"/>
  <c r="BQ130" i="4"/>
  <c r="BQ127" i="4"/>
  <c r="BQ88" i="4"/>
  <c r="BQ83" i="4"/>
  <c r="BQ72" i="4"/>
  <c r="BQ52" i="4"/>
  <c r="BQ7" i="4"/>
  <c r="DO655" i="3"/>
  <c r="DO905" i="3"/>
  <c r="BZ288" i="4"/>
  <c r="AQ42" i="57"/>
  <c r="DF655" i="3"/>
  <c r="DF905" i="3"/>
  <c r="BW157" i="4"/>
  <c r="AX59" i="77"/>
  <c r="AX58" i="77"/>
  <c r="AX57" i="77"/>
  <c r="AX56" i="77"/>
  <c r="AX55" i="77"/>
  <c r="AX54" i="77"/>
  <c r="AX53" i="77"/>
  <c r="AX52" i="77"/>
  <c r="AX51" i="77"/>
  <c r="AX50" i="77"/>
  <c r="AX49" i="77"/>
  <c r="AX48" i="77"/>
  <c r="AX47" i="77"/>
  <c r="AX46" i="77"/>
  <c r="AX45" i="77"/>
  <c r="AX44" i="77"/>
  <c r="AX43" i="77"/>
  <c r="AX42" i="77"/>
  <c r="AX41" i="77"/>
  <c r="AX40" i="77"/>
  <c r="AX39" i="77"/>
  <c r="AX38" i="77"/>
  <c r="AX37" i="77"/>
  <c r="AX36" i="77"/>
  <c r="AX35" i="77"/>
  <c r="AX34" i="77"/>
  <c r="AX33" i="77"/>
  <c r="AX32" i="77"/>
  <c r="AX31" i="77"/>
  <c r="AX30" i="77"/>
  <c r="AX29" i="77"/>
  <c r="AX28" i="77"/>
  <c r="AX27" i="77"/>
  <c r="AX26" i="77"/>
  <c r="AX25" i="77"/>
  <c r="AX24" i="77"/>
  <c r="AX23" i="77"/>
  <c r="AX22" i="77"/>
  <c r="AX21" i="77"/>
  <c r="AX20" i="77"/>
  <c r="AX19" i="77"/>
  <c r="AX18" i="77"/>
  <c r="AX17" i="77"/>
  <c r="AX16" i="77"/>
  <c r="AX15" i="77"/>
  <c r="AX14" i="77"/>
  <c r="AX13" i="77"/>
  <c r="AX12" i="77"/>
  <c r="AX11" i="77"/>
  <c r="AX10" i="77"/>
  <c r="AX9" i="77"/>
  <c r="AX8" i="77"/>
  <c r="AX7" i="77"/>
  <c r="AX6" i="77"/>
  <c r="AI8" i="77"/>
  <c r="AI10" i="77"/>
  <c r="AI11" i="77"/>
  <c r="AI14" i="77"/>
  <c r="AI15" i="77"/>
  <c r="AI16" i="77"/>
  <c r="AI18" i="77"/>
  <c r="AI19" i="77"/>
  <c r="AI20" i="77"/>
  <c r="AI24" i="77"/>
  <c r="AI25" i="77"/>
  <c r="AI26" i="77"/>
  <c r="AI27" i="77"/>
  <c r="AI29" i="77"/>
  <c r="AI30" i="77"/>
  <c r="AI35" i="77"/>
  <c r="AI38" i="77"/>
  <c r="AI39" i="77"/>
  <c r="AI40" i="77"/>
  <c r="AI41" i="77"/>
  <c r="AI42" i="77"/>
  <c r="AI43" i="77"/>
  <c r="AI44" i="77"/>
  <c r="AI45" i="77"/>
  <c r="AI46" i="77"/>
  <c r="AI47" i="77"/>
  <c r="AI48" i="77"/>
  <c r="AI49" i="77"/>
  <c r="AI50" i="77"/>
  <c r="AI51" i="77"/>
  <c r="AI52" i="77"/>
  <c r="AI53" i="77"/>
  <c r="AI54" i="77"/>
  <c r="AI55" i="77"/>
  <c r="AI56" i="77"/>
  <c r="AI57" i="77"/>
  <c r="AI58" i="77"/>
  <c r="AI59" i="77"/>
  <c r="AI6" i="77"/>
  <c r="AI34" i="77"/>
  <c r="AI37" i="77"/>
  <c r="AI23" i="77"/>
  <c r="AI9" i="77"/>
  <c r="AI17" i="77"/>
  <c r="AI21" i="77"/>
  <c r="AI13" i="77"/>
  <c r="AI33" i="77"/>
  <c r="AI31" i="77"/>
  <c r="AI32" i="77"/>
  <c r="AI7" i="77"/>
  <c r="AI12" i="77"/>
  <c r="AI36" i="77"/>
  <c r="AI22" i="77"/>
  <c r="AI28" i="77"/>
  <c r="AT42" i="57"/>
  <c r="AV42" i="57" s="1"/>
  <c r="JI10" i="78"/>
  <c r="JI9" i="78"/>
  <c r="JI8" i="78"/>
  <c r="IB10" i="78"/>
  <c r="IB9" i="78"/>
  <c r="IB8" i="78"/>
  <c r="FN8" i="78"/>
  <c r="CZ10" i="78"/>
  <c r="CZ9" i="78"/>
  <c r="CZ8" i="78"/>
  <c r="JC7" i="78"/>
  <c r="JC11" i="78"/>
  <c r="IZ7" i="78"/>
  <c r="IZ11" i="78"/>
  <c r="IW7" i="78"/>
  <c r="IW11" i="78"/>
  <c r="IT7" i="78"/>
  <c r="IT11" i="78" s="1"/>
  <c r="IT20" i="78"/>
  <c r="IT30" i="78"/>
  <c r="IT19" i="78"/>
  <c r="IT29" i="78"/>
  <c r="IT18" i="78"/>
  <c r="IT28" i="78"/>
  <c r="IT17" i="78"/>
  <c r="IT21" i="78" s="1"/>
  <c r="HM20" i="78"/>
  <c r="HM30" i="78" s="1"/>
  <c r="HM19" i="78"/>
  <c r="HM29" i="78"/>
  <c r="HM18" i="78"/>
  <c r="HM28" i="78" s="1"/>
  <c r="EY18" i="78"/>
  <c r="EY28" i="78"/>
  <c r="CK20" i="78"/>
  <c r="CK30" i="78" s="1"/>
  <c r="CK19" i="78"/>
  <c r="CK29" i="78"/>
  <c r="CK18" i="78"/>
  <c r="CK28" i="78" s="1"/>
  <c r="IW20" i="78"/>
  <c r="IW30" i="78"/>
  <c r="IW19" i="78"/>
  <c r="IW29" i="78" s="1"/>
  <c r="IW18" i="78"/>
  <c r="IW28" i="78"/>
  <c r="IW17" i="78"/>
  <c r="IW21" i="78" s="1"/>
  <c r="HP20" i="78"/>
  <c r="HP30" i="78"/>
  <c r="HP19" i="78"/>
  <c r="HP29" i="78" s="1"/>
  <c r="HP18" i="78"/>
  <c r="HP28" i="78"/>
  <c r="FB18" i="78"/>
  <c r="FB28" i="78" s="1"/>
  <c r="CN20" i="78"/>
  <c r="CN30" i="78"/>
  <c r="CN19" i="78"/>
  <c r="CN29" i="78" s="1"/>
  <c r="CN18" i="78"/>
  <c r="CN28" i="78"/>
  <c r="IZ20" i="78"/>
  <c r="IZ30" i="78"/>
  <c r="IZ19" i="78"/>
  <c r="IZ29" i="78"/>
  <c r="IZ18" i="78"/>
  <c r="IZ28" i="78" s="1"/>
  <c r="IZ17" i="78"/>
  <c r="JA11" i="78"/>
  <c r="JA17" i="78"/>
  <c r="JA21" i="78"/>
  <c r="JA28" i="78"/>
  <c r="JA29" i="78"/>
  <c r="JA30" i="78"/>
  <c r="HS20" i="78"/>
  <c r="HS30" i="78" s="1"/>
  <c r="HS19" i="78"/>
  <c r="HS29" i="78"/>
  <c r="HS18" i="78"/>
  <c r="HS28" i="78" s="1"/>
  <c r="FE18" i="78"/>
  <c r="FE28" i="78"/>
  <c r="CQ20" i="78"/>
  <c r="CQ30" i="78" s="1"/>
  <c r="CQ19" i="78"/>
  <c r="CQ29" i="78"/>
  <c r="CQ18" i="78"/>
  <c r="CQ28" i="78" s="1"/>
  <c r="JC20" i="78"/>
  <c r="JC30" i="78"/>
  <c r="JC19" i="78"/>
  <c r="JC29" i="78" s="1"/>
  <c r="JC18" i="78"/>
  <c r="JC28" i="78"/>
  <c r="JC17" i="78"/>
  <c r="HV20" i="78"/>
  <c r="HV30" i="78"/>
  <c r="HV19" i="78"/>
  <c r="HV29" i="78" s="1"/>
  <c r="HV18" i="78"/>
  <c r="HV28" i="78"/>
  <c r="FH18" i="78"/>
  <c r="FH28" i="78"/>
  <c r="CT20" i="78"/>
  <c r="CT30" i="78"/>
  <c r="CT19" i="78"/>
  <c r="CT29" i="78" s="1"/>
  <c r="CT18" i="78"/>
  <c r="CT28" i="78"/>
  <c r="LQ42" i="78"/>
  <c r="LQ41" i="78"/>
  <c r="LQ40" i="78"/>
  <c r="LQ39" i="78"/>
  <c r="LQ38" i="78"/>
  <c r="LQ37" i="78"/>
  <c r="LQ36" i="78"/>
  <c r="KK42" i="78"/>
  <c r="KK41" i="78"/>
  <c r="KK40" i="78"/>
  <c r="KK39" i="78"/>
  <c r="KK38" i="78"/>
  <c r="KK37" i="78"/>
  <c r="KK35" i="78"/>
  <c r="JH42" i="78"/>
  <c r="JH41" i="78"/>
  <c r="JH40" i="78"/>
  <c r="JH39" i="78"/>
  <c r="JH38" i="78"/>
  <c r="JH37" i="78"/>
  <c r="JH36" i="78"/>
  <c r="JH35" i="78"/>
  <c r="JH44" i="78" s="1"/>
  <c r="IA42" i="78"/>
  <c r="IA41" i="78"/>
  <c r="IA40" i="78"/>
  <c r="IA39" i="78"/>
  <c r="IA38" i="78"/>
  <c r="IA37" i="78"/>
  <c r="IA36" i="78"/>
  <c r="IA35" i="78"/>
  <c r="GT42" i="78"/>
  <c r="GT41" i="78"/>
  <c r="GT40" i="78"/>
  <c r="GT39" i="78"/>
  <c r="GT38" i="78"/>
  <c r="GT37" i="78"/>
  <c r="GT36" i="78"/>
  <c r="GT35" i="78"/>
  <c r="GT44" i="78" s="1"/>
  <c r="FM42" i="78"/>
  <c r="FM41" i="78"/>
  <c r="FM40" i="78"/>
  <c r="FM39" i="78"/>
  <c r="FM38" i="78"/>
  <c r="FM37" i="78"/>
  <c r="FM36" i="78"/>
  <c r="FM35" i="78"/>
  <c r="EF42" i="78"/>
  <c r="EF40" i="78"/>
  <c r="EF39" i="78"/>
  <c r="EF38" i="78"/>
  <c r="EF37" i="78"/>
  <c r="EF36" i="78"/>
  <c r="EF35" i="78"/>
  <c r="CY42" i="78"/>
  <c r="CY41" i="78"/>
  <c r="CY40" i="78"/>
  <c r="CY39" i="78"/>
  <c r="CY38" i="78"/>
  <c r="CY37" i="78"/>
  <c r="CY36" i="78"/>
  <c r="CY35" i="78"/>
  <c r="CY44" i="78" s="1"/>
  <c r="BR42" i="78"/>
  <c r="BR41" i="78"/>
  <c r="BR40" i="78"/>
  <c r="BR39" i="78"/>
  <c r="BR38" i="78"/>
  <c r="BR37" i="78"/>
  <c r="BR36" i="78"/>
  <c r="BR35" i="78"/>
  <c r="BR44" i="78" s="1"/>
  <c r="EF41" i="78"/>
  <c r="LQ35" i="78"/>
  <c r="JE7" i="78"/>
  <c r="JA27" i="78"/>
  <c r="JA31" i="78" s="1"/>
  <c r="IT27" i="78"/>
  <c r="IT31" i="78"/>
  <c r="IZ27" i="78"/>
  <c r="KK36" i="78"/>
  <c r="KK44" i="78"/>
  <c r="AB70" i="77"/>
  <c r="AV31" i="57"/>
  <c r="DC575" i="3"/>
  <c r="DC430" i="3"/>
  <c r="JM17" i="78"/>
  <c r="JM21" i="78" s="1"/>
  <c r="JN7" i="78"/>
  <c r="JL7" i="78"/>
  <c r="KJ10" i="78"/>
  <c r="KI10" i="78"/>
  <c r="KJ9" i="78"/>
  <c r="KI9" i="78"/>
  <c r="KJ8" i="78"/>
  <c r="KI8" i="78"/>
  <c r="KJ7" i="78"/>
  <c r="KI7" i="78"/>
  <c r="KH7" i="78"/>
  <c r="JU11" i="78"/>
  <c r="JV11" i="78"/>
  <c r="JW11" i="78"/>
  <c r="JX11" i="78"/>
  <c r="JY11" i="78"/>
  <c r="JZ11" i="78"/>
  <c r="KA11" i="78"/>
  <c r="KB11" i="78"/>
  <c r="KC11" i="78"/>
  <c r="KD11" i="78"/>
  <c r="KE11" i="78"/>
  <c r="KF11" i="78"/>
  <c r="KV7" i="78"/>
  <c r="KT7" i="78"/>
  <c r="IM27" i="78"/>
  <c r="IO27" i="78"/>
  <c r="JF7" i="78"/>
  <c r="IE7" i="78"/>
  <c r="IE27" i="78"/>
  <c r="IG7" i="78"/>
  <c r="IX17" i="78"/>
  <c r="IX27" i="78"/>
  <c r="IU17" i="78"/>
  <c r="IU27" i="78" s="1"/>
  <c r="IR17" i="78"/>
  <c r="IR27" i="78"/>
  <c r="IP17" i="78"/>
  <c r="IN17" i="78"/>
  <c r="IN27" i="78"/>
  <c r="IL17" i="78"/>
  <c r="IL27" i="78" s="1"/>
  <c r="IJ17" i="78"/>
  <c r="IJ27" i="78" s="1"/>
  <c r="IH17" i="78"/>
  <c r="IH27" i="78"/>
  <c r="JE27" i="78" s="1"/>
  <c r="IF17" i="78"/>
  <c r="IF27" i="78"/>
  <c r="ID17" i="78"/>
  <c r="JB30" i="78"/>
  <c r="IY30" i="78"/>
  <c r="IX30" i="78"/>
  <c r="IV30" i="78"/>
  <c r="JG30" i="78" s="1"/>
  <c r="IU30" i="78"/>
  <c r="IS30" i="78"/>
  <c r="IR30" i="78"/>
  <c r="IQ30" i="78"/>
  <c r="IP30" i="78"/>
  <c r="IO30" i="78"/>
  <c r="IN30" i="78"/>
  <c r="JF30" i="78" s="1"/>
  <c r="IM30" i="78"/>
  <c r="IL30" i="78"/>
  <c r="IK30" i="78"/>
  <c r="IJ30" i="78"/>
  <c r="II30" i="78"/>
  <c r="IH30" i="78"/>
  <c r="IG30" i="78"/>
  <c r="IF30" i="78"/>
  <c r="IE30" i="78"/>
  <c r="ID30" i="78"/>
  <c r="IC30" i="78"/>
  <c r="JI30" i="78" s="1"/>
  <c r="JB29" i="78"/>
  <c r="IY29" i="78"/>
  <c r="IX29" i="78"/>
  <c r="IV29" i="78"/>
  <c r="IU29" i="78"/>
  <c r="IS29" i="78"/>
  <c r="IR29" i="78"/>
  <c r="IQ29" i="78"/>
  <c r="IP29" i="78"/>
  <c r="IO29" i="78"/>
  <c r="IN29" i="78"/>
  <c r="IM29" i="78"/>
  <c r="IL29" i="78"/>
  <c r="IK29" i="78"/>
  <c r="IJ29" i="78"/>
  <c r="II29" i="78"/>
  <c r="IH29" i="78"/>
  <c r="IG29" i="78"/>
  <c r="IF29" i="78"/>
  <c r="IE29" i="78"/>
  <c r="ID29" i="78"/>
  <c r="IC29" i="78"/>
  <c r="JD29" i="78" s="1"/>
  <c r="JB28" i="78"/>
  <c r="IY28" i="78"/>
  <c r="IX28" i="78"/>
  <c r="IV28" i="78"/>
  <c r="JG28" i="78" s="1"/>
  <c r="IU28" i="78"/>
  <c r="IS28" i="78"/>
  <c r="IR28" i="78"/>
  <c r="IQ28" i="78"/>
  <c r="IP28" i="78"/>
  <c r="IO28" i="78"/>
  <c r="IN28" i="78"/>
  <c r="IM28" i="78"/>
  <c r="IL28" i="78"/>
  <c r="IK28" i="78"/>
  <c r="IJ28" i="78"/>
  <c r="II28" i="78"/>
  <c r="IH28" i="78"/>
  <c r="IG28" i="78"/>
  <c r="IF28" i="78"/>
  <c r="IE28" i="78"/>
  <c r="ID28" i="78"/>
  <c r="IC28" i="78"/>
  <c r="JB27" i="78"/>
  <c r="IY27" i="78"/>
  <c r="IV27" i="78"/>
  <c r="IS27" i="78"/>
  <c r="IQ27" i="78"/>
  <c r="IK27" i="78"/>
  <c r="II27" i="78"/>
  <c r="IC27" i="78"/>
  <c r="JG10" i="78"/>
  <c r="JF10" i="78"/>
  <c r="JE10" i="78"/>
  <c r="JD10" i="78"/>
  <c r="JH10" i="78" s="1"/>
  <c r="JG9" i="78"/>
  <c r="JF9" i="78"/>
  <c r="JE9" i="78"/>
  <c r="JD9" i="78"/>
  <c r="JH9" i="78" s="1"/>
  <c r="JG8" i="78"/>
  <c r="JF8" i="78"/>
  <c r="JE8" i="78"/>
  <c r="JD8" i="78"/>
  <c r="JH8" i="78" s="1"/>
  <c r="JG7" i="78"/>
  <c r="JG20" i="78"/>
  <c r="JF20" i="78"/>
  <c r="JE20" i="78"/>
  <c r="JD20" i="78"/>
  <c r="JG19" i="78"/>
  <c r="JF19" i="78"/>
  <c r="JE19" i="78"/>
  <c r="JD19" i="78"/>
  <c r="JG18" i="78"/>
  <c r="JF18" i="78"/>
  <c r="JE18" i="78"/>
  <c r="JD18" i="78"/>
  <c r="JG17" i="78"/>
  <c r="JG21" i="78" s="1"/>
  <c r="JI28" i="78"/>
  <c r="JI17" i="78"/>
  <c r="JH19" i="78"/>
  <c r="JG29" i="78"/>
  <c r="JD28" i="78"/>
  <c r="JF28" i="78"/>
  <c r="JB31" i="78"/>
  <c r="IY31" i="78"/>
  <c r="IO31" i="78"/>
  <c r="IL31" i="78"/>
  <c r="JB21" i="78"/>
  <c r="IY21" i="78"/>
  <c r="IX21" i="78"/>
  <c r="IV21" i="78"/>
  <c r="IS21" i="78"/>
  <c r="IR21" i="78"/>
  <c r="IQ21" i="78"/>
  <c r="IO21" i="78"/>
  <c r="IN21" i="78"/>
  <c r="IM21" i="78"/>
  <c r="IK21" i="78"/>
  <c r="IJ21" i="78"/>
  <c r="II21" i="78"/>
  <c r="IG21" i="78"/>
  <c r="IF21" i="78"/>
  <c r="IE21" i="78"/>
  <c r="IC21" i="78"/>
  <c r="JG11" i="78"/>
  <c r="JF11" i="78"/>
  <c r="JB11" i="78"/>
  <c r="IY11" i="78"/>
  <c r="IX11" i="78"/>
  <c r="IV11" i="78"/>
  <c r="IU11" i="78"/>
  <c r="IS11" i="78"/>
  <c r="IR11" i="78"/>
  <c r="IQ11" i="78"/>
  <c r="IP11" i="78"/>
  <c r="IO11" i="78"/>
  <c r="IN11" i="78"/>
  <c r="IM11" i="78"/>
  <c r="IL11" i="78"/>
  <c r="IK11" i="78"/>
  <c r="IJ11" i="78"/>
  <c r="II11" i="78"/>
  <c r="IH11" i="78"/>
  <c r="IF11" i="78"/>
  <c r="IE11" i="78"/>
  <c r="ID11" i="78"/>
  <c r="IC11" i="78"/>
  <c r="HY10" i="78"/>
  <c r="HY9" i="78"/>
  <c r="HY8" i="78"/>
  <c r="FK8" i="78"/>
  <c r="CW20" i="78"/>
  <c r="CW19" i="78"/>
  <c r="CW18" i="78"/>
  <c r="CW8" i="78"/>
  <c r="CW10" i="78"/>
  <c r="CW9" i="78"/>
  <c r="HX20" i="78"/>
  <c r="HX19" i="78"/>
  <c r="HX18" i="78"/>
  <c r="HX8" i="78"/>
  <c r="HX9" i="78"/>
  <c r="HX10" i="78"/>
  <c r="GX11" i="78"/>
  <c r="FJ8" i="78"/>
  <c r="CX20" i="78"/>
  <c r="CV20" i="78"/>
  <c r="CX19" i="78"/>
  <c r="CV19" i="78"/>
  <c r="CX18" i="78"/>
  <c r="CV18" i="78"/>
  <c r="CU8" i="78"/>
  <c r="CV8" i="78"/>
  <c r="CX8" i="78"/>
  <c r="CU9" i="78"/>
  <c r="CV9" i="78"/>
  <c r="CX9" i="78"/>
  <c r="CU10" i="78"/>
  <c r="CV10" i="78"/>
  <c r="CX10" i="78"/>
  <c r="CX7" i="78"/>
  <c r="L11" i="78"/>
  <c r="AR43" i="78"/>
  <c r="AQ43" i="78"/>
  <c r="AP42" i="78"/>
  <c r="AO42" i="78"/>
  <c r="AN42" i="78"/>
  <c r="AM42" i="78"/>
  <c r="AK42" i="78"/>
  <c r="AJ42" i="78"/>
  <c r="AI42" i="78"/>
  <c r="AP41" i="78"/>
  <c r="AO41" i="78"/>
  <c r="AN41" i="78"/>
  <c r="AK41" i="78"/>
  <c r="AP40" i="78"/>
  <c r="AN40" i="78"/>
  <c r="AK40" i="78"/>
  <c r="AI40" i="78"/>
  <c r="AP39" i="78"/>
  <c r="AN39" i="78"/>
  <c r="AK39" i="78"/>
  <c r="AI39" i="78"/>
  <c r="AP38" i="78"/>
  <c r="AN38" i="78"/>
  <c r="AK38" i="78"/>
  <c r="AP37" i="78"/>
  <c r="AN37" i="78"/>
  <c r="AK37" i="78"/>
  <c r="AI37" i="78"/>
  <c r="AR37" i="78" s="1"/>
  <c r="AP36" i="78"/>
  <c r="AN36" i="78"/>
  <c r="AK36" i="78"/>
  <c r="AP35" i="78"/>
  <c r="AN35" i="78"/>
  <c r="AK35" i="78"/>
  <c r="HU30" i="78"/>
  <c r="HR30" i="78"/>
  <c r="HO30" i="78"/>
  <c r="HL30" i="78"/>
  <c r="HJ30" i="78"/>
  <c r="HH30" i="78"/>
  <c r="HF30" i="78"/>
  <c r="HE30" i="78"/>
  <c r="HD30" i="78"/>
  <c r="HC30" i="78"/>
  <c r="HB30" i="78"/>
  <c r="HA30" i="78"/>
  <c r="GZ30" i="78"/>
  <c r="GX30" i="78"/>
  <c r="GV30" i="78"/>
  <c r="CS30" i="78"/>
  <c r="CR30" i="78"/>
  <c r="CP30" i="78"/>
  <c r="CO30" i="78"/>
  <c r="CM30" i="78"/>
  <c r="CL30" i="78"/>
  <c r="CJ30" i="78"/>
  <c r="CI30" i="78"/>
  <c r="CH30" i="78"/>
  <c r="CG30" i="78"/>
  <c r="CF30" i="78"/>
  <c r="CE30" i="78"/>
  <c r="CD30" i="78"/>
  <c r="CC30" i="78"/>
  <c r="CB30" i="78"/>
  <c r="CA30" i="78"/>
  <c r="BZ30" i="78"/>
  <c r="BY30" i="78"/>
  <c r="BX30" i="78"/>
  <c r="BV30" i="78"/>
  <c r="BT30" i="78"/>
  <c r="HU29" i="78"/>
  <c r="HR29" i="78"/>
  <c r="HO29" i="78"/>
  <c r="HL29" i="78"/>
  <c r="HJ29" i="78"/>
  <c r="HH29" i="78"/>
  <c r="HF29" i="78"/>
  <c r="HE29" i="78"/>
  <c r="HD29" i="78"/>
  <c r="HC29" i="78"/>
  <c r="HB29" i="78"/>
  <c r="HA29" i="78"/>
  <c r="GZ29" i="78"/>
  <c r="GX29" i="78"/>
  <c r="GV29" i="78"/>
  <c r="CS29" i="78"/>
  <c r="CR29" i="78"/>
  <c r="CP29" i="78"/>
  <c r="CO29" i="78"/>
  <c r="CM29" i="78"/>
  <c r="CL29" i="78"/>
  <c r="CJ29" i="78"/>
  <c r="CI29" i="78"/>
  <c r="CH29" i="78"/>
  <c r="CG29" i="78"/>
  <c r="CF29" i="78"/>
  <c r="CE29" i="78"/>
  <c r="CD29" i="78"/>
  <c r="CC29" i="78"/>
  <c r="CB29" i="78"/>
  <c r="CA29" i="78"/>
  <c r="BZ29" i="78"/>
  <c r="BY29" i="78"/>
  <c r="BX29" i="78"/>
  <c r="BV29" i="78"/>
  <c r="BT29" i="78"/>
  <c r="HU28" i="78"/>
  <c r="HR28" i="78"/>
  <c r="HO28" i="78"/>
  <c r="HL28" i="78"/>
  <c r="HJ28" i="78"/>
  <c r="HH28" i="78"/>
  <c r="HF28" i="78"/>
  <c r="HE28" i="78"/>
  <c r="HD28" i="78"/>
  <c r="HC28" i="78"/>
  <c r="HB28" i="78"/>
  <c r="HA28" i="78"/>
  <c r="GZ28" i="78"/>
  <c r="GX28" i="78"/>
  <c r="GV28" i="78"/>
  <c r="FG28" i="78"/>
  <c r="FD28" i="78"/>
  <c r="FA28" i="78"/>
  <c r="FL28" i="78" s="1"/>
  <c r="EX28" i="78"/>
  <c r="EV28" i="78"/>
  <c r="ET28" i="78"/>
  <c r="ER28" i="78"/>
  <c r="EP28" i="78"/>
  <c r="EN28" i="78"/>
  <c r="EL28" i="78"/>
  <c r="EJ28" i="78"/>
  <c r="EH28" i="78"/>
  <c r="CS28" i="78"/>
  <c r="CR28" i="78"/>
  <c r="CP28" i="78"/>
  <c r="CO28" i="78"/>
  <c r="CM28" i="78"/>
  <c r="CL28" i="78"/>
  <c r="CJ28" i="78"/>
  <c r="CI28" i="78"/>
  <c r="CH28" i="78"/>
  <c r="CG28" i="78"/>
  <c r="CF28" i="78"/>
  <c r="CE28" i="78"/>
  <c r="CD28" i="78"/>
  <c r="CC28" i="78"/>
  <c r="CB28" i="78"/>
  <c r="CA28" i="78"/>
  <c r="BZ28" i="78"/>
  <c r="BY28" i="78"/>
  <c r="BX28" i="78"/>
  <c r="BV28" i="78"/>
  <c r="BT28" i="78"/>
  <c r="GZ23" i="78"/>
  <c r="GX23" i="78"/>
  <c r="FS23" i="78"/>
  <c r="FQ23" i="78"/>
  <c r="EL23" i="78"/>
  <c r="EJ23" i="78"/>
  <c r="DE23" i="78"/>
  <c r="DC23" i="78"/>
  <c r="J23" i="78"/>
  <c r="HZ20" i="78"/>
  <c r="HT20" i="78"/>
  <c r="HT30" i="78" s="1"/>
  <c r="HQ20" i="78"/>
  <c r="HQ30" i="78"/>
  <c r="HN20" i="78"/>
  <c r="HN30" i="78" s="1"/>
  <c r="HK20" i="78"/>
  <c r="HK30" i="78"/>
  <c r="HI20" i="78"/>
  <c r="HI30" i="78" s="1"/>
  <c r="HG20" i="78"/>
  <c r="GY20" i="78"/>
  <c r="GY30" i="78" s="1"/>
  <c r="GW20" i="78"/>
  <c r="GW30" i="78"/>
  <c r="BW20" i="78"/>
  <c r="BW30" i="78" s="1"/>
  <c r="BU20" i="78"/>
  <c r="HZ19" i="78"/>
  <c r="HT19" i="78"/>
  <c r="HT29" i="78" s="1"/>
  <c r="HQ19" i="78"/>
  <c r="HQ29" i="78"/>
  <c r="HN19" i="78"/>
  <c r="HN29" i="78" s="1"/>
  <c r="HK19" i="78"/>
  <c r="HK29" i="78"/>
  <c r="HI19" i="78"/>
  <c r="HG19" i="78"/>
  <c r="GY19" i="78"/>
  <c r="GY29" i="78"/>
  <c r="GW19" i="78"/>
  <c r="BW19" i="78"/>
  <c r="BW29" i="78"/>
  <c r="BU19" i="78"/>
  <c r="CZ19" i="78" s="1"/>
  <c r="HZ18" i="78"/>
  <c r="HT18" i="78"/>
  <c r="HT28" i="78"/>
  <c r="HQ18" i="78"/>
  <c r="HQ28" i="78" s="1"/>
  <c r="HN18" i="78"/>
  <c r="HN28" i="78"/>
  <c r="HK18" i="78"/>
  <c r="HK28" i="78" s="1"/>
  <c r="HI18" i="78"/>
  <c r="HI28" i="78"/>
  <c r="HG18" i="78"/>
  <c r="GY18" i="78"/>
  <c r="GY28" i="78"/>
  <c r="GW18" i="78"/>
  <c r="GW28" i="78"/>
  <c r="FL18" i="78"/>
  <c r="FF18" i="78"/>
  <c r="FF28" i="78" s="1"/>
  <c r="FC18" i="78"/>
  <c r="FC28" i="78" s="1"/>
  <c r="EZ18" i="78"/>
  <c r="EZ28" i="78" s="1"/>
  <c r="EW18" i="78"/>
  <c r="EW28" i="78" s="1"/>
  <c r="EU18" i="78"/>
  <c r="EU28" i="78" s="1"/>
  <c r="ES18" i="78"/>
  <c r="ES28" i="78" s="1"/>
  <c r="EQ18" i="78"/>
  <c r="EQ28" i="78"/>
  <c r="EO18" i="78"/>
  <c r="EO28" i="78" s="1"/>
  <c r="EM18" i="78"/>
  <c r="EK18" i="78"/>
  <c r="EK28" i="78"/>
  <c r="EI18" i="78"/>
  <c r="BW18" i="78"/>
  <c r="BW28" i="78"/>
  <c r="BU18" i="78"/>
  <c r="CZ18" i="78" s="1"/>
  <c r="BL18" i="78"/>
  <c r="BI18" i="78"/>
  <c r="BH18" i="78" s="1"/>
  <c r="BF18" i="78"/>
  <c r="BG18" i="78" s="1"/>
  <c r="BC18" i="78"/>
  <c r="BD18" i="78" s="1"/>
  <c r="BA18" i="78"/>
  <c r="AZ18" i="78" s="1"/>
  <c r="AY18" i="78"/>
  <c r="AX18" i="78" s="1"/>
  <c r="AW18" i="78"/>
  <c r="AV18" i="78"/>
  <c r="AU18" i="78"/>
  <c r="AT18" i="78" s="1"/>
  <c r="AS18" i="78"/>
  <c r="AR18" i="78" s="1"/>
  <c r="BO18" i="78" s="1"/>
  <c r="AQ18" i="78"/>
  <c r="AO18" i="78"/>
  <c r="AN18" i="78" s="1"/>
  <c r="AM18" i="78"/>
  <c r="HZ10" i="78"/>
  <c r="HW10" i="78"/>
  <c r="HZ9" i="78"/>
  <c r="HW9" i="78"/>
  <c r="HZ8" i="78"/>
  <c r="HW8" i="78"/>
  <c r="FL8" i="78"/>
  <c r="FI8" i="78"/>
  <c r="BK8" i="78"/>
  <c r="BH8" i="78"/>
  <c r="BE8" i="78"/>
  <c r="BB8" i="78"/>
  <c r="AZ8" i="78"/>
  <c r="AX8" i="78"/>
  <c r="AV8" i="78"/>
  <c r="AT8" i="78"/>
  <c r="AR8" i="78"/>
  <c r="AQ8" i="78"/>
  <c r="AP8" i="78"/>
  <c r="AO8" i="78"/>
  <c r="AO28" i="78" s="1"/>
  <c r="AN8" i="78"/>
  <c r="AM8" i="78"/>
  <c r="HU11" i="78"/>
  <c r="HO11" i="78"/>
  <c r="HF11" i="78"/>
  <c r="HB11" i="78"/>
  <c r="CY9" i="78"/>
  <c r="BU30" i="78"/>
  <c r="HG30" i="78"/>
  <c r="IB30" i="78"/>
  <c r="HG29" i="78"/>
  <c r="EI28" i="78"/>
  <c r="FI28" i="78" s="1"/>
  <c r="FM8" i="78"/>
  <c r="IA9" i="78"/>
  <c r="BK18" i="78"/>
  <c r="BK28" i="78" s="1"/>
  <c r="BM18" i="78"/>
  <c r="BJ18" i="78"/>
  <c r="BB18" i="78"/>
  <c r="FK18" i="78"/>
  <c r="CW29" i="78"/>
  <c r="HX30" i="78"/>
  <c r="BI8" i="78"/>
  <c r="BI28" i="78" s="1"/>
  <c r="BA8" i="78"/>
  <c r="BA28" i="78" s="1"/>
  <c r="BL8" i="78"/>
  <c r="BL28" i="78" s="1"/>
  <c r="FJ18" i="78"/>
  <c r="CV30" i="78"/>
  <c r="CV28" i="78"/>
  <c r="CV29" i="78"/>
  <c r="CU18" i="78"/>
  <c r="CY18" i="78" s="1"/>
  <c r="CU19" i="78"/>
  <c r="CY19" i="78" s="1"/>
  <c r="FY11" i="78"/>
  <c r="GH11" i="78"/>
  <c r="EE9" i="78"/>
  <c r="HJ11" i="78"/>
  <c r="AR39" i="78"/>
  <c r="AW28" i="78"/>
  <c r="AS28" i="78"/>
  <c r="FL7" i="78"/>
  <c r="AW11" i="78"/>
  <c r="DW11" i="78"/>
  <c r="EE10" i="78"/>
  <c r="N11" i="78"/>
  <c r="DM11" i="78"/>
  <c r="DZ11" i="78"/>
  <c r="FU11" i="78"/>
  <c r="GN11" i="78"/>
  <c r="DI11" i="78"/>
  <c r="DQ11" i="78"/>
  <c r="CH11" i="78"/>
  <c r="CM11" i="78"/>
  <c r="AR42" i="78"/>
  <c r="CS11" i="78"/>
  <c r="FI18" i="78"/>
  <c r="FD11" i="78"/>
  <c r="GC11" i="78"/>
  <c r="CD11" i="78"/>
  <c r="CJ11" i="78"/>
  <c r="P11" i="78"/>
  <c r="ER11" i="78"/>
  <c r="FA11" i="78"/>
  <c r="CB11" i="78"/>
  <c r="CF11" i="78"/>
  <c r="CP11" i="78"/>
  <c r="GZ11" i="78"/>
  <c r="HH11" i="78"/>
  <c r="HR11" i="78"/>
  <c r="EN11" i="78"/>
  <c r="EV11" i="78"/>
  <c r="FG11" i="78"/>
  <c r="GS10" i="78"/>
  <c r="GS7" i="78"/>
  <c r="HD11" i="78"/>
  <c r="HL11" i="78"/>
  <c r="FL9" i="78"/>
  <c r="AU11" i="78"/>
  <c r="DK11" i="78"/>
  <c r="DT11" i="78"/>
  <c r="GA11" i="78"/>
  <c r="GK11" i="78"/>
  <c r="HW19" i="78"/>
  <c r="GS8" i="78"/>
  <c r="EX11" i="78"/>
  <c r="EP11" i="78"/>
  <c r="HZ7" i="78"/>
  <c r="HZ11" i="78"/>
  <c r="AV28" i="78"/>
  <c r="EE8" i="78"/>
  <c r="FL10" i="78"/>
  <c r="AM41" i="78"/>
  <c r="BN8" i="78"/>
  <c r="EE7" i="78"/>
  <c r="GS9" i="78"/>
  <c r="DG11" i="78"/>
  <c r="DO11" i="78"/>
  <c r="FW11" i="78"/>
  <c r="GE11" i="78"/>
  <c r="HW18" i="78"/>
  <c r="HW20" i="78"/>
  <c r="HW28" i="78"/>
  <c r="ET11" i="78"/>
  <c r="EM28" i="78"/>
  <c r="FJ28" i="78"/>
  <c r="CX11" i="78"/>
  <c r="AO37" i="78" s="1"/>
  <c r="AS11" i="78"/>
  <c r="AK44" i="78"/>
  <c r="HZ28" i="78"/>
  <c r="AN44" i="78"/>
  <c r="AP44" i="78"/>
  <c r="KE30" i="78"/>
  <c r="KF30" i="78"/>
  <c r="JV29" i="78"/>
  <c r="JO17" i="78"/>
  <c r="JQ17" i="78"/>
  <c r="KA17" i="78"/>
  <c r="KA27" i="78"/>
  <c r="KB27" i="78"/>
  <c r="JW30" i="78"/>
  <c r="JX30" i="78"/>
  <c r="JY28" i="78"/>
  <c r="JZ28" i="78"/>
  <c r="KD28" i="78"/>
  <c r="KB21" i="78"/>
  <c r="KG19" i="78"/>
  <c r="EE11" i="78"/>
  <c r="AO38" i="78" s="1"/>
  <c r="JT10" i="78"/>
  <c r="KV10" i="78" s="1"/>
  <c r="JT8" i="78"/>
  <c r="JT28" i="78" s="1"/>
  <c r="JR8" i="78"/>
  <c r="KT8" i="78" s="1"/>
  <c r="JT9" i="78"/>
  <c r="KV9" i="78" s="1"/>
  <c r="JY17" i="78"/>
  <c r="JY27" i="78" s="1"/>
  <c r="JZ21" i="78"/>
  <c r="JZ27" i="78"/>
  <c r="KF29" i="78"/>
  <c r="KD21" i="78"/>
  <c r="KC17" i="78"/>
  <c r="KC21" i="78"/>
  <c r="KD27" i="78"/>
  <c r="JZ30" i="78"/>
  <c r="JV28" i="78"/>
  <c r="JV30" i="78"/>
  <c r="KG20" i="78"/>
  <c r="JW17" i="78"/>
  <c r="JW21" i="78" s="1"/>
  <c r="JX21" i="78"/>
  <c r="JX27" i="78"/>
  <c r="JU17" i="78"/>
  <c r="JU21" i="78" s="1"/>
  <c r="JV21" i="78"/>
  <c r="JV27" i="78"/>
  <c r="KD29" i="78"/>
  <c r="JX28" i="78"/>
  <c r="JU29" i="78"/>
  <c r="JK17" i="78"/>
  <c r="KG7" i="78"/>
  <c r="KK7" i="78"/>
  <c r="KD30" i="78"/>
  <c r="JZ29" i="78"/>
  <c r="KF28" i="78"/>
  <c r="KC28" i="78"/>
  <c r="JS17" i="78"/>
  <c r="JS27" i="78" s="1"/>
  <c r="KJ19" i="78"/>
  <c r="KB29" i="78"/>
  <c r="KE17" i="78"/>
  <c r="KE27" i="78" s="1"/>
  <c r="KF21" i="78"/>
  <c r="KF27" i="78"/>
  <c r="KJ18" i="78"/>
  <c r="KB28" i="78"/>
  <c r="KJ20" i="78"/>
  <c r="KB30" i="78"/>
  <c r="JX29" i="78"/>
  <c r="KJ17" i="78"/>
  <c r="JJ21" i="78"/>
  <c r="JL21" i="78"/>
  <c r="JR21" i="78"/>
  <c r="JN27" i="78"/>
  <c r="JN21" i="78"/>
  <c r="JP21" i="78"/>
  <c r="JT21" i="78"/>
  <c r="JP27" i="78"/>
  <c r="JT29" i="78"/>
  <c r="JR27" i="78"/>
  <c r="JJ27" i="78"/>
  <c r="JT27" i="78"/>
  <c r="JL27" i="78"/>
  <c r="JX31" i="78"/>
  <c r="KA29" i="78"/>
  <c r="KH19" i="78"/>
  <c r="KE29" i="78"/>
  <c r="JY21" i="78"/>
  <c r="KE28" i="78"/>
  <c r="KC30" i="78"/>
  <c r="JW28" i="78"/>
  <c r="KC27" i="78"/>
  <c r="JY30" i="78"/>
  <c r="JY29" i="78"/>
  <c r="JK21" i="78"/>
  <c r="KG17" i="78"/>
  <c r="KC29" i="78"/>
  <c r="KI18" i="78"/>
  <c r="JU28" i="78"/>
  <c r="KA30" i="78"/>
  <c r="JW29" i="78"/>
  <c r="KJ28" i="78"/>
  <c r="KJ29" i="78"/>
  <c r="KH18" i="78"/>
  <c r="KH20" i="78"/>
  <c r="KI19" i="78"/>
  <c r="KG18" i="78"/>
  <c r="KK18" i="78" s="1"/>
  <c r="JU27" i="78"/>
  <c r="JW27" i="78"/>
  <c r="KI20" i="78"/>
  <c r="KK20" i="78" s="1"/>
  <c r="JU30" i="78"/>
  <c r="KA21" i="78"/>
  <c r="KA28" i="78"/>
  <c r="JZ31" i="78"/>
  <c r="JQ27" i="78"/>
  <c r="JM27" i="78"/>
  <c r="KJ11" i="78"/>
  <c r="JK27" i="78"/>
  <c r="JO21" i="78"/>
  <c r="KJ21" i="78"/>
  <c r="JO27" i="78"/>
  <c r="KH27" i="78" s="1"/>
  <c r="JQ21" i="78"/>
  <c r="KK19" i="78"/>
  <c r="KE31" i="78"/>
  <c r="KG21" i="78"/>
  <c r="BZ435" i="3"/>
  <c r="BZ411" i="3"/>
  <c r="BZ10" i="3"/>
  <c r="BY242" i="3"/>
  <c r="BZ345" i="3"/>
  <c r="BZ297" i="3"/>
  <c r="BZ242" i="3"/>
  <c r="BZ208" i="3"/>
  <c r="BQ68" i="77"/>
  <c r="BT68" i="77"/>
  <c r="BS68" i="77"/>
  <c r="BR68" i="77"/>
  <c r="AT68" i="77"/>
  <c r="KT7" i="80" s="1"/>
  <c r="AP68" i="77"/>
  <c r="HQ7" i="78" s="1"/>
  <c r="AL68" i="77"/>
  <c r="KN7" i="80" s="1"/>
  <c r="AE68" i="77"/>
  <c r="EI870" i="3"/>
  <c r="EI822" i="3"/>
  <c r="EI713" i="3"/>
  <c r="EI650" i="3"/>
  <c r="EI565" i="3"/>
  <c r="EI385" i="3"/>
  <c r="EI380" i="3"/>
  <c r="EI378" i="3"/>
  <c r="EI360" i="3"/>
  <c r="EI342" i="3"/>
  <c r="EI338" i="3"/>
  <c r="EI337" i="3"/>
  <c r="EI247" i="3"/>
  <c r="BN153" i="4"/>
  <c r="CQ331" i="4"/>
  <c r="CQ330" i="4"/>
  <c r="CQ329" i="4"/>
  <c r="CQ327" i="4"/>
  <c r="CQ326" i="4"/>
  <c r="CQ325" i="4"/>
  <c r="CQ324" i="4"/>
  <c r="CQ323" i="4"/>
  <c r="CQ322" i="4"/>
  <c r="CQ321" i="4"/>
  <c r="CQ320" i="4"/>
  <c r="CQ319" i="4"/>
  <c r="CQ318" i="4"/>
  <c r="CQ317" i="4"/>
  <c r="CQ316" i="4"/>
  <c r="CQ315" i="4"/>
  <c r="CQ314" i="4"/>
  <c r="CQ313" i="4"/>
  <c r="CQ312" i="4"/>
  <c r="CQ311" i="4"/>
  <c r="CQ306" i="4"/>
  <c r="CQ305" i="4"/>
  <c r="CQ304" i="4" s="1"/>
  <c r="CQ303" i="4"/>
  <c r="CQ302" i="4"/>
  <c r="CQ301" i="4"/>
  <c r="CQ299" i="4"/>
  <c r="CQ298" i="4"/>
  <c r="CQ297" i="4"/>
  <c r="CQ296" i="4"/>
  <c r="CQ287" i="4"/>
  <c r="CQ286" i="4"/>
  <c r="CQ285" i="4"/>
  <c r="CQ284" i="4"/>
  <c r="CQ283" i="4"/>
  <c r="CQ282" i="4"/>
  <c r="CQ281" i="4"/>
  <c r="CQ279" i="4"/>
  <c r="CQ278" i="4"/>
  <c r="CQ277" i="4"/>
  <c r="CQ276" i="4"/>
  <c r="CQ275" i="4"/>
  <c r="CQ274" i="4"/>
  <c r="CQ273" i="4"/>
  <c r="CQ271" i="4"/>
  <c r="CQ261" i="4"/>
  <c r="CQ260" i="4"/>
  <c r="CQ259" i="4"/>
  <c r="CQ258" i="4"/>
  <c r="CQ257" i="4"/>
  <c r="CQ256" i="4"/>
  <c r="CR256" i="4" s="1"/>
  <c r="CS256" i="4" s="1"/>
  <c r="CT256" i="4" s="1"/>
  <c r="CU256" i="4" s="1"/>
  <c r="CQ255" i="4"/>
  <c r="CQ251" i="4"/>
  <c r="CQ250" i="4"/>
  <c r="CQ249" i="4"/>
  <c r="CQ248" i="4"/>
  <c r="CQ247" i="4"/>
  <c r="CQ246" i="4"/>
  <c r="CQ245" i="4"/>
  <c r="CR245" i="4" s="1"/>
  <c r="CS245" i="4" s="1"/>
  <c r="CT245" i="4" s="1"/>
  <c r="CQ244" i="4"/>
  <c r="CQ243" i="4"/>
  <c r="CQ242" i="4"/>
  <c r="CQ241" i="4"/>
  <c r="CQ240" i="4"/>
  <c r="CQ239" i="4"/>
  <c r="CQ238" i="4"/>
  <c r="CQ237" i="4"/>
  <c r="CR237" i="4" s="1"/>
  <c r="CQ220" i="4"/>
  <c r="CQ219" i="4"/>
  <c r="CQ218" i="4"/>
  <c r="CQ217" i="4"/>
  <c r="CQ216" i="4"/>
  <c r="CQ215" i="4"/>
  <c r="CQ214" i="4"/>
  <c r="CQ213" i="4"/>
  <c r="CR213" i="4" s="1"/>
  <c r="CS213" i="4" s="1"/>
  <c r="CT213" i="4" s="1"/>
  <c r="CU213" i="4" s="1"/>
  <c r="CQ212" i="4"/>
  <c r="CQ211" i="4"/>
  <c r="CQ210" i="4"/>
  <c r="CQ209" i="4"/>
  <c r="CQ208" i="4"/>
  <c r="CQ207" i="4"/>
  <c r="CQ206" i="4"/>
  <c r="CQ205" i="4"/>
  <c r="CQ204" i="4"/>
  <c r="CQ203" i="4"/>
  <c r="CQ202" i="4"/>
  <c r="CQ201" i="4"/>
  <c r="CQ200" i="4"/>
  <c r="CQ199" i="4"/>
  <c r="CQ198" i="4"/>
  <c r="CQ196" i="4"/>
  <c r="CQ195" i="4"/>
  <c r="CQ194" i="4"/>
  <c r="CQ192" i="4"/>
  <c r="CQ191" i="4"/>
  <c r="CQ190" i="4"/>
  <c r="CQ189" i="4"/>
  <c r="CQ188" i="4"/>
  <c r="CQ187" i="4"/>
  <c r="CQ186" i="4"/>
  <c r="CQ185" i="4"/>
  <c r="CQ184" i="4"/>
  <c r="CQ183" i="4"/>
  <c r="CQ182" i="4"/>
  <c r="CQ181" i="4"/>
  <c r="CQ180" i="4"/>
  <c r="CQ179" i="4"/>
  <c r="CQ178" i="4"/>
  <c r="CQ177" i="4"/>
  <c r="CQ176" i="4"/>
  <c r="CQ175" i="4"/>
  <c r="CQ174" i="4"/>
  <c r="CQ173" i="4"/>
  <c r="CQ172" i="4"/>
  <c r="CQ168" i="4"/>
  <c r="CQ167" i="4"/>
  <c r="CQ166" i="4"/>
  <c r="CQ165" i="4"/>
  <c r="CQ164" i="4"/>
  <c r="CQ163" i="4"/>
  <c r="CQ162" i="4"/>
  <c r="CQ161" i="4"/>
  <c r="CQ160" i="4"/>
  <c r="CQ159" i="4"/>
  <c r="CQ158" i="4"/>
  <c r="CQ156" i="4"/>
  <c r="CQ155" i="4"/>
  <c r="CQ154" i="4"/>
  <c r="CQ152" i="4"/>
  <c r="CQ151" i="4"/>
  <c r="CQ150" i="4"/>
  <c r="CR150" i="4" s="1"/>
  <c r="CS150" i="4" s="1"/>
  <c r="CT150" i="4" s="1"/>
  <c r="CU150" i="4" s="1"/>
  <c r="CQ149" i="4"/>
  <c r="CQ148" i="4"/>
  <c r="CQ147" i="4"/>
  <c r="CQ146" i="4"/>
  <c r="CQ145" i="4"/>
  <c r="CQ144" i="4"/>
  <c r="CQ143" i="4"/>
  <c r="CQ142" i="4"/>
  <c r="CQ141" i="4"/>
  <c r="CQ140" i="4"/>
  <c r="CQ139" i="4"/>
  <c r="CQ138" i="4"/>
  <c r="CQ137" i="4"/>
  <c r="CQ136" i="4"/>
  <c r="CQ135" i="4"/>
  <c r="CQ134" i="4"/>
  <c r="CQ133" i="4"/>
  <c r="CQ132" i="4"/>
  <c r="CQ131" i="4"/>
  <c r="CQ130" i="4"/>
  <c r="CQ129" i="4"/>
  <c r="CQ128" i="4"/>
  <c r="CQ127" i="4"/>
  <c r="CQ126" i="4"/>
  <c r="CQ125" i="4"/>
  <c r="CQ124" i="4"/>
  <c r="CQ123" i="4"/>
  <c r="CQ122" i="4"/>
  <c r="CQ115" i="4"/>
  <c r="CQ114" i="4"/>
  <c r="CQ113" i="4"/>
  <c r="CQ112" i="4"/>
  <c r="CQ111" i="4"/>
  <c r="CQ110" i="4"/>
  <c r="CQ109" i="4"/>
  <c r="CQ108" i="4"/>
  <c r="CQ107" i="4"/>
  <c r="CQ106" i="4"/>
  <c r="CQ105" i="4"/>
  <c r="CQ104" i="4"/>
  <c r="CQ103" i="4"/>
  <c r="CQ102" i="4"/>
  <c r="CQ101" i="4"/>
  <c r="CQ100" i="4"/>
  <c r="CQ99" i="4"/>
  <c r="CQ98" i="4"/>
  <c r="CQ97" i="4"/>
  <c r="CQ96" i="4"/>
  <c r="CQ95" i="4"/>
  <c r="CQ94" i="4"/>
  <c r="CQ93" i="4"/>
  <c r="CQ92" i="4"/>
  <c r="CQ91" i="4"/>
  <c r="CQ90" i="4"/>
  <c r="CQ89" i="4"/>
  <c r="CQ88" i="4"/>
  <c r="CQ87" i="4"/>
  <c r="CQ86" i="4"/>
  <c r="CR86" i="4" s="1"/>
  <c r="CQ85" i="4"/>
  <c r="CQ84" i="4"/>
  <c r="CQ82" i="4"/>
  <c r="CQ81" i="4"/>
  <c r="CQ80" i="4"/>
  <c r="CQ78" i="4"/>
  <c r="CQ77" i="4"/>
  <c r="CQ76" i="4"/>
  <c r="CQ75" i="4"/>
  <c r="CQ74" i="4"/>
  <c r="CQ73" i="4"/>
  <c r="CQ11" i="4"/>
  <c r="CQ14" i="4"/>
  <c r="CQ15" i="4"/>
  <c r="CQ16" i="4"/>
  <c r="CQ17" i="4"/>
  <c r="CR17" i="4" s="1"/>
  <c r="CS17" i="4" s="1"/>
  <c r="CT17" i="4" s="1"/>
  <c r="CU17" i="4" s="1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R57" i="4" s="1"/>
  <c r="CS57" i="4" s="1"/>
  <c r="CQ58" i="4"/>
  <c r="CQ59" i="4"/>
  <c r="CQ60" i="4"/>
  <c r="CQ61" i="4"/>
  <c r="CQ62" i="4"/>
  <c r="CR62" i="4" s="1"/>
  <c r="CQ63" i="4"/>
  <c r="CQ64" i="4"/>
  <c r="CQ65" i="4"/>
  <c r="CR65" i="4" s="1"/>
  <c r="CQ66" i="4"/>
  <c r="CQ67" i="4"/>
  <c r="CQ68" i="4"/>
  <c r="CQ69" i="4"/>
  <c r="CQ70" i="4"/>
  <c r="CQ71" i="4"/>
  <c r="CQ8" i="4"/>
  <c r="CR115" i="4"/>
  <c r="CP376" i="4"/>
  <c r="CO376" i="4"/>
  <c r="CN376" i="4"/>
  <c r="CM376" i="4"/>
  <c r="CL376" i="4"/>
  <c r="CK376" i="4"/>
  <c r="CJ376" i="4"/>
  <c r="CI376" i="4"/>
  <c r="CH376" i="4"/>
  <c r="CG376" i="4"/>
  <c r="CF376" i="4"/>
  <c r="CE376" i="4"/>
  <c r="CP370" i="4"/>
  <c r="CO370" i="4"/>
  <c r="CN370" i="4"/>
  <c r="CM370" i="4"/>
  <c r="CL370" i="4"/>
  <c r="CK370" i="4"/>
  <c r="CJ370" i="4"/>
  <c r="CI370" i="4"/>
  <c r="CH370" i="4"/>
  <c r="CG370" i="4"/>
  <c r="CF370" i="4"/>
  <c r="CE370" i="4"/>
  <c r="CP364" i="4"/>
  <c r="CO364" i="4"/>
  <c r="CN364" i="4"/>
  <c r="CM364" i="4"/>
  <c r="CL364" i="4"/>
  <c r="CK364" i="4"/>
  <c r="CJ364" i="4"/>
  <c r="CI364" i="4"/>
  <c r="CH364" i="4"/>
  <c r="CG364" i="4"/>
  <c r="CF364" i="4"/>
  <c r="CE364" i="4"/>
  <c r="CP363" i="4"/>
  <c r="CO363" i="4"/>
  <c r="CN363" i="4"/>
  <c r="CM363" i="4"/>
  <c r="CL363" i="4"/>
  <c r="CK363" i="4"/>
  <c r="CJ363" i="4"/>
  <c r="CH363" i="4"/>
  <c r="CG363" i="4"/>
  <c r="CF363" i="4"/>
  <c r="CP358" i="4"/>
  <c r="CO358" i="4"/>
  <c r="CN358" i="4"/>
  <c r="CM358" i="4"/>
  <c r="CL358" i="4"/>
  <c r="CK358" i="4"/>
  <c r="CJ358" i="4"/>
  <c r="CI358" i="4"/>
  <c r="CH358" i="4"/>
  <c r="CG358" i="4"/>
  <c r="CG382" i="4" s="1"/>
  <c r="CF358" i="4"/>
  <c r="CE358" i="4"/>
  <c r="CP349" i="4"/>
  <c r="CO349" i="4"/>
  <c r="CN349" i="4"/>
  <c r="CM349" i="4"/>
  <c r="CL349" i="4"/>
  <c r="CK349" i="4"/>
  <c r="CJ349" i="4"/>
  <c r="CI349" i="4"/>
  <c r="CH349" i="4"/>
  <c r="CG349" i="4"/>
  <c r="CF349" i="4"/>
  <c r="CE349" i="4"/>
  <c r="CU376" i="4"/>
  <c r="CU370" i="4"/>
  <c r="CU364" i="4"/>
  <c r="CU363" i="4"/>
  <c r="CU358" i="4"/>
  <c r="CU349" i="4"/>
  <c r="CU331" i="4"/>
  <c r="CU330" i="4"/>
  <c r="CU305" i="4"/>
  <c r="CU304" i="4" s="1"/>
  <c r="CU303" i="4"/>
  <c r="CU281" i="4"/>
  <c r="CU261" i="4"/>
  <c r="CU252" i="4"/>
  <c r="CU216" i="4"/>
  <c r="CU206" i="4"/>
  <c r="CU94" i="4"/>
  <c r="CU91" i="4"/>
  <c r="BB153" i="4"/>
  <c r="BC153" i="4"/>
  <c r="BD153" i="4"/>
  <c r="BE153" i="4"/>
  <c r="BF153" i="4"/>
  <c r="BG153" i="4"/>
  <c r="BH153" i="4"/>
  <c r="BJ153" i="4"/>
  <c r="BL153" i="4"/>
  <c r="BP153" i="4"/>
  <c r="BS153" i="4"/>
  <c r="BV153" i="4"/>
  <c r="BY153" i="4"/>
  <c r="BA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M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Y153" i="4"/>
  <c r="BH157" i="4"/>
  <c r="BA197" i="4"/>
  <c r="CA197" i="4"/>
  <c r="BY197" i="4"/>
  <c r="BX197" i="4"/>
  <c r="BV197" i="4"/>
  <c r="BS197" i="4"/>
  <c r="BP197" i="4"/>
  <c r="BN197" i="4"/>
  <c r="BL197" i="4"/>
  <c r="BK197" i="4"/>
  <c r="BJ197" i="4"/>
  <c r="BI197" i="4"/>
  <c r="BH197" i="4"/>
  <c r="BG197" i="4"/>
  <c r="BF197" i="4"/>
  <c r="BE197" i="4"/>
  <c r="BD197" i="4"/>
  <c r="BC197" i="4"/>
  <c r="BB197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R193" i="4"/>
  <c r="BS193" i="4"/>
  <c r="BU193" i="4"/>
  <c r="BV193" i="4"/>
  <c r="BX193" i="4"/>
  <c r="BY193" i="4"/>
  <c r="CA193" i="4"/>
  <c r="BA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Y197" i="4"/>
  <c r="AK197" i="4"/>
  <c r="AY193" i="4"/>
  <c r="BB157" i="4"/>
  <c r="BC157" i="4"/>
  <c r="BD157" i="4"/>
  <c r="BE157" i="4"/>
  <c r="BF157" i="4"/>
  <c r="BG157" i="4"/>
  <c r="BJ157" i="4"/>
  <c r="BL157" i="4"/>
  <c r="BN157" i="4"/>
  <c r="BP157" i="4"/>
  <c r="BS157" i="4"/>
  <c r="BV157" i="4"/>
  <c r="BY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M157" i="4"/>
  <c r="AK157" i="4"/>
  <c r="BA157" i="4"/>
  <c r="CL382" i="4"/>
  <c r="CE362" i="4"/>
  <c r="CH382" i="4"/>
  <c r="CH375" i="4"/>
  <c r="CN368" i="4"/>
  <c r="CP374" i="4"/>
  <c r="CP375" i="4"/>
  <c r="CL375" i="4"/>
  <c r="Y71" i="77"/>
  <c r="HG7" i="78"/>
  <c r="HG11" i="78" s="1"/>
  <c r="V7" i="77"/>
  <c r="V8" i="77"/>
  <c r="V9" i="77"/>
  <c r="V10" i="77"/>
  <c r="V11" i="77"/>
  <c r="V12" i="77"/>
  <c r="V13" i="77"/>
  <c r="V14" i="77"/>
  <c r="V15" i="77"/>
  <c r="V16" i="77"/>
  <c r="V17" i="77"/>
  <c r="V18" i="77"/>
  <c r="V19" i="77"/>
  <c r="V20" i="77"/>
  <c r="V21" i="77"/>
  <c r="V22" i="77"/>
  <c r="V23" i="77"/>
  <c r="V24" i="77"/>
  <c r="V25" i="77"/>
  <c r="V26" i="77"/>
  <c r="V27" i="77"/>
  <c r="V28" i="77"/>
  <c r="V29" i="77"/>
  <c r="V30" i="77"/>
  <c r="V31" i="77"/>
  <c r="V32" i="77"/>
  <c r="V33" i="77"/>
  <c r="V34" i="77"/>
  <c r="V35" i="77"/>
  <c r="V36" i="77"/>
  <c r="V37" i="77"/>
  <c r="V38" i="77"/>
  <c r="V39" i="77"/>
  <c r="V40" i="77"/>
  <c r="V41" i="77"/>
  <c r="V42" i="77"/>
  <c r="V43" i="77"/>
  <c r="V44" i="77"/>
  <c r="V45" i="77"/>
  <c r="V46" i="77"/>
  <c r="V47" i="77"/>
  <c r="V48" i="77"/>
  <c r="V49" i="77"/>
  <c r="V50" i="77"/>
  <c r="V51" i="77"/>
  <c r="V52" i="77"/>
  <c r="V53" i="77"/>
  <c r="V54" i="77"/>
  <c r="V55" i="77"/>
  <c r="V56" i="77"/>
  <c r="V57" i="77"/>
  <c r="V58" i="77"/>
  <c r="V59" i="77"/>
  <c r="V60" i="77"/>
  <c r="V61" i="77"/>
  <c r="V62" i="77"/>
  <c r="V63" i="77"/>
  <c r="V64" i="77"/>
  <c r="V65" i="77"/>
  <c r="HC7" i="78"/>
  <c r="HC11" i="78" s="1"/>
  <c r="DN875" i="3"/>
  <c r="DK875" i="3"/>
  <c r="DJ875" i="3"/>
  <c r="DH875" i="3"/>
  <c r="DG875" i="3"/>
  <c r="DE875" i="3"/>
  <c r="DC875" i="3"/>
  <c r="DA875" i="3"/>
  <c r="DP448" i="3"/>
  <c r="DN448" i="3"/>
  <c r="DM448" i="3"/>
  <c r="DK448" i="3"/>
  <c r="DJ448" i="3"/>
  <c r="DH448" i="3"/>
  <c r="DG448" i="3"/>
  <c r="DE448" i="3"/>
  <c r="DD448" i="3"/>
  <c r="DB448" i="3"/>
  <c r="DA448" i="3"/>
  <c r="DP575" i="3"/>
  <c r="DN575" i="3"/>
  <c r="DM575" i="3"/>
  <c r="DK575" i="3"/>
  <c r="DJ575" i="3"/>
  <c r="DH575" i="3"/>
  <c r="DG575" i="3"/>
  <c r="DE575" i="3"/>
  <c r="DD575" i="3"/>
  <c r="DB575" i="3"/>
  <c r="DA575" i="3"/>
  <c r="CZ575" i="3"/>
  <c r="CY575" i="3"/>
  <c r="CX875" i="3"/>
  <c r="CW875" i="3"/>
  <c r="CV875" i="3"/>
  <c r="CU875" i="3"/>
  <c r="CT875" i="3"/>
  <c r="CS875" i="3"/>
  <c r="CR875" i="3"/>
  <c r="CQ875" i="3"/>
  <c r="CP875" i="3"/>
  <c r="DN642" i="3"/>
  <c r="DK642" i="3"/>
  <c r="DH642" i="3"/>
  <c r="DE642" i="3"/>
  <c r="DC642" i="3"/>
  <c r="DA642" i="3"/>
  <c r="CX642" i="3"/>
  <c r="CW642" i="3"/>
  <c r="CU642" i="3"/>
  <c r="CS642" i="3"/>
  <c r="CR642" i="3"/>
  <c r="CQ642" i="3"/>
  <c r="CP642" i="3"/>
  <c r="DN273" i="3"/>
  <c r="DK273" i="3"/>
  <c r="DH273" i="3"/>
  <c r="DE273" i="3"/>
  <c r="DC273" i="3"/>
  <c r="DA273" i="3"/>
  <c r="CY273" i="3"/>
  <c r="CW273" i="3"/>
  <c r="CV273" i="3"/>
  <c r="CU273" i="3"/>
  <c r="CT273" i="3"/>
  <c r="CS273" i="3"/>
  <c r="CR273" i="3"/>
  <c r="CQ273" i="3"/>
  <c r="CP273" i="3"/>
  <c r="CY875" i="3"/>
  <c r="CY430" i="3"/>
  <c r="CY766" i="3"/>
  <c r="CY642" i="3"/>
  <c r="CW575" i="3"/>
  <c r="DR151" i="3"/>
  <c r="DR150" i="3"/>
  <c r="DR149" i="3"/>
  <c r="DR148" i="3"/>
  <c r="DR147" i="3"/>
  <c r="DR146" i="3"/>
  <c r="DR145" i="3"/>
  <c r="DR144" i="3"/>
  <c r="DR143" i="3"/>
  <c r="DR142" i="3"/>
  <c r="DR141" i="3"/>
  <c r="DR140" i="3"/>
  <c r="DR139" i="3"/>
  <c r="DR138" i="3"/>
  <c r="DR137" i="3"/>
  <c r="DR136" i="3"/>
  <c r="DR135" i="3"/>
  <c r="DR134" i="3"/>
  <c r="DR133" i="3"/>
  <c r="DR132" i="3"/>
  <c r="DR131" i="3"/>
  <c r="DR130" i="3"/>
  <c r="DR129" i="3"/>
  <c r="DR128" i="3"/>
  <c r="DR127" i="3"/>
  <c r="DR126" i="3"/>
  <c r="DR125" i="3"/>
  <c r="DR124" i="3"/>
  <c r="DR123" i="3"/>
  <c r="DR122" i="3"/>
  <c r="DR121" i="3"/>
  <c r="DR120" i="3"/>
  <c r="DR119" i="3"/>
  <c r="DR118" i="3"/>
  <c r="DR117" i="3"/>
  <c r="DR116" i="3"/>
  <c r="DR115" i="3"/>
  <c r="DR114" i="3"/>
  <c r="DR113" i="3"/>
  <c r="DR112" i="3"/>
  <c r="DR111" i="3"/>
  <c r="DR110" i="3"/>
  <c r="DR109" i="3"/>
  <c r="DR108" i="3"/>
  <c r="DR107" i="3"/>
  <c r="DR106" i="3"/>
  <c r="DR105" i="3"/>
  <c r="DR104" i="3"/>
  <c r="DR103" i="3"/>
  <c r="DR102" i="3"/>
  <c r="DR101" i="3"/>
  <c r="DR100" i="3"/>
  <c r="DR99" i="3"/>
  <c r="DR98" i="3"/>
  <c r="DR97" i="3"/>
  <c r="DR96" i="3"/>
  <c r="DR95" i="3"/>
  <c r="DR94" i="3"/>
  <c r="DR93" i="3"/>
  <c r="DR92" i="3"/>
  <c r="DR91" i="3"/>
  <c r="DR90" i="3"/>
  <c r="DR89" i="3"/>
  <c r="DR88" i="3"/>
  <c r="DR87" i="3"/>
  <c r="DR86" i="3"/>
  <c r="DR85" i="3"/>
  <c r="DR84" i="3"/>
  <c r="DR83" i="3"/>
  <c r="DR82" i="3"/>
  <c r="DR81" i="3"/>
  <c r="DR80" i="3"/>
  <c r="DR79" i="3"/>
  <c r="DR78" i="3"/>
  <c r="DR77" i="3"/>
  <c r="DR76" i="3"/>
  <c r="DR75" i="3"/>
  <c r="DR74" i="3"/>
  <c r="DR73" i="3"/>
  <c r="DR72" i="3"/>
  <c r="DR71" i="3"/>
  <c r="DR70" i="3"/>
  <c r="DR69" i="3"/>
  <c r="DR68" i="3"/>
  <c r="DR67" i="3"/>
  <c r="DR66" i="3"/>
  <c r="DR65" i="3"/>
  <c r="DR64" i="3"/>
  <c r="DR63" i="3"/>
  <c r="DR62" i="3"/>
  <c r="DR61" i="3"/>
  <c r="DR60" i="3"/>
  <c r="DR59" i="3"/>
  <c r="DR58" i="3"/>
  <c r="DR57" i="3"/>
  <c r="DR56" i="3"/>
  <c r="DR55" i="3"/>
  <c r="DR54" i="3"/>
  <c r="DR53" i="3"/>
  <c r="DR52" i="3"/>
  <c r="DR51" i="3"/>
  <c r="DR49" i="3"/>
  <c r="DR48" i="3"/>
  <c r="DR47" i="3"/>
  <c r="DR46" i="3"/>
  <c r="DR439" i="3"/>
  <c r="DR438" i="3"/>
  <c r="DR571" i="3"/>
  <c r="DR570" i="3"/>
  <c r="DR569" i="3"/>
  <c r="DR568" i="3"/>
  <c r="DR567" i="3"/>
  <c r="DR566" i="3"/>
  <c r="DR565" i="3"/>
  <c r="DR564" i="3"/>
  <c r="DR563" i="3"/>
  <c r="DR562" i="3"/>
  <c r="DR561" i="3"/>
  <c r="DR560" i="3"/>
  <c r="DR559" i="3"/>
  <c r="DR558" i="3"/>
  <c r="DR557" i="3"/>
  <c r="DR556" i="3"/>
  <c r="DR555" i="3"/>
  <c r="DR554" i="3"/>
  <c r="DR553" i="3"/>
  <c r="DR552" i="3"/>
  <c r="DR551" i="3"/>
  <c r="DR550" i="3"/>
  <c r="DR549" i="3"/>
  <c r="DR548" i="3"/>
  <c r="DR547" i="3"/>
  <c r="DR546" i="3"/>
  <c r="DR545" i="3"/>
  <c r="DR544" i="3"/>
  <c r="DR543" i="3"/>
  <c r="DR542" i="3"/>
  <c r="DR541" i="3"/>
  <c r="DR540" i="3"/>
  <c r="DR539" i="3"/>
  <c r="DR538" i="3"/>
  <c r="DR537" i="3"/>
  <c r="DR536" i="3"/>
  <c r="DR535" i="3"/>
  <c r="DR534" i="3"/>
  <c r="DR533" i="3"/>
  <c r="DR532" i="3"/>
  <c r="DR531" i="3"/>
  <c r="DR530" i="3"/>
  <c r="DR529" i="3"/>
  <c r="DR528" i="3"/>
  <c r="DR527" i="3"/>
  <c r="DR526" i="3"/>
  <c r="DR525" i="3"/>
  <c r="DR524" i="3"/>
  <c r="DR523" i="3"/>
  <c r="DR522" i="3"/>
  <c r="DR521" i="3"/>
  <c r="DR520" i="3"/>
  <c r="DR519" i="3"/>
  <c r="DR518" i="3"/>
  <c r="DR517" i="3"/>
  <c r="DR516" i="3"/>
  <c r="DR515" i="3"/>
  <c r="DR514" i="3"/>
  <c r="DR513" i="3"/>
  <c r="DR512" i="3"/>
  <c r="DR511" i="3"/>
  <c r="DR510" i="3"/>
  <c r="DR509" i="3"/>
  <c r="DR508" i="3"/>
  <c r="DR507" i="3"/>
  <c r="DR506" i="3"/>
  <c r="DR505" i="3"/>
  <c r="DR504" i="3"/>
  <c r="DR503" i="3"/>
  <c r="DR502" i="3"/>
  <c r="DR501" i="3"/>
  <c r="DR500" i="3"/>
  <c r="DR499" i="3"/>
  <c r="DR498" i="3"/>
  <c r="DR497" i="3"/>
  <c r="DR496" i="3"/>
  <c r="DR495" i="3"/>
  <c r="DR494" i="3"/>
  <c r="DR493" i="3"/>
  <c r="DR492" i="3"/>
  <c r="DR491" i="3"/>
  <c r="DR490" i="3"/>
  <c r="DR489" i="3"/>
  <c r="DR488" i="3"/>
  <c r="DR487" i="3"/>
  <c r="DR486" i="3"/>
  <c r="DR485" i="3"/>
  <c r="DR484" i="3"/>
  <c r="DR483" i="3"/>
  <c r="DR482" i="3"/>
  <c r="DR481" i="3"/>
  <c r="DR480" i="3"/>
  <c r="DR479" i="3"/>
  <c r="DR478" i="3"/>
  <c r="DR477" i="3"/>
  <c r="DR476" i="3"/>
  <c r="DR475" i="3"/>
  <c r="DR474" i="3"/>
  <c r="DR473" i="3"/>
  <c r="DR472" i="3"/>
  <c r="DR471" i="3"/>
  <c r="DR470" i="3"/>
  <c r="DR469" i="3"/>
  <c r="DR468" i="3"/>
  <c r="DR467" i="3"/>
  <c r="DR466" i="3"/>
  <c r="DR465" i="3"/>
  <c r="DR464" i="3"/>
  <c r="DR463" i="3"/>
  <c r="DR462" i="3"/>
  <c r="DR461" i="3"/>
  <c r="DR460" i="3"/>
  <c r="DR459" i="3"/>
  <c r="DR457" i="3"/>
  <c r="DR456" i="3"/>
  <c r="DR455" i="3"/>
  <c r="DR454" i="3"/>
  <c r="DR453" i="3"/>
  <c r="DR452" i="3"/>
  <c r="DR451" i="3"/>
  <c r="DR450" i="3"/>
  <c r="DR578" i="3"/>
  <c r="DR598" i="3"/>
  <c r="DR595" i="3"/>
  <c r="DR594" i="3"/>
  <c r="DR589" i="3"/>
  <c r="DR588" i="3"/>
  <c r="DR586" i="3"/>
  <c r="DR585" i="3"/>
  <c r="DR584" i="3"/>
  <c r="DR582" i="3"/>
  <c r="DR580" i="3"/>
  <c r="DR619" i="3"/>
  <c r="DR618" i="3"/>
  <c r="DR617" i="3"/>
  <c r="DR616" i="3"/>
  <c r="DR615" i="3"/>
  <c r="DR614" i="3"/>
  <c r="DR613" i="3"/>
  <c r="DR612" i="3"/>
  <c r="DR611" i="3"/>
  <c r="DR610" i="3"/>
  <c r="DR609" i="3"/>
  <c r="DR608" i="3"/>
  <c r="DR607" i="3"/>
  <c r="DR606" i="3"/>
  <c r="DR605" i="3"/>
  <c r="DR604" i="3"/>
  <c r="DR603" i="3"/>
  <c r="DR602" i="3" s="1"/>
  <c r="DR633" i="3"/>
  <c r="DR632" i="3"/>
  <c r="DR631" i="3"/>
  <c r="DR629" i="3"/>
  <c r="DR653" i="3"/>
  <c r="DR652" i="3"/>
  <c r="DR651" i="3"/>
  <c r="DR723" i="3"/>
  <c r="DR722" i="3"/>
  <c r="DR721" i="3"/>
  <c r="DR720" i="3"/>
  <c r="DR719" i="3"/>
  <c r="DR718" i="3"/>
  <c r="DR717" i="3"/>
  <c r="DR716" i="3"/>
  <c r="DR715" i="3"/>
  <c r="DR714" i="3"/>
  <c r="DR713" i="3"/>
  <c r="DR712" i="3"/>
  <c r="DR711" i="3"/>
  <c r="DR710" i="3"/>
  <c r="DR709" i="3"/>
  <c r="DR708" i="3"/>
  <c r="DR707" i="3"/>
  <c r="DR706" i="3"/>
  <c r="DR705" i="3"/>
  <c r="DR704" i="3"/>
  <c r="DR703" i="3"/>
  <c r="DR702" i="3"/>
  <c r="DR701" i="3"/>
  <c r="DR700" i="3"/>
  <c r="DR699" i="3"/>
  <c r="DR698" i="3"/>
  <c r="DR697" i="3"/>
  <c r="DR696" i="3"/>
  <c r="DR695" i="3"/>
  <c r="DR694" i="3"/>
  <c r="DR693" i="3"/>
  <c r="DR692" i="3"/>
  <c r="DR691" i="3"/>
  <c r="DR690" i="3"/>
  <c r="DR689" i="3"/>
  <c r="DR688" i="3"/>
  <c r="DR687" i="3"/>
  <c r="DR686" i="3"/>
  <c r="DR685" i="3"/>
  <c r="DR684" i="3"/>
  <c r="DR683" i="3"/>
  <c r="DR682" i="3"/>
  <c r="DR681" i="3"/>
  <c r="DR680" i="3"/>
  <c r="DR679" i="3"/>
  <c r="DR678" i="3"/>
  <c r="DR677" i="3"/>
  <c r="DR676" i="3"/>
  <c r="DR675" i="3"/>
  <c r="DR674" i="3"/>
  <c r="DR673" i="3"/>
  <c r="DR672" i="3"/>
  <c r="DR671" i="3"/>
  <c r="DR670" i="3"/>
  <c r="DR669" i="3"/>
  <c r="DR668" i="3"/>
  <c r="DR667" i="3"/>
  <c r="DR666" i="3"/>
  <c r="DR744" i="3"/>
  <c r="DR743" i="3"/>
  <c r="DR742" i="3"/>
  <c r="DR741" i="3"/>
  <c r="DR739" i="3"/>
  <c r="DR738" i="3"/>
  <c r="DR737" i="3"/>
  <c r="DR736" i="3"/>
  <c r="DR733" i="3"/>
  <c r="DR732" i="3"/>
  <c r="DR731" i="3"/>
  <c r="DR730" i="3"/>
  <c r="DR729" i="3"/>
  <c r="DR728" i="3"/>
  <c r="DR727" i="3"/>
  <c r="DR726" i="3"/>
  <c r="DR725" i="3" s="1"/>
  <c r="DR757" i="3"/>
  <c r="DR756" i="3"/>
  <c r="DR755" i="3"/>
  <c r="DR754" i="3"/>
  <c r="DR753" i="3"/>
  <c r="DR751" i="3"/>
  <c r="DR750" i="3"/>
  <c r="DR749" i="3"/>
  <c r="DR748" i="3"/>
  <c r="DR747" i="3"/>
  <c r="DR746" i="3"/>
  <c r="DR795" i="3"/>
  <c r="DR794" i="3"/>
  <c r="DR793" i="3"/>
  <c r="DR792" i="3"/>
  <c r="DR790" i="3"/>
  <c r="DR789" i="3"/>
  <c r="DR788" i="3"/>
  <c r="DR787" i="3"/>
  <c r="DR785" i="3"/>
  <c r="DR784" i="3"/>
  <c r="DR783" i="3"/>
  <c r="DR781" i="3"/>
  <c r="DR780" i="3"/>
  <c r="DR779" i="3"/>
  <c r="DR778" i="3"/>
  <c r="DR777" i="3"/>
  <c r="DR776" i="3"/>
  <c r="DR775" i="3"/>
  <c r="DR774" i="3"/>
  <c r="DR773" i="3"/>
  <c r="DR772" i="3"/>
  <c r="DR771" i="3"/>
  <c r="DR770" i="3"/>
  <c r="DR769" i="3"/>
  <c r="DR767" i="3"/>
  <c r="DR766" i="3" s="1"/>
  <c r="DR809" i="3"/>
  <c r="DR808" i="3"/>
  <c r="DR807" i="3"/>
  <c r="DR806" i="3"/>
  <c r="DR805" i="3"/>
  <c r="DR804" i="3"/>
  <c r="DR803" i="3"/>
  <c r="DR802" i="3"/>
  <c r="DR801" i="3"/>
  <c r="DR800" i="3"/>
  <c r="DR799" i="3"/>
  <c r="DR798" i="3"/>
  <c r="DR797" i="3" s="1"/>
  <c r="DR824" i="3"/>
  <c r="DR823" i="3"/>
  <c r="DR821" i="3"/>
  <c r="DR822" i="3"/>
  <c r="DR828" i="3"/>
  <c r="DR827" i="3"/>
  <c r="DR846" i="3"/>
  <c r="DR844" i="3"/>
  <c r="DR843" i="3"/>
  <c r="DR842" i="3"/>
  <c r="DR841" i="3"/>
  <c r="DR852" i="3"/>
  <c r="CU261" i="3"/>
  <c r="DQ261" i="3"/>
  <c r="CU258" i="3"/>
  <c r="CU628" i="3"/>
  <c r="L7" i="77"/>
  <c r="BA7" i="77" s="1"/>
  <c r="AC68" i="77"/>
  <c r="Z68" i="77"/>
  <c r="T68" i="77"/>
  <c r="T70" i="77" s="1"/>
  <c r="Q68" i="77"/>
  <c r="H68" i="77"/>
  <c r="AY65" i="77"/>
  <c r="AW65" i="77"/>
  <c r="AJ65" i="77"/>
  <c r="AH65" i="77"/>
  <c r="W65" i="77"/>
  <c r="U65" i="77"/>
  <c r="L65" i="77"/>
  <c r="BA65" i="77"/>
  <c r="K65" i="77"/>
  <c r="AY64" i="77"/>
  <c r="AW64" i="77"/>
  <c r="AJ64" i="77"/>
  <c r="AH64" i="77"/>
  <c r="W64" i="77"/>
  <c r="U64" i="77"/>
  <c r="L64" i="77"/>
  <c r="BA64" i="77" s="1"/>
  <c r="K64" i="77"/>
  <c r="AY63" i="77"/>
  <c r="AW63" i="77"/>
  <c r="AJ63" i="77"/>
  <c r="AH63" i="77"/>
  <c r="W63" i="77"/>
  <c r="U63" i="77"/>
  <c r="L63" i="77"/>
  <c r="BA63" i="77" s="1"/>
  <c r="K63" i="77"/>
  <c r="AY62" i="77"/>
  <c r="AW62" i="77"/>
  <c r="AJ62" i="77"/>
  <c r="AH62" i="77"/>
  <c r="W62" i="77"/>
  <c r="U62" i="77"/>
  <c r="L62" i="77"/>
  <c r="BA62" i="77" s="1"/>
  <c r="K62" i="77"/>
  <c r="AY61" i="77"/>
  <c r="AW61" i="77"/>
  <c r="AJ61" i="77"/>
  <c r="AH61" i="77"/>
  <c r="W61" i="77"/>
  <c r="U61" i="77"/>
  <c r="L61" i="77"/>
  <c r="K61" i="77"/>
  <c r="AY60" i="77"/>
  <c r="AW60" i="77"/>
  <c r="AJ60" i="77"/>
  <c r="AH60" i="77"/>
  <c r="W60" i="77"/>
  <c r="U60" i="77"/>
  <c r="L60" i="77"/>
  <c r="BA60" i="77" s="1"/>
  <c r="K60" i="77"/>
  <c r="AY59" i="77"/>
  <c r="AW59" i="77"/>
  <c r="AJ59" i="77"/>
  <c r="AH59" i="77"/>
  <c r="W59" i="77"/>
  <c r="U59" i="77"/>
  <c r="L59" i="77"/>
  <c r="K59" i="77"/>
  <c r="AY58" i="77"/>
  <c r="AW58" i="77"/>
  <c r="AJ58" i="77"/>
  <c r="AH58" i="77"/>
  <c r="W58" i="77"/>
  <c r="U58" i="77"/>
  <c r="L58" i="77"/>
  <c r="BA58" i="77" s="1"/>
  <c r="K58" i="77"/>
  <c r="AY57" i="77"/>
  <c r="AW57" i="77"/>
  <c r="AJ57" i="77"/>
  <c r="AH57" i="77"/>
  <c r="W57" i="77"/>
  <c r="U57" i="77"/>
  <c r="L57" i="77"/>
  <c r="BA57" i="77" s="1"/>
  <c r="K57" i="77"/>
  <c r="AY56" i="77"/>
  <c r="AW56" i="77"/>
  <c r="AJ56" i="77"/>
  <c r="AH56" i="77"/>
  <c r="W56" i="77"/>
  <c r="U56" i="77"/>
  <c r="L56" i="77"/>
  <c r="K56" i="77"/>
  <c r="AY55" i="77"/>
  <c r="AW55" i="77"/>
  <c r="AJ55" i="77"/>
  <c r="AH55" i="77"/>
  <c r="W55" i="77"/>
  <c r="U55" i="77"/>
  <c r="L55" i="77"/>
  <c r="K55" i="77"/>
  <c r="AY54" i="77"/>
  <c r="AW54" i="77"/>
  <c r="AJ54" i="77"/>
  <c r="AH54" i="77"/>
  <c r="W54" i="77"/>
  <c r="U54" i="77"/>
  <c r="L54" i="77"/>
  <c r="BB54" i="77" s="1"/>
  <c r="K54" i="77"/>
  <c r="AY53" i="77"/>
  <c r="AW53" i="77"/>
  <c r="AJ53" i="77"/>
  <c r="AH53" i="77"/>
  <c r="W53" i="77"/>
  <c r="U53" i="77"/>
  <c r="L53" i="77"/>
  <c r="BB53" i="77" s="1"/>
  <c r="K53" i="77"/>
  <c r="AY52" i="77"/>
  <c r="AW52" i="77"/>
  <c r="AJ52" i="77"/>
  <c r="AH52" i="77"/>
  <c r="W52" i="77"/>
  <c r="U52" i="77"/>
  <c r="L52" i="77"/>
  <c r="K52" i="77"/>
  <c r="AY51" i="77"/>
  <c r="AW51" i="77"/>
  <c r="AJ51" i="77"/>
  <c r="AH51" i="77"/>
  <c r="W51" i="77"/>
  <c r="U51" i="77"/>
  <c r="L51" i="77"/>
  <c r="BB51" i="77" s="1"/>
  <c r="K51" i="77"/>
  <c r="AY50" i="77"/>
  <c r="AW50" i="77"/>
  <c r="AJ50" i="77"/>
  <c r="AH50" i="77"/>
  <c r="W50" i="77"/>
  <c r="U50" i="77"/>
  <c r="L50" i="77"/>
  <c r="K50" i="77"/>
  <c r="AY49" i="77"/>
  <c r="AW49" i="77"/>
  <c r="AJ49" i="77"/>
  <c r="AH49" i="77"/>
  <c r="W49" i="77"/>
  <c r="U49" i="77"/>
  <c r="L49" i="77"/>
  <c r="K49" i="77"/>
  <c r="AY48" i="77"/>
  <c r="AW48" i="77"/>
  <c r="AJ48" i="77"/>
  <c r="AH48" i="77"/>
  <c r="W48" i="77"/>
  <c r="U48" i="77"/>
  <c r="L48" i="77"/>
  <c r="BB48" i="77" s="1"/>
  <c r="K48" i="77"/>
  <c r="AY47" i="77"/>
  <c r="AW47" i="77"/>
  <c r="AJ47" i="77"/>
  <c r="AH47" i="77"/>
  <c r="W47" i="77"/>
  <c r="U47" i="77"/>
  <c r="L47" i="77"/>
  <c r="K47" i="77"/>
  <c r="AY46" i="77"/>
  <c r="AW46" i="77"/>
  <c r="AJ46" i="77"/>
  <c r="AH46" i="77"/>
  <c r="W46" i="77"/>
  <c r="U46" i="77"/>
  <c r="L46" i="77"/>
  <c r="BA46" i="77" s="1"/>
  <c r="K46" i="77"/>
  <c r="AY45" i="77"/>
  <c r="AW45" i="77"/>
  <c r="AJ45" i="77"/>
  <c r="AH45" i="77"/>
  <c r="W45" i="77"/>
  <c r="U45" i="77"/>
  <c r="L45" i="77"/>
  <c r="K45" i="77"/>
  <c r="AY44" i="77"/>
  <c r="AW44" i="77"/>
  <c r="AJ44" i="77"/>
  <c r="AH44" i="77"/>
  <c r="W44" i="77"/>
  <c r="U44" i="77"/>
  <c r="L44" i="77"/>
  <c r="BB44" i="77" s="1"/>
  <c r="K44" i="77"/>
  <c r="AY43" i="77"/>
  <c r="AW43" i="77"/>
  <c r="AJ43" i="77"/>
  <c r="AH43" i="77"/>
  <c r="W43" i="77"/>
  <c r="U43" i="77"/>
  <c r="L43" i="77"/>
  <c r="K43" i="77"/>
  <c r="AY42" i="77"/>
  <c r="AW42" i="77"/>
  <c r="AJ42" i="77"/>
  <c r="AH42" i="77"/>
  <c r="W42" i="77"/>
  <c r="U42" i="77"/>
  <c r="L42" i="77"/>
  <c r="K42" i="77"/>
  <c r="AY41" i="77"/>
  <c r="AW41" i="77"/>
  <c r="AJ41" i="77"/>
  <c r="AH41" i="77"/>
  <c r="W41" i="77"/>
  <c r="U41" i="77"/>
  <c r="L41" i="77"/>
  <c r="K41" i="77"/>
  <c r="AY40" i="77"/>
  <c r="AW40" i="77"/>
  <c r="AJ40" i="77"/>
  <c r="AH40" i="77"/>
  <c r="W40" i="77"/>
  <c r="U40" i="77"/>
  <c r="L40" i="77"/>
  <c r="BB40" i="77" s="1"/>
  <c r="K40" i="77"/>
  <c r="AY39" i="77"/>
  <c r="AW39" i="77"/>
  <c r="AJ39" i="77"/>
  <c r="AH39" i="77"/>
  <c r="W39" i="77"/>
  <c r="U39" i="77"/>
  <c r="L39" i="77"/>
  <c r="BA39" i="77" s="1"/>
  <c r="K39" i="77"/>
  <c r="AY38" i="77"/>
  <c r="AW38" i="77"/>
  <c r="AJ38" i="77"/>
  <c r="AH38" i="77"/>
  <c r="W38" i="77"/>
  <c r="U38" i="77"/>
  <c r="L38" i="77"/>
  <c r="BB38" i="77" s="1"/>
  <c r="K38" i="77"/>
  <c r="AY37" i="77"/>
  <c r="AW37" i="77"/>
  <c r="AJ37" i="77"/>
  <c r="AH37" i="77"/>
  <c r="W37" i="77"/>
  <c r="U37" i="77"/>
  <c r="L37" i="77"/>
  <c r="BB37" i="77" s="1"/>
  <c r="K37" i="77"/>
  <c r="AY36" i="77"/>
  <c r="AW36" i="77"/>
  <c r="AJ36" i="77"/>
  <c r="AH36" i="77"/>
  <c r="W36" i="77"/>
  <c r="U36" i="77"/>
  <c r="L36" i="77"/>
  <c r="K36" i="77"/>
  <c r="AY35" i="77"/>
  <c r="AW35" i="77"/>
  <c r="AJ35" i="77"/>
  <c r="AH35" i="77"/>
  <c r="W35" i="77"/>
  <c r="U35" i="77"/>
  <c r="L35" i="77"/>
  <c r="BA35" i="77" s="1"/>
  <c r="K35" i="77"/>
  <c r="AY34" i="77"/>
  <c r="AW34" i="77"/>
  <c r="AJ34" i="77"/>
  <c r="AH34" i="77"/>
  <c r="W34" i="77"/>
  <c r="U34" i="77"/>
  <c r="L34" i="77"/>
  <c r="BA34" i="77" s="1"/>
  <c r="K34" i="77"/>
  <c r="AY33" i="77"/>
  <c r="AW33" i="77"/>
  <c r="AJ33" i="77"/>
  <c r="AH33" i="77"/>
  <c r="W33" i="77"/>
  <c r="U33" i="77"/>
  <c r="L33" i="77"/>
  <c r="BB33" i="77" s="1"/>
  <c r="K33" i="77"/>
  <c r="AY32" i="77"/>
  <c r="AW32" i="77"/>
  <c r="AJ32" i="77"/>
  <c r="AH32" i="77"/>
  <c r="W32" i="77"/>
  <c r="U32" i="77"/>
  <c r="L32" i="77"/>
  <c r="BA32" i="77" s="1"/>
  <c r="K32" i="77"/>
  <c r="AY31" i="77"/>
  <c r="AW31" i="77"/>
  <c r="AJ31" i="77"/>
  <c r="AH31" i="77"/>
  <c r="W31" i="77"/>
  <c r="U31" i="77"/>
  <c r="L31" i="77"/>
  <c r="BA31" i="77" s="1"/>
  <c r="K31" i="77"/>
  <c r="AY30" i="77"/>
  <c r="AW30" i="77"/>
  <c r="AJ30" i="77"/>
  <c r="AH30" i="77"/>
  <c r="W30" i="77"/>
  <c r="U30" i="77"/>
  <c r="L30" i="77"/>
  <c r="K30" i="77"/>
  <c r="AY29" i="77"/>
  <c r="AW29" i="77"/>
  <c r="AJ29" i="77"/>
  <c r="AH29" i="77"/>
  <c r="W29" i="77"/>
  <c r="U29" i="77"/>
  <c r="L29" i="77"/>
  <c r="BA29" i="77" s="1"/>
  <c r="K29" i="77"/>
  <c r="AY28" i="77"/>
  <c r="AW28" i="77"/>
  <c r="AJ28" i="77"/>
  <c r="AH28" i="77"/>
  <c r="W28" i="77"/>
  <c r="U28" i="77"/>
  <c r="L28" i="77"/>
  <c r="BA28" i="77" s="1"/>
  <c r="K28" i="77"/>
  <c r="AY27" i="77"/>
  <c r="AW27" i="77"/>
  <c r="AJ27" i="77"/>
  <c r="AH27" i="77"/>
  <c r="W27" i="77"/>
  <c r="U27" i="77"/>
  <c r="L27" i="77"/>
  <c r="BA27" i="77" s="1"/>
  <c r="K27" i="77"/>
  <c r="AY26" i="77"/>
  <c r="AW26" i="77"/>
  <c r="AJ26" i="77"/>
  <c r="AH26" i="77"/>
  <c r="W26" i="77"/>
  <c r="U26" i="77"/>
  <c r="L26" i="77"/>
  <c r="BB26" i="77" s="1"/>
  <c r="K26" i="77"/>
  <c r="AY25" i="77"/>
  <c r="AW25" i="77"/>
  <c r="AJ25" i="77"/>
  <c r="AH25" i="77"/>
  <c r="W25" i="77"/>
  <c r="U25" i="77"/>
  <c r="L25" i="77"/>
  <c r="BA25" i="77" s="1"/>
  <c r="K25" i="77"/>
  <c r="AY24" i="77"/>
  <c r="AW24" i="77"/>
  <c r="AJ24" i="77"/>
  <c r="AH24" i="77"/>
  <c r="W24" i="77"/>
  <c r="U24" i="77"/>
  <c r="L24" i="77"/>
  <c r="BA24" i="77" s="1"/>
  <c r="K24" i="77"/>
  <c r="AY23" i="77"/>
  <c r="AW23" i="77"/>
  <c r="AJ23" i="77"/>
  <c r="AH23" i="77"/>
  <c r="W23" i="77"/>
  <c r="U23" i="77"/>
  <c r="L23" i="77"/>
  <c r="BA23" i="77" s="1"/>
  <c r="K23" i="77"/>
  <c r="AY22" i="77"/>
  <c r="AW22" i="77"/>
  <c r="AJ22" i="77"/>
  <c r="AH22" i="77"/>
  <c r="W22" i="77"/>
  <c r="U22" i="77"/>
  <c r="L22" i="77"/>
  <c r="BA22" i="77" s="1"/>
  <c r="K22" i="77"/>
  <c r="AY21" i="77"/>
  <c r="AW21" i="77"/>
  <c r="AJ21" i="77"/>
  <c r="AH21" i="77"/>
  <c r="W21" i="77"/>
  <c r="U21" i="77"/>
  <c r="L21" i="77"/>
  <c r="BA21" i="77" s="1"/>
  <c r="K21" i="77"/>
  <c r="AY20" i="77"/>
  <c r="AW20" i="77"/>
  <c r="AJ20" i="77"/>
  <c r="AH20" i="77"/>
  <c r="W20" i="77"/>
  <c r="U20" i="77"/>
  <c r="L20" i="77"/>
  <c r="BA20" i="77" s="1"/>
  <c r="K20" i="77"/>
  <c r="AY19" i="77"/>
  <c r="AW19" i="77"/>
  <c r="AJ19" i="77"/>
  <c r="AH19" i="77"/>
  <c r="W19" i="77"/>
  <c r="U19" i="77"/>
  <c r="L19" i="77"/>
  <c r="BA19" i="77" s="1"/>
  <c r="K19" i="77"/>
  <c r="AY18" i="77"/>
  <c r="AW18" i="77"/>
  <c r="AJ18" i="77"/>
  <c r="AH18" i="77"/>
  <c r="W18" i="77"/>
  <c r="U18" i="77"/>
  <c r="L18" i="77"/>
  <c r="BB18" i="77" s="1"/>
  <c r="K18" i="77"/>
  <c r="AY17" i="77"/>
  <c r="AW17" i="77"/>
  <c r="AJ17" i="77"/>
  <c r="AH17" i="77"/>
  <c r="W17" i="77"/>
  <c r="U17" i="77"/>
  <c r="L17" i="77"/>
  <c r="BA17" i="77" s="1"/>
  <c r="K17" i="77"/>
  <c r="AY16" i="77"/>
  <c r="AW16" i="77"/>
  <c r="AJ16" i="77"/>
  <c r="AH16" i="77"/>
  <c r="W16" i="77"/>
  <c r="U16" i="77"/>
  <c r="L16" i="77"/>
  <c r="BA16" i="77" s="1"/>
  <c r="K16" i="77"/>
  <c r="AY15" i="77"/>
  <c r="AW15" i="77"/>
  <c r="AJ15" i="77"/>
  <c r="AH15" i="77"/>
  <c r="W15" i="77"/>
  <c r="U15" i="77"/>
  <c r="L15" i="77"/>
  <c r="BA15" i="77" s="1"/>
  <c r="K15" i="77"/>
  <c r="AY14" i="77"/>
  <c r="AW14" i="77"/>
  <c r="AJ14" i="77"/>
  <c r="AH14" i="77"/>
  <c r="W14" i="77"/>
  <c r="U14" i="77"/>
  <c r="L14" i="77"/>
  <c r="BA14" i="77" s="1"/>
  <c r="K14" i="77"/>
  <c r="AY13" i="77"/>
  <c r="AW13" i="77"/>
  <c r="AJ13" i="77"/>
  <c r="AH13" i="77"/>
  <c r="W13" i="77"/>
  <c r="U13" i="77"/>
  <c r="L13" i="77"/>
  <c r="BA13" i="77" s="1"/>
  <c r="K13" i="77"/>
  <c r="AY12" i="77"/>
  <c r="AW12" i="77"/>
  <c r="AJ12" i="77"/>
  <c r="AH12" i="77"/>
  <c r="W12" i="77"/>
  <c r="U12" i="77"/>
  <c r="L12" i="77"/>
  <c r="BA12" i="77" s="1"/>
  <c r="K12" i="77"/>
  <c r="AY11" i="77"/>
  <c r="AW11" i="77"/>
  <c r="AJ11" i="77"/>
  <c r="AH11" i="77"/>
  <c r="W11" i="77"/>
  <c r="U11" i="77"/>
  <c r="L11" i="77"/>
  <c r="BB11" i="77" s="1"/>
  <c r="K11" i="77"/>
  <c r="AY10" i="77"/>
  <c r="AW10" i="77"/>
  <c r="AJ10" i="77"/>
  <c r="AH10" i="77"/>
  <c r="W10" i="77"/>
  <c r="U10" i="77"/>
  <c r="L10" i="77"/>
  <c r="BB10" i="77" s="1"/>
  <c r="K10" i="77"/>
  <c r="AY9" i="77"/>
  <c r="AW9" i="77"/>
  <c r="AJ9" i="77"/>
  <c r="AH9" i="77"/>
  <c r="W9" i="77"/>
  <c r="U9" i="77"/>
  <c r="L9" i="77"/>
  <c r="BA9" i="77" s="1"/>
  <c r="K9" i="77"/>
  <c r="AY8" i="77"/>
  <c r="AW8" i="77"/>
  <c r="AJ8" i="77"/>
  <c r="AH8" i="77"/>
  <c r="W8" i="77"/>
  <c r="U8" i="77"/>
  <c r="L8" i="77"/>
  <c r="BA8" i="77" s="1"/>
  <c r="K8" i="77"/>
  <c r="AY7" i="77"/>
  <c r="AW7" i="77"/>
  <c r="AJ7" i="77"/>
  <c r="AH7" i="77"/>
  <c r="W7" i="77"/>
  <c r="U7" i="77"/>
  <c r="K7" i="77"/>
  <c r="AY6" i="77"/>
  <c r="AW6" i="77"/>
  <c r="AJ6" i="77"/>
  <c r="AH6" i="77"/>
  <c r="W6" i="77"/>
  <c r="U6" i="77"/>
  <c r="K6" i="77"/>
  <c r="HP7" i="78"/>
  <c r="HP11" i="78" s="1"/>
  <c r="HS7" i="78"/>
  <c r="HS11" i="78" s="1"/>
  <c r="HM7" i="78"/>
  <c r="HM11" i="78" s="1"/>
  <c r="HA7" i="78"/>
  <c r="HA11" i="78" s="1"/>
  <c r="BB31" i="77"/>
  <c r="BA33" i="77"/>
  <c r="BB35" i="77"/>
  <c r="BA37" i="77"/>
  <c r="BB42" i="77"/>
  <c r="BA42" i="77"/>
  <c r="BA44" i="77"/>
  <c r="BB49" i="77"/>
  <c r="BA49" i="77"/>
  <c r="BA51" i="77"/>
  <c r="BB52" i="77"/>
  <c r="BA54" i="77"/>
  <c r="BA56" i="77"/>
  <c r="BB56" i="77"/>
  <c r="BB58" i="77"/>
  <c r="BB34" i="77"/>
  <c r="BA36" i="77"/>
  <c r="BB36" i="77"/>
  <c r="BA38" i="77"/>
  <c r="BA41" i="77"/>
  <c r="BB41" i="77"/>
  <c r="BA45" i="77"/>
  <c r="BB45" i="77"/>
  <c r="BA48" i="77"/>
  <c r="BB50" i="77"/>
  <c r="BA50" i="77"/>
  <c r="BA53" i="77"/>
  <c r="BB57" i="77"/>
  <c r="BA59" i="77"/>
  <c r="BB59" i="77"/>
  <c r="BB6" i="77"/>
  <c r="BA30" i="77"/>
  <c r="BB30" i="77"/>
  <c r="BB32" i="77"/>
  <c r="AZ6" i="77"/>
  <c r="HD17" i="78"/>
  <c r="HC17" i="78" s="1"/>
  <c r="HH17" i="78"/>
  <c r="HH21" i="78" s="1"/>
  <c r="HL17" i="78"/>
  <c r="HM17" i="78" s="1"/>
  <c r="HM21" i="78" s="1"/>
  <c r="HR17" i="78"/>
  <c r="HQ17" i="78" s="1"/>
  <c r="HQ21" i="78" s="1"/>
  <c r="GW7" i="78"/>
  <c r="GX17" i="78"/>
  <c r="GX27" i="78" s="1"/>
  <c r="GX31" i="78" s="1"/>
  <c r="HF17" i="78"/>
  <c r="HF27" i="78" s="1"/>
  <c r="HF31" i="78" s="1"/>
  <c r="HJ17" i="78"/>
  <c r="AZ58" i="77"/>
  <c r="AZ10" i="77"/>
  <c r="AZ15" i="77"/>
  <c r="AZ19" i="77"/>
  <c r="AZ23" i="77"/>
  <c r="AZ31" i="77"/>
  <c r="AZ37" i="77"/>
  <c r="AZ39" i="77"/>
  <c r="AZ45" i="77"/>
  <c r="AJ68" i="77"/>
  <c r="AZ18" i="77"/>
  <c r="AZ22" i="77"/>
  <c r="AZ21" i="77"/>
  <c r="AZ25" i="77"/>
  <c r="AZ29" i="77"/>
  <c r="AZ57" i="77"/>
  <c r="AZ8" i="77"/>
  <c r="AZ16" i="77"/>
  <c r="AZ20" i="77"/>
  <c r="AZ24" i="77"/>
  <c r="AZ32" i="77"/>
  <c r="AZ36" i="77"/>
  <c r="AZ44" i="77"/>
  <c r="AH68" i="77"/>
  <c r="AZ48" i="77"/>
  <c r="AZ56" i="77"/>
  <c r="BB65" i="77"/>
  <c r="AZ60" i="77"/>
  <c r="AZ64" i="77"/>
  <c r="AZ55" i="77"/>
  <c r="AZ9" i="77"/>
  <c r="AZ13" i="77"/>
  <c r="AZ30" i="77"/>
  <c r="AZ34" i="77"/>
  <c r="AZ38" i="77"/>
  <c r="AZ59" i="77"/>
  <c r="AZ63" i="77"/>
  <c r="HD21" i="78"/>
  <c r="HD27" i="78"/>
  <c r="HD31" i="78" s="1"/>
  <c r="GX21" i="78"/>
  <c r="GW17" i="78"/>
  <c r="HR21" i="78"/>
  <c r="HR27" i="78"/>
  <c r="HR31" i="78" s="1"/>
  <c r="HI17" i="78"/>
  <c r="HI21" i="78" s="1"/>
  <c r="HJ27" i="78"/>
  <c r="HJ31" i="78" s="1"/>
  <c r="HJ21" i="78"/>
  <c r="CU10" i="3"/>
  <c r="CU163" i="3"/>
  <c r="CU297" i="3"/>
  <c r="CU345" i="3"/>
  <c r="CU411" i="3"/>
  <c r="CQ602" i="3"/>
  <c r="DP820" i="3"/>
  <c r="DN820" i="3"/>
  <c r="DM820" i="3"/>
  <c r="DK820" i="3"/>
  <c r="DJ820" i="3"/>
  <c r="DH820" i="3"/>
  <c r="DG820" i="3"/>
  <c r="DE820" i="3"/>
  <c r="DD820" i="3"/>
  <c r="DC820" i="3"/>
  <c r="DB820" i="3"/>
  <c r="DA820" i="3"/>
  <c r="CZ820" i="3"/>
  <c r="CY820" i="3"/>
  <c r="CX820" i="3"/>
  <c r="CW820" i="3"/>
  <c r="CV820" i="3"/>
  <c r="CU820" i="3"/>
  <c r="CT820" i="3"/>
  <c r="CS820" i="3"/>
  <c r="CR820" i="3"/>
  <c r="CQ820" i="3"/>
  <c r="CP820" i="3"/>
  <c r="BZ820" i="3"/>
  <c r="BY820" i="3"/>
  <c r="BX820" i="3"/>
  <c r="BW820" i="3"/>
  <c r="BV820" i="3"/>
  <c r="BU820" i="3"/>
  <c r="BT820" i="3"/>
  <c r="BS820" i="3"/>
  <c r="BR820" i="3"/>
  <c r="BQ820" i="3"/>
  <c r="BP820" i="3"/>
  <c r="BO820" i="3"/>
  <c r="BN820" i="3"/>
  <c r="CP840" i="3"/>
  <c r="BZ882" i="3"/>
  <c r="BZ875" i="3"/>
  <c r="BY875" i="3"/>
  <c r="BX875" i="3"/>
  <c r="BW875" i="3"/>
  <c r="BV875" i="3"/>
  <c r="BU875" i="3"/>
  <c r="BT875" i="3"/>
  <c r="BS875" i="3"/>
  <c r="BR875" i="3"/>
  <c r="BQ875" i="3"/>
  <c r="BP875" i="3"/>
  <c r="BO875" i="3"/>
  <c r="BN875" i="3"/>
  <c r="BZ855" i="3"/>
  <c r="BT855" i="3"/>
  <c r="BZ849" i="3"/>
  <c r="BY849" i="3"/>
  <c r="BX849" i="3"/>
  <c r="BW849" i="3"/>
  <c r="BV849" i="3"/>
  <c r="BU849" i="3"/>
  <c r="BT849" i="3"/>
  <c r="BS849" i="3"/>
  <c r="BR849" i="3"/>
  <c r="BQ849" i="3"/>
  <c r="BP849" i="3"/>
  <c r="BO849" i="3"/>
  <c r="BN849" i="3"/>
  <c r="BZ840" i="3"/>
  <c r="BY840" i="3"/>
  <c r="BX840" i="3"/>
  <c r="BW840" i="3"/>
  <c r="BV840" i="3"/>
  <c r="BU840" i="3"/>
  <c r="BT840" i="3"/>
  <c r="BS840" i="3"/>
  <c r="BR840" i="3"/>
  <c r="BQ840" i="3"/>
  <c r="BP840" i="3"/>
  <c r="BO840" i="3"/>
  <c r="BN840" i="3"/>
  <c r="BZ829" i="3"/>
  <c r="BY829" i="3"/>
  <c r="BX829" i="3"/>
  <c r="BW829" i="3"/>
  <c r="BV829" i="3"/>
  <c r="BU829" i="3"/>
  <c r="BT829" i="3"/>
  <c r="BS829" i="3"/>
  <c r="BR829" i="3"/>
  <c r="BQ829" i="3"/>
  <c r="BP829" i="3"/>
  <c r="BO829" i="3"/>
  <c r="BN829" i="3"/>
  <c r="BZ797" i="3"/>
  <c r="BY797" i="3"/>
  <c r="BX797" i="3"/>
  <c r="BW797" i="3"/>
  <c r="BV797" i="3"/>
  <c r="BU797" i="3"/>
  <c r="BT797" i="3"/>
  <c r="BS797" i="3"/>
  <c r="BR797" i="3"/>
  <c r="BQ797" i="3"/>
  <c r="BP797" i="3"/>
  <c r="BO797" i="3"/>
  <c r="BN797" i="3"/>
  <c r="BZ766" i="3"/>
  <c r="BY766" i="3"/>
  <c r="BX766" i="3"/>
  <c r="BW766" i="3"/>
  <c r="BV766" i="3"/>
  <c r="BU766" i="3"/>
  <c r="BT766" i="3"/>
  <c r="BS766" i="3"/>
  <c r="BR766" i="3"/>
  <c r="BQ766" i="3"/>
  <c r="BP766" i="3"/>
  <c r="BO766" i="3"/>
  <c r="BN766" i="3"/>
  <c r="BZ745" i="3"/>
  <c r="BY745" i="3"/>
  <c r="BX745" i="3"/>
  <c r="BW745" i="3"/>
  <c r="BV745" i="3"/>
  <c r="BU745" i="3"/>
  <c r="BT745" i="3"/>
  <c r="BS745" i="3"/>
  <c r="BR745" i="3"/>
  <c r="BQ745" i="3"/>
  <c r="BP745" i="3"/>
  <c r="BO745" i="3"/>
  <c r="BN745" i="3"/>
  <c r="BZ725" i="3"/>
  <c r="BY725" i="3"/>
  <c r="BX725" i="3"/>
  <c r="BW725" i="3"/>
  <c r="BV725" i="3"/>
  <c r="BU725" i="3"/>
  <c r="BT725" i="3"/>
  <c r="BS725" i="3"/>
  <c r="BR725" i="3"/>
  <c r="BQ725" i="3"/>
  <c r="BP725" i="3"/>
  <c r="BO725" i="3"/>
  <c r="BN725" i="3"/>
  <c r="BZ659" i="3"/>
  <c r="BY659" i="3"/>
  <c r="BX659" i="3"/>
  <c r="BW659" i="3"/>
  <c r="BV659" i="3"/>
  <c r="BU659" i="3"/>
  <c r="BT659" i="3"/>
  <c r="BS659" i="3"/>
  <c r="BR659" i="3"/>
  <c r="BQ659" i="3"/>
  <c r="BP659" i="3"/>
  <c r="BO659" i="3"/>
  <c r="BN659" i="3"/>
  <c r="BZ650" i="3"/>
  <c r="BY650" i="3"/>
  <c r="BX650" i="3"/>
  <c r="BW650" i="3"/>
  <c r="BV650" i="3"/>
  <c r="BU650" i="3"/>
  <c r="BT650" i="3"/>
  <c r="BS650" i="3"/>
  <c r="BR650" i="3"/>
  <c r="BQ650" i="3"/>
  <c r="BP650" i="3"/>
  <c r="BO650" i="3"/>
  <c r="BN650" i="3"/>
  <c r="BZ642" i="3"/>
  <c r="BY642" i="3"/>
  <c r="BX642" i="3"/>
  <c r="BW642" i="3"/>
  <c r="BV642" i="3"/>
  <c r="BU642" i="3"/>
  <c r="BT642" i="3"/>
  <c r="BS642" i="3"/>
  <c r="BR642" i="3"/>
  <c r="BQ642" i="3"/>
  <c r="BP642" i="3"/>
  <c r="BO642" i="3"/>
  <c r="BN642" i="3"/>
  <c r="BZ628" i="3"/>
  <c r="BY628" i="3"/>
  <c r="BX628" i="3"/>
  <c r="BW628" i="3"/>
  <c r="BV628" i="3"/>
  <c r="BU628" i="3"/>
  <c r="BT628" i="3"/>
  <c r="BS628" i="3"/>
  <c r="BR628" i="3"/>
  <c r="BQ628" i="3"/>
  <c r="BP628" i="3"/>
  <c r="BO628" i="3"/>
  <c r="BN628" i="3"/>
  <c r="BZ602" i="3"/>
  <c r="BY602" i="3"/>
  <c r="BX602" i="3"/>
  <c r="BW602" i="3"/>
  <c r="BV602" i="3"/>
  <c r="BU602" i="3"/>
  <c r="BT602" i="3"/>
  <c r="BS602" i="3"/>
  <c r="BR602" i="3"/>
  <c r="BQ602" i="3"/>
  <c r="BP602" i="3"/>
  <c r="BO602" i="3"/>
  <c r="BN602" i="3"/>
  <c r="BZ575" i="3"/>
  <c r="BY575" i="3"/>
  <c r="BX575" i="3"/>
  <c r="BW575" i="3"/>
  <c r="BV575" i="3"/>
  <c r="BU575" i="3"/>
  <c r="BT575" i="3"/>
  <c r="BS575" i="3"/>
  <c r="BR575" i="3"/>
  <c r="BQ575" i="3"/>
  <c r="BP575" i="3"/>
  <c r="BO575" i="3"/>
  <c r="BN575" i="3"/>
  <c r="BZ448" i="3"/>
  <c r="BY448" i="3"/>
  <c r="BX448" i="3"/>
  <c r="BW448" i="3"/>
  <c r="BV448" i="3"/>
  <c r="BU448" i="3"/>
  <c r="BT448" i="3"/>
  <c r="BS448" i="3"/>
  <c r="BR448" i="3"/>
  <c r="BQ448" i="3"/>
  <c r="BP448" i="3"/>
  <c r="BO448" i="3"/>
  <c r="BN448" i="3"/>
  <c r="BZ430" i="3"/>
  <c r="BZ440" i="3"/>
  <c r="CQ208" i="3"/>
  <c r="CQ163" i="3"/>
  <c r="BY435" i="3"/>
  <c r="BX435" i="3"/>
  <c r="BW435" i="3"/>
  <c r="BV435" i="3"/>
  <c r="BU435" i="3"/>
  <c r="BT435" i="3"/>
  <c r="BS435" i="3"/>
  <c r="BR435" i="3"/>
  <c r="BQ435" i="3"/>
  <c r="BP435" i="3"/>
  <c r="BO435" i="3"/>
  <c r="BN435" i="3"/>
  <c r="CN435" i="3"/>
  <c r="BY430" i="3"/>
  <c r="BX430" i="3"/>
  <c r="BW430" i="3"/>
  <c r="BV430" i="3"/>
  <c r="BU430" i="3"/>
  <c r="BT430" i="3"/>
  <c r="BS430" i="3"/>
  <c r="BR430" i="3"/>
  <c r="BQ430" i="3"/>
  <c r="BP430" i="3"/>
  <c r="BO430" i="3"/>
  <c r="BN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N411" i="3"/>
  <c r="CN297" i="3"/>
  <c r="CN345" i="3"/>
  <c r="CN376" i="3"/>
  <c r="BZ376" i="3"/>
  <c r="BZ409" i="3" s="1"/>
  <c r="BY376" i="3"/>
  <c r="BX376" i="3"/>
  <c r="BW376" i="3"/>
  <c r="BV376" i="3"/>
  <c r="BU376" i="3"/>
  <c r="BT376" i="3"/>
  <c r="BS376" i="3"/>
  <c r="BQ376" i="3"/>
  <c r="BP376" i="3"/>
  <c r="BO376" i="3"/>
  <c r="BN376" i="3"/>
  <c r="CM376" i="3"/>
  <c r="CL376" i="3"/>
  <c r="CK376" i="3"/>
  <c r="CJ376" i="3"/>
  <c r="CI376" i="3"/>
  <c r="CH376" i="3"/>
  <c r="CG376" i="3"/>
  <c r="CE376" i="3"/>
  <c r="CD376" i="3"/>
  <c r="CC376" i="3"/>
  <c r="CB376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BX242" i="3"/>
  <c r="BW242" i="3"/>
  <c r="BV242" i="3"/>
  <c r="BU242" i="3"/>
  <c r="BT242" i="3"/>
  <c r="BS242" i="3"/>
  <c r="BR242" i="3"/>
  <c r="BQ242" i="3"/>
  <c r="BP242" i="3"/>
  <c r="BO242" i="3"/>
  <c r="BN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BY208" i="3"/>
  <c r="BX208" i="3"/>
  <c r="BW208" i="3"/>
  <c r="BV208" i="3"/>
  <c r="BU208" i="3"/>
  <c r="BT208" i="3"/>
  <c r="BS208" i="3"/>
  <c r="CN208" i="3"/>
  <c r="CM208" i="3"/>
  <c r="CL208" i="3"/>
  <c r="CK208" i="3"/>
  <c r="CJ208" i="3"/>
  <c r="CI208" i="3"/>
  <c r="CH208" i="3"/>
  <c r="CG208" i="3"/>
  <c r="BZ163" i="3"/>
  <c r="BZ240" i="3" s="1"/>
  <c r="BZ898" i="3" s="1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N10" i="3"/>
  <c r="DP882" i="3"/>
  <c r="DN882" i="3"/>
  <c r="DM882" i="3"/>
  <c r="DK882" i="3"/>
  <c r="DJ882" i="3"/>
  <c r="DH882" i="3"/>
  <c r="DG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DP855" i="3"/>
  <c r="DN855" i="3"/>
  <c r="DM855" i="3"/>
  <c r="DK855" i="3"/>
  <c r="DJ855" i="3"/>
  <c r="DH855" i="3"/>
  <c r="DG855" i="3"/>
  <c r="DE855" i="3"/>
  <c r="DD855" i="3"/>
  <c r="DC855" i="3"/>
  <c r="DB855" i="3"/>
  <c r="DA855" i="3"/>
  <c r="CZ855" i="3"/>
  <c r="CY855" i="3"/>
  <c r="CX855" i="3"/>
  <c r="CW855" i="3"/>
  <c r="CV855" i="3"/>
  <c r="CU855" i="3"/>
  <c r="CT855" i="3"/>
  <c r="CS855" i="3"/>
  <c r="CR855" i="3"/>
  <c r="CQ855" i="3"/>
  <c r="CP855" i="3"/>
  <c r="DP849" i="3"/>
  <c r="DN849" i="3"/>
  <c r="DM849" i="3"/>
  <c r="DK849" i="3"/>
  <c r="DJ849" i="3"/>
  <c r="DH849" i="3"/>
  <c r="DG849" i="3"/>
  <c r="DE849" i="3"/>
  <c r="DD849" i="3"/>
  <c r="DC849" i="3"/>
  <c r="DB849" i="3"/>
  <c r="DA849" i="3"/>
  <c r="CZ849" i="3"/>
  <c r="CY849" i="3"/>
  <c r="CX849" i="3"/>
  <c r="CW849" i="3"/>
  <c r="CV849" i="3"/>
  <c r="CU849" i="3"/>
  <c r="CT849" i="3"/>
  <c r="CS849" i="3"/>
  <c r="CR849" i="3"/>
  <c r="CQ849" i="3"/>
  <c r="CP849" i="3"/>
  <c r="DP840" i="3"/>
  <c r="DN840" i="3"/>
  <c r="DK840" i="3"/>
  <c r="DJ840" i="3"/>
  <c r="DH840" i="3"/>
  <c r="DG840" i="3"/>
  <c r="DE840" i="3"/>
  <c r="DC840" i="3"/>
  <c r="DA840" i="3"/>
  <c r="CY840" i="3"/>
  <c r="CW840" i="3"/>
  <c r="CV840" i="3"/>
  <c r="CU840" i="3"/>
  <c r="CT840" i="3"/>
  <c r="CS840" i="3"/>
  <c r="CR840" i="3"/>
  <c r="CQ840" i="3"/>
  <c r="DP829" i="3"/>
  <c r="DN829" i="3"/>
  <c r="DM829" i="3"/>
  <c r="DK829" i="3"/>
  <c r="DJ829" i="3"/>
  <c r="DH829" i="3"/>
  <c r="DG829" i="3"/>
  <c r="DE829" i="3"/>
  <c r="DD829" i="3"/>
  <c r="DC829" i="3"/>
  <c r="DB829" i="3"/>
  <c r="DA829" i="3"/>
  <c r="CZ829" i="3"/>
  <c r="CY829" i="3"/>
  <c r="CX829" i="3"/>
  <c r="CW829" i="3"/>
  <c r="CV829" i="3"/>
  <c r="CU829" i="3"/>
  <c r="CT829" i="3"/>
  <c r="CS829" i="3"/>
  <c r="CR829" i="3"/>
  <c r="CQ829" i="3"/>
  <c r="CP829" i="3"/>
  <c r="DP825" i="3"/>
  <c r="DN825" i="3"/>
  <c r="DK825" i="3"/>
  <c r="DH825" i="3"/>
  <c r="DE825" i="3"/>
  <c r="DD825" i="3"/>
  <c r="DC825" i="3"/>
  <c r="DA825" i="3"/>
  <c r="CZ825" i="3"/>
  <c r="CY825" i="3"/>
  <c r="CX825" i="3"/>
  <c r="CW825" i="3"/>
  <c r="CV825" i="3"/>
  <c r="CU825" i="3"/>
  <c r="CS825" i="3"/>
  <c r="CQ825" i="3"/>
  <c r="CP825" i="3"/>
  <c r="DP766" i="3"/>
  <c r="DN766" i="3"/>
  <c r="DM766" i="3"/>
  <c r="DK766" i="3"/>
  <c r="DJ766" i="3"/>
  <c r="DH766" i="3"/>
  <c r="DG766" i="3"/>
  <c r="DE766" i="3"/>
  <c r="DD766" i="3"/>
  <c r="DC766" i="3"/>
  <c r="DB766" i="3"/>
  <c r="DA766" i="3"/>
  <c r="CZ766" i="3"/>
  <c r="CX766" i="3"/>
  <c r="CW766" i="3"/>
  <c r="CV766" i="3"/>
  <c r="CU766" i="3"/>
  <c r="CT766" i="3"/>
  <c r="CS766" i="3"/>
  <c r="CR766" i="3"/>
  <c r="CQ766" i="3"/>
  <c r="CP766" i="3"/>
  <c r="DP797" i="3"/>
  <c r="DN797" i="3"/>
  <c r="DM797" i="3"/>
  <c r="DK797" i="3"/>
  <c r="DJ797" i="3"/>
  <c r="DH797" i="3"/>
  <c r="DG797" i="3"/>
  <c r="DE797" i="3"/>
  <c r="DD797" i="3"/>
  <c r="DC797" i="3"/>
  <c r="DB797" i="3"/>
  <c r="DA797" i="3"/>
  <c r="CZ797" i="3"/>
  <c r="CY797" i="3"/>
  <c r="CX797" i="3"/>
  <c r="CW797" i="3"/>
  <c r="CV797" i="3"/>
  <c r="CU797" i="3"/>
  <c r="CT797" i="3"/>
  <c r="CS797" i="3"/>
  <c r="CR797" i="3"/>
  <c r="CQ797" i="3"/>
  <c r="CP797" i="3"/>
  <c r="DP745" i="3"/>
  <c r="DN745" i="3"/>
  <c r="DM745" i="3"/>
  <c r="DK745" i="3"/>
  <c r="DJ745" i="3"/>
  <c r="DH745" i="3"/>
  <c r="DG745" i="3"/>
  <c r="DE745" i="3"/>
  <c r="DD745" i="3"/>
  <c r="DC745" i="3"/>
  <c r="DB745" i="3"/>
  <c r="DA745" i="3"/>
  <c r="CY745" i="3"/>
  <c r="CW745" i="3"/>
  <c r="CV745" i="3"/>
  <c r="CU745" i="3"/>
  <c r="CT745" i="3"/>
  <c r="CS745" i="3"/>
  <c r="CR745" i="3"/>
  <c r="CQ745" i="3"/>
  <c r="CP745" i="3"/>
  <c r="DP725" i="3"/>
  <c r="DN725" i="3"/>
  <c r="DM725" i="3"/>
  <c r="DK725" i="3"/>
  <c r="DJ725" i="3"/>
  <c r="DH725" i="3"/>
  <c r="DG725" i="3"/>
  <c r="DE725" i="3"/>
  <c r="DD725" i="3"/>
  <c r="DC725" i="3"/>
  <c r="DB725" i="3"/>
  <c r="DA725" i="3"/>
  <c r="CZ725" i="3"/>
  <c r="CX725" i="3"/>
  <c r="CW725" i="3"/>
  <c r="CV725" i="3"/>
  <c r="CU725" i="3"/>
  <c r="CS725" i="3"/>
  <c r="CR725" i="3"/>
  <c r="CQ725" i="3"/>
  <c r="CP725" i="3"/>
  <c r="DP659" i="3"/>
  <c r="DN659" i="3"/>
  <c r="DM659" i="3"/>
  <c r="DK659" i="3"/>
  <c r="DJ659" i="3"/>
  <c r="DH659" i="3"/>
  <c r="DG659" i="3"/>
  <c r="DE659" i="3"/>
  <c r="DD659" i="3"/>
  <c r="DC659" i="3"/>
  <c r="DB659" i="3"/>
  <c r="DA659" i="3"/>
  <c r="CZ659" i="3"/>
  <c r="CX659" i="3"/>
  <c r="CW659" i="3"/>
  <c r="CV659" i="3"/>
  <c r="CU659" i="3"/>
  <c r="CT659" i="3"/>
  <c r="CS659" i="3"/>
  <c r="CR659" i="3"/>
  <c r="CQ659" i="3"/>
  <c r="CP659" i="3"/>
  <c r="EH650" i="3"/>
  <c r="EG650" i="3"/>
  <c r="DP650" i="3"/>
  <c r="DN650" i="3"/>
  <c r="DM650" i="3"/>
  <c r="DK650" i="3"/>
  <c r="DJ650" i="3"/>
  <c r="DH650" i="3"/>
  <c r="DG650" i="3"/>
  <c r="DE650" i="3"/>
  <c r="DD650" i="3"/>
  <c r="DC650" i="3"/>
  <c r="DB650" i="3"/>
  <c r="DA650" i="3"/>
  <c r="CZ650" i="3"/>
  <c r="CY650" i="3"/>
  <c r="CX650" i="3"/>
  <c r="CW650" i="3"/>
  <c r="CV650" i="3"/>
  <c r="CU650" i="3"/>
  <c r="CT650" i="3"/>
  <c r="CS650" i="3"/>
  <c r="CR650" i="3"/>
  <c r="CQ650" i="3"/>
  <c r="CP650" i="3"/>
  <c r="DN628" i="3"/>
  <c r="DK628" i="3"/>
  <c r="DH628" i="3"/>
  <c r="DE628" i="3"/>
  <c r="DC628" i="3"/>
  <c r="DA628" i="3"/>
  <c r="CY628" i="3"/>
  <c r="CX628" i="3"/>
  <c r="CW628" i="3"/>
  <c r="CV628" i="3"/>
  <c r="CS628" i="3"/>
  <c r="CR628" i="3"/>
  <c r="CQ628" i="3"/>
  <c r="CP628" i="3"/>
  <c r="DP602" i="3"/>
  <c r="DN602" i="3"/>
  <c r="DM602" i="3"/>
  <c r="DK602" i="3"/>
  <c r="DJ602" i="3"/>
  <c r="DH602" i="3"/>
  <c r="DG602" i="3"/>
  <c r="DE602" i="3"/>
  <c r="DD602" i="3"/>
  <c r="DC602" i="3"/>
  <c r="DB602" i="3"/>
  <c r="DA602" i="3"/>
  <c r="CZ602" i="3"/>
  <c r="CY602" i="3"/>
  <c r="CX602" i="3"/>
  <c r="CW602" i="3"/>
  <c r="CV602" i="3"/>
  <c r="CU602" i="3"/>
  <c r="CT602" i="3"/>
  <c r="CS602" i="3"/>
  <c r="CR602" i="3"/>
  <c r="CP602" i="3"/>
  <c r="CX575" i="3"/>
  <c r="CV575" i="3"/>
  <c r="CU575" i="3"/>
  <c r="CT575" i="3"/>
  <c r="CS575" i="3"/>
  <c r="CR575" i="3"/>
  <c r="CQ575" i="3"/>
  <c r="CP575" i="3"/>
  <c r="CY448" i="3"/>
  <c r="CX448" i="3"/>
  <c r="CW448" i="3"/>
  <c r="CV448" i="3"/>
  <c r="CU448" i="3"/>
  <c r="CT448" i="3"/>
  <c r="CS448" i="3"/>
  <c r="CR448" i="3"/>
  <c r="CQ448" i="3"/>
  <c r="CP448" i="3"/>
  <c r="CP435" i="3"/>
  <c r="CP430" i="3"/>
  <c r="DP435" i="3"/>
  <c r="DN435" i="3"/>
  <c r="DM435" i="3"/>
  <c r="DK435" i="3"/>
  <c r="DJ435" i="3"/>
  <c r="DH435" i="3"/>
  <c r="DG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DP430" i="3"/>
  <c r="DN430" i="3"/>
  <c r="DM430" i="3"/>
  <c r="DK430" i="3"/>
  <c r="DJ430" i="3"/>
  <c r="DH430" i="3"/>
  <c r="DG430" i="3"/>
  <c r="DE430" i="3"/>
  <c r="DD430" i="3"/>
  <c r="DB430" i="3"/>
  <c r="DA430" i="3"/>
  <c r="CZ430" i="3"/>
  <c r="CX430" i="3"/>
  <c r="CW430" i="3"/>
  <c r="CV430" i="3"/>
  <c r="CU430" i="3"/>
  <c r="CU440" i="3" s="1"/>
  <c r="CT430" i="3"/>
  <c r="CS430" i="3"/>
  <c r="CR430" i="3"/>
  <c r="CQ430" i="3"/>
  <c r="DP411" i="3"/>
  <c r="DN411" i="3"/>
  <c r="DM411" i="3"/>
  <c r="DK411" i="3"/>
  <c r="DJ411" i="3"/>
  <c r="DH411" i="3"/>
  <c r="DG411" i="3"/>
  <c r="DE411" i="3"/>
  <c r="DD411" i="3"/>
  <c r="DC411" i="3"/>
  <c r="DB411" i="3"/>
  <c r="DA411" i="3"/>
  <c r="CZ411" i="3"/>
  <c r="CY411" i="3"/>
  <c r="CX411" i="3"/>
  <c r="CW411" i="3"/>
  <c r="CV411" i="3"/>
  <c r="CS411" i="3"/>
  <c r="CR411" i="3"/>
  <c r="CQ411" i="3"/>
  <c r="CP411" i="3"/>
  <c r="DP376" i="3"/>
  <c r="DN376" i="3"/>
  <c r="DM376" i="3"/>
  <c r="DK376" i="3"/>
  <c r="DJ376" i="3"/>
  <c r="DH376" i="3"/>
  <c r="DG376" i="3"/>
  <c r="DE376" i="3"/>
  <c r="DD376" i="3"/>
  <c r="DC376" i="3"/>
  <c r="DB376" i="3"/>
  <c r="DA376" i="3"/>
  <c r="CZ376" i="3"/>
  <c r="CY376" i="3"/>
  <c r="CX376" i="3"/>
  <c r="CV376" i="3"/>
  <c r="CU376" i="3"/>
  <c r="CT376" i="3"/>
  <c r="CS376" i="3"/>
  <c r="CR376" i="3"/>
  <c r="CQ376" i="3"/>
  <c r="CP376" i="3"/>
  <c r="DP345" i="3"/>
  <c r="DN345" i="3"/>
  <c r="DM345" i="3"/>
  <c r="DK345" i="3"/>
  <c r="DJ345" i="3"/>
  <c r="DH345" i="3"/>
  <c r="DG345" i="3"/>
  <c r="DE345" i="3"/>
  <c r="DD345" i="3"/>
  <c r="DC345" i="3"/>
  <c r="DB345" i="3"/>
  <c r="DA345" i="3"/>
  <c r="CZ345" i="3"/>
  <c r="CY345" i="3"/>
  <c r="CX345" i="3"/>
  <c r="CW345" i="3"/>
  <c r="CV345" i="3"/>
  <c r="CT345" i="3"/>
  <c r="CS345" i="3"/>
  <c r="CR345" i="3"/>
  <c r="CQ345" i="3"/>
  <c r="CP345" i="3"/>
  <c r="DN297" i="3"/>
  <c r="DK297" i="3"/>
  <c r="DJ297" i="3"/>
  <c r="DH297" i="3"/>
  <c r="DG297" i="3"/>
  <c r="DE297" i="3"/>
  <c r="DD297" i="3"/>
  <c r="DC297" i="3"/>
  <c r="DB297" i="3"/>
  <c r="DA297" i="3"/>
  <c r="CZ297" i="3"/>
  <c r="CY297" i="3"/>
  <c r="CX297" i="3"/>
  <c r="CW297" i="3"/>
  <c r="CV297" i="3"/>
  <c r="CT297" i="3"/>
  <c r="CS297" i="3"/>
  <c r="CR297" i="3"/>
  <c r="CQ297" i="3"/>
  <c r="CP297" i="3"/>
  <c r="DN282" i="3"/>
  <c r="DK282" i="3"/>
  <c r="DH282" i="3"/>
  <c r="DE282" i="3"/>
  <c r="DC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DN242" i="3"/>
  <c r="DK242" i="3"/>
  <c r="DH242" i="3"/>
  <c r="DE242" i="3"/>
  <c r="DC242" i="3"/>
  <c r="DA242" i="3"/>
  <c r="CW242" i="3"/>
  <c r="CU242" i="3"/>
  <c r="CS242" i="3"/>
  <c r="CQ242" i="3"/>
  <c r="CP242" i="3"/>
  <c r="DP208" i="3"/>
  <c r="DN208" i="3"/>
  <c r="DM208" i="3"/>
  <c r="DK208" i="3"/>
  <c r="DJ208" i="3"/>
  <c r="DH208" i="3"/>
  <c r="DG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P208" i="3"/>
  <c r="DN163" i="3"/>
  <c r="DK163" i="3"/>
  <c r="DH163" i="3"/>
  <c r="DE163" i="3"/>
  <c r="DC163" i="3"/>
  <c r="DA163" i="3"/>
  <c r="CW163" i="3"/>
  <c r="CS163" i="3"/>
  <c r="CP163" i="3"/>
  <c r="DN10" i="3"/>
  <c r="DK10" i="3"/>
  <c r="DH10" i="3"/>
  <c r="DE10" i="3"/>
  <c r="DC10" i="3"/>
  <c r="DA10" i="3"/>
  <c r="CZ10" i="3"/>
  <c r="CY10" i="3"/>
  <c r="CX10" i="3"/>
  <c r="CW10" i="3"/>
  <c r="CV10" i="3"/>
  <c r="CT10" i="3"/>
  <c r="CS10" i="3"/>
  <c r="CQ10" i="3"/>
  <c r="CP10" i="3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M328" i="4"/>
  <c r="AK310" i="4"/>
  <c r="AJ310" i="4"/>
  <c r="AI310" i="4"/>
  <c r="AI334" i="4" s="1"/>
  <c r="AH310" i="4"/>
  <c r="AH334" i="4" s="1"/>
  <c r="AG310" i="4"/>
  <c r="AF310" i="4"/>
  <c r="AE310" i="4"/>
  <c r="AE334" i="4" s="1"/>
  <c r="AD310" i="4"/>
  <c r="AC310" i="4"/>
  <c r="AB310" i="4"/>
  <c r="AA310" i="4"/>
  <c r="Z310" i="4"/>
  <c r="Z334" i="4" s="1"/>
  <c r="Y310" i="4"/>
  <c r="AY310" i="4"/>
  <c r="AX310" i="4"/>
  <c r="AX334" i="4" s="1"/>
  <c r="AW310" i="4"/>
  <c r="AV310" i="4"/>
  <c r="AU310" i="4"/>
  <c r="AU334" i="4" s="1"/>
  <c r="AT310" i="4"/>
  <c r="AT334" i="4" s="1"/>
  <c r="AS310" i="4"/>
  <c r="AS334" i="4" s="1"/>
  <c r="AS375" i="4" s="1"/>
  <c r="AR310" i="4"/>
  <c r="AQ310" i="4"/>
  <c r="AP310" i="4"/>
  <c r="AO310" i="4"/>
  <c r="AO334" i="4" s="1"/>
  <c r="AN310" i="4"/>
  <c r="AM310" i="4"/>
  <c r="BY310" i="4"/>
  <c r="BV310" i="4"/>
  <c r="BS310" i="4"/>
  <c r="BP310" i="4"/>
  <c r="BN310" i="4"/>
  <c r="BL310" i="4"/>
  <c r="BJ310" i="4"/>
  <c r="BH310" i="4"/>
  <c r="BF310" i="4"/>
  <c r="BD310" i="4"/>
  <c r="BC310" i="4"/>
  <c r="BB310" i="4"/>
  <c r="CC328" i="4"/>
  <c r="CA328" i="4"/>
  <c r="BY328" i="4"/>
  <c r="BX328" i="4"/>
  <c r="BV328" i="4"/>
  <c r="BU328" i="4"/>
  <c r="BS328" i="4"/>
  <c r="BR328" i="4"/>
  <c r="BP328" i="4"/>
  <c r="BP334" i="4" s="1"/>
  <c r="BO328" i="4"/>
  <c r="BN328" i="4"/>
  <c r="BM328" i="4"/>
  <c r="BL328" i="4"/>
  <c r="BL334" i="4" s="1"/>
  <c r="BK328" i="4"/>
  <c r="BJ328" i="4"/>
  <c r="BI328" i="4"/>
  <c r="BH328" i="4"/>
  <c r="BH334" i="4" s="1"/>
  <c r="BG10" i="80" s="1"/>
  <c r="BG328" i="4"/>
  <c r="BF328" i="4"/>
  <c r="BE328" i="4"/>
  <c r="BD328" i="4"/>
  <c r="BC328" i="4"/>
  <c r="BC334" i="4" s="1"/>
  <c r="AO10" i="78" s="1"/>
  <c r="BB328" i="4"/>
  <c r="BA328" i="4"/>
  <c r="BA310" i="4"/>
  <c r="BA334" i="4" s="1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K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AY304" i="4"/>
  <c r="AX304" i="4"/>
  <c r="AW304" i="4"/>
  <c r="AV304" i="4"/>
  <c r="AU304" i="4"/>
  <c r="AT304" i="4"/>
  <c r="AS304" i="4"/>
  <c r="AR304" i="4"/>
  <c r="AR308" i="4" s="1"/>
  <c r="AR369" i="4" s="1"/>
  <c r="AQ304" i="4"/>
  <c r="AP304" i="4"/>
  <c r="AO304" i="4"/>
  <c r="AN304" i="4"/>
  <c r="AM304" i="4"/>
  <c r="BY304" i="4"/>
  <c r="BV304" i="4"/>
  <c r="BU304" i="4"/>
  <c r="BS304" i="4"/>
  <c r="BR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CC300" i="4"/>
  <c r="CA300" i="4"/>
  <c r="BY300" i="4"/>
  <c r="BX300" i="4"/>
  <c r="BV300" i="4"/>
  <c r="BU300" i="4"/>
  <c r="BS300" i="4"/>
  <c r="BR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BB295" i="4"/>
  <c r="BC295" i="4"/>
  <c r="BD295" i="4"/>
  <c r="BF295" i="4"/>
  <c r="BG295" i="4"/>
  <c r="BH295" i="4"/>
  <c r="BI295" i="4"/>
  <c r="BI308" i="4" s="1"/>
  <c r="BJ295" i="4"/>
  <c r="BJ308" i="4" s="1"/>
  <c r="BK295" i="4"/>
  <c r="BL295" i="4"/>
  <c r="BM295" i="4"/>
  <c r="BM308" i="4" s="1"/>
  <c r="BM369" i="4" s="1"/>
  <c r="BN295" i="4"/>
  <c r="BO295" i="4"/>
  <c r="BP295" i="4"/>
  <c r="BR295" i="4"/>
  <c r="BR308" i="4" s="1"/>
  <c r="BS295" i="4"/>
  <c r="BS308" i="4" s="1"/>
  <c r="BU295" i="4"/>
  <c r="BV295" i="4"/>
  <c r="BX295" i="4"/>
  <c r="BY295" i="4"/>
  <c r="CA295" i="4"/>
  <c r="BA304" i="4"/>
  <c r="BA300" i="4"/>
  <c r="BA295" i="4"/>
  <c r="BY280" i="4"/>
  <c r="BV280" i="4"/>
  <c r="BS280" i="4"/>
  <c r="BP280" i="4"/>
  <c r="BN280" i="4"/>
  <c r="BL280" i="4"/>
  <c r="BJ280" i="4"/>
  <c r="BI280" i="4"/>
  <c r="BH280" i="4"/>
  <c r="BG280" i="4"/>
  <c r="BF280" i="4"/>
  <c r="BE280" i="4"/>
  <c r="BD280" i="4"/>
  <c r="BC280" i="4"/>
  <c r="BB280" i="4"/>
  <c r="BA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AK270" i="4"/>
  <c r="AY270" i="4"/>
  <c r="BY270" i="4"/>
  <c r="BV270" i="4"/>
  <c r="BS270" i="4"/>
  <c r="BS288" i="4" s="1"/>
  <c r="BP270" i="4"/>
  <c r="BP288" i="4" s="1"/>
  <c r="BN270" i="4"/>
  <c r="BL270" i="4"/>
  <c r="BJ270" i="4"/>
  <c r="BH270" i="4"/>
  <c r="BH288" i="4" s="1"/>
  <c r="BF270" i="4"/>
  <c r="BD270" i="4"/>
  <c r="BD288" i="4" s="1"/>
  <c r="BC7" i="80" s="1"/>
  <c r="BC270" i="4"/>
  <c r="BB270" i="4"/>
  <c r="BA270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BY254" i="4"/>
  <c r="BV254" i="4"/>
  <c r="BS254" i="4"/>
  <c r="BP254" i="4"/>
  <c r="BN254" i="4"/>
  <c r="BL254" i="4"/>
  <c r="BJ254" i="4"/>
  <c r="BI254" i="4"/>
  <c r="BH254" i="4"/>
  <c r="BG254" i="4"/>
  <c r="BF254" i="4"/>
  <c r="BE254" i="4"/>
  <c r="BD254" i="4"/>
  <c r="BC254" i="4"/>
  <c r="BB254" i="4"/>
  <c r="BA254" i="4"/>
  <c r="CT252" i="4"/>
  <c r="CS252" i="4"/>
  <c r="CR252" i="4"/>
  <c r="CQ252" i="4"/>
  <c r="CC252" i="4"/>
  <c r="CA252" i="4"/>
  <c r="BY252" i="4"/>
  <c r="BX252" i="4"/>
  <c r="BV252" i="4"/>
  <c r="BU252" i="4"/>
  <c r="BS252" i="4"/>
  <c r="BR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AK236" i="4"/>
  <c r="AK265" i="4" s="1"/>
  <c r="Z236" i="4"/>
  <c r="AY236" i="4"/>
  <c r="AX236" i="4"/>
  <c r="AW236" i="4"/>
  <c r="AV236" i="4"/>
  <c r="AU236" i="4"/>
  <c r="AT236" i="4"/>
  <c r="AS236" i="4"/>
  <c r="AR236" i="4"/>
  <c r="AQ236" i="4"/>
  <c r="AP236" i="4"/>
  <c r="AP265" i="4" s="1"/>
  <c r="AO236" i="4"/>
  <c r="AN236" i="4"/>
  <c r="AM236" i="4"/>
  <c r="CA236" i="4"/>
  <c r="BY236" i="4"/>
  <c r="BY265" i="4" s="1"/>
  <c r="BX236" i="4"/>
  <c r="BV236" i="4"/>
  <c r="BV265" i="4" s="1"/>
  <c r="BU236" i="4"/>
  <c r="BS236" i="4"/>
  <c r="BS265" i="4" s="1"/>
  <c r="BR236" i="4"/>
  <c r="BP236" i="4"/>
  <c r="BO236" i="4"/>
  <c r="BN236" i="4"/>
  <c r="BN265" i="4" s="1"/>
  <c r="BM236" i="4"/>
  <c r="BL236" i="4"/>
  <c r="BK236" i="4"/>
  <c r="BJ236" i="4"/>
  <c r="BI236" i="4"/>
  <c r="BI265" i="4" s="1"/>
  <c r="BI374" i="4" s="1"/>
  <c r="BH236" i="4"/>
  <c r="BG236" i="4"/>
  <c r="BF236" i="4"/>
  <c r="BE236" i="4"/>
  <c r="BD236" i="4"/>
  <c r="BD265" i="4" s="1"/>
  <c r="BC236" i="4"/>
  <c r="BB236" i="4"/>
  <c r="BA236" i="4"/>
  <c r="BA265" i="4" s="1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BB171" i="4"/>
  <c r="CA171" i="4"/>
  <c r="BY171" i="4"/>
  <c r="BX171" i="4"/>
  <c r="BV171" i="4"/>
  <c r="BV234" i="4" s="1"/>
  <c r="BU171" i="4"/>
  <c r="BS171" i="4"/>
  <c r="BR171" i="4"/>
  <c r="BP171" i="4"/>
  <c r="BO171" i="4"/>
  <c r="BN171" i="4"/>
  <c r="BM171" i="4"/>
  <c r="BL171" i="4"/>
  <c r="BK171" i="4"/>
  <c r="BJ171" i="4"/>
  <c r="BH171" i="4"/>
  <c r="BF171" i="4"/>
  <c r="BD171" i="4"/>
  <c r="BA171" i="4"/>
  <c r="BA234" i="4" s="1"/>
  <c r="AK171" i="4"/>
  <c r="AK234" i="4" s="1"/>
  <c r="AD171" i="4"/>
  <c r="AC171" i="4"/>
  <c r="AB171" i="4"/>
  <c r="AA171" i="4"/>
  <c r="Z171" i="4"/>
  <c r="AY171" i="4"/>
  <c r="AX171" i="4"/>
  <c r="AW171" i="4"/>
  <c r="AV171" i="4"/>
  <c r="AU171" i="4"/>
  <c r="AT171" i="4"/>
  <c r="AS171" i="4"/>
  <c r="AR171" i="4"/>
  <c r="AQ171" i="4"/>
  <c r="AP171" i="4"/>
  <c r="AO171" i="4"/>
  <c r="AO234" i="4" s="1"/>
  <c r="AO368" i="4" s="1"/>
  <c r="AN171" i="4"/>
  <c r="AM171" i="4"/>
  <c r="AK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BY121" i="4"/>
  <c r="BV121" i="4"/>
  <c r="BS121" i="4"/>
  <c r="BP121" i="4"/>
  <c r="BN121" i="4"/>
  <c r="BL121" i="4"/>
  <c r="BJ121" i="4"/>
  <c r="BF121" i="4"/>
  <c r="BD121" i="4"/>
  <c r="BB121" i="4"/>
  <c r="BA121" i="4"/>
  <c r="AK83" i="4"/>
  <c r="AY83" i="4"/>
  <c r="AK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K7" i="4"/>
  <c r="BY7" i="4"/>
  <c r="BV7" i="4"/>
  <c r="BS7" i="4"/>
  <c r="BP7" i="4"/>
  <c r="BN7" i="4"/>
  <c r="BJ7" i="4"/>
  <c r="BH7" i="4"/>
  <c r="BF7" i="4"/>
  <c r="BD7" i="4"/>
  <c r="BB7" i="4"/>
  <c r="CA72" i="4"/>
  <c r="BY72" i="4"/>
  <c r="BX72" i="4"/>
  <c r="BV72" i="4"/>
  <c r="BU72" i="4"/>
  <c r="BS72" i="4"/>
  <c r="BR72" i="4"/>
  <c r="BP72" i="4"/>
  <c r="BO72" i="4"/>
  <c r="BN72" i="4"/>
  <c r="BM72" i="4"/>
  <c r="BK72" i="4"/>
  <c r="BJ72" i="4"/>
  <c r="BI72" i="4"/>
  <c r="BH72" i="4"/>
  <c r="BG72" i="4"/>
  <c r="BF72" i="4"/>
  <c r="BE72" i="4"/>
  <c r="BD72" i="4"/>
  <c r="BC72" i="4"/>
  <c r="BB72" i="4"/>
  <c r="BY83" i="4"/>
  <c r="BV83" i="4"/>
  <c r="BS83" i="4"/>
  <c r="BS119" i="4" s="1"/>
  <c r="BP83" i="4"/>
  <c r="BN83" i="4"/>
  <c r="BL83" i="4"/>
  <c r="BJ83" i="4"/>
  <c r="BI83" i="4"/>
  <c r="BH83" i="4"/>
  <c r="BG83" i="4"/>
  <c r="BF83" i="4"/>
  <c r="BF119" i="4" s="1"/>
  <c r="BE83" i="4"/>
  <c r="BD83" i="4"/>
  <c r="BC83" i="4"/>
  <c r="BB83" i="4"/>
  <c r="BA83" i="4"/>
  <c r="BA7" i="4"/>
  <c r="BA72" i="4"/>
  <c r="AX701" i="3"/>
  <c r="AX594" i="3"/>
  <c r="AX595" i="3"/>
  <c r="AX611" i="3"/>
  <c r="AX612" i="3"/>
  <c r="AX613" i="3"/>
  <c r="AX614" i="3"/>
  <c r="AX615" i="3"/>
  <c r="AX616" i="3"/>
  <c r="AX617" i="3"/>
  <c r="AX618" i="3"/>
  <c r="AX619" i="3"/>
  <c r="AX454" i="3"/>
  <c r="AX538" i="3"/>
  <c r="AX566" i="3"/>
  <c r="AX578" i="3"/>
  <c r="AX580" i="3"/>
  <c r="BC265" i="4"/>
  <c r="H10" i="80" s="1"/>
  <c r="BR833" i="3"/>
  <c r="GP17" i="80"/>
  <c r="GO17" i="80" s="1"/>
  <c r="DQ820" i="3"/>
  <c r="BZ295" i="3"/>
  <c r="BY295" i="3"/>
  <c r="FM18" i="80"/>
  <c r="FL18" i="80" s="1"/>
  <c r="BP761" i="3"/>
  <c r="IF19" i="80" s="1"/>
  <c r="IE19" i="80" s="1"/>
  <c r="BY288" i="4"/>
  <c r="BX7" i="80" s="1"/>
  <c r="Z265" i="4"/>
  <c r="BN288" i="4"/>
  <c r="BM7" i="80" s="1"/>
  <c r="CZ810" i="3"/>
  <c r="DJ810" i="3"/>
  <c r="IV10" i="80"/>
  <c r="BO7" i="80"/>
  <c r="AA334" i="4"/>
  <c r="BQ810" i="3"/>
  <c r="IH20" i="80" s="1"/>
  <c r="IH30" i="80" s="1"/>
  <c r="BY810" i="3"/>
  <c r="JA20" i="80" s="1"/>
  <c r="JA30" i="80" s="1"/>
  <c r="BR655" i="3"/>
  <c r="IJ18" i="80"/>
  <c r="II18" i="80" s="1"/>
  <c r="BS761" i="3"/>
  <c r="IL19" i="80" s="1"/>
  <c r="BR810" i="3"/>
  <c r="IJ20" i="80"/>
  <c r="BZ810" i="3"/>
  <c r="BZ917" i="3" s="1"/>
  <c r="AY265" i="4"/>
  <c r="BK234" i="4"/>
  <c r="AU308" i="4"/>
  <c r="BB10" i="80"/>
  <c r="AV334" i="4"/>
  <c r="AX265" i="4"/>
  <c r="BJ234" i="4"/>
  <c r="AC58" i="57"/>
  <c r="ES10" i="80"/>
  <c r="CY833" i="3"/>
  <c r="GQ7" i="80"/>
  <c r="CP891" i="3"/>
  <c r="GH10" i="80"/>
  <c r="BB308" i="4"/>
  <c r="AN308" i="4"/>
  <c r="AV308" i="4"/>
  <c r="AK308" i="4"/>
  <c r="AW334" i="4"/>
  <c r="AD334" i="4"/>
  <c r="BJ20" i="80"/>
  <c r="CQ833" i="3"/>
  <c r="GI7" i="80"/>
  <c r="DH833" i="3"/>
  <c r="GZ7" i="80"/>
  <c r="BL10" i="80"/>
  <c r="BZ916" i="3"/>
  <c r="BS810" i="3"/>
  <c r="IL20" i="80"/>
  <c r="IL30" i="80" s="1"/>
  <c r="CR810" i="3"/>
  <c r="ID10" i="80" s="1"/>
  <c r="BF288" i="4"/>
  <c r="BE7" i="80" s="1"/>
  <c r="BY308" i="4"/>
  <c r="BX9" i="80" s="1"/>
  <c r="BN308" i="4"/>
  <c r="BM9" i="80" s="1"/>
  <c r="BF308" i="4"/>
  <c r="BE9" i="80" s="1"/>
  <c r="AE58" i="57"/>
  <c r="BZ833" i="3"/>
  <c r="AM334" i="4"/>
  <c r="AM375" i="4" s="1"/>
  <c r="AB334" i="4"/>
  <c r="BF20" i="80" s="1"/>
  <c r="AJ334" i="4"/>
  <c r="BY10" i="80" s="1"/>
  <c r="BX20" i="80" s="1"/>
  <c r="BY20" i="80" s="1"/>
  <c r="BG265" i="4"/>
  <c r="AT265" i="4"/>
  <c r="BJ334" i="4"/>
  <c r="BI10" i="80" s="1"/>
  <c r="BS334" i="4"/>
  <c r="BR10" i="80" s="1"/>
  <c r="BD234" i="4"/>
  <c r="I9" i="80"/>
  <c r="BH265" i="4"/>
  <c r="M10" i="80" s="1"/>
  <c r="AM265" i="4"/>
  <c r="AU265" i="4"/>
  <c r="AU374" i="4" s="1"/>
  <c r="BU655" i="3"/>
  <c r="IP18" i="80"/>
  <c r="BN761" i="3"/>
  <c r="IB19" i="80" s="1"/>
  <c r="BV761" i="3"/>
  <c r="IR19" i="80"/>
  <c r="IR29" i="80" s="1"/>
  <c r="BO810" i="3"/>
  <c r="ID20" i="80" s="1"/>
  <c r="IC20" i="80" s="1"/>
  <c r="BW810" i="3"/>
  <c r="IU20" i="80" s="1"/>
  <c r="IU30" i="80" s="1"/>
  <c r="BP853" i="3"/>
  <c r="GL19" i="80" s="1"/>
  <c r="GK19" i="80" s="1"/>
  <c r="BX853" i="3"/>
  <c r="HD19" i="80"/>
  <c r="AA9" i="80"/>
  <c r="CA234" i="4"/>
  <c r="AF9" i="80"/>
  <c r="AQ308" i="4"/>
  <c r="BP810" i="3"/>
  <c r="IF20" i="80" s="1"/>
  <c r="IE20" i="80" s="1"/>
  <c r="BX810" i="3"/>
  <c r="IX20" i="80" s="1"/>
  <c r="AY288" i="4"/>
  <c r="BG7" i="80"/>
  <c r="BL234" i="4"/>
  <c r="BA288" i="4"/>
  <c r="AZ7" i="80" s="1"/>
  <c r="AS308" i="4"/>
  <c r="CU240" i="3"/>
  <c r="ES7" i="80" s="1"/>
  <c r="BP655" i="3"/>
  <c r="IF18" i="80"/>
  <c r="IE18" i="80" s="1"/>
  <c r="BX655" i="3"/>
  <c r="IX18" i="80" s="1"/>
  <c r="BQ761" i="3"/>
  <c r="IH19" i="80" s="1"/>
  <c r="IH29" i="80" s="1"/>
  <c r="BY761" i="3"/>
  <c r="JA19" i="80" s="1"/>
  <c r="JA29" i="80" s="1"/>
  <c r="BS853" i="3"/>
  <c r="GR19" i="80"/>
  <c r="GR29" i="80" s="1"/>
  <c r="AK119" i="4"/>
  <c r="I10" i="80"/>
  <c r="BL265" i="4"/>
  <c r="Q10" i="80"/>
  <c r="AA10" i="80"/>
  <c r="AT308" i="4"/>
  <c r="BQ655" i="3"/>
  <c r="IH18" i="80" s="1"/>
  <c r="IG18" i="80" s="1"/>
  <c r="BY655" i="3"/>
  <c r="JA18" i="80"/>
  <c r="JB18" i="80" s="1"/>
  <c r="BR761" i="3"/>
  <c r="IJ19" i="80"/>
  <c r="BZ761" i="3"/>
  <c r="BZ911" i="3"/>
  <c r="BT853" i="3"/>
  <c r="GT19" i="80" s="1"/>
  <c r="GT29" i="80" s="1"/>
  <c r="AS234" i="4"/>
  <c r="AM234" i="4"/>
  <c r="AM368" i="4" s="1"/>
  <c r="AU234" i="4"/>
  <c r="BH234" i="4"/>
  <c r="M9" i="80" s="1"/>
  <c r="BP234" i="4"/>
  <c r="AP234" i="4"/>
  <c r="BT810" i="3"/>
  <c r="IN20" i="80"/>
  <c r="IM20" i="80" s="1"/>
  <c r="BU853" i="3"/>
  <c r="GV19" i="80"/>
  <c r="BT761" i="3"/>
  <c r="IN19" i="80"/>
  <c r="IM19" i="80" s="1"/>
  <c r="BN655" i="3"/>
  <c r="IB18" i="80"/>
  <c r="BV655" i="3"/>
  <c r="IR18" i="80"/>
  <c r="IS18" i="80" s="1"/>
  <c r="BO761" i="3"/>
  <c r="ID19" i="80"/>
  <c r="IC19" i="80" s="1"/>
  <c r="BW761" i="3"/>
  <c r="IU19" i="80" s="1"/>
  <c r="IU29" i="80" s="1"/>
  <c r="BQ853" i="3"/>
  <c r="GN19" i="80"/>
  <c r="BY853" i="3"/>
  <c r="HG19" i="80" s="1"/>
  <c r="BZ655" i="3"/>
  <c r="BZ905" i="3"/>
  <c r="BO655" i="3"/>
  <c r="ID18" i="80" s="1"/>
  <c r="IC18" i="80" s="1"/>
  <c r="BX761" i="3"/>
  <c r="IX19" i="80" s="1"/>
  <c r="IW19" i="80" s="1"/>
  <c r="BS655" i="3"/>
  <c r="IL18" i="80"/>
  <c r="BU810" i="3"/>
  <c r="IP20" i="80"/>
  <c r="BT655" i="3"/>
  <c r="IN18" i="80"/>
  <c r="IM18" i="80" s="1"/>
  <c r="BU761" i="3"/>
  <c r="IP19" i="80" s="1"/>
  <c r="IP29" i="80" s="1"/>
  <c r="BN810" i="3"/>
  <c r="IB20" i="80"/>
  <c r="BV810" i="3"/>
  <c r="IR20" i="80"/>
  <c r="IS20" i="80" s="1"/>
  <c r="CP833" i="3"/>
  <c r="GH7" i="80"/>
  <c r="CX833" i="3"/>
  <c r="BW655" i="3"/>
  <c r="IU18" i="80" s="1"/>
  <c r="IT18" i="80" s="1"/>
  <c r="BR853" i="3"/>
  <c r="GP19" i="80" s="1"/>
  <c r="GO19" i="80" s="1"/>
  <c r="BZ853" i="3"/>
  <c r="BZ912" i="3" s="1"/>
  <c r="BZ891" i="3"/>
  <c r="BZ918" i="3" s="1"/>
  <c r="BZ919" i="3" s="1"/>
  <c r="BS624" i="3"/>
  <c r="IL17" i="80" s="1"/>
  <c r="BT624" i="3"/>
  <c r="IN17" i="80" s="1"/>
  <c r="IM17" i="80" s="1"/>
  <c r="CP853" i="3"/>
  <c r="GH9" i="80" s="1"/>
  <c r="BU833" i="3"/>
  <c r="GV17" i="80"/>
  <c r="BU624" i="3"/>
  <c r="IP17" i="80" s="1"/>
  <c r="IO17" i="80" s="1"/>
  <c r="BN833" i="3"/>
  <c r="GH17" i="80" s="1"/>
  <c r="GH27" i="80" s="1"/>
  <c r="BV833" i="3"/>
  <c r="GX17" i="80" s="1"/>
  <c r="GW17" i="80" s="1"/>
  <c r="CS833" i="3"/>
  <c r="GK7" i="80"/>
  <c r="DA833" i="3"/>
  <c r="GS7" i="80" s="1"/>
  <c r="DK833" i="3"/>
  <c r="HC7" i="80"/>
  <c r="BN624" i="3"/>
  <c r="IB17" i="80" s="1"/>
  <c r="BV624" i="3"/>
  <c r="IR17" i="80"/>
  <c r="BO833" i="3"/>
  <c r="GJ17" i="80" s="1"/>
  <c r="GI17" i="80" s="1"/>
  <c r="BO624" i="3"/>
  <c r="ID17" i="80" s="1"/>
  <c r="BW624" i="3"/>
  <c r="IU17" i="80" s="1"/>
  <c r="IT17" i="80" s="1"/>
  <c r="BN853" i="3"/>
  <c r="GH19" i="80" s="1"/>
  <c r="GH29" i="80" s="1"/>
  <c r="BV853" i="3"/>
  <c r="GX19" i="80" s="1"/>
  <c r="BP833" i="3"/>
  <c r="GL17" i="80" s="1"/>
  <c r="BX833" i="3"/>
  <c r="HD17" i="80" s="1"/>
  <c r="DC833" i="3"/>
  <c r="GU7" i="80"/>
  <c r="DN833" i="3"/>
  <c r="HF7" i="80" s="1"/>
  <c r="BZ910" i="3"/>
  <c r="BZ913" i="3" s="1"/>
  <c r="BP624" i="3"/>
  <c r="IF17" i="80"/>
  <c r="BX624" i="3"/>
  <c r="IX17" i="80"/>
  <c r="IW17" i="80" s="1"/>
  <c r="BO853" i="3"/>
  <c r="GJ19" i="80"/>
  <c r="GI19" i="80" s="1"/>
  <c r="BW853" i="3"/>
  <c r="HA19" i="80" s="1"/>
  <c r="GZ19" i="80" s="1"/>
  <c r="CV833" i="3"/>
  <c r="BQ624" i="3"/>
  <c r="IH17" i="80"/>
  <c r="IH21" i="80" s="1"/>
  <c r="BY624" i="3"/>
  <c r="JA17" i="80" s="1"/>
  <c r="JA21" i="80" s="1"/>
  <c r="CW833" i="3"/>
  <c r="GO7" i="80"/>
  <c r="DE833" i="3"/>
  <c r="EW7" i="78" s="1"/>
  <c r="BR624" i="3"/>
  <c r="IJ17" i="80"/>
  <c r="IJ21" i="80" s="1"/>
  <c r="BZ624" i="3"/>
  <c r="BZ899" i="3" s="1"/>
  <c r="BZ923" i="3" s="1"/>
  <c r="BS833" i="3"/>
  <c r="GR17" i="80"/>
  <c r="GR27" i="80" s="1"/>
  <c r="CZ833" i="3"/>
  <c r="BT833" i="3"/>
  <c r="GT17" i="80" s="1"/>
  <c r="CU833" i="3"/>
  <c r="GM7" i="80" s="1"/>
  <c r="DD833" i="3"/>
  <c r="DP833" i="3"/>
  <c r="HH7" i="80"/>
  <c r="BW833" i="3"/>
  <c r="HA17" i="80" s="1"/>
  <c r="GZ17" i="80" s="1"/>
  <c r="DN853" i="3"/>
  <c r="HF9" i="80" s="1"/>
  <c r="CQ891" i="3"/>
  <c r="GI10" i="80"/>
  <c r="CY891" i="3"/>
  <c r="GQ10" i="80"/>
  <c r="DH891" i="3"/>
  <c r="GZ10" i="80" s="1"/>
  <c r="CY853" i="3"/>
  <c r="GQ9" i="80"/>
  <c r="CQ655" i="3"/>
  <c r="IC8" i="80"/>
  <c r="CW853" i="3"/>
  <c r="GO9" i="80" s="1"/>
  <c r="DK853" i="3"/>
  <c r="HC9" i="80" s="1"/>
  <c r="CP440" i="3"/>
  <c r="EN10" i="80" s="1"/>
  <c r="DD624" i="3"/>
  <c r="DP624" i="3"/>
  <c r="JB7" i="80"/>
  <c r="CX655" i="3"/>
  <c r="CS853" i="3"/>
  <c r="GK9" i="80" s="1"/>
  <c r="DE853" i="3"/>
  <c r="GW9" i="80" s="1"/>
  <c r="CQ853" i="3"/>
  <c r="GI9" i="80" s="1"/>
  <c r="DH853" i="3"/>
  <c r="GZ9" i="80" s="1"/>
  <c r="GZ29" i="80" s="1"/>
  <c r="CU295" i="3"/>
  <c r="ES8" i="80" s="1"/>
  <c r="CR440" i="3"/>
  <c r="EP10" i="80"/>
  <c r="DD440" i="3"/>
  <c r="DN624" i="3"/>
  <c r="IZ7" i="80"/>
  <c r="CU655" i="3"/>
  <c r="IG8" i="80" s="1"/>
  <c r="CN440" i="3"/>
  <c r="CW891" i="3"/>
  <c r="GO10" i="80"/>
  <c r="DJ891" i="3"/>
  <c r="HB10" i="80" s="1"/>
  <c r="CT810" i="3"/>
  <c r="IF10" i="80" s="1"/>
  <c r="IF30" i="80" s="1"/>
  <c r="DN295" i="3"/>
  <c r="FL8" i="80"/>
  <c r="CT853" i="3"/>
  <c r="GL9" i="80" s="1"/>
  <c r="GL29" i="80" s="1"/>
  <c r="DG853" i="3"/>
  <c r="GY9" i="80" s="1"/>
  <c r="CQ240" i="3"/>
  <c r="EO7" i="80"/>
  <c r="CQ761" i="3"/>
  <c r="IC9" i="80"/>
  <c r="IC29" i="80" s="1"/>
  <c r="DJ761" i="3"/>
  <c r="IV9" i="80" s="1"/>
  <c r="CU853" i="3"/>
  <c r="CQ409" i="3"/>
  <c r="EO9" i="80" s="1"/>
  <c r="CT891" i="3"/>
  <c r="GL10" i="80" s="1"/>
  <c r="DC295" i="3"/>
  <c r="FA8" i="80" s="1"/>
  <c r="DB761" i="3"/>
  <c r="DM761" i="3"/>
  <c r="IY9" i="80"/>
  <c r="CP810" i="3"/>
  <c r="IB10" i="80"/>
  <c r="IB30" i="80" s="1"/>
  <c r="CX810" i="3"/>
  <c r="CV853" i="3"/>
  <c r="DJ853" i="3"/>
  <c r="HB9" i="80" s="1"/>
  <c r="BU295" i="3"/>
  <c r="FB18" i="80"/>
  <c r="FA18" i="80" s="1"/>
  <c r="CQ810" i="3"/>
  <c r="IC10" i="80"/>
  <c r="CY810" i="3"/>
  <c r="IK10" i="80" s="1"/>
  <c r="DC853" i="3"/>
  <c r="GU9" i="80" s="1"/>
  <c r="CP295" i="3"/>
  <c r="EN8" i="80" s="1"/>
  <c r="DN409" i="3"/>
  <c r="FL9" i="80" s="1"/>
  <c r="CW440" i="3"/>
  <c r="EU10" i="80" s="1"/>
  <c r="DE440" i="3"/>
  <c r="FC10" i="80" s="1"/>
  <c r="CX440" i="3"/>
  <c r="DG440" i="3"/>
  <c r="FE10" i="80"/>
  <c r="CZ440" i="3"/>
  <c r="DN655" i="3"/>
  <c r="IZ8" i="80" s="1"/>
  <c r="DA853" i="3"/>
  <c r="GS9" i="80" s="1"/>
  <c r="DP853" i="3"/>
  <c r="HH9" i="80" s="1"/>
  <c r="CV624" i="3"/>
  <c r="CD295" i="3"/>
  <c r="CL295" i="3"/>
  <c r="CX891" i="3"/>
  <c r="DG891" i="3"/>
  <c r="EY10" i="78" s="1"/>
  <c r="CS440" i="3"/>
  <c r="EQ10" i="80" s="1"/>
  <c r="DB440" i="3"/>
  <c r="DM440" i="3"/>
  <c r="FK10" i="80" s="1"/>
  <c r="CV440" i="3"/>
  <c r="DP440" i="3"/>
  <c r="FN10" i="80" s="1"/>
  <c r="DJ440" i="3"/>
  <c r="FH10" i="80" s="1"/>
  <c r="DH624" i="3"/>
  <c r="IT7" i="80" s="1"/>
  <c r="DC655" i="3"/>
  <c r="IO8" i="80" s="1"/>
  <c r="CR761" i="3"/>
  <c r="ID9" i="80"/>
  <c r="DA761" i="3"/>
  <c r="IM9" i="80" s="1"/>
  <c r="CQ295" i="3"/>
  <c r="EO8" i="80" s="1"/>
  <c r="DK295" i="3"/>
  <c r="FI8" i="80" s="1"/>
  <c r="CU624" i="3"/>
  <c r="IG7" i="80"/>
  <c r="CP655" i="3"/>
  <c r="IB8" i="80" s="1"/>
  <c r="CY655" i="3"/>
  <c r="IK8" i="80"/>
  <c r="CP761" i="3"/>
  <c r="IB9" i="80" s="1"/>
  <c r="DH761" i="3"/>
  <c r="IT9" i="80"/>
  <c r="CW810" i="3"/>
  <c r="II10" i="80" s="1"/>
  <c r="CV891" i="3"/>
  <c r="CN240" i="3"/>
  <c r="CI295" i="3"/>
  <c r="BP295" i="3"/>
  <c r="ER18" i="80"/>
  <c r="EQ18" i="80" s="1"/>
  <c r="BX295" i="3"/>
  <c r="FJ18" i="80" s="1"/>
  <c r="FJ28" i="80" s="1"/>
  <c r="CG295" i="3"/>
  <c r="BN295" i="3"/>
  <c r="EN18" i="80" s="1"/>
  <c r="BV295" i="3"/>
  <c r="FD18" i="80"/>
  <c r="FC18" i="80" s="1"/>
  <c r="CN409" i="3"/>
  <c r="DE655" i="3"/>
  <c r="IQ8" i="80" s="1"/>
  <c r="CV761" i="3"/>
  <c r="DE891" i="3"/>
  <c r="GW10" i="80"/>
  <c r="DC409" i="3"/>
  <c r="FA9" i="80"/>
  <c r="CR655" i="3"/>
  <c r="ID8" i="80" s="1"/>
  <c r="ID28" i="80" s="1"/>
  <c r="CU409" i="3"/>
  <c r="ES9" i="80"/>
  <c r="DH810" i="3"/>
  <c r="IT10" i="80" s="1"/>
  <c r="CY440" i="3"/>
  <c r="EW10" i="80" s="1"/>
  <c r="DH440" i="3"/>
  <c r="FF10" i="80" s="1"/>
  <c r="DK655" i="3"/>
  <c r="IW8" i="80" s="1"/>
  <c r="CS761" i="3"/>
  <c r="IE9" i="80" s="1"/>
  <c r="DE761" i="3"/>
  <c r="IQ9" i="80" s="1"/>
  <c r="DN891" i="3"/>
  <c r="HF10" i="80" s="1"/>
  <c r="BS295" i="3"/>
  <c r="EX18" i="80"/>
  <c r="CB295" i="3"/>
  <c r="CJ295" i="3"/>
  <c r="BQ295" i="3"/>
  <c r="ET18" i="80"/>
  <c r="ET28" i="80" s="1"/>
  <c r="CQ440" i="3"/>
  <c r="EO10" i="80" s="1"/>
  <c r="CQ624" i="3"/>
  <c r="IC7" i="80" s="1"/>
  <c r="CY624" i="3"/>
  <c r="IK7" i="80" s="1"/>
  <c r="DH655" i="3"/>
  <c r="IT8" i="80" s="1"/>
  <c r="CW655" i="3"/>
  <c r="II8" i="80" s="1"/>
  <c r="DC761" i="3"/>
  <c r="IO9" i="80" s="1"/>
  <c r="JE9" i="80" s="1"/>
  <c r="DN761" i="3"/>
  <c r="IZ9" i="80" s="1"/>
  <c r="CW761" i="3"/>
  <c r="II9" i="80"/>
  <c r="CR891" i="3"/>
  <c r="GJ10" i="80" s="1"/>
  <c r="CE295" i="3"/>
  <c r="CM295" i="3"/>
  <c r="BT295" i="3"/>
  <c r="EZ18" i="80" s="1"/>
  <c r="EY18" i="80" s="1"/>
  <c r="CC295" i="3"/>
  <c r="CK295" i="3"/>
  <c r="BR295" i="3"/>
  <c r="EV18" i="80" s="1"/>
  <c r="BZ904" i="3"/>
  <c r="BZ907" i="3" s="1"/>
  <c r="CP409" i="3"/>
  <c r="CY409" i="3"/>
  <c r="EW9" i="80"/>
  <c r="DH409" i="3"/>
  <c r="FF9" i="80"/>
  <c r="DA440" i="3"/>
  <c r="EY10" i="80"/>
  <c r="DK440" i="3"/>
  <c r="CR624" i="3"/>
  <c r="ID7" i="80"/>
  <c r="ID27" i="80" s="1"/>
  <c r="DJ624" i="3"/>
  <c r="IV7" i="80"/>
  <c r="CU761" i="3"/>
  <c r="IG9" i="80"/>
  <c r="CR853" i="3"/>
  <c r="GJ9" i="80" s="1"/>
  <c r="GJ29" i="80" s="1"/>
  <c r="CS891" i="3"/>
  <c r="GK10" i="80"/>
  <c r="DA891" i="3"/>
  <c r="GS10" i="80" s="1"/>
  <c r="DK891" i="3"/>
  <c r="HC10" i="80" s="1"/>
  <c r="DC891" i="3"/>
  <c r="GU10" i="80" s="1"/>
  <c r="DH295" i="3"/>
  <c r="FF8" i="80" s="1"/>
  <c r="DC440" i="3"/>
  <c r="FA10" i="80" s="1"/>
  <c r="DN440" i="3"/>
  <c r="FL10" i="80" s="1"/>
  <c r="DA655" i="3"/>
  <c r="IM8" i="80" s="1"/>
  <c r="DG761" i="3"/>
  <c r="IS9" i="80"/>
  <c r="DK761" i="3"/>
  <c r="IW9" i="80" s="1"/>
  <c r="DD761" i="3"/>
  <c r="DP761" i="3"/>
  <c r="JB9" i="80"/>
  <c r="CU891" i="3"/>
  <c r="GM10" i="80"/>
  <c r="CH295" i="3"/>
  <c r="BO295" i="3"/>
  <c r="EP18" i="80" s="1"/>
  <c r="EO18" i="80"/>
  <c r="BW295" i="3"/>
  <c r="FG18" i="80" s="1"/>
  <c r="CF295" i="3"/>
  <c r="CN295" i="3"/>
  <c r="CW240" i="3"/>
  <c r="EU7" i="80" s="1"/>
  <c r="DE240" i="3"/>
  <c r="FC7" i="80"/>
  <c r="CW295" i="3"/>
  <c r="EU8" i="80" s="1"/>
  <c r="DE295" i="3"/>
  <c r="FC8" i="80"/>
  <c r="CS409" i="3"/>
  <c r="EQ9" i="80" s="1"/>
  <c r="DB409" i="3"/>
  <c r="CW624" i="3"/>
  <c r="II7" i="80" s="1"/>
  <c r="II11" i="80" s="1"/>
  <c r="DE624" i="3"/>
  <c r="IQ7" i="80" s="1"/>
  <c r="CS655" i="3"/>
  <c r="IE8" i="80" s="1"/>
  <c r="IE28" i="80" s="1"/>
  <c r="CT409" i="3"/>
  <c r="ER9" i="80"/>
  <c r="CP624" i="3"/>
  <c r="CX624" i="3"/>
  <c r="DG624" i="3"/>
  <c r="IS7" i="80" s="1"/>
  <c r="DD409" i="3"/>
  <c r="CV409" i="3"/>
  <c r="DE409" i="3"/>
  <c r="FC9" i="80" s="1"/>
  <c r="DH240" i="3"/>
  <c r="FF7" i="80" s="1"/>
  <c r="CS240" i="3"/>
  <c r="EQ7" i="80"/>
  <c r="DA240" i="3"/>
  <c r="EY7" i="80" s="1"/>
  <c r="DK240" i="3"/>
  <c r="FI7" i="80" s="1"/>
  <c r="CS295" i="3"/>
  <c r="EQ8" i="80" s="1"/>
  <c r="DA295" i="3"/>
  <c r="EY8" i="80" s="1"/>
  <c r="FQ8" i="80" s="1"/>
  <c r="CX409" i="3"/>
  <c r="DG409" i="3"/>
  <c r="FE9" i="80"/>
  <c r="CS624" i="3"/>
  <c r="IE7" i="80" s="1"/>
  <c r="DA624" i="3"/>
  <c r="IM7" i="80"/>
  <c r="IM27" i="80" s="1"/>
  <c r="DK624" i="3"/>
  <c r="IW7" i="80" s="1"/>
  <c r="CT624" i="3"/>
  <c r="IF7" i="80"/>
  <c r="IF27" i="80" s="1"/>
  <c r="DB624" i="3"/>
  <c r="DM624" i="3"/>
  <c r="IY7" i="80" s="1"/>
  <c r="DC240" i="3"/>
  <c r="DN7" i="78" s="1"/>
  <c r="DN240" i="3"/>
  <c r="FL7" i="80" s="1"/>
  <c r="CZ409" i="3"/>
  <c r="DJ409" i="3"/>
  <c r="FH9" i="80" s="1"/>
  <c r="CR409" i="3"/>
  <c r="EP9" i="80"/>
  <c r="DA409" i="3"/>
  <c r="EY9" i="80"/>
  <c r="DK409" i="3"/>
  <c r="FI9" i="80" s="1"/>
  <c r="DC810" i="3"/>
  <c r="IO10" i="80" s="1"/>
  <c r="DN810" i="3"/>
  <c r="IZ10" i="80" s="1"/>
  <c r="DG810" i="3"/>
  <c r="GF10" i="78" s="1"/>
  <c r="CS810" i="3"/>
  <c r="IE10" i="80" s="1"/>
  <c r="DA810" i="3"/>
  <c r="IM10" i="80" s="1"/>
  <c r="DK810" i="3"/>
  <c r="IW10" i="80" s="1"/>
  <c r="DB810" i="3"/>
  <c r="DM810" i="3"/>
  <c r="IY10" i="80" s="1"/>
  <c r="DE810" i="3"/>
  <c r="IQ10" i="80"/>
  <c r="CP240" i="3"/>
  <c r="EN7" i="80"/>
  <c r="FO7" i="80" s="1"/>
  <c r="CU810" i="3"/>
  <c r="IG10" i="80"/>
  <c r="JD10" i="80" s="1"/>
  <c r="CV810" i="3"/>
  <c r="DD810" i="3"/>
  <c r="DP810" i="3"/>
  <c r="JB10" i="80"/>
  <c r="BN334" i="4"/>
  <c r="BM10" i="80" s="1"/>
  <c r="BN119" i="4"/>
  <c r="BD119" i="4"/>
  <c r="I7" i="78" s="1"/>
  <c r="ID29" i="80"/>
  <c r="FQ9" i="80"/>
  <c r="EU18" i="80"/>
  <c r="EV28" i="80"/>
  <c r="IE17" i="80"/>
  <c r="IE21" i="80" s="1"/>
  <c r="IV17" i="80"/>
  <c r="IV27" i="80" s="1"/>
  <c r="IU27" i="80"/>
  <c r="IT27" i="80"/>
  <c r="IU21" i="80"/>
  <c r="JF17" i="80"/>
  <c r="GX27" i="80"/>
  <c r="GY17" i="80"/>
  <c r="IV19" i="80"/>
  <c r="IV29" i="80" s="1"/>
  <c r="JF19" i="80"/>
  <c r="IT19" i="80"/>
  <c r="HC19" i="80"/>
  <c r="HE19" i="80"/>
  <c r="HD29" i="80"/>
  <c r="GI11" i="80"/>
  <c r="IL29" i="80"/>
  <c r="IK19" i="80"/>
  <c r="FO8" i="80"/>
  <c r="IC17" i="80"/>
  <c r="GP29" i="80"/>
  <c r="IO20" i="80"/>
  <c r="IP30" i="80"/>
  <c r="GQ19" i="80"/>
  <c r="GQ29" i="80" s="1"/>
  <c r="GQ11" i="80"/>
  <c r="II28" i="80"/>
  <c r="IJ28" i="80"/>
  <c r="ID11" i="80"/>
  <c r="FD28" i="80"/>
  <c r="FE18" i="80"/>
  <c r="FC28" i="80"/>
  <c r="IM11" i="80"/>
  <c r="EW18" i="80"/>
  <c r="EX28" i="80"/>
  <c r="FO18" i="80"/>
  <c r="JD8" i="80"/>
  <c r="JB17" i="80"/>
  <c r="JB27" i="80" s="1"/>
  <c r="IZ17" i="80"/>
  <c r="IZ27" i="80" s="1"/>
  <c r="IP27" i="80"/>
  <c r="IP21" i="80"/>
  <c r="IT28" i="80"/>
  <c r="IU28" i="80"/>
  <c r="IV18" i="80"/>
  <c r="IK18" i="80"/>
  <c r="IK28" i="80" s="1"/>
  <c r="IL28" i="80"/>
  <c r="IZ19" i="80"/>
  <c r="IZ29" i="80" s="1"/>
  <c r="JB19" i="80"/>
  <c r="JB29" i="80" s="1"/>
  <c r="IT20" i="80"/>
  <c r="IV20" i="80"/>
  <c r="IV30" i="80" s="1"/>
  <c r="FP10" i="80"/>
  <c r="JB20" i="80"/>
  <c r="JB30" i="80" s="1"/>
  <c r="IZ20" i="80"/>
  <c r="IZ30" i="80" s="1"/>
  <c r="FN18" i="80"/>
  <c r="FL28" i="80"/>
  <c r="FM28" i="80"/>
  <c r="FQ10" i="80"/>
  <c r="EY28" i="80"/>
  <c r="EZ28" i="80"/>
  <c r="IZ11" i="80"/>
  <c r="GS17" i="80"/>
  <c r="GS27" i="80" s="1"/>
  <c r="GT27" i="80"/>
  <c r="IG17" i="80"/>
  <c r="IH27" i="80"/>
  <c r="IQ17" i="80"/>
  <c r="IS17" i="80"/>
  <c r="IR27" i="80"/>
  <c r="GU17" i="80"/>
  <c r="GV27" i="80"/>
  <c r="IX29" i="80"/>
  <c r="IW29" i="80"/>
  <c r="JC18" i="80"/>
  <c r="IG19" i="80"/>
  <c r="IX30" i="80"/>
  <c r="IW20" i="80"/>
  <c r="IY20" i="80"/>
  <c r="IG20" i="80"/>
  <c r="IG30" i="80" s="1"/>
  <c r="IQ11" i="80"/>
  <c r="HK10" i="80"/>
  <c r="FI18" i="80"/>
  <c r="FK18" i="80"/>
  <c r="HD27" i="80"/>
  <c r="HE17" i="80"/>
  <c r="HC17" i="80"/>
  <c r="IB21" i="80"/>
  <c r="HI9" i="80"/>
  <c r="HI7" i="80"/>
  <c r="GH11" i="80"/>
  <c r="IN29" i="80"/>
  <c r="IJ29" i="80"/>
  <c r="II19" i="80"/>
  <c r="IW18" i="80"/>
  <c r="IW28" i="80" s="1"/>
  <c r="IY18" i="80"/>
  <c r="IX28" i="80"/>
  <c r="IE30" i="80"/>
  <c r="IS19" i="80"/>
  <c r="IS29" i="80" s="1"/>
  <c r="IQ19" i="80"/>
  <c r="IQ29" i="80" s="1"/>
  <c r="IB28" i="80"/>
  <c r="JC8" i="80"/>
  <c r="FB28" i="80"/>
  <c r="GQ17" i="80"/>
  <c r="HA29" i="80"/>
  <c r="HL19" i="80"/>
  <c r="GK17" i="80"/>
  <c r="GK27" i="80" s="1"/>
  <c r="HC11" i="80"/>
  <c r="IN27" i="80"/>
  <c r="IQ20" i="80"/>
  <c r="GU19" i="80"/>
  <c r="GU29" i="80" s="1"/>
  <c r="GV29" i="80"/>
  <c r="JA28" i="80"/>
  <c r="IZ18" i="80"/>
  <c r="IZ28" i="80" s="1"/>
  <c r="IE11" i="80"/>
  <c r="FG28" i="80"/>
  <c r="FH18" i="80"/>
  <c r="FF18" i="80"/>
  <c r="FR18" i="80"/>
  <c r="JE8" i="80"/>
  <c r="IG11" i="80"/>
  <c r="JD7" i="80"/>
  <c r="GY19" i="80"/>
  <c r="GW19" i="80"/>
  <c r="GX29" i="80"/>
  <c r="HK7" i="80"/>
  <c r="IK17" i="80"/>
  <c r="IK27" i="80" s="1"/>
  <c r="IL27" i="80"/>
  <c r="IL21" i="80"/>
  <c r="HG29" i="80"/>
  <c r="HH19" i="80"/>
  <c r="HH29" i="80" s="1"/>
  <c r="HF19" i="80"/>
  <c r="IN30" i="80"/>
  <c r="IH28" i="80"/>
  <c r="ES11" i="80"/>
  <c r="IO18" i="80"/>
  <c r="IP28" i="80"/>
  <c r="IK20" i="80"/>
  <c r="IK30" i="80" s="1"/>
  <c r="HJ10" i="80"/>
  <c r="IC11" i="80"/>
  <c r="EQ28" i="80"/>
  <c r="ES18" i="80"/>
  <c r="HB17" i="80"/>
  <c r="HA27" i="80"/>
  <c r="II17" i="80"/>
  <c r="IJ27" i="80"/>
  <c r="IY17" i="80"/>
  <c r="IY27" i="80" s="1"/>
  <c r="IX27" i="80"/>
  <c r="IX21" i="80"/>
  <c r="GK11" i="80"/>
  <c r="IO19" i="80"/>
  <c r="GM19" i="80"/>
  <c r="GN29" i="80"/>
  <c r="II20" i="80"/>
  <c r="II30" i="80" s="1"/>
  <c r="IJ30" i="80"/>
  <c r="I7" i="80"/>
  <c r="BE20" i="80"/>
  <c r="BF30" i="80"/>
  <c r="BI20" i="80"/>
  <c r="BJ30" i="80"/>
  <c r="BZ20" i="80"/>
  <c r="BY30" i="80"/>
  <c r="DC9" i="78"/>
  <c r="DP8" i="78"/>
  <c r="GM9" i="78"/>
  <c r="FC9" i="78"/>
  <c r="DS8" i="78"/>
  <c r="FQ7" i="78"/>
  <c r="GG10" i="78"/>
  <c r="GJ10" i="78"/>
  <c r="DY9" i="78"/>
  <c r="EZ9" i="78"/>
  <c r="DS7" i="78"/>
  <c r="DE9" i="78"/>
  <c r="DP7" i="78"/>
  <c r="GG9" i="78"/>
  <c r="FQ9" i="78"/>
  <c r="GM8" i="78"/>
  <c r="FO10" i="78"/>
  <c r="EW9" i="78"/>
  <c r="FQ10" i="78"/>
  <c r="EP17" i="78"/>
  <c r="GJ7" i="78"/>
  <c r="DY7" i="78"/>
  <c r="DP9" i="78"/>
  <c r="GG8" i="78"/>
  <c r="FF10" i="78"/>
  <c r="FQ8" i="78"/>
  <c r="EH7" i="78"/>
  <c r="DA7" i="78"/>
  <c r="GJ9" i="78"/>
  <c r="EZ7" i="78"/>
  <c r="GD10" i="78"/>
  <c r="EW10" i="78"/>
  <c r="FO8" i="78"/>
  <c r="EL9" i="78"/>
  <c r="GD7" i="78"/>
  <c r="DS9" i="78"/>
  <c r="GD9" i="78"/>
  <c r="GM7" i="78"/>
  <c r="EZ10" i="78"/>
  <c r="DV9" i="78"/>
  <c r="EJ9" i="78"/>
  <c r="GJ8" i="78"/>
  <c r="DP10" i="78"/>
  <c r="DY8" i="78"/>
  <c r="DC10" i="78"/>
  <c r="FC7" i="78"/>
  <c r="EH10" i="78"/>
  <c r="GM10" i="78"/>
  <c r="GG7" i="78"/>
  <c r="FS7" i="78"/>
  <c r="DV7" i="78"/>
  <c r="DY10" i="78"/>
  <c r="DS10" i="78"/>
  <c r="GD8" i="78"/>
  <c r="DV8" i="78"/>
  <c r="FS10" i="78"/>
  <c r="DA10" i="78"/>
  <c r="FF9" i="78"/>
  <c r="EK7" i="78"/>
  <c r="FZ10" i="78"/>
  <c r="FZ7" i="78"/>
  <c r="DD7" i="78"/>
  <c r="DH8" i="78"/>
  <c r="EM10" i="78"/>
  <c r="FZ9" i="78"/>
  <c r="ES9" i="78"/>
  <c r="EO10" i="78"/>
  <c r="EI9" i="78"/>
  <c r="EO9" i="78"/>
  <c r="EO7" i="78"/>
  <c r="FR10" i="78"/>
  <c r="EU10" i="78"/>
  <c r="FV8" i="78"/>
  <c r="DF9" i="78"/>
  <c r="EU9" i="78"/>
  <c r="FP9" i="78"/>
  <c r="FP8" i="78"/>
  <c r="FX10" i="78"/>
  <c r="FT10" i="78"/>
  <c r="EQ9" i="78"/>
  <c r="EU7" i="78"/>
  <c r="EQ7" i="78"/>
  <c r="DH7" i="78"/>
  <c r="EK9" i="78"/>
  <c r="ES10" i="78"/>
  <c r="FX8" i="78"/>
  <c r="FP10" i="78"/>
  <c r="EM7" i="78"/>
  <c r="DL8" i="78"/>
  <c r="FV7" i="78"/>
  <c r="EK10" i="78"/>
  <c r="DJ9" i="78"/>
  <c r="FP7" i="78"/>
  <c r="FP11" i="78" s="1"/>
  <c r="FR9" i="78"/>
  <c r="EQ10" i="78"/>
  <c r="EI7" i="78"/>
  <c r="DF10" i="78"/>
  <c r="DB8" i="78"/>
  <c r="DL10" i="78"/>
  <c r="DB7" i="78"/>
  <c r="DD8" i="78"/>
  <c r="FZ8" i="78"/>
  <c r="FZ11" i="78" s="1"/>
  <c r="FT7" i="78"/>
  <c r="EI10" i="78"/>
  <c r="DL7" i="78"/>
  <c r="DL9" i="78"/>
  <c r="DD9" i="78"/>
  <c r="FT9" i="78"/>
  <c r="FV9" i="78"/>
  <c r="DH10" i="78"/>
  <c r="DB9" i="78"/>
  <c r="ES7" i="78"/>
  <c r="AM7" i="78"/>
  <c r="F10" i="78"/>
  <c r="BB7" i="78"/>
  <c r="BK7" i="78"/>
  <c r="AA9" i="78"/>
  <c r="BE10" i="78"/>
  <c r="BK9" i="78"/>
  <c r="AA10" i="78"/>
  <c r="AZ10" i="78"/>
  <c r="Q10" i="78"/>
  <c r="AZ7" i="78"/>
  <c r="AR9" i="78"/>
  <c r="M9" i="78"/>
  <c r="I10" i="78"/>
  <c r="I9" i="78"/>
  <c r="K7" i="78"/>
  <c r="AR7" i="78"/>
  <c r="M10" i="78"/>
  <c r="AT7" i="78"/>
  <c r="AT10" i="78"/>
  <c r="BZ929" i="3"/>
  <c r="GL7" i="78"/>
  <c r="GF9" i="78"/>
  <c r="DU10" i="78"/>
  <c r="GO7" i="78"/>
  <c r="GL10" i="78"/>
  <c r="EA10" i="78"/>
  <c r="GF7" i="78"/>
  <c r="FB9" i="78"/>
  <c r="GI10" i="78"/>
  <c r="GI7" i="78"/>
  <c r="DX10" i="78"/>
  <c r="FB10" i="78"/>
  <c r="DU9" i="78"/>
  <c r="GI9" i="78"/>
  <c r="FH7" i="78"/>
  <c r="GO10" i="78"/>
  <c r="GO9" i="78"/>
  <c r="GL9" i="78"/>
  <c r="DR9" i="78"/>
  <c r="DR10" i="78"/>
  <c r="EY9" i="78"/>
  <c r="BD9" i="78"/>
  <c r="AF9" i="78"/>
  <c r="GB10" i="78"/>
  <c r="GR10" i="78" s="1"/>
  <c r="GB9" i="78"/>
  <c r="DN10" i="78"/>
  <c r="DN9" i="78"/>
  <c r="DN8" i="78"/>
  <c r="BL20" i="78"/>
  <c r="BM20" i="78" s="1"/>
  <c r="AW20" i="78"/>
  <c r="AW30" i="78" s="1"/>
  <c r="BZ930" i="3"/>
  <c r="BF20" i="78"/>
  <c r="DE18" i="78"/>
  <c r="DD18" i="78" s="1"/>
  <c r="DD28" i="78" s="1"/>
  <c r="FD17" i="78"/>
  <c r="FE17" i="78" s="1"/>
  <c r="GE17" i="78"/>
  <c r="GF17" i="78" s="1"/>
  <c r="GE20" i="78"/>
  <c r="GF20" i="78" s="1"/>
  <c r="EV19" i="78"/>
  <c r="EV29" i="78" s="1"/>
  <c r="GN19" i="78"/>
  <c r="GO19" i="78" s="1"/>
  <c r="GC18" i="78"/>
  <c r="GB18" i="78" s="1"/>
  <c r="FU20" i="78"/>
  <c r="FT20" i="78" s="1"/>
  <c r="DT18" i="78"/>
  <c r="DU18" i="78" s="1"/>
  <c r="ER17" i="78"/>
  <c r="FO17" i="78"/>
  <c r="EV17" i="78"/>
  <c r="FO20" i="78"/>
  <c r="FG19" i="78"/>
  <c r="FH19" i="78" s="1"/>
  <c r="GA20" i="78"/>
  <c r="GA30" i="78" s="1"/>
  <c r="FU19" i="78"/>
  <c r="FU29" i="78" s="1"/>
  <c r="FW20" i="78"/>
  <c r="DZ18" i="78"/>
  <c r="EA18" i="78" s="1"/>
  <c r="DC18" i="78"/>
  <c r="DG18" i="78"/>
  <c r="DO18" i="78"/>
  <c r="DO28" i="78" s="1"/>
  <c r="EJ19" i="78"/>
  <c r="EI19" i="78"/>
  <c r="EI29" i="78" s="1"/>
  <c r="EX19" i="78"/>
  <c r="EY19" i="78" s="1"/>
  <c r="EP19" i="78"/>
  <c r="EO19" i="78" s="1"/>
  <c r="EN19" i="78"/>
  <c r="EN29" i="78" s="1"/>
  <c r="ET19" i="78"/>
  <c r="ET29" i="78" s="1"/>
  <c r="GK18" i="78"/>
  <c r="GL18" i="78" s="1"/>
  <c r="GK20" i="78"/>
  <c r="GL20" i="78" s="1"/>
  <c r="FD19" i="78"/>
  <c r="FE19" i="78" s="1"/>
  <c r="FY20" i="78"/>
  <c r="FX20" i="78" s="1"/>
  <c r="DI18" i="78"/>
  <c r="FW17" i="78"/>
  <c r="GK17" i="78"/>
  <c r="GL17" i="78" s="1"/>
  <c r="EH19" i="78"/>
  <c r="GA17" i="78"/>
  <c r="FZ17" i="78" s="1"/>
  <c r="GH18" i="78"/>
  <c r="GI18" i="78" s="1"/>
  <c r="GA18" i="78"/>
  <c r="GH19" i="78"/>
  <c r="GH29" i="78" s="1"/>
  <c r="FS18" i="78"/>
  <c r="FR18" i="78" s="1"/>
  <c r="FS20" i="78"/>
  <c r="FR20" i="78" s="1"/>
  <c r="EL19" i="78"/>
  <c r="EK19" i="78" s="1"/>
  <c r="FY19" i="78"/>
  <c r="FY29" i="78" s="1"/>
  <c r="DQ18" i="78"/>
  <c r="DR18" i="78" s="1"/>
  <c r="FA17" i="78"/>
  <c r="EZ17" i="78" s="1"/>
  <c r="ET17" i="78"/>
  <c r="FS17" i="78"/>
  <c r="FS27" i="78" s="1"/>
  <c r="GH17" i="78"/>
  <c r="GC20" i="78"/>
  <c r="FQ19" i="78"/>
  <c r="FP19" i="78" s="1"/>
  <c r="FW19" i="78"/>
  <c r="GH20" i="78"/>
  <c r="GH30" i="78" s="1"/>
  <c r="FW18" i="78"/>
  <c r="DK18" i="78"/>
  <c r="DA18" i="78"/>
  <c r="FQ17" i="78"/>
  <c r="FP17" i="78" s="1"/>
  <c r="FY18" i="78"/>
  <c r="FY28" i="78" s="1"/>
  <c r="GE18" i="78"/>
  <c r="GF18" i="78" s="1"/>
  <c r="GN18" i="78"/>
  <c r="GO18" i="78" s="1"/>
  <c r="FQ20" i="78"/>
  <c r="FP20" i="78" s="1"/>
  <c r="DM18" i="78"/>
  <c r="DM28" i="78" s="1"/>
  <c r="GN17" i="78"/>
  <c r="GO17" i="78" s="1"/>
  <c r="GO27" i="78" s="1"/>
  <c r="EJ17" i="78"/>
  <c r="EH17" i="78"/>
  <c r="FY17" i="78"/>
  <c r="GK19" i="78"/>
  <c r="GL19" i="78" s="1"/>
  <c r="FO18" i="78"/>
  <c r="FU18" i="78"/>
  <c r="GE19" i="78"/>
  <c r="GF19" i="78" s="1"/>
  <c r="FS19" i="78"/>
  <c r="FR19" i="78" s="1"/>
  <c r="EO17" i="78"/>
  <c r="EP27" i="78"/>
  <c r="DW18" i="78"/>
  <c r="DW28" i="78" s="1"/>
  <c r="FU17" i="78"/>
  <c r="FQ18" i="78"/>
  <c r="FP18" i="78" s="1"/>
  <c r="FP28" i="78" s="1"/>
  <c r="GA19" i="78"/>
  <c r="ER19" i="78"/>
  <c r="FO19" i="78"/>
  <c r="GN20" i="78"/>
  <c r="GN30" i="78" s="1"/>
  <c r="BZ900" i="3"/>
  <c r="BZ924" i="3" s="1"/>
  <c r="BZ901" i="3"/>
  <c r="BZ928" i="3"/>
  <c r="BZ931" i="3"/>
  <c r="BZ922" i="3"/>
  <c r="BP814" i="3"/>
  <c r="BS814" i="3"/>
  <c r="BZ814" i="3"/>
  <c r="BR814" i="3"/>
  <c r="BX814" i="3"/>
  <c r="DA814" i="3"/>
  <c r="CU442" i="3"/>
  <c r="CS814" i="3"/>
  <c r="CW814" i="3"/>
  <c r="BY814" i="3"/>
  <c r="BO814" i="3"/>
  <c r="CQ814" i="3"/>
  <c r="DN814" i="3"/>
  <c r="BQ814" i="3"/>
  <c r="CR814" i="3"/>
  <c r="BN814" i="3"/>
  <c r="BU814" i="3"/>
  <c r="JF30" i="80"/>
  <c r="FQ18" i="80"/>
  <c r="JD18" i="80"/>
  <c r="IE27" i="80"/>
  <c r="II27" i="80"/>
  <c r="IW27" i="80"/>
  <c r="HI17" i="80"/>
  <c r="GI27" i="80"/>
  <c r="HK17" i="80"/>
  <c r="FR28" i="80"/>
  <c r="IZ21" i="80"/>
  <c r="IG28" i="80"/>
  <c r="II21" i="80"/>
  <c r="IX31" i="80"/>
  <c r="IP31" i="80"/>
  <c r="GZ27" i="80"/>
  <c r="HL29" i="80"/>
  <c r="JD19" i="80"/>
  <c r="GQ27" i="80"/>
  <c r="IM29" i="80"/>
  <c r="JF29" i="80"/>
  <c r="FA28" i="80"/>
  <c r="JD17" i="80"/>
  <c r="GP10" i="78"/>
  <c r="FJ7" i="78"/>
  <c r="EW11" i="78"/>
  <c r="FK10" i="78"/>
  <c r="DY11" i="78"/>
  <c r="GJ11" i="78"/>
  <c r="FK7" i="78"/>
  <c r="EB7" i="78"/>
  <c r="EQ11" i="78"/>
  <c r="GR9" i="78"/>
  <c r="GL29" i="78"/>
  <c r="ED8" i="78"/>
  <c r="GF29" i="78"/>
  <c r="FO28" i="78"/>
  <c r="ED9" i="78"/>
  <c r="BZ925" i="3"/>
  <c r="AV20" i="78"/>
  <c r="BK20" i="78"/>
  <c r="BL10" i="78"/>
  <c r="BL30" i="78" s="1"/>
  <c r="FS30" i="78"/>
  <c r="GK29" i="78"/>
  <c r="GG20" i="78"/>
  <c r="GG30" i="78" s="1"/>
  <c r="ET27" i="78"/>
  <c r="ES17" i="78"/>
  <c r="GJ20" i="78"/>
  <c r="GK30" i="78"/>
  <c r="EW19" i="78"/>
  <c r="EW29" i="78" s="1"/>
  <c r="EX29" i="78"/>
  <c r="FV20" i="78"/>
  <c r="FW30" i="78"/>
  <c r="FT19" i="78"/>
  <c r="EU17" i="78"/>
  <c r="EV27" i="78"/>
  <c r="ER27" i="78"/>
  <c r="EQ17" i="78"/>
  <c r="EJ29" i="78"/>
  <c r="EQ19" i="78"/>
  <c r="ER29" i="78"/>
  <c r="FV17" i="78"/>
  <c r="FW27" i="78"/>
  <c r="FU30" i="78"/>
  <c r="EU19" i="78"/>
  <c r="FX17" i="78"/>
  <c r="FY27" i="78"/>
  <c r="GN27" i="78"/>
  <c r="GM17" i="78"/>
  <c r="GM27" i="78" s="1"/>
  <c r="FV19" i="78"/>
  <c r="FV29" i="78" s="1"/>
  <c r="FW29" i="78"/>
  <c r="GS17" i="78"/>
  <c r="GH21" i="78"/>
  <c r="FX19" i="78"/>
  <c r="GG19" i="78"/>
  <c r="GG29" i="78" s="1"/>
  <c r="GJ18" i="78"/>
  <c r="GJ28" i="78" s="1"/>
  <c r="GK28" i="78"/>
  <c r="EP29" i="78"/>
  <c r="DN18" i="78"/>
  <c r="DB18" i="78"/>
  <c r="FO21" i="78"/>
  <c r="GM20" i="78"/>
  <c r="FZ19" i="78"/>
  <c r="FZ29" i="78" s="1"/>
  <c r="GA29" i="78"/>
  <c r="DV18" i="78"/>
  <c r="FQ29" i="78"/>
  <c r="DJ18" i="78"/>
  <c r="DK28" i="78"/>
  <c r="DF18" i="78"/>
  <c r="DG28" i="78"/>
  <c r="EL29" i="78"/>
  <c r="EE18" i="78"/>
  <c r="DS18" i="78"/>
  <c r="GD20" i="78"/>
  <c r="GD30" i="78" s="1"/>
  <c r="GE30" i="78"/>
  <c r="FT18" i="78"/>
  <c r="FU28" i="78"/>
  <c r="FR17" i="78"/>
  <c r="FS21" i="78"/>
  <c r="FY30" i="78"/>
  <c r="FY31" i="78" s="1"/>
  <c r="ES19" i="78"/>
  <c r="FF19" i="78"/>
  <c r="FF29" i="78" s="1"/>
  <c r="FG29" i="78"/>
  <c r="GM18" i="78"/>
  <c r="GM28" i="78" s="1"/>
  <c r="GN28" i="78"/>
  <c r="FQ21" i="78"/>
  <c r="GE27" i="78"/>
  <c r="FU27" i="78"/>
  <c r="FT17" i="78"/>
  <c r="GD19" i="78"/>
  <c r="GD29" i="78" s="1"/>
  <c r="GE29" i="78"/>
  <c r="GP18" i="78"/>
  <c r="EI17" i="78"/>
  <c r="FV18" i="78"/>
  <c r="FV28" i="78" s="1"/>
  <c r="FW28" i="78"/>
  <c r="FW31" i="78" s="1"/>
  <c r="GB20" i="78"/>
  <c r="GC30" i="78"/>
  <c r="GG18" i="78"/>
  <c r="GG28" i="78" s="1"/>
  <c r="GH28" i="78"/>
  <c r="GS18" i="78"/>
  <c r="DH18" i="78"/>
  <c r="DH28" i="78" s="1"/>
  <c r="DI28" i="78"/>
  <c r="EM19" i="78"/>
  <c r="FJ19" i="78" s="1"/>
  <c r="DY18" i="78"/>
  <c r="DY28" i="78" s="1"/>
  <c r="DZ28" i="78"/>
  <c r="GP20" i="78"/>
  <c r="FQ28" i="78"/>
  <c r="GD18" i="78"/>
  <c r="GD28" i="78" s="1"/>
  <c r="DP18" i="78"/>
  <c r="DQ28" i="78"/>
  <c r="GK27" i="78"/>
  <c r="GK31" i="78" s="1"/>
  <c r="GK21" i="78"/>
  <c r="GN29" i="78"/>
  <c r="FD27" i="78"/>
  <c r="FC17" i="78"/>
  <c r="ES27" i="78"/>
  <c r="FT29" i="78"/>
  <c r="EZ27" i="78"/>
  <c r="DS28" i="78"/>
  <c r="DN28" i="78"/>
  <c r="FV21" i="78"/>
  <c r="FV27" i="78"/>
  <c r="EQ27" i="78"/>
  <c r="FT30" i="78"/>
  <c r="FT21" i="78"/>
  <c r="GQ17" i="78"/>
  <c r="FT27" i="78"/>
  <c r="DP28" i="78"/>
  <c r="FZ27" i="78"/>
  <c r="FK19" i="78"/>
  <c r="ES29" i="78"/>
  <c r="DB28" i="78"/>
  <c r="EU27" i="78"/>
  <c r="AX582" i="3"/>
  <c r="AX605" i="3"/>
  <c r="AX584" i="3"/>
  <c r="AX585" i="3"/>
  <c r="AX586" i="3"/>
  <c r="AX606" i="3"/>
  <c r="AX588" i="3"/>
  <c r="AJ240" i="3"/>
  <c r="AK240" i="3"/>
  <c r="AL240" i="3"/>
  <c r="AM240" i="3"/>
  <c r="AN240" i="3"/>
  <c r="AO240" i="3"/>
  <c r="AP240" i="3"/>
  <c r="AQ240" i="3"/>
  <c r="AR240" i="3"/>
  <c r="AS240" i="3"/>
  <c r="AT240" i="3"/>
  <c r="AI240" i="3"/>
  <c r="S429" i="3"/>
  <c r="AG429" i="3"/>
  <c r="AU429" i="3"/>
  <c r="AV429" i="3"/>
  <c r="AW429" i="3" s="1"/>
  <c r="AX429" i="3"/>
  <c r="BG429" i="3"/>
  <c r="BL429" i="3"/>
  <c r="BO429" i="3"/>
  <c r="BP429" i="3"/>
  <c r="BQ429" i="3"/>
  <c r="BV429" i="3"/>
  <c r="CC429" i="3"/>
  <c r="CD429" i="3"/>
  <c r="CE429" i="3"/>
  <c r="CJ429" i="3"/>
  <c r="AX294" i="3"/>
  <c r="AX285" i="3"/>
  <c r="AX286" i="3"/>
  <c r="AX287" i="3"/>
  <c r="AX277" i="3"/>
  <c r="AX288" i="3"/>
  <c r="AX289" i="3"/>
  <c r="AX290" i="3"/>
  <c r="AX291" i="3"/>
  <c r="AX292" i="3"/>
  <c r="AX293" i="3"/>
  <c r="AX284" i="3"/>
  <c r="AX279" i="3"/>
  <c r="AX276" i="3"/>
  <c r="AX275" i="3"/>
  <c r="AX185" i="3"/>
  <c r="AX183" i="3"/>
  <c r="AX184" i="3"/>
  <c r="AX172" i="3"/>
  <c r="AX224" i="3"/>
  <c r="AX213" i="3"/>
  <c r="AX217" i="3"/>
  <c r="AX211" i="3"/>
  <c r="AX210" i="3"/>
  <c r="AX234" i="3"/>
  <c r="AX214" i="3"/>
  <c r="AX231" i="3"/>
  <c r="AX229" i="3"/>
  <c r="AX232" i="3"/>
  <c r="AX221" i="3"/>
  <c r="AX225" i="3"/>
  <c r="AX233" i="3"/>
  <c r="AX212" i="3"/>
  <c r="AX222" i="3"/>
  <c r="AX223" i="3"/>
  <c r="AX181" i="3"/>
  <c r="AX168" i="3"/>
  <c r="AX169" i="3"/>
  <c r="AX173" i="3"/>
  <c r="AX207" i="3"/>
  <c r="AX199" i="3"/>
  <c r="AX205" i="3"/>
  <c r="AX110" i="3"/>
  <c r="AX187" i="3"/>
  <c r="AX186" i="3"/>
  <c r="AX188" i="3"/>
  <c r="DR758" i="3"/>
  <c r="DR724" i="3"/>
  <c r="DR665" i="3"/>
  <c r="DR664" i="3"/>
  <c r="DR663" i="3"/>
  <c r="DR662" i="3"/>
  <c r="DR661" i="3"/>
  <c r="DR660" i="3"/>
  <c r="DR659" i="3" s="1"/>
  <c r="DR641" i="3"/>
  <c r="DR640" i="3"/>
  <c r="DR639" i="3"/>
  <c r="DR650" i="3"/>
  <c r="DR574" i="3"/>
  <c r="DR573" i="3"/>
  <c r="DR572" i="3"/>
  <c r="DR449" i="3"/>
  <c r="DR436" i="3"/>
  <c r="DR437" i="3"/>
  <c r="DR12" i="3"/>
  <c r="DR13" i="3"/>
  <c r="DR14" i="3"/>
  <c r="DR15" i="3"/>
  <c r="DR16" i="3"/>
  <c r="DR17" i="3"/>
  <c r="DR18" i="3"/>
  <c r="DR19" i="3"/>
  <c r="DR20" i="3"/>
  <c r="DR21" i="3"/>
  <c r="DR22" i="3"/>
  <c r="DR23" i="3"/>
  <c r="DR24" i="3"/>
  <c r="DR25" i="3"/>
  <c r="DR26" i="3"/>
  <c r="DR27" i="3"/>
  <c r="DR28" i="3"/>
  <c r="DR29" i="3"/>
  <c r="DR30" i="3"/>
  <c r="DR31" i="3"/>
  <c r="DR32" i="3"/>
  <c r="DR33" i="3"/>
  <c r="DR34" i="3"/>
  <c r="DR35" i="3"/>
  <c r="DR36" i="3"/>
  <c r="DR37" i="3"/>
  <c r="DR38" i="3"/>
  <c r="DR39" i="3"/>
  <c r="DR40" i="3"/>
  <c r="DR41" i="3"/>
  <c r="DR42" i="3"/>
  <c r="DR43" i="3"/>
  <c r="DR44" i="3"/>
  <c r="DR45" i="3"/>
  <c r="DR155" i="3"/>
  <c r="DR156" i="3"/>
  <c r="DR157" i="3"/>
  <c r="DR158" i="3"/>
  <c r="DR159" i="3"/>
  <c r="DR160" i="3"/>
  <c r="DR161" i="3"/>
  <c r="DR760" i="3"/>
  <c r="T8" i="57"/>
  <c r="CA304" i="4"/>
  <c r="CA308" i="4" s="1"/>
  <c r="BZ9" i="80" s="1"/>
  <c r="BX306" i="4"/>
  <c r="CC306" i="4" s="1"/>
  <c r="B247" i="4"/>
  <c r="BM154" i="4"/>
  <c r="BK154" i="4"/>
  <c r="CA88" i="4"/>
  <c r="CA83" i="4" s="1"/>
  <c r="BX88" i="4"/>
  <c r="CB88" i="4" s="1"/>
  <c r="BU83" i="4"/>
  <c r="BO88" i="4"/>
  <c r="BO83" i="4"/>
  <c r="BM88" i="4"/>
  <c r="BM83" i="4"/>
  <c r="BK88" i="4"/>
  <c r="V38" i="4"/>
  <c r="U38" i="4"/>
  <c r="T38" i="4"/>
  <c r="B76" i="4"/>
  <c r="BR83" i="4"/>
  <c r="CC88" i="4"/>
  <c r="CB306" i="4"/>
  <c r="BX304" i="4"/>
  <c r="BX308" i="4" s="1"/>
  <c r="DR849" i="3"/>
  <c r="CC376" i="4"/>
  <c r="CC364" i="4"/>
  <c r="CC363" i="4"/>
  <c r="CC358" i="4"/>
  <c r="DG247" i="3"/>
  <c r="DG289" i="3"/>
  <c r="DM291" i="3"/>
  <c r="DB294" i="3"/>
  <c r="DB264" i="3"/>
  <c r="DD270" i="3"/>
  <c r="DB244" i="3"/>
  <c r="AI30" i="57"/>
  <c r="AG45" i="57"/>
  <c r="AG36" i="57"/>
  <c r="AG46" i="57"/>
  <c r="DA904" i="3"/>
  <c r="DC904" i="3"/>
  <c r="DE904" i="3"/>
  <c r="DK904" i="3"/>
  <c r="DB845" i="3"/>
  <c r="DB840" i="3" s="1"/>
  <c r="DM847" i="3"/>
  <c r="BO203" i="4"/>
  <c r="DB285" i="3"/>
  <c r="DJ277" i="3"/>
  <c r="DR277" i="3" s="1"/>
  <c r="BR164" i="4"/>
  <c r="BO292" i="4"/>
  <c r="DP342" i="3"/>
  <c r="DP297" i="3"/>
  <c r="DP409" i="3" s="1"/>
  <c r="FN9" i="80" s="1"/>
  <c r="DM342" i="3"/>
  <c r="DR342" i="3" s="1"/>
  <c r="DR297" i="3" s="1"/>
  <c r="CZ458" i="3"/>
  <c r="CZ448" i="3" s="1"/>
  <c r="DR458" i="3"/>
  <c r="BO162" i="4"/>
  <c r="BM142" i="4"/>
  <c r="BO135" i="4"/>
  <c r="CZ643" i="3"/>
  <c r="DB648" i="3"/>
  <c r="DD636" i="3"/>
  <c r="DG636" i="3"/>
  <c r="DJ636" i="3" s="1"/>
  <c r="DM636" i="3"/>
  <c r="DP636" i="3" s="1"/>
  <c r="DB635" i="3"/>
  <c r="DB634" i="3"/>
  <c r="DB638" i="3"/>
  <c r="DB645" i="3"/>
  <c r="DD645" i="3" s="1"/>
  <c r="DG645" i="3" s="1"/>
  <c r="DJ645" i="3" s="1"/>
  <c r="DM645" i="3" s="1"/>
  <c r="DP645" i="3" s="1"/>
  <c r="DB630" i="3"/>
  <c r="DB286" i="3"/>
  <c r="DD284" i="3"/>
  <c r="CZ279" i="3"/>
  <c r="DB271" i="3"/>
  <c r="DB290" i="3"/>
  <c r="DB283" i="3"/>
  <c r="DB245" i="3"/>
  <c r="CZ272" i="3"/>
  <c r="DB253" i="3"/>
  <c r="DD266" i="3"/>
  <c r="DB261" i="3"/>
  <c r="DD261" i="3"/>
  <c r="DJ261" i="3"/>
  <c r="DM261" i="3"/>
  <c r="DP261" i="3" s="1"/>
  <c r="DB258" i="3"/>
  <c r="DD258" i="3" s="1"/>
  <c r="DP255" i="3"/>
  <c r="DM255" i="3"/>
  <c r="DJ255" i="3"/>
  <c r="DG255" i="3"/>
  <c r="DR255" i="3" s="1"/>
  <c r="DD255" i="3"/>
  <c r="DB255" i="3"/>
  <c r="DD845" i="3"/>
  <c r="DD840" i="3"/>
  <c r="CZ845" i="3"/>
  <c r="CZ840" i="3"/>
  <c r="CZ853" i="3" s="1"/>
  <c r="CZ912" i="3" s="1"/>
  <c r="CX845" i="3"/>
  <c r="DR845" i="3" s="1"/>
  <c r="DJ826" i="3"/>
  <c r="DG826" i="3"/>
  <c r="DP877" i="3"/>
  <c r="DP875" i="3" s="1"/>
  <c r="DP891" i="3" s="1"/>
  <c r="DM877" i="3"/>
  <c r="DD877" i="3"/>
  <c r="DD875" i="3" s="1"/>
  <c r="DD891" i="3" s="1"/>
  <c r="DD918" i="3" s="1"/>
  <c r="DB877" i="3"/>
  <c r="DB875" i="3" s="1"/>
  <c r="BM287" i="4"/>
  <c r="CA270" i="4"/>
  <c r="BX270" i="4"/>
  <c r="BU270" i="4"/>
  <c r="BO279" i="4"/>
  <c r="BO270" i="4" s="1"/>
  <c r="BM279" i="4"/>
  <c r="BM270" i="4" s="1"/>
  <c r="CA285" i="4"/>
  <c r="CA280" i="4" s="1"/>
  <c r="BX285" i="4"/>
  <c r="BX280" i="4" s="1"/>
  <c r="BU285" i="4"/>
  <c r="BU280" i="4" s="1"/>
  <c r="BR285" i="4"/>
  <c r="BO285" i="4"/>
  <c r="BO280" i="4"/>
  <c r="BM285" i="4"/>
  <c r="CA327" i="4"/>
  <c r="CA310" i="4" s="1"/>
  <c r="CA334" i="4" s="1"/>
  <c r="BX327" i="4"/>
  <c r="BX310" i="4"/>
  <c r="BX334" i="4" s="1"/>
  <c r="BW10" i="80" s="1"/>
  <c r="BU327" i="4"/>
  <c r="BU310" i="4" s="1"/>
  <c r="BU334" i="4" s="1"/>
  <c r="BR327" i="4"/>
  <c r="BO327" i="4"/>
  <c r="BO310" i="4" s="1"/>
  <c r="BO334" i="4" s="1"/>
  <c r="BO375" i="4" s="1"/>
  <c r="BM327" i="4"/>
  <c r="BM310" i="4"/>
  <c r="BM334" i="4" s="1"/>
  <c r="BM375" i="4" s="1"/>
  <c r="BK327" i="4"/>
  <c r="BK310" i="4" s="1"/>
  <c r="DM826" i="3"/>
  <c r="DB826" i="3"/>
  <c r="BX260" i="4"/>
  <c r="BX254" i="4"/>
  <c r="BX265" i="4" s="1"/>
  <c r="AC10" i="78" s="1"/>
  <c r="CA260" i="4"/>
  <c r="CA254" i="4"/>
  <c r="CA265" i="4" s="1"/>
  <c r="AF10" i="80"/>
  <c r="BU260" i="4"/>
  <c r="CC260" i="4" s="1"/>
  <c r="BU254" i="4"/>
  <c r="BU265" i="4" s="1"/>
  <c r="Z10" i="78" s="1"/>
  <c r="BO260" i="4"/>
  <c r="BO254" i="4"/>
  <c r="BO265" i="4" s="1"/>
  <c r="BO374" i="4" s="1"/>
  <c r="BM260" i="4"/>
  <c r="BM254" i="4" s="1"/>
  <c r="BM265" i="4" s="1"/>
  <c r="BM374" i="4" s="1"/>
  <c r="DP10" i="3"/>
  <c r="DM10" i="3"/>
  <c r="DJ10" i="3"/>
  <c r="DG10" i="3"/>
  <c r="DD50" i="3"/>
  <c r="DD10" i="3"/>
  <c r="DB50" i="3"/>
  <c r="DB10" i="3" s="1"/>
  <c r="DP201" i="3"/>
  <c r="DP163" i="3" s="1"/>
  <c r="DM201" i="3"/>
  <c r="DM163" i="3" s="1"/>
  <c r="DM240" i="3" s="1"/>
  <c r="DM898" i="3" s="1"/>
  <c r="DJ201" i="3"/>
  <c r="DJ163" i="3" s="1"/>
  <c r="DG201" i="3"/>
  <c r="DD201" i="3"/>
  <c r="DD163" i="3" s="1"/>
  <c r="DB201" i="3"/>
  <c r="DB163" i="3" s="1"/>
  <c r="DB240" i="3" s="1"/>
  <c r="DB898" i="3" s="1"/>
  <c r="CA7" i="4"/>
  <c r="CA119" i="4" s="1"/>
  <c r="BX7" i="4"/>
  <c r="BU7" i="4"/>
  <c r="BO52" i="4"/>
  <c r="BO7" i="4"/>
  <c r="BO119" i="4" s="1"/>
  <c r="BM52" i="4"/>
  <c r="BM7" i="4" s="1"/>
  <c r="CW399" i="3"/>
  <c r="DR399" i="3" s="1"/>
  <c r="DR376" i="3" s="1"/>
  <c r="CF399" i="3"/>
  <c r="BR399" i="3"/>
  <c r="BM203" i="4"/>
  <c r="BM197" i="4" s="1"/>
  <c r="W195" i="4"/>
  <c r="B195" i="4"/>
  <c r="DG266" i="3"/>
  <c r="BR270" i="4"/>
  <c r="CB279" i="4"/>
  <c r="CC279" i="4"/>
  <c r="BR7" i="4"/>
  <c r="BR119" i="4" s="1"/>
  <c r="W7" i="80" s="1"/>
  <c r="CB52" i="4"/>
  <c r="CC52" i="4"/>
  <c r="AW36" i="57"/>
  <c r="BR280" i="4"/>
  <c r="CC285" i="4"/>
  <c r="BR254" i="4"/>
  <c r="CB260" i="4"/>
  <c r="BR310" i="4"/>
  <c r="BR334" i="4" s="1"/>
  <c r="CC327" i="4"/>
  <c r="CC310" i="4" s="1"/>
  <c r="CB203" i="4"/>
  <c r="CC203" i="4"/>
  <c r="AW46" i="57"/>
  <c r="BU135" i="4"/>
  <c r="BX135" i="4" s="1"/>
  <c r="CA135" i="4" s="1"/>
  <c r="AF10" i="78"/>
  <c r="BO197" i="4"/>
  <c r="BO234" i="4" s="1"/>
  <c r="BO368" i="4" s="1"/>
  <c r="BR197" i="4"/>
  <c r="BR234" i="4" s="1"/>
  <c r="BU197" i="4"/>
  <c r="BU234" i="4" s="1"/>
  <c r="Z9" i="80" s="1"/>
  <c r="DB891" i="3"/>
  <c r="DB918" i="3" s="1"/>
  <c r="DR643" i="3"/>
  <c r="CZ642" i="3"/>
  <c r="DR50" i="3"/>
  <c r="BO142" i="4"/>
  <c r="CX840" i="3"/>
  <c r="CX853" i="3" s="1"/>
  <c r="DD634" i="3"/>
  <c r="DG634" i="3" s="1"/>
  <c r="BU288" i="4"/>
  <c r="DJ263" i="3"/>
  <c r="DM263" i="3"/>
  <c r="DP263" i="3" s="1"/>
  <c r="DM297" i="3"/>
  <c r="DM409" i="3"/>
  <c r="DX9" i="78" s="1"/>
  <c r="DD264" i="3"/>
  <c r="DJ264" i="3"/>
  <c r="DM264" i="3"/>
  <c r="DP264" i="3" s="1"/>
  <c r="HH10" i="80"/>
  <c r="DB853" i="3"/>
  <c r="DB912" i="3" s="1"/>
  <c r="DD853" i="3"/>
  <c r="DJ240" i="3"/>
  <c r="FH7" i="80" s="1"/>
  <c r="DD240" i="3"/>
  <c r="DD898" i="3" s="1"/>
  <c r="DG825" i="3"/>
  <c r="DB282" i="3"/>
  <c r="DB825" i="3"/>
  <c r="DB833" i="3" s="1"/>
  <c r="DD244" i="3"/>
  <c r="DM825" i="3"/>
  <c r="DM833" i="3" s="1"/>
  <c r="DP240" i="3"/>
  <c r="FN7" i="80" s="1"/>
  <c r="DH904" i="3"/>
  <c r="DG284" i="3"/>
  <c r="DB272" i="3"/>
  <c r="DD272" i="3"/>
  <c r="DG272" i="3" s="1"/>
  <c r="DD286" i="3"/>
  <c r="DD285" i="3"/>
  <c r="DG285" i="3"/>
  <c r="DJ285" i="3"/>
  <c r="DD245" i="3"/>
  <c r="DG245" i="3" s="1"/>
  <c r="DD630" i="3"/>
  <c r="DD283" i="3"/>
  <c r="DG283" i="3" s="1"/>
  <c r="DG258" i="3"/>
  <c r="DD638" i="3"/>
  <c r="DG638" i="3"/>
  <c r="DJ638" i="3" s="1"/>
  <c r="DM638" i="3" s="1"/>
  <c r="DP638" i="3" s="1"/>
  <c r="DD294" i="3"/>
  <c r="DG294" i="3"/>
  <c r="DJ247" i="3"/>
  <c r="DM247" i="3" s="1"/>
  <c r="DP247" i="3"/>
  <c r="DD271" i="3"/>
  <c r="DG271" i="3"/>
  <c r="DD635" i="3"/>
  <c r="DG635" i="3" s="1"/>
  <c r="DJ635" i="3"/>
  <c r="DD253" i="3"/>
  <c r="DB279" i="3"/>
  <c r="DB273" i="3" s="1"/>
  <c r="DJ289" i="3"/>
  <c r="DM289" i="3" s="1"/>
  <c r="DP289" i="3" s="1"/>
  <c r="AW30" i="57"/>
  <c r="BR162" i="4"/>
  <c r="BO154" i="4"/>
  <c r="BU164" i="4"/>
  <c r="BX164" i="4" s="1"/>
  <c r="CA164" i="4" s="1"/>
  <c r="DD290" i="3"/>
  <c r="DG290" i="3" s="1"/>
  <c r="DC442" i="3"/>
  <c r="DA442" i="3"/>
  <c r="DE442" i="3"/>
  <c r="CY893" i="3"/>
  <c r="DD899" i="3"/>
  <c r="DG899" i="3"/>
  <c r="DJ899" i="3"/>
  <c r="DM899" i="3"/>
  <c r="DP899" i="3"/>
  <c r="DD900" i="3"/>
  <c r="DP900" i="3"/>
  <c r="DD910" i="3"/>
  <c r="DG910" i="3"/>
  <c r="DJ910" i="3"/>
  <c r="DD911" i="3"/>
  <c r="DG911" i="3"/>
  <c r="DJ911" i="3"/>
  <c r="DM911" i="3"/>
  <c r="DP911" i="3"/>
  <c r="DG912" i="3"/>
  <c r="DJ912" i="3"/>
  <c r="DP912" i="3"/>
  <c r="DD916" i="3"/>
  <c r="DG916" i="3"/>
  <c r="DJ916" i="3"/>
  <c r="DM916" i="3"/>
  <c r="DP916" i="3"/>
  <c r="DD917" i="3"/>
  <c r="DD919" i="3" s="1"/>
  <c r="DD931" i="3" s="1"/>
  <c r="DG917" i="3"/>
  <c r="DJ917" i="3"/>
  <c r="DM917" i="3"/>
  <c r="DP917" i="3"/>
  <c r="DG918" i="3"/>
  <c r="DJ918" i="3"/>
  <c r="DB899" i="3"/>
  <c r="DB910" i="3"/>
  <c r="DB911" i="3"/>
  <c r="DB916" i="3"/>
  <c r="DB917" i="3"/>
  <c r="CA376" i="4"/>
  <c r="CA370" i="4"/>
  <c r="CA364" i="4"/>
  <c r="CA358" i="4"/>
  <c r="CA349" i="4"/>
  <c r="CA375" i="4"/>
  <c r="CA374" i="4"/>
  <c r="CA368" i="4"/>
  <c r="BX376" i="4"/>
  <c r="BX370" i="4"/>
  <c r="BX364" i="4"/>
  <c r="BX358" i="4"/>
  <c r="BX349" i="4"/>
  <c r="BX369" i="4"/>
  <c r="BX374" i="4"/>
  <c r="BU376" i="4"/>
  <c r="BU370" i="4"/>
  <c r="BU364" i="4"/>
  <c r="BU358" i="4"/>
  <c r="BU349" i="4"/>
  <c r="BU374" i="4"/>
  <c r="BR376" i="4"/>
  <c r="BR370" i="4"/>
  <c r="BR364" i="4"/>
  <c r="BR358" i="4"/>
  <c r="BR349" i="4"/>
  <c r="BO376" i="4"/>
  <c r="BO370" i="4"/>
  <c r="BO364" i="4"/>
  <c r="BO358" i="4"/>
  <c r="BO349" i="4"/>
  <c r="BM376" i="4"/>
  <c r="BM370" i="4"/>
  <c r="BM364" i="4"/>
  <c r="BM363" i="4"/>
  <c r="BM358" i="4"/>
  <c r="BM349" i="4"/>
  <c r="AW45" i="57"/>
  <c r="AW11" i="57"/>
  <c r="AW21" i="57"/>
  <c r="CB161" i="4"/>
  <c r="AW18" i="57"/>
  <c r="AW25" i="57"/>
  <c r="BX142" i="4"/>
  <c r="CA142" i="4"/>
  <c r="CC161" i="4"/>
  <c r="DJ898" i="3"/>
  <c r="EA7" i="78"/>
  <c r="BU368" i="4"/>
  <c r="CZ624" i="3"/>
  <c r="DD912" i="3"/>
  <c r="DR638" i="3"/>
  <c r="DD893" i="3"/>
  <c r="DG833" i="3"/>
  <c r="DD279" i="3"/>
  <c r="DG279" i="3" s="1"/>
  <c r="DD273" i="3"/>
  <c r="DG244" i="3"/>
  <c r="DH442" i="3"/>
  <c r="DP898" i="3"/>
  <c r="DJ919" i="3"/>
  <c r="DJ931" i="3" s="1"/>
  <c r="DJ270" i="3"/>
  <c r="DG913" i="3"/>
  <c r="DG930" i="3" s="1"/>
  <c r="DG919" i="3"/>
  <c r="DG931" i="3" s="1"/>
  <c r="BO356" i="4"/>
  <c r="CU918" i="3"/>
  <c r="CU912" i="3"/>
  <c r="CU900" i="3"/>
  <c r="CU924" i="3" s="1"/>
  <c r="CU917" i="3"/>
  <c r="CU911" i="3"/>
  <c r="CU905" i="3"/>
  <c r="CU899" i="3"/>
  <c r="CU923" i="3" s="1"/>
  <c r="CU916" i="3"/>
  <c r="CU910" i="3"/>
  <c r="CU913" i="3" s="1"/>
  <c r="CU904" i="3"/>
  <c r="CU907" i="3" s="1"/>
  <c r="CU898" i="3"/>
  <c r="CU901" i="3" s="1"/>
  <c r="CU928" i="3" s="1"/>
  <c r="BF376" i="4"/>
  <c r="BF370" i="4"/>
  <c r="BF364" i="4"/>
  <c r="BF363" i="4"/>
  <c r="BF358" i="4"/>
  <c r="BF349" i="4"/>
  <c r="BF369" i="4"/>
  <c r="BF357" i="4"/>
  <c r="DG900" i="3"/>
  <c r="DG924" i="3" s="1"/>
  <c r="BU154" i="4"/>
  <c r="DJ244" i="3"/>
  <c r="DG273" i="3"/>
  <c r="DJ283" i="3"/>
  <c r="DJ630" i="3"/>
  <c r="DM270" i="3"/>
  <c r="DP270" i="3" s="1"/>
  <c r="CU929" i="3"/>
  <c r="CU893" i="3"/>
  <c r="CU930" i="3"/>
  <c r="DM283" i="3"/>
  <c r="DJ279" i="3"/>
  <c r="DM279" i="3" s="1"/>
  <c r="DM630" i="3"/>
  <c r="DP630" i="3" s="1"/>
  <c r="DM244" i="3"/>
  <c r="CZ877" i="3"/>
  <c r="CZ752" i="3"/>
  <c r="CZ745" i="3"/>
  <c r="CZ761" i="3" s="1"/>
  <c r="CX752" i="3"/>
  <c r="BI192" i="4"/>
  <c r="BI171" i="4" s="1"/>
  <c r="BK260" i="4"/>
  <c r="BG192" i="4"/>
  <c r="BG171" i="4" s="1"/>
  <c r="BG234" i="4" s="1"/>
  <c r="CX201" i="3"/>
  <c r="CY163" i="3"/>
  <c r="CY240" i="3" s="1"/>
  <c r="CY898" i="3" s="1"/>
  <c r="EW7" i="80"/>
  <c r="FP7" i="80" s="1"/>
  <c r="CZ201" i="3"/>
  <c r="CZ163" i="3"/>
  <c r="CZ240" i="3" s="1"/>
  <c r="BK85" i="4"/>
  <c r="BK103" i="4"/>
  <c r="BK83" i="4" s="1"/>
  <c r="BI30" i="4"/>
  <c r="BK30" i="4"/>
  <c r="BG30" i="4"/>
  <c r="BI327" i="4"/>
  <c r="BI310" i="4" s="1"/>
  <c r="BI334" i="4" s="1"/>
  <c r="BG327" i="4"/>
  <c r="BG310" i="4"/>
  <c r="BG334" i="4" s="1"/>
  <c r="BI279" i="4"/>
  <c r="BK279" i="4"/>
  <c r="BK270" i="4" s="1"/>
  <c r="BG279" i="4"/>
  <c r="CX277" i="3"/>
  <c r="CZ277" i="3" s="1"/>
  <c r="CZ273" i="3" s="1"/>
  <c r="BH121" i="4"/>
  <c r="BG144" i="4"/>
  <c r="BI156" i="4"/>
  <c r="BI152" i="4"/>
  <c r="CX275" i="3"/>
  <c r="CX270" i="3"/>
  <c r="CV263" i="3"/>
  <c r="CX261" i="3"/>
  <c r="CV260" i="3"/>
  <c r="CX246" i="3"/>
  <c r="DJ7" i="78"/>
  <c r="BI157" i="4"/>
  <c r="BI153" i="4"/>
  <c r="CZ875" i="3"/>
  <c r="CZ891" i="3" s="1"/>
  <c r="DR645" i="3"/>
  <c r="BK254" i="4"/>
  <c r="BK265" i="4" s="1"/>
  <c r="CC334" i="4"/>
  <c r="CX163" i="3"/>
  <c r="CX240" i="3" s="1"/>
  <c r="CX745" i="3"/>
  <c r="CX761" i="3" s="1"/>
  <c r="CX814" i="3" s="1"/>
  <c r="CX260" i="3"/>
  <c r="BK144" i="4"/>
  <c r="BO144" i="4"/>
  <c r="BR144" i="4" s="1"/>
  <c r="BU144" i="4" s="1"/>
  <c r="BX144" i="4" s="1"/>
  <c r="CZ260" i="3"/>
  <c r="DB260" i="3" s="1"/>
  <c r="DD260" i="3" s="1"/>
  <c r="DG260" i="3" s="1"/>
  <c r="DD242" i="3"/>
  <c r="BK281" i="4"/>
  <c r="BI281" i="4"/>
  <c r="BK285" i="4"/>
  <c r="BE327" i="4"/>
  <c r="BE310" i="4"/>
  <c r="BE334" i="4" s="1"/>
  <c r="BK280" i="4"/>
  <c r="CX917" i="3"/>
  <c r="CY899" i="3"/>
  <c r="CV899" i="3"/>
  <c r="CW899" i="3"/>
  <c r="CX899" i="3"/>
  <c r="CZ916" i="3"/>
  <c r="CZ917" i="3"/>
  <c r="CV917" i="3"/>
  <c r="CZ918" i="3"/>
  <c r="CT303" i="4"/>
  <c r="CR303" i="4"/>
  <c r="CS303" i="4"/>
  <c r="W303" i="4"/>
  <c r="B303" i="4"/>
  <c r="CY659" i="3"/>
  <c r="CV912" i="3"/>
  <c r="CW912" i="3"/>
  <c r="CY912" i="3"/>
  <c r="AX844" i="3"/>
  <c r="AX732" i="3"/>
  <c r="AX742" i="3"/>
  <c r="AX733" i="3"/>
  <c r="AX744" i="3"/>
  <c r="AX739" i="3"/>
  <c r="CT731" i="3"/>
  <c r="AX390" i="3"/>
  <c r="AX386" i="3"/>
  <c r="AX367" i="3"/>
  <c r="AX389" i="3"/>
  <c r="AX357" i="3"/>
  <c r="AX361" i="3"/>
  <c r="CV910" i="3"/>
  <c r="CY910" i="3"/>
  <c r="CZ910" i="3"/>
  <c r="BK165" i="4"/>
  <c r="BM152" i="4"/>
  <c r="BK138" i="4"/>
  <c r="BK135" i="4"/>
  <c r="BK133" i="4"/>
  <c r="BK130" i="4"/>
  <c r="CX266" i="3"/>
  <c r="CY265" i="3"/>
  <c r="DR265" i="3" s="1"/>
  <c r="DQ265" i="3"/>
  <c r="CZ265" i="3"/>
  <c r="CV255" i="3"/>
  <c r="CV648" i="3"/>
  <c r="CV642" i="3"/>
  <c r="CZ637" i="3"/>
  <c r="CZ636" i="3"/>
  <c r="DB646" i="3"/>
  <c r="DB642" i="3"/>
  <c r="BK156" i="4"/>
  <c r="BK153" i="4"/>
  <c r="BG150" i="4"/>
  <c r="BI150" i="4" s="1"/>
  <c r="CX900" i="3"/>
  <c r="CY900" i="3"/>
  <c r="CW900" i="3"/>
  <c r="BG272" i="4"/>
  <c r="BG270" i="4" s="1"/>
  <c r="BG288" i="4" s="1"/>
  <c r="BI272" i="4"/>
  <c r="BE276" i="4"/>
  <c r="BE270" i="4" s="1"/>
  <c r="BE288" i="4" s="1"/>
  <c r="BG52" i="4"/>
  <c r="BG7" i="4" s="1"/>
  <c r="BG119" i="4" s="1"/>
  <c r="BG356" i="4" s="1"/>
  <c r="BI52" i="4"/>
  <c r="BK52" i="4"/>
  <c r="CW898" i="3"/>
  <c r="CV201" i="3"/>
  <c r="CT376" i="4"/>
  <c r="CS376" i="4"/>
  <c r="CR376" i="4"/>
  <c r="CQ376" i="4"/>
  <c r="BY376" i="4"/>
  <c r="BV376" i="4"/>
  <c r="BS376" i="4"/>
  <c r="BP376" i="4"/>
  <c r="BN376" i="4"/>
  <c r="BL376" i="4"/>
  <c r="BK376" i="4"/>
  <c r="BJ376" i="4"/>
  <c r="BI376" i="4"/>
  <c r="BH376" i="4"/>
  <c r="BG376" i="4"/>
  <c r="BE376" i="4"/>
  <c r="BD376" i="4"/>
  <c r="BC376" i="4"/>
  <c r="BB376" i="4"/>
  <c r="BA376" i="4"/>
  <c r="AX376" i="4"/>
  <c r="AW376" i="4"/>
  <c r="AV376" i="4"/>
  <c r="AU376" i="4"/>
  <c r="AT376" i="4"/>
  <c r="AS376" i="4"/>
  <c r="AR376" i="4"/>
  <c r="AQ376" i="4"/>
  <c r="AP376" i="4"/>
  <c r="AO376" i="4"/>
  <c r="AN376" i="4"/>
  <c r="AM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CT370" i="4"/>
  <c r="CS370" i="4"/>
  <c r="CR370" i="4"/>
  <c r="CQ370" i="4"/>
  <c r="BY370" i="4"/>
  <c r="BV370" i="4"/>
  <c r="BS370" i="4"/>
  <c r="BP370" i="4"/>
  <c r="BN370" i="4"/>
  <c r="BL370" i="4"/>
  <c r="BK370" i="4"/>
  <c r="BJ370" i="4"/>
  <c r="BI370" i="4"/>
  <c r="BH370" i="4"/>
  <c r="BG370" i="4"/>
  <c r="BE370" i="4"/>
  <c r="BD370" i="4"/>
  <c r="BC370" i="4"/>
  <c r="BB370" i="4"/>
  <c r="BA370" i="4"/>
  <c r="AX370" i="4"/>
  <c r="AW370" i="4"/>
  <c r="AV370" i="4"/>
  <c r="AU370" i="4"/>
  <c r="AT370" i="4"/>
  <c r="AS370" i="4"/>
  <c r="AR370" i="4"/>
  <c r="AQ370" i="4"/>
  <c r="AP370" i="4"/>
  <c r="AO370" i="4"/>
  <c r="AN370" i="4"/>
  <c r="AM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CT364" i="4"/>
  <c r="CS364" i="4"/>
  <c r="CR364" i="4"/>
  <c r="CQ364" i="4"/>
  <c r="BY364" i="4"/>
  <c r="BV364" i="4"/>
  <c r="BS364" i="4"/>
  <c r="BP364" i="4"/>
  <c r="BN364" i="4"/>
  <c r="BL364" i="4"/>
  <c r="BK364" i="4"/>
  <c r="BJ364" i="4"/>
  <c r="BI364" i="4"/>
  <c r="BH364" i="4"/>
  <c r="BG364" i="4"/>
  <c r="BE364" i="4"/>
  <c r="BD364" i="4"/>
  <c r="BC364" i="4"/>
  <c r="BB364" i="4"/>
  <c r="BA364" i="4"/>
  <c r="CT363" i="4"/>
  <c r="CS363" i="4"/>
  <c r="CR363" i="4"/>
  <c r="CB363" i="4"/>
  <c r="BY363" i="4"/>
  <c r="BV363" i="4"/>
  <c r="BS363" i="4"/>
  <c r="BP363" i="4"/>
  <c r="BN363" i="4"/>
  <c r="BL363" i="4"/>
  <c r="BK363" i="4"/>
  <c r="BJ363" i="4"/>
  <c r="BI363" i="4"/>
  <c r="BH363" i="4"/>
  <c r="BG363" i="4"/>
  <c r="BE363" i="4"/>
  <c r="BD363" i="4"/>
  <c r="BC363" i="4"/>
  <c r="BB363" i="4"/>
  <c r="BA363" i="4"/>
  <c r="AX364" i="4"/>
  <c r="AW364" i="4"/>
  <c r="AV364" i="4"/>
  <c r="AU364" i="4"/>
  <c r="AT364" i="4"/>
  <c r="AS364" i="4"/>
  <c r="AR364" i="4"/>
  <c r="AQ364" i="4"/>
  <c r="AP364" i="4"/>
  <c r="AO364" i="4"/>
  <c r="AN364" i="4"/>
  <c r="AM364" i="4"/>
  <c r="AX363" i="4"/>
  <c r="AW363" i="4"/>
  <c r="AV363" i="4"/>
  <c r="AU363" i="4"/>
  <c r="AT363" i="4"/>
  <c r="AS363" i="4"/>
  <c r="AR363" i="4"/>
  <c r="AQ363" i="4"/>
  <c r="AP363" i="4"/>
  <c r="AO363" i="4"/>
  <c r="AN363" i="4"/>
  <c r="AM363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CT358" i="4"/>
  <c r="CS358" i="4"/>
  <c r="CR358" i="4"/>
  <c r="CQ358" i="4"/>
  <c r="BY358" i="4"/>
  <c r="BV358" i="4"/>
  <c r="BS358" i="4"/>
  <c r="BP358" i="4"/>
  <c r="BN358" i="4"/>
  <c r="BL358" i="4"/>
  <c r="BK358" i="4"/>
  <c r="BK382" i="4" s="1"/>
  <c r="BJ358" i="4"/>
  <c r="BI358" i="4"/>
  <c r="BH358" i="4"/>
  <c r="BG358" i="4"/>
  <c r="BE358" i="4"/>
  <c r="BD358" i="4"/>
  <c r="BC358" i="4"/>
  <c r="BB358" i="4"/>
  <c r="BB382" i="4" s="1"/>
  <c r="BA358" i="4"/>
  <c r="AX358" i="4"/>
  <c r="AW358" i="4"/>
  <c r="AV358" i="4"/>
  <c r="AU358" i="4"/>
  <c r="AT358" i="4"/>
  <c r="AS358" i="4"/>
  <c r="AR358" i="4"/>
  <c r="AQ358" i="4"/>
  <c r="AP358" i="4"/>
  <c r="AO358" i="4"/>
  <c r="AN358" i="4"/>
  <c r="AM358" i="4"/>
  <c r="AJ358" i="4"/>
  <c r="AI358" i="4"/>
  <c r="AH358" i="4"/>
  <c r="AH382" i="4" s="1"/>
  <c r="AG358" i="4"/>
  <c r="AF358" i="4"/>
  <c r="AE358" i="4"/>
  <c r="AD358" i="4"/>
  <c r="AC358" i="4"/>
  <c r="AB358" i="4"/>
  <c r="AA358" i="4"/>
  <c r="Z358" i="4"/>
  <c r="Y358" i="4"/>
  <c r="V358" i="4"/>
  <c r="U358" i="4"/>
  <c r="T358" i="4"/>
  <c r="S358" i="4"/>
  <c r="R358" i="4"/>
  <c r="Q358" i="4"/>
  <c r="P358" i="4"/>
  <c r="P382" i="4" s="1"/>
  <c r="O358" i="4"/>
  <c r="N358" i="4"/>
  <c r="M358" i="4"/>
  <c r="L358" i="4"/>
  <c r="K358" i="4"/>
  <c r="J358" i="4"/>
  <c r="I358" i="4"/>
  <c r="H358" i="4"/>
  <c r="H382" i="4" s="1"/>
  <c r="G358" i="4"/>
  <c r="CT349" i="4"/>
  <c r="CS349" i="4"/>
  <c r="CR349" i="4"/>
  <c r="CQ349" i="4"/>
  <c r="BY349" i="4"/>
  <c r="BV349" i="4"/>
  <c r="BS349" i="4"/>
  <c r="BP349" i="4"/>
  <c r="BN349" i="4"/>
  <c r="BL349" i="4"/>
  <c r="BK349" i="4"/>
  <c r="BJ349" i="4"/>
  <c r="BI349" i="4"/>
  <c r="BH349" i="4"/>
  <c r="BG349" i="4"/>
  <c r="BE349" i="4"/>
  <c r="BD349" i="4"/>
  <c r="BC349" i="4"/>
  <c r="BB349" i="4"/>
  <c r="BA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CB376" i="4"/>
  <c r="W348" i="4"/>
  <c r="W376" i="4" s="1"/>
  <c r="B348" i="4"/>
  <c r="W346" i="4"/>
  <c r="W370" i="4" s="1"/>
  <c r="B346" i="4"/>
  <c r="CB364" i="4"/>
  <c r="W344" i="4"/>
  <c r="B344" i="4"/>
  <c r="W342" i="4"/>
  <c r="W358" i="4" s="1"/>
  <c r="B342" i="4"/>
  <c r="CB328" i="4"/>
  <c r="AJ375" i="4"/>
  <c r="AD375" i="4"/>
  <c r="AB375" i="4"/>
  <c r="S334" i="4"/>
  <c r="R334" i="4"/>
  <c r="R375" i="4" s="1"/>
  <c r="Q334" i="4"/>
  <c r="P334" i="4"/>
  <c r="P375" i="4" s="1"/>
  <c r="O334" i="4"/>
  <c r="O375" i="4" s="1"/>
  <c r="N334" i="4"/>
  <c r="N375" i="4" s="1"/>
  <c r="M334" i="4"/>
  <c r="M375" i="4" s="1"/>
  <c r="L334" i="4"/>
  <c r="L375" i="4"/>
  <c r="K334" i="4"/>
  <c r="K375" i="4" s="1"/>
  <c r="J334" i="4"/>
  <c r="J375" i="4" s="1"/>
  <c r="I334" i="4"/>
  <c r="I375" i="4" s="1"/>
  <c r="H334" i="4"/>
  <c r="H375" i="4" s="1"/>
  <c r="G334" i="4"/>
  <c r="G375" i="4" s="1"/>
  <c r="CT331" i="4"/>
  <c r="CT330" i="4"/>
  <c r="W331" i="4"/>
  <c r="W327" i="4"/>
  <c r="W330" i="4"/>
  <c r="W329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B331" i="4"/>
  <c r="B327" i="4"/>
  <c r="B330" i="4"/>
  <c r="B329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V327" i="4"/>
  <c r="V334" i="4"/>
  <c r="V375" i="4" s="1"/>
  <c r="U327" i="4"/>
  <c r="U334" i="4" s="1"/>
  <c r="U375" i="4" s="1"/>
  <c r="T327" i="4"/>
  <c r="T334" i="4"/>
  <c r="T375" i="4" s="1"/>
  <c r="CR329" i="4"/>
  <c r="S308" i="4"/>
  <c r="R308" i="4"/>
  <c r="Q308" i="4"/>
  <c r="P308" i="4"/>
  <c r="P369" i="4"/>
  <c r="O308" i="4"/>
  <c r="O369" i="4" s="1"/>
  <c r="N308" i="4"/>
  <c r="N369" i="4" s="1"/>
  <c r="M308" i="4"/>
  <c r="M369" i="4"/>
  <c r="L308" i="4"/>
  <c r="L369" i="4"/>
  <c r="K308" i="4"/>
  <c r="K369" i="4" s="1"/>
  <c r="J308" i="4"/>
  <c r="J369" i="4" s="1"/>
  <c r="I308" i="4"/>
  <c r="I369" i="4" s="1"/>
  <c r="H308" i="4"/>
  <c r="H369" i="4" s="1"/>
  <c r="G308" i="4"/>
  <c r="G369" i="4"/>
  <c r="W305" i="4"/>
  <c r="W301" i="4"/>
  <c r="W299" i="4"/>
  <c r="W298" i="4"/>
  <c r="W302" i="4"/>
  <c r="W297" i="4"/>
  <c r="W296" i="4"/>
  <c r="B305" i="4"/>
  <c r="B301" i="4"/>
  <c r="B299" i="4"/>
  <c r="B298" i="4"/>
  <c r="B302" i="4"/>
  <c r="B297" i="4"/>
  <c r="B296" i="4"/>
  <c r="AJ301" i="4"/>
  <c r="AI301" i="4"/>
  <c r="AI300" i="4" s="1"/>
  <c r="AI308" i="4" s="1"/>
  <c r="BV9" i="80" s="1"/>
  <c r="AH301" i="4"/>
  <c r="AG301" i="4"/>
  <c r="AF301" i="4"/>
  <c r="AE301" i="4"/>
  <c r="AD301" i="4"/>
  <c r="AC301" i="4"/>
  <c r="AB301" i="4"/>
  <c r="AA301" i="4"/>
  <c r="Z301" i="4"/>
  <c r="Y301" i="4"/>
  <c r="V298" i="4"/>
  <c r="V308" i="4" s="1"/>
  <c r="V369" i="4" s="1"/>
  <c r="U298" i="4"/>
  <c r="U308" i="4"/>
  <c r="U369" i="4" s="1"/>
  <c r="T298" i="4"/>
  <c r="T308" i="4" s="1"/>
  <c r="T369" i="4" s="1"/>
  <c r="CT305" i="4"/>
  <c r="CT304" i="4" s="1"/>
  <c r="CR299" i="4"/>
  <c r="CS299" i="4" s="1"/>
  <c r="CT299" i="4" s="1"/>
  <c r="CU299" i="4" s="1"/>
  <c r="CR298" i="4"/>
  <c r="CS298" i="4" s="1"/>
  <c r="CT298" i="4" s="1"/>
  <c r="CU298" i="4" s="1"/>
  <c r="CR302" i="4"/>
  <c r="CS302" i="4" s="1"/>
  <c r="CT302" i="4" s="1"/>
  <c r="CU302" i="4" s="1"/>
  <c r="BE297" i="4"/>
  <c r="BE295" i="4"/>
  <c r="BE308" i="4" s="1"/>
  <c r="B293" i="4"/>
  <c r="S288" i="4"/>
  <c r="R288" i="4"/>
  <c r="Q288" i="4"/>
  <c r="P288" i="4"/>
  <c r="O288" i="4"/>
  <c r="N288" i="4"/>
  <c r="M288" i="4"/>
  <c r="M336" i="4" s="1"/>
  <c r="L288" i="4"/>
  <c r="L357" i="4" s="1"/>
  <c r="K288" i="4"/>
  <c r="K357" i="4"/>
  <c r="J288" i="4"/>
  <c r="I288" i="4"/>
  <c r="I357" i="4" s="1"/>
  <c r="H288" i="4"/>
  <c r="W284" i="4"/>
  <c r="W281" i="4"/>
  <c r="W287" i="4"/>
  <c r="W283" i="4"/>
  <c r="W282" i="4"/>
  <c r="W286" i="4"/>
  <c r="W285" i="4"/>
  <c r="W280" i="4"/>
  <c r="W279" i="4"/>
  <c r="W278" i="4"/>
  <c r="W277" i="4"/>
  <c r="W276" i="4"/>
  <c r="W275" i="4"/>
  <c r="W274" i="4"/>
  <c r="W273" i="4"/>
  <c r="W272" i="4"/>
  <c r="W271" i="4"/>
  <c r="B281" i="4"/>
  <c r="B287" i="4"/>
  <c r="B283" i="4"/>
  <c r="B282" i="4"/>
  <c r="B286" i="4"/>
  <c r="B285" i="4"/>
  <c r="CT281" i="4"/>
  <c r="CS281" i="4"/>
  <c r="B279" i="4"/>
  <c r="B278" i="4"/>
  <c r="B277" i="4"/>
  <c r="B276" i="4"/>
  <c r="B275" i="4"/>
  <c r="B274" i="4"/>
  <c r="B273" i="4"/>
  <c r="B272" i="4"/>
  <c r="B271" i="4"/>
  <c r="G278" i="4"/>
  <c r="G288" i="4" s="1"/>
  <c r="G357" i="4" s="1"/>
  <c r="AJ276" i="4"/>
  <c r="AF276" i="4"/>
  <c r="AC276" i="4"/>
  <c r="Z276" i="4"/>
  <c r="CR286" i="4"/>
  <c r="CS286" i="4" s="1"/>
  <c r="CT286" i="4" s="1"/>
  <c r="CU286" i="4" s="1"/>
  <c r="CR285" i="4"/>
  <c r="CS285" i="4" s="1"/>
  <c r="CT285" i="4" s="1"/>
  <c r="CU285" i="4" s="1"/>
  <c r="CR279" i="4"/>
  <c r="CS279" i="4" s="1"/>
  <c r="CT279" i="4" s="1"/>
  <c r="CU279" i="4" s="1"/>
  <c r="CS278" i="4"/>
  <c r="CT278" i="4"/>
  <c r="CU278" i="4" s="1"/>
  <c r="CR278" i="4"/>
  <c r="CR277" i="4"/>
  <c r="CS277" i="4" s="1"/>
  <c r="CT277" i="4" s="1"/>
  <c r="CU277" i="4" s="1"/>
  <c r="CR276" i="4"/>
  <c r="CS276" i="4" s="1"/>
  <c r="CT276" i="4" s="1"/>
  <c r="CU276" i="4" s="1"/>
  <c r="CR275" i="4"/>
  <c r="CS275" i="4" s="1"/>
  <c r="CT275" i="4" s="1"/>
  <c r="CU275" i="4" s="1"/>
  <c r="AX273" i="4"/>
  <c r="AW273" i="4"/>
  <c r="AV273" i="4"/>
  <c r="AU273" i="4"/>
  <c r="AT273" i="4"/>
  <c r="AS273" i="4"/>
  <c r="AS270" i="4" s="1"/>
  <c r="AS288" i="4"/>
  <c r="AR273" i="4"/>
  <c r="AQ273" i="4"/>
  <c r="AQ270" i="4" s="1"/>
  <c r="AQ288" i="4" s="1"/>
  <c r="AP273" i="4"/>
  <c r="AO273" i="4"/>
  <c r="AO270" i="4" s="1"/>
  <c r="AO288" i="4" s="1"/>
  <c r="AN273" i="4"/>
  <c r="AN270" i="4"/>
  <c r="AN288" i="4" s="1"/>
  <c r="AM273" i="4"/>
  <c r="AM270" i="4" s="1"/>
  <c r="AM288" i="4" s="1"/>
  <c r="AM357" i="4" s="1"/>
  <c r="V273" i="4"/>
  <c r="V288" i="4"/>
  <c r="U273" i="4"/>
  <c r="U288" i="4"/>
  <c r="T273" i="4"/>
  <c r="T288" i="4"/>
  <c r="AJ272" i="4"/>
  <c r="AI272" i="4"/>
  <c r="AH272" i="4"/>
  <c r="AH270" i="4"/>
  <c r="AG272" i="4"/>
  <c r="AG270" i="4"/>
  <c r="AG288" i="4" s="1"/>
  <c r="BP7" i="80" s="1"/>
  <c r="AF272" i="4"/>
  <c r="AE272" i="4"/>
  <c r="AE270" i="4" s="1"/>
  <c r="AD272" i="4"/>
  <c r="AD270" i="4" s="1"/>
  <c r="AD288" i="4" s="1"/>
  <c r="BJ17" i="80" s="1"/>
  <c r="AC272" i="4"/>
  <c r="AB272" i="4"/>
  <c r="AB270" i="4"/>
  <c r="AA272" i="4"/>
  <c r="AA270" i="4"/>
  <c r="AA288" i="4" s="1"/>
  <c r="BD17" i="80" s="1"/>
  <c r="Z272" i="4"/>
  <c r="Y272" i="4"/>
  <c r="Y270" i="4" s="1"/>
  <c r="BH374" i="4"/>
  <c r="S265" i="4"/>
  <c r="R265" i="4"/>
  <c r="Q265" i="4"/>
  <c r="P265" i="4"/>
  <c r="P374" i="4" s="1"/>
  <c r="O265" i="4"/>
  <c r="O374" i="4" s="1"/>
  <c r="N265" i="4"/>
  <c r="N374" i="4" s="1"/>
  <c r="M265" i="4"/>
  <c r="M374" i="4" s="1"/>
  <c r="L265" i="4"/>
  <c r="L374" i="4" s="1"/>
  <c r="K265" i="4"/>
  <c r="K374" i="4" s="1"/>
  <c r="K377" i="4" s="1"/>
  <c r="K389" i="4" s="1"/>
  <c r="J265" i="4"/>
  <c r="J374" i="4" s="1"/>
  <c r="I265" i="4"/>
  <c r="I374" i="4" s="1"/>
  <c r="H265" i="4"/>
  <c r="H374" i="4" s="1"/>
  <c r="G265" i="4"/>
  <c r="G374" i="4" s="1"/>
  <c r="CT261" i="4"/>
  <c r="W261" i="4"/>
  <c r="W257" i="4"/>
  <c r="W256" i="4"/>
  <c r="W259" i="4"/>
  <c r="W258" i="4"/>
  <c r="W254" i="4"/>
  <c r="W251" i="4"/>
  <c r="W250" i="4"/>
  <c r="W249" i="4"/>
  <c r="W248" i="4"/>
  <c r="W246" i="4"/>
  <c r="W245" i="4"/>
  <c r="W244" i="4"/>
  <c r="W243" i="4"/>
  <c r="W242" i="4"/>
  <c r="W241" i="4"/>
  <c r="W240" i="4"/>
  <c r="W255" i="4"/>
  <c r="W239" i="4"/>
  <c r="W238" i="4"/>
  <c r="W237" i="4"/>
  <c r="B256" i="4"/>
  <c r="CS257" i="4"/>
  <c r="CT257" i="4"/>
  <c r="CU257" i="4" s="1"/>
  <c r="CR259" i="4"/>
  <c r="CS259" i="4" s="1"/>
  <c r="CT259" i="4" s="1"/>
  <c r="CU259" i="4" s="1"/>
  <c r="CR258" i="4"/>
  <c r="CR251" i="4"/>
  <c r="CS251" i="4" s="1"/>
  <c r="CT251" i="4" s="1"/>
  <c r="CU251" i="4" s="1"/>
  <c r="B251" i="4"/>
  <c r="B250" i="4"/>
  <c r="B249" i="4"/>
  <c r="B248" i="4"/>
  <c r="B246" i="4"/>
  <c r="B245" i="4"/>
  <c r="B244" i="4"/>
  <c r="B243" i="4"/>
  <c r="B242" i="4"/>
  <c r="B241" i="4"/>
  <c r="B240" i="4"/>
  <c r="B255" i="4"/>
  <c r="B239" i="4"/>
  <c r="B238" i="4"/>
  <c r="B237" i="4"/>
  <c r="V249" i="4"/>
  <c r="U249" i="4"/>
  <c r="T249" i="4"/>
  <c r="Y248" i="4"/>
  <c r="V246" i="4"/>
  <c r="Y246" i="4"/>
  <c r="U246" i="4"/>
  <c r="T246" i="4"/>
  <c r="CR249" i="4"/>
  <c r="CS249" i="4"/>
  <c r="CT249" i="4" s="1"/>
  <c r="CU249" i="4" s="1"/>
  <c r="CR248" i="4"/>
  <c r="CS248" i="4" s="1"/>
  <c r="CT248" i="4" s="1"/>
  <c r="CU248" i="4" s="1"/>
  <c r="CR246" i="4"/>
  <c r="CS246" i="4"/>
  <c r="CT246" i="4" s="1"/>
  <c r="CU246" i="4" s="1"/>
  <c r="CU245" i="4"/>
  <c r="V241" i="4"/>
  <c r="Y241" i="4"/>
  <c r="U241" i="4"/>
  <c r="T241" i="4"/>
  <c r="AJ240" i="4"/>
  <c r="AH240" i="4"/>
  <c r="AG240" i="4"/>
  <c r="AF240" i="4"/>
  <c r="AE240" i="4"/>
  <c r="AD240" i="4"/>
  <c r="AC240" i="4"/>
  <c r="AB240" i="4"/>
  <c r="AA240" i="4"/>
  <c r="V238" i="4"/>
  <c r="U238" i="4"/>
  <c r="T238" i="4"/>
  <c r="CR242" i="4"/>
  <c r="CS242" i="4" s="1"/>
  <c r="CT242" i="4" s="1"/>
  <c r="CU242" i="4" s="1"/>
  <c r="CR241" i="4"/>
  <c r="CS241" i="4" s="1"/>
  <c r="CT241" i="4" s="1"/>
  <c r="CU241" i="4" s="1"/>
  <c r="CR240" i="4"/>
  <c r="CS240" i="4"/>
  <c r="CT240" i="4" s="1"/>
  <c r="CU240" i="4" s="1"/>
  <c r="CR239" i="4"/>
  <c r="CS239" i="4" s="1"/>
  <c r="CT239" i="4" s="1"/>
  <c r="CU239" i="4" s="1"/>
  <c r="BH368" i="4"/>
  <c r="S234" i="4"/>
  <c r="R234" i="4"/>
  <c r="Q234" i="4"/>
  <c r="P234" i="4"/>
  <c r="O234" i="4"/>
  <c r="O368" i="4"/>
  <c r="N234" i="4"/>
  <c r="N368" i="4" s="1"/>
  <c r="M234" i="4"/>
  <c r="M368" i="4" s="1"/>
  <c r="L234" i="4"/>
  <c r="L368" i="4" s="1"/>
  <c r="K234" i="4"/>
  <c r="J234" i="4"/>
  <c r="J368" i="4"/>
  <c r="I234" i="4"/>
  <c r="I368" i="4"/>
  <c r="H234" i="4"/>
  <c r="H368" i="4" s="1"/>
  <c r="G234" i="4"/>
  <c r="G368" i="4"/>
  <c r="G371" i="4" s="1"/>
  <c r="G388" i="4" s="1"/>
  <c r="W203" i="4"/>
  <c r="W216" i="4"/>
  <c r="W206" i="4"/>
  <c r="W208" i="4"/>
  <c r="W211" i="4"/>
  <c r="W218" i="4"/>
  <c r="W196" i="4"/>
  <c r="W198" i="4"/>
  <c r="W201" i="4"/>
  <c r="W215" i="4"/>
  <c r="W213" i="4"/>
  <c r="W204" i="4"/>
  <c r="W200" i="4"/>
  <c r="W217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B203" i="4"/>
  <c r="B216" i="4"/>
  <c r="B206" i="4"/>
  <c r="B208" i="4"/>
  <c r="B211" i="4"/>
  <c r="B218" i="4"/>
  <c r="B196" i="4"/>
  <c r="B198" i="4"/>
  <c r="B201" i="4"/>
  <c r="B215" i="4"/>
  <c r="B213" i="4"/>
  <c r="B204" i="4"/>
  <c r="B200" i="4"/>
  <c r="B217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CT216" i="4"/>
  <c r="CT206" i="4"/>
  <c r="CS208" i="4"/>
  <c r="CT208" i="4"/>
  <c r="CU208" i="4" s="1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AC215" i="4"/>
  <c r="AB215" i="4"/>
  <c r="AA215" i="4"/>
  <c r="Z215" i="4"/>
  <c r="Y215" i="4"/>
  <c r="CR211" i="4"/>
  <c r="CS211" i="4" s="1"/>
  <c r="CT211" i="4" s="1"/>
  <c r="CU211" i="4" s="1"/>
  <c r="CR218" i="4"/>
  <c r="CS218" i="4"/>
  <c r="CT218" i="4" s="1"/>
  <c r="CU218" i="4" s="1"/>
  <c r="CR201" i="4"/>
  <c r="CS201" i="4" s="1"/>
  <c r="CT201" i="4" s="1"/>
  <c r="CU201" i="4" s="1"/>
  <c r="CR215" i="4"/>
  <c r="CS215" i="4"/>
  <c r="CT215" i="4" s="1"/>
  <c r="CU215" i="4" s="1"/>
  <c r="CR204" i="4"/>
  <c r="CS204" i="4" s="1"/>
  <c r="CT204" i="4" s="1"/>
  <c r="CU204" i="4" s="1"/>
  <c r="CR200" i="4"/>
  <c r="CS200" i="4"/>
  <c r="CT200" i="4" s="1"/>
  <c r="CU200" i="4" s="1"/>
  <c r="CR217" i="4"/>
  <c r="CS217" i="4"/>
  <c r="CT217" i="4" s="1"/>
  <c r="CU217" i="4" s="1"/>
  <c r="CR192" i="4"/>
  <c r="CS192" i="4"/>
  <c r="CT192" i="4" s="1"/>
  <c r="CU192" i="4" s="1"/>
  <c r="BE192" i="4"/>
  <c r="BE171" i="4"/>
  <c r="BC192" i="4"/>
  <c r="BC171" i="4"/>
  <c r="BC234" i="4" s="1"/>
  <c r="H9" i="80" s="1"/>
  <c r="V200" i="4"/>
  <c r="U200" i="4"/>
  <c r="T200" i="4"/>
  <c r="V217" i="4"/>
  <c r="U217" i="4"/>
  <c r="T217" i="4"/>
  <c r="V192" i="4"/>
  <c r="U192" i="4"/>
  <c r="T192" i="4"/>
  <c r="AJ189" i="4"/>
  <c r="AJ171" i="4" s="1"/>
  <c r="AI189" i="4"/>
  <c r="AI171" i="4" s="1"/>
  <c r="AH189" i="4"/>
  <c r="AH171" i="4" s="1"/>
  <c r="AG189" i="4"/>
  <c r="AG171" i="4" s="1"/>
  <c r="AF189" i="4"/>
  <c r="AF171" i="4" s="1"/>
  <c r="AE189" i="4"/>
  <c r="AE171" i="4" s="1"/>
  <c r="CR190" i="4"/>
  <c r="CS190" i="4" s="1"/>
  <c r="CT190" i="4" s="1"/>
  <c r="CU190" i="4" s="1"/>
  <c r="CR189" i="4"/>
  <c r="CS189" i="4" s="1"/>
  <c r="CT189" i="4" s="1"/>
  <c r="CU189" i="4" s="1"/>
  <c r="CR188" i="4"/>
  <c r="CS188" i="4" s="1"/>
  <c r="CT188" i="4" s="1"/>
  <c r="CU188" i="4" s="1"/>
  <c r="CR187" i="4"/>
  <c r="CS187" i="4" s="1"/>
  <c r="CT187" i="4" s="1"/>
  <c r="CU187" i="4" s="1"/>
  <c r="Y183" i="4"/>
  <c r="Y181" i="4"/>
  <c r="CR184" i="4"/>
  <c r="CS184" i="4" s="1"/>
  <c r="CT184" i="4" s="1"/>
  <c r="CU184" i="4" s="1"/>
  <c r="CR183" i="4"/>
  <c r="CS183" i="4" s="1"/>
  <c r="CT183" i="4" s="1"/>
  <c r="CU183" i="4" s="1"/>
  <c r="CR182" i="4"/>
  <c r="CS182" i="4" s="1"/>
  <c r="CT182" i="4"/>
  <c r="CU182" i="4" s="1"/>
  <c r="CR181" i="4"/>
  <c r="CS181" i="4" s="1"/>
  <c r="CT181" i="4" s="1"/>
  <c r="CU181" i="4" s="1"/>
  <c r="CR180" i="4"/>
  <c r="CS180" i="4" s="1"/>
  <c r="CT180" i="4" s="1"/>
  <c r="CU180" i="4" s="1"/>
  <c r="CR179" i="4"/>
  <c r="CR176" i="4"/>
  <c r="CS176" i="4" s="1"/>
  <c r="CT176" i="4"/>
  <c r="CU176" i="4" s="1"/>
  <c r="V169" i="4"/>
  <c r="V362" i="4" s="1"/>
  <c r="U169" i="4"/>
  <c r="U362" i="4" s="1"/>
  <c r="S169" i="4"/>
  <c r="R169" i="4"/>
  <c r="Q169" i="4"/>
  <c r="P169" i="4"/>
  <c r="P362" i="4"/>
  <c r="P365" i="4" s="1"/>
  <c r="P387" i="4" s="1"/>
  <c r="O169" i="4"/>
  <c r="O362" i="4" s="1"/>
  <c r="N169" i="4"/>
  <c r="N362" i="4" s="1"/>
  <c r="M169" i="4"/>
  <c r="M362" i="4" s="1"/>
  <c r="L169" i="4"/>
  <c r="L362" i="4" s="1"/>
  <c r="L365" i="4" s="1"/>
  <c r="L387" i="4" s="1"/>
  <c r="K169" i="4"/>
  <c r="K362" i="4"/>
  <c r="K365" i="4" s="1"/>
  <c r="K387" i="4" s="1"/>
  <c r="J169" i="4"/>
  <c r="J362" i="4" s="1"/>
  <c r="I169" i="4"/>
  <c r="I362" i="4"/>
  <c r="H169" i="4"/>
  <c r="H362" i="4" s="1"/>
  <c r="G169" i="4"/>
  <c r="G362" i="4" s="1"/>
  <c r="G365" i="4" s="1"/>
  <c r="G387" i="4" s="1"/>
  <c r="W165" i="4"/>
  <c r="W162" i="4"/>
  <c r="W159" i="4"/>
  <c r="W156" i="4"/>
  <c r="W152" i="4"/>
  <c r="W151" i="4"/>
  <c r="W150" i="4"/>
  <c r="W149" i="4"/>
  <c r="W148" i="4"/>
  <c r="W147" i="4"/>
  <c r="W146" i="4"/>
  <c r="W145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B165" i="4"/>
  <c r="B162" i="4"/>
  <c r="B159" i="4"/>
  <c r="B156" i="4"/>
  <c r="B152" i="4"/>
  <c r="B151" i="4"/>
  <c r="B150" i="4"/>
  <c r="B149" i="4"/>
  <c r="B148" i="4"/>
  <c r="B147" i="4"/>
  <c r="B146" i="4"/>
  <c r="B145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AJ162" i="4"/>
  <c r="AJ157" i="4"/>
  <c r="AI162" i="4"/>
  <c r="AI157" i="4"/>
  <c r="AH162" i="4"/>
  <c r="AH157" i="4" s="1"/>
  <c r="AG162" i="4"/>
  <c r="AG157" i="4"/>
  <c r="AF162" i="4"/>
  <c r="AF157" i="4"/>
  <c r="AE162" i="4"/>
  <c r="AE157" i="4"/>
  <c r="AD162" i="4"/>
  <c r="AD157" i="4" s="1"/>
  <c r="AC162" i="4"/>
  <c r="AC157" i="4"/>
  <c r="AB162" i="4"/>
  <c r="AB157" i="4"/>
  <c r="AA162" i="4"/>
  <c r="AA157" i="4"/>
  <c r="Z162" i="4"/>
  <c r="Z157" i="4" s="1"/>
  <c r="Y162" i="4"/>
  <c r="Y157" i="4"/>
  <c r="CR162" i="4"/>
  <c r="CS162" i="4" s="1"/>
  <c r="CT162" i="4" s="1"/>
  <c r="CU162" i="4" s="1"/>
  <c r="CS159" i="4"/>
  <c r="CT159" i="4"/>
  <c r="CR152" i="4"/>
  <c r="CS152" i="4" s="1"/>
  <c r="CT152" i="4" s="1"/>
  <c r="CU152" i="4" s="1"/>
  <c r="BC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CR146" i="4"/>
  <c r="CS146" i="4"/>
  <c r="CT146" i="4" s="1"/>
  <c r="CU146" i="4" s="1"/>
  <c r="CR143" i="4"/>
  <c r="CS143" i="4" s="1"/>
  <c r="CT143" i="4" s="1"/>
  <c r="CU143" i="4" s="1"/>
  <c r="CR142" i="4"/>
  <c r="CS142" i="4" s="1"/>
  <c r="CT142" i="4" s="1"/>
  <c r="CU142" i="4" s="1"/>
  <c r="BC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BC138" i="4"/>
  <c r="Y138" i="4"/>
  <c r="CR138" i="4"/>
  <c r="CS138" i="4" s="1"/>
  <c r="CT138" i="4" s="1"/>
  <c r="CU138" i="4" s="1"/>
  <c r="CR137" i="4"/>
  <c r="CS137" i="4"/>
  <c r="CT137" i="4" s="1"/>
  <c r="CU137" i="4" s="1"/>
  <c r="CR136" i="4"/>
  <c r="CR135" i="4"/>
  <c r="CS135" i="4"/>
  <c r="CT135" i="4" s="1"/>
  <c r="CU135" i="4" s="1"/>
  <c r="Y135" i="4"/>
  <c r="CR133" i="4"/>
  <c r="BC133" i="4"/>
  <c r="Y133" i="4"/>
  <c r="CR130" i="4"/>
  <c r="CS130" i="4" s="1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BC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T127" i="4"/>
  <c r="T169" i="4" s="1"/>
  <c r="T362" i="4" s="1"/>
  <c r="CR126" i="4"/>
  <c r="S119" i="4"/>
  <c r="R119" i="4"/>
  <c r="Q119" i="4"/>
  <c r="P119" i="4"/>
  <c r="O119" i="4"/>
  <c r="O356" i="4" s="1"/>
  <c r="N119" i="4"/>
  <c r="N356" i="4" s="1"/>
  <c r="M119" i="4"/>
  <c r="M356" i="4" s="1"/>
  <c r="L119" i="4"/>
  <c r="K119" i="4"/>
  <c r="K356" i="4"/>
  <c r="J119" i="4"/>
  <c r="J356" i="4" s="1"/>
  <c r="I119" i="4"/>
  <c r="H119" i="4"/>
  <c r="H267" i="4" s="1"/>
  <c r="G119" i="4"/>
  <c r="CT94" i="4"/>
  <c r="CT91" i="4"/>
  <c r="W94" i="4"/>
  <c r="W91" i="4"/>
  <c r="W109" i="4"/>
  <c r="W105" i="4"/>
  <c r="W92" i="4"/>
  <c r="W115" i="4"/>
  <c r="W110" i="4"/>
  <c r="W93" i="4"/>
  <c r="W77" i="4"/>
  <c r="W82" i="4"/>
  <c r="W95" i="4"/>
  <c r="W62" i="4"/>
  <c r="W80" i="4"/>
  <c r="W36" i="4"/>
  <c r="W87" i="4"/>
  <c r="W104" i="4"/>
  <c r="W86" i="4"/>
  <c r="W75" i="4"/>
  <c r="W43" i="4"/>
  <c r="W97" i="4"/>
  <c r="W25" i="4"/>
  <c r="W78" i="4"/>
  <c r="W37" i="4"/>
  <c r="B94" i="4"/>
  <c r="B91" i="4"/>
  <c r="B109" i="4"/>
  <c r="B105" i="4"/>
  <c r="B92" i="4"/>
  <c r="B115" i="4"/>
  <c r="B110" i="4"/>
  <c r="B93" i="4"/>
  <c r="B77" i="4"/>
  <c r="B82" i="4"/>
  <c r="B95" i="4"/>
  <c r="B62" i="4"/>
  <c r="B80" i="4"/>
  <c r="B36" i="4"/>
  <c r="B87" i="4"/>
  <c r="B104" i="4"/>
  <c r="B86" i="4"/>
  <c r="B75" i="4"/>
  <c r="B43" i="4"/>
  <c r="B97" i="4"/>
  <c r="B25" i="4"/>
  <c r="B78" i="4"/>
  <c r="B37" i="4"/>
  <c r="B88" i="4"/>
  <c r="B99" i="4"/>
  <c r="B89" i="4"/>
  <c r="B90" i="4"/>
  <c r="CS109" i="4"/>
  <c r="CT109" i="4" s="1"/>
  <c r="CU109" i="4" s="1"/>
  <c r="CS105" i="4"/>
  <c r="CT105" i="4" s="1"/>
  <c r="CU105" i="4" s="1"/>
  <c r="CS92" i="4"/>
  <c r="CT92" i="4"/>
  <c r="CU92" i="4"/>
  <c r="CS115" i="4"/>
  <c r="CT115" i="4"/>
  <c r="CU115" i="4" s="1"/>
  <c r="CR110" i="4"/>
  <c r="CS110" i="4" s="1"/>
  <c r="CT110" i="4" s="1"/>
  <c r="CU110" i="4" s="1"/>
  <c r="CR93" i="4"/>
  <c r="CS93" i="4" s="1"/>
  <c r="CT93" i="4" s="1"/>
  <c r="CU93" i="4" s="1"/>
  <c r="CR77" i="4"/>
  <c r="CS77" i="4" s="1"/>
  <c r="CT77" i="4"/>
  <c r="CU77" i="4" s="1"/>
  <c r="CR82" i="4"/>
  <c r="CS82" i="4" s="1"/>
  <c r="CT82" i="4" s="1"/>
  <c r="CU82" i="4" s="1"/>
  <c r="CR95" i="4"/>
  <c r="CS95" i="4" s="1"/>
  <c r="CT95" i="4" s="1"/>
  <c r="CU95" i="4" s="1"/>
  <c r="CS62" i="4"/>
  <c r="CT62" i="4" s="1"/>
  <c r="CU62" i="4" s="1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CR87" i="4"/>
  <c r="CS87" i="4" s="1"/>
  <c r="CT87" i="4" s="1"/>
  <c r="CU87" i="4" s="1"/>
  <c r="CR104" i="4"/>
  <c r="AJ75" i="4"/>
  <c r="AJ72" i="4"/>
  <c r="AI75" i="4"/>
  <c r="AI72" i="4" s="1"/>
  <c r="AH75" i="4"/>
  <c r="AH72" i="4" s="1"/>
  <c r="AG75" i="4"/>
  <c r="AG72" i="4" s="1"/>
  <c r="AF75" i="4"/>
  <c r="AF72" i="4" s="1"/>
  <c r="AE75" i="4"/>
  <c r="AE72" i="4" s="1"/>
  <c r="AD75" i="4"/>
  <c r="AD72" i="4"/>
  <c r="AC75" i="4"/>
  <c r="AC72" i="4" s="1"/>
  <c r="AB75" i="4"/>
  <c r="AB72" i="4"/>
  <c r="AA75" i="4"/>
  <c r="AA72" i="4" s="1"/>
  <c r="Z75" i="4"/>
  <c r="Z72" i="4"/>
  <c r="Y75" i="4"/>
  <c r="Y72" i="4" s="1"/>
  <c r="CR97" i="4"/>
  <c r="CS97" i="4" s="1"/>
  <c r="CT97" i="4" s="1"/>
  <c r="CU97" i="4" s="1"/>
  <c r="AX88" i="4"/>
  <c r="AW88" i="4"/>
  <c r="AV88" i="4"/>
  <c r="AU88" i="4"/>
  <c r="AT88" i="4"/>
  <c r="AS88" i="4"/>
  <c r="AR88" i="4"/>
  <c r="AQ88" i="4"/>
  <c r="AP88" i="4"/>
  <c r="AO88" i="4"/>
  <c r="AN88" i="4"/>
  <c r="AM88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W89" i="4"/>
  <c r="W90" i="4"/>
  <c r="W71" i="4"/>
  <c r="W70" i="4"/>
  <c r="W69" i="4"/>
  <c r="W68" i="4"/>
  <c r="W67" i="4"/>
  <c r="W66" i="4"/>
  <c r="W65" i="4"/>
  <c r="W64" i="4"/>
  <c r="W63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2" i="4"/>
  <c r="W41" i="4"/>
  <c r="W40" i="4"/>
  <c r="W39" i="4"/>
  <c r="W38" i="4"/>
  <c r="W35" i="4"/>
  <c r="W34" i="4"/>
  <c r="W33" i="4"/>
  <c r="W32" i="4"/>
  <c r="W31" i="4"/>
  <c r="W30" i="4"/>
  <c r="W29" i="4"/>
  <c r="W28" i="4"/>
  <c r="W27" i="4"/>
  <c r="W26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Y71" i="4"/>
  <c r="Y70" i="4"/>
  <c r="B71" i="4"/>
  <c r="B70" i="4"/>
  <c r="B69" i="4"/>
  <c r="B68" i="4"/>
  <c r="B67" i="4"/>
  <c r="B66" i="4"/>
  <c r="B65" i="4"/>
  <c r="B64" i="4"/>
  <c r="B63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2" i="4"/>
  <c r="B41" i="4"/>
  <c r="B40" i="4"/>
  <c r="B39" i="4"/>
  <c r="B38" i="4"/>
  <c r="B35" i="4"/>
  <c r="B34" i="4"/>
  <c r="B33" i="4"/>
  <c r="B32" i="4"/>
  <c r="B31" i="4"/>
  <c r="B30" i="4"/>
  <c r="B29" i="4"/>
  <c r="B28" i="4"/>
  <c r="B27" i="4"/>
  <c r="B26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CR78" i="4"/>
  <c r="CS78" i="4" s="1"/>
  <c r="CT78" i="4" s="1"/>
  <c r="CU78" i="4" s="1"/>
  <c r="CR37" i="4"/>
  <c r="CS37" i="4" s="1"/>
  <c r="CT37" i="4" s="1"/>
  <c r="CU37" i="4" s="1"/>
  <c r="CR88" i="4"/>
  <c r="CS88" i="4" s="1"/>
  <c r="CT88" i="4" s="1"/>
  <c r="CU88" i="4" s="1"/>
  <c r="CR99" i="4"/>
  <c r="CS99" i="4" s="1"/>
  <c r="CT99" i="4" s="1"/>
  <c r="CU99" i="4" s="1"/>
  <c r="CR89" i="4"/>
  <c r="CS89" i="4" s="1"/>
  <c r="CT89" i="4" s="1"/>
  <c r="CU89" i="4" s="1"/>
  <c r="CR90" i="4"/>
  <c r="CS90" i="4" s="1"/>
  <c r="CT90" i="4" s="1"/>
  <c r="CU90" i="4" s="1"/>
  <c r="CR71" i="4"/>
  <c r="CS71" i="4" s="1"/>
  <c r="CT71" i="4"/>
  <c r="CU71" i="4" s="1"/>
  <c r="CR70" i="4"/>
  <c r="CS70" i="4" s="1"/>
  <c r="CT70" i="4" s="1"/>
  <c r="CU70" i="4" s="1"/>
  <c r="CR69" i="4"/>
  <c r="CS69" i="4" s="1"/>
  <c r="CT69" i="4" s="1"/>
  <c r="CU69" i="4" s="1"/>
  <c r="CR68" i="4"/>
  <c r="CS68" i="4" s="1"/>
  <c r="CT68" i="4" s="1"/>
  <c r="CU68" i="4" s="1"/>
  <c r="BE68" i="4"/>
  <c r="BC68" i="4"/>
  <c r="BC7" i="4"/>
  <c r="BC119" i="4" s="1"/>
  <c r="AJ68" i="4"/>
  <c r="AI68" i="4"/>
  <c r="AH68" i="4"/>
  <c r="AG68" i="4"/>
  <c r="AF68" i="4"/>
  <c r="AE68" i="4"/>
  <c r="AD68" i="4"/>
  <c r="AC68" i="4"/>
  <c r="AB68" i="4"/>
  <c r="AA68" i="4"/>
  <c r="Z68" i="4"/>
  <c r="Y68" i="4"/>
  <c r="T68" i="4"/>
  <c r="CS65" i="4"/>
  <c r="CT65" i="4" s="1"/>
  <c r="CU65" i="4" s="1"/>
  <c r="CR64" i="4"/>
  <c r="CS64" i="4"/>
  <c r="CT64" i="4" s="1"/>
  <c r="CU64" i="4" s="1"/>
  <c r="CR63" i="4"/>
  <c r="CS63" i="4" s="1"/>
  <c r="CT63" i="4" s="1"/>
  <c r="CU63" i="4" s="1"/>
  <c r="CR61" i="4"/>
  <c r="CS61" i="4"/>
  <c r="CT61" i="4" s="1"/>
  <c r="CU61" i="4" s="1"/>
  <c r="CR59" i="4"/>
  <c r="CS59" i="4" s="1"/>
  <c r="CT59" i="4" s="1"/>
  <c r="CU59" i="4" s="1"/>
  <c r="CR58" i="4"/>
  <c r="CS58" i="4" s="1"/>
  <c r="CT58" i="4" s="1"/>
  <c r="CU58" i="4" s="1"/>
  <c r="CT57" i="4"/>
  <c r="CU57" i="4" s="1"/>
  <c r="CR55" i="4"/>
  <c r="CS55" i="4" s="1"/>
  <c r="CT55" i="4" s="1"/>
  <c r="CU55" i="4" s="1"/>
  <c r="CR54" i="4"/>
  <c r="CS54" i="4"/>
  <c r="CT54" i="4" s="1"/>
  <c r="CU54" i="4" s="1"/>
  <c r="CR52" i="4"/>
  <c r="CS52" i="4" s="1"/>
  <c r="CT52" i="4" s="1"/>
  <c r="CU52" i="4" s="1"/>
  <c r="BE52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V47" i="4"/>
  <c r="U47" i="4"/>
  <c r="CR48" i="4"/>
  <c r="CS48" i="4" s="1"/>
  <c r="CT48" i="4" s="1"/>
  <c r="CU48" i="4" s="1"/>
  <c r="CR47" i="4"/>
  <c r="CS47" i="4" s="1"/>
  <c r="CT47" i="4" s="1"/>
  <c r="CU47" i="4" s="1"/>
  <c r="CR46" i="4"/>
  <c r="CS46" i="4" s="1"/>
  <c r="CT46" i="4" s="1"/>
  <c r="CU46" i="4" s="1"/>
  <c r="CR45" i="4"/>
  <c r="CS45" i="4" s="1"/>
  <c r="CT45" i="4" s="1"/>
  <c r="CU45" i="4" s="1"/>
  <c r="CR42" i="4"/>
  <c r="CS42" i="4" s="1"/>
  <c r="CT42" i="4" s="1"/>
  <c r="CU42" i="4" s="1"/>
  <c r="CR40" i="4"/>
  <c r="CS40" i="4"/>
  <c r="CT40" i="4" s="1"/>
  <c r="CU40" i="4"/>
  <c r="CR39" i="4"/>
  <c r="CS39" i="4"/>
  <c r="CT39" i="4" s="1"/>
  <c r="CU39" i="4" s="1"/>
  <c r="CR38" i="4"/>
  <c r="CS38" i="4" s="1"/>
  <c r="CT38" i="4" s="1"/>
  <c r="CU38" i="4" s="1"/>
  <c r="CR31" i="4"/>
  <c r="CS31" i="4"/>
  <c r="CT31" i="4" s="1"/>
  <c r="CU31" i="4" s="1"/>
  <c r="CR30" i="4"/>
  <c r="CS30" i="4"/>
  <c r="CT30" i="4" s="1"/>
  <c r="CU30" i="4" s="1"/>
  <c r="CR29" i="4"/>
  <c r="CS29" i="4" s="1"/>
  <c r="CT29" i="4" s="1"/>
  <c r="CU29" i="4" s="1"/>
  <c r="CR28" i="4"/>
  <c r="CS28" i="4" s="1"/>
  <c r="CT28" i="4" s="1"/>
  <c r="CU28" i="4" s="1"/>
  <c r="CR24" i="4"/>
  <c r="CS24" i="4"/>
  <c r="CT24" i="4" s="1"/>
  <c r="CU24" i="4" s="1"/>
  <c r="CR23" i="4"/>
  <c r="CS23" i="4" s="1"/>
  <c r="CT23" i="4" s="1"/>
  <c r="CU23" i="4" s="1"/>
  <c r="CR22" i="4"/>
  <c r="CR21" i="4"/>
  <c r="CS21" i="4" s="1"/>
  <c r="CT21" i="4" s="1"/>
  <c r="CU21" i="4" s="1"/>
  <c r="Y21" i="4"/>
  <c r="CR19" i="4"/>
  <c r="CS19" i="4" s="1"/>
  <c r="CT19" i="4" s="1"/>
  <c r="CU19" i="4" s="1"/>
  <c r="CR18" i="4"/>
  <c r="CS18" i="4" s="1"/>
  <c r="CT18" i="4" s="1"/>
  <c r="CU18" i="4" s="1"/>
  <c r="AJ17" i="4"/>
  <c r="AI17" i="4"/>
  <c r="AH17" i="4"/>
  <c r="AG17" i="4"/>
  <c r="AF17" i="4"/>
  <c r="AE17" i="4"/>
  <c r="AD17" i="4"/>
  <c r="AC17" i="4"/>
  <c r="AB17" i="4"/>
  <c r="AA17" i="4"/>
  <c r="Z17" i="4"/>
  <c r="Y17" i="4"/>
  <c r="Y15" i="4"/>
  <c r="CR15" i="4"/>
  <c r="CS15" i="4" s="1"/>
  <c r="CT15" i="4" s="1"/>
  <c r="CU15" i="4" s="1"/>
  <c r="CR14" i="4"/>
  <c r="CS14" i="4" s="1"/>
  <c r="CT14" i="4" s="1"/>
  <c r="CU14" i="4" s="1"/>
  <c r="Y11" i="4"/>
  <c r="Y10" i="4"/>
  <c r="CO918" i="3"/>
  <c r="CO917" i="3"/>
  <c r="CO916" i="3"/>
  <c r="BM918" i="3"/>
  <c r="T918" i="3"/>
  <c r="BM917" i="3"/>
  <c r="T917" i="3"/>
  <c r="BM916" i="3"/>
  <c r="T916" i="3"/>
  <c r="CO912" i="3"/>
  <c r="CO911" i="3"/>
  <c r="CO910" i="3"/>
  <c r="BM912" i="3"/>
  <c r="T912" i="3"/>
  <c r="BM911" i="3"/>
  <c r="T911" i="3"/>
  <c r="BM910" i="3"/>
  <c r="T910" i="3"/>
  <c r="CO905" i="3"/>
  <c r="CO904" i="3"/>
  <c r="CO907" i="3" s="1"/>
  <c r="BM905" i="3"/>
  <c r="AY905" i="3"/>
  <c r="AH905" i="3"/>
  <c r="T905" i="3"/>
  <c r="BM904" i="3"/>
  <c r="BM907" i="3" s="1"/>
  <c r="AY904" i="3"/>
  <c r="AH904" i="3"/>
  <c r="T904" i="3"/>
  <c r="T907" i="3" s="1"/>
  <c r="CO900" i="3"/>
  <c r="CO924" i="3" s="1"/>
  <c r="CO899" i="3"/>
  <c r="CO898" i="3"/>
  <c r="BM900" i="3"/>
  <c r="BM924" i="3" s="1"/>
  <c r="AY900" i="3"/>
  <c r="AT900" i="3"/>
  <c r="AS900" i="3"/>
  <c r="AR900" i="3"/>
  <c r="AH900" i="3"/>
  <c r="T900" i="3"/>
  <c r="T924" i="3" s="1"/>
  <c r="BM899" i="3"/>
  <c r="AY899" i="3"/>
  <c r="AH899" i="3"/>
  <c r="T899" i="3"/>
  <c r="BM898" i="3"/>
  <c r="AY898" i="3"/>
  <c r="AH898" i="3"/>
  <c r="T898" i="3"/>
  <c r="CY918" i="3"/>
  <c r="CW918" i="3"/>
  <c r="BK891" i="3"/>
  <c r="BK918" i="3"/>
  <c r="BJ891" i="3"/>
  <c r="BI891" i="3"/>
  <c r="BI918" i="3"/>
  <c r="BH891" i="3"/>
  <c r="BH918" i="3" s="1"/>
  <c r="BF891" i="3"/>
  <c r="BE891" i="3"/>
  <c r="BD891" i="3"/>
  <c r="BC891" i="3"/>
  <c r="BC918" i="3" s="1"/>
  <c r="BB891" i="3"/>
  <c r="BA891" i="3"/>
  <c r="BA918" i="3"/>
  <c r="AZ891" i="3"/>
  <c r="AT891" i="3"/>
  <c r="AS891" i="3"/>
  <c r="AR891" i="3"/>
  <c r="AQ891" i="3"/>
  <c r="AQ918" i="3"/>
  <c r="AP891" i="3"/>
  <c r="AP918" i="3"/>
  <c r="AO891" i="3"/>
  <c r="AN891" i="3"/>
  <c r="AM891" i="3"/>
  <c r="AM918" i="3"/>
  <c r="AL891" i="3"/>
  <c r="AL918" i="3"/>
  <c r="AK891" i="3"/>
  <c r="AJ891" i="3"/>
  <c r="AJ918" i="3" s="1"/>
  <c r="AI891" i="3"/>
  <c r="AF891" i="3"/>
  <c r="AE891" i="3"/>
  <c r="AD891" i="3"/>
  <c r="AD918" i="3"/>
  <c r="AC891" i="3"/>
  <c r="AC918" i="3" s="1"/>
  <c r="AB891" i="3"/>
  <c r="AA891" i="3"/>
  <c r="AA918" i="3" s="1"/>
  <c r="Z891" i="3"/>
  <c r="Z918" i="3" s="1"/>
  <c r="Y891" i="3"/>
  <c r="Y918" i="3"/>
  <c r="X891" i="3"/>
  <c r="W891" i="3"/>
  <c r="V891" i="3"/>
  <c r="V918" i="3" s="1"/>
  <c r="U891" i="3"/>
  <c r="U918" i="3" s="1"/>
  <c r="R891" i="3"/>
  <c r="Q891" i="3"/>
  <c r="P891" i="3"/>
  <c r="P918" i="3" s="1"/>
  <c r="O891" i="3"/>
  <c r="N891" i="3"/>
  <c r="M891" i="3"/>
  <c r="M918" i="3" s="1"/>
  <c r="L891" i="3"/>
  <c r="L918" i="3" s="1"/>
  <c r="K891" i="3"/>
  <c r="J891" i="3"/>
  <c r="J918" i="3"/>
  <c r="I891" i="3"/>
  <c r="I918" i="3" s="1"/>
  <c r="H891" i="3"/>
  <c r="H918" i="3"/>
  <c r="G891" i="3"/>
  <c r="AX886" i="3"/>
  <c r="AX864" i="3"/>
  <c r="AX883" i="3"/>
  <c r="AX887" i="3"/>
  <c r="AX885" i="3"/>
  <c r="AX888" i="3"/>
  <c r="AX889" i="3"/>
  <c r="AX877" i="3"/>
  <c r="AX884" i="3"/>
  <c r="AX870" i="3"/>
  <c r="AX859" i="3"/>
  <c r="AX874" i="3"/>
  <c r="AX873" i="3"/>
  <c r="AX872" i="3"/>
  <c r="AX871" i="3"/>
  <c r="AX869" i="3"/>
  <c r="AX868" i="3"/>
  <c r="AX867" i="3"/>
  <c r="AX866" i="3"/>
  <c r="AX865" i="3"/>
  <c r="AX863" i="3"/>
  <c r="AX862" i="3"/>
  <c r="AX861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BY887" i="3"/>
  <c r="BY882" i="3" s="1"/>
  <c r="BX887" i="3"/>
  <c r="BW887" i="3"/>
  <c r="BV887" i="3"/>
  <c r="BV882" i="3" s="1"/>
  <c r="BU887" i="3"/>
  <c r="BU882" i="3"/>
  <c r="BT887" i="3"/>
  <c r="BS887" i="3"/>
  <c r="BS882" i="3" s="1"/>
  <c r="BR887" i="3"/>
  <c r="BQ887" i="3"/>
  <c r="BP887" i="3"/>
  <c r="BO887" i="3"/>
  <c r="BN887" i="3"/>
  <c r="BN882" i="3"/>
  <c r="BG887" i="3"/>
  <c r="BL887" i="3" s="1"/>
  <c r="BG885" i="3"/>
  <c r="BL885" i="3"/>
  <c r="BG888" i="3"/>
  <c r="BL888" i="3" s="1"/>
  <c r="BG889" i="3"/>
  <c r="BL889" i="3" s="1"/>
  <c r="BG877" i="3"/>
  <c r="BL877" i="3" s="1"/>
  <c r="BG884" i="3"/>
  <c r="BL884" i="3"/>
  <c r="BG870" i="3"/>
  <c r="BL870" i="3" s="1"/>
  <c r="BG859" i="3"/>
  <c r="BL859" i="3" s="1"/>
  <c r="BG874" i="3"/>
  <c r="BL874" i="3" s="1"/>
  <c r="BG873" i="3"/>
  <c r="BL873" i="3"/>
  <c r="BG872" i="3"/>
  <c r="BL872" i="3" s="1"/>
  <c r="BG871" i="3"/>
  <c r="BL871" i="3" s="1"/>
  <c r="BG869" i="3"/>
  <c r="BL869" i="3" s="1"/>
  <c r="BG868" i="3"/>
  <c r="BL868" i="3" s="1"/>
  <c r="BG867" i="3"/>
  <c r="BL867" i="3" s="1"/>
  <c r="BG866" i="3"/>
  <c r="BL866" i="3"/>
  <c r="BG865" i="3"/>
  <c r="BL865" i="3" s="1"/>
  <c r="BG863" i="3"/>
  <c r="BL863" i="3"/>
  <c r="BG862" i="3"/>
  <c r="BL862" i="3" s="1"/>
  <c r="BG861" i="3"/>
  <c r="BL861" i="3" s="1"/>
  <c r="BG860" i="3"/>
  <c r="BL860" i="3" s="1"/>
  <c r="BG857" i="3"/>
  <c r="BL857" i="3"/>
  <c r="BG856" i="3"/>
  <c r="AW887" i="3"/>
  <c r="AV887" i="3"/>
  <c r="AG887" i="3"/>
  <c r="AG885" i="3"/>
  <c r="AG888" i="3"/>
  <c r="AG889" i="3"/>
  <c r="AG877" i="3"/>
  <c r="AG884" i="3"/>
  <c r="AG870" i="3"/>
  <c r="AG859" i="3"/>
  <c r="AG874" i="3"/>
  <c r="AG873" i="3"/>
  <c r="AG872" i="3"/>
  <c r="AG871" i="3"/>
  <c r="AG869" i="3"/>
  <c r="AG868" i="3"/>
  <c r="AG867" i="3"/>
  <c r="AG866" i="3"/>
  <c r="AG865" i="3"/>
  <c r="AG863" i="3"/>
  <c r="AG862" i="3"/>
  <c r="AG861" i="3"/>
  <c r="AG860" i="3"/>
  <c r="AG857" i="3"/>
  <c r="AG856" i="3"/>
  <c r="S887" i="3"/>
  <c r="S885" i="3"/>
  <c r="S888" i="3"/>
  <c r="S889" i="3"/>
  <c r="S877" i="3"/>
  <c r="S884" i="3"/>
  <c r="S870" i="3"/>
  <c r="S859" i="3"/>
  <c r="S874" i="3"/>
  <c r="S873" i="3"/>
  <c r="S872" i="3"/>
  <c r="S871" i="3"/>
  <c r="S869" i="3"/>
  <c r="S868" i="3"/>
  <c r="S867" i="3"/>
  <c r="S866" i="3"/>
  <c r="S865" i="3"/>
  <c r="S863" i="3"/>
  <c r="S862" i="3"/>
  <c r="S861" i="3"/>
  <c r="S860" i="3"/>
  <c r="S857" i="3"/>
  <c r="S856" i="3"/>
  <c r="CL885" i="3"/>
  <c r="CK885" i="3"/>
  <c r="CJ885" i="3"/>
  <c r="CI885" i="3"/>
  <c r="CF885" i="3"/>
  <c r="CE885" i="3"/>
  <c r="CD885" i="3"/>
  <c r="CC885" i="3"/>
  <c r="BX885" i="3"/>
  <c r="BX882" i="3"/>
  <c r="BW885" i="3"/>
  <c r="BR885" i="3"/>
  <c r="BQ885" i="3"/>
  <c r="BP885" i="3"/>
  <c r="BP882" i="3"/>
  <c r="BO885" i="3"/>
  <c r="AW888" i="3"/>
  <c r="AV888" i="3"/>
  <c r="AU888" i="3"/>
  <c r="AW889" i="3"/>
  <c r="AV889" i="3"/>
  <c r="AU889" i="3"/>
  <c r="EF887" i="3"/>
  <c r="EG887" i="3" s="1"/>
  <c r="EH887" i="3" s="1"/>
  <c r="EI887" i="3"/>
  <c r="EF885" i="3"/>
  <c r="EG885" i="3" s="1"/>
  <c r="EH885" i="3" s="1"/>
  <c r="EI885" i="3" s="1"/>
  <c r="EG888" i="3"/>
  <c r="EH888" i="3"/>
  <c r="EI888" i="3"/>
  <c r="EF888" i="3"/>
  <c r="EG889" i="3"/>
  <c r="EH889" i="3" s="1"/>
  <c r="EI889" i="3" s="1"/>
  <c r="EF889" i="3"/>
  <c r="EF859" i="3"/>
  <c r="EG859" i="3" s="1"/>
  <c r="EH859" i="3" s="1"/>
  <c r="EI859" i="3" s="1"/>
  <c r="EF874" i="3"/>
  <c r="EG874" i="3" s="1"/>
  <c r="EH874" i="3" s="1"/>
  <c r="EI874" i="3" s="1"/>
  <c r="EF873" i="3"/>
  <c r="EG873" i="3" s="1"/>
  <c r="EH873" i="3" s="1"/>
  <c r="EI873" i="3"/>
  <c r="EF872" i="3"/>
  <c r="EG872" i="3" s="1"/>
  <c r="EH872" i="3" s="1"/>
  <c r="EI872" i="3" s="1"/>
  <c r="EF871" i="3"/>
  <c r="EG871" i="3" s="1"/>
  <c r="EH871" i="3" s="1"/>
  <c r="EI871" i="3" s="1"/>
  <c r="EF869" i="3"/>
  <c r="EG869" i="3" s="1"/>
  <c r="EH869" i="3" s="1"/>
  <c r="EI869" i="3" s="1"/>
  <c r="EF868" i="3"/>
  <c r="EG868" i="3" s="1"/>
  <c r="EH868" i="3" s="1"/>
  <c r="EI868" i="3"/>
  <c r="EF867" i="3"/>
  <c r="EG867" i="3" s="1"/>
  <c r="EH867" i="3" s="1"/>
  <c r="EI867" i="3" s="1"/>
  <c r="EF865" i="3"/>
  <c r="EG865" i="3" s="1"/>
  <c r="EH865" i="3"/>
  <c r="EI865" i="3" s="1"/>
  <c r="EF863" i="3"/>
  <c r="EG863" i="3" s="1"/>
  <c r="EH863" i="3" s="1"/>
  <c r="EI863" i="3" s="1"/>
  <c r="EF862" i="3"/>
  <c r="EG862" i="3" s="1"/>
  <c r="EH862" i="3" s="1"/>
  <c r="EI862" i="3" s="1"/>
  <c r="EF861" i="3"/>
  <c r="EG861" i="3" s="1"/>
  <c r="EH861" i="3" s="1"/>
  <c r="EI861" i="3" s="1"/>
  <c r="AV870" i="3"/>
  <c r="AU870" i="3"/>
  <c r="AV859" i="3"/>
  <c r="AU859" i="3"/>
  <c r="AW874" i="3"/>
  <c r="AW873" i="3"/>
  <c r="AW872" i="3"/>
  <c r="AW871" i="3"/>
  <c r="AW869" i="3"/>
  <c r="AW868" i="3"/>
  <c r="AW867" i="3"/>
  <c r="AW866" i="3"/>
  <c r="AW865" i="3"/>
  <c r="AW863" i="3"/>
  <c r="AW862" i="3"/>
  <c r="AW861" i="3"/>
  <c r="AU874" i="3"/>
  <c r="AU872" i="3"/>
  <c r="AU871" i="3"/>
  <c r="AU869" i="3"/>
  <c r="AU868" i="3"/>
  <c r="AU867" i="3"/>
  <c r="AU866" i="3"/>
  <c r="AU865" i="3"/>
  <c r="AU863" i="3"/>
  <c r="AU862" i="3"/>
  <c r="AU861" i="3"/>
  <c r="CM871" i="3"/>
  <c r="CL871" i="3"/>
  <c r="CK871" i="3"/>
  <c r="CJ871" i="3"/>
  <c r="CI871" i="3"/>
  <c r="CG871" i="3"/>
  <c r="CF871" i="3"/>
  <c r="CE871" i="3"/>
  <c r="CD871" i="3"/>
  <c r="CC871" i="3"/>
  <c r="BY871" i="3"/>
  <c r="BX871" i="3"/>
  <c r="BX855" i="3"/>
  <c r="BW871" i="3"/>
  <c r="BW855" i="3"/>
  <c r="BV871" i="3"/>
  <c r="BV855" i="3"/>
  <c r="BU871" i="3"/>
  <c r="BU855" i="3" s="1"/>
  <c r="BS871" i="3"/>
  <c r="BS855" i="3"/>
  <c r="BR871" i="3"/>
  <c r="BR855" i="3"/>
  <c r="BQ871" i="3"/>
  <c r="BP871" i="3"/>
  <c r="BP855" i="3"/>
  <c r="BO871" i="3"/>
  <c r="CE869" i="3"/>
  <c r="BQ869" i="3"/>
  <c r="BQ855" i="3" s="1"/>
  <c r="AV868" i="3"/>
  <c r="AV867" i="3"/>
  <c r="AV866" i="3"/>
  <c r="AV865" i="3"/>
  <c r="AV863" i="3"/>
  <c r="AV862" i="3"/>
  <c r="AV861" i="3"/>
  <c r="EH870" i="3"/>
  <c r="EF870" i="3"/>
  <c r="EG870" i="3" s="1"/>
  <c r="EF866" i="3"/>
  <c r="EG866" i="3" s="1"/>
  <c r="CM865" i="3"/>
  <c r="CB865" i="3"/>
  <c r="BY865" i="3"/>
  <c r="BY855" i="3" s="1"/>
  <c r="BN865" i="3"/>
  <c r="AX860" i="3"/>
  <c r="AW860" i="3"/>
  <c r="AV860" i="3"/>
  <c r="AU860" i="3"/>
  <c r="EF860" i="3"/>
  <c r="EG860" i="3" s="1"/>
  <c r="EH860" i="3" s="1"/>
  <c r="EI860" i="3" s="1"/>
  <c r="EF857" i="3"/>
  <c r="EG857" i="3" s="1"/>
  <c r="EH857" i="3" s="1"/>
  <c r="EI857" i="3" s="1"/>
  <c r="CC856" i="3"/>
  <c r="CB856" i="3"/>
  <c r="BO856" i="3"/>
  <c r="BN856" i="3"/>
  <c r="AX857" i="3"/>
  <c r="AW857" i="3"/>
  <c r="AV857" i="3"/>
  <c r="AX856" i="3"/>
  <c r="AW856" i="3"/>
  <c r="AV856" i="3"/>
  <c r="AU856" i="3"/>
  <c r="CP912" i="3"/>
  <c r="CM853" i="3"/>
  <c r="CL853" i="3"/>
  <c r="CK853" i="3"/>
  <c r="CJ853" i="3"/>
  <c r="CI853" i="3"/>
  <c r="CH853" i="3"/>
  <c r="CG853" i="3"/>
  <c r="CF853" i="3"/>
  <c r="CE853" i="3"/>
  <c r="CD853" i="3"/>
  <c r="CC853" i="3"/>
  <c r="CB853" i="3"/>
  <c r="BY912" i="3"/>
  <c r="BX912" i="3"/>
  <c r="BW912" i="3"/>
  <c r="BV912" i="3"/>
  <c r="BU912" i="3"/>
  <c r="BT912" i="3"/>
  <c r="BS912" i="3"/>
  <c r="BR912" i="3"/>
  <c r="BQ912" i="3"/>
  <c r="BP912" i="3"/>
  <c r="BO912" i="3"/>
  <c r="BN912" i="3"/>
  <c r="BK853" i="3"/>
  <c r="BK912" i="3" s="1"/>
  <c r="BJ853" i="3"/>
  <c r="BJ912" i="3"/>
  <c r="BI853" i="3"/>
  <c r="BI912" i="3" s="1"/>
  <c r="BH853" i="3"/>
  <c r="BH912" i="3" s="1"/>
  <c r="BF853" i="3"/>
  <c r="BF912" i="3" s="1"/>
  <c r="BE853" i="3"/>
  <c r="BE912" i="3"/>
  <c r="BD853" i="3"/>
  <c r="BD912" i="3" s="1"/>
  <c r="BC853" i="3"/>
  <c r="BC912" i="3" s="1"/>
  <c r="BB853" i="3"/>
  <c r="BB912" i="3" s="1"/>
  <c r="BA853" i="3"/>
  <c r="BA912" i="3"/>
  <c r="AZ853" i="3"/>
  <c r="AZ912" i="3" s="1"/>
  <c r="AT853" i="3"/>
  <c r="AS853" i="3"/>
  <c r="AR853" i="3"/>
  <c r="AP853" i="3"/>
  <c r="AP912" i="3"/>
  <c r="AO853" i="3"/>
  <c r="AO912" i="3" s="1"/>
  <c r="AN853" i="3"/>
  <c r="AN912" i="3"/>
  <c r="AM853" i="3"/>
  <c r="AM912" i="3"/>
  <c r="AL853" i="3"/>
  <c r="AL912" i="3"/>
  <c r="AK853" i="3"/>
  <c r="AK912" i="3" s="1"/>
  <c r="AJ853" i="3"/>
  <c r="AJ912" i="3"/>
  <c r="AI853" i="3"/>
  <c r="AI912" i="3"/>
  <c r="AF853" i="3"/>
  <c r="AF912" i="3"/>
  <c r="AE853" i="3"/>
  <c r="AE912" i="3" s="1"/>
  <c r="AD853" i="3"/>
  <c r="AD912" i="3"/>
  <c r="AC853" i="3"/>
  <c r="AC912" i="3"/>
  <c r="AB853" i="3"/>
  <c r="AB912" i="3"/>
  <c r="AA853" i="3"/>
  <c r="AA912" i="3" s="1"/>
  <c r="Z853" i="3"/>
  <c r="Z912" i="3"/>
  <c r="Y853" i="3"/>
  <c r="Y912" i="3"/>
  <c r="X853" i="3"/>
  <c r="X912" i="3"/>
  <c r="W853" i="3"/>
  <c r="W912" i="3" s="1"/>
  <c r="V853" i="3"/>
  <c r="V912" i="3"/>
  <c r="U853" i="3"/>
  <c r="R853" i="3"/>
  <c r="R912" i="3" s="1"/>
  <c r="Q853" i="3"/>
  <c r="Q912" i="3" s="1"/>
  <c r="P853" i="3"/>
  <c r="O853" i="3"/>
  <c r="O912" i="3"/>
  <c r="N853" i="3"/>
  <c r="N912" i="3" s="1"/>
  <c r="M853" i="3"/>
  <c r="M912" i="3"/>
  <c r="L853" i="3"/>
  <c r="L912" i="3"/>
  <c r="K853" i="3"/>
  <c r="K912" i="3"/>
  <c r="J853" i="3"/>
  <c r="J912" i="3" s="1"/>
  <c r="I853" i="3"/>
  <c r="I912" i="3"/>
  <c r="H853" i="3"/>
  <c r="G853" i="3"/>
  <c r="G912" i="3" s="1"/>
  <c r="BL852" i="3"/>
  <c r="AX852" i="3"/>
  <c r="AX847" i="3"/>
  <c r="AX851" i="3"/>
  <c r="AX846" i="3"/>
  <c r="AX845" i="3"/>
  <c r="AG852" i="3"/>
  <c r="S852" i="3"/>
  <c r="BG846" i="3"/>
  <c r="BL846" i="3"/>
  <c r="BG842" i="3"/>
  <c r="BL842" i="3" s="1"/>
  <c r="BG850" i="3"/>
  <c r="BL850" i="3" s="1"/>
  <c r="BG843" i="3"/>
  <c r="BL843" i="3"/>
  <c r="BG841" i="3"/>
  <c r="BG845" i="3"/>
  <c r="BL845" i="3"/>
  <c r="AW846" i="3"/>
  <c r="AV846" i="3"/>
  <c r="AU846" i="3"/>
  <c r="AG846" i="3"/>
  <c r="AG842" i="3"/>
  <c r="AG850" i="3"/>
  <c r="S846" i="3"/>
  <c r="S842" i="3"/>
  <c r="S850" i="3"/>
  <c r="AQ842" i="3"/>
  <c r="AX842" i="3" s="1"/>
  <c r="AQ850" i="3"/>
  <c r="AX850" i="3"/>
  <c r="AQ843" i="3"/>
  <c r="AX843" i="3"/>
  <c r="AQ841" i="3"/>
  <c r="AX841" i="3" s="1"/>
  <c r="EF846" i="3"/>
  <c r="EG846" i="3"/>
  <c r="EH846" i="3" s="1"/>
  <c r="EI846" i="3"/>
  <c r="EF842" i="3"/>
  <c r="EG842" i="3" s="1"/>
  <c r="EH842" i="3" s="1"/>
  <c r="EI842" i="3" s="1"/>
  <c r="EF843" i="3"/>
  <c r="EG843" i="3" s="1"/>
  <c r="AW850" i="3"/>
  <c r="AV850" i="3"/>
  <c r="AU850" i="3"/>
  <c r="AW843" i="3"/>
  <c r="AV843" i="3"/>
  <c r="AU843" i="3"/>
  <c r="AW841" i="3"/>
  <c r="AW845" i="3"/>
  <c r="AU841" i="3"/>
  <c r="AU845" i="3"/>
  <c r="AG841" i="3"/>
  <c r="AG845" i="3"/>
  <c r="S841" i="3"/>
  <c r="S845" i="3"/>
  <c r="CF833" i="3"/>
  <c r="CC833" i="3"/>
  <c r="CB833" i="3"/>
  <c r="BX900" i="3"/>
  <c r="BT900" i="3"/>
  <c r="BL833" i="3"/>
  <c r="BL900" i="3" s="1"/>
  <c r="BK833" i="3"/>
  <c r="BK900" i="3"/>
  <c r="BK924" i="3" s="1"/>
  <c r="BJ833" i="3"/>
  <c r="BJ900" i="3"/>
  <c r="BI833" i="3"/>
  <c r="BI900" i="3" s="1"/>
  <c r="BI924" i="3" s="1"/>
  <c r="BH833" i="3"/>
  <c r="BH900" i="3" s="1"/>
  <c r="BH924" i="3" s="1"/>
  <c r="BG833" i="3"/>
  <c r="BG900" i="3"/>
  <c r="BF833" i="3"/>
  <c r="BF900" i="3"/>
  <c r="BE833" i="3"/>
  <c r="BE900" i="3" s="1"/>
  <c r="BD833" i="3"/>
  <c r="BD900" i="3" s="1"/>
  <c r="BC833" i="3"/>
  <c r="BC900" i="3"/>
  <c r="BC924" i="3" s="1"/>
  <c r="BB833" i="3"/>
  <c r="BB900" i="3"/>
  <c r="BA833" i="3"/>
  <c r="BA900" i="3" s="1"/>
  <c r="BA924" i="3" s="1"/>
  <c r="AZ833" i="3"/>
  <c r="AZ900" i="3" s="1"/>
  <c r="AW833" i="3"/>
  <c r="AW900" i="3"/>
  <c r="AV833" i="3"/>
  <c r="AV900" i="3"/>
  <c r="AU833" i="3"/>
  <c r="AU900" i="3" s="1"/>
  <c r="AQ833" i="3"/>
  <c r="AQ900" i="3" s="1"/>
  <c r="AP833" i="3"/>
  <c r="AP900" i="3"/>
  <c r="AP924" i="3" s="1"/>
  <c r="AO833" i="3"/>
  <c r="AO900" i="3"/>
  <c r="AN833" i="3"/>
  <c r="AN900" i="3" s="1"/>
  <c r="AM833" i="3"/>
  <c r="AM900" i="3" s="1"/>
  <c r="AM924" i="3" s="1"/>
  <c r="AL833" i="3"/>
  <c r="AL900" i="3"/>
  <c r="AL924" i="3" s="1"/>
  <c r="AK833" i="3"/>
  <c r="AK900" i="3"/>
  <c r="AJ833" i="3"/>
  <c r="AJ900" i="3" s="1"/>
  <c r="AJ924" i="3" s="1"/>
  <c r="AI833" i="3"/>
  <c r="AI900" i="3" s="1"/>
  <c r="AG833" i="3"/>
  <c r="AG900" i="3"/>
  <c r="AF833" i="3"/>
  <c r="AF900" i="3"/>
  <c r="AE833" i="3"/>
  <c r="AE900" i="3" s="1"/>
  <c r="AD833" i="3"/>
  <c r="AD900" i="3" s="1"/>
  <c r="AD924" i="3" s="1"/>
  <c r="AC833" i="3"/>
  <c r="AC900" i="3"/>
  <c r="AC924" i="3" s="1"/>
  <c r="AB833" i="3"/>
  <c r="AB900" i="3"/>
  <c r="AA833" i="3"/>
  <c r="AA900" i="3" s="1"/>
  <c r="AA924" i="3" s="1"/>
  <c r="Z833" i="3"/>
  <c r="Z900" i="3" s="1"/>
  <c r="Z924" i="3" s="1"/>
  <c r="Y833" i="3"/>
  <c r="Y900" i="3"/>
  <c r="Y924" i="3" s="1"/>
  <c r="X833" i="3"/>
  <c r="X900" i="3"/>
  <c r="W833" i="3"/>
  <c r="W900" i="3" s="1"/>
  <c r="V833" i="3"/>
  <c r="V900" i="3" s="1"/>
  <c r="V924" i="3" s="1"/>
  <c r="U833" i="3"/>
  <c r="U900" i="3"/>
  <c r="S833" i="3"/>
  <c r="S900" i="3"/>
  <c r="R833" i="3"/>
  <c r="R900" i="3" s="1"/>
  <c r="Q833" i="3"/>
  <c r="Q900" i="3" s="1"/>
  <c r="P833" i="3"/>
  <c r="P900" i="3" s="1"/>
  <c r="O833" i="3"/>
  <c r="O900" i="3" s="1"/>
  <c r="N833" i="3"/>
  <c r="N900" i="3" s="1"/>
  <c r="M833" i="3"/>
  <c r="M900" i="3" s="1"/>
  <c r="M924" i="3" s="1"/>
  <c r="L833" i="3"/>
  <c r="L900" i="3" s="1"/>
  <c r="L924" i="3" s="1"/>
  <c r="K833" i="3"/>
  <c r="K900" i="3" s="1"/>
  <c r="J833" i="3"/>
  <c r="J900" i="3" s="1"/>
  <c r="J924" i="3" s="1"/>
  <c r="I833" i="3"/>
  <c r="I900" i="3" s="1"/>
  <c r="I924" i="3" s="1"/>
  <c r="H833" i="3"/>
  <c r="H900" i="3" s="1"/>
  <c r="G900" i="3"/>
  <c r="AX828" i="3"/>
  <c r="AX827" i="3"/>
  <c r="AX824" i="3"/>
  <c r="AX823" i="3"/>
  <c r="AX822" i="3"/>
  <c r="AX821" i="3"/>
  <c r="AX826" i="3"/>
  <c r="CM823" i="3"/>
  <c r="CM833" i="3"/>
  <c r="CL823" i="3"/>
  <c r="CL833" i="3"/>
  <c r="CK823" i="3"/>
  <c r="CK833" i="3" s="1"/>
  <c r="CJ823" i="3"/>
  <c r="CJ833" i="3" s="1"/>
  <c r="CI823" i="3"/>
  <c r="CI833" i="3"/>
  <c r="CH823" i="3"/>
  <c r="EH822" i="3"/>
  <c r="EG822" i="3"/>
  <c r="EF822" i="3"/>
  <c r="CT826" i="3"/>
  <c r="CR826" i="3"/>
  <c r="CR825" i="3"/>
  <c r="CR833" i="3" s="1"/>
  <c r="GJ7" i="80"/>
  <c r="CH826" i="3"/>
  <c r="CG826" i="3"/>
  <c r="CG833" i="3" s="1"/>
  <c r="CE826" i="3"/>
  <c r="CE833" i="3"/>
  <c r="CD826" i="3"/>
  <c r="CY917" i="3"/>
  <c r="CW917" i="3"/>
  <c r="CM810" i="3"/>
  <c r="CL810" i="3"/>
  <c r="CK810" i="3"/>
  <c r="CJ810" i="3"/>
  <c r="CI810" i="3"/>
  <c r="CH810" i="3"/>
  <c r="CG810" i="3"/>
  <c r="CF810" i="3"/>
  <c r="CE810" i="3"/>
  <c r="CD810" i="3"/>
  <c r="CC810" i="3"/>
  <c r="CB810" i="3"/>
  <c r="BY917" i="3"/>
  <c r="BX917" i="3"/>
  <c r="BW917" i="3"/>
  <c r="BV917" i="3"/>
  <c r="BU917" i="3"/>
  <c r="BT917" i="3"/>
  <c r="BS917" i="3"/>
  <c r="BR917" i="3"/>
  <c r="BQ917" i="3"/>
  <c r="BP917" i="3"/>
  <c r="BO917" i="3"/>
  <c r="BN917" i="3"/>
  <c r="BK810" i="3"/>
  <c r="BK917" i="3" s="1"/>
  <c r="BJ810" i="3"/>
  <c r="BJ917" i="3" s="1"/>
  <c r="BI810" i="3"/>
  <c r="BI917" i="3"/>
  <c r="BH810" i="3"/>
  <c r="BH917" i="3"/>
  <c r="BF810" i="3"/>
  <c r="BF917" i="3" s="1"/>
  <c r="BE810" i="3"/>
  <c r="BE917" i="3" s="1"/>
  <c r="BD810" i="3"/>
  <c r="BD917" i="3"/>
  <c r="BC810" i="3"/>
  <c r="BC917" i="3"/>
  <c r="BB810" i="3"/>
  <c r="BB917" i="3" s="1"/>
  <c r="BA810" i="3"/>
  <c r="BA917" i="3" s="1"/>
  <c r="AZ810" i="3"/>
  <c r="AZ917" i="3"/>
  <c r="AT810" i="3"/>
  <c r="AS810" i="3"/>
  <c r="AR810" i="3"/>
  <c r="AQ810" i="3"/>
  <c r="AQ917" i="3"/>
  <c r="AP810" i="3"/>
  <c r="AP917" i="3"/>
  <c r="AO810" i="3"/>
  <c r="AO917" i="3" s="1"/>
  <c r="AN810" i="3"/>
  <c r="AN917" i="3" s="1"/>
  <c r="AM810" i="3"/>
  <c r="AM917" i="3" s="1"/>
  <c r="AL810" i="3"/>
  <c r="AL917" i="3"/>
  <c r="AK810" i="3"/>
  <c r="AK917" i="3" s="1"/>
  <c r="AJ810" i="3"/>
  <c r="AJ917" i="3" s="1"/>
  <c r="AI810" i="3"/>
  <c r="AI917" i="3" s="1"/>
  <c r="AF810" i="3"/>
  <c r="AF917" i="3"/>
  <c r="AE810" i="3"/>
  <c r="AE917" i="3" s="1"/>
  <c r="AD810" i="3"/>
  <c r="AD917" i="3" s="1"/>
  <c r="AC810" i="3"/>
  <c r="AC917" i="3" s="1"/>
  <c r="AB810" i="3"/>
  <c r="AB917" i="3"/>
  <c r="AA810" i="3"/>
  <c r="AA917" i="3" s="1"/>
  <c r="Z810" i="3"/>
  <c r="Z917" i="3" s="1"/>
  <c r="Y810" i="3"/>
  <c r="Y917" i="3" s="1"/>
  <c r="X810" i="3"/>
  <c r="X917" i="3"/>
  <c r="W810" i="3"/>
  <c r="W917" i="3" s="1"/>
  <c r="V810" i="3"/>
  <c r="V917" i="3" s="1"/>
  <c r="U810" i="3"/>
  <c r="U917" i="3" s="1"/>
  <c r="R810" i="3"/>
  <c r="R917" i="3"/>
  <c r="Q810" i="3"/>
  <c r="Q917" i="3" s="1"/>
  <c r="P810" i="3"/>
  <c r="P917" i="3" s="1"/>
  <c r="O810" i="3"/>
  <c r="O917" i="3" s="1"/>
  <c r="N810" i="3"/>
  <c r="N917" i="3"/>
  <c r="M810" i="3"/>
  <c r="M917" i="3"/>
  <c r="L810" i="3"/>
  <c r="L917" i="3" s="1"/>
  <c r="K810" i="3"/>
  <c r="K917" i="3" s="1"/>
  <c r="J810" i="3"/>
  <c r="J917" i="3"/>
  <c r="I810" i="3"/>
  <c r="I917" i="3"/>
  <c r="H810" i="3"/>
  <c r="H917" i="3" s="1"/>
  <c r="G810" i="3"/>
  <c r="G917" i="3" s="1"/>
  <c r="AX809" i="3"/>
  <c r="AX795" i="3"/>
  <c r="AX793" i="3"/>
  <c r="AX792" i="3"/>
  <c r="AX790" i="3"/>
  <c r="AX789" i="3"/>
  <c r="AX803" i="3"/>
  <c r="AX794" i="3"/>
  <c r="AX788" i="3"/>
  <c r="AX787" i="3"/>
  <c r="AX784" i="3"/>
  <c r="AX783" i="3"/>
  <c r="AX802" i="3"/>
  <c r="AX781" i="3"/>
  <c r="AX780" i="3"/>
  <c r="AX779" i="3"/>
  <c r="AX778" i="3"/>
  <c r="AX777" i="3"/>
  <c r="AX776" i="3"/>
  <c r="AX801" i="3"/>
  <c r="AX775" i="3"/>
  <c r="AX774" i="3"/>
  <c r="AX773" i="3"/>
  <c r="AX772" i="3"/>
  <c r="AX771" i="3"/>
  <c r="AX770" i="3"/>
  <c r="AX769" i="3"/>
  <c r="AX767" i="3"/>
  <c r="BG795" i="3"/>
  <c r="BL795" i="3" s="1"/>
  <c r="BG793" i="3"/>
  <c r="BL793" i="3"/>
  <c r="BG792" i="3"/>
  <c r="BL792" i="3"/>
  <c r="BG790" i="3"/>
  <c r="BL790" i="3" s="1"/>
  <c r="AG795" i="3"/>
  <c r="AG793" i="3"/>
  <c r="AG792" i="3"/>
  <c r="AG790" i="3"/>
  <c r="S795" i="3"/>
  <c r="S793" i="3"/>
  <c r="S792" i="3"/>
  <c r="S790" i="3"/>
  <c r="AW795" i="3"/>
  <c r="AV795" i="3"/>
  <c r="AU795" i="3"/>
  <c r="AW793" i="3"/>
  <c r="AV793" i="3"/>
  <c r="AU793" i="3"/>
  <c r="AW792" i="3"/>
  <c r="AV792" i="3"/>
  <c r="AU792" i="3"/>
  <c r="AW790" i="3"/>
  <c r="AV790" i="3"/>
  <c r="AU790" i="3"/>
  <c r="EE797" i="3"/>
  <c r="BG803" i="3"/>
  <c r="BL803" i="3" s="1"/>
  <c r="BG794" i="3"/>
  <c r="BL794" i="3" s="1"/>
  <c r="AG803" i="3"/>
  <c r="AG794" i="3"/>
  <c r="S803" i="3"/>
  <c r="S794" i="3"/>
  <c r="AW803" i="3"/>
  <c r="AV803" i="3"/>
  <c r="AU803" i="3"/>
  <c r="AW794" i="3"/>
  <c r="AV794" i="3"/>
  <c r="AU794" i="3"/>
  <c r="EH788" i="3"/>
  <c r="EI788" i="3"/>
  <c r="BL802" i="3"/>
  <c r="BG787" i="3"/>
  <c r="BL787" i="3"/>
  <c r="BG784" i="3"/>
  <c r="BL784" i="3"/>
  <c r="BG783" i="3"/>
  <c r="BL783" i="3" s="1"/>
  <c r="AG787" i="3"/>
  <c r="AG784" i="3"/>
  <c r="AG783" i="3"/>
  <c r="AG802" i="3"/>
  <c r="S787" i="3"/>
  <c r="S784" i="3"/>
  <c r="S783" i="3"/>
  <c r="S802" i="3"/>
  <c r="AW787" i="3"/>
  <c r="AV787" i="3"/>
  <c r="AU787" i="3"/>
  <c r="AW784" i="3"/>
  <c r="AV784" i="3"/>
  <c r="AU784" i="3"/>
  <c r="AW783" i="3"/>
  <c r="AV783" i="3"/>
  <c r="AU783" i="3"/>
  <c r="EG780" i="3"/>
  <c r="BG780" i="3"/>
  <c r="BL780" i="3" s="1"/>
  <c r="BG779" i="3"/>
  <c r="BL779" i="3"/>
  <c r="AG780" i="3"/>
  <c r="AG779" i="3"/>
  <c r="S780" i="3"/>
  <c r="S779" i="3"/>
  <c r="AW780" i="3"/>
  <c r="AV780" i="3"/>
  <c r="AU780" i="3"/>
  <c r="AW779" i="3"/>
  <c r="AV779" i="3"/>
  <c r="AU779" i="3"/>
  <c r="EH777" i="3"/>
  <c r="EI777" i="3" s="1"/>
  <c r="BG776" i="3"/>
  <c r="BL776" i="3"/>
  <c r="BG801" i="3"/>
  <c r="BL801" i="3"/>
  <c r="BG775" i="3"/>
  <c r="BL775" i="3" s="1"/>
  <c r="BG774" i="3"/>
  <c r="BL774" i="3"/>
  <c r="AG776" i="3"/>
  <c r="AG801" i="3"/>
  <c r="AG775" i="3"/>
  <c r="AG774" i="3"/>
  <c r="S776" i="3"/>
  <c r="S801" i="3"/>
  <c r="S775" i="3"/>
  <c r="S774" i="3"/>
  <c r="EG775" i="3"/>
  <c r="EF774" i="3"/>
  <c r="EG774" i="3" s="1"/>
  <c r="AW776" i="3"/>
  <c r="AV776" i="3"/>
  <c r="AU776" i="3"/>
  <c r="AW801" i="3"/>
  <c r="AV801" i="3"/>
  <c r="AU801" i="3"/>
  <c r="AW775" i="3"/>
  <c r="AV775" i="3"/>
  <c r="AU775" i="3"/>
  <c r="AW774" i="3"/>
  <c r="AV774" i="3"/>
  <c r="AU774" i="3"/>
  <c r="EH773" i="3"/>
  <c r="EI773" i="3"/>
  <c r="BL771" i="3"/>
  <c r="BG772" i="3"/>
  <c r="BL772" i="3" s="1"/>
  <c r="AW772" i="3"/>
  <c r="AV772" i="3"/>
  <c r="AU772" i="3"/>
  <c r="AG772" i="3"/>
  <c r="S772" i="3"/>
  <c r="EF772" i="3"/>
  <c r="EG772" i="3" s="1"/>
  <c r="EH772" i="3" s="1"/>
  <c r="EI772" i="3" s="1"/>
  <c r="BG770" i="3"/>
  <c r="BL770" i="3" s="1"/>
  <c r="BG769" i="3"/>
  <c r="BL769" i="3"/>
  <c r="AG770" i="3"/>
  <c r="AG769" i="3"/>
  <c r="S770" i="3"/>
  <c r="S769" i="3"/>
  <c r="AW770" i="3"/>
  <c r="AV770" i="3"/>
  <c r="AU770" i="3"/>
  <c r="AW769" i="3"/>
  <c r="AV769" i="3"/>
  <c r="AU769" i="3"/>
  <c r="CM761" i="3"/>
  <c r="CL761" i="3"/>
  <c r="CK761" i="3"/>
  <c r="CJ761" i="3"/>
  <c r="CI761" i="3"/>
  <c r="CH761" i="3"/>
  <c r="CG761" i="3"/>
  <c r="CF761" i="3"/>
  <c r="CE761" i="3"/>
  <c r="CD761" i="3"/>
  <c r="CC761" i="3"/>
  <c r="CB761" i="3"/>
  <c r="BY911" i="3"/>
  <c r="BX911" i="3"/>
  <c r="BW911" i="3"/>
  <c r="BV911" i="3"/>
  <c r="BU911" i="3"/>
  <c r="BT911" i="3"/>
  <c r="BS911" i="3"/>
  <c r="BR911" i="3"/>
  <c r="BQ911" i="3"/>
  <c r="BP911" i="3"/>
  <c r="BO911" i="3"/>
  <c r="BN911" i="3"/>
  <c r="BK761" i="3"/>
  <c r="BK911" i="3" s="1"/>
  <c r="BJ761" i="3"/>
  <c r="BJ911" i="3" s="1"/>
  <c r="BI761" i="3"/>
  <c r="BI911" i="3"/>
  <c r="BH761" i="3"/>
  <c r="BH911" i="3"/>
  <c r="BF761" i="3"/>
  <c r="BF911" i="3" s="1"/>
  <c r="BE761" i="3"/>
  <c r="BE911" i="3" s="1"/>
  <c r="BD761" i="3"/>
  <c r="BD911" i="3"/>
  <c r="BC761" i="3"/>
  <c r="BC911" i="3"/>
  <c r="BB761" i="3"/>
  <c r="BB911" i="3" s="1"/>
  <c r="BA761" i="3"/>
  <c r="BA911" i="3" s="1"/>
  <c r="AZ761" i="3"/>
  <c r="AZ911" i="3"/>
  <c r="AT761" i="3"/>
  <c r="AS761" i="3"/>
  <c r="AR761" i="3"/>
  <c r="AQ761" i="3"/>
  <c r="AQ911" i="3"/>
  <c r="AP761" i="3"/>
  <c r="AP911" i="3"/>
  <c r="AO761" i="3"/>
  <c r="AO911" i="3" s="1"/>
  <c r="AN761" i="3"/>
  <c r="AN911" i="3" s="1"/>
  <c r="AM761" i="3"/>
  <c r="AM911" i="3"/>
  <c r="AL761" i="3"/>
  <c r="AL911" i="3"/>
  <c r="AK761" i="3"/>
  <c r="AK911" i="3"/>
  <c r="AJ761" i="3"/>
  <c r="AJ911" i="3" s="1"/>
  <c r="AI761" i="3"/>
  <c r="AI911" i="3" s="1"/>
  <c r="AF761" i="3"/>
  <c r="AF911" i="3"/>
  <c r="AE761" i="3"/>
  <c r="AE911" i="3"/>
  <c r="AD761" i="3"/>
  <c r="AD911" i="3" s="1"/>
  <c r="AC761" i="3"/>
  <c r="AC911" i="3" s="1"/>
  <c r="AB761" i="3"/>
  <c r="AB911" i="3"/>
  <c r="AA761" i="3"/>
  <c r="AA911" i="3" s="1"/>
  <c r="Z761" i="3"/>
  <c r="Z911" i="3" s="1"/>
  <c r="Y761" i="3"/>
  <c r="Y911" i="3" s="1"/>
  <c r="X761" i="3"/>
  <c r="X911" i="3"/>
  <c r="W761" i="3"/>
  <c r="W911" i="3" s="1"/>
  <c r="V761" i="3"/>
  <c r="V911" i="3" s="1"/>
  <c r="U761" i="3"/>
  <c r="U911" i="3" s="1"/>
  <c r="R761" i="3"/>
  <c r="R911" i="3"/>
  <c r="Q761" i="3"/>
  <c r="Q911" i="3"/>
  <c r="P761" i="3"/>
  <c r="P911" i="3" s="1"/>
  <c r="O761" i="3"/>
  <c r="O911" i="3" s="1"/>
  <c r="N761" i="3"/>
  <c r="N911" i="3"/>
  <c r="M761" i="3"/>
  <c r="M911" i="3"/>
  <c r="L761" i="3"/>
  <c r="L911" i="3" s="1"/>
  <c r="K761" i="3"/>
  <c r="K911" i="3" s="1"/>
  <c r="J761" i="3"/>
  <c r="J911" i="3"/>
  <c r="I761" i="3"/>
  <c r="I911" i="3" s="1"/>
  <c r="H761" i="3"/>
  <c r="H911" i="3" s="1"/>
  <c r="G761" i="3"/>
  <c r="G911" i="3" s="1"/>
  <c r="EF760" i="3"/>
  <c r="EF745" i="3" s="1"/>
  <c r="DQ760" i="3"/>
  <c r="BL760" i="3"/>
  <c r="AX760" i="3"/>
  <c r="AX746" i="3"/>
  <c r="AX724" i="3"/>
  <c r="AX723" i="3"/>
  <c r="AX722" i="3"/>
  <c r="AX721" i="3"/>
  <c r="AX720" i="3"/>
  <c r="AX719" i="3"/>
  <c r="AX718" i="3"/>
  <c r="AX717" i="3"/>
  <c r="AX716" i="3"/>
  <c r="AX715" i="3"/>
  <c r="AX714" i="3"/>
  <c r="AX713" i="3"/>
  <c r="AX743" i="3"/>
  <c r="AX712" i="3"/>
  <c r="AX711" i="3"/>
  <c r="AX710" i="3"/>
  <c r="AX741" i="3"/>
  <c r="AX709" i="3"/>
  <c r="AX708" i="3"/>
  <c r="AX707" i="3"/>
  <c r="AX706" i="3"/>
  <c r="AX705" i="3"/>
  <c r="AX704" i="3"/>
  <c r="AX703" i="3"/>
  <c r="AX702" i="3"/>
  <c r="AX700" i="3"/>
  <c r="AX699" i="3"/>
  <c r="AX698" i="3"/>
  <c r="AX738" i="3"/>
  <c r="AX697" i="3"/>
  <c r="AX737" i="3"/>
  <c r="AX696" i="3"/>
  <c r="AX736" i="3"/>
  <c r="AX695" i="3"/>
  <c r="AX694" i="3"/>
  <c r="AX748" i="3"/>
  <c r="AX693" i="3"/>
  <c r="AX692" i="3"/>
  <c r="AX691" i="3"/>
  <c r="AX689" i="3"/>
  <c r="AX688" i="3"/>
  <c r="AX687" i="3"/>
  <c r="AX686" i="3"/>
  <c r="AX749" i="3"/>
  <c r="AX685" i="3"/>
  <c r="AX684" i="3"/>
  <c r="AX683" i="3"/>
  <c r="AX731" i="3"/>
  <c r="AX682" i="3"/>
  <c r="AX681" i="3"/>
  <c r="AX680" i="3"/>
  <c r="AX679" i="3"/>
  <c r="AX678" i="3"/>
  <c r="AX677" i="3"/>
  <c r="AX676" i="3"/>
  <c r="AX675" i="3"/>
  <c r="AX729" i="3"/>
  <c r="AX728" i="3"/>
  <c r="AX674" i="3"/>
  <c r="AX673" i="3"/>
  <c r="AX727" i="3"/>
  <c r="AX671" i="3"/>
  <c r="AX670" i="3"/>
  <c r="AX669" i="3"/>
  <c r="AX726" i="3"/>
  <c r="AX747" i="3"/>
  <c r="AX668" i="3"/>
  <c r="AX667" i="3"/>
  <c r="AX666" i="3"/>
  <c r="AX665" i="3"/>
  <c r="AX663" i="3"/>
  <c r="AX662" i="3"/>
  <c r="AX661" i="3"/>
  <c r="AX660" i="3"/>
  <c r="AG760" i="3"/>
  <c r="S760" i="3"/>
  <c r="BG724" i="3"/>
  <c r="BL724" i="3" s="1"/>
  <c r="BG723" i="3"/>
  <c r="BL723" i="3"/>
  <c r="BG722" i="3"/>
  <c r="BL722" i="3"/>
  <c r="BG721" i="3"/>
  <c r="BL721" i="3" s="1"/>
  <c r="BG720" i="3"/>
  <c r="BL720" i="3" s="1"/>
  <c r="S724" i="3"/>
  <c r="S723" i="3"/>
  <c r="S722" i="3"/>
  <c r="S721" i="3"/>
  <c r="S720" i="3"/>
  <c r="EF724" i="3"/>
  <c r="EG724" i="3" s="1"/>
  <c r="EH724" i="3" s="1"/>
  <c r="EI724" i="3" s="1"/>
  <c r="EF723" i="3"/>
  <c r="EG723" i="3" s="1"/>
  <c r="EH723" i="3" s="1"/>
  <c r="EI723" i="3" s="1"/>
  <c r="EF722" i="3"/>
  <c r="EG722" i="3" s="1"/>
  <c r="EH722" i="3" s="1"/>
  <c r="EI722" i="3" s="1"/>
  <c r="EF721" i="3"/>
  <c r="EG721" i="3" s="1"/>
  <c r="EH721" i="3" s="1"/>
  <c r="EI721" i="3" s="1"/>
  <c r="EF720" i="3"/>
  <c r="EG720" i="3"/>
  <c r="EH720" i="3" s="1"/>
  <c r="EI720" i="3" s="1"/>
  <c r="AW724" i="3"/>
  <c r="AV724" i="3"/>
  <c r="AU724" i="3"/>
  <c r="AW723" i="3"/>
  <c r="AV723" i="3"/>
  <c r="AU723" i="3"/>
  <c r="AW722" i="3"/>
  <c r="AV722" i="3"/>
  <c r="AU722" i="3"/>
  <c r="AW721" i="3"/>
  <c r="AV721" i="3"/>
  <c r="AU721" i="3"/>
  <c r="AW720" i="3"/>
  <c r="AV720" i="3"/>
  <c r="AU720" i="3"/>
  <c r="AG724" i="3"/>
  <c r="AG723" i="3"/>
  <c r="AG722" i="3"/>
  <c r="AG721" i="3"/>
  <c r="AG720" i="3"/>
  <c r="EF718" i="3"/>
  <c r="EG718" i="3"/>
  <c r="EH718" i="3" s="1"/>
  <c r="EI718" i="3" s="1"/>
  <c r="BG718" i="3"/>
  <c r="BL718" i="3" s="1"/>
  <c r="BG717" i="3"/>
  <c r="BL717" i="3"/>
  <c r="BG716" i="3"/>
  <c r="BL716" i="3"/>
  <c r="BG715" i="3"/>
  <c r="BL715" i="3" s="1"/>
  <c r="S718" i="3"/>
  <c r="S717" i="3"/>
  <c r="S716" i="3"/>
  <c r="S715" i="3"/>
  <c r="EH717" i="3"/>
  <c r="EI717" i="3" s="1"/>
  <c r="EF716" i="3"/>
  <c r="EG716" i="3" s="1"/>
  <c r="EH716" i="3" s="1"/>
  <c r="EI716" i="3" s="1"/>
  <c r="EF715" i="3"/>
  <c r="EG715" i="3" s="1"/>
  <c r="EH715" i="3" s="1"/>
  <c r="EI715" i="3" s="1"/>
  <c r="AW718" i="3"/>
  <c r="AV718" i="3"/>
  <c r="AU718" i="3"/>
  <c r="AW717" i="3"/>
  <c r="AV717" i="3"/>
  <c r="AU717" i="3"/>
  <c r="AW716" i="3"/>
  <c r="AV716" i="3"/>
  <c r="AU716" i="3"/>
  <c r="AW715" i="3"/>
  <c r="AV715" i="3"/>
  <c r="AU715" i="3"/>
  <c r="AG718" i="3"/>
  <c r="AG717" i="3"/>
  <c r="AG716" i="3"/>
  <c r="AG715" i="3"/>
  <c r="EH713" i="3"/>
  <c r="EG713" i="3"/>
  <c r="EF713" i="3"/>
  <c r="BG713" i="3"/>
  <c r="BL713" i="3"/>
  <c r="AW713" i="3"/>
  <c r="AV713" i="3"/>
  <c r="AU713" i="3"/>
  <c r="AG713" i="3"/>
  <c r="S713" i="3"/>
  <c r="EH743" i="3"/>
  <c r="EI743" i="3"/>
  <c r="EH711" i="3"/>
  <c r="EI711" i="3"/>
  <c r="EF712" i="3"/>
  <c r="EG712" i="3" s="1"/>
  <c r="EH712" i="3" s="1"/>
  <c r="EI712" i="3" s="1"/>
  <c r="BG712" i="3"/>
  <c r="BL712" i="3" s="1"/>
  <c r="AW712" i="3"/>
  <c r="AV712" i="3"/>
  <c r="AU712" i="3"/>
  <c r="AG712" i="3"/>
  <c r="S712" i="3"/>
  <c r="EF710" i="3"/>
  <c r="EG710" i="3" s="1"/>
  <c r="EH710" i="3" s="1"/>
  <c r="EI710" i="3" s="1"/>
  <c r="EF709" i="3"/>
  <c r="EG709" i="3" s="1"/>
  <c r="EH709" i="3" s="1"/>
  <c r="EI709" i="3" s="1"/>
  <c r="EF708" i="3"/>
  <c r="EG708" i="3" s="1"/>
  <c r="EH708" i="3" s="1"/>
  <c r="EI708" i="3" s="1"/>
  <c r="EF707" i="3"/>
  <c r="EG707" i="3" s="1"/>
  <c r="EH707" i="3" s="1"/>
  <c r="EI707" i="3" s="1"/>
  <c r="BG741" i="3"/>
  <c r="BL741" i="3"/>
  <c r="BG709" i="3"/>
  <c r="BL709" i="3"/>
  <c r="BG708" i="3"/>
  <c r="BL708" i="3"/>
  <c r="BG707" i="3"/>
  <c r="BL707" i="3"/>
  <c r="BG706" i="3"/>
  <c r="BL706" i="3"/>
  <c r="S741" i="3"/>
  <c r="S709" i="3"/>
  <c r="S708" i="3"/>
  <c r="S707" i="3"/>
  <c r="S706" i="3"/>
  <c r="AW741" i="3"/>
  <c r="AV741" i="3"/>
  <c r="AU741" i="3"/>
  <c r="AW709" i="3"/>
  <c r="AV709" i="3"/>
  <c r="AU709" i="3"/>
  <c r="AW708" i="3"/>
  <c r="AV708" i="3"/>
  <c r="AU708" i="3"/>
  <c r="AW707" i="3"/>
  <c r="AV707" i="3"/>
  <c r="AU707" i="3"/>
  <c r="AW706" i="3"/>
  <c r="AV706" i="3"/>
  <c r="AU706" i="3"/>
  <c r="AG741" i="3"/>
  <c r="AG709" i="3"/>
  <c r="AG708" i="3"/>
  <c r="AG707" i="3"/>
  <c r="AG706" i="3"/>
  <c r="EF704" i="3"/>
  <c r="EG704" i="3" s="1"/>
  <c r="EH704" i="3" s="1"/>
  <c r="EI704" i="3" s="1"/>
  <c r="BG704" i="3"/>
  <c r="BL704" i="3"/>
  <c r="AW704" i="3"/>
  <c r="AV704" i="3"/>
  <c r="AU704" i="3"/>
  <c r="AG704" i="3"/>
  <c r="S704" i="3"/>
  <c r="EF702" i="3"/>
  <c r="EG702" i="3" s="1"/>
  <c r="EH702" i="3" s="1"/>
  <c r="EI702" i="3" s="1"/>
  <c r="EF700" i="3"/>
  <c r="EG700" i="3" s="1"/>
  <c r="EH700" i="3" s="1"/>
  <c r="EI700" i="3" s="1"/>
  <c r="EF699" i="3"/>
  <c r="EG699" i="3" s="1"/>
  <c r="EH699" i="3" s="1"/>
  <c r="EI699" i="3" s="1"/>
  <c r="EF698" i="3"/>
  <c r="EG698" i="3" s="1"/>
  <c r="EH698" i="3" s="1"/>
  <c r="EI698" i="3" s="1"/>
  <c r="BG698" i="3"/>
  <c r="BL698" i="3" s="1"/>
  <c r="AW698" i="3"/>
  <c r="AV698" i="3"/>
  <c r="AU698" i="3"/>
  <c r="AG698" i="3"/>
  <c r="S698" i="3"/>
  <c r="EH738" i="3"/>
  <c r="EI738" i="3"/>
  <c r="EH737" i="3"/>
  <c r="EI737" i="3" s="1"/>
  <c r="EF697" i="3"/>
  <c r="EG697" i="3" s="1"/>
  <c r="EH697" i="3" s="1"/>
  <c r="EI697" i="3" s="1"/>
  <c r="BG697" i="3"/>
  <c r="BL697" i="3"/>
  <c r="AW697" i="3"/>
  <c r="AV697" i="3"/>
  <c r="AU697" i="3"/>
  <c r="AG697" i="3"/>
  <c r="S697" i="3"/>
  <c r="EF696" i="3"/>
  <c r="EG696" i="3" s="1"/>
  <c r="EH696" i="3" s="1"/>
  <c r="EI696" i="3" s="1"/>
  <c r="BG696" i="3"/>
  <c r="BL696" i="3" s="1"/>
  <c r="AW696" i="3"/>
  <c r="AV696" i="3"/>
  <c r="AU696" i="3"/>
  <c r="AG696" i="3"/>
  <c r="S696" i="3"/>
  <c r="EG736" i="3"/>
  <c r="EH736" i="3"/>
  <c r="EI736" i="3" s="1"/>
  <c r="EF695" i="3"/>
  <c r="EG695" i="3" s="1"/>
  <c r="EH695" i="3" s="1"/>
  <c r="EI695" i="3" s="1"/>
  <c r="BG695" i="3"/>
  <c r="BL695" i="3"/>
  <c r="AW695" i="3"/>
  <c r="AV695" i="3"/>
  <c r="AU695" i="3"/>
  <c r="AG695" i="3"/>
  <c r="S695" i="3"/>
  <c r="EH748" i="3"/>
  <c r="EI748" i="3" s="1"/>
  <c r="BG693" i="3"/>
  <c r="BL693" i="3" s="1"/>
  <c r="AW693" i="3"/>
  <c r="AV693" i="3"/>
  <c r="AU693" i="3"/>
  <c r="AG693" i="3"/>
  <c r="S693" i="3"/>
  <c r="BG691" i="3"/>
  <c r="BL691" i="3"/>
  <c r="BG689" i="3"/>
  <c r="BL689" i="3"/>
  <c r="S691" i="3"/>
  <c r="S689" i="3"/>
  <c r="EF692" i="3"/>
  <c r="EG692" i="3" s="1"/>
  <c r="EH692" i="3" s="1"/>
  <c r="EI692" i="3" s="1"/>
  <c r="EF691" i="3"/>
  <c r="EG691" i="3"/>
  <c r="EH691" i="3" s="1"/>
  <c r="EI691" i="3" s="1"/>
  <c r="EF689" i="3"/>
  <c r="EG689" i="3" s="1"/>
  <c r="EH689" i="3" s="1"/>
  <c r="EI689" i="3" s="1"/>
  <c r="AW691" i="3"/>
  <c r="AV691" i="3"/>
  <c r="AU691" i="3"/>
  <c r="AW689" i="3"/>
  <c r="AV689" i="3"/>
  <c r="AU689" i="3"/>
  <c r="AG691" i="3"/>
  <c r="AG689" i="3"/>
  <c r="EH688" i="3"/>
  <c r="EI688" i="3"/>
  <c r="EF686" i="3"/>
  <c r="EG686" i="3" s="1"/>
  <c r="EH686" i="3" s="1"/>
  <c r="EI686" i="3" s="1"/>
  <c r="BG687" i="3"/>
  <c r="BL687" i="3" s="1"/>
  <c r="BG686" i="3"/>
  <c r="BL686" i="3" s="1"/>
  <c r="S687" i="3"/>
  <c r="S686" i="3"/>
  <c r="AW687" i="3"/>
  <c r="AV687" i="3"/>
  <c r="AU687" i="3"/>
  <c r="AW686" i="3"/>
  <c r="AV686" i="3"/>
  <c r="AU686" i="3"/>
  <c r="AG687" i="3"/>
  <c r="AG686" i="3"/>
  <c r="EG749" i="3"/>
  <c r="BG685" i="3"/>
  <c r="BL685" i="3" s="1"/>
  <c r="BG684" i="3"/>
  <c r="BL684" i="3" s="1"/>
  <c r="BG683" i="3"/>
  <c r="BL683" i="3" s="1"/>
  <c r="S685" i="3"/>
  <c r="S684" i="3"/>
  <c r="S683" i="3"/>
  <c r="EF685" i="3"/>
  <c r="EG685" i="3" s="1"/>
  <c r="EH685" i="3" s="1"/>
  <c r="EI685" i="3" s="1"/>
  <c r="EF684" i="3"/>
  <c r="EG684" i="3" s="1"/>
  <c r="EH684" i="3" s="1"/>
  <c r="EI684" i="3" s="1"/>
  <c r="EF683" i="3"/>
  <c r="EG683" i="3" s="1"/>
  <c r="EH683" i="3" s="1"/>
  <c r="EI683" i="3" s="1"/>
  <c r="AW685" i="3"/>
  <c r="AV685" i="3"/>
  <c r="AU685" i="3"/>
  <c r="AW684" i="3"/>
  <c r="AV684" i="3"/>
  <c r="AU684" i="3"/>
  <c r="AW683" i="3"/>
  <c r="AV683" i="3"/>
  <c r="AU683" i="3"/>
  <c r="AG685" i="3"/>
  <c r="AG684" i="3"/>
  <c r="AG683" i="3"/>
  <c r="BG682" i="3"/>
  <c r="BL682" i="3" s="1"/>
  <c r="BG681" i="3"/>
  <c r="BL681" i="3" s="1"/>
  <c r="BG680" i="3"/>
  <c r="BL680" i="3" s="1"/>
  <c r="BG679" i="3"/>
  <c r="BL679" i="3" s="1"/>
  <c r="S682" i="3"/>
  <c r="S681" i="3"/>
  <c r="S680" i="3"/>
  <c r="S679" i="3"/>
  <c r="AW682" i="3"/>
  <c r="AV682" i="3"/>
  <c r="AU682" i="3"/>
  <c r="AW681" i="3"/>
  <c r="AV681" i="3"/>
  <c r="AU681" i="3"/>
  <c r="AW680" i="3"/>
  <c r="AV680" i="3"/>
  <c r="AU680" i="3"/>
  <c r="AW679" i="3"/>
  <c r="AV679" i="3"/>
  <c r="AU679" i="3"/>
  <c r="AG682" i="3"/>
  <c r="AG681" i="3"/>
  <c r="AG680" i="3"/>
  <c r="AG679" i="3"/>
  <c r="EF682" i="3"/>
  <c r="EG682" i="3" s="1"/>
  <c r="EH682" i="3" s="1"/>
  <c r="EI682" i="3" s="1"/>
  <c r="EF681" i="3"/>
  <c r="EG681" i="3" s="1"/>
  <c r="EH681" i="3" s="1"/>
  <c r="EI681" i="3" s="1"/>
  <c r="EF680" i="3"/>
  <c r="EG680" i="3" s="1"/>
  <c r="EH680" i="3" s="1"/>
  <c r="EI680" i="3" s="1"/>
  <c r="EF679" i="3"/>
  <c r="EG679" i="3"/>
  <c r="EH679" i="3" s="1"/>
  <c r="EI679" i="3" s="1"/>
  <c r="EF678" i="3"/>
  <c r="EG678" i="3" s="1"/>
  <c r="EH678" i="3" s="1"/>
  <c r="EI678" i="3" s="1"/>
  <c r="BG675" i="3"/>
  <c r="BL675" i="3" s="1"/>
  <c r="AW675" i="3"/>
  <c r="AV675" i="3"/>
  <c r="AU675" i="3"/>
  <c r="AG675" i="3"/>
  <c r="S675" i="3"/>
  <c r="EF675" i="3"/>
  <c r="EG675" i="3" s="1"/>
  <c r="EH675" i="3" s="1"/>
  <c r="EI675" i="3" s="1"/>
  <c r="EF729" i="3"/>
  <c r="EG729" i="3" s="1"/>
  <c r="BG728" i="3"/>
  <c r="BL728" i="3" s="1"/>
  <c r="BG674" i="3"/>
  <c r="BL674" i="3" s="1"/>
  <c r="BG673" i="3"/>
  <c r="BL673" i="3" s="1"/>
  <c r="S728" i="3"/>
  <c r="S674" i="3"/>
  <c r="S673" i="3"/>
  <c r="EF674" i="3"/>
  <c r="EG674" i="3" s="1"/>
  <c r="EH674" i="3" s="1"/>
  <c r="EI674" i="3" s="1"/>
  <c r="EF673" i="3"/>
  <c r="EG673" i="3" s="1"/>
  <c r="EH673" i="3" s="1"/>
  <c r="EI673" i="3" s="1"/>
  <c r="AW728" i="3"/>
  <c r="AV728" i="3"/>
  <c r="AU728" i="3"/>
  <c r="AW674" i="3"/>
  <c r="AV674" i="3"/>
  <c r="AU674" i="3"/>
  <c r="AW673" i="3"/>
  <c r="AV673" i="3"/>
  <c r="AU673" i="3"/>
  <c r="AG728" i="3"/>
  <c r="AG674" i="3"/>
  <c r="AG673" i="3"/>
  <c r="EH727" i="3"/>
  <c r="EI727" i="3"/>
  <c r="EF671" i="3"/>
  <c r="EG671" i="3" s="1"/>
  <c r="EH671" i="3" s="1"/>
  <c r="EI671" i="3" s="1"/>
  <c r="BG671" i="3"/>
  <c r="BL671" i="3"/>
  <c r="BG670" i="3"/>
  <c r="BL670" i="3" s="1"/>
  <c r="BG669" i="3"/>
  <c r="BL669" i="3" s="1"/>
  <c r="S671" i="3"/>
  <c r="S670" i="3"/>
  <c r="S669" i="3"/>
  <c r="AW671" i="3"/>
  <c r="AV671" i="3"/>
  <c r="AU671" i="3"/>
  <c r="AW670" i="3"/>
  <c r="AV670" i="3"/>
  <c r="AU670" i="3"/>
  <c r="AW669" i="3"/>
  <c r="AV669" i="3"/>
  <c r="AU669" i="3"/>
  <c r="AG671" i="3"/>
  <c r="AG670" i="3"/>
  <c r="AG669" i="3"/>
  <c r="EH726" i="3"/>
  <c r="EI726" i="3"/>
  <c r="EH747" i="3"/>
  <c r="EI747" i="3" s="1"/>
  <c r="EF667" i="3"/>
  <c r="EG667" i="3" s="1"/>
  <c r="EH667" i="3" s="1"/>
  <c r="EI667" i="3" s="1"/>
  <c r="BG668" i="3"/>
  <c r="BL668" i="3"/>
  <c r="AW668" i="3"/>
  <c r="AV668" i="3"/>
  <c r="AU668" i="3"/>
  <c r="AG668" i="3"/>
  <c r="S668" i="3"/>
  <c r="BG666" i="3"/>
  <c r="AW666" i="3"/>
  <c r="AV666" i="3"/>
  <c r="AU666" i="3"/>
  <c r="AG666" i="3"/>
  <c r="S666" i="3"/>
  <c r="EH665" i="3"/>
  <c r="EI665" i="3"/>
  <c r="EH662" i="3"/>
  <c r="EI662" i="3"/>
  <c r="EF663" i="3"/>
  <c r="EG663" i="3" s="1"/>
  <c r="EH663" i="3" s="1"/>
  <c r="EI663" i="3" s="1"/>
  <c r="EF662" i="3"/>
  <c r="CM655" i="3"/>
  <c r="CL655" i="3"/>
  <c r="CK655" i="3"/>
  <c r="CJ655" i="3"/>
  <c r="CI655" i="3"/>
  <c r="CH655" i="3"/>
  <c r="CG655" i="3"/>
  <c r="CF655" i="3"/>
  <c r="CE655" i="3"/>
  <c r="CD655" i="3"/>
  <c r="CC655" i="3"/>
  <c r="CB655" i="3"/>
  <c r="BY905" i="3"/>
  <c r="BX905" i="3"/>
  <c r="BW905" i="3"/>
  <c r="BV905" i="3"/>
  <c r="BU905" i="3"/>
  <c r="BT905" i="3"/>
  <c r="BS905" i="3"/>
  <c r="BR905" i="3"/>
  <c r="BQ905" i="3"/>
  <c r="BP905" i="3"/>
  <c r="BO905" i="3"/>
  <c r="BN905" i="3"/>
  <c r="BK655" i="3"/>
  <c r="BK905" i="3"/>
  <c r="BJ655" i="3"/>
  <c r="BJ905" i="3" s="1"/>
  <c r="BI655" i="3"/>
  <c r="BI905" i="3" s="1"/>
  <c r="BH655" i="3"/>
  <c r="BH905" i="3"/>
  <c r="BF655" i="3"/>
  <c r="BF905" i="3" s="1"/>
  <c r="BE655" i="3"/>
  <c r="BE905" i="3" s="1"/>
  <c r="BD655" i="3"/>
  <c r="BD905" i="3" s="1"/>
  <c r="BC655" i="3"/>
  <c r="BC905" i="3"/>
  <c r="BB655" i="3"/>
  <c r="BB905" i="3" s="1"/>
  <c r="BA655" i="3"/>
  <c r="BA905" i="3" s="1"/>
  <c r="AZ655" i="3"/>
  <c r="AZ905" i="3" s="1"/>
  <c r="AT655" i="3"/>
  <c r="AS655" i="3"/>
  <c r="AR655" i="3"/>
  <c r="AQ655" i="3"/>
  <c r="AQ905" i="3" s="1"/>
  <c r="AP655" i="3"/>
  <c r="AP905" i="3"/>
  <c r="AO655" i="3"/>
  <c r="AO905" i="3"/>
  <c r="AN655" i="3"/>
  <c r="AN905" i="3"/>
  <c r="AM655" i="3"/>
  <c r="AM905" i="3" s="1"/>
  <c r="AL655" i="3"/>
  <c r="AL905" i="3"/>
  <c r="AK655" i="3"/>
  <c r="AK905" i="3"/>
  <c r="AJ655" i="3"/>
  <c r="AJ905" i="3"/>
  <c r="AI655" i="3"/>
  <c r="AI905" i="3" s="1"/>
  <c r="AF655" i="3"/>
  <c r="AF905" i="3"/>
  <c r="AE655" i="3"/>
  <c r="AE905" i="3"/>
  <c r="AD655" i="3"/>
  <c r="AD905" i="3"/>
  <c r="AC655" i="3"/>
  <c r="AC905" i="3" s="1"/>
  <c r="AB655" i="3"/>
  <c r="AB905" i="3"/>
  <c r="AA655" i="3"/>
  <c r="AA905" i="3"/>
  <c r="Z655" i="3"/>
  <c r="Z905" i="3"/>
  <c r="Y655" i="3"/>
  <c r="Y905" i="3" s="1"/>
  <c r="X655" i="3"/>
  <c r="X905" i="3"/>
  <c r="W655" i="3"/>
  <c r="W905" i="3"/>
  <c r="V655" i="3"/>
  <c r="V905" i="3"/>
  <c r="U655" i="3"/>
  <c r="U905" i="3" s="1"/>
  <c r="R655" i="3"/>
  <c r="R905" i="3"/>
  <c r="Q655" i="3"/>
  <c r="Q905" i="3"/>
  <c r="P655" i="3"/>
  <c r="P905" i="3"/>
  <c r="O655" i="3"/>
  <c r="O905" i="3" s="1"/>
  <c r="N655" i="3"/>
  <c r="N905" i="3"/>
  <c r="M655" i="3"/>
  <c r="L655" i="3"/>
  <c r="L905" i="3"/>
  <c r="K655" i="3"/>
  <c r="K905" i="3"/>
  <c r="J655" i="3"/>
  <c r="J905" i="3" s="1"/>
  <c r="I655" i="3"/>
  <c r="I905" i="3" s="1"/>
  <c r="H655" i="3"/>
  <c r="H905" i="3"/>
  <c r="G655" i="3"/>
  <c r="G905" i="3"/>
  <c r="AX653" i="3"/>
  <c r="AX640" i="3"/>
  <c r="AX652" i="3"/>
  <c r="AX648" i="3"/>
  <c r="AX639" i="3"/>
  <c r="AX637" i="3"/>
  <c r="AX636" i="3"/>
  <c r="AX635" i="3"/>
  <c r="AX634" i="3"/>
  <c r="AX638" i="3"/>
  <c r="AX646" i="3"/>
  <c r="AX645" i="3"/>
  <c r="AX633" i="3"/>
  <c r="EF640" i="3"/>
  <c r="EG640" i="3" s="1"/>
  <c r="EH640" i="3" s="1"/>
  <c r="EI640" i="3" s="1"/>
  <c r="BG640" i="3"/>
  <c r="BL640" i="3" s="1"/>
  <c r="BG652" i="3"/>
  <c r="BL652" i="3"/>
  <c r="AG640" i="3"/>
  <c r="AG652" i="3"/>
  <c r="S640" i="3"/>
  <c r="S652" i="3"/>
  <c r="EE650" i="3"/>
  <c r="AW640" i="3"/>
  <c r="AV640" i="3"/>
  <c r="AU640" i="3"/>
  <c r="AW652" i="3"/>
  <c r="AV652" i="3"/>
  <c r="AU652" i="3"/>
  <c r="EH639" i="3"/>
  <c r="EI639" i="3" s="1"/>
  <c r="EH636" i="3"/>
  <c r="EI636" i="3" s="1"/>
  <c r="EH635" i="3"/>
  <c r="EI635" i="3" s="1"/>
  <c r="EF639" i="3"/>
  <c r="EF636" i="3"/>
  <c r="EF635" i="3"/>
  <c r="EF637" i="3"/>
  <c r="EG637" i="3" s="1"/>
  <c r="EH637" i="3" s="1"/>
  <c r="BG637" i="3"/>
  <c r="BL637" i="3" s="1"/>
  <c r="BG636" i="3"/>
  <c r="BL636" i="3" s="1"/>
  <c r="BG635" i="3"/>
  <c r="BL635" i="3"/>
  <c r="BG634" i="3"/>
  <c r="BL634" i="3"/>
  <c r="BG638" i="3"/>
  <c r="BL638" i="3" s="1"/>
  <c r="AG637" i="3"/>
  <c r="AG636" i="3"/>
  <c r="AG635" i="3"/>
  <c r="AG634" i="3"/>
  <c r="AG638" i="3"/>
  <c r="S637" i="3"/>
  <c r="S636" i="3"/>
  <c r="S635" i="3"/>
  <c r="S634" i="3"/>
  <c r="S638" i="3"/>
  <c r="CT636" i="3"/>
  <c r="EF634" i="3"/>
  <c r="EG634" i="3" s="1"/>
  <c r="EH634" i="3" s="1"/>
  <c r="EI634" i="3" s="1"/>
  <c r="EF638" i="3"/>
  <c r="EG638" i="3" s="1"/>
  <c r="EH638" i="3" s="1"/>
  <c r="EI638" i="3" s="1"/>
  <c r="CT634" i="3"/>
  <c r="AW637" i="3"/>
  <c r="AV637" i="3"/>
  <c r="AU637" i="3"/>
  <c r="AW636" i="3"/>
  <c r="AV636" i="3"/>
  <c r="AU636" i="3"/>
  <c r="AW635" i="3"/>
  <c r="AV635" i="3"/>
  <c r="AU635" i="3"/>
  <c r="AW634" i="3"/>
  <c r="AV634" i="3"/>
  <c r="AU634" i="3"/>
  <c r="AW638" i="3"/>
  <c r="AV638" i="3"/>
  <c r="AU638" i="3"/>
  <c r="EG645" i="3"/>
  <c r="EG642" i="3"/>
  <c r="EE642" i="3"/>
  <c r="CT645" i="3"/>
  <c r="CT642" i="3"/>
  <c r="BL645" i="3"/>
  <c r="AG645" i="3"/>
  <c r="S645" i="3"/>
  <c r="EF632" i="3"/>
  <c r="EG632" i="3" s="1"/>
  <c r="EH632" i="3" s="1"/>
  <c r="BG632" i="3"/>
  <c r="BL632" i="3"/>
  <c r="AX632" i="3"/>
  <c r="AW632" i="3"/>
  <c r="AV632" i="3"/>
  <c r="AU632" i="3"/>
  <c r="AG632" i="3"/>
  <c r="S632" i="3"/>
  <c r="EG631" i="3"/>
  <c r="AX631" i="3"/>
  <c r="AX630" i="3"/>
  <c r="AX651" i="3"/>
  <c r="AX629" i="3"/>
  <c r="BL651" i="3"/>
  <c r="BG630" i="3"/>
  <c r="BL630" i="3"/>
  <c r="AW630" i="3"/>
  <c r="AV630" i="3"/>
  <c r="AU630" i="3"/>
  <c r="AG630" i="3"/>
  <c r="S630" i="3"/>
  <c r="EF651" i="3"/>
  <c r="EF650" i="3" s="1"/>
  <c r="BG629" i="3"/>
  <c r="AW629" i="3"/>
  <c r="AV629" i="3"/>
  <c r="AU629" i="3"/>
  <c r="AG629" i="3"/>
  <c r="S629" i="3"/>
  <c r="AT624" i="3"/>
  <c r="CM624" i="3"/>
  <c r="CL624" i="3"/>
  <c r="CK624" i="3"/>
  <c r="CJ624" i="3"/>
  <c r="CI624" i="3"/>
  <c r="CH624" i="3"/>
  <c r="CG624" i="3"/>
  <c r="CF624" i="3"/>
  <c r="CE624" i="3"/>
  <c r="CD624" i="3"/>
  <c r="CC624" i="3"/>
  <c r="CB624" i="3"/>
  <c r="BY899" i="3"/>
  <c r="BX899" i="3"/>
  <c r="BW899" i="3"/>
  <c r="BV899" i="3"/>
  <c r="BU899" i="3"/>
  <c r="BT899" i="3"/>
  <c r="BS899" i="3"/>
  <c r="BR899" i="3"/>
  <c r="BQ899" i="3"/>
  <c r="BP899" i="3"/>
  <c r="BO899" i="3"/>
  <c r="BN899" i="3"/>
  <c r="BK624" i="3"/>
  <c r="BK899" i="3"/>
  <c r="BJ624" i="3"/>
  <c r="BJ899" i="3"/>
  <c r="BI624" i="3"/>
  <c r="BI899" i="3" s="1"/>
  <c r="BH624" i="3"/>
  <c r="BH899" i="3" s="1"/>
  <c r="BF624" i="3"/>
  <c r="BF899" i="3"/>
  <c r="BE624" i="3"/>
  <c r="BE899" i="3"/>
  <c r="BD624" i="3"/>
  <c r="BD899" i="3" s="1"/>
  <c r="BC624" i="3"/>
  <c r="BC899" i="3" s="1"/>
  <c r="BB624" i="3"/>
  <c r="BB899" i="3"/>
  <c r="BA624" i="3"/>
  <c r="BA899" i="3"/>
  <c r="AZ624" i="3"/>
  <c r="AZ899" i="3" s="1"/>
  <c r="AS624" i="3"/>
  <c r="AR624" i="3"/>
  <c r="AQ624" i="3"/>
  <c r="AQ899" i="3"/>
  <c r="AP624" i="3"/>
  <c r="AP899" i="3"/>
  <c r="AO624" i="3"/>
  <c r="AO899" i="3" s="1"/>
  <c r="AN624" i="3"/>
  <c r="AN899" i="3" s="1"/>
  <c r="AM624" i="3"/>
  <c r="AM899" i="3"/>
  <c r="AL624" i="3"/>
  <c r="AL899" i="3"/>
  <c r="AK624" i="3"/>
  <c r="AK899" i="3" s="1"/>
  <c r="AJ624" i="3"/>
  <c r="AJ899" i="3" s="1"/>
  <c r="AI624" i="3"/>
  <c r="AI899" i="3"/>
  <c r="AF624" i="3"/>
  <c r="AF899" i="3"/>
  <c r="AE624" i="3"/>
  <c r="AE899" i="3" s="1"/>
  <c r="AD624" i="3"/>
  <c r="AD899" i="3" s="1"/>
  <c r="AC624" i="3"/>
  <c r="AC899" i="3"/>
  <c r="AB624" i="3"/>
  <c r="AB899" i="3"/>
  <c r="AA624" i="3"/>
  <c r="AA899" i="3" s="1"/>
  <c r="Z624" i="3"/>
  <c r="Z899" i="3" s="1"/>
  <c r="Y624" i="3"/>
  <c r="Y899" i="3"/>
  <c r="X624" i="3"/>
  <c r="X899" i="3"/>
  <c r="W624" i="3"/>
  <c r="W899" i="3" s="1"/>
  <c r="V624" i="3"/>
  <c r="V899" i="3" s="1"/>
  <c r="U624" i="3"/>
  <c r="U899" i="3"/>
  <c r="R624" i="3"/>
  <c r="R899" i="3"/>
  <c r="Q624" i="3"/>
  <c r="Q899" i="3" s="1"/>
  <c r="P624" i="3"/>
  <c r="P899" i="3" s="1"/>
  <c r="O624" i="3"/>
  <c r="O899" i="3"/>
  <c r="N624" i="3"/>
  <c r="N899" i="3"/>
  <c r="M624" i="3"/>
  <c r="M899" i="3" s="1"/>
  <c r="L624" i="3"/>
  <c r="L899" i="3" s="1"/>
  <c r="K624" i="3"/>
  <c r="K899" i="3"/>
  <c r="J624" i="3"/>
  <c r="J899" i="3"/>
  <c r="I624" i="3"/>
  <c r="I899" i="3" s="1"/>
  <c r="H624" i="3"/>
  <c r="H899" i="3" s="1"/>
  <c r="G624" i="3"/>
  <c r="G899" i="3"/>
  <c r="BG574" i="3"/>
  <c r="BL574" i="3" s="1"/>
  <c r="BG573" i="3"/>
  <c r="BL573" i="3" s="1"/>
  <c r="BG572" i="3"/>
  <c r="BL572" i="3" s="1"/>
  <c r="BG571" i="3"/>
  <c r="BL571" i="3" s="1"/>
  <c r="BG570" i="3"/>
  <c r="BL570" i="3" s="1"/>
  <c r="BG569" i="3"/>
  <c r="BL569" i="3" s="1"/>
  <c r="S574" i="3"/>
  <c r="S573" i="3"/>
  <c r="S572" i="3"/>
  <c r="S571" i="3"/>
  <c r="S570" i="3"/>
  <c r="S569" i="3"/>
  <c r="EF574" i="3"/>
  <c r="EG574" i="3" s="1"/>
  <c r="EH574" i="3" s="1"/>
  <c r="EI574" i="3" s="1"/>
  <c r="EF573" i="3"/>
  <c r="EG573" i="3" s="1"/>
  <c r="EH573" i="3" s="1"/>
  <c r="EI573" i="3" s="1"/>
  <c r="EF572" i="3"/>
  <c r="EG572" i="3" s="1"/>
  <c r="EH572" i="3" s="1"/>
  <c r="EI572" i="3" s="1"/>
  <c r="EG571" i="3"/>
  <c r="EH571" i="3" s="1"/>
  <c r="EI571" i="3" s="1"/>
  <c r="EG570" i="3"/>
  <c r="EF569" i="3"/>
  <c r="EG569" i="3" s="1"/>
  <c r="EH569" i="3" s="1"/>
  <c r="EI569" i="3" s="1"/>
  <c r="AX574" i="3"/>
  <c r="AW574" i="3"/>
  <c r="AV574" i="3"/>
  <c r="AU574" i="3"/>
  <c r="AX573" i="3"/>
  <c r="AW573" i="3"/>
  <c r="AV573" i="3"/>
  <c r="AU573" i="3"/>
  <c r="AX572" i="3"/>
  <c r="AW572" i="3"/>
  <c r="AV572" i="3"/>
  <c r="AU572" i="3"/>
  <c r="AX571" i="3"/>
  <c r="AW571" i="3"/>
  <c r="AV571" i="3"/>
  <c r="AU571" i="3"/>
  <c r="AX570" i="3"/>
  <c r="AW570" i="3"/>
  <c r="AV570" i="3"/>
  <c r="AU570" i="3"/>
  <c r="AX569" i="3"/>
  <c r="AW569" i="3"/>
  <c r="AV569" i="3"/>
  <c r="AU569" i="3"/>
  <c r="AG574" i="3"/>
  <c r="AG573" i="3"/>
  <c r="AG572" i="3"/>
  <c r="AG571" i="3"/>
  <c r="AG570" i="3"/>
  <c r="AG569" i="3"/>
  <c r="AX568" i="3"/>
  <c r="AX567" i="3"/>
  <c r="EG567" i="3"/>
  <c r="EH567" i="3" s="1"/>
  <c r="EI567" i="3" s="1"/>
  <c r="BG567" i="3"/>
  <c r="BL567" i="3" s="1"/>
  <c r="AW567" i="3"/>
  <c r="AV567" i="3"/>
  <c r="AU567" i="3"/>
  <c r="AG567" i="3"/>
  <c r="S567" i="3"/>
  <c r="BG565" i="3"/>
  <c r="BL565" i="3"/>
  <c r="BG564" i="3"/>
  <c r="BL564" i="3"/>
  <c r="BG563" i="3"/>
  <c r="BL563" i="3" s="1"/>
  <c r="S565" i="3"/>
  <c r="S564" i="3"/>
  <c r="S563" i="3"/>
  <c r="EH565" i="3"/>
  <c r="EF565" i="3"/>
  <c r="EG565" i="3" s="1"/>
  <c r="EF564" i="3"/>
  <c r="EG564" i="3" s="1"/>
  <c r="EH564" i="3" s="1"/>
  <c r="EI564" i="3" s="1"/>
  <c r="EF563" i="3"/>
  <c r="EG563" i="3" s="1"/>
  <c r="EH563" i="3" s="1"/>
  <c r="EI563" i="3" s="1"/>
  <c r="AX565" i="3"/>
  <c r="AW565" i="3"/>
  <c r="AV565" i="3"/>
  <c r="AU565" i="3"/>
  <c r="AX564" i="3"/>
  <c r="AW564" i="3"/>
  <c r="AV564" i="3"/>
  <c r="AU564" i="3"/>
  <c r="AX563" i="3"/>
  <c r="AW563" i="3"/>
  <c r="AV563" i="3"/>
  <c r="AU563" i="3"/>
  <c r="AG565" i="3"/>
  <c r="AG564" i="3"/>
  <c r="AG563" i="3"/>
  <c r="BL556" i="3"/>
  <c r="BL547" i="3"/>
  <c r="BG561" i="3"/>
  <c r="BL561" i="3"/>
  <c r="BG560" i="3"/>
  <c r="BL560" i="3"/>
  <c r="BG559" i="3"/>
  <c r="BL559" i="3" s="1"/>
  <c r="BG558" i="3"/>
  <c r="BL558" i="3" s="1"/>
  <c r="BG557" i="3"/>
  <c r="BL557" i="3"/>
  <c r="S561" i="3"/>
  <c r="S560" i="3"/>
  <c r="S559" i="3"/>
  <c r="S558" i="3"/>
  <c r="S557" i="3"/>
  <c r="EF561" i="3"/>
  <c r="EG561" i="3" s="1"/>
  <c r="EH561" i="3" s="1"/>
  <c r="EI561" i="3" s="1"/>
  <c r="EF560" i="3"/>
  <c r="EG560" i="3" s="1"/>
  <c r="EH560" i="3" s="1"/>
  <c r="EI560" i="3" s="1"/>
  <c r="EF559" i="3"/>
  <c r="EG559" i="3" s="1"/>
  <c r="EH559" i="3" s="1"/>
  <c r="EI559" i="3" s="1"/>
  <c r="EF558" i="3"/>
  <c r="EG558" i="3" s="1"/>
  <c r="EH558" i="3" s="1"/>
  <c r="EI558" i="3" s="1"/>
  <c r="EF557" i="3"/>
  <c r="EG557" i="3" s="1"/>
  <c r="EH557" i="3" s="1"/>
  <c r="EI557" i="3" s="1"/>
  <c r="AX561" i="3"/>
  <c r="AW561" i="3"/>
  <c r="AV561" i="3"/>
  <c r="AU561" i="3"/>
  <c r="AX560" i="3"/>
  <c r="AW560" i="3"/>
  <c r="AV560" i="3"/>
  <c r="AU560" i="3"/>
  <c r="AX559" i="3"/>
  <c r="AW559" i="3"/>
  <c r="AV559" i="3"/>
  <c r="AU559" i="3"/>
  <c r="AX558" i="3"/>
  <c r="AW558" i="3"/>
  <c r="AV558" i="3"/>
  <c r="AU558" i="3"/>
  <c r="AX557" i="3"/>
  <c r="AW557" i="3"/>
  <c r="AV557" i="3"/>
  <c r="AU557" i="3"/>
  <c r="AG561" i="3"/>
  <c r="AG560" i="3"/>
  <c r="AG559" i="3"/>
  <c r="AG558" i="3"/>
  <c r="AG557" i="3"/>
  <c r="AX556" i="3"/>
  <c r="AX555" i="3"/>
  <c r="AX554" i="3"/>
  <c r="AX553" i="3"/>
  <c r="AX552" i="3"/>
  <c r="AX551" i="3"/>
  <c r="AX550" i="3"/>
  <c r="AX549" i="3"/>
  <c r="AX548" i="3"/>
  <c r="AX547" i="3"/>
  <c r="AX546" i="3"/>
  <c r="AX545" i="3"/>
  <c r="AX544" i="3"/>
  <c r="AX610" i="3"/>
  <c r="AX543" i="3"/>
  <c r="AX542" i="3"/>
  <c r="AX541" i="3"/>
  <c r="AX540" i="3"/>
  <c r="AX598" i="3"/>
  <c r="AX539" i="3"/>
  <c r="AX537" i="3"/>
  <c r="AX536" i="3"/>
  <c r="AX535" i="3"/>
  <c r="AX534" i="3"/>
  <c r="AX533" i="3"/>
  <c r="AX532" i="3"/>
  <c r="AX531" i="3"/>
  <c r="AX530" i="3"/>
  <c r="AX609" i="3"/>
  <c r="AX529" i="3"/>
  <c r="AX528" i="3"/>
  <c r="AX527" i="3"/>
  <c r="AX526" i="3"/>
  <c r="AX525" i="3"/>
  <c r="AX524" i="3"/>
  <c r="AX608" i="3"/>
  <c r="AX523" i="3"/>
  <c r="AX522" i="3"/>
  <c r="AX521" i="3"/>
  <c r="AX520" i="3"/>
  <c r="AX519" i="3"/>
  <c r="AX518" i="3"/>
  <c r="AX517" i="3"/>
  <c r="AX516" i="3"/>
  <c r="AX515" i="3"/>
  <c r="AX514" i="3"/>
  <c r="AX513" i="3"/>
  <c r="AX512" i="3"/>
  <c r="AX607" i="3"/>
  <c r="AX511" i="3"/>
  <c r="AX510" i="3"/>
  <c r="EG616" i="3"/>
  <c r="BG616" i="3"/>
  <c r="BL616" i="3" s="1"/>
  <c r="BG615" i="3"/>
  <c r="BL615" i="3"/>
  <c r="BG555" i="3"/>
  <c r="BL555" i="3" s="1"/>
  <c r="BG554" i="3"/>
  <c r="BL554" i="3" s="1"/>
  <c r="BG553" i="3"/>
  <c r="BL553" i="3" s="1"/>
  <c r="BG552" i="3"/>
  <c r="BL552" i="3" s="1"/>
  <c r="BG551" i="3"/>
  <c r="BL551" i="3" s="1"/>
  <c r="BG550" i="3"/>
  <c r="BL550" i="3" s="1"/>
  <c r="BG549" i="3"/>
  <c r="BL549" i="3" s="1"/>
  <c r="BG548" i="3"/>
  <c r="BL548" i="3" s="1"/>
  <c r="S616" i="3"/>
  <c r="S615" i="3"/>
  <c r="S555" i="3"/>
  <c r="S554" i="3"/>
  <c r="S553" i="3"/>
  <c r="S552" i="3"/>
  <c r="S551" i="3"/>
  <c r="S550" i="3"/>
  <c r="S549" i="3"/>
  <c r="S548" i="3"/>
  <c r="EG555" i="3"/>
  <c r="EG554" i="3"/>
  <c r="EH554" i="3" s="1"/>
  <c r="EI554" i="3" s="1"/>
  <c r="EG553" i="3"/>
  <c r="EH553" i="3" s="1"/>
  <c r="EI553" i="3" s="1"/>
  <c r="EG548" i="3"/>
  <c r="EH548" i="3" s="1"/>
  <c r="EI548" i="3" s="1"/>
  <c r="EF552" i="3"/>
  <c r="EG552" i="3" s="1"/>
  <c r="EH552" i="3" s="1"/>
  <c r="EI552" i="3" s="1"/>
  <c r="EF551" i="3"/>
  <c r="EG551" i="3" s="1"/>
  <c r="EH551" i="3" s="1"/>
  <c r="EI551" i="3" s="1"/>
  <c r="EF550" i="3"/>
  <c r="EG550" i="3" s="1"/>
  <c r="EH550" i="3" s="1"/>
  <c r="EI550" i="3" s="1"/>
  <c r="EF549" i="3"/>
  <c r="EG549" i="3" s="1"/>
  <c r="EH549" i="3" s="1"/>
  <c r="EI549" i="3" s="1"/>
  <c r="AW616" i="3"/>
  <c r="AV616" i="3"/>
  <c r="AU616" i="3"/>
  <c r="AW615" i="3"/>
  <c r="AV615" i="3"/>
  <c r="AU615" i="3"/>
  <c r="AW555" i="3"/>
  <c r="AV555" i="3"/>
  <c r="AU555" i="3"/>
  <c r="AW554" i="3"/>
  <c r="AV554" i="3"/>
  <c r="AU554" i="3"/>
  <c r="AW553" i="3"/>
  <c r="AV553" i="3"/>
  <c r="AU553" i="3"/>
  <c r="AW552" i="3"/>
  <c r="AV552" i="3"/>
  <c r="AU552" i="3"/>
  <c r="AW551" i="3"/>
  <c r="AV551" i="3"/>
  <c r="AU551" i="3"/>
  <c r="AW550" i="3"/>
  <c r="AV550" i="3"/>
  <c r="AU550" i="3"/>
  <c r="AW549" i="3"/>
  <c r="AV549" i="3"/>
  <c r="AU549" i="3"/>
  <c r="AW548" i="3"/>
  <c r="AV548" i="3"/>
  <c r="AU548" i="3"/>
  <c r="AG616" i="3"/>
  <c r="AG615" i="3"/>
  <c r="AG555" i="3"/>
  <c r="AG554" i="3"/>
  <c r="AG553" i="3"/>
  <c r="AG552" i="3"/>
  <c r="AG551" i="3"/>
  <c r="AG550" i="3"/>
  <c r="AG549" i="3"/>
  <c r="AG548" i="3"/>
  <c r="BG546" i="3"/>
  <c r="BL546" i="3" s="1"/>
  <c r="BG545" i="3"/>
  <c r="BL545" i="3" s="1"/>
  <c r="S546" i="3"/>
  <c r="S545" i="3"/>
  <c r="EF546" i="3"/>
  <c r="EG546" i="3" s="1"/>
  <c r="EH546" i="3" s="1"/>
  <c r="EI546" i="3" s="1"/>
  <c r="EF545" i="3"/>
  <c r="EG545" i="3" s="1"/>
  <c r="EH545" i="3" s="1"/>
  <c r="EI545" i="3" s="1"/>
  <c r="AW546" i="3"/>
  <c r="AV546" i="3"/>
  <c r="AU546" i="3"/>
  <c r="AW545" i="3"/>
  <c r="AV545" i="3"/>
  <c r="AU545" i="3"/>
  <c r="AG546" i="3"/>
  <c r="AG545" i="3"/>
  <c r="EG610" i="3"/>
  <c r="EG543" i="3"/>
  <c r="EH543" i="3"/>
  <c r="EI543" i="3" s="1"/>
  <c r="BG610" i="3"/>
  <c r="BL610" i="3" s="1"/>
  <c r="BG543" i="3"/>
  <c r="BL543" i="3" s="1"/>
  <c r="S610" i="3"/>
  <c r="S543" i="3"/>
  <c r="EH542" i="3"/>
  <c r="EI542" i="3"/>
  <c r="AW610" i="3"/>
  <c r="AV610" i="3"/>
  <c r="AU610" i="3"/>
  <c r="AW543" i="3"/>
  <c r="AV543" i="3"/>
  <c r="AU543" i="3"/>
  <c r="AG610" i="3"/>
  <c r="AG543" i="3"/>
  <c r="BL598" i="3"/>
  <c r="BL609" i="3"/>
  <c r="BG541" i="3"/>
  <c r="BL541" i="3" s="1"/>
  <c r="BG540" i="3"/>
  <c r="BL540" i="3"/>
  <c r="S541" i="3"/>
  <c r="S540" i="3"/>
  <c r="EF541" i="3"/>
  <c r="EG541" i="3" s="1"/>
  <c r="EH541" i="3" s="1"/>
  <c r="EI541" i="3" s="1"/>
  <c r="EF540" i="3"/>
  <c r="EG540" i="3" s="1"/>
  <c r="EH540" i="3" s="1"/>
  <c r="EI540" i="3" s="1"/>
  <c r="AW541" i="3"/>
  <c r="AV541" i="3"/>
  <c r="AU541" i="3"/>
  <c r="AW540" i="3"/>
  <c r="AV540" i="3"/>
  <c r="AU540" i="3"/>
  <c r="AG541" i="3"/>
  <c r="AG540" i="3"/>
  <c r="EE575" i="3"/>
  <c r="EF539" i="3"/>
  <c r="EG539" i="3" s="1"/>
  <c r="EH539" i="3" s="1"/>
  <c r="EI539" i="3" s="1"/>
  <c r="EF537" i="3"/>
  <c r="EG537" i="3" s="1"/>
  <c r="EH537" i="3" s="1"/>
  <c r="EI537" i="3" s="1"/>
  <c r="EF536" i="3"/>
  <c r="EG536" i="3" s="1"/>
  <c r="EH536" i="3" s="1"/>
  <c r="EI536" i="3" s="1"/>
  <c r="EF535" i="3"/>
  <c r="EG535" i="3" s="1"/>
  <c r="EH535" i="3" s="1"/>
  <c r="EI535" i="3" s="1"/>
  <c r="EF534" i="3"/>
  <c r="EG534" i="3" s="1"/>
  <c r="EH534" i="3" s="1"/>
  <c r="EI534" i="3" s="1"/>
  <c r="EF533" i="3"/>
  <c r="EG533" i="3" s="1"/>
  <c r="EH533" i="3" s="1"/>
  <c r="EI533" i="3" s="1"/>
  <c r="EF531" i="3"/>
  <c r="EG531" i="3" s="1"/>
  <c r="EH531" i="3" s="1"/>
  <c r="EI531" i="3" s="1"/>
  <c r="EF530" i="3"/>
  <c r="EG530" i="3" s="1"/>
  <c r="EH530" i="3" s="1"/>
  <c r="EI530" i="3" s="1"/>
  <c r="EF529" i="3"/>
  <c r="EG529" i="3" s="1"/>
  <c r="EH529" i="3" s="1"/>
  <c r="EI529" i="3" s="1"/>
  <c r="EF528" i="3"/>
  <c r="EG528" i="3" s="1"/>
  <c r="EH528" i="3" s="1"/>
  <c r="EI528" i="3" s="1"/>
  <c r="BG539" i="3"/>
  <c r="BL539" i="3" s="1"/>
  <c r="BG537" i="3"/>
  <c r="BL537" i="3" s="1"/>
  <c r="BG536" i="3"/>
  <c r="BL536" i="3" s="1"/>
  <c r="BG535" i="3"/>
  <c r="BL535" i="3" s="1"/>
  <c r="BG534" i="3"/>
  <c r="BL534" i="3" s="1"/>
  <c r="BG533" i="3"/>
  <c r="BL533" i="3" s="1"/>
  <c r="BG532" i="3"/>
  <c r="BL532" i="3" s="1"/>
  <c r="BG531" i="3"/>
  <c r="BL531" i="3" s="1"/>
  <c r="BG530" i="3"/>
  <c r="BL530" i="3" s="1"/>
  <c r="S539" i="3"/>
  <c r="S537" i="3"/>
  <c r="S536" i="3"/>
  <c r="S535" i="3"/>
  <c r="S534" i="3"/>
  <c r="S533" i="3"/>
  <c r="S532" i="3"/>
  <c r="S531" i="3"/>
  <c r="S530" i="3"/>
  <c r="EG532" i="3"/>
  <c r="EH532" i="3" s="1"/>
  <c r="EI532" i="3" s="1"/>
  <c r="AW539" i="3"/>
  <c r="AV539" i="3"/>
  <c r="AU539" i="3"/>
  <c r="AW537" i="3"/>
  <c r="AV537" i="3"/>
  <c r="AU537" i="3"/>
  <c r="AW536" i="3"/>
  <c r="AV536" i="3"/>
  <c r="AU536" i="3"/>
  <c r="AW535" i="3"/>
  <c r="AV535" i="3"/>
  <c r="AU535" i="3"/>
  <c r="AW534" i="3"/>
  <c r="AV534" i="3"/>
  <c r="AU534" i="3"/>
  <c r="AW533" i="3"/>
  <c r="AV533" i="3"/>
  <c r="AU533" i="3"/>
  <c r="AW532" i="3"/>
  <c r="AV532" i="3"/>
  <c r="AU532" i="3"/>
  <c r="AW531" i="3"/>
  <c r="AV531" i="3"/>
  <c r="AU531" i="3"/>
  <c r="AW530" i="3"/>
  <c r="AV530" i="3"/>
  <c r="AU530" i="3"/>
  <c r="AG539" i="3"/>
  <c r="AG537" i="3"/>
  <c r="AG536" i="3"/>
  <c r="AG535" i="3"/>
  <c r="AG534" i="3"/>
  <c r="AG533" i="3"/>
  <c r="AG532" i="3"/>
  <c r="AG531" i="3"/>
  <c r="AG530" i="3"/>
  <c r="BG529" i="3"/>
  <c r="BL529" i="3" s="1"/>
  <c r="BG528" i="3"/>
  <c r="BL528" i="3" s="1"/>
  <c r="S529" i="3"/>
  <c r="S528" i="3"/>
  <c r="AW529" i="3"/>
  <c r="AV529" i="3"/>
  <c r="AU529" i="3"/>
  <c r="AW528" i="3"/>
  <c r="AV528" i="3"/>
  <c r="AU528" i="3"/>
  <c r="AG529" i="3"/>
  <c r="AG528" i="3"/>
  <c r="BL608" i="3"/>
  <c r="BG526" i="3"/>
  <c r="BL526" i="3" s="1"/>
  <c r="BG525" i="3"/>
  <c r="BL525" i="3" s="1"/>
  <c r="BG524" i="3"/>
  <c r="BL524" i="3" s="1"/>
  <c r="S526" i="3"/>
  <c r="S525" i="3"/>
  <c r="S524" i="3"/>
  <c r="EF526" i="3"/>
  <c r="EG526" i="3" s="1"/>
  <c r="EH526" i="3" s="1"/>
  <c r="EI526" i="3" s="1"/>
  <c r="EF525" i="3"/>
  <c r="EG525" i="3" s="1"/>
  <c r="EH525" i="3" s="1"/>
  <c r="EI525" i="3" s="1"/>
  <c r="EF524" i="3"/>
  <c r="EG524" i="3" s="1"/>
  <c r="EH524" i="3" s="1"/>
  <c r="EI524" i="3" s="1"/>
  <c r="AW526" i="3"/>
  <c r="AV526" i="3"/>
  <c r="AU526" i="3"/>
  <c r="AW525" i="3"/>
  <c r="AV525" i="3"/>
  <c r="AU525" i="3"/>
  <c r="AW524" i="3"/>
  <c r="AV524" i="3"/>
  <c r="AU524" i="3"/>
  <c r="AG526" i="3"/>
  <c r="AG525" i="3"/>
  <c r="AG524" i="3"/>
  <c r="EG523" i="3"/>
  <c r="EG522" i="3"/>
  <c r="EH522" i="3" s="1"/>
  <c r="EI522" i="3" s="1"/>
  <c r="EG518" i="3"/>
  <c r="EG517" i="3"/>
  <c r="EG607" i="3"/>
  <c r="BG523" i="3"/>
  <c r="BL523" i="3" s="1"/>
  <c r="BG522" i="3"/>
  <c r="BL522" i="3" s="1"/>
  <c r="BG521" i="3"/>
  <c r="BL521" i="3" s="1"/>
  <c r="BG520" i="3"/>
  <c r="BL520" i="3" s="1"/>
  <c r="BG519" i="3"/>
  <c r="BL519" i="3" s="1"/>
  <c r="BG518" i="3"/>
  <c r="BL518" i="3" s="1"/>
  <c r="BG517" i="3"/>
  <c r="BL517" i="3"/>
  <c r="BG516" i="3"/>
  <c r="BL516" i="3" s="1"/>
  <c r="BG515" i="3"/>
  <c r="BL515" i="3" s="1"/>
  <c r="BG514" i="3"/>
  <c r="BL514" i="3" s="1"/>
  <c r="BG513" i="3"/>
  <c r="BL513" i="3" s="1"/>
  <c r="BG512" i="3"/>
  <c r="BL512" i="3" s="1"/>
  <c r="S523" i="3"/>
  <c r="S522" i="3"/>
  <c r="S521" i="3"/>
  <c r="S520" i="3"/>
  <c r="S519" i="3"/>
  <c r="S518" i="3"/>
  <c r="S517" i="3"/>
  <c r="S516" i="3"/>
  <c r="S515" i="3"/>
  <c r="S514" i="3"/>
  <c r="S513" i="3"/>
  <c r="S512" i="3"/>
  <c r="EF521" i="3"/>
  <c r="EG521" i="3" s="1"/>
  <c r="EH521" i="3" s="1"/>
  <c r="EI521" i="3" s="1"/>
  <c r="EF520" i="3"/>
  <c r="EG520" i="3" s="1"/>
  <c r="EH520" i="3" s="1"/>
  <c r="EI520" i="3" s="1"/>
  <c r="EF519" i="3"/>
  <c r="EG519" i="3" s="1"/>
  <c r="EH519" i="3" s="1"/>
  <c r="EI519" i="3" s="1"/>
  <c r="EF516" i="3"/>
  <c r="EG516" i="3" s="1"/>
  <c r="EH516" i="3" s="1"/>
  <c r="EI516" i="3" s="1"/>
  <c r="EF515" i="3"/>
  <c r="EG515" i="3" s="1"/>
  <c r="EH515" i="3" s="1"/>
  <c r="EI515" i="3" s="1"/>
  <c r="EF514" i="3"/>
  <c r="EG514" i="3" s="1"/>
  <c r="EH514" i="3" s="1"/>
  <c r="EI514" i="3" s="1"/>
  <c r="EF513" i="3"/>
  <c r="EG513" i="3" s="1"/>
  <c r="EH513" i="3" s="1"/>
  <c r="EI513" i="3" s="1"/>
  <c r="EF512" i="3"/>
  <c r="EG512" i="3" s="1"/>
  <c r="EH512" i="3" s="1"/>
  <c r="EI512" i="3" s="1"/>
  <c r="AW523" i="3"/>
  <c r="AV523" i="3"/>
  <c r="AU523" i="3"/>
  <c r="AW522" i="3"/>
  <c r="AV522" i="3"/>
  <c r="AU522" i="3"/>
  <c r="AW521" i="3"/>
  <c r="AV521" i="3"/>
  <c r="AU521" i="3"/>
  <c r="AW520" i="3"/>
  <c r="AV520" i="3"/>
  <c r="AU520" i="3"/>
  <c r="AW519" i="3"/>
  <c r="AV519" i="3"/>
  <c r="AU519" i="3"/>
  <c r="AW518" i="3"/>
  <c r="AV518" i="3"/>
  <c r="AU518" i="3"/>
  <c r="AW517" i="3"/>
  <c r="AV517" i="3"/>
  <c r="AU517" i="3"/>
  <c r="AW516" i="3"/>
  <c r="AV516" i="3"/>
  <c r="AU516" i="3"/>
  <c r="AW515" i="3"/>
  <c r="AV515" i="3"/>
  <c r="AU515" i="3"/>
  <c r="AW514" i="3"/>
  <c r="AV514" i="3"/>
  <c r="AU514" i="3"/>
  <c r="AW513" i="3"/>
  <c r="AV513" i="3"/>
  <c r="AU513" i="3"/>
  <c r="AW512" i="3"/>
  <c r="AV512" i="3"/>
  <c r="AU512" i="3"/>
  <c r="AG523" i="3"/>
  <c r="AG522" i="3"/>
  <c r="AG521" i="3"/>
  <c r="AG520" i="3"/>
  <c r="AG519" i="3"/>
  <c r="AG518" i="3"/>
  <c r="AG517" i="3"/>
  <c r="AG516" i="3"/>
  <c r="AG515" i="3"/>
  <c r="AG514" i="3"/>
  <c r="AG513" i="3"/>
  <c r="AG512" i="3"/>
  <c r="EF511" i="3"/>
  <c r="EG511" i="3" s="1"/>
  <c r="EH511" i="3" s="1"/>
  <c r="EI511" i="3" s="1"/>
  <c r="BG511" i="3"/>
  <c r="BL511" i="3" s="1"/>
  <c r="AW511" i="3"/>
  <c r="AV511" i="3"/>
  <c r="AU511" i="3"/>
  <c r="AG511" i="3"/>
  <c r="S511" i="3"/>
  <c r="BG509" i="3"/>
  <c r="BL509" i="3"/>
  <c r="BG508" i="3"/>
  <c r="BL508" i="3"/>
  <c r="BG507" i="3"/>
  <c r="BL507" i="3" s="1"/>
  <c r="BG506" i="3"/>
  <c r="BL506" i="3" s="1"/>
  <c r="BG505" i="3"/>
  <c r="BL505" i="3"/>
  <c r="S509" i="3"/>
  <c r="S508" i="3"/>
  <c r="S507" i="3"/>
  <c r="S506" i="3"/>
  <c r="S505" i="3"/>
  <c r="EF506" i="3"/>
  <c r="EG506" i="3" s="1"/>
  <c r="EH506" i="3" s="1"/>
  <c r="EI506" i="3" s="1"/>
  <c r="EF509" i="3"/>
  <c r="EG509" i="3" s="1"/>
  <c r="EH509" i="3" s="1"/>
  <c r="EI509" i="3" s="1"/>
  <c r="EF508" i="3"/>
  <c r="EG508" i="3" s="1"/>
  <c r="EH508" i="3" s="1"/>
  <c r="EI508" i="3" s="1"/>
  <c r="EF507" i="3"/>
  <c r="EG507" i="3" s="1"/>
  <c r="EH507" i="3" s="1"/>
  <c r="EI507" i="3" s="1"/>
  <c r="EF505" i="3"/>
  <c r="EG505" i="3" s="1"/>
  <c r="EH505" i="3" s="1"/>
  <c r="EI505" i="3" s="1"/>
  <c r="AX509" i="3"/>
  <c r="AW509" i="3"/>
  <c r="AV509" i="3"/>
  <c r="AU509" i="3"/>
  <c r="AX508" i="3"/>
  <c r="AW508" i="3"/>
  <c r="AV508" i="3"/>
  <c r="AU508" i="3"/>
  <c r="AX507" i="3"/>
  <c r="AW507" i="3"/>
  <c r="AV507" i="3"/>
  <c r="AU507" i="3"/>
  <c r="AX506" i="3"/>
  <c r="AW506" i="3"/>
  <c r="AV506" i="3"/>
  <c r="AU506" i="3"/>
  <c r="AX505" i="3"/>
  <c r="AW505" i="3"/>
  <c r="AV505" i="3"/>
  <c r="AU505" i="3"/>
  <c r="AG509" i="3"/>
  <c r="AG508" i="3"/>
  <c r="AG507" i="3"/>
  <c r="AG506" i="3"/>
  <c r="AG505" i="3"/>
  <c r="AX504" i="3"/>
  <c r="AX503" i="3"/>
  <c r="AX502" i="3"/>
  <c r="AX501" i="3"/>
  <c r="AX500" i="3"/>
  <c r="AX499" i="3"/>
  <c r="AX498" i="3"/>
  <c r="AX497" i="3"/>
  <c r="AX496" i="3"/>
  <c r="AX495" i="3"/>
  <c r="AX494" i="3"/>
  <c r="AX493" i="3"/>
  <c r="AX492" i="3"/>
  <c r="AX491" i="3"/>
  <c r="AX490" i="3"/>
  <c r="AX489" i="3"/>
  <c r="AX488" i="3"/>
  <c r="AX487" i="3"/>
  <c r="BL500" i="3"/>
  <c r="BL495" i="3"/>
  <c r="BG503" i="3"/>
  <c r="BL503" i="3" s="1"/>
  <c r="BG502" i="3"/>
  <c r="BL502" i="3"/>
  <c r="BG501" i="3"/>
  <c r="BL501" i="3"/>
  <c r="S503" i="3"/>
  <c r="S502" i="3"/>
  <c r="S501" i="3"/>
  <c r="EG503" i="3"/>
  <c r="EH503" i="3"/>
  <c r="EI503" i="3" s="1"/>
  <c r="EF502" i="3"/>
  <c r="EG502" i="3" s="1"/>
  <c r="EH502" i="3" s="1"/>
  <c r="EI502" i="3" s="1"/>
  <c r="EF501" i="3"/>
  <c r="EG501" i="3" s="1"/>
  <c r="EH501" i="3" s="1"/>
  <c r="EI501" i="3" s="1"/>
  <c r="AW503" i="3"/>
  <c r="AV503" i="3"/>
  <c r="AU503" i="3"/>
  <c r="AW502" i="3"/>
  <c r="AV502" i="3"/>
  <c r="AU502" i="3"/>
  <c r="AW501" i="3"/>
  <c r="AV501" i="3"/>
  <c r="AU501" i="3"/>
  <c r="AG503" i="3"/>
  <c r="AG502" i="3"/>
  <c r="AG501" i="3"/>
  <c r="BG499" i="3"/>
  <c r="BL499" i="3"/>
  <c r="BG498" i="3"/>
  <c r="BL498" i="3"/>
  <c r="BG497" i="3"/>
  <c r="BL497" i="3" s="1"/>
  <c r="BG606" i="3"/>
  <c r="BL606" i="3" s="1"/>
  <c r="BG496" i="3"/>
  <c r="BL496" i="3"/>
  <c r="S499" i="3"/>
  <c r="S498" i="3"/>
  <c r="S497" i="3"/>
  <c r="S606" i="3"/>
  <c r="S496" i="3"/>
  <c r="EF499" i="3"/>
  <c r="EG499" i="3" s="1"/>
  <c r="EF498" i="3"/>
  <c r="EG498" i="3" s="1"/>
  <c r="EH498" i="3" s="1"/>
  <c r="EI498" i="3" s="1"/>
  <c r="EF497" i="3"/>
  <c r="EG497" i="3" s="1"/>
  <c r="EH497" i="3" s="1"/>
  <c r="EI497" i="3" s="1"/>
  <c r="EF496" i="3"/>
  <c r="EG496" i="3" s="1"/>
  <c r="EH496" i="3" s="1"/>
  <c r="EI496" i="3" s="1"/>
  <c r="AW499" i="3"/>
  <c r="AV499" i="3"/>
  <c r="AU499" i="3"/>
  <c r="AW498" i="3"/>
  <c r="AV498" i="3"/>
  <c r="AU498" i="3"/>
  <c r="AW497" i="3"/>
  <c r="AV497" i="3"/>
  <c r="AU497" i="3"/>
  <c r="AW606" i="3"/>
  <c r="AV606" i="3"/>
  <c r="AU606" i="3"/>
  <c r="AW496" i="3"/>
  <c r="AV496" i="3"/>
  <c r="AU496" i="3"/>
  <c r="AG499" i="3"/>
  <c r="AG498" i="3"/>
  <c r="AG497" i="3"/>
  <c r="AG606" i="3"/>
  <c r="AG496" i="3"/>
  <c r="EF494" i="3"/>
  <c r="EG494" i="3" s="1"/>
  <c r="EH494" i="3" s="1"/>
  <c r="EI494" i="3" s="1"/>
  <c r="BG494" i="3"/>
  <c r="BL494" i="3" s="1"/>
  <c r="BG493" i="3"/>
  <c r="BL493" i="3" s="1"/>
  <c r="BG492" i="3"/>
  <c r="BL492" i="3" s="1"/>
  <c r="BG491" i="3"/>
  <c r="BL491" i="3" s="1"/>
  <c r="BG490" i="3"/>
  <c r="BL490" i="3" s="1"/>
  <c r="S494" i="3"/>
  <c r="S493" i="3"/>
  <c r="S492" i="3"/>
  <c r="S491" i="3"/>
  <c r="S490" i="3"/>
  <c r="EF493" i="3"/>
  <c r="EG493" i="3" s="1"/>
  <c r="EH493" i="3" s="1"/>
  <c r="EI493" i="3" s="1"/>
  <c r="EF492" i="3"/>
  <c r="EG492" i="3" s="1"/>
  <c r="EH492" i="3" s="1"/>
  <c r="EI492" i="3" s="1"/>
  <c r="EG491" i="3"/>
  <c r="EH491" i="3" s="1"/>
  <c r="EI491" i="3" s="1"/>
  <c r="EF490" i="3"/>
  <c r="EG490" i="3" s="1"/>
  <c r="EH490" i="3" s="1"/>
  <c r="EI490" i="3" s="1"/>
  <c r="AW494" i="3"/>
  <c r="AV494" i="3"/>
  <c r="AU494" i="3"/>
  <c r="AW493" i="3"/>
  <c r="AV493" i="3"/>
  <c r="AU493" i="3"/>
  <c r="AW492" i="3"/>
  <c r="AV492" i="3"/>
  <c r="AU492" i="3"/>
  <c r="AW491" i="3"/>
  <c r="AV491" i="3"/>
  <c r="AU491" i="3"/>
  <c r="AW490" i="3"/>
  <c r="AV490" i="3"/>
  <c r="AU490" i="3"/>
  <c r="AG494" i="3"/>
  <c r="AG493" i="3"/>
  <c r="AG492" i="3"/>
  <c r="AG491" i="3"/>
  <c r="AG490" i="3"/>
  <c r="EH605" i="3"/>
  <c r="BG489" i="3"/>
  <c r="BL489" i="3" s="1"/>
  <c r="BG488" i="3"/>
  <c r="BL488" i="3" s="1"/>
  <c r="BG487" i="3"/>
  <c r="BL487" i="3" s="1"/>
  <c r="S489" i="3"/>
  <c r="S488" i="3"/>
  <c r="S487" i="3"/>
  <c r="EF489" i="3"/>
  <c r="EG489" i="3" s="1"/>
  <c r="EH489" i="3" s="1"/>
  <c r="EI489" i="3" s="1"/>
  <c r="EF488" i="3"/>
  <c r="EG488" i="3" s="1"/>
  <c r="EH488" i="3" s="1"/>
  <c r="EI488" i="3" s="1"/>
  <c r="EF487" i="3"/>
  <c r="EG487" i="3" s="1"/>
  <c r="EH487" i="3" s="1"/>
  <c r="EI487" i="3" s="1"/>
  <c r="AW489" i="3"/>
  <c r="AV489" i="3"/>
  <c r="AU489" i="3"/>
  <c r="AW488" i="3"/>
  <c r="AV488" i="3"/>
  <c r="AU488" i="3"/>
  <c r="AW487" i="3"/>
  <c r="AV487" i="3"/>
  <c r="AU487" i="3"/>
  <c r="AG489" i="3"/>
  <c r="AG488" i="3"/>
  <c r="AG487" i="3"/>
  <c r="EF486" i="3"/>
  <c r="EG486" i="3" s="1"/>
  <c r="EH486" i="3" s="1"/>
  <c r="EI486" i="3" s="1"/>
  <c r="BG486" i="3"/>
  <c r="BL486" i="3" s="1"/>
  <c r="BG604" i="3"/>
  <c r="BL604" i="3"/>
  <c r="BG485" i="3"/>
  <c r="BL485" i="3" s="1"/>
  <c r="S486" i="3"/>
  <c r="S604" i="3"/>
  <c r="S485" i="3"/>
  <c r="EF604" i="3"/>
  <c r="EF485" i="3"/>
  <c r="EG485" i="3" s="1"/>
  <c r="EH485" i="3" s="1"/>
  <c r="EI485" i="3" s="1"/>
  <c r="AX486" i="3"/>
  <c r="AW486" i="3"/>
  <c r="AV486" i="3"/>
  <c r="AU486" i="3"/>
  <c r="AX604" i="3"/>
  <c r="AW604" i="3"/>
  <c r="AV604" i="3"/>
  <c r="AU604" i="3"/>
  <c r="AX485" i="3"/>
  <c r="AW485" i="3"/>
  <c r="AV485" i="3"/>
  <c r="AU485" i="3"/>
  <c r="AG486" i="3"/>
  <c r="AG604" i="3"/>
  <c r="AG485" i="3"/>
  <c r="AX484" i="3"/>
  <c r="AX483" i="3"/>
  <c r="AX482" i="3"/>
  <c r="AX481" i="3"/>
  <c r="AX480" i="3"/>
  <c r="AX479" i="3"/>
  <c r="AX478" i="3"/>
  <c r="AX477" i="3"/>
  <c r="AX476" i="3"/>
  <c r="AX474" i="3"/>
  <c r="AX473" i="3"/>
  <c r="AX472" i="3"/>
  <c r="AX471" i="3"/>
  <c r="AX470" i="3"/>
  <c r="AX469" i="3"/>
  <c r="AX468" i="3"/>
  <c r="AX467" i="3"/>
  <c r="AX466" i="3"/>
  <c r="AX465" i="3"/>
  <c r="AX464" i="3"/>
  <c r="AX463" i="3"/>
  <c r="AX462" i="3"/>
  <c r="AX461" i="3"/>
  <c r="AX460" i="3"/>
  <c r="AX459" i="3"/>
  <c r="AX458" i="3"/>
  <c r="AX457" i="3"/>
  <c r="AX456" i="3"/>
  <c r="EF482" i="3"/>
  <c r="EG482" i="3" s="1"/>
  <c r="EH482" i="3" s="1"/>
  <c r="EI482" i="3" s="1"/>
  <c r="BG482" i="3"/>
  <c r="BL482" i="3" s="1"/>
  <c r="AW482" i="3"/>
  <c r="AV482" i="3"/>
  <c r="AU482" i="3"/>
  <c r="AG482" i="3"/>
  <c r="S482" i="3"/>
  <c r="BG480" i="3"/>
  <c r="BL480" i="3"/>
  <c r="BG479" i="3"/>
  <c r="BL479" i="3"/>
  <c r="BG478" i="3"/>
  <c r="BL478" i="3" s="1"/>
  <c r="S480" i="3"/>
  <c r="S479" i="3"/>
  <c r="S478" i="3"/>
  <c r="EF480" i="3"/>
  <c r="EG480" i="3" s="1"/>
  <c r="EH480" i="3" s="1"/>
  <c r="EI480" i="3" s="1"/>
  <c r="EF479" i="3"/>
  <c r="EG479" i="3" s="1"/>
  <c r="EH479" i="3" s="1"/>
  <c r="EI479" i="3" s="1"/>
  <c r="EG478" i="3"/>
  <c r="AW480" i="3"/>
  <c r="AV480" i="3"/>
  <c r="AU480" i="3"/>
  <c r="AW479" i="3"/>
  <c r="AV479" i="3"/>
  <c r="AU479" i="3"/>
  <c r="AW478" i="3"/>
  <c r="AV478" i="3"/>
  <c r="AU478" i="3"/>
  <c r="AG480" i="3"/>
  <c r="AG479" i="3"/>
  <c r="AG478" i="3"/>
  <c r="EF476" i="3"/>
  <c r="EG476" i="3" s="1"/>
  <c r="EH476" i="3" s="1"/>
  <c r="EI476" i="3" s="1"/>
  <c r="BL474" i="3"/>
  <c r="BG476" i="3"/>
  <c r="BL476" i="3" s="1"/>
  <c r="AW476" i="3"/>
  <c r="AV476" i="3"/>
  <c r="AU476" i="3"/>
  <c r="AG476" i="3"/>
  <c r="S476" i="3"/>
  <c r="BG473" i="3"/>
  <c r="BL473" i="3"/>
  <c r="BG472" i="3"/>
  <c r="BL472" i="3"/>
  <c r="BG471" i="3"/>
  <c r="BL471" i="3" s="1"/>
  <c r="S473" i="3"/>
  <c r="S472" i="3"/>
  <c r="S471" i="3"/>
  <c r="EF473" i="3"/>
  <c r="EG473" i="3" s="1"/>
  <c r="EH473" i="3" s="1"/>
  <c r="EI473" i="3" s="1"/>
  <c r="EF472" i="3"/>
  <c r="EG472" i="3" s="1"/>
  <c r="EH472" i="3" s="1"/>
  <c r="EI472" i="3" s="1"/>
  <c r="EF471" i="3"/>
  <c r="EG471" i="3" s="1"/>
  <c r="EH471" i="3" s="1"/>
  <c r="EI471" i="3" s="1"/>
  <c r="AW473" i="3"/>
  <c r="AV473" i="3"/>
  <c r="AU473" i="3"/>
  <c r="AW472" i="3"/>
  <c r="AV472" i="3"/>
  <c r="AU472" i="3"/>
  <c r="AW471" i="3"/>
  <c r="AV471" i="3"/>
  <c r="AU471" i="3"/>
  <c r="AG473" i="3"/>
  <c r="AG472" i="3"/>
  <c r="AG471" i="3"/>
  <c r="BG469" i="3"/>
  <c r="BL469" i="3" s="1"/>
  <c r="BG468" i="3"/>
  <c r="BL468" i="3" s="1"/>
  <c r="S469" i="3"/>
  <c r="S468" i="3"/>
  <c r="EF469" i="3"/>
  <c r="EG469" i="3" s="1"/>
  <c r="EH469" i="3" s="1"/>
  <c r="EI469" i="3" s="1"/>
  <c r="EF468" i="3"/>
  <c r="EG468" i="3" s="1"/>
  <c r="EH468" i="3" s="1"/>
  <c r="EI468" i="3" s="1"/>
  <c r="AW469" i="3"/>
  <c r="AV469" i="3"/>
  <c r="AU469" i="3"/>
  <c r="AW468" i="3"/>
  <c r="AV468" i="3"/>
  <c r="AU468" i="3"/>
  <c r="AG469" i="3"/>
  <c r="AG468" i="3"/>
  <c r="EF466" i="3"/>
  <c r="EG466" i="3" s="1"/>
  <c r="EH466" i="3" s="1"/>
  <c r="EI466" i="3" s="1"/>
  <c r="BG466" i="3"/>
  <c r="BL466" i="3" s="1"/>
  <c r="AW466" i="3"/>
  <c r="AV466" i="3"/>
  <c r="AU466" i="3"/>
  <c r="AG466" i="3"/>
  <c r="S466" i="3"/>
  <c r="BG464" i="3"/>
  <c r="BL464" i="3"/>
  <c r="BG463" i="3"/>
  <c r="BL463" i="3"/>
  <c r="BG462" i="3"/>
  <c r="BL462" i="3" s="1"/>
  <c r="BG461" i="3"/>
  <c r="BL461" i="3" s="1"/>
  <c r="BG460" i="3"/>
  <c r="BL460" i="3"/>
  <c r="S464" i="3"/>
  <c r="S463" i="3"/>
  <c r="S462" i="3"/>
  <c r="S461" i="3"/>
  <c r="S460" i="3"/>
  <c r="EF464" i="3"/>
  <c r="EG464" i="3" s="1"/>
  <c r="EH464" i="3" s="1"/>
  <c r="EI464" i="3" s="1"/>
  <c r="EF463" i="3"/>
  <c r="EG463" i="3" s="1"/>
  <c r="EH463" i="3" s="1"/>
  <c r="EI463" i="3" s="1"/>
  <c r="EF462" i="3"/>
  <c r="EG462" i="3" s="1"/>
  <c r="EH462" i="3" s="1"/>
  <c r="EI462" i="3" s="1"/>
  <c r="EF461" i="3"/>
  <c r="EG461" i="3" s="1"/>
  <c r="EH461" i="3" s="1"/>
  <c r="EI461" i="3" s="1"/>
  <c r="EF460" i="3"/>
  <c r="EG460" i="3" s="1"/>
  <c r="EH460" i="3" s="1"/>
  <c r="EI460" i="3" s="1"/>
  <c r="AW464" i="3"/>
  <c r="AV464" i="3"/>
  <c r="AU464" i="3"/>
  <c r="AW463" i="3"/>
  <c r="AV463" i="3"/>
  <c r="AU463" i="3"/>
  <c r="AW462" i="3"/>
  <c r="AV462" i="3"/>
  <c r="AU462" i="3"/>
  <c r="AW461" i="3"/>
  <c r="AV461" i="3"/>
  <c r="AU461" i="3"/>
  <c r="AW460" i="3"/>
  <c r="AV460" i="3"/>
  <c r="AU460" i="3"/>
  <c r="AG464" i="3"/>
  <c r="AG463" i="3"/>
  <c r="AG462" i="3"/>
  <c r="AG461" i="3"/>
  <c r="AG460" i="3"/>
  <c r="EF458" i="3"/>
  <c r="EG458" i="3" s="1"/>
  <c r="EH458" i="3" s="1"/>
  <c r="EI458" i="3" s="1"/>
  <c r="BG458" i="3"/>
  <c r="BL458" i="3"/>
  <c r="AW458" i="3"/>
  <c r="AV458" i="3"/>
  <c r="AU458" i="3"/>
  <c r="AG458" i="3"/>
  <c r="S458" i="3"/>
  <c r="EF456" i="3"/>
  <c r="EG456" i="3" s="1"/>
  <c r="EH456" i="3" s="1"/>
  <c r="EI456" i="3" s="1"/>
  <c r="BG456" i="3"/>
  <c r="BL456" i="3"/>
  <c r="AW456" i="3"/>
  <c r="AV456" i="3"/>
  <c r="AU456" i="3"/>
  <c r="AG456" i="3"/>
  <c r="S456" i="3"/>
  <c r="EF455" i="3"/>
  <c r="EG455" i="3" s="1"/>
  <c r="EH455" i="3" s="1"/>
  <c r="EI455" i="3" s="1"/>
  <c r="BG455" i="3"/>
  <c r="BL455" i="3" s="1"/>
  <c r="AX455" i="3"/>
  <c r="AW455" i="3"/>
  <c r="AV455" i="3"/>
  <c r="AU455" i="3"/>
  <c r="AG455" i="3"/>
  <c r="S455" i="3"/>
  <c r="EF453" i="3"/>
  <c r="EG453" i="3" s="1"/>
  <c r="EH453" i="3" s="1"/>
  <c r="EI453" i="3" s="1"/>
  <c r="BG453" i="3"/>
  <c r="BL453" i="3" s="1"/>
  <c r="AX453" i="3"/>
  <c r="AW453" i="3"/>
  <c r="AV453" i="3"/>
  <c r="AU453" i="3"/>
  <c r="AG453" i="3"/>
  <c r="S453" i="3"/>
  <c r="AX452" i="3"/>
  <c r="AX451" i="3"/>
  <c r="AX450" i="3"/>
  <c r="AX449" i="3"/>
  <c r="BG451" i="3"/>
  <c r="BL451" i="3" s="1"/>
  <c r="BG450" i="3"/>
  <c r="BL450" i="3"/>
  <c r="BG449" i="3"/>
  <c r="BL449" i="3"/>
  <c r="S451" i="3"/>
  <c r="S450" i="3"/>
  <c r="S449" i="3"/>
  <c r="EF450" i="3"/>
  <c r="EF449" i="3"/>
  <c r="AW451" i="3"/>
  <c r="AV451" i="3"/>
  <c r="AU451" i="3"/>
  <c r="AW450" i="3"/>
  <c r="AV450" i="3"/>
  <c r="AU450" i="3"/>
  <c r="AW449" i="3"/>
  <c r="AV449" i="3"/>
  <c r="AU449" i="3"/>
  <c r="AG451" i="3"/>
  <c r="AG450" i="3"/>
  <c r="AG449" i="3"/>
  <c r="CY916" i="3"/>
  <c r="CW916" i="3"/>
  <c r="BK440" i="3"/>
  <c r="BK916" i="3"/>
  <c r="BJ440" i="3"/>
  <c r="BJ916" i="3"/>
  <c r="BI440" i="3"/>
  <c r="BI916" i="3" s="1"/>
  <c r="BH440" i="3"/>
  <c r="BH916" i="3" s="1"/>
  <c r="BF440" i="3"/>
  <c r="BF916" i="3"/>
  <c r="BE440" i="3"/>
  <c r="BE916" i="3"/>
  <c r="BD440" i="3"/>
  <c r="BD916" i="3" s="1"/>
  <c r="BC440" i="3"/>
  <c r="BC916" i="3" s="1"/>
  <c r="BB440" i="3"/>
  <c r="BB916" i="3"/>
  <c r="BA440" i="3"/>
  <c r="BA916" i="3"/>
  <c r="AZ440" i="3"/>
  <c r="AZ916" i="3" s="1"/>
  <c r="AT440" i="3"/>
  <c r="AS440" i="3"/>
  <c r="AR440" i="3"/>
  <c r="AQ440" i="3"/>
  <c r="AQ916" i="3" s="1"/>
  <c r="AP440" i="3"/>
  <c r="AP916" i="3" s="1"/>
  <c r="AO440" i="3"/>
  <c r="AN440" i="3"/>
  <c r="AN916" i="3" s="1"/>
  <c r="AM440" i="3"/>
  <c r="AM916" i="3"/>
  <c r="AL440" i="3"/>
  <c r="AL916" i="3"/>
  <c r="AK440" i="3"/>
  <c r="AK916" i="3" s="1"/>
  <c r="AJ440" i="3"/>
  <c r="AJ916" i="3" s="1"/>
  <c r="AI440" i="3"/>
  <c r="AI916" i="3"/>
  <c r="AF440" i="3"/>
  <c r="AE440" i="3"/>
  <c r="AE916" i="3" s="1"/>
  <c r="AD440" i="3"/>
  <c r="AD916" i="3"/>
  <c r="AC440" i="3"/>
  <c r="AC916" i="3"/>
  <c r="AB440" i="3"/>
  <c r="AB916" i="3" s="1"/>
  <c r="AA440" i="3"/>
  <c r="AA916" i="3" s="1"/>
  <c r="Z440" i="3"/>
  <c r="Z916" i="3"/>
  <c r="Y440" i="3"/>
  <c r="Y916" i="3"/>
  <c r="X440" i="3"/>
  <c r="W440" i="3"/>
  <c r="W916" i="3"/>
  <c r="V440" i="3"/>
  <c r="V916" i="3" s="1"/>
  <c r="U440" i="3"/>
  <c r="U916" i="3" s="1"/>
  <c r="R440" i="3"/>
  <c r="R916" i="3"/>
  <c r="Q440" i="3"/>
  <c r="Q916" i="3"/>
  <c r="P440" i="3"/>
  <c r="P916" i="3" s="1"/>
  <c r="O440" i="3"/>
  <c r="N440" i="3"/>
  <c r="N916" i="3"/>
  <c r="M440" i="3"/>
  <c r="M916" i="3" s="1"/>
  <c r="L440" i="3"/>
  <c r="L916" i="3" s="1"/>
  <c r="K440" i="3"/>
  <c r="K916" i="3"/>
  <c r="J440" i="3"/>
  <c r="J916" i="3"/>
  <c r="I440" i="3"/>
  <c r="I916" i="3" s="1"/>
  <c r="H440" i="3"/>
  <c r="H916" i="3" s="1"/>
  <c r="G440" i="3"/>
  <c r="BL412" i="3"/>
  <c r="CM439" i="3"/>
  <c r="CM435" i="3"/>
  <c r="CL439" i="3"/>
  <c r="CL435" i="3" s="1"/>
  <c r="CK439" i="3"/>
  <c r="CK435" i="3" s="1"/>
  <c r="CJ439" i="3"/>
  <c r="CJ435" i="3"/>
  <c r="CI439" i="3"/>
  <c r="CI435" i="3"/>
  <c r="CH439" i="3"/>
  <c r="CH435" i="3" s="1"/>
  <c r="CG439" i="3"/>
  <c r="CG435" i="3" s="1"/>
  <c r="CE439" i="3"/>
  <c r="CD439" i="3"/>
  <c r="CD435" i="3" s="1"/>
  <c r="CC439" i="3"/>
  <c r="CC435" i="3"/>
  <c r="CB439" i="3"/>
  <c r="CB435" i="3"/>
  <c r="BG439" i="3"/>
  <c r="BL439" i="3" s="1"/>
  <c r="BG437" i="3"/>
  <c r="BL437" i="3" s="1"/>
  <c r="AX412" i="3"/>
  <c r="AU412" i="3"/>
  <c r="AV412" i="3" s="1"/>
  <c r="AW412" i="3" s="1"/>
  <c r="AX439" i="3"/>
  <c r="AW439" i="3"/>
  <c r="AV439" i="3"/>
  <c r="AU439" i="3"/>
  <c r="AG439" i="3"/>
  <c r="AG437" i="3"/>
  <c r="S439" i="3"/>
  <c r="S437" i="3"/>
  <c r="CF437" i="3"/>
  <c r="CF420" i="3"/>
  <c r="CF424" i="3"/>
  <c r="CF413" i="3"/>
  <c r="CF421" i="3"/>
  <c r="CF428" i="3"/>
  <c r="BR437" i="3"/>
  <c r="BR420" i="3"/>
  <c r="BR424" i="3"/>
  <c r="BR413" i="3"/>
  <c r="BR421" i="3"/>
  <c r="BR428" i="3"/>
  <c r="AX437" i="3"/>
  <c r="AX420" i="3"/>
  <c r="AX424" i="3"/>
  <c r="AX423" i="3"/>
  <c r="AX413" i="3"/>
  <c r="AX421" i="3"/>
  <c r="AX428" i="3"/>
  <c r="AX427" i="3"/>
  <c r="AX425" i="3"/>
  <c r="AX419" i="3"/>
  <c r="AX418" i="3"/>
  <c r="AX417" i="3"/>
  <c r="AX416" i="3"/>
  <c r="AX415" i="3"/>
  <c r="AX414" i="3"/>
  <c r="BG420" i="3"/>
  <c r="BL420" i="3" s="1"/>
  <c r="BG424" i="3"/>
  <c r="BL424" i="3" s="1"/>
  <c r="BG423" i="3"/>
  <c r="BL423" i="3" s="1"/>
  <c r="BG413" i="3"/>
  <c r="BL413" i="3" s="1"/>
  <c r="BG421" i="3"/>
  <c r="BL421" i="3" s="1"/>
  <c r="BG428" i="3"/>
  <c r="BL428" i="3" s="1"/>
  <c r="BG427" i="3"/>
  <c r="BL427" i="3" s="1"/>
  <c r="BG425" i="3"/>
  <c r="BL425" i="3" s="1"/>
  <c r="BG419" i="3"/>
  <c r="BL419" i="3" s="1"/>
  <c r="BG418" i="3"/>
  <c r="BL418" i="3" s="1"/>
  <c r="BG417" i="3"/>
  <c r="BL417" i="3" s="1"/>
  <c r="BG416" i="3"/>
  <c r="BL416" i="3" s="1"/>
  <c r="BG415" i="3"/>
  <c r="BG414" i="3"/>
  <c r="BL414" i="3" s="1"/>
  <c r="AG420" i="3"/>
  <c r="AG424" i="3"/>
  <c r="AG423" i="3"/>
  <c r="AG413" i="3"/>
  <c r="AG421" i="3"/>
  <c r="AG428" i="3"/>
  <c r="AG427" i="3"/>
  <c r="AG425" i="3"/>
  <c r="AG419" i="3"/>
  <c r="AG418" i="3"/>
  <c r="AG417" i="3"/>
  <c r="AG416" i="3"/>
  <c r="AG415" i="3"/>
  <c r="AG414" i="3"/>
  <c r="S420" i="3"/>
  <c r="S424" i="3"/>
  <c r="S423" i="3"/>
  <c r="S413" i="3"/>
  <c r="S421" i="3"/>
  <c r="S428" i="3"/>
  <c r="S427" i="3"/>
  <c r="S425" i="3"/>
  <c r="S419" i="3"/>
  <c r="S418" i="3"/>
  <c r="S417" i="3"/>
  <c r="S416" i="3"/>
  <c r="S415" i="3"/>
  <c r="S414" i="3"/>
  <c r="CM423" i="3"/>
  <c r="CL423" i="3"/>
  <c r="CK423" i="3"/>
  <c r="CJ423" i="3"/>
  <c r="CI423" i="3"/>
  <c r="CH423" i="3"/>
  <c r="CG423" i="3"/>
  <c r="CE423" i="3"/>
  <c r="CF423" i="3"/>
  <c r="CD423" i="3"/>
  <c r="CC423" i="3"/>
  <c r="CB423" i="3"/>
  <c r="BY423" i="3"/>
  <c r="BX423" i="3"/>
  <c r="BW423" i="3"/>
  <c r="BV423" i="3"/>
  <c r="BU423" i="3"/>
  <c r="BT423" i="3"/>
  <c r="BS423" i="3"/>
  <c r="BQ423" i="3"/>
  <c r="BR423" i="3" s="1"/>
  <c r="BP423" i="3"/>
  <c r="BO423" i="3"/>
  <c r="BN423" i="3"/>
  <c r="EF420" i="3"/>
  <c r="EG420" i="3" s="1"/>
  <c r="EH420" i="3" s="1"/>
  <c r="EI420" i="3" s="1"/>
  <c r="EF424" i="3"/>
  <c r="EG424" i="3" s="1"/>
  <c r="EH424" i="3" s="1"/>
  <c r="EI424" i="3" s="1"/>
  <c r="EF421" i="3"/>
  <c r="EG421" i="3" s="1"/>
  <c r="EH421" i="3" s="1"/>
  <c r="EI421" i="3" s="1"/>
  <c r="EF428" i="3"/>
  <c r="EG428" i="3" s="1"/>
  <c r="EH428" i="3" s="1"/>
  <c r="EI428" i="3" s="1"/>
  <c r="EF427" i="3"/>
  <c r="EG427" i="3" s="1"/>
  <c r="EH427" i="3" s="1"/>
  <c r="CF427" i="3"/>
  <c r="CF419" i="3"/>
  <c r="BR427" i="3"/>
  <c r="BR419" i="3"/>
  <c r="CT425" i="3"/>
  <c r="CT411" i="3"/>
  <c r="CT440" i="3" s="1"/>
  <c r="ER10" i="80"/>
  <c r="CM425" i="3"/>
  <c r="CL425" i="3"/>
  <c r="CK425" i="3"/>
  <c r="CJ425" i="3"/>
  <c r="CI425" i="3"/>
  <c r="CH425" i="3"/>
  <c r="CG425" i="3"/>
  <c r="CE425" i="3"/>
  <c r="CD425" i="3"/>
  <c r="CC425" i="3"/>
  <c r="CB425" i="3"/>
  <c r="BY425" i="3"/>
  <c r="BX425" i="3"/>
  <c r="BW425" i="3"/>
  <c r="BV425" i="3"/>
  <c r="BU425" i="3"/>
  <c r="BT425" i="3"/>
  <c r="BS425" i="3"/>
  <c r="BQ425" i="3"/>
  <c r="BR425" i="3" s="1"/>
  <c r="BP425" i="3"/>
  <c r="BO425" i="3"/>
  <c r="BN425" i="3"/>
  <c r="CF415" i="3"/>
  <c r="BR415" i="3"/>
  <c r="EF414" i="3"/>
  <c r="CM414" i="3"/>
  <c r="CL414" i="3"/>
  <c r="CK414" i="3"/>
  <c r="CJ414" i="3"/>
  <c r="CI414" i="3"/>
  <c r="CH414" i="3"/>
  <c r="CG414" i="3"/>
  <c r="CE414" i="3"/>
  <c r="CD414" i="3"/>
  <c r="CC414" i="3"/>
  <c r="CB414" i="3"/>
  <c r="BY414" i="3"/>
  <c r="BX414" i="3"/>
  <c r="BW414" i="3"/>
  <c r="BV414" i="3"/>
  <c r="BU414" i="3"/>
  <c r="BT414" i="3"/>
  <c r="BS414" i="3"/>
  <c r="BQ414" i="3"/>
  <c r="BP414" i="3"/>
  <c r="BO414" i="3"/>
  <c r="BN414" i="3"/>
  <c r="AW413" i="3"/>
  <c r="AV413" i="3"/>
  <c r="AU413" i="3"/>
  <c r="AW421" i="3"/>
  <c r="AV421" i="3"/>
  <c r="AU421" i="3"/>
  <c r="AW428" i="3"/>
  <c r="AV428" i="3"/>
  <c r="AU428" i="3"/>
  <c r="AW427" i="3"/>
  <c r="AV427" i="3"/>
  <c r="AU427" i="3"/>
  <c r="AW425" i="3"/>
  <c r="AV425" i="3"/>
  <c r="AU425" i="3"/>
  <c r="AW419" i="3"/>
  <c r="AV419" i="3"/>
  <c r="AU419" i="3"/>
  <c r="AW418" i="3"/>
  <c r="AV418" i="3"/>
  <c r="AU418" i="3"/>
  <c r="AW417" i="3"/>
  <c r="AV417" i="3"/>
  <c r="AU417" i="3"/>
  <c r="AW416" i="3"/>
  <c r="AV416" i="3"/>
  <c r="AU416" i="3"/>
  <c r="AW415" i="3"/>
  <c r="AV415" i="3"/>
  <c r="AU415" i="3"/>
  <c r="AW414" i="3"/>
  <c r="AV414" i="3"/>
  <c r="AU414" i="3"/>
  <c r="BK409" i="3"/>
  <c r="BJ409" i="3"/>
  <c r="BJ910" i="3" s="1"/>
  <c r="BI409" i="3"/>
  <c r="BI910" i="3" s="1"/>
  <c r="BH409" i="3"/>
  <c r="BH910" i="3" s="1"/>
  <c r="BF409" i="3"/>
  <c r="BF910" i="3" s="1"/>
  <c r="BE409" i="3"/>
  <c r="BE910" i="3" s="1"/>
  <c r="BD409" i="3"/>
  <c r="BD910" i="3" s="1"/>
  <c r="BC409" i="3"/>
  <c r="BC910" i="3" s="1"/>
  <c r="BB409" i="3"/>
  <c r="BB910" i="3" s="1"/>
  <c r="BA409" i="3"/>
  <c r="BA910" i="3" s="1"/>
  <c r="AZ409" i="3"/>
  <c r="AZ910" i="3" s="1"/>
  <c r="AT409" i="3"/>
  <c r="AS409" i="3"/>
  <c r="AR409" i="3"/>
  <c r="AQ409" i="3"/>
  <c r="AQ910" i="3"/>
  <c r="AP409" i="3"/>
  <c r="AP910" i="3"/>
  <c r="AO409" i="3"/>
  <c r="AO910" i="3"/>
  <c r="AN409" i="3"/>
  <c r="AN910" i="3"/>
  <c r="AM409" i="3"/>
  <c r="AM910" i="3"/>
  <c r="AL409" i="3"/>
  <c r="AL910" i="3" s="1"/>
  <c r="AK409" i="3"/>
  <c r="AK910" i="3" s="1"/>
  <c r="AJ409" i="3"/>
  <c r="AI409" i="3"/>
  <c r="AI910" i="3" s="1"/>
  <c r="AF409" i="3"/>
  <c r="AF910" i="3" s="1"/>
  <c r="AE409" i="3"/>
  <c r="AE910" i="3" s="1"/>
  <c r="AD409" i="3"/>
  <c r="AD910" i="3" s="1"/>
  <c r="AC409" i="3"/>
  <c r="AB409" i="3"/>
  <c r="AB910" i="3"/>
  <c r="AA409" i="3"/>
  <c r="Z409" i="3"/>
  <c r="Z910" i="3" s="1"/>
  <c r="Y409" i="3"/>
  <c r="Y910" i="3" s="1"/>
  <c r="X409" i="3"/>
  <c r="X910" i="3" s="1"/>
  <c r="W409" i="3"/>
  <c r="W910" i="3" s="1"/>
  <c r="V409" i="3"/>
  <c r="V910" i="3" s="1"/>
  <c r="U409" i="3"/>
  <c r="U910" i="3" s="1"/>
  <c r="R409" i="3"/>
  <c r="R910" i="3" s="1"/>
  <c r="Q409" i="3"/>
  <c r="Q910" i="3" s="1"/>
  <c r="P409" i="3"/>
  <c r="P910" i="3" s="1"/>
  <c r="O409" i="3"/>
  <c r="O910" i="3" s="1"/>
  <c r="N409" i="3"/>
  <c r="N910" i="3" s="1"/>
  <c r="M409" i="3"/>
  <c r="M910" i="3" s="1"/>
  <c r="L409" i="3"/>
  <c r="K409" i="3"/>
  <c r="K910" i="3"/>
  <c r="J409" i="3"/>
  <c r="I409" i="3"/>
  <c r="I910" i="3" s="1"/>
  <c r="H409" i="3"/>
  <c r="H910" i="3" s="1"/>
  <c r="G409" i="3"/>
  <c r="G910" i="3" s="1"/>
  <c r="AX363" i="3"/>
  <c r="AX375" i="3"/>
  <c r="AX371" i="3"/>
  <c r="AX349" i="3"/>
  <c r="AX308" i="3"/>
  <c r="AX344" i="3"/>
  <c r="AX299" i="3"/>
  <c r="AX335" i="3"/>
  <c r="AX326" i="3"/>
  <c r="AX346" i="3"/>
  <c r="AX356" i="3"/>
  <c r="AX353" i="3"/>
  <c r="AX330" i="3"/>
  <c r="AX380" i="3"/>
  <c r="AX334" i="3"/>
  <c r="AX301" i="3"/>
  <c r="AX359" i="3"/>
  <c r="AX315" i="3"/>
  <c r="AX360" i="3"/>
  <c r="AX397" i="3"/>
  <c r="AX385" i="3"/>
  <c r="AX328" i="3"/>
  <c r="AX309" i="3"/>
  <c r="AX303" i="3"/>
  <c r="AX319" i="3"/>
  <c r="AX323" i="3"/>
  <c r="AX306" i="3"/>
  <c r="AX298" i="3"/>
  <c r="AX305" i="3"/>
  <c r="AX340" i="3"/>
  <c r="AX320" i="3"/>
  <c r="AX339" i="3"/>
  <c r="AX341" i="3"/>
  <c r="AX325" i="3"/>
  <c r="AX317" i="3"/>
  <c r="AX302" i="3"/>
  <c r="AX378" i="3"/>
  <c r="AX327" i="3"/>
  <c r="AX314" i="3"/>
  <c r="AX313" i="3"/>
  <c r="AX300" i="3"/>
  <c r="AX343" i="3"/>
  <c r="AX342" i="3"/>
  <c r="AX338" i="3"/>
  <c r="AX337" i="3"/>
  <c r="AX336" i="3"/>
  <c r="AX333" i="3"/>
  <c r="AX332" i="3"/>
  <c r="AX331" i="3"/>
  <c r="AX329" i="3"/>
  <c r="AX324" i="3"/>
  <c r="AX322" i="3"/>
  <c r="AX321" i="3"/>
  <c r="AX318" i="3"/>
  <c r="AX312" i="3"/>
  <c r="AX311" i="3"/>
  <c r="AX310" i="3"/>
  <c r="AX307" i="3"/>
  <c r="AX316" i="3"/>
  <c r="AX304" i="3"/>
  <c r="CM346" i="3"/>
  <c r="CL346" i="3"/>
  <c r="CK346" i="3"/>
  <c r="CJ346" i="3"/>
  <c r="CI346" i="3"/>
  <c r="CH346" i="3"/>
  <c r="CG346" i="3"/>
  <c r="CM356" i="3"/>
  <c r="CL356" i="3"/>
  <c r="CK356" i="3"/>
  <c r="CJ356" i="3"/>
  <c r="CI356" i="3"/>
  <c r="CH356" i="3"/>
  <c r="CG356" i="3"/>
  <c r="CE346" i="3"/>
  <c r="CD346" i="3"/>
  <c r="CC346" i="3"/>
  <c r="CB346" i="3"/>
  <c r="CE356" i="3"/>
  <c r="CD356" i="3"/>
  <c r="CC356" i="3"/>
  <c r="CB356" i="3"/>
  <c r="BY346" i="3"/>
  <c r="BX346" i="3"/>
  <c r="BW346" i="3"/>
  <c r="BV346" i="3"/>
  <c r="BU346" i="3"/>
  <c r="BT346" i="3"/>
  <c r="BS346" i="3"/>
  <c r="BY356" i="3"/>
  <c r="BX356" i="3"/>
  <c r="BW356" i="3"/>
  <c r="BV356" i="3"/>
  <c r="BU356" i="3"/>
  <c r="BT356" i="3"/>
  <c r="BS356" i="3"/>
  <c r="BQ346" i="3"/>
  <c r="BP346" i="3"/>
  <c r="BO346" i="3"/>
  <c r="BN346" i="3"/>
  <c r="BQ356" i="3"/>
  <c r="BP356" i="3"/>
  <c r="BO356" i="3"/>
  <c r="BN356" i="3"/>
  <c r="EF330" i="3"/>
  <c r="EG330" i="3" s="1"/>
  <c r="EH330" i="3" s="1"/>
  <c r="EI330" i="3" s="1"/>
  <c r="EH380" i="3"/>
  <c r="EG380" i="3"/>
  <c r="EF334" i="3"/>
  <c r="EF301" i="3"/>
  <c r="EG301" i="3" s="1"/>
  <c r="EH301" i="3" s="1"/>
  <c r="EI301" i="3" s="1"/>
  <c r="EF359" i="3"/>
  <c r="EG359" i="3" s="1"/>
  <c r="EH359" i="3" s="1"/>
  <c r="EF315" i="3"/>
  <c r="EG315" i="3" s="1"/>
  <c r="EH315" i="3" s="1"/>
  <c r="EI315" i="3" s="1"/>
  <c r="EF360" i="3"/>
  <c r="EF397" i="3"/>
  <c r="EG397" i="3" s="1"/>
  <c r="EF385" i="3"/>
  <c r="EG334" i="3"/>
  <c r="BL301" i="3"/>
  <c r="AU301" i="3"/>
  <c r="AV301" i="3" s="1"/>
  <c r="AW301" i="3" s="1"/>
  <c r="AG301" i="3"/>
  <c r="S301" i="3"/>
  <c r="BL315" i="3"/>
  <c r="AG315" i="3"/>
  <c r="AG360" i="3"/>
  <c r="AG397" i="3"/>
  <c r="AG385" i="3"/>
  <c r="AG328" i="3"/>
  <c r="AG309" i="3"/>
  <c r="AG303" i="3"/>
  <c r="AG319" i="3"/>
  <c r="AG323" i="3"/>
  <c r="AG306" i="3"/>
  <c r="AG298" i="3"/>
  <c r="AG305" i="3"/>
  <c r="AG340" i="3"/>
  <c r="AG320" i="3"/>
  <c r="AG339" i="3"/>
  <c r="AG341" i="3"/>
  <c r="AG325" i="3"/>
  <c r="AG317" i="3"/>
  <c r="AG302" i="3"/>
  <c r="AG378" i="3"/>
  <c r="AG327" i="3"/>
  <c r="AG314" i="3"/>
  <c r="AG313" i="3"/>
  <c r="AG300" i="3"/>
  <c r="AG343" i="3"/>
  <c r="AG342" i="3"/>
  <c r="AG338" i="3"/>
  <c r="AG337" i="3"/>
  <c r="AG336" i="3"/>
  <c r="AG333" i="3"/>
  <c r="AG332" i="3"/>
  <c r="AG331" i="3"/>
  <c r="AG329" i="3"/>
  <c r="AG324" i="3"/>
  <c r="AG322" i="3"/>
  <c r="AG321" i="3"/>
  <c r="AG318" i="3"/>
  <c r="AG312" i="3"/>
  <c r="AG311" i="3"/>
  <c r="AG310" i="3"/>
  <c r="AG307" i="3"/>
  <c r="AG316" i="3"/>
  <c r="AG304" i="3"/>
  <c r="S315" i="3"/>
  <c r="S360" i="3"/>
  <c r="S397" i="3"/>
  <c r="S385" i="3"/>
  <c r="S328" i="3"/>
  <c r="S309" i="3"/>
  <c r="S303" i="3"/>
  <c r="S319" i="3"/>
  <c r="S323" i="3"/>
  <c r="S306" i="3"/>
  <c r="S298" i="3"/>
  <c r="S305" i="3"/>
  <c r="S340" i="3"/>
  <c r="S320" i="3"/>
  <c r="S339" i="3"/>
  <c r="S341" i="3"/>
  <c r="S325" i="3"/>
  <c r="S317" i="3"/>
  <c r="S302" i="3"/>
  <c r="S378" i="3"/>
  <c r="S327" i="3"/>
  <c r="S314" i="3"/>
  <c r="S313" i="3"/>
  <c r="S300" i="3"/>
  <c r="S343" i="3"/>
  <c r="S342" i="3"/>
  <c r="S338" i="3"/>
  <c r="S337" i="3"/>
  <c r="S336" i="3"/>
  <c r="S333" i="3"/>
  <c r="S332" i="3"/>
  <c r="S331" i="3"/>
  <c r="S329" i="3"/>
  <c r="S324" i="3"/>
  <c r="S322" i="3"/>
  <c r="S321" i="3"/>
  <c r="S318" i="3"/>
  <c r="S312" i="3"/>
  <c r="S311" i="3"/>
  <c r="S310" i="3"/>
  <c r="S307" i="3"/>
  <c r="S316" i="3"/>
  <c r="S304" i="3"/>
  <c r="CM359" i="3"/>
  <c r="CL359" i="3"/>
  <c r="CK359" i="3"/>
  <c r="CJ359" i="3"/>
  <c r="CI359" i="3"/>
  <c r="CH359" i="3"/>
  <c r="CG359" i="3"/>
  <c r="CE359" i="3"/>
  <c r="CF359" i="3" s="1"/>
  <c r="CD359" i="3"/>
  <c r="CC359" i="3"/>
  <c r="CB359" i="3"/>
  <c r="CM315" i="3"/>
  <c r="CL315" i="3"/>
  <c r="CK315" i="3"/>
  <c r="CJ315" i="3"/>
  <c r="CI315" i="3"/>
  <c r="CH315" i="3"/>
  <c r="CG315" i="3"/>
  <c r="CE315" i="3"/>
  <c r="CF315" i="3"/>
  <c r="CD315" i="3"/>
  <c r="CC315" i="3"/>
  <c r="CB315" i="3"/>
  <c r="CM360" i="3"/>
  <c r="CL360" i="3"/>
  <c r="CK360" i="3"/>
  <c r="CJ360" i="3"/>
  <c r="CI360" i="3"/>
  <c r="CH360" i="3"/>
  <c r="CG360" i="3"/>
  <c r="CE360" i="3"/>
  <c r="CF360" i="3" s="1"/>
  <c r="CD360" i="3"/>
  <c r="CC360" i="3"/>
  <c r="CB360" i="3"/>
  <c r="BY359" i="3"/>
  <c r="BX359" i="3"/>
  <c r="BW359" i="3"/>
  <c r="BV359" i="3"/>
  <c r="BU359" i="3"/>
  <c r="BT359" i="3"/>
  <c r="BS359" i="3"/>
  <c r="BQ359" i="3"/>
  <c r="BR359" i="3"/>
  <c r="BP359" i="3"/>
  <c r="BO359" i="3"/>
  <c r="BN359" i="3"/>
  <c r="BY315" i="3"/>
  <c r="BX315" i="3"/>
  <c r="BW315" i="3"/>
  <c r="BV315" i="3"/>
  <c r="BU315" i="3"/>
  <c r="BT315" i="3"/>
  <c r="BS315" i="3"/>
  <c r="BQ315" i="3"/>
  <c r="BR315" i="3"/>
  <c r="BP315" i="3"/>
  <c r="BO315" i="3"/>
  <c r="BN315" i="3"/>
  <c r="BY360" i="3"/>
  <c r="BX360" i="3"/>
  <c r="BW360" i="3"/>
  <c r="BV360" i="3"/>
  <c r="BU360" i="3"/>
  <c r="BT360" i="3"/>
  <c r="BS360" i="3"/>
  <c r="BQ360" i="3"/>
  <c r="BR360" i="3"/>
  <c r="BP360" i="3"/>
  <c r="BO360" i="3"/>
  <c r="BN360" i="3"/>
  <c r="BG360" i="3"/>
  <c r="BL360" i="3"/>
  <c r="BG397" i="3"/>
  <c r="BL397" i="3"/>
  <c r="BG385" i="3"/>
  <c r="BL385" i="3" s="1"/>
  <c r="CF397" i="3"/>
  <c r="CF385" i="3"/>
  <c r="CF328" i="3"/>
  <c r="CF309" i="3"/>
  <c r="CF303" i="3"/>
  <c r="CF319" i="3"/>
  <c r="CF323" i="3"/>
  <c r="CF306" i="3"/>
  <c r="CF298" i="3"/>
  <c r="CF305" i="3"/>
  <c r="CF340" i="3"/>
  <c r="CF320" i="3"/>
  <c r="CF339" i="3"/>
  <c r="CF341" i="3"/>
  <c r="CF325" i="3"/>
  <c r="CF317" i="3"/>
  <c r="CF302" i="3"/>
  <c r="CF378" i="3"/>
  <c r="CF314" i="3"/>
  <c r="CF313" i="3"/>
  <c r="CF300" i="3"/>
  <c r="CF343" i="3"/>
  <c r="CF337" i="3"/>
  <c r="CF336" i="3"/>
  <c r="CF333" i="3"/>
  <c r="CF332" i="3"/>
  <c r="CF331" i="3"/>
  <c r="CF329" i="3"/>
  <c r="CF324" i="3"/>
  <c r="CF321" i="3"/>
  <c r="CF318" i="3"/>
  <c r="CF312" i="3"/>
  <c r="CF311" i="3"/>
  <c r="CF310" i="3"/>
  <c r="CF307" i="3"/>
  <c r="BR397" i="3"/>
  <c r="BR385" i="3"/>
  <c r="BR328" i="3"/>
  <c r="BR309" i="3"/>
  <c r="BR303" i="3"/>
  <c r="BR319" i="3"/>
  <c r="BR323" i="3"/>
  <c r="BR306" i="3"/>
  <c r="BR298" i="3"/>
  <c r="BR305" i="3"/>
  <c r="BR340" i="3"/>
  <c r="BR320" i="3"/>
  <c r="BR339" i="3"/>
  <c r="BR341" i="3"/>
  <c r="BR325" i="3"/>
  <c r="BR317" i="3"/>
  <c r="BR302" i="3"/>
  <c r="BR378" i="3"/>
  <c r="BR314" i="3"/>
  <c r="BR313" i="3"/>
  <c r="BR300" i="3"/>
  <c r="BR343" i="3"/>
  <c r="BR337" i="3"/>
  <c r="BR336" i="3"/>
  <c r="BR333" i="3"/>
  <c r="BR332" i="3"/>
  <c r="BR331" i="3"/>
  <c r="BR329" i="3"/>
  <c r="BR324" i="3"/>
  <c r="BR321" i="3"/>
  <c r="BR318" i="3"/>
  <c r="BR312" i="3"/>
  <c r="BR311" i="3"/>
  <c r="BR310" i="3"/>
  <c r="BR307" i="3"/>
  <c r="EH360" i="3"/>
  <c r="EG360" i="3"/>
  <c r="EH385" i="3"/>
  <c r="EG385" i="3"/>
  <c r="AU315" i="3"/>
  <c r="AV315" i="3" s="1"/>
  <c r="AW315" i="3" s="1"/>
  <c r="AW360" i="3"/>
  <c r="AV360" i="3"/>
  <c r="AU360" i="3"/>
  <c r="AW397" i="3"/>
  <c r="AV397" i="3"/>
  <c r="AU397" i="3"/>
  <c r="AW385" i="3"/>
  <c r="AV385" i="3"/>
  <c r="AU385" i="3"/>
  <c r="BG328" i="3"/>
  <c r="BL328" i="3" s="1"/>
  <c r="BG309" i="3"/>
  <c r="BL309" i="3" s="1"/>
  <c r="BG303" i="3"/>
  <c r="BL303" i="3" s="1"/>
  <c r="BG319" i="3"/>
  <c r="BL319" i="3" s="1"/>
  <c r="BG323" i="3"/>
  <c r="BL323" i="3" s="1"/>
  <c r="BG306" i="3"/>
  <c r="BL306" i="3" s="1"/>
  <c r="BG298" i="3"/>
  <c r="BL298" i="3"/>
  <c r="BG305" i="3"/>
  <c r="BL305" i="3"/>
  <c r="BG340" i="3"/>
  <c r="BL340" i="3" s="1"/>
  <c r="BG320" i="3"/>
  <c r="BL320" i="3" s="1"/>
  <c r="BG339" i="3"/>
  <c r="BL339" i="3" s="1"/>
  <c r="BG341" i="3"/>
  <c r="BL341" i="3" s="1"/>
  <c r="BG325" i="3"/>
  <c r="BL325" i="3" s="1"/>
  <c r="BG317" i="3"/>
  <c r="BL317" i="3" s="1"/>
  <c r="BG302" i="3"/>
  <c r="BL302" i="3" s="1"/>
  <c r="BG378" i="3"/>
  <c r="BL378" i="3"/>
  <c r="BG327" i="3"/>
  <c r="BL327" i="3" s="1"/>
  <c r="BG314" i="3"/>
  <c r="BL314" i="3" s="1"/>
  <c r="BG313" i="3"/>
  <c r="BL313" i="3"/>
  <c r="BG300" i="3"/>
  <c r="BL300" i="3"/>
  <c r="BG343" i="3"/>
  <c r="BL343" i="3" s="1"/>
  <c r="BG342" i="3"/>
  <c r="BL342" i="3" s="1"/>
  <c r="BG338" i="3"/>
  <c r="BL338" i="3" s="1"/>
  <c r="BG337" i="3"/>
  <c r="BL337" i="3" s="1"/>
  <c r="BG336" i="3"/>
  <c r="BL336" i="3" s="1"/>
  <c r="BG333" i="3"/>
  <c r="BL333" i="3" s="1"/>
  <c r="BG332" i="3"/>
  <c r="BL332" i="3"/>
  <c r="BG331" i="3"/>
  <c r="BL331" i="3"/>
  <c r="BG329" i="3"/>
  <c r="BL329" i="3" s="1"/>
  <c r="BG324" i="3"/>
  <c r="BL324" i="3" s="1"/>
  <c r="BG322" i="3"/>
  <c r="BL322" i="3" s="1"/>
  <c r="BG321" i="3"/>
  <c r="BL321" i="3" s="1"/>
  <c r="BG318" i="3"/>
  <c r="BL318" i="3" s="1"/>
  <c r="BG312" i="3"/>
  <c r="BL312" i="3" s="1"/>
  <c r="BG311" i="3"/>
  <c r="BL311" i="3" s="1"/>
  <c r="BG310" i="3"/>
  <c r="BL310" i="3" s="1"/>
  <c r="BG307" i="3"/>
  <c r="BL307" i="3" s="1"/>
  <c r="BG316" i="3"/>
  <c r="BL316" i="3" s="1"/>
  <c r="BG304" i="3"/>
  <c r="BL304" i="3" s="1"/>
  <c r="EF328" i="3"/>
  <c r="EG328" i="3" s="1"/>
  <c r="EH328" i="3" s="1"/>
  <c r="EI328" i="3" s="1"/>
  <c r="EF309" i="3"/>
  <c r="EG309" i="3" s="1"/>
  <c r="EH309" i="3" s="1"/>
  <c r="EI309" i="3" s="1"/>
  <c r="EF303" i="3"/>
  <c r="EG303" i="3" s="1"/>
  <c r="EH303" i="3" s="1"/>
  <c r="EI303" i="3" s="1"/>
  <c r="EF319" i="3"/>
  <c r="EG319" i="3" s="1"/>
  <c r="EH319" i="3" s="1"/>
  <c r="EI319" i="3" s="1"/>
  <c r="EF323" i="3"/>
  <c r="EG323" i="3" s="1"/>
  <c r="EH323" i="3" s="1"/>
  <c r="EI323" i="3" s="1"/>
  <c r="EF306" i="3"/>
  <c r="EG306" i="3" s="1"/>
  <c r="EH306" i="3" s="1"/>
  <c r="EI306" i="3" s="1"/>
  <c r="EF298" i="3"/>
  <c r="EG298" i="3" s="1"/>
  <c r="EH298" i="3" s="1"/>
  <c r="EI298" i="3" s="1"/>
  <c r="EF305" i="3"/>
  <c r="EG305" i="3" s="1"/>
  <c r="EH305" i="3" s="1"/>
  <c r="EI305" i="3" s="1"/>
  <c r="EF340" i="3"/>
  <c r="EG340" i="3" s="1"/>
  <c r="EH340" i="3" s="1"/>
  <c r="EI340" i="3" s="1"/>
  <c r="EF320" i="3"/>
  <c r="EG320" i="3" s="1"/>
  <c r="EH320" i="3" s="1"/>
  <c r="EI320" i="3" s="1"/>
  <c r="EF339" i="3"/>
  <c r="EG339" i="3" s="1"/>
  <c r="EH339" i="3" s="1"/>
  <c r="EI339" i="3" s="1"/>
  <c r="EF341" i="3"/>
  <c r="EG341" i="3" s="1"/>
  <c r="EH341" i="3" s="1"/>
  <c r="EI341" i="3" s="1"/>
  <c r="EF325" i="3"/>
  <c r="EG325" i="3" s="1"/>
  <c r="EH325" i="3" s="1"/>
  <c r="EI325" i="3" s="1"/>
  <c r="EF317" i="3"/>
  <c r="EG317" i="3" s="1"/>
  <c r="EH317" i="3" s="1"/>
  <c r="EI317" i="3" s="1"/>
  <c r="EF302" i="3"/>
  <c r="EG302" i="3" s="1"/>
  <c r="EH302" i="3" s="1"/>
  <c r="EI302" i="3" s="1"/>
  <c r="EH378" i="3"/>
  <c r="EH342" i="3"/>
  <c r="EH338" i="3"/>
  <c r="EH337" i="3"/>
  <c r="CM327" i="3"/>
  <c r="CL327" i="3"/>
  <c r="CK327" i="3"/>
  <c r="CJ327" i="3"/>
  <c r="CI327" i="3"/>
  <c r="CH327" i="3"/>
  <c r="CG327" i="3"/>
  <c r="CE327" i="3"/>
  <c r="CF327" i="3"/>
  <c r="CD327" i="3"/>
  <c r="CC327" i="3"/>
  <c r="CB327" i="3"/>
  <c r="BY327" i="3"/>
  <c r="BX327" i="3"/>
  <c r="BW327" i="3"/>
  <c r="BV327" i="3"/>
  <c r="BU327" i="3"/>
  <c r="BT327" i="3"/>
  <c r="BS327" i="3"/>
  <c r="BQ327" i="3"/>
  <c r="BR327" i="3" s="1"/>
  <c r="BP327" i="3"/>
  <c r="BO327" i="3"/>
  <c r="BN327" i="3"/>
  <c r="AW378" i="3"/>
  <c r="AV378" i="3"/>
  <c r="AU378" i="3"/>
  <c r="AW327" i="3"/>
  <c r="AV327" i="3"/>
  <c r="AU327" i="3"/>
  <c r="AW314" i="3"/>
  <c r="AV314" i="3"/>
  <c r="AU314" i="3"/>
  <c r="EF327" i="3"/>
  <c r="EG327" i="3" s="1"/>
  <c r="EH327" i="3" s="1"/>
  <c r="EI327" i="3" s="1"/>
  <c r="EF314" i="3"/>
  <c r="EG314" i="3" s="1"/>
  <c r="EH314" i="3" s="1"/>
  <c r="EI314" i="3" s="1"/>
  <c r="EF313" i="3"/>
  <c r="EG313" i="3" s="1"/>
  <c r="EH313" i="3" s="1"/>
  <c r="EI313" i="3" s="1"/>
  <c r="EF343" i="3"/>
  <c r="EG343" i="3" s="1"/>
  <c r="EH343" i="3" s="1"/>
  <c r="EI343" i="3" s="1"/>
  <c r="EF342" i="3"/>
  <c r="EG342" i="3" s="1"/>
  <c r="EF338" i="3"/>
  <c r="CM342" i="3"/>
  <c r="CL342" i="3"/>
  <c r="CK342" i="3"/>
  <c r="CJ342" i="3"/>
  <c r="CI342" i="3"/>
  <c r="CH342" i="3"/>
  <c r="CG342" i="3"/>
  <c r="CM338" i="3"/>
  <c r="CL338" i="3"/>
  <c r="CK338" i="3"/>
  <c r="CJ338" i="3"/>
  <c r="CI338" i="3"/>
  <c r="CH338" i="3"/>
  <c r="CG338" i="3"/>
  <c r="CE342" i="3"/>
  <c r="CF342" i="3"/>
  <c r="CD342" i="3"/>
  <c r="CC342" i="3"/>
  <c r="CB342" i="3"/>
  <c r="CE338" i="3"/>
  <c r="CF338" i="3"/>
  <c r="CD338" i="3"/>
  <c r="CC338" i="3"/>
  <c r="CB338" i="3"/>
  <c r="BY342" i="3"/>
  <c r="BX342" i="3"/>
  <c r="BW342" i="3"/>
  <c r="BV342" i="3"/>
  <c r="BU342" i="3"/>
  <c r="BT342" i="3"/>
  <c r="BS342" i="3"/>
  <c r="BY338" i="3"/>
  <c r="BX338" i="3"/>
  <c r="BW338" i="3"/>
  <c r="BV338" i="3"/>
  <c r="BU338" i="3"/>
  <c r="BT338" i="3"/>
  <c r="BS338" i="3"/>
  <c r="BQ342" i="3"/>
  <c r="BR342" i="3"/>
  <c r="BP342" i="3"/>
  <c r="BO342" i="3"/>
  <c r="BN342" i="3"/>
  <c r="BQ338" i="3"/>
  <c r="BR338" i="3"/>
  <c r="BP338" i="3"/>
  <c r="BO338" i="3"/>
  <c r="BN338" i="3"/>
  <c r="EF336" i="3"/>
  <c r="EF333" i="3"/>
  <c r="EF332" i="3"/>
  <c r="EG332" i="3" s="1"/>
  <c r="EH332" i="3" s="1"/>
  <c r="EI332" i="3" s="1"/>
  <c r="EH329" i="3"/>
  <c r="EI329" i="3" s="1"/>
  <c r="EF331" i="3"/>
  <c r="EF329" i="3"/>
  <c r="AW300" i="3"/>
  <c r="AV300" i="3"/>
  <c r="AU300" i="3"/>
  <c r="AW343" i="3"/>
  <c r="AV343" i="3"/>
  <c r="AU343" i="3"/>
  <c r="AU342" i="3"/>
  <c r="AV342" i="3"/>
  <c r="AW342" i="3"/>
  <c r="AW338" i="3"/>
  <c r="AV338" i="3"/>
  <c r="AU338" i="3"/>
  <c r="AU337" i="3"/>
  <c r="AV337" i="3"/>
  <c r="AW337" i="3" s="1"/>
  <c r="AU336" i="3"/>
  <c r="AV336" i="3"/>
  <c r="AW336" i="3" s="1"/>
  <c r="AW333" i="3"/>
  <c r="AV333" i="3"/>
  <c r="AU333" i="3"/>
  <c r="AW332" i="3"/>
  <c r="AV332" i="3"/>
  <c r="AU332" i="3"/>
  <c r="AW331" i="3"/>
  <c r="AV331" i="3"/>
  <c r="AU331" i="3"/>
  <c r="AU329" i="3"/>
  <c r="CM322" i="3"/>
  <c r="CL322" i="3"/>
  <c r="CK322" i="3"/>
  <c r="CJ322" i="3"/>
  <c r="CI322" i="3"/>
  <c r="CH322" i="3"/>
  <c r="CG322" i="3"/>
  <c r="CE322" i="3"/>
  <c r="CF322" i="3" s="1"/>
  <c r="CD322" i="3"/>
  <c r="CC322" i="3"/>
  <c r="CB322" i="3"/>
  <c r="BY322" i="3"/>
  <c r="BX322" i="3"/>
  <c r="BW322" i="3"/>
  <c r="BV322" i="3"/>
  <c r="BU322" i="3"/>
  <c r="BT322" i="3"/>
  <c r="BS322" i="3"/>
  <c r="BQ322" i="3"/>
  <c r="BR322" i="3"/>
  <c r="BP322" i="3"/>
  <c r="BO322" i="3"/>
  <c r="BN322" i="3"/>
  <c r="EF324" i="3"/>
  <c r="EG324" i="3" s="1"/>
  <c r="EH324" i="3" s="1"/>
  <c r="EI324" i="3" s="1"/>
  <c r="EF322" i="3"/>
  <c r="EG322" i="3" s="1"/>
  <c r="EH322" i="3" s="1"/>
  <c r="EI322" i="3" s="1"/>
  <c r="EF321" i="3"/>
  <c r="EG321" i="3" s="1"/>
  <c r="EF318" i="3"/>
  <c r="EG318" i="3" s="1"/>
  <c r="EH318" i="3" s="1"/>
  <c r="EI318" i="3" s="1"/>
  <c r="EF312" i="3"/>
  <c r="EG312" i="3" s="1"/>
  <c r="EH312" i="3" s="1"/>
  <c r="EI312" i="3" s="1"/>
  <c r="EF311" i="3"/>
  <c r="EG311" i="3" s="1"/>
  <c r="EH311" i="3" s="1"/>
  <c r="EI311" i="3" s="1"/>
  <c r="EF310" i="3"/>
  <c r="EG310" i="3" s="1"/>
  <c r="EH310" i="3" s="1"/>
  <c r="EI310" i="3" s="1"/>
  <c r="EF316" i="3"/>
  <c r="CM316" i="3"/>
  <c r="CL316" i="3"/>
  <c r="CK316" i="3"/>
  <c r="CJ316" i="3"/>
  <c r="CI316" i="3"/>
  <c r="CH316" i="3"/>
  <c r="CG316" i="3"/>
  <c r="CM304" i="3"/>
  <c r="CL304" i="3"/>
  <c r="CK304" i="3"/>
  <c r="CJ304" i="3"/>
  <c r="CI304" i="3"/>
  <c r="CH304" i="3"/>
  <c r="CG304" i="3"/>
  <c r="CE316" i="3"/>
  <c r="CF316" i="3" s="1"/>
  <c r="CD316" i="3"/>
  <c r="CC316" i="3"/>
  <c r="CB316" i="3"/>
  <c r="CE304" i="3"/>
  <c r="CD304" i="3"/>
  <c r="CC304" i="3"/>
  <c r="CB304" i="3"/>
  <c r="BY316" i="3"/>
  <c r="BX316" i="3"/>
  <c r="BW316" i="3"/>
  <c r="BV316" i="3"/>
  <c r="BU316" i="3"/>
  <c r="BT316" i="3"/>
  <c r="BS316" i="3"/>
  <c r="BY304" i="3"/>
  <c r="BX304" i="3"/>
  <c r="BW304" i="3"/>
  <c r="BV304" i="3"/>
  <c r="BU304" i="3"/>
  <c r="BT304" i="3"/>
  <c r="BS304" i="3"/>
  <c r="BQ316" i="3"/>
  <c r="BR316" i="3"/>
  <c r="BP316" i="3"/>
  <c r="BO316" i="3"/>
  <c r="BN316" i="3"/>
  <c r="BQ304" i="3"/>
  <c r="BP304" i="3"/>
  <c r="BO304" i="3"/>
  <c r="BN304" i="3"/>
  <c r="AW321" i="3"/>
  <c r="AV321" i="3"/>
  <c r="AU321" i="3"/>
  <c r="AW318" i="3"/>
  <c r="AV318" i="3"/>
  <c r="AU318" i="3"/>
  <c r="AW312" i="3"/>
  <c r="AV312" i="3"/>
  <c r="AU312" i="3"/>
  <c r="AW311" i="3"/>
  <c r="AV311" i="3"/>
  <c r="AU311" i="3"/>
  <c r="AW310" i="3"/>
  <c r="AV310" i="3"/>
  <c r="AU310" i="3"/>
  <c r="AW307" i="3"/>
  <c r="AV307" i="3"/>
  <c r="AU307" i="3"/>
  <c r="AW316" i="3"/>
  <c r="AV316" i="3"/>
  <c r="AU316" i="3"/>
  <c r="AW304" i="3"/>
  <c r="AV304" i="3"/>
  <c r="AU304" i="3"/>
  <c r="BY904" i="3"/>
  <c r="BY907" i="3" s="1"/>
  <c r="BX904" i="3"/>
  <c r="BX907" i="3" s="1"/>
  <c r="BW904" i="3"/>
  <c r="BW907" i="3" s="1"/>
  <c r="BV904" i="3"/>
  <c r="BV907" i="3" s="1"/>
  <c r="BU904" i="3"/>
  <c r="BU907" i="3" s="1"/>
  <c r="BT904" i="3"/>
  <c r="BT907" i="3" s="1"/>
  <c r="BS904" i="3"/>
  <c r="BS907" i="3" s="1"/>
  <c r="BR904" i="3"/>
  <c r="BR907" i="3" s="1"/>
  <c r="BQ904" i="3"/>
  <c r="BQ907" i="3" s="1"/>
  <c r="BP904" i="3"/>
  <c r="BP907" i="3" s="1"/>
  <c r="BO904" i="3"/>
  <c r="BO907" i="3" s="1"/>
  <c r="BN904" i="3"/>
  <c r="BN907" i="3" s="1"/>
  <c r="BK295" i="3"/>
  <c r="BK904" i="3"/>
  <c r="BK907" i="3" s="1"/>
  <c r="BJ295" i="3"/>
  <c r="BJ904" i="3"/>
  <c r="BJ907" i="3" s="1"/>
  <c r="BI295" i="3"/>
  <c r="BI904" i="3" s="1"/>
  <c r="BI907" i="3" s="1"/>
  <c r="BH295" i="3"/>
  <c r="BF295" i="3"/>
  <c r="BF904" i="3" s="1"/>
  <c r="BF907" i="3" s="1"/>
  <c r="BE295" i="3"/>
  <c r="BE904" i="3" s="1"/>
  <c r="BE907" i="3" s="1"/>
  <c r="BD295" i="3"/>
  <c r="BD904" i="3"/>
  <c r="BD907" i="3" s="1"/>
  <c r="BC295" i="3"/>
  <c r="BC904" i="3"/>
  <c r="BC907" i="3" s="1"/>
  <c r="BB295" i="3"/>
  <c r="BB904" i="3" s="1"/>
  <c r="BB907" i="3" s="1"/>
  <c r="BA295" i="3"/>
  <c r="BA904" i="3" s="1"/>
  <c r="BA907" i="3" s="1"/>
  <c r="AZ295" i="3"/>
  <c r="AT295" i="3"/>
  <c r="AS295" i="3"/>
  <c r="AR295" i="3"/>
  <c r="AQ295" i="3"/>
  <c r="AP295" i="3"/>
  <c r="AP904" i="3"/>
  <c r="AP907" i="3" s="1"/>
  <c r="AO295" i="3"/>
  <c r="AO904" i="3"/>
  <c r="AO907" i="3" s="1"/>
  <c r="AN295" i="3"/>
  <c r="AN904" i="3" s="1"/>
  <c r="AN907" i="3" s="1"/>
  <c r="AM295" i="3"/>
  <c r="AM904" i="3" s="1"/>
  <c r="AM907" i="3" s="1"/>
  <c r="AL295" i="3"/>
  <c r="AL904" i="3"/>
  <c r="AL907" i="3" s="1"/>
  <c r="AK295" i="3"/>
  <c r="AK904" i="3"/>
  <c r="AK907" i="3" s="1"/>
  <c r="AJ295" i="3"/>
  <c r="AJ904" i="3" s="1"/>
  <c r="AJ907" i="3" s="1"/>
  <c r="AI295" i="3"/>
  <c r="AF295" i="3"/>
  <c r="AF904" i="3" s="1"/>
  <c r="AF907" i="3" s="1"/>
  <c r="AE295" i="3"/>
  <c r="AE904" i="3" s="1"/>
  <c r="AE907" i="3" s="1"/>
  <c r="AD295" i="3"/>
  <c r="AD904" i="3"/>
  <c r="AD907" i="3" s="1"/>
  <c r="AC295" i="3"/>
  <c r="AC904" i="3"/>
  <c r="AC907" i="3" s="1"/>
  <c r="AB295" i="3"/>
  <c r="AB904" i="3" s="1"/>
  <c r="AB907" i="3" s="1"/>
  <c r="AA295" i="3"/>
  <c r="AA904" i="3" s="1"/>
  <c r="AA907" i="3" s="1"/>
  <c r="Z295" i="3"/>
  <c r="Y295" i="3"/>
  <c r="Y904" i="3" s="1"/>
  <c r="Y907" i="3" s="1"/>
  <c r="X295" i="3"/>
  <c r="X904" i="3" s="1"/>
  <c r="W295" i="3"/>
  <c r="W904" i="3"/>
  <c r="W907" i="3" s="1"/>
  <c r="V295" i="3"/>
  <c r="V904" i="3"/>
  <c r="V907" i="3" s="1"/>
  <c r="U295" i="3"/>
  <c r="U904" i="3" s="1"/>
  <c r="U907" i="3" s="1"/>
  <c r="R295" i="3"/>
  <c r="R904" i="3"/>
  <c r="R907" i="3" s="1"/>
  <c r="Q295" i="3"/>
  <c r="P295" i="3"/>
  <c r="O295" i="3"/>
  <c r="O904" i="3" s="1"/>
  <c r="O907" i="3" s="1"/>
  <c r="N295" i="3"/>
  <c r="N904" i="3" s="1"/>
  <c r="N907" i="3" s="1"/>
  <c r="M295" i="3"/>
  <c r="M904" i="3"/>
  <c r="L295" i="3"/>
  <c r="L904" i="3"/>
  <c r="L907" i="3" s="1"/>
  <c r="K295" i="3"/>
  <c r="K904" i="3" s="1"/>
  <c r="K907" i="3" s="1"/>
  <c r="J295" i="3"/>
  <c r="J904" i="3" s="1"/>
  <c r="J907" i="3" s="1"/>
  <c r="I295" i="3"/>
  <c r="I904" i="3" s="1"/>
  <c r="H295" i="3"/>
  <c r="H904" i="3" s="1"/>
  <c r="H907" i="3" s="1"/>
  <c r="G295" i="3"/>
  <c r="G904" i="3" s="1"/>
  <c r="G907" i="3" s="1"/>
  <c r="G929" i="3" s="1"/>
  <c r="BL286" i="3"/>
  <c r="AX249" i="3"/>
  <c r="AX271" i="3"/>
  <c r="AX268" i="3"/>
  <c r="AX264" i="3"/>
  <c r="AX283" i="3"/>
  <c r="AX262" i="3"/>
  <c r="AX251" i="3"/>
  <c r="AX245" i="3"/>
  <c r="AX254" i="3"/>
  <c r="AX256" i="3"/>
  <c r="AX269" i="3"/>
  <c r="AX248" i="3"/>
  <c r="AX272" i="3"/>
  <c r="AX253" i="3"/>
  <c r="AX270" i="3"/>
  <c r="AX267" i="3"/>
  <c r="AX266" i="3"/>
  <c r="AX265" i="3"/>
  <c r="AX263" i="3"/>
  <c r="AX261" i="3"/>
  <c r="AX259" i="3"/>
  <c r="AX258" i="3"/>
  <c r="AX260" i="3"/>
  <c r="AX257" i="3"/>
  <c r="AX255" i="3"/>
  <c r="AX252" i="3"/>
  <c r="AX250" i="3"/>
  <c r="AX247" i="3"/>
  <c r="AX246" i="3"/>
  <c r="AX244" i="3"/>
  <c r="AX243" i="3"/>
  <c r="BL264" i="3"/>
  <c r="BG290" i="3"/>
  <c r="BL290" i="3"/>
  <c r="BG283" i="3"/>
  <c r="BL283" i="3" s="1"/>
  <c r="BG262" i="3"/>
  <c r="BL262" i="3"/>
  <c r="BG251" i="3"/>
  <c r="BL251" i="3"/>
  <c r="BG245" i="3"/>
  <c r="BL245" i="3"/>
  <c r="BG254" i="3"/>
  <c r="BL254" i="3" s="1"/>
  <c r="BG256" i="3"/>
  <c r="BL256" i="3"/>
  <c r="BG269" i="3"/>
  <c r="BL269" i="3"/>
  <c r="BG248" i="3"/>
  <c r="BL248" i="3"/>
  <c r="BG272" i="3"/>
  <c r="BL272" i="3" s="1"/>
  <c r="BG253" i="3"/>
  <c r="BL253" i="3"/>
  <c r="BG270" i="3"/>
  <c r="BL270" i="3" s="1"/>
  <c r="BG267" i="3"/>
  <c r="BL267" i="3" s="1"/>
  <c r="BG266" i="3"/>
  <c r="BL266" i="3" s="1"/>
  <c r="BG265" i="3"/>
  <c r="BL265" i="3" s="1"/>
  <c r="BG263" i="3"/>
  <c r="BL263" i="3" s="1"/>
  <c r="BG261" i="3"/>
  <c r="BL261" i="3" s="1"/>
  <c r="BG288" i="3"/>
  <c r="BL288" i="3" s="1"/>
  <c r="BG259" i="3"/>
  <c r="BL259" i="3" s="1"/>
  <c r="BG258" i="3"/>
  <c r="BL258" i="3" s="1"/>
  <c r="BG260" i="3"/>
  <c r="BL260" i="3"/>
  <c r="BG257" i="3"/>
  <c r="BL257" i="3" s="1"/>
  <c r="BG255" i="3"/>
  <c r="BL255" i="3" s="1"/>
  <c r="BG252" i="3"/>
  <c r="BL252" i="3" s="1"/>
  <c r="BG250" i="3"/>
  <c r="BL250" i="3" s="1"/>
  <c r="BG247" i="3"/>
  <c r="BL247" i="3" s="1"/>
  <c r="BG246" i="3"/>
  <c r="BL246" i="3" s="1"/>
  <c r="BG244" i="3"/>
  <c r="BL244" i="3" s="1"/>
  <c r="BG243" i="3"/>
  <c r="BL243" i="3" s="1"/>
  <c r="AG290" i="3"/>
  <c r="AG283" i="3"/>
  <c r="AG262" i="3"/>
  <c r="AG251" i="3"/>
  <c r="AG245" i="3"/>
  <c r="AG254" i="3"/>
  <c r="AG256" i="3"/>
  <c r="AG269" i="3"/>
  <c r="AG248" i="3"/>
  <c r="AG272" i="3"/>
  <c r="AG253" i="3"/>
  <c r="AG270" i="3"/>
  <c r="AG267" i="3"/>
  <c r="AG266" i="3"/>
  <c r="AG265" i="3"/>
  <c r="AG263" i="3"/>
  <c r="AG261" i="3"/>
  <c r="AG288" i="3"/>
  <c r="AG259" i="3"/>
  <c r="AG258" i="3"/>
  <c r="AG260" i="3"/>
  <c r="AG257" i="3"/>
  <c r="AG255" i="3"/>
  <c r="AG252" i="3"/>
  <c r="AG250" i="3"/>
  <c r="AG247" i="3"/>
  <c r="AG246" i="3"/>
  <c r="AG244" i="3"/>
  <c r="AG243" i="3"/>
  <c r="S290" i="3"/>
  <c r="EF264" i="3"/>
  <c r="EG264" i="3" s="1"/>
  <c r="EH264" i="3" s="1"/>
  <c r="EI264" i="3" s="1"/>
  <c r="EF290" i="3"/>
  <c r="EG290" i="3" s="1"/>
  <c r="EH290" i="3" s="1"/>
  <c r="EI290" i="3" s="1"/>
  <c r="EF262" i="3"/>
  <c r="EG262" i="3" s="1"/>
  <c r="EH262" i="3" s="1"/>
  <c r="EI262" i="3" s="1"/>
  <c r="EF251" i="3"/>
  <c r="EF245" i="3"/>
  <c r="EG245" i="3" s="1"/>
  <c r="EH245" i="3" s="1"/>
  <c r="S245" i="3"/>
  <c r="S254" i="3"/>
  <c r="S256" i="3"/>
  <c r="S269" i="3"/>
  <c r="S248" i="3"/>
  <c r="S272" i="3"/>
  <c r="S253" i="3"/>
  <c r="S270" i="3"/>
  <c r="S267" i="3"/>
  <c r="S266" i="3"/>
  <c r="S265" i="3"/>
  <c r="S263" i="3"/>
  <c r="S261" i="3"/>
  <c r="S288" i="3"/>
  <c r="S259" i="3"/>
  <c r="S258" i="3"/>
  <c r="S260" i="3"/>
  <c r="S257" i="3"/>
  <c r="S255" i="3"/>
  <c r="S252" i="3"/>
  <c r="S250" i="3"/>
  <c r="S247" i="3"/>
  <c r="S246" i="3"/>
  <c r="S244" i="3"/>
  <c r="S243" i="3"/>
  <c r="EF254" i="3"/>
  <c r="EG254" i="3" s="1"/>
  <c r="EF256" i="3"/>
  <c r="EG256" i="3" s="1"/>
  <c r="EH256" i="3" s="1"/>
  <c r="EI256" i="3" s="1"/>
  <c r="EF269" i="3"/>
  <c r="EG269" i="3" s="1"/>
  <c r="EF272" i="3"/>
  <c r="EG272" i="3" s="1"/>
  <c r="EH272" i="3" s="1"/>
  <c r="EI272" i="3" s="1"/>
  <c r="EF253" i="3"/>
  <c r="EG253" i="3" s="1"/>
  <c r="EH253" i="3" s="1"/>
  <c r="EI253" i="3" s="1"/>
  <c r="EF270" i="3"/>
  <c r="EG270" i="3" s="1"/>
  <c r="EH270" i="3" s="1"/>
  <c r="EI270" i="3" s="1"/>
  <c r="EF267" i="3"/>
  <c r="EG267" i="3" s="1"/>
  <c r="EH267" i="3" s="1"/>
  <c r="EI267" i="3" s="1"/>
  <c r="EF266" i="3"/>
  <c r="EG266" i="3" s="1"/>
  <c r="EH266" i="3" s="1"/>
  <c r="EI266" i="3" s="1"/>
  <c r="EF265" i="3"/>
  <c r="EG265" i="3" s="1"/>
  <c r="EF263" i="3"/>
  <c r="EG263" i="3" s="1"/>
  <c r="EH263" i="3" s="1"/>
  <c r="EI263" i="3" s="1"/>
  <c r="EF261" i="3"/>
  <c r="CR261" i="3"/>
  <c r="CR242" i="3" s="1"/>
  <c r="CR295" i="3" s="1"/>
  <c r="EP8" i="80" s="1"/>
  <c r="EP28" i="80" s="1"/>
  <c r="EF288" i="3"/>
  <c r="EG288" i="3" s="1"/>
  <c r="EF259" i="3"/>
  <c r="EG259" i="3" s="1"/>
  <c r="EH259" i="3" s="1"/>
  <c r="EI259" i="3" s="1"/>
  <c r="EF258" i="3"/>
  <c r="EF260" i="3"/>
  <c r="EG260" i="3" s="1"/>
  <c r="EH260" i="3" s="1"/>
  <c r="EI260" i="3" s="1"/>
  <c r="EF257" i="3"/>
  <c r="EG257" i="3" s="1"/>
  <c r="EH257" i="3" s="1"/>
  <c r="EI257" i="3" s="1"/>
  <c r="EF255" i="3"/>
  <c r="EG255" i="3" s="1"/>
  <c r="EH255" i="3" s="1"/>
  <c r="EI255" i="3" s="1"/>
  <c r="EF252" i="3"/>
  <c r="EG252" i="3" s="1"/>
  <c r="EH252" i="3" s="1"/>
  <c r="EI252" i="3" s="1"/>
  <c r="EF250" i="3"/>
  <c r="EG250" i="3" s="1"/>
  <c r="EH250" i="3" s="1"/>
  <c r="EI250" i="3" s="1"/>
  <c r="EH247" i="3"/>
  <c r="EG247" i="3"/>
  <c r="EF246" i="3"/>
  <c r="EG246" i="3" s="1"/>
  <c r="EH246" i="3" s="1"/>
  <c r="CT244" i="3"/>
  <c r="AW245" i="3"/>
  <c r="AV245" i="3"/>
  <c r="AU245" i="3"/>
  <c r="AW254" i="3"/>
  <c r="AV254" i="3"/>
  <c r="AU254" i="3"/>
  <c r="AW256" i="3"/>
  <c r="AV256" i="3"/>
  <c r="AU256" i="3"/>
  <c r="AW269" i="3"/>
  <c r="AV269" i="3"/>
  <c r="AU269" i="3"/>
  <c r="AW248" i="3"/>
  <c r="AV248" i="3"/>
  <c r="AU248" i="3"/>
  <c r="AW272" i="3"/>
  <c r="AV272" i="3"/>
  <c r="AU272" i="3"/>
  <c r="AW253" i="3"/>
  <c r="AV253" i="3"/>
  <c r="AU253" i="3"/>
  <c r="AW270" i="3"/>
  <c r="AV270" i="3"/>
  <c r="AU270" i="3"/>
  <c r="AW267" i="3"/>
  <c r="AV267" i="3"/>
  <c r="AU267" i="3"/>
  <c r="AW266" i="3"/>
  <c r="AV266" i="3"/>
  <c r="AU266" i="3"/>
  <c r="AW265" i="3"/>
  <c r="AV265" i="3"/>
  <c r="AU265" i="3"/>
  <c r="AW263" i="3"/>
  <c r="AV263" i="3"/>
  <c r="AU263" i="3"/>
  <c r="AU261" i="3"/>
  <c r="AW288" i="3"/>
  <c r="AV288" i="3"/>
  <c r="AU288" i="3"/>
  <c r="AW259" i="3"/>
  <c r="AV259" i="3"/>
  <c r="AU259" i="3"/>
  <c r="AW258" i="3"/>
  <c r="AV258" i="3"/>
  <c r="AU258" i="3"/>
  <c r="AW260" i="3"/>
  <c r="AV260" i="3"/>
  <c r="AU260" i="3"/>
  <c r="AW257" i="3"/>
  <c r="AV257" i="3"/>
  <c r="AU257" i="3"/>
  <c r="AW255" i="3"/>
  <c r="AV255" i="3"/>
  <c r="AU255" i="3"/>
  <c r="AW252" i="3"/>
  <c r="AV252" i="3"/>
  <c r="AU252" i="3"/>
  <c r="AW250" i="3"/>
  <c r="AV250" i="3"/>
  <c r="AU250" i="3"/>
  <c r="AW247" i="3"/>
  <c r="AV247" i="3"/>
  <c r="AU247" i="3"/>
  <c r="AW246" i="3"/>
  <c r="AV246" i="3"/>
  <c r="AU246" i="3"/>
  <c r="AW244" i="3"/>
  <c r="AV244" i="3"/>
  <c r="AU244" i="3"/>
  <c r="AW243" i="3"/>
  <c r="AV243" i="3"/>
  <c r="AU243" i="3"/>
  <c r="BK240" i="3"/>
  <c r="BK898" i="3"/>
  <c r="BJ240" i="3"/>
  <c r="BJ898" i="3" s="1"/>
  <c r="BI240" i="3"/>
  <c r="BI898" i="3" s="1"/>
  <c r="BH240" i="3"/>
  <c r="BH898" i="3" s="1"/>
  <c r="BF240" i="3"/>
  <c r="BF898" i="3" s="1"/>
  <c r="BF901" i="3" s="1"/>
  <c r="BF928" i="3" s="1"/>
  <c r="BE240" i="3"/>
  <c r="BE898" i="3" s="1"/>
  <c r="BD240" i="3"/>
  <c r="BD898" i="3" s="1"/>
  <c r="BC240" i="3"/>
  <c r="BC898" i="3" s="1"/>
  <c r="BB240" i="3"/>
  <c r="BB898" i="3" s="1"/>
  <c r="BB901" i="3" s="1"/>
  <c r="BB928" i="3" s="1"/>
  <c r="BA240" i="3"/>
  <c r="BA898" i="3" s="1"/>
  <c r="AZ240" i="3"/>
  <c r="AZ898" i="3" s="1"/>
  <c r="AQ898" i="3"/>
  <c r="AP898" i="3"/>
  <c r="AO898" i="3"/>
  <c r="AN898" i="3"/>
  <c r="AM898" i="3"/>
  <c r="AL898" i="3"/>
  <c r="AK898" i="3"/>
  <c r="AJ898" i="3"/>
  <c r="AI898" i="3"/>
  <c r="AF240" i="3"/>
  <c r="AF898" i="3"/>
  <c r="AE240" i="3"/>
  <c r="AE898" i="3" s="1"/>
  <c r="AD240" i="3"/>
  <c r="AD898" i="3"/>
  <c r="AC240" i="3"/>
  <c r="AC898" i="3"/>
  <c r="AB240" i="3"/>
  <c r="AB898" i="3"/>
  <c r="AA240" i="3"/>
  <c r="AA898" i="3" s="1"/>
  <c r="Z240" i="3"/>
  <c r="Z898" i="3"/>
  <c r="Y240" i="3"/>
  <c r="Y898" i="3"/>
  <c r="X240" i="3"/>
  <c r="X898" i="3"/>
  <c r="W240" i="3"/>
  <c r="W898" i="3" s="1"/>
  <c r="V240" i="3"/>
  <c r="V898" i="3"/>
  <c r="U240" i="3"/>
  <c r="U898" i="3"/>
  <c r="R240" i="3"/>
  <c r="R898" i="3"/>
  <c r="Q240" i="3"/>
  <c r="Q898" i="3" s="1"/>
  <c r="P240" i="3"/>
  <c r="P898" i="3" s="1"/>
  <c r="O240" i="3"/>
  <c r="O898" i="3"/>
  <c r="N240" i="3"/>
  <c r="N898" i="3"/>
  <c r="M240" i="3"/>
  <c r="M898" i="3" s="1"/>
  <c r="L240" i="3"/>
  <c r="L898" i="3" s="1"/>
  <c r="K240" i="3"/>
  <c r="K898" i="3"/>
  <c r="J240" i="3"/>
  <c r="J898" i="3"/>
  <c r="I240" i="3"/>
  <c r="I898" i="3" s="1"/>
  <c r="H240" i="3"/>
  <c r="H898" i="3" s="1"/>
  <c r="G240" i="3"/>
  <c r="G898" i="3"/>
  <c r="CR175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AX67" i="3"/>
  <c r="AX71" i="3"/>
  <c r="AX72" i="3"/>
  <c r="AX86" i="3"/>
  <c r="AX116" i="3"/>
  <c r="AX100" i="3"/>
  <c r="AX98" i="3"/>
  <c r="AX63" i="3"/>
  <c r="AX115" i="3"/>
  <c r="AX92" i="3"/>
  <c r="AX51" i="3"/>
  <c r="AX95" i="3"/>
  <c r="AX236" i="3"/>
  <c r="AX227" i="3"/>
  <c r="AX230" i="3"/>
  <c r="AX218" i="3"/>
  <c r="AX11" i="3"/>
  <c r="AX91" i="3"/>
  <c r="AX97" i="3"/>
  <c r="AX113" i="3"/>
  <c r="AX235" i="3"/>
  <c r="AX209" i="3"/>
  <c r="AX88" i="3"/>
  <c r="AX228" i="3"/>
  <c r="AX216" i="3"/>
  <c r="AX70" i="3"/>
  <c r="AX226" i="3"/>
  <c r="AX73" i="3"/>
  <c r="AX215" i="3"/>
  <c r="AX219" i="3"/>
  <c r="AX237" i="3"/>
  <c r="AX117" i="3"/>
  <c r="AX162" i="3"/>
  <c r="AX161" i="3"/>
  <c r="AX160" i="3"/>
  <c r="AX52" i="3"/>
  <c r="AX62" i="3"/>
  <c r="AX94" i="3"/>
  <c r="AX159" i="3"/>
  <c r="AX158" i="3"/>
  <c r="AX114" i="3"/>
  <c r="AX53" i="3"/>
  <c r="AX157" i="3"/>
  <c r="AX156" i="3"/>
  <c r="AX155" i="3"/>
  <c r="AX68" i="3"/>
  <c r="AX120" i="3"/>
  <c r="AX154" i="3"/>
  <c r="AX153" i="3"/>
  <c r="AX152" i="3"/>
  <c r="AX151" i="3"/>
  <c r="AX150" i="3"/>
  <c r="AX149" i="3"/>
  <c r="AX201" i="3"/>
  <c r="AX148" i="3"/>
  <c r="AX147" i="3"/>
  <c r="AX146" i="3"/>
  <c r="AX145" i="3"/>
  <c r="AX144" i="3"/>
  <c r="AX143" i="3"/>
  <c r="AX142" i="3"/>
  <c r="AX141" i="3"/>
  <c r="AX140" i="3"/>
  <c r="AX139" i="3"/>
  <c r="AX138" i="3"/>
  <c r="AX137" i="3"/>
  <c r="AX136" i="3"/>
  <c r="AX135" i="3"/>
  <c r="AX134" i="3"/>
  <c r="AX133" i="3"/>
  <c r="BL236" i="3"/>
  <c r="BL227" i="3"/>
  <c r="BL230" i="3"/>
  <c r="BL218" i="3"/>
  <c r="BL11" i="3"/>
  <c r="BL91" i="3"/>
  <c r="BL97" i="3"/>
  <c r="BL113" i="3"/>
  <c r="CM91" i="3"/>
  <c r="CL91" i="3"/>
  <c r="CK91" i="3"/>
  <c r="CJ91" i="3"/>
  <c r="CI91" i="3"/>
  <c r="CH91" i="3"/>
  <c r="CG91" i="3"/>
  <c r="CE91" i="3"/>
  <c r="CF91" i="3"/>
  <c r="CD91" i="3"/>
  <c r="CC91" i="3"/>
  <c r="CB91" i="3"/>
  <c r="BY91" i="3"/>
  <c r="BX91" i="3"/>
  <c r="BW91" i="3"/>
  <c r="BV91" i="3"/>
  <c r="BU91" i="3"/>
  <c r="BT91" i="3"/>
  <c r="BS91" i="3"/>
  <c r="BQ91" i="3"/>
  <c r="BR91" i="3" s="1"/>
  <c r="BP91" i="3"/>
  <c r="BO91" i="3"/>
  <c r="BN91" i="3"/>
  <c r="AW91" i="3"/>
  <c r="AV91" i="3"/>
  <c r="AU91" i="3"/>
  <c r="BG235" i="3"/>
  <c r="BL235" i="3" s="1"/>
  <c r="BG209" i="3"/>
  <c r="BL209" i="3"/>
  <c r="BG88" i="3"/>
  <c r="BL88" i="3"/>
  <c r="BG228" i="3"/>
  <c r="BL228" i="3" s="1"/>
  <c r="BG216" i="3"/>
  <c r="BL216" i="3" s="1"/>
  <c r="BG70" i="3"/>
  <c r="BL70" i="3"/>
  <c r="BG226" i="3"/>
  <c r="BL226" i="3"/>
  <c r="BG73" i="3"/>
  <c r="BL73" i="3" s="1"/>
  <c r="BG215" i="3"/>
  <c r="BL215" i="3" s="1"/>
  <c r="BG219" i="3"/>
  <c r="BL219" i="3"/>
  <c r="BG237" i="3"/>
  <c r="BL237" i="3"/>
  <c r="BG117" i="3"/>
  <c r="BL117" i="3" s="1"/>
  <c r="BG162" i="3"/>
  <c r="BG161" i="3"/>
  <c r="BL161" i="3" s="1"/>
  <c r="BG160" i="3"/>
  <c r="BL160" i="3" s="1"/>
  <c r="BG52" i="3"/>
  <c r="BL52" i="3" s="1"/>
  <c r="BG62" i="3"/>
  <c r="BL62" i="3"/>
  <c r="BG94" i="3"/>
  <c r="BL94" i="3"/>
  <c r="BG159" i="3"/>
  <c r="BL159" i="3" s="1"/>
  <c r="BG158" i="3"/>
  <c r="BL158" i="3" s="1"/>
  <c r="BG114" i="3"/>
  <c r="BL114" i="3"/>
  <c r="BG53" i="3"/>
  <c r="BL53" i="3"/>
  <c r="BG157" i="3"/>
  <c r="BL157" i="3" s="1"/>
  <c r="BG156" i="3"/>
  <c r="BL156" i="3" s="1"/>
  <c r="BG155" i="3"/>
  <c r="BL155" i="3" s="1"/>
  <c r="BG68" i="3"/>
  <c r="BL68" i="3"/>
  <c r="BG120" i="3"/>
  <c r="BL120" i="3" s="1"/>
  <c r="BG154" i="3"/>
  <c r="BL154" i="3" s="1"/>
  <c r="BG153" i="3"/>
  <c r="BL153" i="3" s="1"/>
  <c r="BG152" i="3"/>
  <c r="BL152" i="3" s="1"/>
  <c r="BG151" i="3"/>
  <c r="BL151" i="3" s="1"/>
  <c r="BG150" i="3"/>
  <c r="BL150" i="3" s="1"/>
  <c r="BG149" i="3"/>
  <c r="BL149" i="3" s="1"/>
  <c r="BG201" i="3"/>
  <c r="BL201" i="3"/>
  <c r="BG148" i="3"/>
  <c r="BL148" i="3" s="1"/>
  <c r="BG147" i="3"/>
  <c r="BL147" i="3" s="1"/>
  <c r="BG146" i="3"/>
  <c r="BL146" i="3" s="1"/>
  <c r="BG145" i="3"/>
  <c r="BL145" i="3" s="1"/>
  <c r="BG144" i="3"/>
  <c r="BL144" i="3" s="1"/>
  <c r="BG143" i="3"/>
  <c r="BL143" i="3" s="1"/>
  <c r="BG142" i="3"/>
  <c r="BL142" i="3" s="1"/>
  <c r="BG141" i="3"/>
  <c r="BL141" i="3" s="1"/>
  <c r="BG140" i="3"/>
  <c r="BL140" i="3" s="1"/>
  <c r="BG139" i="3"/>
  <c r="BL139" i="3" s="1"/>
  <c r="BG138" i="3"/>
  <c r="BL138" i="3" s="1"/>
  <c r="BG137" i="3"/>
  <c r="BL137" i="3" s="1"/>
  <c r="BG136" i="3"/>
  <c r="BL136" i="3" s="1"/>
  <c r="BG135" i="3"/>
  <c r="BL135" i="3" s="1"/>
  <c r="BG134" i="3"/>
  <c r="BL134" i="3" s="1"/>
  <c r="BG133" i="3"/>
  <c r="BL133" i="3" s="1"/>
  <c r="AV235" i="3"/>
  <c r="AU235" i="3"/>
  <c r="AG235" i="3"/>
  <c r="AG209" i="3"/>
  <c r="AG88" i="3"/>
  <c r="AG228" i="3"/>
  <c r="AG216" i="3"/>
  <c r="AG70" i="3"/>
  <c r="AG226" i="3"/>
  <c r="AG73" i="3"/>
  <c r="AG215" i="3"/>
  <c r="AG219" i="3"/>
  <c r="AG237" i="3"/>
  <c r="AG117" i="3"/>
  <c r="S235" i="3"/>
  <c r="S209" i="3"/>
  <c r="S88" i="3"/>
  <c r="S228" i="3"/>
  <c r="S216" i="3"/>
  <c r="S70" i="3"/>
  <c r="S226" i="3"/>
  <c r="S73" i="3"/>
  <c r="S215" i="3"/>
  <c r="S219" i="3"/>
  <c r="S237" i="3"/>
  <c r="S117" i="3"/>
  <c r="CF209" i="3"/>
  <c r="CF208" i="3" s="1"/>
  <c r="CE209" i="3"/>
  <c r="CE208" i="3"/>
  <c r="CD209" i="3"/>
  <c r="CD208" i="3"/>
  <c r="CC209" i="3"/>
  <c r="CC208" i="3" s="1"/>
  <c r="CB209" i="3"/>
  <c r="CB208" i="3"/>
  <c r="BR209" i="3"/>
  <c r="BR208" i="3"/>
  <c r="BQ209" i="3"/>
  <c r="BQ208" i="3"/>
  <c r="BP209" i="3"/>
  <c r="BP208" i="3" s="1"/>
  <c r="BO209" i="3"/>
  <c r="BO208" i="3" s="1"/>
  <c r="BN209" i="3"/>
  <c r="BN208" i="3"/>
  <c r="AU209" i="3"/>
  <c r="AU88" i="3"/>
  <c r="AU22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AW88" i="3"/>
  <c r="AV88" i="3"/>
  <c r="AW228" i="3"/>
  <c r="AV228" i="3"/>
  <c r="AW226" i="3"/>
  <c r="AV226" i="3"/>
  <c r="AU226" i="3"/>
  <c r="AW219" i="3"/>
  <c r="AV219" i="3"/>
  <c r="AU219" i="3"/>
  <c r="AW237" i="3"/>
  <c r="AV237" i="3"/>
  <c r="AU237" i="3"/>
  <c r="AV117" i="3"/>
  <c r="AU117" i="3"/>
  <c r="AG161" i="3"/>
  <c r="AG160" i="3"/>
  <c r="AG52" i="3"/>
  <c r="AG62" i="3"/>
  <c r="AG94" i="3"/>
  <c r="AG159" i="3"/>
  <c r="AG158" i="3"/>
  <c r="AG114" i="3"/>
  <c r="AG53" i="3"/>
  <c r="AG157" i="3"/>
  <c r="AG156" i="3"/>
  <c r="AG155" i="3"/>
  <c r="AG68" i="3"/>
  <c r="AG120" i="3"/>
  <c r="AG154" i="3"/>
  <c r="AG153" i="3"/>
  <c r="AG152" i="3"/>
  <c r="AG151" i="3"/>
  <c r="AG150" i="3"/>
  <c r="AG149" i="3"/>
  <c r="AG201" i="3"/>
  <c r="AG148" i="3"/>
  <c r="AG147" i="3"/>
  <c r="AG146" i="3"/>
  <c r="AG145" i="3"/>
  <c r="AG144" i="3"/>
  <c r="AG143" i="3"/>
  <c r="AG142" i="3"/>
  <c r="AG141" i="3"/>
  <c r="AG140" i="3"/>
  <c r="AG139" i="3"/>
  <c r="AG138" i="3"/>
  <c r="AG137" i="3"/>
  <c r="AG136" i="3"/>
  <c r="AG135" i="3"/>
  <c r="AG134" i="3"/>
  <c r="AG133" i="3"/>
  <c r="S161" i="3"/>
  <c r="S160" i="3"/>
  <c r="S52" i="3"/>
  <c r="S62" i="3"/>
  <c r="S94" i="3"/>
  <c r="S159" i="3"/>
  <c r="S158" i="3"/>
  <c r="S114" i="3"/>
  <c r="S53" i="3"/>
  <c r="S157" i="3"/>
  <c r="S156" i="3"/>
  <c r="S155" i="3"/>
  <c r="S68" i="3"/>
  <c r="S120" i="3"/>
  <c r="S154" i="3"/>
  <c r="S153" i="3"/>
  <c r="S152" i="3"/>
  <c r="S151" i="3"/>
  <c r="S150" i="3"/>
  <c r="S149" i="3"/>
  <c r="S201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AW160" i="3"/>
  <c r="AV160" i="3"/>
  <c r="AU160" i="3"/>
  <c r="AW52" i="3"/>
  <c r="AV52" i="3"/>
  <c r="AU52" i="3"/>
  <c r="AW62" i="3"/>
  <c r="AV62" i="3"/>
  <c r="AU62" i="3"/>
  <c r="EF11" i="3"/>
  <c r="EG11" i="3"/>
  <c r="EH11" i="3" s="1"/>
  <c r="EI11" i="3" s="1"/>
  <c r="EH52" i="3"/>
  <c r="EI52" i="3" s="1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AW159" i="3"/>
  <c r="AV159" i="3"/>
  <c r="AU159" i="3"/>
  <c r="AW158" i="3"/>
  <c r="AV158" i="3"/>
  <c r="AU158" i="3"/>
  <c r="AU114" i="3"/>
  <c r="AV114" i="3" s="1"/>
  <c r="AW114" i="3" s="1"/>
  <c r="AW53" i="3"/>
  <c r="AV53" i="3"/>
  <c r="AU53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AW156" i="3"/>
  <c r="AV156" i="3"/>
  <c r="AU156" i="3"/>
  <c r="AW155" i="3"/>
  <c r="AV155" i="3"/>
  <c r="AU155" i="3"/>
  <c r="AW68" i="3"/>
  <c r="AV68" i="3"/>
  <c r="AU68" i="3"/>
  <c r="AU120" i="3"/>
  <c r="AV120" i="3"/>
  <c r="AW120" i="3" s="1"/>
  <c r="AU154" i="3"/>
  <c r="AV154" i="3"/>
  <c r="AW154" i="3" s="1"/>
  <c r="AW153" i="3"/>
  <c r="AV153" i="3"/>
  <c r="AU153" i="3"/>
  <c r="CT201" i="3"/>
  <c r="CT163" i="3" s="1"/>
  <c r="CT240" i="3" s="1"/>
  <c r="AW135" i="3"/>
  <c r="AV135" i="3"/>
  <c r="AU135" i="3"/>
  <c r="AW134" i="3"/>
  <c r="AV134" i="3"/>
  <c r="AU134" i="3"/>
  <c r="AW133" i="3"/>
  <c r="AV133" i="3"/>
  <c r="AU133" i="3"/>
  <c r="BG130" i="3"/>
  <c r="BL130" i="3"/>
  <c r="BG129" i="3"/>
  <c r="BL129" i="3" s="1"/>
  <c r="BG128" i="3"/>
  <c r="BL128" i="3" s="1"/>
  <c r="BG127" i="3"/>
  <c r="BL127" i="3" s="1"/>
  <c r="BG126" i="3"/>
  <c r="BL126" i="3" s="1"/>
  <c r="BG125" i="3"/>
  <c r="BL125" i="3" s="1"/>
  <c r="BG124" i="3"/>
  <c r="BL124" i="3" s="1"/>
  <c r="BG123" i="3"/>
  <c r="BL123" i="3" s="1"/>
  <c r="BG122" i="3"/>
  <c r="BL122" i="3"/>
  <c r="BG121" i="3"/>
  <c r="BL121" i="3" s="1"/>
  <c r="BG118" i="3"/>
  <c r="BL118" i="3" s="1"/>
  <c r="AG130" i="3"/>
  <c r="AG129" i="3"/>
  <c r="AG128" i="3"/>
  <c r="AG127" i="3"/>
  <c r="AG126" i="3"/>
  <c r="AG125" i="3"/>
  <c r="AG124" i="3"/>
  <c r="AG123" i="3"/>
  <c r="AG122" i="3"/>
  <c r="AG121" i="3"/>
  <c r="AG118" i="3"/>
  <c r="S130" i="3"/>
  <c r="S129" i="3"/>
  <c r="S128" i="3"/>
  <c r="S127" i="3"/>
  <c r="S126" i="3"/>
  <c r="S125" i="3"/>
  <c r="S124" i="3"/>
  <c r="S123" i="3"/>
  <c r="S122" i="3"/>
  <c r="S121" i="3"/>
  <c r="S118" i="3"/>
  <c r="AX130" i="3"/>
  <c r="AW130" i="3"/>
  <c r="AV130" i="3"/>
  <c r="AU130" i="3"/>
  <c r="AX129" i="3"/>
  <c r="AW129" i="3"/>
  <c r="AV129" i="3"/>
  <c r="AU129" i="3"/>
  <c r="AX128" i="3"/>
  <c r="AW128" i="3"/>
  <c r="AV128" i="3"/>
  <c r="AU128" i="3"/>
  <c r="AX127" i="3"/>
  <c r="AW127" i="3"/>
  <c r="AV127" i="3"/>
  <c r="AU127" i="3"/>
  <c r="AX126" i="3"/>
  <c r="AX125" i="3"/>
  <c r="AX124" i="3"/>
  <c r="AX123" i="3"/>
  <c r="AX122" i="3"/>
  <c r="AX121" i="3"/>
  <c r="AX118" i="3"/>
  <c r="CC118" i="3"/>
  <c r="CD118" i="3" s="1"/>
  <c r="AW125" i="3"/>
  <c r="AV125" i="3"/>
  <c r="AU125" i="3"/>
  <c r="AU124" i="3"/>
  <c r="AV124" i="3" s="1"/>
  <c r="AW124" i="3" s="1"/>
  <c r="AU123" i="3"/>
  <c r="AV123" i="3" s="1"/>
  <c r="AW123" i="3" s="1"/>
  <c r="AW122" i="3"/>
  <c r="AV122" i="3"/>
  <c r="AU122" i="3"/>
  <c r="AW121" i="3"/>
  <c r="AV121" i="3"/>
  <c r="AU121" i="3"/>
  <c r="AU118" i="3"/>
  <c r="AV118" i="3"/>
  <c r="AW118" i="3" s="1"/>
  <c r="BN118" i="3" s="1"/>
  <c r="BG111" i="3"/>
  <c r="BL111" i="3" s="1"/>
  <c r="BG109" i="3"/>
  <c r="BL109" i="3" s="1"/>
  <c r="BG108" i="3"/>
  <c r="BL108" i="3" s="1"/>
  <c r="BG132" i="3"/>
  <c r="BL132" i="3"/>
  <c r="BG107" i="3"/>
  <c r="BL107" i="3" s="1"/>
  <c r="BG106" i="3"/>
  <c r="BL106" i="3" s="1"/>
  <c r="BG105" i="3"/>
  <c r="BL105" i="3" s="1"/>
  <c r="BG104" i="3"/>
  <c r="BL104" i="3" s="1"/>
  <c r="BG103" i="3"/>
  <c r="BL103" i="3" s="1"/>
  <c r="AG111" i="3"/>
  <c r="AG109" i="3"/>
  <c r="AG108" i="3"/>
  <c r="AG132" i="3"/>
  <c r="AG107" i="3"/>
  <c r="AG106" i="3"/>
  <c r="AG105" i="3"/>
  <c r="AG104" i="3"/>
  <c r="AG103" i="3"/>
  <c r="S111" i="3"/>
  <c r="S109" i="3"/>
  <c r="S108" i="3"/>
  <c r="S132" i="3"/>
  <c r="S107" i="3"/>
  <c r="S106" i="3"/>
  <c r="S105" i="3"/>
  <c r="S104" i="3"/>
  <c r="S103" i="3"/>
  <c r="AX111" i="3"/>
  <c r="AW111" i="3"/>
  <c r="AV111" i="3"/>
  <c r="AU111" i="3"/>
  <c r="AX109" i="3"/>
  <c r="AW109" i="3"/>
  <c r="AV109" i="3"/>
  <c r="AU109" i="3"/>
  <c r="AX108" i="3"/>
  <c r="AW108" i="3"/>
  <c r="AV108" i="3"/>
  <c r="AU108" i="3"/>
  <c r="AX132" i="3"/>
  <c r="AW132" i="3"/>
  <c r="AV132" i="3"/>
  <c r="AU132" i="3"/>
  <c r="AX107" i="3"/>
  <c r="AW107" i="3"/>
  <c r="AV107" i="3"/>
  <c r="AU107" i="3"/>
  <c r="AX106" i="3"/>
  <c r="AW106" i="3"/>
  <c r="AV106" i="3"/>
  <c r="AU106" i="3"/>
  <c r="AX105" i="3"/>
  <c r="AU105" i="3"/>
  <c r="AV105" i="3" s="1"/>
  <c r="AW105" i="3" s="1"/>
  <c r="AX104" i="3"/>
  <c r="AW104" i="3"/>
  <c r="AV104" i="3"/>
  <c r="AU104" i="3"/>
  <c r="AX103" i="3"/>
  <c r="BG101" i="3"/>
  <c r="BL101" i="3" s="1"/>
  <c r="BG99" i="3"/>
  <c r="BL99" i="3" s="1"/>
  <c r="BG96" i="3"/>
  <c r="BL96" i="3" s="1"/>
  <c r="BG93" i="3"/>
  <c r="BL93" i="3" s="1"/>
  <c r="AG101" i="3"/>
  <c r="AG99" i="3"/>
  <c r="AG96" i="3"/>
  <c r="AG93" i="3"/>
  <c r="S101" i="3"/>
  <c r="S99" i="3"/>
  <c r="S96" i="3"/>
  <c r="S93" i="3"/>
  <c r="AX101" i="3"/>
  <c r="AW101" i="3"/>
  <c r="AV101" i="3"/>
  <c r="AU101" i="3"/>
  <c r="AX99" i="3"/>
  <c r="AW99" i="3"/>
  <c r="AV99" i="3"/>
  <c r="AU99" i="3"/>
  <c r="AX96" i="3"/>
  <c r="AW96" i="3"/>
  <c r="AV96" i="3"/>
  <c r="AU96" i="3"/>
  <c r="AX93" i="3"/>
  <c r="AW93" i="3"/>
  <c r="AV93" i="3"/>
  <c r="AU93" i="3"/>
  <c r="BG89" i="3"/>
  <c r="BL89" i="3" s="1"/>
  <c r="BG87" i="3"/>
  <c r="BL87" i="3" s="1"/>
  <c r="BG85" i="3"/>
  <c r="BL85" i="3" s="1"/>
  <c r="BG84" i="3"/>
  <c r="BL84" i="3" s="1"/>
  <c r="BG83" i="3"/>
  <c r="BL83" i="3" s="1"/>
  <c r="AG89" i="3"/>
  <c r="AG87" i="3"/>
  <c r="AG85" i="3"/>
  <c r="AG84" i="3"/>
  <c r="AG83" i="3"/>
  <c r="S89" i="3"/>
  <c r="S87" i="3"/>
  <c r="S85" i="3"/>
  <c r="S84" i="3"/>
  <c r="S83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AX89" i="3"/>
  <c r="AW89" i="3"/>
  <c r="AV89" i="3"/>
  <c r="AU89" i="3"/>
  <c r="AX87" i="3"/>
  <c r="AW87" i="3"/>
  <c r="AV87" i="3"/>
  <c r="AU87" i="3"/>
  <c r="AX85" i="3"/>
  <c r="AU85" i="3"/>
  <c r="AV85" i="3" s="1"/>
  <c r="AW85" i="3" s="1"/>
  <c r="AX84" i="3"/>
  <c r="AW84" i="3"/>
  <c r="AV84" i="3"/>
  <c r="AU84" i="3"/>
  <c r="AX83" i="3"/>
  <c r="AW83" i="3"/>
  <c r="AV83" i="3"/>
  <c r="AU83" i="3"/>
  <c r="BG81" i="3"/>
  <c r="BL81" i="3" s="1"/>
  <c r="BG80" i="3"/>
  <c r="BL80" i="3" s="1"/>
  <c r="BG79" i="3"/>
  <c r="BL79" i="3" s="1"/>
  <c r="BG65" i="3"/>
  <c r="BL65" i="3" s="1"/>
  <c r="BG78" i="3"/>
  <c r="BL78" i="3" s="1"/>
  <c r="BG77" i="3"/>
  <c r="BL77" i="3" s="1"/>
  <c r="BG75" i="3"/>
  <c r="BL75" i="3" s="1"/>
  <c r="BG74" i="3"/>
  <c r="BL74" i="3" s="1"/>
  <c r="BG69" i="3"/>
  <c r="BL69" i="3" s="1"/>
  <c r="BG47" i="3"/>
  <c r="BL47" i="3" s="1"/>
  <c r="BG66" i="3"/>
  <c r="BL66" i="3" s="1"/>
  <c r="BG64" i="3"/>
  <c r="BL64" i="3" s="1"/>
  <c r="BG61" i="3"/>
  <c r="BL61" i="3" s="1"/>
  <c r="BG60" i="3"/>
  <c r="BL60" i="3" s="1"/>
  <c r="BG59" i="3"/>
  <c r="BL59" i="3" s="1"/>
  <c r="BG58" i="3"/>
  <c r="BL58" i="3" s="1"/>
  <c r="BG57" i="3"/>
  <c r="BL57" i="3" s="1"/>
  <c r="BG56" i="3"/>
  <c r="BL56" i="3" s="1"/>
  <c r="BG55" i="3"/>
  <c r="BL55" i="3" s="1"/>
  <c r="BG54" i="3"/>
  <c r="BL54" i="3" s="1"/>
  <c r="BG50" i="3"/>
  <c r="BL50" i="3" s="1"/>
  <c r="BG49" i="3"/>
  <c r="BL49" i="3" s="1"/>
  <c r="BG48" i="3"/>
  <c r="BL48" i="3" s="1"/>
  <c r="BG45" i="3"/>
  <c r="BL45" i="3" s="1"/>
  <c r="BG44" i="3"/>
  <c r="BL44" i="3" s="1"/>
  <c r="BG43" i="3"/>
  <c r="BL43" i="3" s="1"/>
  <c r="BG76" i="3"/>
  <c r="BL76" i="3"/>
  <c r="BG42" i="3"/>
  <c r="BL42" i="3" s="1"/>
  <c r="BG41" i="3"/>
  <c r="BL41" i="3" s="1"/>
  <c r="BG40" i="3"/>
  <c r="BL40" i="3" s="1"/>
  <c r="BG39" i="3"/>
  <c r="BL39" i="3"/>
  <c r="BG38" i="3"/>
  <c r="BL38" i="3" s="1"/>
  <c r="BG164" i="3"/>
  <c r="BL164" i="3" s="1"/>
  <c r="BG37" i="3"/>
  <c r="BL37" i="3" s="1"/>
  <c r="BG36" i="3"/>
  <c r="BL36" i="3" s="1"/>
  <c r="BG35" i="3"/>
  <c r="BL35" i="3" s="1"/>
  <c r="BG34" i="3"/>
  <c r="BL34" i="3" s="1"/>
  <c r="BG33" i="3"/>
  <c r="BL33" i="3" s="1"/>
  <c r="BG32" i="3"/>
  <c r="BL32" i="3" s="1"/>
  <c r="BG31" i="3"/>
  <c r="BL31" i="3" s="1"/>
  <c r="BG30" i="3"/>
  <c r="BL30" i="3" s="1"/>
  <c r="BG29" i="3"/>
  <c r="BL29" i="3" s="1"/>
  <c r="BG28" i="3"/>
  <c r="BL28" i="3" s="1"/>
  <c r="BG27" i="3"/>
  <c r="BL27" i="3" s="1"/>
  <c r="BG26" i="3"/>
  <c r="BL26" i="3" s="1"/>
  <c r="BG25" i="3"/>
  <c r="BL25" i="3" s="1"/>
  <c r="BG24" i="3"/>
  <c r="BL24" i="3" s="1"/>
  <c r="BG23" i="3"/>
  <c r="BL23" i="3" s="1"/>
  <c r="BG22" i="3"/>
  <c r="BL22" i="3" s="1"/>
  <c r="BG21" i="3"/>
  <c r="BL21" i="3" s="1"/>
  <c r="BG20" i="3"/>
  <c r="BL20" i="3" s="1"/>
  <c r="BG19" i="3"/>
  <c r="BL19" i="3" s="1"/>
  <c r="BG18" i="3"/>
  <c r="BL18" i="3" s="1"/>
  <c r="BG17" i="3"/>
  <c r="BL17" i="3" s="1"/>
  <c r="BG16" i="3"/>
  <c r="BL16" i="3" s="1"/>
  <c r="BG15" i="3"/>
  <c r="BL15" i="3" s="1"/>
  <c r="BG14" i="3"/>
  <c r="BL14" i="3" s="1"/>
  <c r="BG13" i="3"/>
  <c r="BL13" i="3" s="1"/>
  <c r="BG12" i="3"/>
  <c r="BL12" i="3" s="1"/>
  <c r="BG46" i="3"/>
  <c r="BL46" i="3" s="1"/>
  <c r="AG81" i="3"/>
  <c r="AG80" i="3"/>
  <c r="AG79" i="3"/>
  <c r="AG65" i="3"/>
  <c r="AG78" i="3"/>
  <c r="AG77" i="3"/>
  <c r="AG75" i="3"/>
  <c r="AG74" i="3"/>
  <c r="AG69" i="3"/>
  <c r="AG47" i="3"/>
  <c r="AG66" i="3"/>
  <c r="AG64" i="3"/>
  <c r="AG61" i="3"/>
  <c r="AG60" i="3"/>
  <c r="AG59" i="3"/>
  <c r="AG58" i="3"/>
  <c r="AG57" i="3"/>
  <c r="AG56" i="3"/>
  <c r="AG55" i="3"/>
  <c r="AG54" i="3"/>
  <c r="AG50" i="3"/>
  <c r="AG49" i="3"/>
  <c r="AG48" i="3"/>
  <c r="AG45" i="3"/>
  <c r="AG44" i="3"/>
  <c r="AG43" i="3"/>
  <c r="AG76" i="3"/>
  <c r="AG42" i="3"/>
  <c r="AG41" i="3"/>
  <c r="AG40" i="3"/>
  <c r="AG39" i="3"/>
  <c r="AG38" i="3"/>
  <c r="AG164" i="3"/>
  <c r="AG37" i="3"/>
  <c r="AG36" i="3"/>
  <c r="AG35" i="3"/>
  <c r="AG34" i="3"/>
  <c r="AG33" i="3"/>
  <c r="AG32" i="3"/>
  <c r="AG31" i="3"/>
  <c r="AG30" i="3"/>
  <c r="AG29" i="3"/>
  <c r="AG28" i="3"/>
  <c r="AG27" i="3"/>
  <c r="AG26" i="3"/>
  <c r="AG25" i="3"/>
  <c r="AG24" i="3"/>
  <c r="AG23" i="3"/>
  <c r="AG22" i="3"/>
  <c r="AG21" i="3"/>
  <c r="AG20" i="3"/>
  <c r="AG19" i="3"/>
  <c r="AG18" i="3"/>
  <c r="AG17" i="3"/>
  <c r="AG16" i="3"/>
  <c r="AG15" i="3"/>
  <c r="AG14" i="3"/>
  <c r="AG13" i="3"/>
  <c r="AG12" i="3"/>
  <c r="AG46" i="3"/>
  <c r="S81" i="3"/>
  <c r="S80" i="3"/>
  <c r="S79" i="3"/>
  <c r="S65" i="3"/>
  <c r="S78" i="3"/>
  <c r="S77" i="3"/>
  <c r="S75" i="3"/>
  <c r="S74" i="3"/>
  <c r="S69" i="3"/>
  <c r="S47" i="3"/>
  <c r="S66" i="3"/>
  <c r="S64" i="3"/>
  <c r="S61" i="3"/>
  <c r="S60" i="3"/>
  <c r="S59" i="3"/>
  <c r="S58" i="3"/>
  <c r="S57" i="3"/>
  <c r="S56" i="3"/>
  <c r="S55" i="3"/>
  <c r="S54" i="3"/>
  <c r="S50" i="3"/>
  <c r="S49" i="3"/>
  <c r="S48" i="3"/>
  <c r="S45" i="3"/>
  <c r="S44" i="3"/>
  <c r="S43" i="3"/>
  <c r="S76" i="3"/>
  <c r="S42" i="3"/>
  <c r="S41" i="3"/>
  <c r="S40" i="3"/>
  <c r="S39" i="3"/>
  <c r="S38" i="3"/>
  <c r="S164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46" i="3"/>
  <c r="AX81" i="3"/>
  <c r="AW81" i="3"/>
  <c r="AV81" i="3"/>
  <c r="AU81" i="3"/>
  <c r="AX80" i="3"/>
  <c r="AW80" i="3"/>
  <c r="AV80" i="3"/>
  <c r="AU80" i="3"/>
  <c r="AX79" i="3"/>
  <c r="AX65" i="3"/>
  <c r="AX78" i="3"/>
  <c r="AX77" i="3"/>
  <c r="AX75" i="3"/>
  <c r="AX74" i="3"/>
  <c r="AX69" i="3"/>
  <c r="AX47" i="3"/>
  <c r="AX66" i="3"/>
  <c r="AX64" i="3"/>
  <c r="AX61" i="3"/>
  <c r="AX60" i="3"/>
  <c r="AX59" i="3"/>
  <c r="AX58" i="3"/>
  <c r="AX57" i="3"/>
  <c r="AX56" i="3"/>
  <c r="AX55" i="3"/>
  <c r="AX54" i="3"/>
  <c r="AX50" i="3"/>
  <c r="AX49" i="3"/>
  <c r="AX48" i="3"/>
  <c r="AX45" i="3"/>
  <c r="AX44" i="3"/>
  <c r="AX43" i="3"/>
  <c r="AX76" i="3"/>
  <c r="AX42" i="3"/>
  <c r="AX41" i="3"/>
  <c r="AX40" i="3"/>
  <c r="AX39" i="3"/>
  <c r="AX38" i="3"/>
  <c r="AX164" i="3"/>
  <c r="AX37" i="3"/>
  <c r="AX36" i="3"/>
  <c r="AX35" i="3"/>
  <c r="AX34" i="3"/>
  <c r="AX33" i="3"/>
  <c r="AX32" i="3"/>
  <c r="AX31" i="3"/>
  <c r="AX30" i="3"/>
  <c r="AX29" i="3"/>
  <c r="AX28" i="3"/>
  <c r="AX27" i="3"/>
  <c r="AX26" i="3"/>
  <c r="AX25" i="3"/>
  <c r="AX24" i="3"/>
  <c r="AX23" i="3"/>
  <c r="AX22" i="3"/>
  <c r="AX21" i="3"/>
  <c r="AX20" i="3"/>
  <c r="AX19" i="3"/>
  <c r="AX18" i="3"/>
  <c r="AX17" i="3"/>
  <c r="AX16" i="3"/>
  <c r="AX15" i="3"/>
  <c r="AX14" i="3"/>
  <c r="AX13" i="3"/>
  <c r="AX12" i="3"/>
  <c r="AX46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AW65" i="3"/>
  <c r="AV65" i="3"/>
  <c r="AU65" i="3"/>
  <c r="AW78" i="3"/>
  <c r="AV78" i="3"/>
  <c r="AU78" i="3"/>
  <c r="AW77" i="3"/>
  <c r="AV77" i="3"/>
  <c r="AU77" i="3"/>
  <c r="AW75" i="3"/>
  <c r="AV75" i="3"/>
  <c r="AU75" i="3"/>
  <c r="AW74" i="3"/>
  <c r="AV74" i="3"/>
  <c r="AU74" i="3"/>
  <c r="AW69" i="3"/>
  <c r="AW47" i="3"/>
  <c r="AW66" i="3"/>
  <c r="AV47" i="3"/>
  <c r="AU47" i="3"/>
  <c r="AV66" i="3"/>
  <c r="AU66" i="3"/>
  <c r="EH64" i="3"/>
  <c r="EI64" i="3" s="1"/>
  <c r="EH60" i="3"/>
  <c r="EI60" i="3" s="1"/>
  <c r="EH59" i="3"/>
  <c r="EI59" i="3" s="1"/>
  <c r="EH58" i="3"/>
  <c r="EI58" i="3" s="1"/>
  <c r="CR57" i="3"/>
  <c r="CR10" i="3" s="1"/>
  <c r="EH56" i="3"/>
  <c r="EI56" i="3" s="1"/>
  <c r="AW61" i="3"/>
  <c r="AV61" i="3"/>
  <c r="AU61" i="3"/>
  <c r="AW60" i="3"/>
  <c r="AV60" i="3"/>
  <c r="AU60" i="3"/>
  <c r="AW59" i="3"/>
  <c r="AV59" i="3"/>
  <c r="AU59" i="3"/>
  <c r="AW58" i="3"/>
  <c r="AV58" i="3"/>
  <c r="AU58" i="3"/>
  <c r="AW57" i="3"/>
  <c r="AV57" i="3"/>
  <c r="AU57" i="3"/>
  <c r="AW56" i="3"/>
  <c r="AV56" i="3"/>
  <c r="AU56" i="3"/>
  <c r="AW55" i="3"/>
  <c r="AV55" i="3"/>
  <c r="AU55" i="3"/>
  <c r="AU50" i="3"/>
  <c r="AU49" i="3"/>
  <c r="AW54" i="3"/>
  <c r="AV54" i="3"/>
  <c r="AW50" i="3"/>
  <c r="AV50" i="3"/>
  <c r="AW49" i="3"/>
  <c r="AV49" i="3"/>
  <c r="CF48" i="3"/>
  <c r="CG48" i="3" s="1"/>
  <c r="CB48" i="3"/>
  <c r="BR48" i="3"/>
  <c r="BS48" i="3" s="1"/>
  <c r="BN48" i="3"/>
  <c r="AW45" i="3"/>
  <c r="AV45" i="3"/>
  <c r="AU45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AU76" i="3"/>
  <c r="EF45" i="3"/>
  <c r="EG45" i="3" s="1"/>
  <c r="EH45" i="3" s="1"/>
  <c r="EI45" i="3" s="1"/>
  <c r="EF44" i="3"/>
  <c r="EG44" i="3" s="1"/>
  <c r="EH44" i="3" s="1"/>
  <c r="EI44" i="3" s="1"/>
  <c r="EF43" i="3"/>
  <c r="EG43" i="3" s="1"/>
  <c r="EH43" i="3" s="1"/>
  <c r="EI43" i="3" s="1"/>
  <c r="EF42" i="3"/>
  <c r="EG42" i="3" s="1"/>
  <c r="EH42" i="3" s="1"/>
  <c r="EI42" i="3" s="1"/>
  <c r="EF41" i="3"/>
  <c r="EG41" i="3" s="1"/>
  <c r="EH41" i="3" s="1"/>
  <c r="EI41" i="3" s="1"/>
  <c r="EF40" i="3"/>
  <c r="EG40" i="3" s="1"/>
  <c r="EH40" i="3" s="1"/>
  <c r="EI40" i="3" s="1"/>
  <c r="EF39" i="3"/>
  <c r="EG39" i="3" s="1"/>
  <c r="EH39" i="3" s="1"/>
  <c r="EI39" i="3" s="1"/>
  <c r="EF38" i="3"/>
  <c r="EG38" i="3" s="1"/>
  <c r="EH38" i="3" s="1"/>
  <c r="EI38" i="3" s="1"/>
  <c r="EF37" i="3"/>
  <c r="EG37" i="3" s="1"/>
  <c r="EH37" i="3" s="1"/>
  <c r="EI37" i="3" s="1"/>
  <c r="EF36" i="3"/>
  <c r="EG36" i="3" s="1"/>
  <c r="EH36" i="3" s="1"/>
  <c r="EI36" i="3" s="1"/>
  <c r="EF35" i="3"/>
  <c r="EG35" i="3" s="1"/>
  <c r="EH35" i="3" s="1"/>
  <c r="EI35" i="3" s="1"/>
  <c r="EF34" i="3"/>
  <c r="EG34" i="3" s="1"/>
  <c r="EH34" i="3" s="1"/>
  <c r="EI34" i="3" s="1"/>
  <c r="EF33" i="3"/>
  <c r="EG33" i="3" s="1"/>
  <c r="EH33" i="3" s="1"/>
  <c r="EI33" i="3" s="1"/>
  <c r="EF32" i="3"/>
  <c r="EG32" i="3" s="1"/>
  <c r="EH32" i="3" s="1"/>
  <c r="EI32" i="3" s="1"/>
  <c r="EF31" i="3"/>
  <c r="EG31" i="3" s="1"/>
  <c r="EH31" i="3" s="1"/>
  <c r="EI31" i="3" s="1"/>
  <c r="EF30" i="3"/>
  <c r="EG30" i="3" s="1"/>
  <c r="EH30" i="3" s="1"/>
  <c r="EI30" i="3" s="1"/>
  <c r="EF29" i="3"/>
  <c r="EG29" i="3" s="1"/>
  <c r="EH29" i="3" s="1"/>
  <c r="EI29" i="3" s="1"/>
  <c r="EF28" i="3"/>
  <c r="EG28" i="3" s="1"/>
  <c r="EH28" i="3" s="1"/>
  <c r="EI28" i="3" s="1"/>
  <c r="EF27" i="3"/>
  <c r="EG27" i="3" s="1"/>
  <c r="EH27" i="3" s="1"/>
  <c r="EI27" i="3" s="1"/>
  <c r="EF26" i="3"/>
  <c r="EG26" i="3" s="1"/>
  <c r="EH26" i="3" s="1"/>
  <c r="EI26" i="3" s="1"/>
  <c r="EF25" i="3"/>
  <c r="EG25" i="3" s="1"/>
  <c r="EH25" i="3" s="1"/>
  <c r="EI25" i="3" s="1"/>
  <c r="EF24" i="3"/>
  <c r="EG24" i="3" s="1"/>
  <c r="EH24" i="3" s="1"/>
  <c r="EI24" i="3" s="1"/>
  <c r="EF23" i="3"/>
  <c r="EG23" i="3" s="1"/>
  <c r="EH23" i="3" s="1"/>
  <c r="EI23" i="3" s="1"/>
  <c r="EF22" i="3"/>
  <c r="EG22" i="3" s="1"/>
  <c r="EH22" i="3" s="1"/>
  <c r="EI22" i="3" s="1"/>
  <c r="EF21" i="3"/>
  <c r="EG21" i="3" s="1"/>
  <c r="EH21" i="3" s="1"/>
  <c r="EI21" i="3" s="1"/>
  <c r="EF20" i="3"/>
  <c r="EG20" i="3" s="1"/>
  <c r="EH20" i="3" s="1"/>
  <c r="EI20" i="3" s="1"/>
  <c r="EF19" i="3"/>
  <c r="EG19" i="3" s="1"/>
  <c r="EH19" i="3" s="1"/>
  <c r="EI19" i="3" s="1"/>
  <c r="EF18" i="3"/>
  <c r="EG18" i="3" s="1"/>
  <c r="EH18" i="3" s="1"/>
  <c r="EI18" i="3" s="1"/>
  <c r="EF17" i="3"/>
  <c r="EF16" i="3"/>
  <c r="EG16" i="3" s="1"/>
  <c r="EH16" i="3" s="1"/>
  <c r="EI16" i="3" s="1"/>
  <c r="EF15" i="3"/>
  <c r="EG15" i="3" s="1"/>
  <c r="EH15" i="3" s="1"/>
  <c r="EI15" i="3" s="1"/>
  <c r="EF14" i="3"/>
  <c r="EG14" i="3" s="1"/>
  <c r="EH14" i="3" s="1"/>
  <c r="EI14" i="3" s="1"/>
  <c r="EF13" i="3"/>
  <c r="EG13" i="3" s="1"/>
  <c r="EH13" i="3" s="1"/>
  <c r="EI13" i="3" s="1"/>
  <c r="CM46" i="3"/>
  <c r="CM10" i="3" s="1"/>
  <c r="CM240" i="3" s="1"/>
  <c r="CL46" i="3"/>
  <c r="CK46" i="3"/>
  <c r="CK10" i="3" s="1"/>
  <c r="CK240" i="3" s="1"/>
  <c r="CJ46" i="3"/>
  <c r="CI46" i="3"/>
  <c r="CH46" i="3"/>
  <c r="CG46" i="3"/>
  <c r="CG10" i="3" s="1"/>
  <c r="CG240" i="3" s="1"/>
  <c r="CG898" i="3" s="1"/>
  <c r="CC46" i="3"/>
  <c r="BY46" i="3"/>
  <c r="BX46" i="3"/>
  <c r="BW46" i="3"/>
  <c r="BV46" i="3"/>
  <c r="BU46" i="3"/>
  <c r="BU10" i="3" s="1"/>
  <c r="BU240" i="3" s="1"/>
  <c r="BT46" i="3"/>
  <c r="BS46" i="3"/>
  <c r="BO46" i="3"/>
  <c r="EE602" i="3"/>
  <c r="EE766" i="3"/>
  <c r="EE810" i="3" s="1"/>
  <c r="EE917" i="3" s="1"/>
  <c r="EE435" i="3"/>
  <c r="EE448" i="3"/>
  <c r="EE297" i="3"/>
  <c r="EE891" i="3"/>
  <c r="EE411" i="3"/>
  <c r="EE440" i="3" s="1"/>
  <c r="EG17" i="3"/>
  <c r="EH17" i="3" s="1"/>
  <c r="EI17" i="3" s="1"/>
  <c r="EH397" i="3"/>
  <c r="EI397" i="3" s="1"/>
  <c r="EI376" i="3" s="1"/>
  <c r="EG376" i="3"/>
  <c r="EI632" i="3"/>
  <c r="EI245" i="3"/>
  <c r="EI605" i="3"/>
  <c r="GJ27" i="80"/>
  <c r="GJ11" i="80"/>
  <c r="EF661" i="3"/>
  <c r="EE659" i="3"/>
  <c r="EI849" i="3"/>
  <c r="EH849" i="3"/>
  <c r="H7" i="80"/>
  <c r="BQ17" i="80"/>
  <c r="BO17" i="80"/>
  <c r="BC17" i="80"/>
  <c r="BU19" i="80"/>
  <c r="BW19" i="80"/>
  <c r="BV29" i="80"/>
  <c r="BI17" i="80"/>
  <c r="BJ27" i="80"/>
  <c r="EJ7" i="78"/>
  <c r="EJ27" i="78" s="1"/>
  <c r="DC8" i="78"/>
  <c r="DC28" i="78" s="1"/>
  <c r="DE10" i="78"/>
  <c r="H9" i="78"/>
  <c r="H7" i="78"/>
  <c r="I377" i="4"/>
  <c r="I389" i="4" s="1"/>
  <c r="BV891" i="3"/>
  <c r="GX20" i="80"/>
  <c r="BC17" i="78"/>
  <c r="BD17" i="78" s="1"/>
  <c r="BI19" i="78"/>
  <c r="BJ19" i="78" s="1"/>
  <c r="AW17" i="78"/>
  <c r="AQ17" i="78"/>
  <c r="AC270" i="4"/>
  <c r="AC288" i="4" s="1"/>
  <c r="BH17" i="80" s="1"/>
  <c r="BH27" i="80" s="1"/>
  <c r="CR11" i="4"/>
  <c r="CS11" i="4" s="1"/>
  <c r="CT11" i="4" s="1"/>
  <c r="CU11" i="4" s="1"/>
  <c r="CR156" i="4"/>
  <c r="CQ153" i="4"/>
  <c r="CR196" i="4"/>
  <c r="CQ193" i="4"/>
  <c r="Z270" i="4"/>
  <c r="Z288" i="4" s="1"/>
  <c r="BB17" i="80" s="1"/>
  <c r="BA17" i="80" s="1"/>
  <c r="BK157" i="4"/>
  <c r="AD121" i="4"/>
  <c r="AC121" i="4"/>
  <c r="BQ882" i="3"/>
  <c r="BQ891" i="3" s="1"/>
  <c r="AB7" i="4"/>
  <c r="AJ7" i="4"/>
  <c r="BY891" i="3"/>
  <c r="HG20" i="80"/>
  <c r="HH20" i="80" s="1"/>
  <c r="H365" i="4"/>
  <c r="H387" i="4" s="1"/>
  <c r="AA121" i="4"/>
  <c r="AA169" i="4" s="1"/>
  <c r="AA362" i="4" s="1"/>
  <c r="AI121" i="4"/>
  <c r="BX891" i="3"/>
  <c r="HD20" i="80"/>
  <c r="BR882" i="3"/>
  <c r="BR891" i="3" s="1"/>
  <c r="GP20" i="80" s="1"/>
  <c r="GO20" i="80" s="1"/>
  <c r="GO21" i="80" s="1"/>
  <c r="BP891" i="3"/>
  <c r="GL20" i="80"/>
  <c r="GL30" i="80" s="1"/>
  <c r="AB197" i="4"/>
  <c r="AB234" i="4" s="1"/>
  <c r="L19" i="80" s="1"/>
  <c r="AJ197" i="4"/>
  <c r="AJ234" i="4" s="1"/>
  <c r="AE9" i="80" s="1"/>
  <c r="AD19" i="80" s="1"/>
  <c r="AE19" i="80" s="1"/>
  <c r="AE29" i="80" s="1"/>
  <c r="BO882" i="3"/>
  <c r="BW882" i="3"/>
  <c r="AC7" i="4"/>
  <c r="AG7" i="4"/>
  <c r="Z197" i="4"/>
  <c r="AH197" i="4"/>
  <c r="AH234" i="4"/>
  <c r="AH368" i="4" s="1"/>
  <c r="AF270" i="4"/>
  <c r="AF288" i="4" s="1"/>
  <c r="AJ270" i="4"/>
  <c r="AJ288" i="4" s="1"/>
  <c r="BY7" i="80" s="1"/>
  <c r="BZ17" i="80" s="1"/>
  <c r="AE197" i="4"/>
  <c r="AF83" i="4"/>
  <c r="AP83" i="4"/>
  <c r="AX83" i="4"/>
  <c r="AE236" i="4"/>
  <c r="AE265" i="4" s="1"/>
  <c r="AD300" i="4"/>
  <c r="AD308" i="4" s="1"/>
  <c r="BM138" i="4"/>
  <c r="BO138" i="4" s="1"/>
  <c r="Y83" i="4"/>
  <c r="AG83" i="4"/>
  <c r="AQ83" i="4"/>
  <c r="AQ119" i="4" s="1"/>
  <c r="AQ356" i="4" s="1"/>
  <c r="AC197" i="4"/>
  <c r="AC234" i="4" s="1"/>
  <c r="N19" i="80" s="1"/>
  <c r="N29" i="80" s="1"/>
  <c r="AF236" i="4"/>
  <c r="AF265" i="4" s="1"/>
  <c r="T10" i="80" s="1"/>
  <c r="AE288" i="4"/>
  <c r="AR270" i="4"/>
  <c r="AR288" i="4" s="1"/>
  <c r="AE300" i="4"/>
  <c r="BI7" i="4"/>
  <c r="AD7" i="4"/>
  <c r="Z83" i="4"/>
  <c r="AH83" i="4"/>
  <c r="AR83" i="4"/>
  <c r="AR119" i="4" s="1"/>
  <c r="AR356" i="4" s="1"/>
  <c r="AE121" i="4"/>
  <c r="AD197" i="4"/>
  <c r="AD234" i="4" s="1"/>
  <c r="AG236" i="4"/>
  <c r="AG265" i="4" s="1"/>
  <c r="AF300" i="4"/>
  <c r="AF308" i="4" s="1"/>
  <c r="BN9" i="80" s="1"/>
  <c r="CR330" i="4"/>
  <c r="BK150" i="4"/>
  <c r="BM150" i="4" s="1"/>
  <c r="BO150" i="4" s="1"/>
  <c r="AE7" i="4"/>
  <c r="BE7" i="4"/>
  <c r="BE119" i="4" s="1"/>
  <c r="AA83" i="4"/>
  <c r="AI83" i="4"/>
  <c r="AS83" i="4"/>
  <c r="AS119" i="4" s="1"/>
  <c r="AF121" i="4"/>
  <c r="AI240" i="4"/>
  <c r="AI236" i="4" s="1"/>
  <c r="AH236" i="4"/>
  <c r="AH265" i="4" s="1"/>
  <c r="Y10" i="80" s="1"/>
  <c r="Y288" i="4"/>
  <c r="AT270" i="4"/>
  <c r="AT288" i="4" s="1"/>
  <c r="Y300" i="4"/>
  <c r="AG300" i="4"/>
  <c r="AF7" i="4"/>
  <c r="AB83" i="4"/>
  <c r="AB119" i="4" s="1"/>
  <c r="AJ83" i="4"/>
  <c r="AT83" i="4"/>
  <c r="AT119" i="4" s="1"/>
  <c r="AT356" i="4" s="1"/>
  <c r="AG121" i="4"/>
  <c r="AF197" i="4"/>
  <c r="AF234" i="4" s="1"/>
  <c r="T9" i="80" s="1"/>
  <c r="S19" i="80" s="1"/>
  <c r="AA236" i="4"/>
  <c r="AA265" i="4" s="1"/>
  <c r="AJ236" i="4"/>
  <c r="AJ265" i="4" s="1"/>
  <c r="AH288" i="4"/>
  <c r="BS7" i="80" s="1"/>
  <c r="BR17" i="80" s="1"/>
  <c r="BS17" i="80" s="1"/>
  <c r="AU270" i="4"/>
  <c r="AU288" i="4" s="1"/>
  <c r="Z300" i="4"/>
  <c r="Z308" i="4" s="1"/>
  <c r="BB19" i="80" s="1"/>
  <c r="AH300" i="4"/>
  <c r="BI270" i="4"/>
  <c r="CX242" i="3"/>
  <c r="AC83" i="4"/>
  <c r="AM83" i="4"/>
  <c r="AU83" i="4"/>
  <c r="Z121" i="4"/>
  <c r="AH121" i="4"/>
  <c r="Y197" i="4"/>
  <c r="AG197" i="4"/>
  <c r="AG234" i="4" s="1"/>
  <c r="AB236" i="4"/>
  <c r="AB265" i="4" s="1"/>
  <c r="AI270" i="4"/>
  <c r="AI288" i="4" s="1"/>
  <c r="BI17" i="78" s="1"/>
  <c r="BJ17" i="78" s="1"/>
  <c r="AV270" i="4"/>
  <c r="AV288" i="4" s="1"/>
  <c r="AV357" i="4" s="1"/>
  <c r="CR301" i="4"/>
  <c r="CQ300" i="4"/>
  <c r="AA300" i="4"/>
  <c r="AA308" i="4" s="1"/>
  <c r="CZ628" i="3"/>
  <c r="DR636" i="3"/>
  <c r="Z7" i="4"/>
  <c r="AH7" i="4"/>
  <c r="AD83" i="4"/>
  <c r="AN83" i="4"/>
  <c r="AN119" i="4"/>
  <c r="AN356" i="4" s="1"/>
  <c r="AV83" i="4"/>
  <c r="AV119" i="4" s="1"/>
  <c r="Y121" i="4"/>
  <c r="Y169" i="4" s="1"/>
  <c r="AC236" i="4"/>
  <c r="AC265" i="4" s="1"/>
  <c r="AC374" i="4" s="1"/>
  <c r="AW270" i="4"/>
  <c r="AW288" i="4" s="1"/>
  <c r="AW357" i="4" s="1"/>
  <c r="CR305" i="4"/>
  <c r="CR304" i="4" s="1"/>
  <c r="AB300" i="4"/>
  <c r="AJ300" i="4"/>
  <c r="AJ308" i="4" s="1"/>
  <c r="AA7" i="4"/>
  <c r="AI7" i="4"/>
  <c r="AE83" i="4"/>
  <c r="AO83" i="4"/>
  <c r="AO119" i="4" s="1"/>
  <c r="AO356" i="4" s="1"/>
  <c r="AW83" i="4"/>
  <c r="AW119" i="4" s="1"/>
  <c r="AB121" i="4"/>
  <c r="AJ121" i="4"/>
  <c r="AA197" i="4"/>
  <c r="AA234" i="4" s="1"/>
  <c r="AI197" i="4"/>
  <c r="AI234" i="4" s="1"/>
  <c r="AB9" i="80" s="1"/>
  <c r="AC19" i="80" s="1"/>
  <c r="AD236" i="4"/>
  <c r="AD265" i="4" s="1"/>
  <c r="AP270" i="4"/>
  <c r="AP288" i="4" s="1"/>
  <c r="AP357" i="4" s="1"/>
  <c r="AX270" i="4"/>
  <c r="AX288" i="4" s="1"/>
  <c r="AC300" i="4"/>
  <c r="AC308" i="4" s="1"/>
  <c r="CR175" i="4"/>
  <c r="CS175" i="4" s="1"/>
  <c r="CT175" i="4" s="1"/>
  <c r="CU175" i="4" s="1"/>
  <c r="CR238" i="4"/>
  <c r="CQ236" i="4"/>
  <c r="CR255" i="4"/>
  <c r="CQ254" i="4"/>
  <c r="CR75" i="4"/>
  <c r="BC121" i="4"/>
  <c r="CR159" i="4"/>
  <c r="CR198" i="4"/>
  <c r="CR282" i="4"/>
  <c r="BN855" i="3"/>
  <c r="BN891" i="3" s="1"/>
  <c r="BO855" i="3"/>
  <c r="BT882" i="3"/>
  <c r="EF821" i="3"/>
  <c r="EF820" i="3" s="1"/>
  <c r="BS891" i="3"/>
  <c r="GR20" i="80" s="1"/>
  <c r="BU891" i="3"/>
  <c r="GV20" i="80"/>
  <c r="GU20" i="80" s="1"/>
  <c r="GU21" i="80" s="1"/>
  <c r="BR376" i="3"/>
  <c r="BV10" i="3"/>
  <c r="BV240" i="3" s="1"/>
  <c r="BU297" i="3"/>
  <c r="CG345" i="3"/>
  <c r="BP411" i="3"/>
  <c r="BP440" i="3"/>
  <c r="ER20" i="80" s="1"/>
  <c r="BY411" i="3"/>
  <c r="BY440" i="3"/>
  <c r="FM20" i="80" s="1"/>
  <c r="FL20" i="80" s="1"/>
  <c r="FL30" i="80" s="1"/>
  <c r="CJ411" i="3"/>
  <c r="CJ440" i="3"/>
  <c r="CH10" i="3"/>
  <c r="CH240" i="3" s="1"/>
  <c r="CK297" i="3"/>
  <c r="BQ411" i="3"/>
  <c r="BQ440" i="3"/>
  <c r="ET20" i="80" s="1"/>
  <c r="ES20" i="80" s="1"/>
  <c r="ES30" i="80" s="1"/>
  <c r="DQ849" i="3"/>
  <c r="CB411" i="3"/>
  <c r="CB440" i="3" s="1"/>
  <c r="CB916" i="3" s="1"/>
  <c r="CK411" i="3"/>
  <c r="CK440" i="3" s="1"/>
  <c r="BX10" i="3"/>
  <c r="BX240" i="3" s="1"/>
  <c r="BY10" i="3"/>
  <c r="CF345" i="3"/>
  <c r="BN411" i="3"/>
  <c r="BN440" i="3" s="1"/>
  <c r="BW411" i="3"/>
  <c r="BW440" i="3"/>
  <c r="FG20" i="80" s="1"/>
  <c r="FF20" i="80" s="1"/>
  <c r="CH411" i="3"/>
  <c r="CH440" i="3"/>
  <c r="BX297" i="3"/>
  <c r="BT345" i="3"/>
  <c r="CJ345" i="3"/>
  <c r="BT411" i="3"/>
  <c r="BT440" i="3"/>
  <c r="EZ20" i="80" s="1"/>
  <c r="CD411" i="3"/>
  <c r="CD440" i="3"/>
  <c r="CM411" i="3"/>
  <c r="CM440" i="3" s="1"/>
  <c r="CF376" i="3"/>
  <c r="CC48" i="3"/>
  <c r="CD48" i="3" s="1"/>
  <c r="CB10" i="3"/>
  <c r="CB240" i="3" s="1"/>
  <c r="CC297" i="3"/>
  <c r="CH297" i="3"/>
  <c r="BV345" i="3"/>
  <c r="CB345" i="3"/>
  <c r="CL345" i="3"/>
  <c r="BV411" i="3"/>
  <c r="BV440" i="3"/>
  <c r="FD20" i="80" s="1"/>
  <c r="CG411" i="3"/>
  <c r="CG440" i="3"/>
  <c r="EH729" i="3"/>
  <c r="EH725" i="3" s="1"/>
  <c r="EG725" i="3"/>
  <c r="CV655" i="3"/>
  <c r="BT10" i="3"/>
  <c r="BN297" i="3"/>
  <c r="BS297" i="3"/>
  <c r="CD297" i="3"/>
  <c r="CI297" i="3"/>
  <c r="BW345" i="3"/>
  <c r="CC345" i="3"/>
  <c r="CM345" i="3"/>
  <c r="CI10" i="3"/>
  <c r="CI240" i="3" s="1"/>
  <c r="CR163" i="3"/>
  <c r="EF283" i="3"/>
  <c r="EF282" i="3" s="1"/>
  <c r="BO297" i="3"/>
  <c r="BT297" i="3"/>
  <c r="CE297" i="3"/>
  <c r="CJ297" i="3"/>
  <c r="EF378" i="3"/>
  <c r="EF376" i="3" s="1"/>
  <c r="BN345" i="3"/>
  <c r="BX345" i="3"/>
  <c r="CD345" i="3"/>
  <c r="BO411" i="3"/>
  <c r="BO440" i="3"/>
  <c r="EP20" i="80" s="1"/>
  <c r="EO20" i="80" s="1"/>
  <c r="BX411" i="3"/>
  <c r="BX440" i="3"/>
  <c r="FJ20" i="80" s="1"/>
  <c r="FK20" i="80" s="1"/>
  <c r="CI411" i="3"/>
  <c r="CI440" i="3" s="1"/>
  <c r="EG450" i="3"/>
  <c r="EH450" i="3" s="1"/>
  <c r="EI450" i="3" s="1"/>
  <c r="EF606" i="3"/>
  <c r="EG606" i="3" s="1"/>
  <c r="EH606" i="3" s="1"/>
  <c r="EH602" i="3" s="1"/>
  <c r="EF666" i="3"/>
  <c r="EG666" i="3" s="1"/>
  <c r="EH666" i="3" s="1"/>
  <c r="EH749" i="3"/>
  <c r="CT242" i="3"/>
  <c r="CT295" i="3" s="1"/>
  <c r="BP297" i="3"/>
  <c r="BO345" i="3"/>
  <c r="BY345" i="3"/>
  <c r="CE345" i="3"/>
  <c r="CT628" i="3"/>
  <c r="EF827" i="3"/>
  <c r="EF884" i="3"/>
  <c r="EF882" i="3" s="1"/>
  <c r="BW10" i="3"/>
  <c r="EF244" i="3"/>
  <c r="BQ297" i="3"/>
  <c r="BV297" i="3"/>
  <c r="CL297" i="3"/>
  <c r="BP345" i="3"/>
  <c r="CH345" i="3"/>
  <c r="EF841" i="3"/>
  <c r="EF849" i="3"/>
  <c r="EF877" i="3"/>
  <c r="EF875" i="3"/>
  <c r="CV163" i="3"/>
  <c r="CV240" i="3" s="1"/>
  <c r="CV898" i="3" s="1"/>
  <c r="CY242" i="3"/>
  <c r="CY295" i="3" s="1"/>
  <c r="BO48" i="3"/>
  <c r="BP48" i="3"/>
  <c r="BQ48" i="3"/>
  <c r="CL10" i="3"/>
  <c r="CL240" i="3" s="1"/>
  <c r="BW297" i="3"/>
  <c r="CM297" i="3"/>
  <c r="BR345" i="3"/>
  <c r="EF353" i="3"/>
  <c r="EF345" i="3" s="1"/>
  <c r="BQ345" i="3"/>
  <c r="BS345" i="3"/>
  <c r="CI345" i="3"/>
  <c r="BS411" i="3"/>
  <c r="BS440" i="3" s="1"/>
  <c r="CC411" i="3"/>
  <c r="CC440" i="3" s="1"/>
  <c r="CL411" i="3"/>
  <c r="CL440" i="3"/>
  <c r="EG604" i="3"/>
  <c r="CY725" i="3"/>
  <c r="CY761" i="3"/>
  <c r="IK9" i="80"/>
  <c r="EF439" i="3"/>
  <c r="CT825" i="3"/>
  <c r="CT833" i="3"/>
  <c r="GL7" i="80" s="1"/>
  <c r="BP46" i="3"/>
  <c r="BY297" i="3"/>
  <c r="CB297" i="3"/>
  <c r="CG297" i="3"/>
  <c r="EF300" i="3"/>
  <c r="BU345" i="3"/>
  <c r="CK345" i="3"/>
  <c r="BU411" i="3"/>
  <c r="BU440" i="3" s="1"/>
  <c r="FB20" i="80" s="1"/>
  <c r="FA20" i="80" s="1"/>
  <c r="FA30" i="80" s="1"/>
  <c r="CF414" i="3"/>
  <c r="CE411" i="3"/>
  <c r="CF439" i="3"/>
  <c r="CF435" i="3" s="1"/>
  <c r="CE435" i="3"/>
  <c r="EF728" i="3"/>
  <c r="EF725" i="3" s="1"/>
  <c r="EE725" i="3"/>
  <c r="EF803" i="3"/>
  <c r="EF797" i="3" s="1"/>
  <c r="CT725" i="3"/>
  <c r="CT761" i="3" s="1"/>
  <c r="IF9" i="80" s="1"/>
  <c r="IF29" i="80" s="1"/>
  <c r="CR273" i="4"/>
  <c r="CS22" i="4"/>
  <c r="CT22" i="4" s="1"/>
  <c r="CU22" i="4" s="1"/>
  <c r="CS136" i="4"/>
  <c r="EF12" i="3"/>
  <c r="EF243" i="3"/>
  <c r="DD646" i="3"/>
  <c r="CZ266" i="3"/>
  <c r="DB637" i="3"/>
  <c r="V365" i="4"/>
  <c r="V387" i="4" s="1"/>
  <c r="J371" i="4"/>
  <c r="J388" i="4" s="1"/>
  <c r="G381" i="4"/>
  <c r="J365" i="4"/>
  <c r="J387" i="4" s="1"/>
  <c r="U234" i="4"/>
  <c r="U368" i="4" s="1"/>
  <c r="U371" i="4" s="1"/>
  <c r="U388" i="4" s="1"/>
  <c r="BG357" i="4"/>
  <c r="BM156" i="4"/>
  <c r="BE142" i="4"/>
  <c r="BM130" i="4"/>
  <c r="BO130" i="4" s="1"/>
  <c r="BR130" i="4" s="1"/>
  <c r="BC368" i="4"/>
  <c r="BE127" i="4"/>
  <c r="U265" i="4"/>
  <c r="U374" i="4" s="1"/>
  <c r="U377" i="4" s="1"/>
  <c r="U389" i="4" s="1"/>
  <c r="BO152" i="4"/>
  <c r="EF304" i="3"/>
  <c r="CW919" i="3"/>
  <c r="CW931" i="3" s="1"/>
  <c r="CY919" i="3"/>
  <c r="CY931" i="3" s="1"/>
  <c r="CZ919" i="3"/>
  <c r="CZ931" i="3" s="1"/>
  <c r="DH898" i="3"/>
  <c r="DN916" i="3"/>
  <c r="DE899" i="3"/>
  <c r="DN911" i="3"/>
  <c r="DH900" i="3"/>
  <c r="DE912" i="3"/>
  <c r="DE918" i="3"/>
  <c r="CW901" i="3"/>
  <c r="CW928" i="3"/>
  <c r="CY901" i="3"/>
  <c r="CY928" i="3" s="1"/>
  <c r="DH899" i="3"/>
  <c r="DK900" i="3"/>
  <c r="DH912" i="3"/>
  <c r="DH918" i="3"/>
  <c r="CZ898" i="3"/>
  <c r="CV916" i="3"/>
  <c r="DN898" i="3"/>
  <c r="DN904" i="3"/>
  <c r="DK899" i="3"/>
  <c r="DA905" i="3"/>
  <c r="DA917" i="3"/>
  <c r="DN900" i="3"/>
  <c r="DK912" i="3"/>
  <c r="DK918" i="3"/>
  <c r="CV893" i="3"/>
  <c r="CV900" i="3"/>
  <c r="CX916" i="3"/>
  <c r="DK898" i="3"/>
  <c r="DE910" i="3"/>
  <c r="DA916" i="3"/>
  <c r="DN899" i="3"/>
  <c r="DA911" i="3"/>
  <c r="DN912" i="3"/>
  <c r="DN918" i="3"/>
  <c r="DH910" i="3"/>
  <c r="DE905" i="3"/>
  <c r="DE917" i="3"/>
  <c r="CX912" i="3"/>
  <c r="CV918" i="3"/>
  <c r="DA898" i="3"/>
  <c r="DK910" i="3"/>
  <c r="DE916" i="3"/>
  <c r="DH905" i="3"/>
  <c r="DE911" i="3"/>
  <c r="DH917" i="3"/>
  <c r="DA900" i="3"/>
  <c r="BD382" i="4"/>
  <c r="CZ893" i="3"/>
  <c r="CZ900" i="3"/>
  <c r="CZ924" i="3" s="1"/>
  <c r="CX918" i="3"/>
  <c r="DN910" i="3"/>
  <c r="DH916" i="3"/>
  <c r="DA899" i="3"/>
  <c r="DK905" i="3"/>
  <c r="DH911" i="3"/>
  <c r="DK917" i="3"/>
  <c r="DA912" i="3"/>
  <c r="CX910" i="3"/>
  <c r="DE898" i="3"/>
  <c r="DK916" i="3"/>
  <c r="DN905" i="3"/>
  <c r="DK911" i="3"/>
  <c r="DN917" i="3"/>
  <c r="DE900" i="3"/>
  <c r="DE924" i="3" s="1"/>
  <c r="CX898" i="3"/>
  <c r="CZ899" i="3"/>
  <c r="DA918" i="3"/>
  <c r="DA910" i="3"/>
  <c r="CJ904" i="3"/>
  <c r="CL899" i="3"/>
  <c r="CH904" i="3"/>
  <c r="CM899" i="3"/>
  <c r="CH905" i="3"/>
  <c r="CH911" i="3"/>
  <c r="CI917" i="3"/>
  <c r="CM912" i="3"/>
  <c r="CM905" i="3"/>
  <c r="CK899" i="3"/>
  <c r="CK912" i="3"/>
  <c r="DC912" i="3"/>
  <c r="CI904" i="3"/>
  <c r="CI905" i="3"/>
  <c r="CI911" i="3"/>
  <c r="CJ917" i="3"/>
  <c r="CJ905" i="3"/>
  <c r="DC905" i="3"/>
  <c r="CJ911" i="3"/>
  <c r="CK917" i="3"/>
  <c r="DC917" i="3"/>
  <c r="CK905" i="3"/>
  <c r="CK911" i="3"/>
  <c r="DC911" i="3"/>
  <c r="CL917" i="3"/>
  <c r="CH912" i="3"/>
  <c r="CK904" i="3"/>
  <c r="CK907" i="3" s="1"/>
  <c r="DC916" i="3"/>
  <c r="CH899" i="3"/>
  <c r="CL904" i="3"/>
  <c r="CI899" i="3"/>
  <c r="CL905" i="3"/>
  <c r="CL911" i="3"/>
  <c r="CM917" i="3"/>
  <c r="CI912" i="3"/>
  <c r="DC898" i="3"/>
  <c r="CM904" i="3"/>
  <c r="CM907" i="3" s="1"/>
  <c r="CJ912" i="3"/>
  <c r="CJ899" i="3"/>
  <c r="DC918" i="3"/>
  <c r="CM911" i="3"/>
  <c r="CH917" i="3"/>
  <c r="CL912" i="3"/>
  <c r="CR382" i="4"/>
  <c r="U365" i="4"/>
  <c r="U387" i="4" s="1"/>
  <c r="L371" i="4"/>
  <c r="L388" i="4" s="1"/>
  <c r="N365" i="4"/>
  <c r="N387" i="4" s="1"/>
  <c r="H377" i="4"/>
  <c r="H389" i="4" s="1"/>
  <c r="P377" i="4"/>
  <c r="P389" i="4" s="1"/>
  <c r="I365" i="4"/>
  <c r="I387" i="4" s="1"/>
  <c r="N382" i="4"/>
  <c r="V382" i="4"/>
  <c r="I382" i="4"/>
  <c r="CS382" i="4"/>
  <c r="AS368" i="4"/>
  <c r="BL374" i="4"/>
  <c r="AV369" i="4"/>
  <c r="AT374" i="4"/>
  <c r="BN374" i="4"/>
  <c r="BL375" i="4"/>
  <c r="BL377" i="4" s="1"/>
  <c r="BL389" i="4" s="1"/>
  <c r="BV368" i="4"/>
  <c r="AT375" i="4"/>
  <c r="AA382" i="4"/>
  <c r="BC382" i="4"/>
  <c r="M365" i="4"/>
  <c r="M387" i="4" s="1"/>
  <c r="AU375" i="4"/>
  <c r="BP375" i="4"/>
  <c r="J382" i="4"/>
  <c r="R382" i="4"/>
  <c r="BV374" i="4"/>
  <c r="AV375" i="4"/>
  <c r="BS375" i="4"/>
  <c r="M377" i="4"/>
  <c r="M389" i="4" s="1"/>
  <c r="O371" i="4"/>
  <c r="O388" i="4" s="1"/>
  <c r="AX374" i="4"/>
  <c r="BY374" i="4"/>
  <c r="AS369" i="4"/>
  <c r="BN369" i="4"/>
  <c r="AW375" i="4"/>
  <c r="AU368" i="4"/>
  <c r="Q382" i="4"/>
  <c r="AI382" i="4"/>
  <c r="BL382" i="4"/>
  <c r="BL368" i="4"/>
  <c r="AT369" i="4"/>
  <c r="AX375" i="4"/>
  <c r="AO382" i="4"/>
  <c r="AW382" i="4"/>
  <c r="BH382" i="4"/>
  <c r="BN375" i="4"/>
  <c r="AU369" i="4"/>
  <c r="AF382" i="4"/>
  <c r="T13" i="57"/>
  <c r="T18" i="57"/>
  <c r="T25" i="57"/>
  <c r="T12" i="57"/>
  <c r="T10" i="57"/>
  <c r="BK10" i="57"/>
  <c r="BL10" i="57" s="1"/>
  <c r="T17" i="57"/>
  <c r="T22" i="57"/>
  <c r="BK22" i="57"/>
  <c r="BL22" i="57" s="1"/>
  <c r="BM22" i="57" s="1"/>
  <c r="BN22" i="57" s="1"/>
  <c r="T23" i="57"/>
  <c r="T44" i="57"/>
  <c r="T39" i="57"/>
  <c r="T47" i="57"/>
  <c r="BY918" i="3"/>
  <c r="T234" i="4"/>
  <c r="T368" i="4" s="1"/>
  <c r="T371" i="4" s="1"/>
  <c r="T388" i="4" s="1"/>
  <c r="BE382" i="4"/>
  <c r="BN382" i="4"/>
  <c r="AD382" i="4"/>
  <c r="V265" i="4"/>
  <c r="V374" i="4" s="1"/>
  <c r="V377" i="4" s="1"/>
  <c r="V389" i="4" s="1"/>
  <c r="AV853" i="3"/>
  <c r="AV912" i="3" s="1"/>
  <c r="CX893" i="3"/>
  <c r="CH891" i="3"/>
  <c r="W169" i="4"/>
  <c r="W362" i="4" s="1"/>
  <c r="T923" i="3"/>
  <c r="BG374" i="4"/>
  <c r="BK374" i="4"/>
  <c r="AC382" i="4"/>
  <c r="AQ382" i="4"/>
  <c r="BG368" i="4"/>
  <c r="BK368" i="4"/>
  <c r="AR382" i="4"/>
  <c r="BP382" i="4"/>
  <c r="V234" i="4"/>
  <c r="V368" i="4" s="1"/>
  <c r="V371" i="4" s="1"/>
  <c r="V388" i="4" s="1"/>
  <c r="CD833" i="3"/>
  <c r="BC929" i="3"/>
  <c r="BF929" i="3"/>
  <c r="BJ929" i="3"/>
  <c r="BO929" i="3"/>
  <c r="BR929" i="3"/>
  <c r="BX929" i="3"/>
  <c r="T14" i="57"/>
  <c r="T20" i="57"/>
  <c r="T19" i="57"/>
  <c r="BK19" i="57"/>
  <c r="BL19" i="57" s="1"/>
  <c r="BM19" i="57" s="1"/>
  <c r="BN19" i="57" s="1"/>
  <c r="T21" i="57"/>
  <c r="T9" i="57"/>
  <c r="T16" i="57"/>
  <c r="T11" i="57"/>
  <c r="T31" i="57"/>
  <c r="BK31" i="57"/>
  <c r="T36" i="57"/>
  <c r="T42" i="57"/>
  <c r="BK42" i="57"/>
  <c r="CO929" i="3"/>
  <c r="AH930" i="3"/>
  <c r="H929" i="3"/>
  <c r="K929" i="3"/>
  <c r="N929" i="3"/>
  <c r="V929" i="3"/>
  <c r="Y929" i="3"/>
  <c r="AB929" i="3"/>
  <c r="AE929" i="3"/>
  <c r="AJ929" i="3"/>
  <c r="AM929" i="3"/>
  <c r="AP929" i="3"/>
  <c r="BA929" i="3"/>
  <c r="BD929" i="3"/>
  <c r="BK929" i="3"/>
  <c r="BP929" i="3"/>
  <c r="BS929" i="3"/>
  <c r="BV929" i="3"/>
  <c r="BY929" i="3"/>
  <c r="L929" i="3"/>
  <c r="O929" i="3"/>
  <c r="R929" i="3"/>
  <c r="W929" i="3"/>
  <c r="AC929" i="3"/>
  <c r="AF929" i="3"/>
  <c r="AK929" i="3"/>
  <c r="AN929" i="3"/>
  <c r="BA923" i="3"/>
  <c r="BD923" i="3"/>
  <c r="BK923" i="3"/>
  <c r="BP923" i="3"/>
  <c r="BS923" i="3"/>
  <c r="BV923" i="3"/>
  <c r="BY923" i="3"/>
  <c r="AU853" i="3"/>
  <c r="AU912" i="3"/>
  <c r="BV918" i="3"/>
  <c r="BM929" i="3"/>
  <c r="AU295" i="3"/>
  <c r="AU904" i="3" s="1"/>
  <c r="H919" i="3"/>
  <c r="H931" i="3" s="1"/>
  <c r="V919" i="3"/>
  <c r="V931" i="3"/>
  <c r="Y919" i="3"/>
  <c r="Y931" i="3" s="1"/>
  <c r="AM919" i="3"/>
  <c r="AM931" i="3"/>
  <c r="AP919" i="3"/>
  <c r="AP931" i="3" s="1"/>
  <c r="BA919" i="3"/>
  <c r="BA931" i="3"/>
  <c r="BH919" i="3"/>
  <c r="BH931" i="3" s="1"/>
  <c r="BK919" i="3"/>
  <c r="BK931" i="3"/>
  <c r="N918" i="3"/>
  <c r="N893" i="3"/>
  <c r="AE893" i="3"/>
  <c r="J893" i="3"/>
  <c r="G913" i="3"/>
  <c r="G930" i="3" s="1"/>
  <c r="M913" i="3"/>
  <c r="M930" i="3"/>
  <c r="X913" i="3"/>
  <c r="X930" i="3" s="1"/>
  <c r="AD913" i="3"/>
  <c r="AD930" i="3"/>
  <c r="AI913" i="3"/>
  <c r="AI930" i="3" s="1"/>
  <c r="AL913" i="3"/>
  <c r="AL930" i="3"/>
  <c r="AO913" i="3"/>
  <c r="AO930" i="3" s="1"/>
  <c r="AZ913" i="3"/>
  <c r="AZ930" i="3"/>
  <c r="BC913" i="3"/>
  <c r="BC930" i="3" s="1"/>
  <c r="BF913" i="3"/>
  <c r="BF930" i="3"/>
  <c r="BJ913" i="3"/>
  <c r="BJ930" i="3" s="1"/>
  <c r="I919" i="3"/>
  <c r="I931" i="3"/>
  <c r="L919" i="3"/>
  <c r="L931" i="3" s="1"/>
  <c r="Z919" i="3"/>
  <c r="Z931" i="3"/>
  <c r="AC919" i="3"/>
  <c r="AC931" i="3" s="1"/>
  <c r="AQ919" i="3"/>
  <c r="AQ931" i="3"/>
  <c r="BI919" i="3"/>
  <c r="BI931" i="3" s="1"/>
  <c r="I923" i="3"/>
  <c r="L923" i="3"/>
  <c r="O923" i="3"/>
  <c r="R923" i="3"/>
  <c r="Z923" i="3"/>
  <c r="AF923" i="3"/>
  <c r="AK923" i="3"/>
  <c r="AN923" i="3"/>
  <c r="AQ923" i="3"/>
  <c r="AZ923" i="3"/>
  <c r="BJ923" i="3"/>
  <c r="BO923" i="3"/>
  <c r="BR923" i="3"/>
  <c r="BU923" i="3"/>
  <c r="BX923" i="3"/>
  <c r="P893" i="3"/>
  <c r="U893" i="3"/>
  <c r="CM891" i="3"/>
  <c r="CG891" i="3"/>
  <c r="CG918" i="3"/>
  <c r="CF891" i="3"/>
  <c r="AY929" i="3"/>
  <c r="BM913" i="3"/>
  <c r="BM930" i="3"/>
  <c r="AH931" i="3"/>
  <c r="CZ255" i="3"/>
  <c r="AU761" i="3"/>
  <c r="AU911" i="3" s="1"/>
  <c r="AU891" i="3"/>
  <c r="AU918" i="3" s="1"/>
  <c r="AQ853" i="3"/>
  <c r="AQ912" i="3" s="1"/>
  <c r="AQ913" i="3" s="1"/>
  <c r="AQ930" i="3" s="1"/>
  <c r="AU655" i="3"/>
  <c r="AU905" i="3" s="1"/>
  <c r="AG853" i="3"/>
  <c r="AG912" i="3"/>
  <c r="S891" i="3"/>
  <c r="BI929" i="3"/>
  <c r="BN929" i="3"/>
  <c r="BQ929" i="3"/>
  <c r="BT929" i="3"/>
  <c r="BW929" i="3"/>
  <c r="J929" i="3"/>
  <c r="U929" i="3"/>
  <c r="AA929" i="3"/>
  <c r="AD929" i="3"/>
  <c r="AL929" i="3"/>
  <c r="AO929" i="3"/>
  <c r="R918" i="3"/>
  <c r="R919" i="3"/>
  <c r="R931" i="3"/>
  <c r="R893" i="3"/>
  <c r="AX624" i="3"/>
  <c r="AX899" i="3" s="1"/>
  <c r="AX853" i="3"/>
  <c r="AX912" i="3" s="1"/>
  <c r="CB891" i="3"/>
  <c r="CE891" i="3"/>
  <c r="BU918" i="3"/>
  <c r="BB929" i="3"/>
  <c r="BE929" i="3"/>
  <c r="AV329" i="3"/>
  <c r="AV409" i="3"/>
  <c r="AV910" i="3" s="1"/>
  <c r="I913" i="3"/>
  <c r="I930" i="3"/>
  <c r="O913" i="3"/>
  <c r="O930" i="3" s="1"/>
  <c r="R913" i="3"/>
  <c r="R930" i="3"/>
  <c r="W913" i="3"/>
  <c r="W930" i="3" s="1"/>
  <c r="Z913" i="3"/>
  <c r="Z930" i="3"/>
  <c r="AF913" i="3"/>
  <c r="AF930" i="3" s="1"/>
  <c r="AK913" i="3"/>
  <c r="AK930" i="3"/>
  <c r="AN913" i="3"/>
  <c r="AN930" i="3" s="1"/>
  <c r="BB913" i="3"/>
  <c r="BB930" i="3"/>
  <c r="BE913" i="3"/>
  <c r="BE930" i="3" s="1"/>
  <c r="BI913" i="3"/>
  <c r="BI930" i="3"/>
  <c r="AJ919" i="3"/>
  <c r="AJ931" i="3" s="1"/>
  <c r="G923" i="3"/>
  <c r="J923" i="3"/>
  <c r="X923" i="3"/>
  <c r="AA923" i="3"/>
  <c r="AI923" i="3"/>
  <c r="AL923" i="3"/>
  <c r="AO923" i="3"/>
  <c r="AV655" i="3"/>
  <c r="AV905" i="3" s="1"/>
  <c r="AX761" i="3"/>
  <c r="AX911" i="3" s="1"/>
  <c r="S810" i="3"/>
  <c r="S917" i="3" s="1"/>
  <c r="BA814" i="3"/>
  <c r="BD918" i="3"/>
  <c r="BD919" i="3" s="1"/>
  <c r="BD931" i="3" s="1"/>
  <c r="BD893" i="3"/>
  <c r="AP893" i="3"/>
  <c r="BG409" i="3"/>
  <c r="BG910" i="3" s="1"/>
  <c r="K913" i="3"/>
  <c r="K930" i="3"/>
  <c r="N913" i="3"/>
  <c r="N930" i="3" s="1"/>
  <c r="Q913" i="3"/>
  <c r="Q930" i="3"/>
  <c r="V913" i="3"/>
  <c r="V930" i="3" s="1"/>
  <c r="Y913" i="3"/>
  <c r="Y930" i="3"/>
  <c r="AB913" i="3"/>
  <c r="AB930" i="3" s="1"/>
  <c r="AE913" i="3"/>
  <c r="AE930" i="3"/>
  <c r="AM913" i="3"/>
  <c r="AM930" i="3" s="1"/>
  <c r="AP913" i="3"/>
  <c r="AP930" i="3"/>
  <c r="BA913" i="3"/>
  <c r="BA930" i="3" s="1"/>
  <c r="BD913" i="3"/>
  <c r="BD930" i="3"/>
  <c r="AW440" i="3"/>
  <c r="AW916" i="3" s="1"/>
  <c r="J919" i="3"/>
  <c r="J931" i="3" s="1"/>
  <c r="M919" i="3"/>
  <c r="M931" i="3"/>
  <c r="P919" i="3"/>
  <c r="P931" i="3" s="1"/>
  <c r="U919" i="3"/>
  <c r="U931" i="3"/>
  <c r="AA919" i="3"/>
  <c r="AA931" i="3" s="1"/>
  <c r="AD919" i="3"/>
  <c r="AD931" i="3"/>
  <c r="AL919" i="3"/>
  <c r="AL931" i="3" s="1"/>
  <c r="BC919" i="3"/>
  <c r="BC931" i="3"/>
  <c r="K923" i="3"/>
  <c r="Q923" i="3"/>
  <c r="AB923" i="3"/>
  <c r="AJ923" i="3"/>
  <c r="BB923" i="3"/>
  <c r="BE923" i="3"/>
  <c r="BI923" i="3"/>
  <c r="BN923" i="3"/>
  <c r="BT923" i="3"/>
  <c r="AG655" i="3"/>
  <c r="AG905" i="3"/>
  <c r="AW655" i="3"/>
  <c r="AW905" i="3" s="1"/>
  <c r="AW761" i="3"/>
  <c r="AW911" i="3" s="1"/>
  <c r="AV810" i="3"/>
  <c r="AV917" i="3" s="1"/>
  <c r="H893" i="3"/>
  <c r="AJ893" i="3"/>
  <c r="CI891" i="3"/>
  <c r="CL891" i="3"/>
  <c r="CL893" i="3" s="1"/>
  <c r="T913" i="3"/>
  <c r="T930" i="3"/>
  <c r="T919" i="3"/>
  <c r="T931" i="3" s="1"/>
  <c r="BM919" i="3"/>
  <c r="BM931" i="3"/>
  <c r="AE923" i="3"/>
  <c r="AG761" i="3"/>
  <c r="AG911" i="3" s="1"/>
  <c r="AU810" i="3"/>
  <c r="AU917" i="3" s="1"/>
  <c r="AG810" i="3"/>
  <c r="AG917" i="3"/>
  <c r="BL810" i="3"/>
  <c r="BL917" i="3" s="1"/>
  <c r="AX810" i="3"/>
  <c r="CH833" i="3"/>
  <c r="S853" i="3"/>
  <c r="S912" i="3"/>
  <c r="AW853" i="3"/>
  <c r="AW912" i="3" s="1"/>
  <c r="BG853" i="3"/>
  <c r="BG912" i="3"/>
  <c r="AV891" i="3"/>
  <c r="AV918" i="3" s="1"/>
  <c r="CC891" i="3"/>
  <c r="CC893" i="3"/>
  <c r="CJ891" i="3"/>
  <c r="T929" i="3"/>
  <c r="P912" i="3"/>
  <c r="P913" i="3" s="1"/>
  <c r="P930" i="3" s="1"/>
  <c r="CD46" i="3"/>
  <c r="AR898" i="3"/>
  <c r="AS898" i="3"/>
  <c r="AT898" i="3"/>
  <c r="CQ898" i="3"/>
  <c r="CP898" i="3"/>
  <c r="AR904" i="3"/>
  <c r="AS904" i="3"/>
  <c r="AT904" i="3"/>
  <c r="CB904" i="3"/>
  <c r="CC904" i="3"/>
  <c r="CD904" i="3"/>
  <c r="CE904" i="3"/>
  <c r="CF904" i="3"/>
  <c r="CG904" i="3"/>
  <c r="CP904" i="3"/>
  <c r="CQ904" i="3"/>
  <c r="CR904" i="3"/>
  <c r="AR910" i="3"/>
  <c r="CP910" i="3"/>
  <c r="CR910" i="3"/>
  <c r="CT910" i="3"/>
  <c r="AR916" i="3"/>
  <c r="AS916" i="3"/>
  <c r="AT916" i="3"/>
  <c r="CP916" i="3"/>
  <c r="CQ916" i="3"/>
  <c r="AR899" i="3"/>
  <c r="AS899" i="3"/>
  <c r="CB899" i="3"/>
  <c r="CC899" i="3"/>
  <c r="CD899" i="3"/>
  <c r="CE899" i="3"/>
  <c r="CF899" i="3"/>
  <c r="CG899" i="3"/>
  <c r="CP899" i="3"/>
  <c r="CQ899" i="3"/>
  <c r="CR899" i="3"/>
  <c r="CT899" i="3"/>
  <c r="AT899" i="3"/>
  <c r="AR905" i="3"/>
  <c r="AS905" i="3"/>
  <c r="AT905" i="3"/>
  <c r="CB905" i="3"/>
  <c r="CC905" i="3"/>
  <c r="CD905" i="3"/>
  <c r="CE905" i="3"/>
  <c r="CF905" i="3"/>
  <c r="CG905" i="3"/>
  <c r="CP905" i="3"/>
  <c r="CQ905" i="3"/>
  <c r="CR905" i="3"/>
  <c r="AR911" i="3"/>
  <c r="AS911" i="3"/>
  <c r="AT911" i="3"/>
  <c r="CB911" i="3"/>
  <c r="CC911" i="3"/>
  <c r="CD911" i="3"/>
  <c r="CE911" i="3"/>
  <c r="CF911" i="3"/>
  <c r="CG911" i="3"/>
  <c r="CP911" i="3"/>
  <c r="CQ911" i="3"/>
  <c r="CR911" i="3"/>
  <c r="AR917" i="3"/>
  <c r="AS917" i="3"/>
  <c r="AT917" i="3"/>
  <c r="CB917" i="3"/>
  <c r="CC917" i="3"/>
  <c r="CD917" i="3"/>
  <c r="CE917" i="3"/>
  <c r="CF917" i="3"/>
  <c r="CG917" i="3"/>
  <c r="CP917" i="3"/>
  <c r="CQ917" i="3"/>
  <c r="CR917" i="3"/>
  <c r="CT917" i="3"/>
  <c r="CR900" i="3"/>
  <c r="CC900" i="3"/>
  <c r="AR912" i="3"/>
  <c r="AS912" i="3"/>
  <c r="AT912" i="3"/>
  <c r="CB912" i="3"/>
  <c r="CC912" i="3"/>
  <c r="CD912" i="3"/>
  <c r="CE912" i="3"/>
  <c r="CF912" i="3"/>
  <c r="CG912" i="3"/>
  <c r="CQ912" i="3"/>
  <c r="CR912" i="3"/>
  <c r="CT912" i="3"/>
  <c r="AR918" i="3"/>
  <c r="AT918" i="3"/>
  <c r="CP918" i="3"/>
  <c r="CQ918" i="3"/>
  <c r="CR918" i="3"/>
  <c r="CT918" i="3"/>
  <c r="CS10" i="4"/>
  <c r="CT10" i="4" s="1"/>
  <c r="CU10" i="4" s="1"/>
  <c r="T119" i="4"/>
  <c r="T356" i="4" s="1"/>
  <c r="U68" i="4"/>
  <c r="R356" i="4"/>
  <c r="S356" i="4"/>
  <c r="Q362" i="4"/>
  <c r="Q365" i="4" s="1"/>
  <c r="Q387" i="4" s="1"/>
  <c r="R362" i="4"/>
  <c r="R365" i="4" s="1"/>
  <c r="R387" i="4" s="1"/>
  <c r="S362" i="4"/>
  <c r="Q368" i="4"/>
  <c r="R368" i="4"/>
  <c r="S368" i="4"/>
  <c r="AP368" i="4"/>
  <c r="BA368" i="4"/>
  <c r="BD368" i="4"/>
  <c r="CS237" i="4"/>
  <c r="CT237" i="4" s="1"/>
  <c r="CU237" i="4" s="1"/>
  <c r="T265" i="4"/>
  <c r="T374" i="4" s="1"/>
  <c r="T377" i="4" s="1"/>
  <c r="T389" i="4" s="1"/>
  <c r="CR244" i="4"/>
  <c r="Q374" i="4"/>
  <c r="R374" i="4"/>
  <c r="S374" i="4"/>
  <c r="AM374" i="4"/>
  <c r="AP374" i="4"/>
  <c r="BC374" i="4"/>
  <c r="BD374" i="4"/>
  <c r="T357" i="4"/>
  <c r="T381" i="4" s="1"/>
  <c r="T336" i="4"/>
  <c r="V357" i="4"/>
  <c r="V381" i="4"/>
  <c r="V336" i="4"/>
  <c r="AQ357" i="4"/>
  <c r="H357" i="4"/>
  <c r="H336" i="4"/>
  <c r="M357" i="4"/>
  <c r="M359" i="4" s="1"/>
  <c r="M386" i="4" s="1"/>
  <c r="P336" i="4"/>
  <c r="P357" i="4"/>
  <c r="P381" i="4" s="1"/>
  <c r="Q357" i="4"/>
  <c r="S357" i="4"/>
  <c r="BA357" i="4"/>
  <c r="BD357" i="4"/>
  <c r="BH357" i="4"/>
  <c r="BS336" i="4"/>
  <c r="BY357" i="4"/>
  <c r="Q369" i="4"/>
  <c r="S369" i="4"/>
  <c r="AN369" i="4"/>
  <c r="AQ369" i="4"/>
  <c r="BI369" i="4"/>
  <c r="Q375" i="4"/>
  <c r="S375" i="4"/>
  <c r="S377" i="4" s="1"/>
  <c r="S389" i="4" s="1"/>
  <c r="AO375" i="4"/>
  <c r="BA375" i="4"/>
  <c r="BC375" i="4"/>
  <c r="BE375" i="4"/>
  <c r="BG375" i="4"/>
  <c r="BG377" i="4" s="1"/>
  <c r="BG389" i="4" s="1"/>
  <c r="BH375" i="4"/>
  <c r="BH377" i="4" s="1"/>
  <c r="BH389" i="4" s="1"/>
  <c r="BI375" i="4"/>
  <c r="BI377" i="4" s="1"/>
  <c r="BI389" i="4" s="1"/>
  <c r="BJ375" i="4"/>
  <c r="BG382" i="4"/>
  <c r="Z382" i="4"/>
  <c r="AN382" i="4"/>
  <c r="T15" i="57"/>
  <c r="T24" i="57"/>
  <c r="T30" i="57"/>
  <c r="T26" i="57" s="1"/>
  <c r="T45" i="57"/>
  <c r="T43" i="57"/>
  <c r="BK43" i="57"/>
  <c r="BL43" i="57" s="1"/>
  <c r="AO357" i="4"/>
  <c r="CS126" i="4"/>
  <c r="CT126" i="4" s="1"/>
  <c r="CU126" i="4" s="1"/>
  <c r="J380" i="4"/>
  <c r="H356" i="4"/>
  <c r="P356" i="4"/>
  <c r="CR127" i="4"/>
  <c r="CS127" i="4" s="1"/>
  <c r="CT127" i="4" s="1"/>
  <c r="CU127" i="4" s="1"/>
  <c r="Y238" i="4"/>
  <c r="J267" i="4"/>
  <c r="AG357" i="4"/>
  <c r="K336" i="4"/>
  <c r="BS356" i="4"/>
  <c r="I356" i="4"/>
  <c r="I267" i="4"/>
  <c r="Q356" i="4"/>
  <c r="Q267" i="4"/>
  <c r="U336" i="4"/>
  <c r="U357" i="4"/>
  <c r="L336" i="4"/>
  <c r="M267" i="4"/>
  <c r="AA357" i="4"/>
  <c r="J357" i="4"/>
  <c r="J381" i="4" s="1"/>
  <c r="J383" i="4" s="1"/>
  <c r="J336" i="4"/>
  <c r="R357" i="4"/>
  <c r="K359" i="4"/>
  <c r="K386" i="4" s="1"/>
  <c r="BD356" i="4"/>
  <c r="CR178" i="4"/>
  <c r="CS178" i="4" s="1"/>
  <c r="CT178" i="4" s="1"/>
  <c r="CU178" i="4" s="1"/>
  <c r="N267" i="4"/>
  <c r="AN357" i="4"/>
  <c r="L356" i="4"/>
  <c r="L359" i="4" s="1"/>
  <c r="L386" i="4" s="1"/>
  <c r="L267" i="4"/>
  <c r="BN356" i="4"/>
  <c r="R267" i="4"/>
  <c r="CR272" i="4"/>
  <c r="CS272" i="4" s="1"/>
  <c r="CT272" i="4" s="1"/>
  <c r="BN357" i="4"/>
  <c r="BN336" i="4"/>
  <c r="AI369" i="4"/>
  <c r="S267" i="4"/>
  <c r="AD357" i="4"/>
  <c r="AU357" i="4"/>
  <c r="AU381" i="4" s="1"/>
  <c r="AU336" i="4"/>
  <c r="AU350" i="4" s="1"/>
  <c r="BP357" i="4"/>
  <c r="N357" i="4"/>
  <c r="N381" i="4" s="1"/>
  <c r="N336" i="4"/>
  <c r="G336" i="4"/>
  <c r="W364" i="4"/>
  <c r="W349" i="4"/>
  <c r="G267" i="4"/>
  <c r="G356" i="4"/>
  <c r="O267" i="4"/>
  <c r="O357" i="4"/>
  <c r="O336" i="4"/>
  <c r="G377" i="4"/>
  <c r="G389" i="4"/>
  <c r="K382" i="4"/>
  <c r="S336" i="4"/>
  <c r="G382" i="4"/>
  <c r="O382" i="4"/>
  <c r="Y382" i="4"/>
  <c r="AP382" i="4"/>
  <c r="AX382" i="4"/>
  <c r="K381" i="4"/>
  <c r="AB382" i="4"/>
  <c r="AJ382" i="4"/>
  <c r="L382" i="4"/>
  <c r="T382" i="4"/>
  <c r="AS382" i="4"/>
  <c r="BV382" i="4"/>
  <c r="I336" i="4"/>
  <c r="Q336" i="4"/>
  <c r="M382" i="4"/>
  <c r="U382" i="4"/>
  <c r="AE382" i="4"/>
  <c r="AT382" i="4"/>
  <c r="BA382" i="4"/>
  <c r="BI382" i="4"/>
  <c r="BY382" i="4"/>
  <c r="AV382" i="4"/>
  <c r="CT382" i="4"/>
  <c r="BS382" i="4"/>
  <c r="AG240" i="3"/>
  <c r="AG898" i="3" s="1"/>
  <c r="AU409" i="3"/>
  <c r="AU910" i="3" s="1"/>
  <c r="AM922" i="3"/>
  <c r="AM901" i="3"/>
  <c r="AM928" i="3" s="1"/>
  <c r="V922" i="3"/>
  <c r="V901" i="3"/>
  <c r="V928" i="3"/>
  <c r="AD922" i="3"/>
  <c r="AD901" i="3"/>
  <c r="AD928" i="3"/>
  <c r="BF922" i="3"/>
  <c r="M922" i="3"/>
  <c r="M901" i="3"/>
  <c r="M928" i="3" s="1"/>
  <c r="AO901" i="3"/>
  <c r="AO928" i="3"/>
  <c r="AZ904" i="3"/>
  <c r="AZ907" i="3" s="1"/>
  <c r="AZ929" i="3"/>
  <c r="AZ442" i="3"/>
  <c r="BH904" i="3"/>
  <c r="BH907" i="3" s="1"/>
  <c r="BH929" i="3"/>
  <c r="BH442" i="3"/>
  <c r="X901" i="3"/>
  <c r="X928" i="3"/>
  <c r="AF901" i="3"/>
  <c r="AF928" i="3" s="1"/>
  <c r="G901" i="3"/>
  <c r="G928" i="3"/>
  <c r="S409" i="3"/>
  <c r="S910" i="3" s="1"/>
  <c r="Y922" i="3"/>
  <c r="Y901" i="3"/>
  <c r="Y928" i="3"/>
  <c r="AP901" i="3"/>
  <c r="AP928" i="3" s="1"/>
  <c r="AP922" i="3"/>
  <c r="P904" i="3"/>
  <c r="P907" i="3" s="1"/>
  <c r="P929" i="3"/>
  <c r="P442" i="3"/>
  <c r="J901" i="3"/>
  <c r="J928" i="3"/>
  <c r="R922" i="3"/>
  <c r="R901" i="3"/>
  <c r="R928" i="3" s="1"/>
  <c r="R932" i="3" s="1"/>
  <c r="AA901" i="3"/>
  <c r="AA928" i="3" s="1"/>
  <c r="AJ901" i="3"/>
  <c r="AJ928" i="3"/>
  <c r="BB922" i="3"/>
  <c r="BJ922" i="3"/>
  <c r="BJ901" i="3"/>
  <c r="BJ928" i="3" s="1"/>
  <c r="BK910" i="3"/>
  <c r="BK913" i="3"/>
  <c r="BK930" i="3"/>
  <c r="BK442" i="3"/>
  <c r="BR414" i="3"/>
  <c r="BR411" i="3"/>
  <c r="BR440" i="3"/>
  <c r="EV20" i="80" s="1"/>
  <c r="EV30" i="80" s="1"/>
  <c r="AO916" i="3"/>
  <c r="AO922" i="3"/>
  <c r="AO442" i="3"/>
  <c r="BF442" i="3"/>
  <c r="AG409" i="3"/>
  <c r="AG910" i="3" s="1"/>
  <c r="AG913" i="3" s="1"/>
  <c r="AG930" i="3" s="1"/>
  <c r="DC910" i="3"/>
  <c r="CF425" i="3"/>
  <c r="P901" i="3"/>
  <c r="P928" i="3"/>
  <c r="BH901" i="3"/>
  <c r="BH928" i="3" s="1"/>
  <c r="DN442" i="3"/>
  <c r="K922" i="3"/>
  <c r="AB922" i="3"/>
  <c r="AB901" i="3"/>
  <c r="AB928" i="3"/>
  <c r="AK922" i="3"/>
  <c r="AK901" i="3"/>
  <c r="AK928" i="3"/>
  <c r="AV261" i="3"/>
  <c r="CF304" i="3"/>
  <c r="X916" i="3"/>
  <c r="X442" i="3"/>
  <c r="AF916" i="3"/>
  <c r="AF442" i="3"/>
  <c r="DK442" i="3"/>
  <c r="BD922" i="3"/>
  <c r="BD901" i="3"/>
  <c r="BD928" i="3"/>
  <c r="AJ910" i="3"/>
  <c r="AJ913" i="3"/>
  <c r="AJ930" i="3" s="1"/>
  <c r="AJ442" i="3"/>
  <c r="G916" i="3"/>
  <c r="G922" i="3"/>
  <c r="G442" i="3"/>
  <c r="O916" i="3"/>
  <c r="O442" i="3"/>
  <c r="J910" i="3"/>
  <c r="J913" i="3" s="1"/>
  <c r="J930" i="3" s="1"/>
  <c r="J442" i="3"/>
  <c r="AA910" i="3"/>
  <c r="AA913" i="3" s="1"/>
  <c r="AA930" i="3" s="1"/>
  <c r="AA442" i="3"/>
  <c r="AS910" i="3"/>
  <c r="AS442" i="3"/>
  <c r="S440" i="3"/>
  <c r="S916" i="3" s="1"/>
  <c r="BG440" i="3"/>
  <c r="BG916" i="3" s="1"/>
  <c r="BL415" i="3"/>
  <c r="AX440" i="3"/>
  <c r="AX916" i="3" s="1"/>
  <c r="I442" i="3"/>
  <c r="AT910" i="3"/>
  <c r="AT442" i="3"/>
  <c r="CQ910" i="3"/>
  <c r="CQ442" i="3"/>
  <c r="R442" i="3"/>
  <c r="AB442" i="3"/>
  <c r="AX409" i="3"/>
  <c r="AX910" i="3" s="1"/>
  <c r="AU440" i="3"/>
  <c r="AU916" i="3" s="1"/>
  <c r="AL442" i="3"/>
  <c r="L910" i="3"/>
  <c r="L913" i="3"/>
  <c r="L930" i="3" s="1"/>
  <c r="L442" i="3"/>
  <c r="AC910" i="3"/>
  <c r="AC913" i="3"/>
  <c r="AC930" i="3" s="1"/>
  <c r="AC442" i="3"/>
  <c r="H922" i="3"/>
  <c r="H901" i="3"/>
  <c r="H928" i="3" s="1"/>
  <c r="AZ901" i="3"/>
  <c r="AZ928" i="3"/>
  <c r="I922" i="3"/>
  <c r="I901" i="3"/>
  <c r="I928" i="3" s="1"/>
  <c r="Q901" i="3"/>
  <c r="Q928" i="3"/>
  <c r="Z901" i="3"/>
  <c r="Z928" i="3" s="1"/>
  <c r="AI901" i="3"/>
  <c r="AI928" i="3"/>
  <c r="AQ901" i="3"/>
  <c r="AQ928" i="3" s="1"/>
  <c r="BA922" i="3"/>
  <c r="BA901" i="3"/>
  <c r="BA928" i="3" s="1"/>
  <c r="BI922" i="3"/>
  <c r="BI901" i="3"/>
  <c r="BI928" i="3"/>
  <c r="Q904" i="3"/>
  <c r="Q442" i="3"/>
  <c r="Z904" i="3"/>
  <c r="Z442" i="3"/>
  <c r="AI904" i="3"/>
  <c r="AI442" i="3"/>
  <c r="AQ904" i="3"/>
  <c r="AQ442" i="3"/>
  <c r="BR304" i="3"/>
  <c r="AV440" i="3"/>
  <c r="AV916" i="3" s="1"/>
  <c r="AV919" i="3" s="1"/>
  <c r="AV931" i="3" s="1"/>
  <c r="N922" i="3"/>
  <c r="N901" i="3"/>
  <c r="N928" i="3" s="1"/>
  <c r="W922" i="3"/>
  <c r="W901" i="3"/>
  <c r="W928" i="3" s="1"/>
  <c r="AE901" i="3"/>
  <c r="AE928" i="3"/>
  <c r="AE922" i="3"/>
  <c r="AN922" i="3"/>
  <c r="AN901" i="3"/>
  <c r="AN928" i="3"/>
  <c r="BE901" i="3"/>
  <c r="BE928" i="3" s="1"/>
  <c r="BE922" i="3"/>
  <c r="N442" i="3"/>
  <c r="Y442" i="3"/>
  <c r="AR442" i="3"/>
  <c r="BC442" i="3"/>
  <c r="U923" i="3"/>
  <c r="AC923" i="3"/>
  <c r="BG624" i="3"/>
  <c r="BG899" i="3" s="1"/>
  <c r="CR916" i="3"/>
  <c r="BD442" i="3"/>
  <c r="BL629" i="3"/>
  <c r="BL655" i="3" s="1"/>
  <c r="BL905" i="3" s="1"/>
  <c r="BG655" i="3"/>
  <c r="BG905" i="3" s="1"/>
  <c r="CM900" i="3"/>
  <c r="H442" i="3"/>
  <c r="AK442" i="3"/>
  <c r="BE442" i="3"/>
  <c r="AV624" i="3"/>
  <c r="AV899" i="3" s="1"/>
  <c r="AX655" i="3"/>
  <c r="AX905" i="3" s="1"/>
  <c r="BG761" i="3"/>
  <c r="BG911" i="3" s="1"/>
  <c r="AM442" i="3"/>
  <c r="EG449" i="3"/>
  <c r="EF451" i="3"/>
  <c r="BC923" i="3"/>
  <c r="AV761" i="3"/>
  <c r="AV911" i="3" s="1"/>
  <c r="K442" i="3"/>
  <c r="U442" i="3"/>
  <c r="AD442" i="3"/>
  <c r="AN442" i="3"/>
  <c r="BI442" i="3"/>
  <c r="CI900" i="3"/>
  <c r="L901" i="3"/>
  <c r="L928" i="3" s="1"/>
  <c r="U922" i="3"/>
  <c r="U901" i="3"/>
  <c r="U928" i="3" s="1"/>
  <c r="AC901" i="3"/>
  <c r="AC928" i="3"/>
  <c r="AL922" i="3"/>
  <c r="AL901" i="3"/>
  <c r="AL928" i="3" s="1"/>
  <c r="BC922" i="3"/>
  <c r="BC901" i="3"/>
  <c r="BC928" i="3" s="1"/>
  <c r="BK901" i="3"/>
  <c r="BK928" i="3"/>
  <c r="V442" i="3"/>
  <c r="AE442" i="3"/>
  <c r="AP442" i="3"/>
  <c r="BA442" i="3"/>
  <c r="BJ442" i="3"/>
  <c r="CP442" i="3"/>
  <c r="CJ900" i="3"/>
  <c r="M442" i="3"/>
  <c r="W442" i="3"/>
  <c r="BB442" i="3"/>
  <c r="S655" i="3"/>
  <c r="S905" i="3"/>
  <c r="M905" i="3"/>
  <c r="M814" i="3"/>
  <c r="CE900" i="3"/>
  <c r="AO814" i="3"/>
  <c r="BG810" i="3"/>
  <c r="J814" i="3"/>
  <c r="AC814" i="3"/>
  <c r="AM814" i="3"/>
  <c r="CB814" i="3"/>
  <c r="CK814" i="3"/>
  <c r="CF900" i="3"/>
  <c r="DK893" i="3"/>
  <c r="CK891" i="3"/>
  <c r="DE893" i="3"/>
  <c r="BU900" i="3"/>
  <c r="BU924" i="3" s="1"/>
  <c r="BH923" i="3"/>
  <c r="BQ923" i="3"/>
  <c r="K814" i="3"/>
  <c r="U814" i="3"/>
  <c r="AD814" i="3"/>
  <c r="AN814" i="3"/>
  <c r="BH814" i="3"/>
  <c r="CC814" i="3"/>
  <c r="CL814" i="3"/>
  <c r="BN900" i="3"/>
  <c r="BV900" i="3"/>
  <c r="BV924" i="3" s="1"/>
  <c r="CG900" i="3"/>
  <c r="CG924" i="3" s="1"/>
  <c r="EF856" i="3"/>
  <c r="EF855" i="3" s="1"/>
  <c r="EF891" i="3" s="1"/>
  <c r="EF918" i="3" s="1"/>
  <c r="BM923" i="3"/>
  <c r="BM901" i="3"/>
  <c r="BM928" i="3"/>
  <c r="BU929" i="3"/>
  <c r="BH913" i="3"/>
  <c r="BH930" i="3"/>
  <c r="H923" i="3"/>
  <c r="P923" i="3"/>
  <c r="Y923" i="3"/>
  <c r="AP923" i="3"/>
  <c r="S761" i="3"/>
  <c r="BL666" i="3"/>
  <c r="L814" i="3"/>
  <c r="V814" i="3"/>
  <c r="AE814" i="3"/>
  <c r="AP814" i="3"/>
  <c r="AZ814" i="3"/>
  <c r="BI814" i="3"/>
  <c r="CD814" i="3"/>
  <c r="CM814" i="3"/>
  <c r="EF828" i="3"/>
  <c r="BO900" i="3"/>
  <c r="BW900" i="3"/>
  <c r="W814" i="3"/>
  <c r="AQ814" i="3"/>
  <c r="BJ814" i="3"/>
  <c r="CE814" i="3"/>
  <c r="CP814" i="3"/>
  <c r="K918" i="3"/>
  <c r="K919" i="3" s="1"/>
  <c r="K931" i="3" s="1"/>
  <c r="K893" i="3"/>
  <c r="AB918" i="3"/>
  <c r="AB893" i="3"/>
  <c r="Z893" i="3"/>
  <c r="EF769" i="3"/>
  <c r="EF766" i="3" s="1"/>
  <c r="N814" i="3"/>
  <c r="Y814" i="3"/>
  <c r="AI814" i="3"/>
  <c r="AR814" i="3"/>
  <c r="BB814" i="3"/>
  <c r="BK814" i="3"/>
  <c r="CF814" i="3"/>
  <c r="CK900" i="3"/>
  <c r="AX833" i="3"/>
  <c r="AX900" i="3"/>
  <c r="DA893" i="3"/>
  <c r="BL841" i="3"/>
  <c r="BL853" i="3" s="1"/>
  <c r="BL912" i="3" s="1"/>
  <c r="P814" i="3"/>
  <c r="Z814" i="3"/>
  <c r="AJ814" i="3"/>
  <c r="AS814" i="3"/>
  <c r="BC814" i="3"/>
  <c r="CH814" i="3"/>
  <c r="CL900" i="3"/>
  <c r="BR900" i="3"/>
  <c r="CB900" i="3"/>
  <c r="CP893" i="3"/>
  <c r="CP900" i="3"/>
  <c r="CP924" i="3" s="1"/>
  <c r="DC893" i="3"/>
  <c r="DC900" i="3"/>
  <c r="DC924" i="3" s="1"/>
  <c r="EF845" i="3"/>
  <c r="EF840" i="3" s="1"/>
  <c r="H814" i="3"/>
  <c r="Q814" i="3"/>
  <c r="AA814" i="3"/>
  <c r="AK814" i="3"/>
  <c r="AT814" i="3"/>
  <c r="BD814" i="3"/>
  <c r="CI814" i="3"/>
  <c r="CQ893" i="3"/>
  <c r="CQ900" i="3"/>
  <c r="CQ924" i="3" s="1"/>
  <c r="V923" i="3"/>
  <c r="AD923" i="3"/>
  <c r="AM923" i="3"/>
  <c r="EG661" i="3"/>
  <c r="EH661" i="3" s="1"/>
  <c r="EI661" i="3" s="1"/>
  <c r="AW810" i="3"/>
  <c r="BF814" i="3"/>
  <c r="I814" i="3"/>
  <c r="R814" i="3"/>
  <c r="AB814" i="3"/>
  <c r="AL814" i="3"/>
  <c r="BE814" i="3"/>
  <c r="CJ814" i="3"/>
  <c r="DH893" i="3"/>
  <c r="AW891" i="3"/>
  <c r="N923" i="3"/>
  <c r="W923" i="3"/>
  <c r="BF923" i="3"/>
  <c r="BW923" i="3"/>
  <c r="G814" i="3"/>
  <c r="O814" i="3"/>
  <c r="X814" i="3"/>
  <c r="AF814" i="3"/>
  <c r="CG814" i="3"/>
  <c r="CW893" i="3"/>
  <c r="AX891" i="3"/>
  <c r="AK918" i="3"/>
  <c r="AK919" i="3"/>
  <c r="AK931" i="3"/>
  <c r="AK893" i="3"/>
  <c r="AS893" i="3"/>
  <c r="AS918" i="3"/>
  <c r="I893" i="3"/>
  <c r="Y893" i="3"/>
  <c r="AM893" i="3"/>
  <c r="BC893" i="3"/>
  <c r="AY901" i="3"/>
  <c r="AY928" i="3" s="1"/>
  <c r="AE918" i="3"/>
  <c r="AE919" i="3"/>
  <c r="AE931" i="3"/>
  <c r="BE893" i="3"/>
  <c r="BE918" i="3"/>
  <c r="BE919" i="3"/>
  <c r="BE931" i="3"/>
  <c r="M893" i="3"/>
  <c r="AA893" i="3"/>
  <c r="AG891" i="3"/>
  <c r="AN918" i="3"/>
  <c r="AN919" i="3" s="1"/>
  <c r="AN931" i="3"/>
  <c r="AN893" i="3"/>
  <c r="BF918" i="3"/>
  <c r="BF919" i="3" s="1"/>
  <c r="BF931" i="3"/>
  <c r="BF893" i="3"/>
  <c r="AD893" i="3"/>
  <c r="AR893" i="3"/>
  <c r="BH893" i="3"/>
  <c r="AH901" i="3"/>
  <c r="AH928" i="3" s="1"/>
  <c r="U912" i="3"/>
  <c r="U913" i="3"/>
  <c r="U930" i="3" s="1"/>
  <c r="U932" i="3" s="1"/>
  <c r="W918" i="3"/>
  <c r="W893" i="3"/>
  <c r="AO893" i="3"/>
  <c r="AO918" i="3"/>
  <c r="BI893" i="3"/>
  <c r="BG891" i="3"/>
  <c r="BL856" i="3"/>
  <c r="BL891" i="3"/>
  <c r="G918" i="3"/>
  <c r="G893" i="3"/>
  <c r="O893" i="3"/>
  <c r="O918" i="3"/>
  <c r="X893" i="3"/>
  <c r="X918" i="3"/>
  <c r="AF893" i="3"/>
  <c r="AF918" i="3"/>
  <c r="AZ918" i="3"/>
  <c r="AZ919" i="3" s="1"/>
  <c r="AZ931" i="3" s="1"/>
  <c r="AZ932" i="3" s="1"/>
  <c r="AZ893" i="3"/>
  <c r="CD891" i="3"/>
  <c r="AI918" i="3"/>
  <c r="AI919" i="3"/>
  <c r="AI931" i="3" s="1"/>
  <c r="AI893" i="3"/>
  <c r="BJ918" i="3"/>
  <c r="BJ893" i="3"/>
  <c r="BP900" i="3"/>
  <c r="H912" i="3"/>
  <c r="BS900" i="3"/>
  <c r="DN893" i="3"/>
  <c r="Q918" i="3"/>
  <c r="Q919" i="3"/>
  <c r="Q931" i="3" s="1"/>
  <c r="Q893" i="3"/>
  <c r="BB918" i="3"/>
  <c r="BB893" i="3"/>
  <c r="V893" i="3"/>
  <c r="AL893" i="3"/>
  <c r="BA893" i="3"/>
  <c r="AC893" i="3"/>
  <c r="BK893" i="3"/>
  <c r="CO922" i="3"/>
  <c r="CO901" i="3"/>
  <c r="CO928" i="3" s="1"/>
  <c r="AY930" i="3"/>
  <c r="L893" i="3"/>
  <c r="AT893" i="3"/>
  <c r="T922" i="3"/>
  <c r="T901" i="3"/>
  <c r="T928" i="3" s="1"/>
  <c r="CO923" i="3"/>
  <c r="BM922" i="3"/>
  <c r="AH929" i="3"/>
  <c r="CO913" i="3"/>
  <c r="CO930" i="3" s="1"/>
  <c r="CO919" i="3"/>
  <c r="CO931" i="3"/>
  <c r="AY931" i="3"/>
  <c r="EF297" i="3"/>
  <c r="PM9" i="80"/>
  <c r="EE918" i="3"/>
  <c r="IK29" i="80"/>
  <c r="JD9" i="80"/>
  <c r="JH9" i="80"/>
  <c r="JU47" i="80" s="1"/>
  <c r="IK11" i="80"/>
  <c r="FN20" i="80"/>
  <c r="FN30" i="80" s="1"/>
  <c r="EU20" i="80"/>
  <c r="EU30" i="80" s="1"/>
  <c r="FF30" i="80"/>
  <c r="FR20" i="80"/>
  <c r="GW20" i="80"/>
  <c r="GW30" i="80" s="1"/>
  <c r="GY20" i="80"/>
  <c r="GX30" i="80"/>
  <c r="GX31" i="80" s="1"/>
  <c r="GX21" i="80"/>
  <c r="EF602" i="3"/>
  <c r="ET30" i="80"/>
  <c r="HG30" i="80"/>
  <c r="HF20" i="80"/>
  <c r="EH376" i="3"/>
  <c r="EF435" i="3"/>
  <c r="EF853" i="3"/>
  <c r="EF912" i="3" s="1"/>
  <c r="GP30" i="80"/>
  <c r="FK30" i="80"/>
  <c r="HC20" i="80"/>
  <c r="HC21" i="80" s="1"/>
  <c r="HE20" i="80"/>
  <c r="HD30" i="80"/>
  <c r="HD31" i="80" s="1"/>
  <c r="HD21" i="80"/>
  <c r="GL27" i="80"/>
  <c r="HI27" i="80" s="1"/>
  <c r="EP30" i="80"/>
  <c r="GV30" i="80"/>
  <c r="GV31" i="80" s="1"/>
  <c r="EF659" i="3"/>
  <c r="FD30" i="80"/>
  <c r="FC20" i="80"/>
  <c r="FC30" i="80" s="1"/>
  <c r="FE20" i="80"/>
  <c r="FE30" i="80" s="1"/>
  <c r="BV19" i="80"/>
  <c r="BX17" i="80"/>
  <c r="BY17" i="80" s="1"/>
  <c r="BA19" i="80"/>
  <c r="BC27" i="80"/>
  <c r="BG17" i="80"/>
  <c r="BO27" i="80"/>
  <c r="BP27" i="80"/>
  <c r="BP31" i="80" s="1"/>
  <c r="BM19" i="80"/>
  <c r="BM29" i="80" s="1"/>
  <c r="BN29" i="80"/>
  <c r="M19" i="80"/>
  <c r="AA19" i="80"/>
  <c r="AB19" i="80" s="1"/>
  <c r="AB29" i="80" s="1"/>
  <c r="PU29" i="80" s="1"/>
  <c r="AF19" i="80"/>
  <c r="AF29" i="80" s="1"/>
  <c r="K19" i="80"/>
  <c r="L29" i="80"/>
  <c r="AI368" i="4"/>
  <c r="BV893" i="3"/>
  <c r="DW20" i="78"/>
  <c r="DX20" i="78" s="1"/>
  <c r="DX30" i="78" s="1"/>
  <c r="DC20" i="78"/>
  <c r="EL7" i="78"/>
  <c r="EX20" i="78"/>
  <c r="EW20" i="78" s="1"/>
  <c r="EW30" i="78" s="1"/>
  <c r="FS9" i="78"/>
  <c r="FS29" i="78" s="1"/>
  <c r="DM20" i="78"/>
  <c r="EL20" i="78"/>
  <c r="EK20" i="78" s="1"/>
  <c r="FG20" i="78"/>
  <c r="FG30" i="78" s="1"/>
  <c r="EV20" i="78"/>
  <c r="EH20" i="78"/>
  <c r="EH21" i="78" s="1"/>
  <c r="FD20" i="78"/>
  <c r="FE20" i="78" s="1"/>
  <c r="FE21" i="78" s="1"/>
  <c r="ER20" i="78"/>
  <c r="ER30" i="78" s="1"/>
  <c r="ER31" i="78" s="1"/>
  <c r="FX9" i="78"/>
  <c r="BX138" i="4"/>
  <c r="BU152" i="4"/>
  <c r="BX152" i="4" s="1"/>
  <c r="CA152" i="4" s="1"/>
  <c r="BU150" i="4"/>
  <c r="BX150" i="4" s="1"/>
  <c r="CA150" i="4"/>
  <c r="CB150" i="4" s="1"/>
  <c r="AC357" i="4"/>
  <c r="AV336" i="4"/>
  <c r="AV350" i="4" s="1"/>
  <c r="AA368" i="4"/>
  <c r="AH357" i="4"/>
  <c r="AC368" i="4"/>
  <c r="N19" i="78"/>
  <c r="AP17" i="78"/>
  <c r="AJ369" i="4"/>
  <c r="AF369" i="4"/>
  <c r="BA19" i="78"/>
  <c r="AD369" i="4"/>
  <c r="AW19" i="78"/>
  <c r="AW21" i="78"/>
  <c r="AO17" i="78"/>
  <c r="AV17" i="78"/>
  <c r="AW27" i="78"/>
  <c r="BH19" i="78"/>
  <c r="BI9" i="78"/>
  <c r="BI29" i="78" s="1"/>
  <c r="AA369" i="4"/>
  <c r="AI357" i="4"/>
  <c r="Z369" i="4"/>
  <c r="AO19" i="78"/>
  <c r="AA374" i="4"/>
  <c r="Y357" i="4"/>
  <c r="AG374" i="4"/>
  <c r="AY17" i="78"/>
  <c r="AE374" i="4"/>
  <c r="AB368" i="4"/>
  <c r="L19" i="78"/>
  <c r="AU19" i="78"/>
  <c r="AB19" i="78"/>
  <c r="AC19" i="78" s="1"/>
  <c r="AB374" i="4"/>
  <c r="AB377" i="4" s="1"/>
  <c r="AB389" i="4" s="1"/>
  <c r="AF368" i="4"/>
  <c r="T19" i="78"/>
  <c r="J7" i="78"/>
  <c r="AD368" i="4"/>
  <c r="AD371" i="4" s="1"/>
  <c r="AD388" i="4" s="1"/>
  <c r="AF374" i="4"/>
  <c r="T20" i="78"/>
  <c r="AJ357" i="4"/>
  <c r="AJ381" i="4" s="1"/>
  <c r="BL17" i="78"/>
  <c r="BM17" i="78" s="1"/>
  <c r="AU17" i="78"/>
  <c r="BB17" i="78"/>
  <c r="BC7" i="78"/>
  <c r="BC27" i="78" s="1"/>
  <c r="DQ20" i="78"/>
  <c r="BO891" i="3"/>
  <c r="GJ20" i="80" s="1"/>
  <c r="BX918" i="3"/>
  <c r="DK20" i="78"/>
  <c r="DK30" i="78" s="1"/>
  <c r="DZ20" i="78"/>
  <c r="EA20" i="78" s="1"/>
  <c r="EA30" i="78" s="1"/>
  <c r="EN20" i="78"/>
  <c r="EN30" i="78" s="1"/>
  <c r="DE20" i="78"/>
  <c r="DG20" i="78"/>
  <c r="DO20" i="78"/>
  <c r="DO30" i="78" s="1"/>
  <c r="CT904" i="3"/>
  <c r="DJ8" i="78"/>
  <c r="DJ28" i="78" s="1"/>
  <c r="BV916" i="3"/>
  <c r="DT20" i="78"/>
  <c r="DW17" i="78"/>
  <c r="DX17" i="78" s="1"/>
  <c r="EP20" i="78"/>
  <c r="EI606" i="3"/>
  <c r="EI602" i="3" s="1"/>
  <c r="BT916" i="3"/>
  <c r="BU898" i="3"/>
  <c r="BX893" i="3"/>
  <c r="EI749" i="3"/>
  <c r="BX916" i="3"/>
  <c r="BX919" i="3"/>
  <c r="BX931" i="3"/>
  <c r="BU893" i="3"/>
  <c r="BO916" i="3"/>
  <c r="BS893" i="3"/>
  <c r="BY240" i="3"/>
  <c r="FM17" i="80" s="1"/>
  <c r="BP893" i="3"/>
  <c r="BR893" i="3"/>
  <c r="BR918" i="3"/>
  <c r="BQ918" i="3"/>
  <c r="AJ119" i="4"/>
  <c r="AE7" i="80" s="1"/>
  <c r="BM157" i="4"/>
  <c r="BM153" i="4"/>
  <c r="CS156" i="4"/>
  <c r="CR153" i="4"/>
  <c r="CS196" i="4"/>
  <c r="CR193" i="4"/>
  <c r="AF119" i="4"/>
  <c r="T17" i="78" s="1"/>
  <c r="BS918" i="3"/>
  <c r="BU409" i="3"/>
  <c r="BP918" i="3"/>
  <c r="BN918" i="3"/>
  <c r="AC119" i="4"/>
  <c r="N17" i="80" s="1"/>
  <c r="M17" i="80" s="1"/>
  <c r="AA336" i="4"/>
  <c r="BW891" i="3"/>
  <c r="HA20" i="80" s="1"/>
  <c r="AR357" i="4"/>
  <c r="BI288" i="4"/>
  <c r="AJ336" i="4"/>
  <c r="AD119" i="4"/>
  <c r="P17" i="80" s="1"/>
  <c r="CT911" i="3"/>
  <c r="AH119" i="4"/>
  <c r="Y7" i="80" s="1"/>
  <c r="AH308" i="4"/>
  <c r="BS9" i="80" s="1"/>
  <c r="Y308" i="4"/>
  <c r="AZ19" i="80" s="1"/>
  <c r="AB308" i="4"/>
  <c r="BF19" i="80"/>
  <c r="CS301" i="4"/>
  <c r="CR300" i="4"/>
  <c r="AE308" i="4"/>
  <c r="BL9" i="80" s="1"/>
  <c r="CV905" i="3"/>
  <c r="CV814" i="3"/>
  <c r="AA119" i="4"/>
  <c r="J17" i="80"/>
  <c r="I17" i="80" s="1"/>
  <c r="I27" i="80" s="1"/>
  <c r="CS305" i="4"/>
  <c r="CS304" i="4" s="1"/>
  <c r="CZ655" i="3"/>
  <c r="CZ814" i="3" s="1"/>
  <c r="CS330" i="4"/>
  <c r="CS238" i="4"/>
  <c r="CS86" i="4"/>
  <c r="CT86" i="4" s="1"/>
  <c r="CU86" i="4" s="1"/>
  <c r="CS75" i="4"/>
  <c r="BG127" i="4"/>
  <c r="BI127" i="4" s="1"/>
  <c r="BE121" i="4"/>
  <c r="CS255" i="4"/>
  <c r="Y236" i="4"/>
  <c r="Y265" i="4"/>
  <c r="BO156" i="4"/>
  <c r="CS198" i="4"/>
  <c r="CS282" i="4"/>
  <c r="CT282" i="4" s="1"/>
  <c r="CR280" i="4"/>
  <c r="CY911" i="3"/>
  <c r="CY913" i="3" s="1"/>
  <c r="CY930" i="3" s="1"/>
  <c r="CY814" i="3"/>
  <c r="CC409" i="3"/>
  <c r="CD409" i="3"/>
  <c r="EG821" i="3"/>
  <c r="EG820" i="3" s="1"/>
  <c r="CJ409" i="3"/>
  <c r="CJ910" i="3"/>
  <c r="CJ913" i="3" s="1"/>
  <c r="CJ930" i="3" s="1"/>
  <c r="BT891" i="3"/>
  <c r="GT20" i="80"/>
  <c r="CT655" i="3"/>
  <c r="IF8" i="80"/>
  <c r="BT240" i="3"/>
  <c r="EZ17" i="80"/>
  <c r="BW240" i="3"/>
  <c r="FG17" i="80"/>
  <c r="BQ409" i="3"/>
  <c r="ET19" i="80"/>
  <c r="CI409" i="3"/>
  <c r="CH409" i="3"/>
  <c r="CH442" i="3" s="1"/>
  <c r="CK409" i="3"/>
  <c r="CK910" i="3" s="1"/>
  <c r="BS409" i="3"/>
  <c r="EX19" i="80"/>
  <c r="EW19" i="80" s="1"/>
  <c r="EW29" i="80" s="1"/>
  <c r="CG409" i="3"/>
  <c r="BT409" i="3"/>
  <c r="EZ19" i="80" s="1"/>
  <c r="BX409" i="3"/>
  <c r="FJ19" i="80" s="1"/>
  <c r="PU19" i="80" s="1"/>
  <c r="PV19" i="80" s="1"/>
  <c r="CT893" i="3"/>
  <c r="CT900" i="3"/>
  <c r="CT924" i="3" s="1"/>
  <c r="CG893" i="3"/>
  <c r="BO409" i="3"/>
  <c r="EP19" i="80"/>
  <c r="BN409" i="3"/>
  <c r="EN19" i="80" s="1"/>
  <c r="CE440" i="3"/>
  <c r="CV901" i="3"/>
  <c r="CV928" i="3"/>
  <c r="DG646" i="3"/>
  <c r="EG803" i="3"/>
  <c r="EG797" i="3" s="1"/>
  <c r="BQ46" i="3"/>
  <c r="EG439" i="3"/>
  <c r="EH439" i="3" s="1"/>
  <c r="EH435" i="3" s="1"/>
  <c r="EG841" i="3"/>
  <c r="BW409" i="3"/>
  <c r="FG19" i="80" s="1"/>
  <c r="FH19" i="80" s="1"/>
  <c r="FH29" i="80" s="1"/>
  <c r="CL409" i="3"/>
  <c r="CL442" i="3"/>
  <c r="CE409" i="3"/>
  <c r="CE910" i="3" s="1"/>
  <c r="CE913" i="3" s="1"/>
  <c r="CE930" i="3" s="1"/>
  <c r="CB409" i="3"/>
  <c r="DD637" i="3"/>
  <c r="DD628" i="3"/>
  <c r="DB628" i="3"/>
  <c r="EG884" i="3"/>
  <c r="EG882" i="3" s="1"/>
  <c r="BY409" i="3"/>
  <c r="FM19" i="80" s="1"/>
  <c r="BV409" i="3"/>
  <c r="FD19" i="80" s="1"/>
  <c r="EG283" i="3"/>
  <c r="EG877" i="3"/>
  <c r="EG875" i="3"/>
  <c r="EG244" i="3"/>
  <c r="EG411" i="3"/>
  <c r="BP409" i="3"/>
  <c r="ER19" i="80" s="1"/>
  <c r="CF411" i="3"/>
  <c r="CF440" i="3" s="1"/>
  <c r="EG300" i="3"/>
  <c r="EG849" i="3"/>
  <c r="CM409" i="3"/>
  <c r="CM442" i="3"/>
  <c r="CC10" i="3"/>
  <c r="CC240" i="3" s="1"/>
  <c r="CS273" i="4"/>
  <c r="CT273" i="4" s="1"/>
  <c r="CU273" i="4" s="1"/>
  <c r="CT136" i="4"/>
  <c r="CU136" i="4" s="1"/>
  <c r="EG243" i="3"/>
  <c r="EH243" i="3" s="1"/>
  <c r="EI243" i="3" s="1"/>
  <c r="EG12" i="3"/>
  <c r="CT916" i="3"/>
  <c r="CT919" i="3"/>
  <c r="CT931" i="3" s="1"/>
  <c r="DC913" i="3"/>
  <c r="DC930" i="3"/>
  <c r="CH923" i="3"/>
  <c r="CK929" i="3"/>
  <c r="CJ923" i="3"/>
  <c r="BE369" i="4"/>
  <c r="AV356" i="4"/>
  <c r="AV359" i="4" s="1"/>
  <c r="AV386" i="4"/>
  <c r="BC356" i="4"/>
  <c r="DC919" i="3"/>
  <c r="DC931" i="3"/>
  <c r="EG304" i="3"/>
  <c r="EH304" i="3" s="1"/>
  <c r="EI304" i="3" s="1"/>
  <c r="CM916" i="3"/>
  <c r="CE893" i="3"/>
  <c r="BD932" i="3"/>
  <c r="CM929" i="3"/>
  <c r="CG916" i="3"/>
  <c r="CG919" i="3"/>
  <c r="CG931" i="3"/>
  <c r="CV919" i="3"/>
  <c r="CV931" i="3" s="1"/>
  <c r="CI923" i="3"/>
  <c r="CK923" i="3"/>
  <c r="DK919" i="3"/>
  <c r="DK931" i="3" s="1"/>
  <c r="DE919" i="3"/>
  <c r="DE931" i="3"/>
  <c r="CL923" i="3"/>
  <c r="CM923" i="3"/>
  <c r="CL916" i="3"/>
  <c r="AD932" i="3"/>
  <c r="S893" i="3"/>
  <c r="AS919" i="3"/>
  <c r="AS931" i="3"/>
  <c r="CR893" i="3"/>
  <c r="CJ916" i="3"/>
  <c r="DN913" i="3"/>
  <c r="DN930" i="3" s="1"/>
  <c r="CV911" i="3"/>
  <c r="CV913" i="3"/>
  <c r="CV930" i="3" s="1"/>
  <c r="DH919" i="3"/>
  <c r="DH931" i="3"/>
  <c r="DN919" i="3"/>
  <c r="DN931" i="3" s="1"/>
  <c r="DN922" i="3"/>
  <c r="DN901" i="3"/>
  <c r="DN928" i="3"/>
  <c r="CX901" i="3"/>
  <c r="CX928" i="3"/>
  <c r="DK922" i="3"/>
  <c r="DK901" i="3"/>
  <c r="DK928" i="3"/>
  <c r="DH923" i="3"/>
  <c r="CZ911" i="3"/>
  <c r="CZ913" i="3"/>
  <c r="CZ930" i="3" s="1"/>
  <c r="AT377" i="4"/>
  <c r="AT389" i="4"/>
  <c r="DK913" i="3"/>
  <c r="DK930" i="3" s="1"/>
  <c r="DN923" i="3"/>
  <c r="DH922" i="3"/>
  <c r="DH901" i="3"/>
  <c r="DH928" i="3"/>
  <c r="DE901" i="3"/>
  <c r="DE928" i="3" s="1"/>
  <c r="DE922" i="3"/>
  <c r="DH913" i="3"/>
  <c r="DH930" i="3" s="1"/>
  <c r="CX919" i="3"/>
  <c r="CX931" i="3" s="1"/>
  <c r="CZ901" i="3"/>
  <c r="CZ928" i="3"/>
  <c r="BC932" i="3"/>
  <c r="S918" i="3"/>
  <c r="AQ893" i="3"/>
  <c r="CC916" i="3"/>
  <c r="CH893" i="3"/>
  <c r="BM932" i="3"/>
  <c r="BI925" i="3"/>
  <c r="CE918" i="3"/>
  <c r="CX911" i="3"/>
  <c r="CX913" i="3"/>
  <c r="CX930" i="3"/>
  <c r="DK923" i="3"/>
  <c r="CH900" i="3"/>
  <c r="AL925" i="3"/>
  <c r="Y932" i="3"/>
  <c r="CB918" i="3"/>
  <c r="CW911" i="3"/>
  <c r="DA901" i="3"/>
  <c r="DA928" i="3"/>
  <c r="DA923" i="3"/>
  <c r="DE913" i="3"/>
  <c r="DE930" i="3" s="1"/>
  <c r="DE923" i="3"/>
  <c r="DA919" i="3"/>
  <c r="DA931" i="3" s="1"/>
  <c r="DA913" i="3"/>
  <c r="DA930" i="3" s="1"/>
  <c r="DA922" i="3"/>
  <c r="CK918" i="3"/>
  <c r="CL898" i="3"/>
  <c r="CL901" i="3"/>
  <c r="CL928" i="3"/>
  <c r="CK898" i="3"/>
  <c r="CI898" i="3"/>
  <c r="CI901" i="3" s="1"/>
  <c r="CI928" i="3" s="1"/>
  <c r="CH918" i="3"/>
  <c r="CM918" i="3"/>
  <c r="CJ918" i="3"/>
  <c r="CL918" i="3"/>
  <c r="CK916" i="3"/>
  <c r="CH898" i="3"/>
  <c r="CI918" i="3"/>
  <c r="CM898" i="3"/>
  <c r="CM901" i="3"/>
  <c r="CM928" i="3" s="1"/>
  <c r="CP922" i="3"/>
  <c r="BG359" i="4"/>
  <c r="BG386" i="4" s="1"/>
  <c r="AX377" i="4"/>
  <c r="AX389" i="4" s="1"/>
  <c r="AS356" i="4"/>
  <c r="AW356" i="4"/>
  <c r="AW359" i="4" s="1"/>
  <c r="AW386" i="4" s="1"/>
  <c r="AU371" i="4"/>
  <c r="AU388" i="4" s="1"/>
  <c r="AS371" i="4"/>
  <c r="AS388" i="4" s="1"/>
  <c r="BN377" i="4"/>
  <c r="BN389" i="4" s="1"/>
  <c r="BV919" i="3"/>
  <c r="BV931" i="3" s="1"/>
  <c r="CK893" i="3"/>
  <c r="CC918" i="3"/>
  <c r="AZ922" i="3"/>
  <c r="AS913" i="3"/>
  <c r="AS930" i="3"/>
  <c r="BH922" i="3"/>
  <c r="BH925" i="3" s="1"/>
  <c r="AR901" i="3"/>
  <c r="AR928" i="3" s="1"/>
  <c r="AU893" i="3"/>
  <c r="CD900" i="3"/>
  <c r="CF893" i="3"/>
  <c r="CJ893" i="3"/>
  <c r="AL932" i="3"/>
  <c r="AT913" i="3"/>
  <c r="AT930" i="3"/>
  <c r="CI893" i="3"/>
  <c r="BI932" i="3"/>
  <c r="BA925" i="3"/>
  <c r="CF918" i="3"/>
  <c r="AS901" i="3"/>
  <c r="AS928" i="3"/>
  <c r="T925" i="3"/>
  <c r="CM893" i="3"/>
  <c r="V932" i="3"/>
  <c r="AU913" i="3"/>
  <c r="AU930" i="3" s="1"/>
  <c r="CQ923" i="3"/>
  <c r="AT901" i="3"/>
  <c r="AT928" i="3"/>
  <c r="AT923" i="3"/>
  <c r="AT922" i="3"/>
  <c r="AM932" i="3"/>
  <c r="CE46" i="3"/>
  <c r="BA932" i="3"/>
  <c r="CD916" i="3"/>
  <c r="T932" i="3"/>
  <c r="CB893" i="3"/>
  <c r="AV893" i="3"/>
  <c r="M350" i="4"/>
  <c r="T267" i="4"/>
  <c r="T350" i="4" s="1"/>
  <c r="Q381" i="4"/>
  <c r="R380" i="4"/>
  <c r="CW904" i="3"/>
  <c r="M381" i="4"/>
  <c r="H350" i="4"/>
  <c r="Z922" i="3"/>
  <c r="Z925" i="3" s="1"/>
  <c r="BC925" i="3"/>
  <c r="AC922" i="3"/>
  <c r="AC925" i="3" s="1"/>
  <c r="AR922" i="3"/>
  <c r="L932" i="3"/>
  <c r="BK932" i="3"/>
  <c r="L922" i="3"/>
  <c r="L925" i="3"/>
  <c r="AP932" i="3"/>
  <c r="CQ913" i="3"/>
  <c r="CQ930" i="3" s="1"/>
  <c r="CR919" i="3"/>
  <c r="CR931" i="3"/>
  <c r="AC932" i="3"/>
  <c r="N919" i="3"/>
  <c r="N931" i="3" s="1"/>
  <c r="N932" i="3" s="1"/>
  <c r="M923" i="3"/>
  <c r="M925" i="3" s="1"/>
  <c r="AB919" i="3"/>
  <c r="AB931" i="3"/>
  <c r="AB932" i="3" s="1"/>
  <c r="CX905" i="3"/>
  <c r="AV381" i="4"/>
  <c r="AN359" i="4"/>
  <c r="AN386" i="4" s="1"/>
  <c r="S371" i="4"/>
  <c r="S388" i="4" s="1"/>
  <c r="V68" i="4"/>
  <c r="V119" i="4" s="1"/>
  <c r="U119" i="4"/>
  <c r="CS244" i="4"/>
  <c r="CT244" i="4" s="1"/>
  <c r="CU244" i="4" s="1"/>
  <c r="CP919" i="3"/>
  <c r="CP931" i="3"/>
  <c r="AR919" i="3"/>
  <c r="AR931" i="3"/>
  <c r="CQ919" i="3"/>
  <c r="CQ931" i="3"/>
  <c r="AY925" i="3"/>
  <c r="Q922" i="3"/>
  <c r="BK922" i="3"/>
  <c r="BK925" i="3"/>
  <c r="P922" i="3"/>
  <c r="N359" i="4"/>
  <c r="N386" i="4" s="1"/>
  <c r="CG923" i="3"/>
  <c r="AS923" i="3"/>
  <c r="CR913" i="3"/>
  <c r="CR930" i="3" s="1"/>
  <c r="BC377" i="4"/>
  <c r="BC389" i="4"/>
  <c r="CR923" i="3"/>
  <c r="CP923" i="3"/>
  <c r="CE923" i="3"/>
  <c r="CD923" i="3"/>
  <c r="CC923" i="3"/>
  <c r="CB923" i="3"/>
  <c r="AR913" i="3"/>
  <c r="AR930" i="3" s="1"/>
  <c r="AW329" i="3"/>
  <c r="R377" i="4"/>
  <c r="R389" i="4" s="1"/>
  <c r="CF923" i="3"/>
  <c r="AR923" i="3"/>
  <c r="AT919" i="3"/>
  <c r="AT931" i="3" s="1"/>
  <c r="CP913" i="3"/>
  <c r="CP930" i="3"/>
  <c r="CD918" i="3"/>
  <c r="CB898" i="3"/>
  <c r="CB901" i="3"/>
  <c r="CB928" i="3"/>
  <c r="O359" i="4"/>
  <c r="O386" i="4" s="1"/>
  <c r="I359" i="4"/>
  <c r="I386" i="4" s="1"/>
  <c r="I380" i="4"/>
  <c r="AO359" i="4"/>
  <c r="AO386" i="4" s="1"/>
  <c r="G380" i="4"/>
  <c r="G359" i="4"/>
  <c r="G386" i="4" s="1"/>
  <c r="G390" i="4" s="1"/>
  <c r="G350" i="4"/>
  <c r="R359" i="4"/>
  <c r="R386" i="4" s="1"/>
  <c r="L380" i="4"/>
  <c r="Z357" i="4"/>
  <c r="Z336" i="4"/>
  <c r="BD359" i="4"/>
  <c r="BD386" i="4" s="1"/>
  <c r="Q359" i="4"/>
  <c r="Q386" i="4" s="1"/>
  <c r="H380" i="4"/>
  <c r="H359" i="4"/>
  <c r="H386" i="4"/>
  <c r="S350" i="4"/>
  <c r="BL918" i="3"/>
  <c r="BL893" i="3"/>
  <c r="H913" i="3"/>
  <c r="H930" i="3" s="1"/>
  <c r="H932" i="3" s="1"/>
  <c r="BE932" i="3"/>
  <c r="BU916" i="3"/>
  <c r="BU919" i="3"/>
  <c r="BU931" i="3"/>
  <c r="AW261" i="3"/>
  <c r="AV913" i="3"/>
  <c r="AV930" i="3" s="1"/>
  <c r="BM925" i="3"/>
  <c r="BG918" i="3"/>
  <c r="BG893" i="3"/>
  <c r="EH449" i="3"/>
  <c r="EI449" i="3" s="1"/>
  <c r="AN932" i="3"/>
  <c r="J932" i="3"/>
  <c r="CP901" i="3"/>
  <c r="CP928" i="3"/>
  <c r="EG856" i="3"/>
  <c r="EG855" i="3" s="1"/>
  <c r="BJ919" i="3"/>
  <c r="BJ931" i="3"/>
  <c r="BJ932" i="3"/>
  <c r="W919" i="3"/>
  <c r="W931" i="3"/>
  <c r="W932" i="3"/>
  <c r="CH916" i="3"/>
  <c r="CI916" i="3"/>
  <c r="DC922" i="3"/>
  <c r="J922" i="3"/>
  <c r="J925" i="3"/>
  <c r="BF932" i="3"/>
  <c r="CO925" i="3"/>
  <c r="BB919" i="3"/>
  <c r="BB931" i="3"/>
  <c r="BB932" i="3" s="1"/>
  <c r="BW916" i="3"/>
  <c r="AQ922" i="3"/>
  <c r="I925" i="3"/>
  <c r="AF919" i="3"/>
  <c r="AF931" i="3" s="1"/>
  <c r="AF932" i="3" s="1"/>
  <c r="BH932" i="3"/>
  <c r="CQ901" i="3"/>
  <c r="CQ928" i="3"/>
  <c r="AJ932" i="3"/>
  <c r="AG918" i="3"/>
  <c r="AG893" i="3"/>
  <c r="AW893" i="3"/>
  <c r="AW918" i="3"/>
  <c r="EG845" i="3"/>
  <c r="AE932" i="3"/>
  <c r="BN916" i="3"/>
  <c r="O919" i="3"/>
  <c r="O931" i="3" s="1"/>
  <c r="AO919" i="3"/>
  <c r="AO931" i="3" s="1"/>
  <c r="AO932" i="3" s="1"/>
  <c r="CQ922" i="3"/>
  <c r="AJ922" i="3"/>
  <c r="AJ925" i="3" s="1"/>
  <c r="AP925" i="3"/>
  <c r="AF922" i="3"/>
  <c r="AM925" i="3"/>
  <c r="CG901" i="3"/>
  <c r="CG928" i="3"/>
  <c r="AW917" i="3"/>
  <c r="EG769" i="3"/>
  <c r="BG917" i="3"/>
  <c r="BG923" i="3"/>
  <c r="BG814" i="3"/>
  <c r="AI922" i="3"/>
  <c r="X919" i="3"/>
  <c r="X931" i="3"/>
  <c r="AS922" i="3"/>
  <c r="P932" i="3"/>
  <c r="AA932" i="3"/>
  <c r="AD925" i="3"/>
  <c r="AX918" i="3"/>
  <c r="AX893" i="3"/>
  <c r="CD893" i="3"/>
  <c r="BY916" i="3"/>
  <c r="BY919" i="3" s="1"/>
  <c r="BY931" i="3" s="1"/>
  <c r="G919" i="3"/>
  <c r="G931" i="3"/>
  <c r="G932" i="3"/>
  <c r="AK932" i="3"/>
  <c r="BR916" i="3"/>
  <c r="AA922" i="3"/>
  <c r="AA925" i="3" s="1"/>
  <c r="CB910" i="3"/>
  <c r="CB913" i="3"/>
  <c r="CB930" i="3"/>
  <c r="CB442" i="3"/>
  <c r="O922" i="3"/>
  <c r="X922" i="3"/>
  <c r="BP916" i="3"/>
  <c r="BQ916" i="3"/>
  <c r="BQ919" i="3"/>
  <c r="BQ931" i="3" s="1"/>
  <c r="Y925" i="3"/>
  <c r="V925" i="3"/>
  <c r="BT442" i="3"/>
  <c r="T19" i="80"/>
  <c r="T29" i="80" s="1"/>
  <c r="GS20" i="80"/>
  <c r="GS30" i="80" s="1"/>
  <c r="GT30" i="80"/>
  <c r="GT31" i="80"/>
  <c r="GT21" i="80"/>
  <c r="GO30" i="80"/>
  <c r="EO30" i="80"/>
  <c r="JD11" i="80"/>
  <c r="AJ40" i="80" s="1"/>
  <c r="ET29" i="80"/>
  <c r="ES19" i="80"/>
  <c r="HE21" i="80"/>
  <c r="HF30" i="80"/>
  <c r="FJ29" i="80"/>
  <c r="FK19" i="80"/>
  <c r="FI19" i="80"/>
  <c r="FF17" i="80"/>
  <c r="FF27" i="80" s="1"/>
  <c r="FG27" i="80"/>
  <c r="FG21" i="80"/>
  <c r="FH17" i="80"/>
  <c r="HC30" i="80"/>
  <c r="HH30" i="80"/>
  <c r="EY17" i="80"/>
  <c r="EZ27" i="80"/>
  <c r="FN19" i="80"/>
  <c r="FN29" i="80" s="1"/>
  <c r="FM29" i="80"/>
  <c r="FL19" i="80"/>
  <c r="FL29" i="80" s="1"/>
  <c r="BU442" i="3"/>
  <c r="FB19" i="80"/>
  <c r="FB29" i="80" s="1"/>
  <c r="EG840" i="3"/>
  <c r="HA21" i="80"/>
  <c r="GY21" i="80"/>
  <c r="IF28" i="80"/>
  <c r="IF31" i="80" s="1"/>
  <c r="IF11" i="80"/>
  <c r="GW21" i="80"/>
  <c r="BG27" i="80"/>
  <c r="BX27" i="80"/>
  <c r="BY27" i="80"/>
  <c r="BY31" i="80" s="1"/>
  <c r="M29" i="80"/>
  <c r="CZ905" i="3"/>
  <c r="BR919" i="3"/>
  <c r="BR931" i="3"/>
  <c r="CB138" i="4"/>
  <c r="CC138" i="4"/>
  <c r="CC152" i="4"/>
  <c r="CB152" i="4"/>
  <c r="ER21" i="78"/>
  <c r="FD21" i="78"/>
  <c r="EQ20" i="78"/>
  <c r="FC20" i="78"/>
  <c r="EH30" i="78"/>
  <c r="DZ19" i="78"/>
  <c r="DK19" i="78"/>
  <c r="FD30" i="78"/>
  <c r="DV20" i="78"/>
  <c r="DT19" i="78"/>
  <c r="DU19" i="78" s="1"/>
  <c r="FA20" i="78"/>
  <c r="DO19" i="78"/>
  <c r="DN19" i="78" s="1"/>
  <c r="EV21" i="78"/>
  <c r="DA19" i="78"/>
  <c r="DW19" i="78"/>
  <c r="DX19" i="78" s="1"/>
  <c r="DX29" i="78" s="1"/>
  <c r="DE19" i="78"/>
  <c r="DC19" i="78"/>
  <c r="DC29" i="78" s="1"/>
  <c r="DM19" i="78"/>
  <c r="DL19" i="78" s="1"/>
  <c r="DG19" i="78"/>
  <c r="DM17" i="78"/>
  <c r="DL17" i="78" s="1"/>
  <c r="DL27" i="78" s="1"/>
  <c r="BO893" i="3"/>
  <c r="DQ19" i="78"/>
  <c r="DR19" i="78" s="1"/>
  <c r="DR29" i="78" s="1"/>
  <c r="DT17" i="78"/>
  <c r="DS17" i="78" s="1"/>
  <c r="DS27" i="78" s="1"/>
  <c r="BN919" i="3"/>
  <c r="BN931" i="3" s="1"/>
  <c r="AF371" i="4"/>
  <c r="AF388" i="4"/>
  <c r="T10" i="78"/>
  <c r="S20" i="78"/>
  <c r="AV19" i="78"/>
  <c r="AW29" i="78"/>
  <c r="AW31" i="78" s="1"/>
  <c r="AZ19" i="78"/>
  <c r="BA9" i="78"/>
  <c r="BA29" i="78" s="1"/>
  <c r="AA356" i="4"/>
  <c r="AA359" i="4"/>
  <c r="AA386" i="4" s="1"/>
  <c r="J17" i="78"/>
  <c r="I17" i="78" s="1"/>
  <c r="I27" i="78" s="1"/>
  <c r="AM19" i="78"/>
  <c r="AT17" i="78"/>
  <c r="AU27" i="78"/>
  <c r="BK17" i="78"/>
  <c r="BK27" i="78" s="1"/>
  <c r="AA19" i="78"/>
  <c r="AA29" i="78" s="1"/>
  <c r="BK9" i="57"/>
  <c r="BH17" i="78"/>
  <c r="BI7" i="78"/>
  <c r="BI27" i="78" s="1"/>
  <c r="AY19" i="78"/>
  <c r="AS19" i="78"/>
  <c r="AR19" i="78" s="1"/>
  <c r="AR29" i="78" s="1"/>
  <c r="BF19" i="78"/>
  <c r="BG19" i="78" s="1"/>
  <c r="AD356" i="4"/>
  <c r="AD359" i="4" s="1"/>
  <c r="AD386" i="4" s="1"/>
  <c r="P17" i="78"/>
  <c r="BB27" i="78"/>
  <c r="S19" i="78"/>
  <c r="T9" i="78"/>
  <c r="KZ9" i="78" s="1"/>
  <c r="AT19" i="78"/>
  <c r="AU29" i="78"/>
  <c r="K19" i="78"/>
  <c r="L29" i="78"/>
  <c r="AY7" i="78"/>
  <c r="AX17" i="78"/>
  <c r="AN19" i="78"/>
  <c r="DF20" i="78"/>
  <c r="DG30" i="78"/>
  <c r="EM20" i="78"/>
  <c r="DY20" i="78"/>
  <c r="DZ30" i="78"/>
  <c r="DZ17" i="78"/>
  <c r="DY17" i="78" s="1"/>
  <c r="DY27" i="78" s="1"/>
  <c r="FS8" i="78"/>
  <c r="EJ20" i="78"/>
  <c r="BO918" i="3"/>
  <c r="DJ19" i="78"/>
  <c r="DK29" i="78"/>
  <c r="DV17" i="78"/>
  <c r="DW27" i="78"/>
  <c r="ET20" i="78"/>
  <c r="ET30" i="78" s="1"/>
  <c r="ET31" i="78" s="1"/>
  <c r="DJ20" i="78"/>
  <c r="EO20" i="78"/>
  <c r="EP30" i="78"/>
  <c r="EP31" i="78" s="1"/>
  <c r="EP21" i="78"/>
  <c r="DS20" i="78"/>
  <c r="DP20" i="78"/>
  <c r="BV910" i="3"/>
  <c r="BV913" i="3" s="1"/>
  <c r="BV930" i="3" s="1"/>
  <c r="BW898" i="3"/>
  <c r="BW901" i="3" s="1"/>
  <c r="BW928" i="3" s="1"/>
  <c r="BY910" i="3"/>
  <c r="BY913" i="3"/>
  <c r="BY930" i="3" s="1"/>
  <c r="BS910" i="3"/>
  <c r="BS913" i="3"/>
  <c r="BS930" i="3"/>
  <c r="BY898" i="3"/>
  <c r="BW910" i="3"/>
  <c r="BW913" i="3" s="1"/>
  <c r="BW930" i="3" s="1"/>
  <c r="BW893" i="3"/>
  <c r="BN910" i="3"/>
  <c r="BN913" i="3"/>
  <c r="BN930" i="3" s="1"/>
  <c r="BU910" i="3"/>
  <c r="BU913" i="3"/>
  <c r="BU930" i="3"/>
  <c r="BP910" i="3"/>
  <c r="BP913" i="3"/>
  <c r="BP930" i="3"/>
  <c r="BX910" i="3"/>
  <c r="BX913" i="3" s="1"/>
  <c r="BX930" i="3" s="1"/>
  <c r="BO910" i="3"/>
  <c r="BO913" i="3" s="1"/>
  <c r="BO930" i="3" s="1"/>
  <c r="BT910" i="3"/>
  <c r="BT913" i="3"/>
  <c r="BT930" i="3" s="1"/>
  <c r="BQ910" i="3"/>
  <c r="BQ913" i="3"/>
  <c r="BQ930" i="3" s="1"/>
  <c r="BT898" i="3"/>
  <c r="BT901" i="3"/>
  <c r="BT928" i="3"/>
  <c r="CD910" i="3"/>
  <c r="CD913" i="3" s="1"/>
  <c r="CD930" i="3" s="1"/>
  <c r="BP919" i="3"/>
  <c r="BP931" i="3"/>
  <c r="BW918" i="3"/>
  <c r="CI910" i="3"/>
  <c r="CI913" i="3" s="1"/>
  <c r="CI930" i="3" s="1"/>
  <c r="CS153" i="4"/>
  <c r="CT156" i="4"/>
  <c r="BO157" i="4"/>
  <c r="BO153" i="4"/>
  <c r="CT196" i="4"/>
  <c r="CS193" i="4"/>
  <c r="AH369" i="4"/>
  <c r="AH336" i="4"/>
  <c r="DB655" i="3"/>
  <c r="DB905" i="3"/>
  <c r="AB369" i="4"/>
  <c r="CT814" i="3"/>
  <c r="AE369" i="4"/>
  <c r="AE336" i="4"/>
  <c r="Y369" i="4"/>
  <c r="CT75" i="4"/>
  <c r="CT255" i="4"/>
  <c r="BG121" i="4"/>
  <c r="BG169" i="4" s="1"/>
  <c r="BG362" i="4" s="1"/>
  <c r="CT238" i="4"/>
  <c r="CU238" i="4" s="1"/>
  <c r="CT198" i="4"/>
  <c r="CM910" i="3"/>
  <c r="CM913" i="3"/>
  <c r="CM930" i="3" s="1"/>
  <c r="CT905" i="3"/>
  <c r="CT923" i="3"/>
  <c r="CH910" i="3"/>
  <c r="CH922" i="3" s="1"/>
  <c r="CH913" i="3"/>
  <c r="CH930" i="3" s="1"/>
  <c r="CC910" i="3"/>
  <c r="CC913" i="3"/>
  <c r="CC930" i="3" s="1"/>
  <c r="CK442" i="3"/>
  <c r="CI442" i="3"/>
  <c r="CF916" i="3"/>
  <c r="CF919" i="3"/>
  <c r="CF931" i="3" s="1"/>
  <c r="BY442" i="3"/>
  <c r="CE916" i="3"/>
  <c r="CE919" i="3" s="1"/>
  <c r="CE931" i="3" s="1"/>
  <c r="BT893" i="3"/>
  <c r="BT918" i="3"/>
  <c r="EH821" i="3"/>
  <c r="EH820" i="3" s="1"/>
  <c r="BV442" i="3"/>
  <c r="CG442" i="3"/>
  <c r="DG637" i="3"/>
  <c r="DG628" i="3" s="1"/>
  <c r="CL910" i="3"/>
  <c r="CL913" i="3"/>
  <c r="CL930" i="3"/>
  <c r="CG910" i="3"/>
  <c r="CG913" i="3" s="1"/>
  <c r="CG930" i="3" s="1"/>
  <c r="BX442" i="3"/>
  <c r="BW442" i="3"/>
  <c r="EH841" i="3"/>
  <c r="EH840" i="3"/>
  <c r="EH853" i="3" s="1"/>
  <c r="EH912" i="3" s="1"/>
  <c r="BQ10" i="3"/>
  <c r="BR46" i="3"/>
  <c r="EH300" i="3"/>
  <c r="EI300" i="3" s="1"/>
  <c r="DJ646" i="3"/>
  <c r="EH877" i="3"/>
  <c r="EH875" i="3"/>
  <c r="EH283" i="3"/>
  <c r="EH884" i="3"/>
  <c r="EH882" i="3" s="1"/>
  <c r="CF46" i="3"/>
  <c r="CF10" i="3"/>
  <c r="CF240" i="3" s="1"/>
  <c r="CF898" i="3" s="1"/>
  <c r="EH12" i="3"/>
  <c r="EI12" i="3" s="1"/>
  <c r="CI919" i="3"/>
  <c r="CI931" i="3"/>
  <c r="CB919" i="3"/>
  <c r="CB931" i="3" s="1"/>
  <c r="CX923" i="3"/>
  <c r="CH919" i="3"/>
  <c r="CH931" i="3"/>
  <c r="CH901" i="3"/>
  <c r="CH928" i="3" s="1"/>
  <c r="CK901" i="3"/>
  <c r="CK928" i="3" s="1"/>
  <c r="CC919" i="3"/>
  <c r="CC931" i="3"/>
  <c r="CM919" i="3"/>
  <c r="CM931" i="3"/>
  <c r="CL919" i="3"/>
  <c r="CL931" i="3"/>
  <c r="CK919" i="3"/>
  <c r="CK931" i="3"/>
  <c r="CP925" i="3"/>
  <c r="CJ919" i="3"/>
  <c r="CJ931" i="3"/>
  <c r="DE925" i="3"/>
  <c r="CV923" i="3"/>
  <c r="CZ923" i="3"/>
  <c r="CD919" i="3"/>
  <c r="CD931" i="3" s="1"/>
  <c r="AW919" i="3"/>
  <c r="AW931" i="3" s="1"/>
  <c r="U356" i="4"/>
  <c r="U380" i="4" s="1"/>
  <c r="AW409" i="3"/>
  <c r="AW910" i="3" s="1"/>
  <c r="AW913" i="3" s="1"/>
  <c r="AW930" i="3" s="1"/>
  <c r="CB922" i="3"/>
  <c r="CQ925" i="3"/>
  <c r="EH769" i="3"/>
  <c r="EH766" i="3"/>
  <c r="EH810" i="3" s="1"/>
  <c r="EH856" i="3"/>
  <c r="EH855" i="3" s="1"/>
  <c r="EH891" i="3" s="1"/>
  <c r="EH918" i="3" s="1"/>
  <c r="EY27" i="80"/>
  <c r="FH27" i="80"/>
  <c r="ES29" i="80"/>
  <c r="PM19" i="80"/>
  <c r="DS19" i="78"/>
  <c r="DS29" i="78" s="1"/>
  <c r="BU922" i="3"/>
  <c r="BU925" i="3"/>
  <c r="DV19" i="78"/>
  <c r="DO29" i="78"/>
  <c r="EZ20" i="78"/>
  <c r="EZ30" i="78" s="1"/>
  <c r="DW29" i="78"/>
  <c r="DT27" i="78"/>
  <c r="DQ29" i="78"/>
  <c r="DW21" i="78"/>
  <c r="DP19" i="78"/>
  <c r="DP29" i="78" s="1"/>
  <c r="BY922" i="3"/>
  <c r="AS29" i="78"/>
  <c r="AV21" i="78"/>
  <c r="AY27" i="78"/>
  <c r="AT27" i="78"/>
  <c r="BF9" i="78"/>
  <c r="BF29" i="78" s="1"/>
  <c r="AX19" i="78"/>
  <c r="O17" i="78"/>
  <c r="P27" i="78"/>
  <c r="T30" i="78"/>
  <c r="BT922" i="3"/>
  <c r="DP30" i="78"/>
  <c r="DV27" i="78"/>
  <c r="EI20" i="78"/>
  <c r="FI20" i="78" s="1"/>
  <c r="EJ21" i="78"/>
  <c r="DV29" i="78"/>
  <c r="DF30" i="78"/>
  <c r="EO30" i="78"/>
  <c r="EO21" i="78"/>
  <c r="DJ29" i="78"/>
  <c r="FS28" i="78"/>
  <c r="FS11" i="78"/>
  <c r="DZ21" i="78"/>
  <c r="ES20" i="78"/>
  <c r="ES21" i="78" s="1"/>
  <c r="BO919" i="3"/>
  <c r="BO931" i="3"/>
  <c r="EI439" i="3"/>
  <c r="EI435" i="3" s="1"/>
  <c r="EI877" i="3"/>
  <c r="EI875" i="3"/>
  <c r="EI884" i="3"/>
  <c r="EI882" i="3" s="1"/>
  <c r="EI821" i="3"/>
  <c r="EI820" i="3" s="1"/>
  <c r="EI283" i="3"/>
  <c r="EI856" i="3"/>
  <c r="EI855" i="3" s="1"/>
  <c r="EI841" i="3"/>
  <c r="EI840" i="3" s="1"/>
  <c r="EI853" i="3" s="1"/>
  <c r="EI912" i="3" s="1"/>
  <c r="EI769" i="3"/>
  <c r="EI766" i="3" s="1"/>
  <c r="EI810" i="3" s="1"/>
  <c r="EI666" i="3"/>
  <c r="BW919" i="3"/>
  <c r="BW931" i="3"/>
  <c r="CI922" i="3"/>
  <c r="CM922" i="3"/>
  <c r="BR157" i="4"/>
  <c r="BR153" i="4"/>
  <c r="CU75" i="4"/>
  <c r="CU255" i="4"/>
  <c r="CT153" i="4"/>
  <c r="CU156" i="4"/>
  <c r="CU153" i="4" s="1"/>
  <c r="CT193" i="4"/>
  <c r="CU196" i="4"/>
  <c r="CU193" i="4" s="1"/>
  <c r="AB371" i="4"/>
  <c r="AB388" i="4"/>
  <c r="DB814" i="3"/>
  <c r="CG922" i="3"/>
  <c r="CG925" i="3"/>
  <c r="CL922" i="3"/>
  <c r="BT919" i="3"/>
  <c r="BT931" i="3"/>
  <c r="BQ240" i="3"/>
  <c r="ET17" i="80" s="1"/>
  <c r="ET27" i="80" s="1"/>
  <c r="DJ637" i="3"/>
  <c r="DM646" i="3"/>
  <c r="BR10" i="3"/>
  <c r="BR240" i="3" s="1"/>
  <c r="DI17" i="78" s="1"/>
  <c r="DB923" i="3"/>
  <c r="EI30" i="78"/>
  <c r="BQ898" i="3"/>
  <c r="BU157" i="4"/>
  <c r="BU153" i="4"/>
  <c r="DM637" i="3"/>
  <c r="DP637" i="3" s="1"/>
  <c r="BQ442" i="3"/>
  <c r="BR898" i="3"/>
  <c r="DP646" i="3"/>
  <c r="BQ922" i="3"/>
  <c r="BX157" i="4"/>
  <c r="DR646" i="3"/>
  <c r="CA156" i="4"/>
  <c r="CB156" i="4" s="1"/>
  <c r="CA157" i="4"/>
  <c r="DR637" i="3"/>
  <c r="DQ853" i="3"/>
  <c r="DQ912" i="3" s="1"/>
  <c r="DQ891" i="3"/>
  <c r="DQ918" i="3" s="1"/>
  <c r="CS917" i="3"/>
  <c r="CS905" i="3"/>
  <c r="CS918" i="3"/>
  <c r="CS916" i="3"/>
  <c r="CS919" i="3" s="1"/>
  <c r="CS931" i="3" s="1"/>
  <c r="DQ833" i="3"/>
  <c r="DQ900" i="3" s="1"/>
  <c r="CS911" i="3"/>
  <c r="CS910" i="3"/>
  <c r="CW905" i="3"/>
  <c r="CS912" i="3"/>
  <c r="CS904" i="3"/>
  <c r="CW923" i="3"/>
  <c r="CY905" i="3"/>
  <c r="CS899" i="3"/>
  <c r="CS893" i="3"/>
  <c r="CS900" i="3"/>
  <c r="CS924" i="3" s="1"/>
  <c r="CS898" i="3"/>
  <c r="CS901" i="3" s="1"/>
  <c r="CS922" i="3"/>
  <c r="CS442" i="3"/>
  <c r="CY923" i="3"/>
  <c r="CS928" i="3"/>
  <c r="CB295" i="4"/>
  <c r="BY369" i="4"/>
  <c r="BL72" i="4"/>
  <c r="CB7" i="4"/>
  <c r="BL7" i="4"/>
  <c r="BL119" i="4" s="1"/>
  <c r="CB72" i="4"/>
  <c r="BA169" i="4"/>
  <c r="F8" i="78" s="1"/>
  <c r="BY169" i="4"/>
  <c r="AD8" i="78" s="1"/>
  <c r="BL169" i="4"/>
  <c r="Q8" i="78" s="1"/>
  <c r="KW8" i="78" s="1"/>
  <c r="BE169" i="4"/>
  <c r="J8" i="80"/>
  <c r="BP169" i="4"/>
  <c r="U8" i="80" s="1"/>
  <c r="BH169" i="4"/>
  <c r="M8" i="80" s="1"/>
  <c r="BS169" i="4"/>
  <c r="BS362" i="4" s="1"/>
  <c r="BC169" i="4"/>
  <c r="BC267" i="4" s="1"/>
  <c r="BV169" i="4"/>
  <c r="BV362" i="4" s="1"/>
  <c r="BV365" i="4" s="1"/>
  <c r="BV387" i="4" s="1"/>
  <c r="BB169" i="4"/>
  <c r="G8" i="80" s="1"/>
  <c r="BD169" i="4"/>
  <c r="I8" i="78" s="1"/>
  <c r="I11" i="78" s="1"/>
  <c r="BJ169" i="4"/>
  <c r="BJ362" i="4" s="1"/>
  <c r="BN169" i="4"/>
  <c r="BF169" i="4"/>
  <c r="K8" i="80" s="1"/>
  <c r="G8" i="78"/>
  <c r="H8" i="78"/>
  <c r="M8" i="78"/>
  <c r="J8" i="78"/>
  <c r="BB362" i="4"/>
  <c r="BH362" i="4"/>
  <c r="BY362" i="4"/>
  <c r="LJ8" i="78"/>
  <c r="BH365" i="4"/>
  <c r="BH387" i="4" s="1"/>
  <c r="Z169" i="4"/>
  <c r="H18" i="80" s="1"/>
  <c r="AK169" i="4"/>
  <c r="AB169" i="4"/>
  <c r="AH169" i="4"/>
  <c r="Y8" i="80" s="1"/>
  <c r="AE169" i="4"/>
  <c r="R8" i="80" s="1"/>
  <c r="PK18" i="80" s="1"/>
  <c r="AF169" i="4"/>
  <c r="T8" i="80" s="1"/>
  <c r="AG169" i="4"/>
  <c r="V8" i="80" s="1"/>
  <c r="AC169" i="4"/>
  <c r="N18" i="78" s="1"/>
  <c r="N18" i="80"/>
  <c r="AJ169" i="4"/>
  <c r="AE8" i="80" s="1"/>
  <c r="AD18" i="80" s="1"/>
  <c r="AD169" i="4"/>
  <c r="P18" i="78" s="1"/>
  <c r="AI169" i="4"/>
  <c r="AB18" i="78" s="1"/>
  <c r="AB8" i="78" s="1"/>
  <c r="AB28" i="78" s="1"/>
  <c r="LH28" i="78" s="1"/>
  <c r="G18" i="80"/>
  <c r="PA18" i="80"/>
  <c r="V18" i="78"/>
  <c r="W18" i="78" s="1"/>
  <c r="Z362" i="4"/>
  <c r="Z365" i="4" s="1"/>
  <c r="V8" i="78"/>
  <c r="V28" i="78" s="1"/>
  <c r="Z387" i="4"/>
  <c r="AM169" i="4"/>
  <c r="AM362" i="4" s="1"/>
  <c r="AY169" i="4"/>
  <c r="AU169" i="4"/>
  <c r="AU362" i="4"/>
  <c r="AX169" i="4"/>
  <c r="AX362" i="4" s="1"/>
  <c r="AW169" i="4"/>
  <c r="AW362" i="4" s="1"/>
  <c r="AP169" i="4"/>
  <c r="AP362" i="4" s="1"/>
  <c r="AP365" i="4" s="1"/>
  <c r="AP387" i="4" s="1"/>
  <c r="AT169" i="4"/>
  <c r="AT362" i="4" s="1"/>
  <c r="AO169" i="4"/>
  <c r="AO362" i="4" s="1"/>
  <c r="AO365" i="4" s="1"/>
  <c r="AO387" i="4" s="1"/>
  <c r="AR169" i="4"/>
  <c r="AR362" i="4" s="1"/>
  <c r="AS169" i="4"/>
  <c r="AS362" i="4" s="1"/>
  <c r="AN169" i="4"/>
  <c r="AN362" i="4" s="1"/>
  <c r="AQ169" i="4"/>
  <c r="AQ362" i="4" s="1"/>
  <c r="AV169" i="4"/>
  <c r="AV362" i="4" s="1"/>
  <c r="DC448" i="3"/>
  <c r="DC624" i="3" s="1"/>
  <c r="DJ260" i="3" l="1"/>
  <c r="DM260" i="3" s="1"/>
  <c r="DP260" i="3" s="1"/>
  <c r="DR260" i="3"/>
  <c r="DR270" i="3"/>
  <c r="DR244" i="3"/>
  <c r="DJ290" i="3"/>
  <c r="DM290" i="3" s="1"/>
  <c r="DP290" i="3" s="1"/>
  <c r="DR290" i="3"/>
  <c r="DJ271" i="3"/>
  <c r="DM271" i="3" s="1"/>
  <c r="DP271" i="3" s="1"/>
  <c r="DR271" i="3"/>
  <c r="DJ245" i="3"/>
  <c r="DM245" i="3" s="1"/>
  <c r="DP245" i="3" s="1"/>
  <c r="DR245" i="3"/>
  <c r="DJ272" i="3"/>
  <c r="DM272" i="3" s="1"/>
  <c r="DP272" i="3" s="1"/>
  <c r="DR272" i="3"/>
  <c r="DR264" i="3"/>
  <c r="DR263" i="3"/>
  <c r="DJ266" i="3"/>
  <c r="DM266" i="3" s="1"/>
  <c r="DP266" i="3" s="1"/>
  <c r="DR266" i="3"/>
  <c r="DG163" i="3"/>
  <c r="DG240" i="3" s="1"/>
  <c r="DR7" i="78" s="1"/>
  <c r="DR201" i="3"/>
  <c r="DR163" i="3" s="1"/>
  <c r="DM875" i="3"/>
  <c r="DM891" i="3" s="1"/>
  <c r="HE10" i="80" s="1"/>
  <c r="HE30" i="80" s="1"/>
  <c r="DR877" i="3"/>
  <c r="DR875" i="3" s="1"/>
  <c r="DR891" i="3" s="1"/>
  <c r="DR918" i="3" s="1"/>
  <c r="DP291" i="3"/>
  <c r="DR291" i="3"/>
  <c r="DR289" i="3"/>
  <c r="DR247" i="3"/>
  <c r="DR435" i="3"/>
  <c r="HF11" i="80"/>
  <c r="DQ258" i="3"/>
  <c r="DR261" i="3"/>
  <c r="DR575" i="3"/>
  <c r="DR448" i="3"/>
  <c r="DR10" i="3"/>
  <c r="HT9" i="80"/>
  <c r="DX912" i="3"/>
  <c r="HK9" i="80"/>
  <c r="GS11" i="80"/>
  <c r="GY29" i="80"/>
  <c r="DQ924" i="3"/>
  <c r="GL11" i="80"/>
  <c r="FK9" i="78"/>
  <c r="EE853" i="3"/>
  <c r="EE912" i="3" s="1"/>
  <c r="HF29" i="80"/>
  <c r="J27" i="78"/>
  <c r="AI371" i="4"/>
  <c r="AI388" i="4" s="1"/>
  <c r="N350" i="4"/>
  <c r="L350" i="4"/>
  <c r="I350" i="4"/>
  <c r="Q377" i="4"/>
  <c r="Q389" i="4" s="1"/>
  <c r="T40" i="57"/>
  <c r="CQ265" i="4"/>
  <c r="CQ374" i="4" s="1"/>
  <c r="AQ359" i="4"/>
  <c r="AQ386" i="4" s="1"/>
  <c r="AH371" i="4"/>
  <c r="AH388" i="4" s="1"/>
  <c r="Y7" i="4"/>
  <c r="Y119" i="4" s="1"/>
  <c r="W234" i="4"/>
  <c r="W368" i="4" s="1"/>
  <c r="W265" i="4"/>
  <c r="W374" i="4" s="1"/>
  <c r="I381" i="4"/>
  <c r="W334" i="4"/>
  <c r="W375" i="4" s="1"/>
  <c r="J377" i="4"/>
  <c r="J389" i="4" s="1"/>
  <c r="L377" i="4"/>
  <c r="L389" i="4" s="1"/>
  <c r="L390" i="4" s="1"/>
  <c r="N377" i="4"/>
  <c r="N389" i="4" s="1"/>
  <c r="T365" i="4"/>
  <c r="T387" i="4" s="1"/>
  <c r="S382" i="4"/>
  <c r="AG382" i="4"/>
  <c r="AM382" i="4"/>
  <c r="AU382" i="4"/>
  <c r="BJ382" i="4"/>
  <c r="CQ382" i="4"/>
  <c r="O377" i="4"/>
  <c r="O389" i="4" s="1"/>
  <c r="T7" i="57"/>
  <c r="FO30" i="78"/>
  <c r="AM377" i="4"/>
  <c r="AM389" i="4" s="1"/>
  <c r="BA119" i="4"/>
  <c r="F7" i="78" s="1"/>
  <c r="BP119" i="4"/>
  <c r="BP356" i="4" s="1"/>
  <c r="BP359" i="4" s="1"/>
  <c r="BP386" i="4" s="1"/>
  <c r="AX119" i="4"/>
  <c r="AX356" i="4" s="1"/>
  <c r="AY119" i="4"/>
  <c r="AN234" i="4"/>
  <c r="AN368" i="4" s="1"/>
  <c r="AN371" i="4" s="1"/>
  <c r="AN388" i="4" s="1"/>
  <c r="AQ234" i="4"/>
  <c r="AQ368" i="4" s="1"/>
  <c r="BR265" i="4"/>
  <c r="BE265" i="4"/>
  <c r="BE374" i="4" s="1"/>
  <c r="BE377" i="4" s="1"/>
  <c r="BE389" i="4" s="1"/>
  <c r="BP265" i="4"/>
  <c r="AQ265" i="4"/>
  <c r="AQ374" i="4" s="1"/>
  <c r="AB288" i="4"/>
  <c r="AK288" i="4"/>
  <c r="BJ288" i="4"/>
  <c r="BG308" i="4"/>
  <c r="BO308" i="4"/>
  <c r="BO369" i="4" s="1"/>
  <c r="BH308" i="4"/>
  <c r="BL308" i="4"/>
  <c r="BL369" i="4" s="1"/>
  <c r="BL371" i="4" s="1"/>
  <c r="BL388" i="4" s="1"/>
  <c r="BP308" i="4"/>
  <c r="AP308" i="4"/>
  <c r="AP369" i="4" s="1"/>
  <c r="AP371" i="4" s="1"/>
  <c r="AP388" i="4" s="1"/>
  <c r="AX308" i="4"/>
  <c r="AX369" i="4" s="1"/>
  <c r="AY308" i="4"/>
  <c r="BF334" i="4"/>
  <c r="BY334" i="4"/>
  <c r="AQ334" i="4"/>
  <c r="AC334" i="4"/>
  <c r="AF334" i="4"/>
  <c r="AK334" i="4"/>
  <c r="BF234" i="4"/>
  <c r="CK382" i="4"/>
  <c r="CM382" i="4"/>
  <c r="CQ121" i="4"/>
  <c r="CQ171" i="4"/>
  <c r="AZ28" i="78"/>
  <c r="BQ308" i="4"/>
  <c r="BQ369" i="4" s="1"/>
  <c r="CC193" i="4"/>
  <c r="CB300" i="4"/>
  <c r="AQ8" i="57"/>
  <c r="AQ7" i="57" s="1"/>
  <c r="AN7" i="57"/>
  <c r="AN40" i="57"/>
  <c r="AQ39" i="57"/>
  <c r="AT39" i="57" s="1"/>
  <c r="AV39" i="57"/>
  <c r="AN26" i="57"/>
  <c r="AG40" i="57"/>
  <c r="AG26" i="57"/>
  <c r="AI10" i="57"/>
  <c r="AL10" i="57" s="1"/>
  <c r="AO10" i="57" s="1"/>
  <c r="AG7" i="57"/>
  <c r="AL8" i="57"/>
  <c r="AI7" i="57"/>
  <c r="CN119" i="4"/>
  <c r="CM119" i="4"/>
  <c r="CM265" i="4"/>
  <c r="CJ169" i="4"/>
  <c r="CI169" i="4"/>
  <c r="CF169" i="4"/>
  <c r="CE308" i="4"/>
  <c r="IA46" i="80"/>
  <c r="CU282" i="4"/>
  <c r="CU280" i="4" s="1"/>
  <c r="CT280" i="4"/>
  <c r="S17" i="78"/>
  <c r="T7" i="78"/>
  <c r="PR18" i="80"/>
  <c r="PS18" i="80" s="1"/>
  <c r="CT270" i="4"/>
  <c r="CT288" i="4" s="1"/>
  <c r="CT357" i="4" s="1"/>
  <c r="CU272" i="4"/>
  <c r="CU270" i="4" s="1"/>
  <c r="N371" i="4"/>
  <c r="N388" i="4" s="1"/>
  <c r="N390" i="4" s="1"/>
  <c r="N380" i="4"/>
  <c r="N383" i="4" s="1"/>
  <c r="BM28" i="80"/>
  <c r="CC8" i="80"/>
  <c r="CQ10" i="80"/>
  <c r="CO375" i="4"/>
  <c r="LH18" i="78"/>
  <c r="Y18" i="78"/>
  <c r="U359" i="4"/>
  <c r="U386" i="4" s="1"/>
  <c r="U390" i="4" s="1"/>
  <c r="BE19" i="78"/>
  <c r="N17" i="78"/>
  <c r="BL7" i="78"/>
  <c r="BL27" i="78" s="1"/>
  <c r="AH356" i="4"/>
  <c r="AH359" i="4" s="1"/>
  <c r="AH386" i="4" s="1"/>
  <c r="N27" i="80"/>
  <c r="AQ371" i="4"/>
  <c r="AQ388" i="4" s="1"/>
  <c r="AS357" i="4"/>
  <c r="AS359" i="4" s="1"/>
  <c r="AS386" i="4" s="1"/>
  <c r="AS336" i="4"/>
  <c r="AS350" i="4" s="1"/>
  <c r="R369" i="4"/>
  <c r="R336" i="4"/>
  <c r="BG20" i="78"/>
  <c r="BE20" i="78"/>
  <c r="BF10" i="78"/>
  <c r="BF30" i="78" s="1"/>
  <c r="K9" i="80"/>
  <c r="K29" i="80" s="1"/>
  <c r="BF368" i="4"/>
  <c r="K9" i="78"/>
  <c r="K29" i="78" s="1"/>
  <c r="CQ295" i="4"/>
  <c r="CQ308" i="4" s="1"/>
  <c r="CQ369" i="4" s="1"/>
  <c r="CR297" i="4"/>
  <c r="CR327" i="4"/>
  <c r="CQ310" i="4"/>
  <c r="AA18" i="78"/>
  <c r="LG18" i="78" s="1"/>
  <c r="BD362" i="4"/>
  <c r="BD365" i="4" s="1"/>
  <c r="BD387" i="4" s="1"/>
  <c r="I8" i="80"/>
  <c r="I11" i="80" s="1"/>
  <c r="AE17" i="78"/>
  <c r="BT17" i="80"/>
  <c r="L381" i="4"/>
  <c r="H20" i="80"/>
  <c r="G20" i="80" s="1"/>
  <c r="Z374" i="4"/>
  <c r="H20" i="78"/>
  <c r="G20" i="78" s="1"/>
  <c r="CI10" i="80"/>
  <c r="CG375" i="4"/>
  <c r="P368" i="4"/>
  <c r="P267" i="4"/>
  <c r="P350" i="4" s="1"/>
  <c r="BM119" i="4"/>
  <c r="BM356" i="4" s="1"/>
  <c r="AV7" i="80"/>
  <c r="CN356" i="4"/>
  <c r="AJ356" i="4"/>
  <c r="AC18" i="78"/>
  <c r="AF267" i="4"/>
  <c r="CT236" i="4"/>
  <c r="T29" i="78"/>
  <c r="AE19" i="78"/>
  <c r="Y9" i="80"/>
  <c r="Y11" i="80" s="1"/>
  <c r="Y19" i="78"/>
  <c r="U9" i="80"/>
  <c r="BP368" i="4"/>
  <c r="CB304" i="4"/>
  <c r="CQ7" i="80"/>
  <c r="CO357" i="4"/>
  <c r="CN169" i="4"/>
  <c r="LH8" i="78"/>
  <c r="AC356" i="4"/>
  <c r="AC359" i="4" s="1"/>
  <c r="AC386" i="4" s="1"/>
  <c r="L383" i="4"/>
  <c r="LH19" i="78"/>
  <c r="LI19" i="78" s="1"/>
  <c r="AN17" i="78"/>
  <c r="AB9" i="78"/>
  <c r="BS27" i="80"/>
  <c r="P359" i="4"/>
  <c r="P386" i="4" s="1"/>
  <c r="J20" i="80"/>
  <c r="I20" i="80" s="1"/>
  <c r="I30" i="80" s="1"/>
  <c r="J20" i="78"/>
  <c r="I20" i="78" s="1"/>
  <c r="I30" i="78" s="1"/>
  <c r="BL7" i="80"/>
  <c r="AE357" i="4"/>
  <c r="K267" i="4"/>
  <c r="K350" i="4" s="1"/>
  <c r="K368" i="4"/>
  <c r="I383" i="4"/>
  <c r="J359" i="4"/>
  <c r="J386" i="4" s="1"/>
  <c r="J390" i="4" s="1"/>
  <c r="BF362" i="4"/>
  <c r="BF365" i="4" s="1"/>
  <c r="BF387" i="4" s="1"/>
  <c r="U8" i="78"/>
  <c r="AG362" i="4"/>
  <c r="AG365" i="4" s="1"/>
  <c r="AG387" i="4" s="1"/>
  <c r="K8" i="78"/>
  <c r="H8" i="80"/>
  <c r="H11" i="80" s="1"/>
  <c r="AD8" i="80"/>
  <c r="PW8" i="80" s="1"/>
  <c r="CB308" i="4"/>
  <c r="CB369" i="4" s="1"/>
  <c r="AY9" i="78"/>
  <c r="BO19" i="78"/>
  <c r="G383" i="4"/>
  <c r="AJ368" i="4"/>
  <c r="AJ371" i="4" s="1"/>
  <c r="AJ388" i="4" s="1"/>
  <c r="BF17" i="78"/>
  <c r="O350" i="4"/>
  <c r="Q350" i="4"/>
  <c r="J7" i="80"/>
  <c r="BE356" i="4"/>
  <c r="S20" i="80"/>
  <c r="T20" i="80" s="1"/>
  <c r="T30" i="80" s="1"/>
  <c r="BD9" i="80"/>
  <c r="AQ9" i="78"/>
  <c r="BB369" i="4"/>
  <c r="AN9" i="78"/>
  <c r="AN29" i="78" s="1"/>
  <c r="BA9" i="80"/>
  <c r="BR9" i="80"/>
  <c r="BS369" i="4"/>
  <c r="BI9" i="80"/>
  <c r="AV9" i="78"/>
  <c r="AV29" i="78" s="1"/>
  <c r="BJ369" i="4"/>
  <c r="AS381" i="4"/>
  <c r="BB20" i="80"/>
  <c r="AO20" i="78"/>
  <c r="AN20" i="78" s="1"/>
  <c r="Z375" i="4"/>
  <c r="Z381" i="4" s="1"/>
  <c r="BS10" i="80"/>
  <c r="AH375" i="4"/>
  <c r="AH381" i="4" s="1"/>
  <c r="AQ375" i="4"/>
  <c r="AQ377" i="4" s="1"/>
  <c r="AQ389" i="4" s="1"/>
  <c r="AQ336" i="4"/>
  <c r="AQ350" i="4" s="1"/>
  <c r="BN10" i="80"/>
  <c r="PM10" i="80" s="1"/>
  <c r="BA20" i="78"/>
  <c r="AF375" i="4"/>
  <c r="AF377" i="4" s="1"/>
  <c r="AF389" i="4" s="1"/>
  <c r="BN18" i="78"/>
  <c r="AM28" i="78"/>
  <c r="BF28" i="80"/>
  <c r="BE18" i="80"/>
  <c r="BE28" i="80" s="1"/>
  <c r="CM10" i="80"/>
  <c r="CK375" i="4"/>
  <c r="CH10" i="80"/>
  <c r="CF375" i="4"/>
  <c r="AU365" i="4"/>
  <c r="AU387" i="4" s="1"/>
  <c r="U267" i="4"/>
  <c r="U350" i="4" s="1"/>
  <c r="Y17" i="78"/>
  <c r="AX357" i="4"/>
  <c r="AX336" i="4"/>
  <c r="AX350" i="4" s="1"/>
  <c r="AZ17" i="80"/>
  <c r="AM17" i="78"/>
  <c r="CC142" i="4"/>
  <c r="CB142" i="4"/>
  <c r="F7" i="80"/>
  <c r="BA356" i="4"/>
  <c r="BA359" i="4" s="1"/>
  <c r="BA386" i="4" s="1"/>
  <c r="AM119" i="4"/>
  <c r="AM356" i="4" s="1"/>
  <c r="BA374" i="4"/>
  <c r="BA377" i="4" s="1"/>
  <c r="BA389" i="4" s="1"/>
  <c r="F10" i="80"/>
  <c r="W10" i="80"/>
  <c r="BR374" i="4"/>
  <c r="W10" i="78"/>
  <c r="U10" i="80"/>
  <c r="U10" i="78"/>
  <c r="BP374" i="4"/>
  <c r="BP377" i="4" s="1"/>
  <c r="BP389" i="4" s="1"/>
  <c r="BR7" i="80"/>
  <c r="BR27" i="80" s="1"/>
  <c r="BE7" i="78"/>
  <c r="BS357" i="4"/>
  <c r="BF17" i="80"/>
  <c r="AB357" i="4"/>
  <c r="AB381" i="4" s="1"/>
  <c r="BI7" i="80"/>
  <c r="BJ336" i="4"/>
  <c r="BJ357" i="4"/>
  <c r="BS28" i="80"/>
  <c r="CD28" i="80" s="1"/>
  <c r="BR18" i="80"/>
  <c r="BS18" i="80" s="1"/>
  <c r="AY334" i="4"/>
  <c r="BZ121" i="4"/>
  <c r="CC72" i="4"/>
  <c r="CC83" i="4"/>
  <c r="CC171" i="4"/>
  <c r="CC197" i="4"/>
  <c r="CC236" i="4"/>
  <c r="CC270" i="4"/>
  <c r="CB171" i="4"/>
  <c r="CB236" i="4"/>
  <c r="CB254" i="4"/>
  <c r="CL234" i="4"/>
  <c r="AT9" i="80" s="1"/>
  <c r="CP169" i="4"/>
  <c r="AX8" i="80" s="1"/>
  <c r="BA29" i="80"/>
  <c r="O381" i="4"/>
  <c r="R350" i="4"/>
  <c r="BR382" i="4"/>
  <c r="CC254" i="4"/>
  <c r="BK334" i="4"/>
  <c r="BK375" i="4" s="1"/>
  <c r="BB288" i="4"/>
  <c r="CN382" i="4"/>
  <c r="BZ157" i="4"/>
  <c r="CJ288" i="4"/>
  <c r="CO169" i="4"/>
  <c r="AA371" i="4"/>
  <c r="AA388" i="4" s="1"/>
  <c r="U381" i="4"/>
  <c r="U383" i="4" s="1"/>
  <c r="S359" i="4"/>
  <c r="S386" i="4" s="1"/>
  <c r="H381" i="4"/>
  <c r="H383" i="4" s="1"/>
  <c r="CR157" i="4"/>
  <c r="AI119" i="4"/>
  <c r="AB7" i="80" s="1"/>
  <c r="AI265" i="4"/>
  <c r="BE234" i="4"/>
  <c r="BE267" i="4" s="1"/>
  <c r="AM359" i="4"/>
  <c r="AM386" i="4" s="1"/>
  <c r="W288" i="4"/>
  <c r="W308" i="4"/>
  <c r="W369" i="4" s="1"/>
  <c r="W371" i="4" s="1"/>
  <c r="W388" i="4" s="1"/>
  <c r="BN234" i="4"/>
  <c r="BN368" i="4" s="1"/>
  <c r="BN371" i="4" s="1"/>
  <c r="BN388" i="4" s="1"/>
  <c r="BY234" i="4"/>
  <c r="BY368" i="4" s="1"/>
  <c r="BY371" i="4" s="1"/>
  <c r="BY388" i="4" s="1"/>
  <c r="AR234" i="4"/>
  <c r="AR368" i="4" s="1"/>
  <c r="AR371" i="4" s="1"/>
  <c r="AR388" i="4" s="1"/>
  <c r="BB265" i="4"/>
  <c r="BB374" i="4" s="1"/>
  <c r="BJ265" i="4"/>
  <c r="AW265" i="4"/>
  <c r="AW374" i="4" s="1"/>
  <c r="AW377" i="4" s="1"/>
  <c r="AW389" i="4" s="1"/>
  <c r="AS265" i="4"/>
  <c r="AS374" i="4" s="1"/>
  <c r="AR265" i="4"/>
  <c r="AR374" i="4" s="1"/>
  <c r="BV288" i="4"/>
  <c r="BV357" i="4" s="1"/>
  <c r="BC288" i="4"/>
  <c r="BC357" i="4" s="1"/>
  <c r="BC359" i="4" s="1"/>
  <c r="BC386" i="4" s="1"/>
  <c r="BA308" i="4"/>
  <c r="AZ9" i="80" s="1"/>
  <c r="BK308" i="4"/>
  <c r="BK369" i="4" s="1"/>
  <c r="BK371" i="4" s="1"/>
  <c r="BK388" i="4" s="1"/>
  <c r="BU308" i="4"/>
  <c r="BV308" i="4"/>
  <c r="BV369" i="4" s="1"/>
  <c r="BV371" i="4" s="1"/>
  <c r="BV388" i="4" s="1"/>
  <c r="AY336" i="4"/>
  <c r="AR334" i="4"/>
  <c r="AR375" i="4" s="1"/>
  <c r="AR381" i="4" s="1"/>
  <c r="Y334" i="4"/>
  <c r="Y336" i="4" s="1"/>
  <c r="AG334" i="4"/>
  <c r="AG375" i="4" s="1"/>
  <c r="AG377" i="4" s="1"/>
  <c r="AG389" i="4" s="1"/>
  <c r="BT121" i="4"/>
  <c r="BT169" i="4" s="1"/>
  <c r="BT362" i="4" s="1"/>
  <c r="BT365" i="4" s="1"/>
  <c r="BT387" i="4" s="1"/>
  <c r="CM169" i="4"/>
  <c r="CK169" i="4"/>
  <c r="BI119" i="4"/>
  <c r="BI356" i="4" s="1"/>
  <c r="Z234" i="4"/>
  <c r="Z368" i="4" s="1"/>
  <c r="Z371" i="4" s="1"/>
  <c r="Z388" i="4" s="1"/>
  <c r="Y171" i="4"/>
  <c r="Y234" i="4" s="1"/>
  <c r="Y368" i="4" s="1"/>
  <c r="Y371" i="4" s="1"/>
  <c r="Y388" i="4" s="1"/>
  <c r="H371" i="4"/>
  <c r="H388" i="4" s="1"/>
  <c r="CI382" i="4"/>
  <c r="CN265" i="4"/>
  <c r="CH169" i="4"/>
  <c r="J350" i="4"/>
  <c r="S365" i="4"/>
  <c r="S387" i="4" s="1"/>
  <c r="BK377" i="4"/>
  <c r="BK389" i="4" s="1"/>
  <c r="AG308" i="4"/>
  <c r="AP119" i="4"/>
  <c r="AP356" i="4" s="1"/>
  <c r="AG119" i="4"/>
  <c r="V7" i="80" s="1"/>
  <c r="BU119" i="4"/>
  <c r="BM377" i="4"/>
  <c r="BM389" i="4" s="1"/>
  <c r="AU377" i="4"/>
  <c r="AU389" i="4" s="1"/>
  <c r="CJ382" i="4"/>
  <c r="AN28" i="78"/>
  <c r="CO265" i="4"/>
  <c r="AW10" i="80" s="1"/>
  <c r="CG169" i="4"/>
  <c r="AU119" i="4"/>
  <c r="AU356" i="4" s="1"/>
  <c r="AU359" i="4" s="1"/>
  <c r="AU386" i="4" s="1"/>
  <c r="W119" i="4"/>
  <c r="Z119" i="4"/>
  <c r="H17" i="78" s="1"/>
  <c r="AE119" i="4"/>
  <c r="BM234" i="4"/>
  <c r="BM368" i="4" s="1"/>
  <c r="BM371" i="4" s="1"/>
  <c r="BM388" i="4" s="1"/>
  <c r="BM11" i="80"/>
  <c r="BS234" i="4"/>
  <c r="CR236" i="4"/>
  <c r="AE234" i="4"/>
  <c r="AV265" i="4"/>
  <c r="AV374" i="4" s="1"/>
  <c r="AV377" i="4" s="1"/>
  <c r="AV389" i="4" s="1"/>
  <c r="AO308" i="4"/>
  <c r="AW308" i="4"/>
  <c r="AT28" i="78"/>
  <c r="BQ382" i="4"/>
  <c r="AA380" i="4"/>
  <c r="AA365" i="4"/>
  <c r="AA387" i="4" s="1"/>
  <c r="Q7" i="80"/>
  <c r="BL356" i="4"/>
  <c r="BL267" i="4"/>
  <c r="Q7" i="78"/>
  <c r="LE18" i="78"/>
  <c r="LF18" i="78" s="1"/>
  <c r="X18" i="78"/>
  <c r="Z18" i="78"/>
  <c r="O8" i="78"/>
  <c r="AH8" i="78" s="1"/>
  <c r="BI121" i="4"/>
  <c r="BI169" i="4" s="1"/>
  <c r="BK127" i="4"/>
  <c r="BK121" i="4" s="1"/>
  <c r="BK169" i="4" s="1"/>
  <c r="BK362" i="4" s="1"/>
  <c r="BM127" i="4"/>
  <c r="CT130" i="4"/>
  <c r="O9" i="78"/>
  <c r="O9" i="80"/>
  <c r="AH9" i="80" s="1"/>
  <c r="BJ368" i="4"/>
  <c r="BU130" i="4"/>
  <c r="BX130" i="4" s="1"/>
  <c r="CA130" i="4" s="1"/>
  <c r="CB130" i="4"/>
  <c r="P20" i="80"/>
  <c r="P20" i="78"/>
  <c r="AD374" i="4"/>
  <c r="AD377" i="4" s="1"/>
  <c r="AD389" i="4" s="1"/>
  <c r="AI356" i="4"/>
  <c r="BN362" i="4"/>
  <c r="BN267" i="4"/>
  <c r="BN350" i="4" s="1"/>
  <c r="S8" i="80"/>
  <c r="PL8" i="80" s="1"/>
  <c r="AM380" i="4"/>
  <c r="AM365" i="4"/>
  <c r="AM387" i="4" s="1"/>
  <c r="L18" i="80"/>
  <c r="L18" i="78"/>
  <c r="AB362" i="4"/>
  <c r="P28" i="78"/>
  <c r="KV28" i="78" s="1"/>
  <c r="O18" i="78"/>
  <c r="KV18" i="78"/>
  <c r="BJ365" i="4"/>
  <c r="BJ387" i="4" s="1"/>
  <c r="AD17" i="80"/>
  <c r="AE17" i="80" s="1"/>
  <c r="AE27" i="80" s="1"/>
  <c r="PX27" i="80" s="1"/>
  <c r="PX31" i="80" s="1"/>
  <c r="AF17" i="80"/>
  <c r="T380" i="4"/>
  <c r="T383" i="4" s="1"/>
  <c r="T359" i="4"/>
  <c r="T386" i="4" s="1"/>
  <c r="T390" i="4" s="1"/>
  <c r="J18" i="80"/>
  <c r="PC18" i="80" s="1"/>
  <c r="J18" i="78"/>
  <c r="AY29" i="78"/>
  <c r="BL11" i="80"/>
  <c r="BK19" i="80"/>
  <c r="BL29" i="80"/>
  <c r="W365" i="4"/>
  <c r="W387" i="4" s="1"/>
  <c r="W382" i="4"/>
  <c r="BN359" i="4"/>
  <c r="BN386" i="4" s="1"/>
  <c r="BN381" i="4"/>
  <c r="H28" i="80"/>
  <c r="T27" i="78"/>
  <c r="BG380" i="4"/>
  <c r="BG365" i="4"/>
  <c r="BG387" i="4" s="1"/>
  <c r="CT301" i="4"/>
  <c r="CS300" i="4"/>
  <c r="F20" i="80"/>
  <c r="F20" i="78"/>
  <c r="F17" i="80"/>
  <c r="Y356" i="4"/>
  <c r="Y359" i="4" s="1"/>
  <c r="Y386" i="4" s="1"/>
  <c r="F17" i="78"/>
  <c r="X17" i="80"/>
  <c r="Y17" i="80" s="1"/>
  <c r="Y27" i="80" s="1"/>
  <c r="Z17" i="80"/>
  <c r="AE10" i="80"/>
  <c r="AE11" i="80" s="1"/>
  <c r="AJ374" i="4"/>
  <c r="AJ377" i="4" s="1"/>
  <c r="AJ389" i="4" s="1"/>
  <c r="AE20" i="78"/>
  <c r="L17" i="80"/>
  <c r="L27" i="80" s="1"/>
  <c r="AB356" i="4"/>
  <c r="AB359" i="4" s="1"/>
  <c r="AB386" i="4" s="1"/>
  <c r="L17" i="78"/>
  <c r="Z20" i="80"/>
  <c r="BN7" i="80"/>
  <c r="AF357" i="4"/>
  <c r="AF381" i="4" s="1"/>
  <c r="BA17" i="78"/>
  <c r="AF336" i="4"/>
  <c r="AF350" i="4" s="1"/>
  <c r="CC7" i="4"/>
  <c r="CC119" i="4" s="1"/>
  <c r="CC356" i="4" s="1"/>
  <c r="CC370" i="4"/>
  <c r="CC382" i="4" s="1"/>
  <c r="CC349" i="4"/>
  <c r="CB358" i="4"/>
  <c r="CB382" i="4" s="1"/>
  <c r="CB349" i="4"/>
  <c r="CP10" i="80"/>
  <c r="CN375" i="4"/>
  <c r="X18" i="80"/>
  <c r="PQ18" i="80" s="1"/>
  <c r="AJ267" i="4"/>
  <c r="AJ350" i="4" s="1"/>
  <c r="CS236" i="4"/>
  <c r="AA29" i="80"/>
  <c r="AF356" i="4"/>
  <c r="T7" i="80"/>
  <c r="V9" i="80"/>
  <c r="AG368" i="4"/>
  <c r="V19" i="78"/>
  <c r="AH374" i="4"/>
  <c r="AH377" i="4" s="1"/>
  <c r="AH389" i="4" s="1"/>
  <c r="Y20" i="78"/>
  <c r="O365" i="4"/>
  <c r="O387" i="4" s="1"/>
  <c r="O390" i="4" s="1"/>
  <c r="O380" i="4"/>
  <c r="O383" i="4" s="1"/>
  <c r="P27" i="80"/>
  <c r="O17" i="80"/>
  <c r="CS258" i="4"/>
  <c r="CR254" i="4"/>
  <c r="CR265" i="4" s="1"/>
  <c r="CR374" i="4" s="1"/>
  <c r="W357" i="4"/>
  <c r="W381" i="4" s="1"/>
  <c r="BD7" i="80"/>
  <c r="AQ7" i="78"/>
  <c r="BE357" i="4"/>
  <c r="BE381" i="4" s="1"/>
  <c r="BE336" i="4"/>
  <c r="BE350" i="4" s="1"/>
  <c r="G10" i="78"/>
  <c r="AG10" i="78" s="1"/>
  <c r="G10" i="80"/>
  <c r="AG10" i="80" s="1"/>
  <c r="X10" i="78"/>
  <c r="LD10" i="78" s="1"/>
  <c r="X10" i="80"/>
  <c r="PQ10" i="80" s="1"/>
  <c r="BS374" i="4"/>
  <c r="BS377" i="4" s="1"/>
  <c r="BS389" i="4" s="1"/>
  <c r="CS270" i="4"/>
  <c r="AS377" i="4"/>
  <c r="AS389" i="4" s="1"/>
  <c r="BE19" i="80"/>
  <c r="BF29" i="80"/>
  <c r="PE19" i="80"/>
  <c r="BF21" i="80"/>
  <c r="F19" i="80"/>
  <c r="OY19" i="80" s="1"/>
  <c r="M19" i="78"/>
  <c r="M29" i="78" s="1"/>
  <c r="N29" i="78"/>
  <c r="I371" i="4"/>
  <c r="I388" i="4" s="1"/>
  <c r="I390" i="4" s="1"/>
  <c r="AG356" i="4"/>
  <c r="H390" i="4"/>
  <c r="CS179" i="4"/>
  <c r="CR171" i="4"/>
  <c r="M380" i="4"/>
  <c r="M383" i="4" s="1"/>
  <c r="M371" i="4"/>
  <c r="M388" i="4" s="1"/>
  <c r="M390" i="4" s="1"/>
  <c r="CC156" i="4"/>
  <c r="U18" i="78"/>
  <c r="LA18" i="78" s="1"/>
  <c r="H18" i="78"/>
  <c r="AI362" i="4"/>
  <c r="AI365" i="4" s="1"/>
  <c r="AI387" i="4" s="1"/>
  <c r="AB8" i="80"/>
  <c r="BE362" i="4"/>
  <c r="BC362" i="4"/>
  <c r="Q8" i="80"/>
  <c r="PJ8" i="80" s="1"/>
  <c r="BI357" i="4"/>
  <c r="BI336" i="4"/>
  <c r="BE359" i="4"/>
  <c r="BE386" i="4" s="1"/>
  <c r="CA17" i="80"/>
  <c r="CS133" i="4"/>
  <c r="CT133" i="4" s="1"/>
  <c r="CU133" i="4" s="1"/>
  <c r="CR121" i="4"/>
  <c r="CR169" i="4" s="1"/>
  <c r="CR362" i="4" s="1"/>
  <c r="CR365" i="4" s="1"/>
  <c r="CR387" i="4" s="1"/>
  <c r="CS280" i="4"/>
  <c r="X20" i="80"/>
  <c r="Y20" i="80" s="1"/>
  <c r="Y30" i="80" s="1"/>
  <c r="BL21" i="80"/>
  <c r="W356" i="4"/>
  <c r="W267" i="4"/>
  <c r="H17" i="80"/>
  <c r="AE356" i="4"/>
  <c r="AE359" i="4" s="1"/>
  <c r="AE386" i="4" s="1"/>
  <c r="R7" i="80"/>
  <c r="R17" i="78"/>
  <c r="AD267" i="4"/>
  <c r="Y374" i="4"/>
  <c r="BT19" i="80"/>
  <c r="BS11" i="80"/>
  <c r="BR19" i="80"/>
  <c r="BS29" i="80"/>
  <c r="CD29" i="80" s="1"/>
  <c r="Q380" i="4"/>
  <c r="Q383" i="4" s="1"/>
  <c r="Q371" i="4"/>
  <c r="Q388" i="4" s="1"/>
  <c r="Q390" i="4" s="1"/>
  <c r="J27" i="80"/>
  <c r="AR359" i="4"/>
  <c r="AR386" i="4" s="1"/>
  <c r="CR270" i="4"/>
  <c r="CR288" i="4" s="1"/>
  <c r="CR357" i="4" s="1"/>
  <c r="BL30" i="80"/>
  <c r="BK20" i="80"/>
  <c r="BJ119" i="4"/>
  <c r="F9" i="80"/>
  <c r="F9" i="78"/>
  <c r="S9" i="78"/>
  <c r="S29" i="78" s="1"/>
  <c r="AD9" i="80"/>
  <c r="AD9" i="78"/>
  <c r="O10" i="80"/>
  <c r="O10" i="78"/>
  <c r="BJ374" i="4"/>
  <c r="BJ377" i="4" s="1"/>
  <c r="BJ389" i="4" s="1"/>
  <c r="BU7" i="80"/>
  <c r="BB7" i="80"/>
  <c r="AO7" i="78"/>
  <c r="BQ9" i="80"/>
  <c r="BR369" i="4"/>
  <c r="BT9" i="80"/>
  <c r="BU369" i="4"/>
  <c r="BU371" i="4" s="1"/>
  <c r="BU388" i="4" s="1"/>
  <c r="BG9" i="78"/>
  <c r="BG29" i="78" s="1"/>
  <c r="BK9" i="80"/>
  <c r="AX9" i="78"/>
  <c r="AX29" i="78" s="1"/>
  <c r="BK10" i="80"/>
  <c r="AX10" i="78"/>
  <c r="KW10" i="78" s="1"/>
  <c r="BE10" i="80"/>
  <c r="CB10" i="80" s="1"/>
  <c r="BF375" i="4"/>
  <c r="BF336" i="4"/>
  <c r="AR10" i="78"/>
  <c r="BV10" i="80"/>
  <c r="BI20" i="78"/>
  <c r="BJ20" i="78" s="1"/>
  <c r="BJ21" i="78" s="1"/>
  <c r="AI375" i="4"/>
  <c r="BP10" i="80"/>
  <c r="BC20" i="78"/>
  <c r="CH7" i="80"/>
  <c r="CF357" i="4"/>
  <c r="AU10" i="80"/>
  <c r="CM374" i="4"/>
  <c r="AW8" i="80"/>
  <c r="CO362" i="4"/>
  <c r="BO377" i="4"/>
  <c r="BO389" i="4" s="1"/>
  <c r="AA375" i="4"/>
  <c r="AA377" i="4" s="1"/>
  <c r="AA389" i="4" s="1"/>
  <c r="BD20" i="80"/>
  <c r="BC20" i="80" s="1"/>
  <c r="AQ20" i="78"/>
  <c r="BQ157" i="4"/>
  <c r="AT8" i="80"/>
  <c r="CL362" i="4"/>
  <c r="CL365" i="4" s="1"/>
  <c r="CL387" i="4" s="1"/>
  <c r="CQ7" i="4"/>
  <c r="CI290" i="4"/>
  <c r="CK8" i="80"/>
  <c r="CI363" i="4"/>
  <c r="CC150" i="4"/>
  <c r="PM29" i="80"/>
  <c r="BX154" i="4"/>
  <c r="J10" i="80"/>
  <c r="J30" i="80" s="1"/>
  <c r="J10" i="78"/>
  <c r="J30" i="78" s="1"/>
  <c r="AU7" i="80"/>
  <c r="CM356" i="4"/>
  <c r="CM7" i="80"/>
  <c r="CK357" i="4"/>
  <c r="AU8" i="80"/>
  <c r="CM362" i="4"/>
  <c r="CM365" i="4" s="1"/>
  <c r="CM387" i="4" s="1"/>
  <c r="AS8" i="80"/>
  <c r="CK362" i="4"/>
  <c r="CK365" i="4" s="1"/>
  <c r="CK387" i="4" s="1"/>
  <c r="Y9" i="78"/>
  <c r="S380" i="4"/>
  <c r="BB21" i="80"/>
  <c r="Q9" i="80"/>
  <c r="Q9" i="78"/>
  <c r="X9" i="80"/>
  <c r="X9" i="78"/>
  <c r="BB28" i="80"/>
  <c r="BA18" i="80"/>
  <c r="OZ18" i="80" s="1"/>
  <c r="AV10" i="80"/>
  <c r="CN374" i="4"/>
  <c r="AT10" i="80"/>
  <c r="CL374" i="4"/>
  <c r="CL377" i="4" s="1"/>
  <c r="CL389" i="4" s="1"/>
  <c r="CK10" i="80"/>
  <c r="CI375" i="4"/>
  <c r="AR8" i="80"/>
  <c r="CJ362" i="4"/>
  <c r="CJ365" i="4" s="1"/>
  <c r="CJ387" i="4" s="1"/>
  <c r="AP8" i="80"/>
  <c r="CH362" i="4"/>
  <c r="CH365" i="4" s="1"/>
  <c r="CH387" i="4" s="1"/>
  <c r="S381" i="4"/>
  <c r="CS197" i="4"/>
  <c r="AD381" i="4"/>
  <c r="CR197" i="4"/>
  <c r="AZ20" i="78"/>
  <c r="AZ30" i="78" s="1"/>
  <c r="BA10" i="78"/>
  <c r="K7" i="80"/>
  <c r="BF356" i="4"/>
  <c r="X7" i="80"/>
  <c r="X27" i="80" s="1"/>
  <c r="X7" i="78"/>
  <c r="U7" i="78"/>
  <c r="U7" i="80"/>
  <c r="BB119" i="4"/>
  <c r="BF265" i="4"/>
  <c r="BF267" i="4" s="1"/>
  <c r="S10" i="78"/>
  <c r="S30" i="78" s="1"/>
  <c r="S10" i="80"/>
  <c r="S30" i="80" s="1"/>
  <c r="AD10" i="80"/>
  <c r="AD10" i="78"/>
  <c r="BL288" i="4"/>
  <c r="BD308" i="4"/>
  <c r="BG9" i="80"/>
  <c r="AT9" i="78"/>
  <c r="AT11" i="78" s="1"/>
  <c r="AZ10" i="80"/>
  <c r="AM10" i="78"/>
  <c r="BB10" i="78"/>
  <c r="BO10" i="80"/>
  <c r="AE375" i="4"/>
  <c r="AY20" i="78"/>
  <c r="BH20" i="80"/>
  <c r="AU20" i="78"/>
  <c r="AU21" i="78" s="1"/>
  <c r="AQ28" i="78"/>
  <c r="AP18" i="78"/>
  <c r="AP28" i="78" s="1"/>
  <c r="CC18" i="80"/>
  <c r="CI7" i="80"/>
  <c r="CG357" i="4"/>
  <c r="AO8" i="80"/>
  <c r="CG362" i="4"/>
  <c r="CG365" i="4" s="1"/>
  <c r="CG387" i="4" s="1"/>
  <c r="BD10" i="80"/>
  <c r="BD30" i="80" s="1"/>
  <c r="AQ10" i="78"/>
  <c r="AQ30" i="78" s="1"/>
  <c r="CP7" i="80"/>
  <c r="CN357" i="4"/>
  <c r="CO10" i="80"/>
  <c r="CM375" i="4"/>
  <c r="CM377" i="4" s="1"/>
  <c r="CM389" i="4" s="1"/>
  <c r="AN9" i="80"/>
  <c r="CF368" i="4"/>
  <c r="AJ359" i="4"/>
  <c r="AJ386" i="4" s="1"/>
  <c r="CC162" i="4"/>
  <c r="CB162" i="4"/>
  <c r="CO382" i="4"/>
  <c r="AY8" i="78"/>
  <c r="CL10" i="80"/>
  <c r="CJ375" i="4"/>
  <c r="AN8" i="80"/>
  <c r="CF362" i="4"/>
  <c r="CF365" i="4" s="1"/>
  <c r="CF387" i="4" s="1"/>
  <c r="CA377" i="4"/>
  <c r="CA389" i="4" s="1"/>
  <c r="CC304" i="4"/>
  <c r="CC308" i="4" s="1"/>
  <c r="CC369" i="4" s="1"/>
  <c r="AV10" i="78"/>
  <c r="AV30" i="78" s="1"/>
  <c r="BX234" i="4"/>
  <c r="AN265" i="4"/>
  <c r="AN374" i="4" s="1"/>
  <c r="BE18" i="78"/>
  <c r="BW265" i="4"/>
  <c r="BW374" i="4" s="1"/>
  <c r="AV7" i="78"/>
  <c r="AV11" i="78" s="1"/>
  <c r="BE9" i="78"/>
  <c r="AY234" i="4"/>
  <c r="BT382" i="4"/>
  <c r="CD18" i="80"/>
  <c r="CD8" i="80"/>
  <c r="CB83" i="4"/>
  <c r="CB119" i="4" s="1"/>
  <c r="BB234" i="4"/>
  <c r="AN334" i="4"/>
  <c r="BQ18" i="78"/>
  <c r="CL8" i="80"/>
  <c r="BI234" i="4"/>
  <c r="BI368" i="4" s="1"/>
  <c r="BI371" i="4" s="1"/>
  <c r="BI388" i="4" s="1"/>
  <c r="CB270" i="4"/>
  <c r="CF382" i="4"/>
  <c r="AU28" i="78"/>
  <c r="AR28" i="78"/>
  <c r="BT308" i="4"/>
  <c r="BT369" i="4" s="1"/>
  <c r="BW288" i="4"/>
  <c r="BT18" i="80"/>
  <c r="CA8" i="80"/>
  <c r="BK28" i="80"/>
  <c r="CC28" i="80" s="1"/>
  <c r="CB197" i="4"/>
  <c r="CB234" i="4" s="1"/>
  <c r="CC280" i="4"/>
  <c r="CC288" i="4" s="1"/>
  <c r="CS157" i="4"/>
  <c r="BR288" i="4"/>
  <c r="BV119" i="4"/>
  <c r="BV267" i="4" s="1"/>
  <c r="BC308" i="4"/>
  <c r="BF8" i="78"/>
  <c r="BQ8" i="78" s="1"/>
  <c r="BW119" i="4"/>
  <c r="BZ382" i="4"/>
  <c r="CO8" i="80"/>
  <c r="AR11" i="78"/>
  <c r="AV234" i="4"/>
  <c r="AV368" i="4" s="1"/>
  <c r="AV371" i="4" s="1"/>
  <c r="AV388" i="4" s="1"/>
  <c r="CP382" i="4"/>
  <c r="BT334" i="4"/>
  <c r="BT375" i="4" s="1"/>
  <c r="BZ308" i="4"/>
  <c r="BZ369" i="4" s="1"/>
  <c r="BN28" i="80"/>
  <c r="BL42" i="57"/>
  <c r="BK40" i="57"/>
  <c r="BL9" i="57"/>
  <c r="BK7" i="57"/>
  <c r="BM47" i="57"/>
  <c r="BN47" i="57" s="1"/>
  <c r="AO32" i="57"/>
  <c r="AR32" i="57" s="1"/>
  <c r="AU32" i="57" s="1"/>
  <c r="DL7" i="80"/>
  <c r="CL7" i="78"/>
  <c r="CL11" i="78" s="1"/>
  <c r="AW22" i="57"/>
  <c r="AT44" i="57"/>
  <c r="AV44" i="57" s="1"/>
  <c r="CS907" i="3"/>
  <c r="CS929" i="3" s="1"/>
  <c r="CU198" i="4"/>
  <c r="CU197" i="4" s="1"/>
  <c r="CT197" i="4"/>
  <c r="PD19" i="80"/>
  <c r="CW907" i="3"/>
  <c r="CW929" i="3" s="1"/>
  <c r="CD924" i="3"/>
  <c r="CH924" i="3"/>
  <c r="CT907" i="3"/>
  <c r="CT929" i="3" s="1"/>
  <c r="BS924" i="3"/>
  <c r="BP924" i="3"/>
  <c r="CB924" i="3"/>
  <c r="CB925" i="3" s="1"/>
  <c r="BR924" i="3"/>
  <c r="CL924" i="3"/>
  <c r="CL925" i="3" s="1"/>
  <c r="AX924" i="3"/>
  <c r="CK924" i="3"/>
  <c r="BW924" i="3"/>
  <c r="BO924" i="3"/>
  <c r="BN924" i="3"/>
  <c r="CF924" i="3"/>
  <c r="CE924" i="3"/>
  <c r="CJ924" i="3"/>
  <c r="CI924" i="3"/>
  <c r="CI925" i="3" s="1"/>
  <c r="CM924" i="3"/>
  <c r="CM925" i="3" s="1"/>
  <c r="AQ907" i="3"/>
  <c r="AQ929" i="3" s="1"/>
  <c r="AQ932" i="3" s="1"/>
  <c r="AI907" i="3"/>
  <c r="AI929" i="3" s="1"/>
  <c r="AI932" i="3" s="1"/>
  <c r="Z907" i="3"/>
  <c r="Z929" i="3" s="1"/>
  <c r="Z932" i="3" s="1"/>
  <c r="Q907" i="3"/>
  <c r="Q929" i="3" s="1"/>
  <c r="Q932" i="3" s="1"/>
  <c r="CC924" i="3"/>
  <c r="CR924" i="3"/>
  <c r="CR907" i="3"/>
  <c r="CR929" i="3" s="1"/>
  <c r="CQ907" i="3"/>
  <c r="CQ929" i="3" s="1"/>
  <c r="CP907" i="3"/>
  <c r="CP929" i="3" s="1"/>
  <c r="CG907" i="3"/>
  <c r="CG929" i="3" s="1"/>
  <c r="CG932" i="3" s="1"/>
  <c r="CF907" i="3"/>
  <c r="CF929" i="3" s="1"/>
  <c r="CE907" i="3"/>
  <c r="CE929" i="3" s="1"/>
  <c r="CD907" i="3"/>
  <c r="CD929" i="3" s="1"/>
  <c r="CC907" i="3"/>
  <c r="CC929" i="3" s="1"/>
  <c r="CB907" i="3"/>
  <c r="CB929" i="3" s="1"/>
  <c r="AT907" i="3"/>
  <c r="AT929" i="3" s="1"/>
  <c r="AT932" i="3" s="1"/>
  <c r="AS907" i="3"/>
  <c r="AS929" i="3" s="1"/>
  <c r="AS932" i="3" s="1"/>
  <c r="AR907" i="3"/>
  <c r="AR929" i="3" s="1"/>
  <c r="AU907" i="3"/>
  <c r="BL31" i="57"/>
  <c r="CL907" i="3"/>
  <c r="CL929" i="3" s="1"/>
  <c r="CL932" i="3" s="1"/>
  <c r="CI907" i="3"/>
  <c r="CI929" i="3" s="1"/>
  <c r="CH907" i="3"/>
  <c r="CH929" i="3" s="1"/>
  <c r="CJ907" i="3"/>
  <c r="CJ929" i="3" s="1"/>
  <c r="DA924" i="3"/>
  <c r="DA925" i="3" s="1"/>
  <c r="CV924" i="3"/>
  <c r="DN924" i="3"/>
  <c r="DN925" i="3" s="1"/>
  <c r="DN907" i="3"/>
  <c r="DN929" i="3" s="1"/>
  <c r="DN932" i="3" s="1"/>
  <c r="DK924" i="3"/>
  <c r="DK925" i="3" s="1"/>
  <c r="DH924" i="3"/>
  <c r="DH925" i="3" s="1"/>
  <c r="I907" i="3"/>
  <c r="I929" i="3" s="1"/>
  <c r="I932" i="3" s="1"/>
  <c r="M907" i="3"/>
  <c r="M929" i="3" s="1"/>
  <c r="M932" i="3" s="1"/>
  <c r="X907" i="3"/>
  <c r="X929" i="3" s="1"/>
  <c r="X932" i="3" s="1"/>
  <c r="AG440" i="3"/>
  <c r="G924" i="3"/>
  <c r="G925" i="3" s="1"/>
  <c r="H924" i="3"/>
  <c r="H925" i="3" s="1"/>
  <c r="K924" i="3"/>
  <c r="N924" i="3"/>
  <c r="N925" i="3" s="1"/>
  <c r="O901" i="3"/>
  <c r="O928" i="3" s="1"/>
  <c r="O924" i="3"/>
  <c r="P924" i="3"/>
  <c r="P925" i="3" s="1"/>
  <c r="Q924" i="3"/>
  <c r="Q925" i="3" s="1"/>
  <c r="R924" i="3"/>
  <c r="R925" i="3" s="1"/>
  <c r="S924" i="3"/>
  <c r="U924" i="3"/>
  <c r="U925" i="3" s="1"/>
  <c r="W924" i="3"/>
  <c r="W925" i="3" s="1"/>
  <c r="X924" i="3"/>
  <c r="X925" i="3" s="1"/>
  <c r="AB924" i="3"/>
  <c r="AB925" i="3" s="1"/>
  <c r="AE924" i="3"/>
  <c r="AE925" i="3" s="1"/>
  <c r="AF924" i="3"/>
  <c r="AF925" i="3" s="1"/>
  <c r="AG924" i="3"/>
  <c r="AI924" i="3"/>
  <c r="AI925" i="3" s="1"/>
  <c r="AK924" i="3"/>
  <c r="AK925" i="3" s="1"/>
  <c r="AN924" i="3"/>
  <c r="AN925" i="3" s="1"/>
  <c r="AO924" i="3"/>
  <c r="AO925" i="3" s="1"/>
  <c r="AQ924" i="3"/>
  <c r="AQ925" i="3" s="1"/>
  <c r="AU924" i="3"/>
  <c r="AV924" i="3"/>
  <c r="AW924" i="3"/>
  <c r="AZ924" i="3"/>
  <c r="AZ925" i="3" s="1"/>
  <c r="BB924" i="3"/>
  <c r="BB925" i="3" s="1"/>
  <c r="BD924" i="3"/>
  <c r="BD925" i="3" s="1"/>
  <c r="BE924" i="3"/>
  <c r="BE925" i="3" s="1"/>
  <c r="BF924" i="3"/>
  <c r="BF925" i="3" s="1"/>
  <c r="BG924" i="3"/>
  <c r="BJ924" i="3"/>
  <c r="BJ925" i="3" s="1"/>
  <c r="BL924" i="3"/>
  <c r="BT924" i="3"/>
  <c r="BX924" i="3"/>
  <c r="AR924" i="3"/>
  <c r="AR925" i="3" s="1"/>
  <c r="AS924" i="3"/>
  <c r="AS925" i="3" s="1"/>
  <c r="AT924" i="3"/>
  <c r="AT925" i="3" s="1"/>
  <c r="CU159" i="4"/>
  <c r="CU157" i="4" s="1"/>
  <c r="CT157" i="4"/>
  <c r="CS329" i="4"/>
  <c r="CR328" i="4"/>
  <c r="CW924" i="3"/>
  <c r="CY924" i="3"/>
  <c r="CX924" i="3"/>
  <c r="DD924" i="3"/>
  <c r="DH907" i="3"/>
  <c r="DH929" i="3" s="1"/>
  <c r="DH932" i="3" s="1"/>
  <c r="DK907" i="3"/>
  <c r="DK929" i="3" s="1"/>
  <c r="DE907" i="3"/>
  <c r="DE929" i="3" s="1"/>
  <c r="DC907" i="3"/>
  <c r="DC929" i="3" s="1"/>
  <c r="DA907" i="3"/>
  <c r="DA929" i="3" s="1"/>
  <c r="GN31" i="78"/>
  <c r="FI10" i="78"/>
  <c r="PL10" i="80"/>
  <c r="EQ11" i="80"/>
  <c r="FF11" i="80"/>
  <c r="AZ46" i="77"/>
  <c r="AZ47" i="77"/>
  <c r="AZ49" i="77"/>
  <c r="AZ50" i="77"/>
  <c r="AZ54" i="77"/>
  <c r="BB62" i="77"/>
  <c r="BB63" i="77"/>
  <c r="BB64" i="77"/>
  <c r="AZ65" i="77"/>
  <c r="CQ83" i="4"/>
  <c r="CQ157" i="4"/>
  <c r="CQ169" i="4" s="1"/>
  <c r="CQ362" i="4" s="1"/>
  <c r="FN28" i="78"/>
  <c r="AQ41" i="57"/>
  <c r="AQ40" i="57" s="1"/>
  <c r="AQ27" i="57"/>
  <c r="AQ26" i="57" s="1"/>
  <c r="AL41" i="57"/>
  <c r="AI27" i="57"/>
  <c r="AI26" i="57" s="1"/>
  <c r="K58" i="57"/>
  <c r="CZ17" i="80" s="1"/>
  <c r="CP308" i="4"/>
  <c r="CO308" i="4"/>
  <c r="CN308" i="4"/>
  <c r="CM308" i="4"/>
  <c r="CL308" i="4"/>
  <c r="CK308" i="4"/>
  <c r="CJ308" i="4"/>
  <c r="CI308" i="4"/>
  <c r="CH308" i="4"/>
  <c r="CG308" i="4"/>
  <c r="CF308" i="4"/>
  <c r="AT45" i="57"/>
  <c r="AV45" i="57" s="1"/>
  <c r="AT47" i="57"/>
  <c r="AV47" i="57"/>
  <c r="AO47" i="57"/>
  <c r="AR47" i="57" s="1"/>
  <c r="AU47" i="57" s="1"/>
  <c r="AO29" i="57"/>
  <c r="AR29" i="57" s="1"/>
  <c r="AU29" i="57" s="1"/>
  <c r="AO44" i="57"/>
  <c r="AR44" i="57" s="1"/>
  <c r="AU44" i="57" s="1"/>
  <c r="AW44" i="57"/>
  <c r="CP17" i="78"/>
  <c r="DP17" i="80"/>
  <c r="DO17" i="80" s="1"/>
  <c r="DO21" i="80" s="1"/>
  <c r="AL27" i="57"/>
  <c r="AL26" i="57" s="1"/>
  <c r="AL42" i="57"/>
  <c r="DE7" i="80"/>
  <c r="DE11" i="80" s="1"/>
  <c r="CE7" i="78"/>
  <c r="CE11" i="78" s="1"/>
  <c r="AO33" i="57"/>
  <c r="AR33" i="57" s="1"/>
  <c r="AU33" i="57" s="1"/>
  <c r="AW33" i="57"/>
  <c r="AO24" i="57"/>
  <c r="AR24" i="57" s="1"/>
  <c r="AU24" i="57" s="1"/>
  <c r="AT36" i="57"/>
  <c r="AV36" i="57" s="1"/>
  <c r="AI58" i="57"/>
  <c r="AW20" i="57"/>
  <c r="AT15" i="57"/>
  <c r="AV15" i="57" s="1"/>
  <c r="AT16" i="57"/>
  <c r="AV16" i="57"/>
  <c r="AT23" i="57"/>
  <c r="AV23" i="57"/>
  <c r="AR19" i="57"/>
  <c r="AU19" i="57" s="1"/>
  <c r="AU13" i="57"/>
  <c r="AW13" i="57" s="1"/>
  <c r="AO12" i="57"/>
  <c r="AR12" i="57" s="1"/>
  <c r="AU12" i="57" s="1"/>
  <c r="AT32" i="57"/>
  <c r="AV32" i="57" s="1"/>
  <c r="AO31" i="57"/>
  <c r="AR31" i="57" s="1"/>
  <c r="AU31" i="57" s="1"/>
  <c r="AT8" i="57"/>
  <c r="AO23" i="57"/>
  <c r="AR23" i="57" s="1"/>
  <c r="AU23" i="57" s="1"/>
  <c r="AR17" i="57"/>
  <c r="AU17" i="57" s="1"/>
  <c r="AR10" i="57"/>
  <c r="AU10" i="57" s="1"/>
  <c r="AT19" i="57"/>
  <c r="AV19" i="57" s="1"/>
  <c r="AT24" i="57"/>
  <c r="AV24" i="57" s="1"/>
  <c r="AO9" i="57"/>
  <c r="AR9" i="57" s="1"/>
  <c r="AU9" i="57" s="1"/>
  <c r="BM43" i="57"/>
  <c r="AT25" i="57"/>
  <c r="AV25" i="57" s="1"/>
  <c r="AO28" i="57"/>
  <c r="AR28" i="57" s="1"/>
  <c r="AU28" i="57" s="1"/>
  <c r="AO16" i="57"/>
  <c r="AR16" i="57" s="1"/>
  <c r="AU16" i="57" s="1"/>
  <c r="AT28" i="57"/>
  <c r="AV28" i="57" s="1"/>
  <c r="AR15" i="57"/>
  <c r="AU15" i="57" s="1"/>
  <c r="AT10" i="57"/>
  <c r="AV10" i="57" s="1"/>
  <c r="AT33" i="57"/>
  <c r="AV33" i="57" s="1"/>
  <c r="AO14" i="57"/>
  <c r="AR14" i="57" s="1"/>
  <c r="AU14" i="57" s="1"/>
  <c r="BB29" i="77"/>
  <c r="W68" i="77"/>
  <c r="BB61" i="77"/>
  <c r="BB28" i="77"/>
  <c r="BA10" i="77"/>
  <c r="BB7" i="77"/>
  <c r="HF21" i="78"/>
  <c r="HE17" i="78"/>
  <c r="HE21" i="78" s="1"/>
  <c r="HU17" i="78"/>
  <c r="HV17" i="78" s="1"/>
  <c r="KB27" i="80"/>
  <c r="KB31" i="80" s="1"/>
  <c r="HB17" i="78"/>
  <c r="HB27" i="78" s="1"/>
  <c r="HB31" i="78" s="1"/>
  <c r="HV7" i="78"/>
  <c r="HV11" i="78" s="1"/>
  <c r="BB60" i="77"/>
  <c r="KT27" i="80"/>
  <c r="KT31" i="80" s="1"/>
  <c r="KV17" i="80"/>
  <c r="KV21" i="80" s="1"/>
  <c r="GV7" i="78"/>
  <c r="GV11" i="78" s="1"/>
  <c r="BA61" i="77"/>
  <c r="KU21" i="80"/>
  <c r="KU27" i="80"/>
  <c r="KU31" i="80" s="1"/>
  <c r="KG17" i="80"/>
  <c r="KG27" i="80" s="1"/>
  <c r="KH21" i="80"/>
  <c r="HL21" i="78"/>
  <c r="BB21" i="77"/>
  <c r="BB12" i="77"/>
  <c r="BB27" i="77"/>
  <c r="BB15" i="77"/>
  <c r="AZ40" i="77"/>
  <c r="AZ43" i="77"/>
  <c r="BB17" i="77"/>
  <c r="BA26" i="77"/>
  <c r="BB8" i="77"/>
  <c r="BB20" i="77"/>
  <c r="BB9" i="77"/>
  <c r="BA52" i="77"/>
  <c r="HG17" i="78"/>
  <c r="HG21" i="78" s="1"/>
  <c r="BB46" i="77"/>
  <c r="KH27" i="80"/>
  <c r="KH31" i="80" s="1"/>
  <c r="HE7" i="78"/>
  <c r="HE11" i="78" s="1"/>
  <c r="GV17" i="78"/>
  <c r="HU27" i="78"/>
  <c r="HU31" i="78" s="1"/>
  <c r="HT17" i="78"/>
  <c r="HT21" i="78" s="1"/>
  <c r="HN7" i="78"/>
  <c r="HN11" i="78" s="1"/>
  <c r="HL27" i="78"/>
  <c r="HL31" i="78" s="1"/>
  <c r="KN11" i="80"/>
  <c r="BB39" i="77"/>
  <c r="BA43" i="77"/>
  <c r="BA40" i="77"/>
  <c r="BA55" i="77"/>
  <c r="BA47" i="77"/>
  <c r="HT7" i="78"/>
  <c r="HO17" i="78"/>
  <c r="AY68" i="77"/>
  <c r="U68" i="77"/>
  <c r="GY7" i="78"/>
  <c r="GY11" i="78" s="1"/>
  <c r="GZ17" i="78"/>
  <c r="BB43" i="77"/>
  <c r="AI68" i="77"/>
  <c r="JZ27" i="80"/>
  <c r="JZ31" i="80" s="1"/>
  <c r="KW17" i="80"/>
  <c r="KI17" i="80"/>
  <c r="KY17" i="80" s="1"/>
  <c r="KJ27" i="80"/>
  <c r="KJ31" i="80" s="1"/>
  <c r="JV27" i="80"/>
  <c r="JV31" i="80" s="1"/>
  <c r="KW7" i="80"/>
  <c r="KW11" i="80" s="1"/>
  <c r="AI41" i="80" s="1"/>
  <c r="BE41" i="80" s="1"/>
  <c r="KR27" i="80"/>
  <c r="KR31" i="80" s="1"/>
  <c r="KR21" i="80"/>
  <c r="HS17" i="78"/>
  <c r="BB55" i="77"/>
  <c r="BB47" i="77"/>
  <c r="KT11" i="80"/>
  <c r="KQ7" i="80"/>
  <c r="KM27" i="80"/>
  <c r="KM31" i="80" s="1"/>
  <c r="AX68" i="77"/>
  <c r="LC11" i="80"/>
  <c r="LO7" i="80"/>
  <c r="LO11" i="80" s="1"/>
  <c r="AY932" i="3"/>
  <c r="K925" i="3"/>
  <c r="K901" i="3"/>
  <c r="K928" i="3" s="1"/>
  <c r="K932" i="3" s="1"/>
  <c r="BG919" i="3"/>
  <c r="BG931" i="3" s="1"/>
  <c r="S919" i="3"/>
  <c r="S931" i="3" s="1"/>
  <c r="KW9" i="78"/>
  <c r="IV21" i="80"/>
  <c r="O932" i="3"/>
  <c r="AX295" i="3"/>
  <c r="AX904" i="3" s="1"/>
  <c r="AX907" i="3" s="1"/>
  <c r="FJ20" i="78"/>
  <c r="GP19" i="78"/>
  <c r="JG8" i="80"/>
  <c r="JD28" i="80"/>
  <c r="FS31" i="78"/>
  <c r="JF28" i="80"/>
  <c r="EH288" i="3"/>
  <c r="EG282" i="3"/>
  <c r="EI21" i="78"/>
  <c r="EA17" i="78"/>
  <c r="EA27" i="78" s="1"/>
  <c r="BG913" i="3"/>
  <c r="BG930" i="3" s="1"/>
  <c r="AG624" i="3"/>
  <c r="FU31" i="78"/>
  <c r="GI19" i="78"/>
  <c r="GI29" i="78" s="1"/>
  <c r="EF761" i="3"/>
  <c r="EF911" i="3" s="1"/>
  <c r="ED10" i="78"/>
  <c r="FK11" i="78"/>
  <c r="AM39" i="78" s="1"/>
  <c r="GD11" i="78"/>
  <c r="DS11" i="78"/>
  <c r="DQ345" i="3"/>
  <c r="DQ411" i="3"/>
  <c r="DQ602" i="3"/>
  <c r="DQ659" i="3"/>
  <c r="DQ725" i="3"/>
  <c r="DQ745" i="3"/>
  <c r="DQ766" i="3"/>
  <c r="DQ797" i="3"/>
  <c r="ES30" i="78"/>
  <c r="ES31" i="78" s="1"/>
  <c r="ET21" i="78"/>
  <c r="EG435" i="3"/>
  <c r="EG440" i="3" s="1"/>
  <c r="AU919" i="3"/>
  <c r="AU931" i="3" s="1"/>
  <c r="GO20" i="78"/>
  <c r="GA21" i="78"/>
  <c r="DM27" i="78"/>
  <c r="AG295" i="3"/>
  <c r="AG904" i="3" s="1"/>
  <c r="AW624" i="3"/>
  <c r="AW899" i="3" s="1"/>
  <c r="AW923" i="3" s="1"/>
  <c r="DQ208" i="3"/>
  <c r="EE273" i="3"/>
  <c r="EE282" i="3"/>
  <c r="EE376" i="3"/>
  <c r="FA19" i="80"/>
  <c r="DB19" i="78"/>
  <c r="DB29" i="78" s="1"/>
  <c r="ET31" i="80"/>
  <c r="AV295" i="3"/>
  <c r="AV904" i="3" s="1"/>
  <c r="AW295" i="3"/>
  <c r="AW904" i="3" s="1"/>
  <c r="S295" i="3"/>
  <c r="S904" i="3" s="1"/>
  <c r="JS11" i="80"/>
  <c r="JU8" i="80"/>
  <c r="DT21" i="78"/>
  <c r="S240" i="3"/>
  <c r="S898" i="3" s="1"/>
  <c r="IO30" i="80"/>
  <c r="DZ27" i="78"/>
  <c r="EE27" i="78" s="1"/>
  <c r="EM30" i="78"/>
  <c r="IJ31" i="80"/>
  <c r="PN10" i="80"/>
  <c r="FT10" i="80"/>
  <c r="IS21" i="80"/>
  <c r="IC21" i="80"/>
  <c r="GL31" i="80"/>
  <c r="AU624" i="3"/>
  <c r="AU899" i="3" s="1"/>
  <c r="AU923" i="3" s="1"/>
  <c r="S624" i="3"/>
  <c r="S899" i="3" s="1"/>
  <c r="EG766" i="3"/>
  <c r="IU31" i="80"/>
  <c r="FB20" i="78"/>
  <c r="FB30" i="78" s="1"/>
  <c r="FA30" i="78"/>
  <c r="FL30" i="78" s="1"/>
  <c r="FG29" i="80"/>
  <c r="FR29" i="80" s="1"/>
  <c r="EP29" i="80"/>
  <c r="EO19" i="80"/>
  <c r="EO29" i="80" s="1"/>
  <c r="PR20" i="80"/>
  <c r="HA30" i="80"/>
  <c r="HB20" i="80"/>
  <c r="HB30" i="80" s="1"/>
  <c r="DD20" i="78"/>
  <c r="DE30" i="78"/>
  <c r="DC30" i="78"/>
  <c r="DB20" i="78"/>
  <c r="KM20" i="78" s="1"/>
  <c r="DY30" i="78"/>
  <c r="DS30" i="78"/>
  <c r="DS31" i="78" s="1"/>
  <c r="KV20" i="78"/>
  <c r="DU17" i="78"/>
  <c r="EE17" i="78"/>
  <c r="EQ21" i="78"/>
  <c r="EQ30" i="78"/>
  <c r="GZ20" i="80"/>
  <c r="FF19" i="80"/>
  <c r="FI29" i="80"/>
  <c r="PT19" i="80"/>
  <c r="AV814" i="3"/>
  <c r="EU20" i="78"/>
  <c r="EV30" i="78"/>
  <c r="EV31" i="78" s="1"/>
  <c r="AX240" i="3"/>
  <c r="AX898" i="3" s="1"/>
  <c r="AX901" i="3" s="1"/>
  <c r="AX928" i="3" s="1"/>
  <c r="DS21" i="78"/>
  <c r="KZ20" i="78"/>
  <c r="DD19" i="78"/>
  <c r="DD29" i="78" s="1"/>
  <c r="DE29" i="78"/>
  <c r="HL20" i="80"/>
  <c r="DU20" i="78"/>
  <c r="DU30" i="78" s="1"/>
  <c r="DT30" i="78"/>
  <c r="FH20" i="78"/>
  <c r="FF20" i="78"/>
  <c r="FF30" i="78" s="1"/>
  <c r="AX917" i="3"/>
  <c r="AX919" i="3" s="1"/>
  <c r="AX931" i="3" s="1"/>
  <c r="AX814" i="3"/>
  <c r="EE20" i="78"/>
  <c r="DN20" i="78"/>
  <c r="DN30" i="78" s="1"/>
  <c r="EX29" i="80"/>
  <c r="EI729" i="3"/>
  <c r="EI725" i="3" s="1"/>
  <c r="GQ9" i="78"/>
  <c r="FX29" i="78"/>
  <c r="GQ29" i="78" s="1"/>
  <c r="EH659" i="3"/>
  <c r="EA19" i="78"/>
  <c r="EA21" i="78" s="1"/>
  <c r="EE19" i="78"/>
  <c r="DY19" i="78"/>
  <c r="DY29" i="78" s="1"/>
  <c r="DZ29" i="78"/>
  <c r="HK20" i="80"/>
  <c r="DL20" i="78"/>
  <c r="DM21" i="78"/>
  <c r="AV923" i="3"/>
  <c r="KN20" i="78"/>
  <c r="FL20" i="78"/>
  <c r="DM30" i="78"/>
  <c r="AU240" i="3"/>
  <c r="AU898" i="3" s="1"/>
  <c r="DF19" i="78"/>
  <c r="DF29" i="78" s="1"/>
  <c r="DG29" i="78"/>
  <c r="KR19" i="78"/>
  <c r="FR19" i="80"/>
  <c r="EY20" i="78"/>
  <c r="EY30" i="78" s="1"/>
  <c r="EX30" i="78"/>
  <c r="EG451" i="3"/>
  <c r="EH451" i="3" s="1"/>
  <c r="EI451" i="3" s="1"/>
  <c r="EF448" i="3"/>
  <c r="EF624" i="3" s="1"/>
  <c r="EF899" i="3" s="1"/>
  <c r="AG442" i="3"/>
  <c r="LI18" i="78"/>
  <c r="GP28" i="78"/>
  <c r="GU30" i="80"/>
  <c r="HK30" i="80" s="1"/>
  <c r="AG916" i="3"/>
  <c r="AG919" i="3" s="1"/>
  <c r="AG931" i="3" s="1"/>
  <c r="DR20" i="78"/>
  <c r="DR30" i="78" s="1"/>
  <c r="DQ30" i="78"/>
  <c r="JE18" i="80"/>
  <c r="IM28" i="80"/>
  <c r="JH18" i="80"/>
  <c r="JH20" i="80"/>
  <c r="IM30" i="80"/>
  <c r="S911" i="3"/>
  <c r="EZ30" i="80"/>
  <c r="EY20" i="80"/>
  <c r="EQ20" i="80"/>
  <c r="ER30" i="80"/>
  <c r="GR30" i="80"/>
  <c r="GR31" i="80" s="1"/>
  <c r="GQ20" i="80"/>
  <c r="GR21" i="80"/>
  <c r="GL21" i="80"/>
  <c r="GK20" i="80"/>
  <c r="EG353" i="3"/>
  <c r="EG345" i="3" s="1"/>
  <c r="PM20" i="80"/>
  <c r="FJ30" i="80"/>
  <c r="DR409" i="3"/>
  <c r="DR910" i="3" s="1"/>
  <c r="HH11" i="80"/>
  <c r="FI19" i="78"/>
  <c r="GA28" i="78"/>
  <c r="IN21" i="80"/>
  <c r="IT29" i="80"/>
  <c r="JC10" i="80"/>
  <c r="BL240" i="3"/>
  <c r="BL898" i="3" s="1"/>
  <c r="BL624" i="3"/>
  <c r="BL899" i="3" s="1"/>
  <c r="FD29" i="78"/>
  <c r="FZ18" i="78"/>
  <c r="FU21" i="78"/>
  <c r="GP27" i="80"/>
  <c r="GP31" i="80" s="1"/>
  <c r="HI19" i="80"/>
  <c r="IK31" i="80"/>
  <c r="GV21" i="80"/>
  <c r="GP21" i="80"/>
  <c r="EF810" i="3"/>
  <c r="EF917" i="3" s="1"/>
  <c r="CF297" i="3"/>
  <c r="CF409" i="3" s="1"/>
  <c r="CF442" i="3" s="1"/>
  <c r="BG295" i="3"/>
  <c r="EE624" i="3"/>
  <c r="EE899" i="3" s="1"/>
  <c r="EC18" i="78"/>
  <c r="EY29" i="78"/>
  <c r="FK28" i="78"/>
  <c r="HK18" i="80"/>
  <c r="EE10" i="3"/>
  <c r="EG810" i="3"/>
  <c r="EG917" i="3" s="1"/>
  <c r="AU814" i="3"/>
  <c r="BR297" i="3"/>
  <c r="BR409" i="3" s="1"/>
  <c r="BG240" i="3"/>
  <c r="BG898" i="3" s="1"/>
  <c r="GE21" i="78"/>
  <c r="IN28" i="80"/>
  <c r="IN31" i="80" s="1"/>
  <c r="DQ297" i="3"/>
  <c r="EE745" i="3"/>
  <c r="EE761" i="3" s="1"/>
  <c r="EE911" i="3" s="1"/>
  <c r="BL761" i="3"/>
  <c r="BL814" i="3" s="1"/>
  <c r="EU11" i="78"/>
  <c r="ID21" i="80"/>
  <c r="EE345" i="3"/>
  <c r="DV21" i="78"/>
  <c r="FI20" i="80"/>
  <c r="EF411" i="3"/>
  <c r="GC28" i="78"/>
  <c r="FZ20" i="78"/>
  <c r="IQ18" i="80"/>
  <c r="IQ28" i="80" s="1"/>
  <c r="EU29" i="78"/>
  <c r="FK29" i="78" s="1"/>
  <c r="FI28" i="80"/>
  <c r="IR28" i="80"/>
  <c r="GO27" i="80"/>
  <c r="HN18" i="80"/>
  <c r="KQ19" i="78"/>
  <c r="DL30" i="78"/>
  <c r="ED20" i="78"/>
  <c r="AX913" i="3"/>
  <c r="AX930" i="3" s="1"/>
  <c r="BL409" i="3"/>
  <c r="BL910" i="3" s="1"/>
  <c r="BL295" i="3"/>
  <c r="BL904" i="3" s="1"/>
  <c r="EH321" i="3"/>
  <c r="EG297" i="3"/>
  <c r="S901" i="3"/>
  <c r="S928" i="3" s="1"/>
  <c r="S922" i="3"/>
  <c r="AU929" i="3"/>
  <c r="EI637" i="3"/>
  <c r="EI628" i="3" s="1"/>
  <c r="EI655" i="3" s="1"/>
  <c r="EI905" i="3" s="1"/>
  <c r="EH628" i="3"/>
  <c r="EH655" i="3" s="1"/>
  <c r="EH905" i="3" s="1"/>
  <c r="AX929" i="3"/>
  <c r="FK20" i="78"/>
  <c r="EU30" i="78"/>
  <c r="EU21" i="78"/>
  <c r="EH499" i="3"/>
  <c r="EI499" i="3" s="1"/>
  <c r="EG448" i="3"/>
  <c r="EI427" i="3"/>
  <c r="EI411" i="3" s="1"/>
  <c r="EH411" i="3"/>
  <c r="EH440" i="3" s="1"/>
  <c r="GU28" i="80"/>
  <c r="HK28" i="80" s="1"/>
  <c r="EG760" i="3"/>
  <c r="EH760" i="3" s="1"/>
  <c r="DR810" i="3"/>
  <c r="DR917" i="3" s="1"/>
  <c r="BL440" i="3"/>
  <c r="EG659" i="3"/>
  <c r="AV240" i="3"/>
  <c r="ES11" i="78"/>
  <c r="CQ328" i="4"/>
  <c r="CS104" i="4"/>
  <c r="CR83" i="4"/>
  <c r="DT810" i="3"/>
  <c r="EF209" i="3"/>
  <c r="EE208" i="3"/>
  <c r="EE248" i="3"/>
  <c r="EF248" i="3" s="1"/>
  <c r="EG248" i="3" s="1"/>
  <c r="DS242" i="3"/>
  <c r="DS295" i="3" s="1"/>
  <c r="EE163" i="3"/>
  <c r="DS240" i="3"/>
  <c r="DS409" i="3"/>
  <c r="DS624" i="3"/>
  <c r="DS442" i="3"/>
  <c r="CG10" i="80"/>
  <c r="CE336" i="4"/>
  <c r="DZ247" i="3"/>
  <c r="EE826" i="3"/>
  <c r="EE830" i="3"/>
  <c r="CQ280" i="4"/>
  <c r="CQ292" i="4"/>
  <c r="CQ293" i="4" s="1"/>
  <c r="CQ270" i="4"/>
  <c r="EF163" i="3"/>
  <c r="EG163" i="3" s="1"/>
  <c r="EH163" i="3" s="1"/>
  <c r="EI163" i="3" s="1"/>
  <c r="CS923" i="3"/>
  <c r="EI891" i="3"/>
  <c r="EI918" i="3" s="1"/>
  <c r="EI440" i="3"/>
  <c r="EI916" i="3" s="1"/>
  <c r="FN20" i="78"/>
  <c r="BT925" i="3"/>
  <c r="CH925" i="3"/>
  <c r="CU236" i="4"/>
  <c r="BT932" i="3"/>
  <c r="EI659" i="3"/>
  <c r="CP932" i="3"/>
  <c r="CQ932" i="3"/>
  <c r="DA932" i="3"/>
  <c r="DE932" i="3"/>
  <c r="DK932" i="3"/>
  <c r="EG853" i="3"/>
  <c r="EG912" i="3" s="1"/>
  <c r="CO932" i="3"/>
  <c r="O925" i="3"/>
  <c r="AH932" i="3"/>
  <c r="BU901" i="3"/>
  <c r="BU928" i="3" s="1"/>
  <c r="BU932" i="3" s="1"/>
  <c r="EF409" i="3"/>
  <c r="EF910" i="3" s="1"/>
  <c r="EF913" i="3" s="1"/>
  <c r="EF930" i="3" s="1"/>
  <c r="PC20" i="80"/>
  <c r="BS10" i="3"/>
  <c r="BS240" i="3" s="1"/>
  <c r="CR240" i="3"/>
  <c r="CJ10" i="3"/>
  <c r="CJ240" i="3" s="1"/>
  <c r="AW240" i="3"/>
  <c r="EE628" i="3"/>
  <c r="EE655" i="3" s="1"/>
  <c r="BK7" i="4"/>
  <c r="BK119" i="4" s="1"/>
  <c r="DR752" i="3"/>
  <c r="BF371" i="4"/>
  <c r="BF388" i="4" s="1"/>
  <c r="BF381" i="4"/>
  <c r="CU919" i="3"/>
  <c r="CU931" i="3" s="1"/>
  <c r="CB265" i="4"/>
  <c r="BO382" i="4"/>
  <c r="BU382" i="4"/>
  <c r="BX382" i="4"/>
  <c r="CA382" i="4"/>
  <c r="DJ913" i="3"/>
  <c r="DJ930" i="3" s="1"/>
  <c r="DD901" i="3"/>
  <c r="DD928" i="3" s="1"/>
  <c r="BO371" i="4"/>
  <c r="BO388" i="4" s="1"/>
  <c r="BO288" i="4"/>
  <c r="BX288" i="4"/>
  <c r="BJ7" i="78" s="1"/>
  <c r="BJ27" i="78" s="1"/>
  <c r="BM280" i="4"/>
  <c r="BM288" i="4" s="1"/>
  <c r="BM357" i="4" s="1"/>
  <c r="BM381" i="4" s="1"/>
  <c r="DG242" i="3"/>
  <c r="DR630" i="3"/>
  <c r="DR440" i="3"/>
  <c r="DR916" i="3" s="1"/>
  <c r="DR919" i="3" s="1"/>
  <c r="DR931" i="3" s="1"/>
  <c r="GS28" i="78"/>
  <c r="GQ19" i="78"/>
  <c r="EB18" i="78"/>
  <c r="GS30" i="78"/>
  <c r="FW21" i="78"/>
  <c r="FR21" i="78"/>
  <c r="GS29" i="78"/>
  <c r="GL21" i="78"/>
  <c r="GO21" i="78"/>
  <c r="GF21" i="78"/>
  <c r="GB30" i="78"/>
  <c r="GO30" i="78"/>
  <c r="BZ932" i="3"/>
  <c r="BE30" i="78"/>
  <c r="EI11" i="78"/>
  <c r="EO29" i="78"/>
  <c r="EK11" i="78"/>
  <c r="DV28" i="78"/>
  <c r="GM30" i="78"/>
  <c r="FC27" i="78"/>
  <c r="GG11" i="78"/>
  <c r="FQ30" i="78"/>
  <c r="GM11" i="78"/>
  <c r="DP11" i="78"/>
  <c r="JD30" i="80"/>
  <c r="JD20" i="80"/>
  <c r="JD21" i="80" s="1"/>
  <c r="IG21" i="80"/>
  <c r="IK21" i="80"/>
  <c r="IZ31" i="80"/>
  <c r="HK11" i="80"/>
  <c r="AZ39" i="80" s="1"/>
  <c r="IY30" i="80"/>
  <c r="JE10" i="80"/>
  <c r="IO29" i="80"/>
  <c r="JE29" i="80" s="1"/>
  <c r="IW11" i="80"/>
  <c r="JC9" i="80"/>
  <c r="JG9" i="80" s="1"/>
  <c r="FL11" i="80"/>
  <c r="GU11" i="80"/>
  <c r="EO11" i="80"/>
  <c r="ES28" i="80"/>
  <c r="FO10" i="80"/>
  <c r="GI29" i="80"/>
  <c r="HI29" i="80" s="1"/>
  <c r="HC27" i="80"/>
  <c r="HJ19" i="80"/>
  <c r="BV814" i="3"/>
  <c r="GK29" i="80"/>
  <c r="JC19" i="80"/>
  <c r="ID30" i="80"/>
  <c r="HI10" i="80"/>
  <c r="HM10" i="80" s="1"/>
  <c r="IE29" i="80"/>
  <c r="IE31" i="80" s="1"/>
  <c r="H30" i="80"/>
  <c r="BY119" i="4"/>
  <c r="AT234" i="4"/>
  <c r="AT368" i="4" s="1"/>
  <c r="AT371" i="4" s="1"/>
  <c r="AT388" i="4" s="1"/>
  <c r="AW234" i="4"/>
  <c r="AW368" i="4" s="1"/>
  <c r="AX234" i="4"/>
  <c r="AX368" i="4" s="1"/>
  <c r="AX371" i="4" s="1"/>
  <c r="AX388" i="4" s="1"/>
  <c r="AO265" i="4"/>
  <c r="AO374" i="4" s="1"/>
  <c r="BB334" i="4"/>
  <c r="BD334" i="4"/>
  <c r="BV334" i="4"/>
  <c r="AP334" i="4"/>
  <c r="BQ833" i="3"/>
  <c r="BY833" i="3"/>
  <c r="GW27" i="78"/>
  <c r="K68" i="77"/>
  <c r="AZ7" i="77"/>
  <c r="AZ11" i="77"/>
  <c r="AZ12" i="77"/>
  <c r="AZ14" i="77"/>
  <c r="AZ17" i="77"/>
  <c r="AZ26" i="77"/>
  <c r="AZ27" i="77"/>
  <c r="AZ28" i="77"/>
  <c r="AZ33" i="77"/>
  <c r="AZ35" i="77"/>
  <c r="AZ41" i="77"/>
  <c r="AZ42" i="77"/>
  <c r="AZ51" i="77"/>
  <c r="AZ52" i="77"/>
  <c r="AZ53" i="77"/>
  <c r="AZ61" i="77"/>
  <c r="AZ62" i="77"/>
  <c r="DR820" i="3"/>
  <c r="V68" i="77"/>
  <c r="CP377" i="4"/>
  <c r="CP389" i="4" s="1"/>
  <c r="CN359" i="4"/>
  <c r="CN386" i="4" s="1"/>
  <c r="CU382" i="4"/>
  <c r="CE382" i="4"/>
  <c r="KI27" i="78"/>
  <c r="JU31" i="78"/>
  <c r="KC31" i="78"/>
  <c r="KJ30" i="78"/>
  <c r="KI29" i="78"/>
  <c r="KI30" i="78"/>
  <c r="JY31" i="78"/>
  <c r="KB31" i="78"/>
  <c r="KH17" i="78"/>
  <c r="JV31" i="78"/>
  <c r="JR10" i="78"/>
  <c r="FL11" i="78"/>
  <c r="AO39" i="78" s="1"/>
  <c r="BN28" i="78"/>
  <c r="FM18" i="78"/>
  <c r="BB28" i="78"/>
  <c r="AX28" i="78"/>
  <c r="BH28" i="78"/>
  <c r="HY19" i="78"/>
  <c r="IA19" i="78" s="1"/>
  <c r="CU30" i="78"/>
  <c r="CW28" i="78"/>
  <c r="CX28" i="78"/>
  <c r="HX28" i="78"/>
  <c r="CX29" i="78"/>
  <c r="HX29" i="78"/>
  <c r="HZ29" i="78"/>
  <c r="CX30" i="78"/>
  <c r="HW30" i="78"/>
  <c r="HZ30" i="78"/>
  <c r="AR40" i="78"/>
  <c r="AQ42" i="78"/>
  <c r="CY10" i="78"/>
  <c r="CY8" i="78"/>
  <c r="JH20" i="78"/>
  <c r="JG27" i="78"/>
  <c r="JG31" i="78" s="1"/>
  <c r="II31" i="78"/>
  <c r="JE28" i="78"/>
  <c r="JH28" i="78" s="1"/>
  <c r="IK31" i="78"/>
  <c r="IS31" i="78"/>
  <c r="JE30" i="78"/>
  <c r="IN31" i="78"/>
  <c r="IR31" i="78"/>
  <c r="IU31" i="78"/>
  <c r="KI11" i="78"/>
  <c r="JE11" i="78"/>
  <c r="EF44" i="78"/>
  <c r="FM44" i="78"/>
  <c r="IA44" i="78"/>
  <c r="LQ44" i="78"/>
  <c r="JI20" i="78"/>
  <c r="JI19" i="78"/>
  <c r="BQ119" i="4"/>
  <c r="BQ121" i="4"/>
  <c r="BQ169" i="4" s="1"/>
  <c r="BQ362" i="4" s="1"/>
  <c r="BQ234" i="4"/>
  <c r="BQ368" i="4" s="1"/>
  <c r="BQ371" i="4" s="1"/>
  <c r="BQ388" i="4" s="1"/>
  <c r="BQ265" i="4"/>
  <c r="BQ374" i="4" s="1"/>
  <c r="BT234" i="4"/>
  <c r="BT368" i="4" s="1"/>
  <c r="BT265" i="4"/>
  <c r="BT374" i="4" s="1"/>
  <c r="BT288" i="4"/>
  <c r="BW169" i="4"/>
  <c r="BW362" i="4" s="1"/>
  <c r="BW365" i="4" s="1"/>
  <c r="BW387" i="4" s="1"/>
  <c r="BW234" i="4"/>
  <c r="BW368" i="4" s="1"/>
  <c r="BW308" i="4"/>
  <c r="BW369" i="4" s="1"/>
  <c r="BW382" i="4"/>
  <c r="BZ153" i="4"/>
  <c r="BZ234" i="4"/>
  <c r="BZ368" i="4" s="1"/>
  <c r="BZ371" i="4" s="1"/>
  <c r="BZ388" i="4" s="1"/>
  <c r="BZ265" i="4"/>
  <c r="BZ374" i="4" s="1"/>
  <c r="BZ377" i="4" s="1"/>
  <c r="BZ389" i="4" s="1"/>
  <c r="DI655" i="3"/>
  <c r="DI905" i="3" s="1"/>
  <c r="DF409" i="3"/>
  <c r="DF910" i="3" s="1"/>
  <c r="DF624" i="3"/>
  <c r="DF833" i="3"/>
  <c r="DF891" i="3"/>
  <c r="DF918" i="3" s="1"/>
  <c r="DQ50" i="3"/>
  <c r="DQ10" i="3" s="1"/>
  <c r="DQ272" i="3"/>
  <c r="DI282" i="3"/>
  <c r="DI295" i="3" s="1"/>
  <c r="DI904" i="3" s="1"/>
  <c r="DI907" i="3" s="1"/>
  <c r="DQ290" i="3"/>
  <c r="DI409" i="3"/>
  <c r="DI910" i="3" s="1"/>
  <c r="DI761" i="3"/>
  <c r="DI911" i="3" s="1"/>
  <c r="DI833" i="3"/>
  <c r="DI853" i="3"/>
  <c r="DI912" i="3" s="1"/>
  <c r="DQ244" i="3"/>
  <c r="DQ263" i="3"/>
  <c r="DQ283" i="3"/>
  <c r="DL409" i="3"/>
  <c r="DL910" i="3" s="1"/>
  <c r="DL628" i="3"/>
  <c r="DL655" i="3" s="1"/>
  <c r="DO295" i="3"/>
  <c r="DO904" i="3" s="1"/>
  <c r="DQ291" i="3"/>
  <c r="DO440" i="3"/>
  <c r="DO624" i="3"/>
  <c r="DO899" i="3" s="1"/>
  <c r="DQ648" i="3"/>
  <c r="DQ642" i="3" s="1"/>
  <c r="DQ435" i="3"/>
  <c r="DQ440" i="3" s="1"/>
  <c r="DQ916" i="3" s="1"/>
  <c r="DQ448" i="3"/>
  <c r="DQ624" i="3" s="1"/>
  <c r="DQ899" i="3" s="1"/>
  <c r="DQ650" i="3"/>
  <c r="EB923" i="3"/>
  <c r="X58" i="57"/>
  <c r="Y58" i="57"/>
  <c r="AA58" i="57"/>
  <c r="AB58" i="57"/>
  <c r="AH58" i="57"/>
  <c r="AP58" i="57"/>
  <c r="AS58" i="57"/>
  <c r="KW27" i="80"/>
  <c r="HL11" i="80"/>
  <c r="BB39" i="80" s="1"/>
  <c r="LA8" i="80"/>
  <c r="MS11" i="80"/>
  <c r="MU9" i="80"/>
  <c r="NR10" i="80"/>
  <c r="BD42" i="80"/>
  <c r="CE44" i="80"/>
  <c r="HM44" i="80"/>
  <c r="FS44" i="80"/>
  <c r="MU44" i="80"/>
  <c r="MS30" i="80"/>
  <c r="MR30" i="80"/>
  <c r="KX30" i="80"/>
  <c r="DV30" i="80"/>
  <c r="OF31" i="80"/>
  <c r="OJ29" i="80"/>
  <c r="OI29" i="80"/>
  <c r="MT29" i="80"/>
  <c r="MQ29" i="80"/>
  <c r="MU29" i="80" s="1"/>
  <c r="DX29" i="80"/>
  <c r="DV29" i="80"/>
  <c r="NZ31" i="80"/>
  <c r="LR31" i="80"/>
  <c r="DX28" i="80"/>
  <c r="DV28" i="80"/>
  <c r="OK20" i="80"/>
  <c r="MG31" i="80"/>
  <c r="LB20" i="80"/>
  <c r="DU20" i="80"/>
  <c r="DY20" i="80" s="1"/>
  <c r="OK19" i="80"/>
  <c r="DU19" i="80"/>
  <c r="DY19" i="80" s="1"/>
  <c r="MP31" i="80"/>
  <c r="DU28" i="80"/>
  <c r="BA28" i="80"/>
  <c r="OJ21" i="80"/>
  <c r="MT21" i="80"/>
  <c r="MS17" i="80"/>
  <c r="MS21" i="80" s="1"/>
  <c r="MR17" i="80"/>
  <c r="MR21" i="80" s="1"/>
  <c r="KT21" i="80"/>
  <c r="JW21" i="80"/>
  <c r="Q58" i="57"/>
  <c r="P58" i="57"/>
  <c r="N58" i="57"/>
  <c r="L58" i="57"/>
  <c r="J58" i="57"/>
  <c r="CX23" i="80" s="1"/>
  <c r="I58" i="57"/>
  <c r="CV17" i="80" s="1"/>
  <c r="H58" i="57"/>
  <c r="MM27" i="80"/>
  <c r="MM31" i="80" s="1"/>
  <c r="NI11" i="80"/>
  <c r="ED624" i="3"/>
  <c r="ED240" i="3"/>
  <c r="CP288" i="4"/>
  <c r="CP119" i="4"/>
  <c r="CO119" i="4"/>
  <c r="EB833" i="3"/>
  <c r="EJ7" i="80"/>
  <c r="EJ11" i="80" s="1"/>
  <c r="EA624" i="3"/>
  <c r="EA833" i="3"/>
  <c r="EA240" i="3"/>
  <c r="EI7" i="80"/>
  <c r="EI11" i="80" s="1"/>
  <c r="CM288" i="4"/>
  <c r="DZ624" i="3"/>
  <c r="DZ240" i="3"/>
  <c r="CL288" i="4"/>
  <c r="CL119" i="4"/>
  <c r="CK119" i="4"/>
  <c r="DX833" i="3"/>
  <c r="CJ119" i="4"/>
  <c r="DW624" i="3"/>
  <c r="CI288" i="4"/>
  <c r="CI119" i="4"/>
  <c r="DV624" i="3"/>
  <c r="DV833" i="3"/>
  <c r="CH288" i="4"/>
  <c r="CH119" i="4"/>
  <c r="DU624" i="3"/>
  <c r="DU833" i="3"/>
  <c r="EC7" i="80"/>
  <c r="EC11" i="80" s="1"/>
  <c r="CG119" i="4"/>
  <c r="DT624" i="3"/>
  <c r="DT814" i="3" s="1"/>
  <c r="DT833" i="3"/>
  <c r="EB7" i="80"/>
  <c r="EB11" i="80" s="1"/>
  <c r="CF119" i="4"/>
  <c r="ED891" i="3"/>
  <c r="ED440" i="3"/>
  <c r="EC891" i="3"/>
  <c r="EC440" i="3"/>
  <c r="EB891" i="3"/>
  <c r="EB440" i="3"/>
  <c r="EA891" i="3"/>
  <c r="EA440" i="3"/>
  <c r="DZ891" i="3"/>
  <c r="DZ440" i="3"/>
  <c r="DY891" i="3"/>
  <c r="DY440" i="3"/>
  <c r="CK265" i="4"/>
  <c r="DX891" i="3"/>
  <c r="DX440" i="3"/>
  <c r="CJ265" i="4"/>
  <c r="DW891" i="3"/>
  <c r="DW440" i="3"/>
  <c r="CI265" i="4"/>
  <c r="DV891" i="3"/>
  <c r="DV440" i="3"/>
  <c r="CH265" i="4"/>
  <c r="DU891" i="3"/>
  <c r="DU440" i="3"/>
  <c r="CG265" i="4"/>
  <c r="DT891" i="3"/>
  <c r="DT440" i="3"/>
  <c r="CF265" i="4"/>
  <c r="DS891" i="3"/>
  <c r="CE265" i="4"/>
  <c r="ED853" i="3"/>
  <c r="CP234" i="4"/>
  <c r="EC853" i="3"/>
  <c r="EC409" i="3"/>
  <c r="CO234" i="4"/>
  <c r="EB853" i="3"/>
  <c r="EA409" i="3"/>
  <c r="CM234" i="4"/>
  <c r="DZ409" i="3"/>
  <c r="DY853" i="3"/>
  <c r="DY409" i="3"/>
  <c r="CK234" i="4"/>
  <c r="DX409" i="3"/>
  <c r="CJ234" i="4"/>
  <c r="DW409" i="3"/>
  <c r="CI234" i="4"/>
  <c r="DV853" i="3"/>
  <c r="CH234" i="4"/>
  <c r="DU853" i="3"/>
  <c r="DU409" i="3"/>
  <c r="CG234" i="4"/>
  <c r="DT853" i="3"/>
  <c r="CE234" i="4"/>
  <c r="ED295" i="3"/>
  <c r="EB295" i="3"/>
  <c r="EA295" i="3"/>
  <c r="DY295" i="3"/>
  <c r="DX295" i="3"/>
  <c r="DW295" i="3"/>
  <c r="DV295" i="3"/>
  <c r="DU295" i="3"/>
  <c r="DT295" i="3"/>
  <c r="AV365" i="4"/>
  <c r="AV387" i="4" s="1"/>
  <c r="PW18" i="80"/>
  <c r="AE18" i="80"/>
  <c r="AE28" i="80" s="1"/>
  <c r="AT365" i="4"/>
  <c r="AT387" i="4" s="1"/>
  <c r="AT380" i="4"/>
  <c r="AQ380" i="4"/>
  <c r="AQ365" i="4"/>
  <c r="AQ387" i="4" s="1"/>
  <c r="AQ390" i="4" s="1"/>
  <c r="AW365" i="4"/>
  <c r="AW387" i="4" s="1"/>
  <c r="AN365" i="4"/>
  <c r="AN387" i="4" s="1"/>
  <c r="AN380" i="4"/>
  <c r="AX365" i="4"/>
  <c r="AX387" i="4" s="1"/>
  <c r="AX380" i="4"/>
  <c r="AS380" i="4"/>
  <c r="AS383" i="4" s="1"/>
  <c r="AS365" i="4"/>
  <c r="AS387" i="4" s="1"/>
  <c r="N28" i="78"/>
  <c r="M18" i="78"/>
  <c r="KT18" i="78"/>
  <c r="GB7" i="78"/>
  <c r="DC814" i="3"/>
  <c r="IO7" i="80"/>
  <c r="DC899" i="3"/>
  <c r="PM8" i="80"/>
  <c r="S18" i="80"/>
  <c r="PM18" i="80"/>
  <c r="K18" i="78"/>
  <c r="Y8" i="78"/>
  <c r="AF18" i="80"/>
  <c r="AE18" i="78"/>
  <c r="G28" i="80"/>
  <c r="PK8" i="80"/>
  <c r="I18" i="80"/>
  <c r="AH267" i="4"/>
  <c r="AH350" i="4" s="1"/>
  <c r="AH362" i="4"/>
  <c r="PN8" i="80"/>
  <c r="M18" i="80"/>
  <c r="N28" i="80"/>
  <c r="L28" i="80"/>
  <c r="BN365" i="4"/>
  <c r="BN387" i="4" s="1"/>
  <c r="BN390" i="4" s="1"/>
  <c r="AC362" i="4"/>
  <c r="AC267" i="4"/>
  <c r="AR365" i="4"/>
  <c r="AR387" i="4" s="1"/>
  <c r="AA18" i="80"/>
  <c r="Y362" i="4"/>
  <c r="F18" i="80"/>
  <c r="F18" i="78"/>
  <c r="U18" i="80"/>
  <c r="PO18" i="80"/>
  <c r="PP18" i="80" s="1"/>
  <c r="AJ362" i="4"/>
  <c r="W18" i="80"/>
  <c r="PG18" i="80"/>
  <c r="BY365" i="4"/>
  <c r="BY387" i="4" s="1"/>
  <c r="BB365" i="4"/>
  <c r="BB387" i="4" s="1"/>
  <c r="LA8" i="78"/>
  <c r="T18" i="78"/>
  <c r="AF362" i="4"/>
  <c r="BS365" i="4"/>
  <c r="BS387" i="4" s="1"/>
  <c r="DI27" i="78"/>
  <c r="DH17" i="78"/>
  <c r="PX18" i="80"/>
  <c r="PY18" i="80" s="1"/>
  <c r="Q18" i="80"/>
  <c r="Q28" i="80" s="1"/>
  <c r="Z18" i="80"/>
  <c r="AJ18" i="80"/>
  <c r="BK365" i="4"/>
  <c r="BK387" i="4" s="1"/>
  <c r="LB18" i="78"/>
  <c r="LC18" i="78" s="1"/>
  <c r="AB267" i="4"/>
  <c r="AA267" i="4"/>
  <c r="AA350" i="4" s="1"/>
  <c r="AD362" i="4"/>
  <c r="P18" i="80"/>
  <c r="BL362" i="4"/>
  <c r="BL365" i="4" s="1"/>
  <c r="BL387" i="4" s="1"/>
  <c r="BG267" i="4"/>
  <c r="BP362" i="4"/>
  <c r="BP267" i="4"/>
  <c r="DQ893" i="3"/>
  <c r="BR901" i="3"/>
  <c r="BR928" i="3" s="1"/>
  <c r="ES17" i="80"/>
  <c r="ET21" i="80"/>
  <c r="EI917" i="3"/>
  <c r="EI919" i="3" s="1"/>
  <c r="EI931" i="3" s="1"/>
  <c r="DN29" i="78"/>
  <c r="V356" i="4"/>
  <c r="V267" i="4"/>
  <c r="V350" i="4" s="1"/>
  <c r="CM932" i="3"/>
  <c r="AI8" i="80"/>
  <c r="S8" i="78"/>
  <c r="AA8" i="80"/>
  <c r="F8" i="80"/>
  <c r="CS913" i="3"/>
  <c r="CS930" i="3" s="1"/>
  <c r="CS932" i="3" s="1"/>
  <c r="CU288" i="4"/>
  <c r="CF901" i="3"/>
  <c r="CF928" i="3" s="1"/>
  <c r="CB932" i="3"/>
  <c r="CC898" i="3"/>
  <c r="CC442" i="3"/>
  <c r="F11" i="78"/>
  <c r="CS925" i="3"/>
  <c r="AR932" i="3"/>
  <c r="CF910" i="3"/>
  <c r="EY19" i="80"/>
  <c r="EZ29" i="80"/>
  <c r="EZ31" i="80" s="1"/>
  <c r="EZ21" i="80"/>
  <c r="FL17" i="80"/>
  <c r="FM27" i="80"/>
  <c r="FN17" i="80"/>
  <c r="FM21" i="80"/>
  <c r="AE362" i="4"/>
  <c r="R18" i="78"/>
  <c r="AG8" i="78"/>
  <c r="BD267" i="4"/>
  <c r="AA8" i="78"/>
  <c r="O8" i="80"/>
  <c r="AH8" i="80" s="1"/>
  <c r="BA362" i="4"/>
  <c r="CH932" i="3"/>
  <c r="DU29" i="78"/>
  <c r="FD29" i="80"/>
  <c r="FC19" i="80"/>
  <c r="FE19" i="80"/>
  <c r="FE29" i="80" s="1"/>
  <c r="EK30" i="78"/>
  <c r="EV17" i="80"/>
  <c r="BR442" i="3"/>
  <c r="EH917" i="3"/>
  <c r="BW932" i="3"/>
  <c r="ED19" i="78"/>
  <c r="DL29" i="78"/>
  <c r="CI932" i="3"/>
  <c r="F30" i="80"/>
  <c r="AG20" i="80"/>
  <c r="K17" i="80"/>
  <c r="X8" i="80"/>
  <c r="X8" i="78"/>
  <c r="BA267" i="4"/>
  <c r="EG916" i="3"/>
  <c r="EG891" i="3"/>
  <c r="EG918" i="3" s="1"/>
  <c r="S390" i="4"/>
  <c r="EQ19" i="80"/>
  <c r="ER29" i="80"/>
  <c r="CK922" i="3"/>
  <c r="CK925" i="3" s="1"/>
  <c r="CK913" i="3"/>
  <c r="CK930" i="3" s="1"/>
  <c r="CK932" i="3" s="1"/>
  <c r="F27" i="80"/>
  <c r="GI20" i="80"/>
  <c r="GJ21" i="80"/>
  <c r="GJ30" i="80"/>
  <c r="PA20" i="80"/>
  <c r="DT29" i="78"/>
  <c r="EE29" i="78" s="1"/>
  <c r="FB30" i="80"/>
  <c r="FH20" i="80"/>
  <c r="FM30" i="80"/>
  <c r="CT913" i="3"/>
  <c r="CT930" i="3" s="1"/>
  <c r="FJ17" i="80"/>
  <c r="BX898" i="3"/>
  <c r="BV898" i="3"/>
  <c r="FD17" i="80"/>
  <c r="DQ17" i="78"/>
  <c r="N20" i="78"/>
  <c r="N21" i="78" s="1"/>
  <c r="N20" i="80"/>
  <c r="N21" i="80" s="1"/>
  <c r="P19" i="80"/>
  <c r="P19" i="78"/>
  <c r="BQ893" i="3"/>
  <c r="GN20" i="80"/>
  <c r="EF10" i="3"/>
  <c r="BN10" i="3"/>
  <c r="BN240" i="3" s="1"/>
  <c r="BO118" i="3"/>
  <c r="EI246" i="3"/>
  <c r="EI359" i="3"/>
  <c r="EI345" i="3" s="1"/>
  <c r="EH345" i="3"/>
  <c r="BW922" i="3"/>
  <c r="BW925" i="3" s="1"/>
  <c r="DM29" i="78"/>
  <c r="FG30" i="80"/>
  <c r="EX20" i="80"/>
  <c r="BS916" i="3"/>
  <c r="BS919" i="3" s="1"/>
  <c r="BS931" i="3" s="1"/>
  <c r="ER8" i="80"/>
  <c r="ER28" i="80" s="1"/>
  <c r="DE8" i="78"/>
  <c r="CT442" i="3"/>
  <c r="GH20" i="80"/>
  <c r="BN893" i="3"/>
  <c r="J19" i="80"/>
  <c r="J19" i="78"/>
  <c r="BY9" i="80"/>
  <c r="BL19" i="78"/>
  <c r="AQ19" i="78"/>
  <c r="BD19" i="80"/>
  <c r="H19" i="80"/>
  <c r="H19" i="78"/>
  <c r="DG17" i="78"/>
  <c r="AC369" i="4"/>
  <c r="BH19" i="80"/>
  <c r="DW30" i="78"/>
  <c r="EF440" i="3"/>
  <c r="EG602" i="3"/>
  <c r="EG624" i="3" s="1"/>
  <c r="EG899" i="3" s="1"/>
  <c r="EW8" i="80"/>
  <c r="CY442" i="3"/>
  <c r="CY904" i="3"/>
  <c r="CY907" i="3" s="1"/>
  <c r="EN20" i="80"/>
  <c r="DA20" i="78"/>
  <c r="BY21" i="80"/>
  <c r="EE916" i="3"/>
  <c r="BV7" i="80"/>
  <c r="AI336" i="4"/>
  <c r="BJ19" i="80"/>
  <c r="AD336" i="4"/>
  <c r="AD350" i="4" s="1"/>
  <c r="DO17" i="78"/>
  <c r="FB17" i="80"/>
  <c r="EX17" i="80"/>
  <c r="BS898" i="3"/>
  <c r="ER7" i="80"/>
  <c r="CT898" i="3"/>
  <c r="DE7" i="78"/>
  <c r="CD10" i="3"/>
  <c r="CD240" i="3" s="1"/>
  <c r="CE48" i="3"/>
  <c r="CE10" i="3" s="1"/>
  <c r="CE240" i="3" s="1"/>
  <c r="L20" i="78"/>
  <c r="L20" i="80"/>
  <c r="L21" i="80" s="1"/>
  <c r="AT336" i="4"/>
  <c r="AT350" i="4" s="1"/>
  <c r="AT357" i="4"/>
  <c r="V20" i="78"/>
  <c r="V10" i="80"/>
  <c r="R20" i="78"/>
  <c r="R10" i="80"/>
  <c r="DI20" i="78"/>
  <c r="DQ399" i="3"/>
  <c r="DQ376" i="3" s="1"/>
  <c r="DQ409" i="3" s="1"/>
  <c r="CW376" i="3"/>
  <c r="CW409" i="3" s="1"/>
  <c r="BX357" i="4"/>
  <c r="DJ825" i="3"/>
  <c r="DJ833" i="3" s="1"/>
  <c r="DR826" i="3"/>
  <c r="DR825" i="3" s="1"/>
  <c r="EF630" i="3"/>
  <c r="BQ10" i="80"/>
  <c r="BR375" i="4"/>
  <c r="BR377" i="4" s="1"/>
  <c r="BR389" i="4" s="1"/>
  <c r="BD10" i="78"/>
  <c r="BU357" i="4"/>
  <c r="BT7" i="80"/>
  <c r="BG7" i="78"/>
  <c r="DG286" i="3"/>
  <c r="DD282" i="3"/>
  <c r="DD295" i="3" s="1"/>
  <c r="CU932" i="3"/>
  <c r="DJ258" i="3"/>
  <c r="DJ634" i="3"/>
  <c r="CB135" i="4"/>
  <c r="CC135" i="4"/>
  <c r="BK288" i="4"/>
  <c r="DP279" i="3"/>
  <c r="DM273" i="3"/>
  <c r="CU922" i="3"/>
  <c r="FE7" i="78"/>
  <c r="HE7" i="80"/>
  <c r="DM900" i="3"/>
  <c r="W9" i="78"/>
  <c r="BR368" i="4"/>
  <c r="W9" i="80"/>
  <c r="CA144" i="4"/>
  <c r="CB144" i="4" s="1"/>
  <c r="CC335" i="4"/>
  <c r="CC375" i="4"/>
  <c r="CX273" i="3"/>
  <c r="CX295" i="3" s="1"/>
  <c r="DP283" i="3"/>
  <c r="DR283" i="3" s="1"/>
  <c r="DX7" i="78"/>
  <c r="FK7" i="80"/>
  <c r="DB242" i="3"/>
  <c r="DB295" i="3" s="1"/>
  <c r="DP901" i="3"/>
  <c r="DP928" i="3" s="1"/>
  <c r="GY7" i="80"/>
  <c r="EY7" i="78"/>
  <c r="DG893" i="3"/>
  <c r="DM635" i="3"/>
  <c r="DP635" i="3" s="1"/>
  <c r="DJ294" i="3"/>
  <c r="DJ284" i="3"/>
  <c r="DB893" i="3"/>
  <c r="DB900" i="3"/>
  <c r="DB924" i="3" s="1"/>
  <c r="Z7" i="80"/>
  <c r="Z7" i="78"/>
  <c r="BU356" i="4"/>
  <c r="CZ246" i="3"/>
  <c r="CZ242" i="3" s="1"/>
  <c r="CZ295" i="3" s="1"/>
  <c r="DB913" i="3"/>
  <c r="DB930" i="3" s="1"/>
  <c r="DD913" i="3"/>
  <c r="DD930" i="3" s="1"/>
  <c r="DM285" i="3"/>
  <c r="BR292" i="4"/>
  <c r="BO293" i="4"/>
  <c r="BO363" i="4" s="1"/>
  <c r="JE17" i="80"/>
  <c r="JH17" i="80"/>
  <c r="IO21" i="80"/>
  <c r="AF7" i="80"/>
  <c r="CA356" i="4"/>
  <c r="AF7" i="78"/>
  <c r="BO357" i="4"/>
  <c r="FH10" i="78"/>
  <c r="FH30" i="78" s="1"/>
  <c r="DP918" i="3"/>
  <c r="DP924" i="3" s="1"/>
  <c r="DP893" i="3"/>
  <c r="BT10" i="80"/>
  <c r="BU375" i="4"/>
  <c r="BU377" i="4" s="1"/>
  <c r="BU389" i="4" s="1"/>
  <c r="BG10" i="78"/>
  <c r="DJ273" i="3"/>
  <c r="DM910" i="3"/>
  <c r="Z9" i="78"/>
  <c r="FK9" i="80"/>
  <c r="FK29" i="80" s="1"/>
  <c r="AC10" i="80"/>
  <c r="BJ10" i="78"/>
  <c r="BX375" i="4"/>
  <c r="BX377" i="4" s="1"/>
  <c r="BX389" i="4" s="1"/>
  <c r="CA288" i="4"/>
  <c r="FE7" i="80"/>
  <c r="DG898" i="3"/>
  <c r="FE10" i="78"/>
  <c r="DM918" i="3"/>
  <c r="DM919" i="3" s="1"/>
  <c r="DM931" i="3" s="1"/>
  <c r="IH31" i="80"/>
  <c r="CV242" i="3"/>
  <c r="CV295" i="3" s="1"/>
  <c r="BF382" i="4"/>
  <c r="BM382" i="4"/>
  <c r="Z10" i="80"/>
  <c r="DD648" i="3"/>
  <c r="FR29" i="78"/>
  <c r="GP17" i="78"/>
  <c r="FP21" i="78"/>
  <c r="FP27" i="78"/>
  <c r="W7" i="78"/>
  <c r="BR356" i="4"/>
  <c r="BZ10" i="80"/>
  <c r="PY10" i="80" s="1"/>
  <c r="BM10" i="78"/>
  <c r="BM30" i="78" s="1"/>
  <c r="DP910" i="3"/>
  <c r="DP913" i="3" s="1"/>
  <c r="DP930" i="3" s="1"/>
  <c r="DR847" i="3"/>
  <c r="DM840" i="3"/>
  <c r="DM853" i="3" s="1"/>
  <c r="PY9" i="80"/>
  <c r="DU7" i="78"/>
  <c r="CB164" i="4"/>
  <c r="CB157" i="4" s="1"/>
  <c r="DB919" i="3"/>
  <c r="DB931" i="3" s="1"/>
  <c r="EA9" i="78"/>
  <c r="EA29" i="78" s="1"/>
  <c r="CB327" i="4"/>
  <c r="CB310" i="4" s="1"/>
  <c r="CB334" i="4" s="1"/>
  <c r="CB285" i="4"/>
  <c r="CB280" i="4" s="1"/>
  <c r="CB288" i="4" s="1"/>
  <c r="CC164" i="4"/>
  <c r="CC157" i="4" s="1"/>
  <c r="BW9" i="80"/>
  <c r="BJ9" i="78"/>
  <c r="GQ20" i="78"/>
  <c r="FX30" i="78"/>
  <c r="CA369" i="4"/>
  <c r="CA371" i="4" s="1"/>
  <c r="CA388" i="4" s="1"/>
  <c r="BM9" i="78"/>
  <c r="EI27" i="78"/>
  <c r="EI31" i="78" s="1"/>
  <c r="GM19" i="78"/>
  <c r="GE28" i="78"/>
  <c r="GE31" i="78" s="1"/>
  <c r="FC19" i="78"/>
  <c r="GD17" i="78"/>
  <c r="DT28" i="78"/>
  <c r="FA27" i="78"/>
  <c r="DL18" i="78"/>
  <c r="DL28" i="78" s="1"/>
  <c r="FX18" i="78"/>
  <c r="GQ18" i="78" s="1"/>
  <c r="GS20" i="78"/>
  <c r="JE20" i="80"/>
  <c r="BZ893" i="3"/>
  <c r="FA19" i="78"/>
  <c r="G7" i="78"/>
  <c r="AG7" i="78" s="1"/>
  <c r="FP29" i="78"/>
  <c r="BU20" i="80"/>
  <c r="IL31" i="80"/>
  <c r="IY19" i="80"/>
  <c r="IY29" i="80" s="1"/>
  <c r="IB29" i="80"/>
  <c r="GO11" i="80"/>
  <c r="FO7" i="78"/>
  <c r="IB7" i="80"/>
  <c r="EO28" i="80"/>
  <c r="HC29" i="80"/>
  <c r="IT21" i="80"/>
  <c r="IC30" i="80"/>
  <c r="JC20" i="80"/>
  <c r="FQ11" i="78"/>
  <c r="IT30" i="80"/>
  <c r="GW29" i="80"/>
  <c r="GO29" i="80"/>
  <c r="GO31" i="80" s="1"/>
  <c r="IM21" i="80"/>
  <c r="BX83" i="4"/>
  <c r="BX119" i="4" s="1"/>
  <c r="GI17" i="78"/>
  <c r="GG17" i="78"/>
  <c r="GO29" i="78"/>
  <c r="AO30" i="78"/>
  <c r="DL11" i="78"/>
  <c r="ED7" i="78"/>
  <c r="ED11" i="78" s="1"/>
  <c r="AM38" i="78" s="1"/>
  <c r="IG27" i="80"/>
  <c r="FQ28" i="80"/>
  <c r="IS10" i="80"/>
  <c r="EU28" i="80"/>
  <c r="ID31" i="80"/>
  <c r="HJ7" i="80"/>
  <c r="GU27" i="80"/>
  <c r="GU31" i="80" s="1"/>
  <c r="BI30" i="80"/>
  <c r="GL27" i="78"/>
  <c r="EQ29" i="78"/>
  <c r="EQ31" i="78" s="1"/>
  <c r="FI7" i="78"/>
  <c r="S7" i="80"/>
  <c r="S7" i="78"/>
  <c r="IQ30" i="80"/>
  <c r="GF30" i="78"/>
  <c r="FC11" i="80"/>
  <c r="EN9" i="80"/>
  <c r="DA9" i="78"/>
  <c r="IC27" i="80"/>
  <c r="JE19" i="80"/>
  <c r="JG19" i="80" s="1"/>
  <c r="FZ28" i="78"/>
  <c r="GJ17" i="78"/>
  <c r="EH27" i="78"/>
  <c r="GS19" i="78"/>
  <c r="GH27" i="78"/>
  <c r="FY21" i="78"/>
  <c r="GA27" i="78"/>
  <c r="GJ19" i="78"/>
  <c r="GJ29" i="78" s="1"/>
  <c r="DH814" i="3"/>
  <c r="DK814" i="3"/>
  <c r="GC17" i="78"/>
  <c r="GN21" i="78"/>
  <c r="FQ27" i="78"/>
  <c r="FQ31" i="78" s="1"/>
  <c r="GI20" i="78"/>
  <c r="FP30" i="78"/>
  <c r="FJ10" i="78"/>
  <c r="FM10" i="78" s="1"/>
  <c r="EJ10" i="78"/>
  <c r="FF7" i="78"/>
  <c r="CD20" i="80"/>
  <c r="FP18" i="80"/>
  <c r="FS18" i="80" s="1"/>
  <c r="IR30" i="80"/>
  <c r="HB19" i="80"/>
  <c r="IR21" i="80"/>
  <c r="JF20" i="80"/>
  <c r="GS19" i="80"/>
  <c r="JA27" i="80"/>
  <c r="FI10" i="80"/>
  <c r="FI11" i="80" s="1"/>
  <c r="DV10" i="78"/>
  <c r="II29" i="80"/>
  <c r="II31" i="80" s="1"/>
  <c r="IO28" i="80"/>
  <c r="JE28" i="80" s="1"/>
  <c r="EN28" i="80"/>
  <c r="IW21" i="80"/>
  <c r="GZ11" i="80"/>
  <c r="GF27" i="78"/>
  <c r="LJ9" i="78"/>
  <c r="FR30" i="78"/>
  <c r="EZ11" i="78"/>
  <c r="IT11" i="80"/>
  <c r="JC17" i="80"/>
  <c r="DX18" i="78"/>
  <c r="FB17" i="78"/>
  <c r="EO27" i="78"/>
  <c r="EO11" i="78"/>
  <c r="JB21" i="80"/>
  <c r="BX10" i="80"/>
  <c r="BK10" i="78"/>
  <c r="FA7" i="80"/>
  <c r="EY11" i="80"/>
  <c r="IS27" i="80"/>
  <c r="IG29" i="80"/>
  <c r="FT18" i="80"/>
  <c r="IF21" i="80"/>
  <c r="GL30" i="78"/>
  <c r="EK29" i="78"/>
  <c r="GJ30" i="78"/>
  <c r="IQ21" i="80"/>
  <c r="IQ27" i="80"/>
  <c r="IW30" i="80"/>
  <c r="IW31" i="80" s="1"/>
  <c r="DN11" i="78"/>
  <c r="FF28" i="80"/>
  <c r="EM9" i="78"/>
  <c r="GM9" i="80"/>
  <c r="BT814" i="3"/>
  <c r="BW814" i="3"/>
  <c r="EL17" i="78"/>
  <c r="FI17" i="78" s="1"/>
  <c r="AP7" i="78"/>
  <c r="U9" i="78"/>
  <c r="DF8" i="78"/>
  <c r="FR8" i="78"/>
  <c r="GP8" i="78" s="1"/>
  <c r="FX7" i="78"/>
  <c r="FT8" i="78"/>
  <c r="DD10" i="78"/>
  <c r="DD11" i="78" s="1"/>
  <c r="EH9" i="78"/>
  <c r="FO9" i="78"/>
  <c r="DA8" i="78"/>
  <c r="H10" i="78"/>
  <c r="JF18" i="80"/>
  <c r="GY10" i="80"/>
  <c r="GW7" i="80"/>
  <c r="AM308" i="4"/>
  <c r="FM28" i="78"/>
  <c r="HV27" i="78"/>
  <c r="HV31" i="78" s="1"/>
  <c r="HV21" i="78"/>
  <c r="JR30" i="78"/>
  <c r="KT10" i="78"/>
  <c r="KH21" i="78"/>
  <c r="DE814" i="3"/>
  <c r="CU814" i="3"/>
  <c r="EX17" i="78"/>
  <c r="GC19" i="78"/>
  <c r="AS20" i="78"/>
  <c r="GB8" i="78"/>
  <c r="FH9" i="78"/>
  <c r="AZ9" i="78"/>
  <c r="DB10" i="78"/>
  <c r="DJ10" i="78"/>
  <c r="DF7" i="78"/>
  <c r="FR7" i="78"/>
  <c r="FV10" i="78"/>
  <c r="EL10" i="78"/>
  <c r="EL11" i="78" s="1"/>
  <c r="FC10" i="78"/>
  <c r="BZ442" i="3"/>
  <c r="CZ30" i="78"/>
  <c r="IC28" i="80"/>
  <c r="BH119" i="4"/>
  <c r="HC21" i="78"/>
  <c r="HC27" i="78"/>
  <c r="HC31" i="78" s="1"/>
  <c r="HQ11" i="78"/>
  <c r="HQ27" i="78"/>
  <c r="HQ31" i="78" s="1"/>
  <c r="HA17" i="78"/>
  <c r="HU21" i="78"/>
  <c r="HH27" i="78"/>
  <c r="HH31" i="78" s="1"/>
  <c r="HK17" i="78"/>
  <c r="HK21" i="78" s="1"/>
  <c r="HM27" i="78"/>
  <c r="HM31" i="78" s="1"/>
  <c r="AW68" i="77"/>
  <c r="GW11" i="78"/>
  <c r="BA11" i="77"/>
  <c r="BB23" i="77"/>
  <c r="BB24" i="77"/>
  <c r="BB22" i="77"/>
  <c r="BB19" i="77"/>
  <c r="CQ72" i="4"/>
  <c r="KI28" i="78"/>
  <c r="KI31" i="78" s="1"/>
  <c r="JT30" i="78"/>
  <c r="JT31" i="78" s="1"/>
  <c r="KF31" i="78"/>
  <c r="BO8" i="78"/>
  <c r="BC8" i="78"/>
  <c r="BS18" i="78"/>
  <c r="FN18" i="78"/>
  <c r="IB19" i="78"/>
  <c r="GW29" i="78"/>
  <c r="IH31" i="78"/>
  <c r="IJ31" i="78"/>
  <c r="IX31" i="78"/>
  <c r="BZ169" i="4"/>
  <c r="BZ362" i="4" s="1"/>
  <c r="BZ365" i="4" s="1"/>
  <c r="BZ387" i="4" s="1"/>
  <c r="BZ336" i="4"/>
  <c r="BW336" i="4"/>
  <c r="BW357" i="4"/>
  <c r="BW381" i="4" s="1"/>
  <c r="DI913" i="3"/>
  <c r="DI930" i="3" s="1"/>
  <c r="DO240" i="3"/>
  <c r="DO898" i="3" s="1"/>
  <c r="HB21" i="78"/>
  <c r="L68" i="77"/>
  <c r="JR28" i="78"/>
  <c r="CZ20" i="78"/>
  <c r="CU20" i="78"/>
  <c r="CY20" i="78" s="1"/>
  <c r="IA8" i="78"/>
  <c r="JH18" i="78"/>
  <c r="IC31" i="78"/>
  <c r="BZ356" i="4"/>
  <c r="DI916" i="3"/>
  <c r="DL893" i="3"/>
  <c r="DL918" i="3"/>
  <c r="DL924" i="3" s="1"/>
  <c r="DO409" i="3"/>
  <c r="DO910" i="3" s="1"/>
  <c r="DO913" i="3" s="1"/>
  <c r="DO930" i="3" s="1"/>
  <c r="JW31" i="78"/>
  <c r="IG11" i="78"/>
  <c r="JD7" i="78"/>
  <c r="IG27" i="78"/>
  <c r="IG31" i="78" s="1"/>
  <c r="BW267" i="4"/>
  <c r="BW356" i="4"/>
  <c r="DF814" i="3"/>
  <c r="DF899" i="3"/>
  <c r="DF923" i="3" s="1"/>
  <c r="AV11" i="57"/>
  <c r="GW21" i="78"/>
  <c r="BB16" i="77"/>
  <c r="JS21" i="78"/>
  <c r="KJ27" i="78"/>
  <c r="KJ31" i="78" s="1"/>
  <c r="KG27" i="78"/>
  <c r="KV8" i="78"/>
  <c r="KV11" i="78" s="1"/>
  <c r="JR9" i="78"/>
  <c r="JR11" i="78" s="1"/>
  <c r="HY20" i="78"/>
  <c r="IA20" i="78" s="1"/>
  <c r="BU29" i="78"/>
  <c r="HG28" i="78"/>
  <c r="HY28" i="78" s="1"/>
  <c r="IA28" i="78" s="1"/>
  <c r="HY18" i="78"/>
  <c r="JD17" i="78"/>
  <c r="ID27" i="78"/>
  <c r="ID21" i="78"/>
  <c r="IE31" i="78"/>
  <c r="JC27" i="78"/>
  <c r="JC31" i="78" s="1"/>
  <c r="JC21" i="78"/>
  <c r="BQ377" i="4"/>
  <c r="BQ389" i="4" s="1"/>
  <c r="DO916" i="3"/>
  <c r="AV30" i="57"/>
  <c r="BB13" i="77"/>
  <c r="BB14" i="77"/>
  <c r="BB25" i="77"/>
  <c r="BA18" i="77"/>
  <c r="KE21" i="78"/>
  <c r="KI17" i="78"/>
  <c r="JT11" i="78"/>
  <c r="BP18" i="78"/>
  <c r="IB18" i="78"/>
  <c r="BU28" i="78"/>
  <c r="HI29" i="78"/>
  <c r="HY29" i="78" s="1"/>
  <c r="CW30" i="78"/>
  <c r="CY30" i="78" s="1"/>
  <c r="IA10" i="78"/>
  <c r="JF29" i="78"/>
  <c r="IQ31" i="78"/>
  <c r="JE29" i="78"/>
  <c r="IF31" i="78"/>
  <c r="JF17" i="78"/>
  <c r="JF21" i="78" s="1"/>
  <c r="IP27" i="78"/>
  <c r="IP31" i="78" s="1"/>
  <c r="IP21" i="78"/>
  <c r="BQ365" i="4"/>
  <c r="BQ387" i="4" s="1"/>
  <c r="BW377" i="4"/>
  <c r="BW389" i="4" s="1"/>
  <c r="DF240" i="3"/>
  <c r="DF898" i="3" s="1"/>
  <c r="DF900" i="3"/>
  <c r="DF924" i="3" s="1"/>
  <c r="DF893" i="3"/>
  <c r="DI917" i="3"/>
  <c r="DI814" i="3"/>
  <c r="DL913" i="3"/>
  <c r="DL930" i="3" s="1"/>
  <c r="AT13" i="57"/>
  <c r="AV13" i="57" s="1"/>
  <c r="CO365" i="4"/>
  <c r="CO387" i="4" s="1"/>
  <c r="KQ11" i="80"/>
  <c r="IB20" i="78"/>
  <c r="DI923" i="3"/>
  <c r="DF913" i="3"/>
  <c r="DF930" i="3" s="1"/>
  <c r="DQ628" i="3"/>
  <c r="DI929" i="3"/>
  <c r="DL916" i="3"/>
  <c r="DL919" i="3" s="1"/>
  <c r="DL931" i="3" s="1"/>
  <c r="DO917" i="3"/>
  <c r="DO814" i="3"/>
  <c r="CR81" i="4"/>
  <c r="CR72" i="4" s="1"/>
  <c r="HK7" i="78"/>
  <c r="KK7" i="80"/>
  <c r="KA31" i="78"/>
  <c r="JE31" i="78"/>
  <c r="BQ336" i="4"/>
  <c r="BQ357" i="4"/>
  <c r="BQ381" i="4" s="1"/>
  <c r="BT357" i="4"/>
  <c r="DF916" i="3"/>
  <c r="DF919" i="3" s="1"/>
  <c r="DF931" i="3" s="1"/>
  <c r="DL901" i="3"/>
  <c r="DL928" i="3" s="1"/>
  <c r="DL814" i="3"/>
  <c r="DL905" i="3"/>
  <c r="DL923" i="3" s="1"/>
  <c r="KD31" i="78"/>
  <c r="GS11" i="78"/>
  <c r="AO40" i="78" s="1"/>
  <c r="HY30" i="78"/>
  <c r="IA30" i="78" s="1"/>
  <c r="IB28" i="78"/>
  <c r="JF27" i="78"/>
  <c r="JI29" i="78"/>
  <c r="JE17" i="78"/>
  <c r="JE21" i="78" s="1"/>
  <c r="IH21" i="78"/>
  <c r="IM31" i="78"/>
  <c r="IZ31" i="78"/>
  <c r="DI893" i="3"/>
  <c r="DI900" i="3"/>
  <c r="DI924" i="3" s="1"/>
  <c r="DO923" i="3"/>
  <c r="DO900" i="3"/>
  <c r="DO924" i="3" s="1"/>
  <c r="DO893" i="3"/>
  <c r="JD30" i="78"/>
  <c r="JH30" i="78" s="1"/>
  <c r="BZ357" i="4"/>
  <c r="BZ381" i="4" s="1"/>
  <c r="DL282" i="3"/>
  <c r="DI10" i="3"/>
  <c r="DI240" i="3" s="1"/>
  <c r="DX923" i="3"/>
  <c r="AR43" i="57"/>
  <c r="NR30" i="80"/>
  <c r="NR11" i="80"/>
  <c r="PG10" i="80"/>
  <c r="KO21" i="80"/>
  <c r="KN17" i="80"/>
  <c r="KN21" i="80" s="1"/>
  <c r="KZ17" i="80"/>
  <c r="KZ21" i="80" s="1"/>
  <c r="KO27" i="80"/>
  <c r="KP17" i="80"/>
  <c r="KA21" i="80"/>
  <c r="KA27" i="80"/>
  <c r="DL11" i="80"/>
  <c r="KV11" i="80"/>
  <c r="KV27" i="80"/>
  <c r="KV31" i="80" s="1"/>
  <c r="DY28" i="80"/>
  <c r="JI7" i="78"/>
  <c r="JI11" i="78" s="1"/>
  <c r="DQ279" i="3"/>
  <c r="DQ273" i="3" s="1"/>
  <c r="IL21" i="78"/>
  <c r="IU21" i="78"/>
  <c r="IW27" i="78"/>
  <c r="IW31" i="78" s="1"/>
  <c r="DQ201" i="3"/>
  <c r="DQ163" i="3" s="1"/>
  <c r="DQ240" i="3" s="1"/>
  <c r="DQ898" i="3" s="1"/>
  <c r="PG11" i="80"/>
  <c r="KC11" i="80"/>
  <c r="KC27" i="80"/>
  <c r="KC31" i="80" s="1"/>
  <c r="IZ21" i="78"/>
  <c r="JI18" i="78"/>
  <c r="JI21" i="78" s="1"/>
  <c r="DF242" i="3"/>
  <c r="DF295" i="3" s="1"/>
  <c r="DF904" i="3" s="1"/>
  <c r="KE17" i="80"/>
  <c r="KF21" i="80"/>
  <c r="KF27" i="80"/>
  <c r="KF31" i="80" s="1"/>
  <c r="IV31" i="78"/>
  <c r="DL242" i="3"/>
  <c r="DL295" i="3" s="1"/>
  <c r="DL904" i="3" s="1"/>
  <c r="AV46" i="57"/>
  <c r="EC923" i="3"/>
  <c r="MQ11" i="80"/>
  <c r="MU7" i="80"/>
  <c r="EC814" i="3"/>
  <c r="BU28" i="80"/>
  <c r="MR27" i="80"/>
  <c r="MR31" i="80" s="1"/>
  <c r="JV11" i="80"/>
  <c r="NR28" i="80"/>
  <c r="NR31" i="80" s="1"/>
  <c r="CA18" i="80"/>
  <c r="BD28" i="80"/>
  <c r="KJ21" i="80"/>
  <c r="JX21" i="80"/>
  <c r="KY20" i="80"/>
  <c r="MA31" i="80"/>
  <c r="MS27" i="80"/>
  <c r="MS31" i="80" s="1"/>
  <c r="Z58" i="57"/>
  <c r="CB8" i="80"/>
  <c r="LA10" i="80"/>
  <c r="MV28" i="80"/>
  <c r="BO18" i="80"/>
  <c r="BQ18" i="80"/>
  <c r="OC21" i="80"/>
  <c r="OC27" i="80"/>
  <c r="OC31" i="80" s="1"/>
  <c r="DY30" i="80"/>
  <c r="W58" i="57"/>
  <c r="MH31" i="80"/>
  <c r="JW30" i="80"/>
  <c r="LB30" i="80" s="1"/>
  <c r="KW20" i="80"/>
  <c r="LA20" i="80" s="1"/>
  <c r="DZ28" i="80"/>
  <c r="PI9" i="80"/>
  <c r="MM11" i="80"/>
  <c r="LB18" i="80"/>
  <c r="U58" i="57"/>
  <c r="KG11" i="80"/>
  <c r="NT10" i="80"/>
  <c r="NT11" i="80" s="1"/>
  <c r="KW30" i="80"/>
  <c r="LA30" i="80" s="1"/>
  <c r="MD31" i="80"/>
  <c r="OJ27" i="80"/>
  <c r="OJ31" i="80" s="1"/>
  <c r="LP31" i="80"/>
  <c r="KY19" i="80"/>
  <c r="KG29" i="80"/>
  <c r="DY18" i="80"/>
  <c r="CX17" i="80"/>
  <c r="AD58" i="57"/>
  <c r="MM21" i="80"/>
  <c r="NW27" i="80"/>
  <c r="NW21" i="80"/>
  <c r="MQ17" i="80"/>
  <c r="LQ27" i="80"/>
  <c r="LQ21" i="80"/>
  <c r="MV7" i="80"/>
  <c r="MV11" i="80" s="1"/>
  <c r="BR28" i="80"/>
  <c r="OK44" i="80"/>
  <c r="BC44" i="80"/>
  <c r="DU29" i="80"/>
  <c r="DY29" i="80" s="1"/>
  <c r="MJ27" i="80"/>
  <c r="MJ31" i="80" s="1"/>
  <c r="MJ21" i="80"/>
  <c r="JY17" i="80"/>
  <c r="JZ21" i="80"/>
  <c r="KX7" i="80"/>
  <c r="KX11" i="80" s="1"/>
  <c r="AJ41" i="80" s="1"/>
  <c r="BD41" i="80" s="1"/>
  <c r="HM8" i="80"/>
  <c r="BA44" i="80"/>
  <c r="NY31" i="80"/>
  <c r="KW19" i="80"/>
  <c r="LA19" i="80" s="1"/>
  <c r="LB19" i="80"/>
  <c r="BG18" i="80"/>
  <c r="BH28" i="80"/>
  <c r="KQ17" i="80"/>
  <c r="KS17" i="80"/>
  <c r="KS21" i="80" s="1"/>
  <c r="S58" i="57"/>
  <c r="O58" i="57"/>
  <c r="CV23" i="80"/>
  <c r="PI8" i="80"/>
  <c r="V58" i="57"/>
  <c r="DY10" i="80"/>
  <c r="BE40" i="80"/>
  <c r="MT28" i="80"/>
  <c r="MU28" i="80" s="1"/>
  <c r="HI18" i="80"/>
  <c r="GI28" i="80"/>
  <c r="AJ58" i="57"/>
  <c r="AB68" i="77"/>
  <c r="MU8" i="80"/>
  <c r="MT30" i="80"/>
  <c r="MU30" i="80" s="1"/>
  <c r="NV31" i="80"/>
  <c r="MI31" i="80"/>
  <c r="MU20" i="80"/>
  <c r="LS27" i="80"/>
  <c r="LS31" i="80" s="1"/>
  <c r="LS21" i="80"/>
  <c r="OH27" i="80"/>
  <c r="JW28" i="80"/>
  <c r="KW18" i="80"/>
  <c r="OG17" i="80"/>
  <c r="NK21" i="80"/>
  <c r="DY833" i="3"/>
  <c r="DW833" i="3"/>
  <c r="KY18" i="80"/>
  <c r="ED833" i="3"/>
  <c r="EL7" i="80"/>
  <c r="EC833" i="3"/>
  <c r="EK7" i="80"/>
  <c r="EK11" i="80" s="1"/>
  <c r="M58" i="57"/>
  <c r="DZ833" i="3"/>
  <c r="CR13" i="4"/>
  <c r="EA7" i="80"/>
  <c r="EA11" i="80" s="1"/>
  <c r="BM10" i="57"/>
  <c r="DR840" i="3" l="1"/>
  <c r="DR853" i="3" s="1"/>
  <c r="DR912" i="3" s="1"/>
  <c r="DP285" i="3"/>
  <c r="DR285" i="3"/>
  <c r="DM294" i="3"/>
  <c r="DP294" i="3" s="1"/>
  <c r="DR294" i="3"/>
  <c r="DP273" i="3"/>
  <c r="DR279" i="3"/>
  <c r="DR273" i="3" s="1"/>
  <c r="DM258" i="3"/>
  <c r="DP258" i="3" s="1"/>
  <c r="DP242" i="3" s="1"/>
  <c r="DR258" i="3"/>
  <c r="DJ286" i="3"/>
  <c r="DM286" i="3" s="1"/>
  <c r="DP286" i="3" s="1"/>
  <c r="DR286" i="3"/>
  <c r="DR833" i="3"/>
  <c r="DR745" i="3"/>
  <c r="DR761" i="3" s="1"/>
  <c r="DR911" i="3" s="1"/>
  <c r="DR240" i="3"/>
  <c r="DR898" i="3" s="1"/>
  <c r="DR242" i="3"/>
  <c r="CQ234" i="4"/>
  <c r="CQ368" i="4" s="1"/>
  <c r="CQ371" i="4" s="1"/>
  <c r="CQ388" i="4" s="1"/>
  <c r="CR234" i="4"/>
  <c r="CR368" i="4" s="1"/>
  <c r="BT380" i="4"/>
  <c r="AV8" i="57"/>
  <c r="AV7" i="57" s="1"/>
  <c r="AT7" i="57"/>
  <c r="AL40" i="57"/>
  <c r="Q11" i="78"/>
  <c r="BS368" i="4"/>
  <c r="BS380" i="4" s="1"/>
  <c r="BS267" i="4"/>
  <c r="BS350" i="4" s="1"/>
  <c r="AE267" i="4"/>
  <c r="AE350" i="4" s="1"/>
  <c r="AZ11" i="80"/>
  <c r="CC234" i="4"/>
  <c r="CC235" i="4" s="1"/>
  <c r="U11" i="80"/>
  <c r="BA20" i="80"/>
  <c r="BB30" i="80"/>
  <c r="BJ371" i="4"/>
  <c r="BJ388" i="4" s="1"/>
  <c r="AN21" i="78"/>
  <c r="P371" i="4"/>
  <c r="P388" i="4" s="1"/>
  <c r="P390" i="4" s="1"/>
  <c r="P380" i="4"/>
  <c r="P383" i="4" s="1"/>
  <c r="Z377" i="4"/>
  <c r="Z389" i="4" s="1"/>
  <c r="AQ8" i="80"/>
  <c r="CI362" i="4"/>
  <c r="CI365" i="4" s="1"/>
  <c r="CI387" i="4" s="1"/>
  <c r="AO8" i="57"/>
  <c r="AL7" i="57"/>
  <c r="AC375" i="4"/>
  <c r="AC377" i="4" s="1"/>
  <c r="AC389" i="4" s="1"/>
  <c r="AC336" i="4"/>
  <c r="AC350" i="4" s="1"/>
  <c r="BY375" i="4"/>
  <c r="BY336" i="4"/>
  <c r="BO9" i="80"/>
  <c r="BB9" i="78"/>
  <c r="BP369" i="4"/>
  <c r="BP336" i="4"/>
  <c r="BP350" i="4" s="1"/>
  <c r="BH369" i="4"/>
  <c r="BH336" i="4"/>
  <c r="BG369" i="4"/>
  <c r="BG336" i="4"/>
  <c r="BG350" i="4" s="1"/>
  <c r="AS17" i="78"/>
  <c r="AB336" i="4"/>
  <c r="AB350" i="4" s="1"/>
  <c r="W377" i="4"/>
  <c r="W389" i="4" s="1"/>
  <c r="BP9" i="80"/>
  <c r="AG336" i="4"/>
  <c r="AG369" i="4"/>
  <c r="AG381" i="4" s="1"/>
  <c r="BC19" i="78"/>
  <c r="BC21" i="78" s="1"/>
  <c r="BN380" i="4"/>
  <c r="BN383" i="4" s="1"/>
  <c r="CP336" i="4"/>
  <c r="PR19" i="80"/>
  <c r="PS19" i="80" s="1"/>
  <c r="BT29" i="80"/>
  <c r="BH7" i="78"/>
  <c r="BH27" i="78" s="1"/>
  <c r="AW336" i="4"/>
  <c r="AW350" i="4" s="1"/>
  <c r="AW369" i="4"/>
  <c r="AW381" i="4" s="1"/>
  <c r="AR377" i="4"/>
  <c r="AR389" i="4" s="1"/>
  <c r="BA7" i="80"/>
  <c r="AN7" i="78"/>
  <c r="AN27" i="78" s="1"/>
  <c r="BB357" i="4"/>
  <c r="CB7" i="80"/>
  <c r="BI27" i="80"/>
  <c r="Z17" i="78"/>
  <c r="X17" i="78"/>
  <c r="Y7" i="78"/>
  <c r="BS31" i="80"/>
  <c r="CD27" i="80"/>
  <c r="CD31" i="80" s="1"/>
  <c r="AV8" i="80"/>
  <c r="CN362" i="4"/>
  <c r="CN365" i="4" s="1"/>
  <c r="CN387" i="4" s="1"/>
  <c r="AF19" i="78"/>
  <c r="AF29" i="78" s="1"/>
  <c r="AE9" i="78"/>
  <c r="AE29" i="78" s="1"/>
  <c r="AD19" i="78"/>
  <c r="AQ381" i="4"/>
  <c r="CQ119" i="4"/>
  <c r="KY10" i="78"/>
  <c r="J28" i="80"/>
  <c r="AV390" i="4"/>
  <c r="AJ19" i="80"/>
  <c r="AH9" i="78"/>
  <c r="CC10" i="80"/>
  <c r="F29" i="80"/>
  <c r="Y267" i="4"/>
  <c r="Y350" i="4" s="1"/>
  <c r="W336" i="4"/>
  <c r="W350" i="4" s="1"/>
  <c r="CP362" i="4"/>
  <c r="CP365" i="4" s="1"/>
  <c r="CP387" i="4" s="1"/>
  <c r="AI267" i="4"/>
  <c r="CC130" i="4"/>
  <c r="AO336" i="4"/>
  <c r="AO350" i="4" s="1"/>
  <c r="AO369" i="4"/>
  <c r="K371" i="4"/>
  <c r="K388" i="4" s="1"/>
  <c r="K390" i="4" s="1"/>
  <c r="K380" i="4"/>
  <c r="K383" i="4" s="1"/>
  <c r="AB29" i="78"/>
  <c r="LH29" i="78" s="1"/>
  <c r="LH9" i="78"/>
  <c r="CN267" i="4"/>
  <c r="AV380" i="4"/>
  <c r="AV383" i="4" s="1"/>
  <c r="BF27" i="80"/>
  <c r="BE17" i="80"/>
  <c r="AU390" i="4"/>
  <c r="BR20" i="80"/>
  <c r="BT20" i="80"/>
  <c r="BS30" i="80"/>
  <c r="AU380" i="4"/>
  <c r="AU383" i="4" s="1"/>
  <c r="AR380" i="4"/>
  <c r="AR383" i="4" s="1"/>
  <c r="PS9" i="80"/>
  <c r="AQ383" i="4"/>
  <c r="CQ288" i="4"/>
  <c r="PQ7" i="80"/>
  <c r="G30" i="78"/>
  <c r="BT21" i="80"/>
  <c r="BF350" i="4"/>
  <c r="BU9" i="80"/>
  <c r="AM9" i="78"/>
  <c r="AM11" i="78" s="1"/>
  <c r="CL368" i="4"/>
  <c r="AB17" i="78"/>
  <c r="AA17" i="78" s="1"/>
  <c r="G30" i="80"/>
  <c r="R9" i="80"/>
  <c r="R21" i="80" s="1"/>
  <c r="R19" i="78"/>
  <c r="AE368" i="4"/>
  <c r="AE371" i="4" s="1"/>
  <c r="AE388" i="4" s="1"/>
  <c r="J9" i="80"/>
  <c r="J9" i="78"/>
  <c r="J11" i="78" s="1"/>
  <c r="BE368" i="4"/>
  <c r="BE371" i="4" s="1"/>
  <c r="BE388" i="4" s="1"/>
  <c r="BS381" i="4"/>
  <c r="BS383" i="4" s="1"/>
  <c r="BS359" i="4"/>
  <c r="BS386" i="4" s="1"/>
  <c r="BN17" i="78"/>
  <c r="AM27" i="78"/>
  <c r="BR11" i="80"/>
  <c r="BD380" i="4"/>
  <c r="AZ20" i="80"/>
  <c r="AZ30" i="80" s="1"/>
  <c r="Y375" i="4"/>
  <c r="AM20" i="78"/>
  <c r="BN20" i="78" s="1"/>
  <c r="AF17" i="78"/>
  <c r="AD17" i="78"/>
  <c r="AE7" i="78"/>
  <c r="R371" i="4"/>
  <c r="R388" i="4" s="1"/>
  <c r="R390" i="4" s="1"/>
  <c r="R381" i="4"/>
  <c r="R383" i="4" s="1"/>
  <c r="AV11" i="80"/>
  <c r="BF31" i="80"/>
  <c r="Z356" i="4"/>
  <c r="Z267" i="4"/>
  <c r="Z350" i="4" s="1"/>
  <c r="BT267" i="4"/>
  <c r="BO9" i="78"/>
  <c r="BW7" i="80"/>
  <c r="AI350" i="4"/>
  <c r="AE21" i="80"/>
  <c r="AR390" i="4"/>
  <c r="CO374" i="4"/>
  <c r="CO377" i="4" s="1"/>
  <c r="CO389" i="4" s="1"/>
  <c r="AJ19" i="78"/>
  <c r="AD29" i="78"/>
  <c r="AR336" i="4"/>
  <c r="AR350" i="4" s="1"/>
  <c r="AI374" i="4"/>
  <c r="AI377" i="4" s="1"/>
  <c r="AI389" i="4" s="1"/>
  <c r="AB20" i="78"/>
  <c r="AB10" i="80"/>
  <c r="AB11" i="80" s="1"/>
  <c r="AZ27" i="80"/>
  <c r="AZ21" i="80"/>
  <c r="BL27" i="80"/>
  <c r="BL31" i="80" s="1"/>
  <c r="BK17" i="80"/>
  <c r="X27" i="78"/>
  <c r="BG17" i="78"/>
  <c r="BG21" i="78" s="1"/>
  <c r="BE17" i="78"/>
  <c r="BE27" i="78" s="1"/>
  <c r="BQ17" i="78"/>
  <c r="BF21" i="78"/>
  <c r="BF7" i="78"/>
  <c r="X19" i="80"/>
  <c r="Y19" i="80" s="1"/>
  <c r="Y29" i="80" s="1"/>
  <c r="Z19" i="80"/>
  <c r="BE30" i="80"/>
  <c r="AW371" i="4"/>
  <c r="AW388" i="4" s="1"/>
  <c r="S383" i="4"/>
  <c r="BH9" i="78"/>
  <c r="BW350" i="4"/>
  <c r="BE11" i="80"/>
  <c r="X21" i="80"/>
  <c r="CC368" i="4"/>
  <c r="PR27" i="80"/>
  <c r="QC27" i="80" s="1"/>
  <c r="QC31" i="80" s="1"/>
  <c r="V17" i="78"/>
  <c r="AG267" i="4"/>
  <c r="BA336" i="4"/>
  <c r="BA350" i="4" s="1"/>
  <c r="BA369" i="4"/>
  <c r="CL7" i="80"/>
  <c r="CJ357" i="4"/>
  <c r="CC265" i="4"/>
  <c r="CR310" i="4"/>
  <c r="CR334" i="4" s="1"/>
  <c r="CR375" i="4" s="1"/>
  <c r="CS327" i="4"/>
  <c r="Y21" i="80"/>
  <c r="CA28" i="80"/>
  <c r="H21" i="80"/>
  <c r="Y18" i="80"/>
  <c r="Y28" i="80" s="1"/>
  <c r="AD28" i="80"/>
  <c r="BI11" i="80"/>
  <c r="BO28" i="78"/>
  <c r="S9" i="80"/>
  <c r="BS21" i="80"/>
  <c r="F19" i="78"/>
  <c r="LD18" i="78"/>
  <c r="BS371" i="4"/>
  <c r="BS388" i="4" s="1"/>
  <c r="AP359" i="4"/>
  <c r="AP386" i="4" s="1"/>
  <c r="AP380" i="4"/>
  <c r="BJ381" i="4"/>
  <c r="AX381" i="4"/>
  <c r="AX383" i="4" s="1"/>
  <c r="AX359" i="4"/>
  <c r="AX386" i="4" s="1"/>
  <c r="AX390" i="4" s="1"/>
  <c r="BM20" i="80"/>
  <c r="BN30" i="80"/>
  <c r="PM30" i="80" s="1"/>
  <c r="Z19" i="78"/>
  <c r="Z29" i="78" s="1"/>
  <c r="X19" i="78"/>
  <c r="CR295" i="4"/>
  <c r="CR308" i="4" s="1"/>
  <c r="CS297" i="4"/>
  <c r="N27" i="78"/>
  <c r="M17" i="78"/>
  <c r="AO21" i="78"/>
  <c r="CC289" i="4"/>
  <c r="CC357" i="4"/>
  <c r="CC381" i="4" s="1"/>
  <c r="CC336" i="4"/>
  <c r="CB356" i="4"/>
  <c r="CB120" i="4"/>
  <c r="BF28" i="78"/>
  <c r="AY28" i="78"/>
  <c r="BK7" i="80"/>
  <c r="AX7" i="78"/>
  <c r="KW7" i="78" s="1"/>
  <c r="KW11" i="78" s="1"/>
  <c r="BL357" i="4"/>
  <c r="BL381" i="4" s="1"/>
  <c r="BL336" i="4"/>
  <c r="Y29" i="78"/>
  <c r="AJ9" i="78"/>
  <c r="LE9" i="78"/>
  <c r="BE365" i="4"/>
  <c r="BE387" i="4" s="1"/>
  <c r="Z20" i="78"/>
  <c r="Z30" i="78" s="1"/>
  <c r="Y10" i="78"/>
  <c r="LE20" i="78"/>
  <c r="X20" i="78"/>
  <c r="Y21" i="78"/>
  <c r="S17" i="80"/>
  <c r="T17" i="80" s="1"/>
  <c r="T27" i="80"/>
  <c r="PM7" i="80"/>
  <c r="PM11" i="80" s="1"/>
  <c r="I18" i="78"/>
  <c r="KP18" i="78"/>
  <c r="J28" i="78"/>
  <c r="AB7" i="78"/>
  <c r="AJ17" i="78"/>
  <c r="AC17" i="78"/>
  <c r="BI362" i="4"/>
  <c r="BI267" i="4"/>
  <c r="BI350" i="4" s="1"/>
  <c r="T11" i="80"/>
  <c r="KY20" i="78"/>
  <c r="BB9" i="80"/>
  <c r="BB29" i="80" s="1"/>
  <c r="BC336" i="4"/>
  <c r="BC350" i="4" s="1"/>
  <c r="AO9" i="78"/>
  <c r="AO29" i="78" s="1"/>
  <c r="BC369" i="4"/>
  <c r="AN336" i="4"/>
  <c r="AN350" i="4" s="1"/>
  <c r="AN375" i="4"/>
  <c r="AN381" i="4" s="1"/>
  <c r="AN383" i="4" s="1"/>
  <c r="BH20" i="78"/>
  <c r="BI10" i="78"/>
  <c r="BI21" i="78"/>
  <c r="BQ20" i="78"/>
  <c r="LH20" i="78"/>
  <c r="LI20" i="78" s="1"/>
  <c r="O7" i="78"/>
  <c r="O7" i="80"/>
  <c r="O27" i="80" s="1"/>
  <c r="BJ356" i="4"/>
  <c r="BJ267" i="4"/>
  <c r="BJ350" i="4" s="1"/>
  <c r="Q17" i="78"/>
  <c r="R7" i="78"/>
  <c r="AC18" i="80"/>
  <c r="PU18" i="80"/>
  <c r="PV18" i="80" s="1"/>
  <c r="CS288" i="4"/>
  <c r="CS357" i="4" s="1"/>
  <c r="AF359" i="4"/>
  <c r="AF386" i="4" s="1"/>
  <c r="F27" i="78"/>
  <c r="AC17" i="80"/>
  <c r="AA17" i="80"/>
  <c r="AB17" i="80" s="1"/>
  <c r="AB27" i="80" s="1"/>
  <c r="AJ27" i="80" s="1"/>
  <c r="AB21" i="80"/>
  <c r="AJ17" i="80"/>
  <c r="J21" i="78"/>
  <c r="PJ10" i="80"/>
  <c r="AA7" i="78"/>
  <c r="AA7" i="80"/>
  <c r="AA27" i="80" s="1"/>
  <c r="BV356" i="4"/>
  <c r="G9" i="78"/>
  <c r="AG9" i="78" s="1"/>
  <c r="AG11" i="78" s="1"/>
  <c r="AI35" i="78" s="1"/>
  <c r="G9" i="80"/>
  <c r="AG9" i="80" s="1"/>
  <c r="BB368" i="4"/>
  <c r="BB371" i="4" s="1"/>
  <c r="BB388" i="4" s="1"/>
  <c r="PQ9" i="80"/>
  <c r="PJ9" i="80"/>
  <c r="AI9" i="80"/>
  <c r="BV30" i="80"/>
  <c r="CD10" i="80"/>
  <c r="BW20" i="80"/>
  <c r="BW30" i="80" s="1"/>
  <c r="PU10" i="80"/>
  <c r="PK7" i="80"/>
  <c r="Q17" i="80"/>
  <c r="Q27" i="80" s="1"/>
  <c r="CT179" i="4"/>
  <c r="CS171" i="4"/>
  <c r="CS234" i="4" s="1"/>
  <c r="CS368" i="4" s="1"/>
  <c r="AQ11" i="78"/>
  <c r="AQ27" i="78"/>
  <c r="BN27" i="78" s="1"/>
  <c r="V9" i="78"/>
  <c r="LB19" i="78"/>
  <c r="LC19" i="78" s="1"/>
  <c r="W19" i="78"/>
  <c r="W29" i="78" s="1"/>
  <c r="U19" i="78"/>
  <c r="CT300" i="4"/>
  <c r="CU301" i="4"/>
  <c r="CU300" i="4" s="1"/>
  <c r="AA381" i="4"/>
  <c r="AA383" i="4" s="1"/>
  <c r="BK21" i="80"/>
  <c r="CC19" i="80"/>
  <c r="O28" i="78"/>
  <c r="AC9" i="80"/>
  <c r="BX368" i="4"/>
  <c r="BX371" i="4" s="1"/>
  <c r="BX388" i="4" s="1"/>
  <c r="AC9" i="78"/>
  <c r="AC29" i="78" s="1"/>
  <c r="BT381" i="4"/>
  <c r="BT383" i="4" s="1"/>
  <c r="BZ267" i="4"/>
  <c r="BT336" i="4"/>
  <c r="BT350" i="4" s="1"/>
  <c r="CS81" i="4"/>
  <c r="BO381" i="4"/>
  <c r="BR371" i="4"/>
  <c r="BR388" i="4" s="1"/>
  <c r="BM336" i="4"/>
  <c r="T21" i="80"/>
  <c r="AW380" i="4"/>
  <c r="AW383" i="4" s="1"/>
  <c r="BT377" i="4"/>
  <c r="BT389" i="4" s="1"/>
  <c r="CB368" i="4"/>
  <c r="CB371" i="4" s="1"/>
  <c r="CB388" i="4" s="1"/>
  <c r="CB235" i="4"/>
  <c r="BE11" i="78"/>
  <c r="BE29" i="78"/>
  <c r="AT20" i="78"/>
  <c r="AU30" i="78"/>
  <c r="AU31" i="78" s="1"/>
  <c r="BF359" i="4"/>
  <c r="BF386" i="4" s="1"/>
  <c r="CN377" i="4"/>
  <c r="CN389" i="4" s="1"/>
  <c r="AP20" i="78"/>
  <c r="KO20" i="78" s="1"/>
  <c r="KP20" i="78"/>
  <c r="BO10" i="78"/>
  <c r="AZ29" i="80"/>
  <c r="AI381" i="4"/>
  <c r="BI359" i="4"/>
  <c r="BI386" i="4" s="1"/>
  <c r="BI381" i="4"/>
  <c r="H28" i="78"/>
  <c r="G18" i="78"/>
  <c r="KN18" i="78"/>
  <c r="X30" i="80"/>
  <c r="BD11" i="80"/>
  <c r="BD27" i="80"/>
  <c r="BA7" i="78"/>
  <c r="BA21" i="78"/>
  <c r="AZ17" i="78"/>
  <c r="AD20" i="78"/>
  <c r="AD30" i="78" s="1"/>
  <c r="LK20" i="78"/>
  <c r="LL20" i="78" s="1"/>
  <c r="AF20" i="78"/>
  <c r="AF30" i="78" s="1"/>
  <c r="AE10" i="78"/>
  <c r="O20" i="78"/>
  <c r="KU20" i="78" s="1"/>
  <c r="P30" i="78"/>
  <c r="KV30" i="78" s="1"/>
  <c r="BL350" i="4"/>
  <c r="K17" i="78"/>
  <c r="L27" i="78"/>
  <c r="U11" i="78"/>
  <c r="BK30" i="80"/>
  <c r="AW390" i="4"/>
  <c r="BT371" i="4"/>
  <c r="BT388" i="4" s="1"/>
  <c r="LA10" i="78"/>
  <c r="BO7" i="78"/>
  <c r="AV27" i="78"/>
  <c r="BB11" i="78"/>
  <c r="BH30" i="80"/>
  <c r="BG20" i="80"/>
  <c r="CC9" i="80"/>
  <c r="BK29" i="80"/>
  <c r="AO27" i="78"/>
  <c r="PW9" i="80"/>
  <c r="AD29" i="80"/>
  <c r="G17" i="80"/>
  <c r="AG17" i="80" s="1"/>
  <c r="H27" i="80"/>
  <c r="AG359" i="4"/>
  <c r="AG386" i="4" s="1"/>
  <c r="AG380" i="4"/>
  <c r="W19" i="80"/>
  <c r="W29" i="80" s="1"/>
  <c r="U19" i="80"/>
  <c r="AG20" i="78"/>
  <c r="F30" i="78"/>
  <c r="AG30" i="78" s="1"/>
  <c r="U28" i="78"/>
  <c r="P30" i="80"/>
  <c r="O20" i="80"/>
  <c r="O30" i="80" s="1"/>
  <c r="CS121" i="4"/>
  <c r="CS169" i="4" s="1"/>
  <c r="CS362" i="4" s="1"/>
  <c r="CS365" i="4" s="1"/>
  <c r="CS387" i="4" s="1"/>
  <c r="J11" i="80"/>
  <c r="AS390" i="4"/>
  <c r="CS10" i="80"/>
  <c r="BD7" i="78"/>
  <c r="BD27" i="78" s="1"/>
  <c r="BR357" i="4"/>
  <c r="BQ7" i="80"/>
  <c r="BQ27" i="80" s="1"/>
  <c r="AY8" i="80"/>
  <c r="AX20" i="78"/>
  <c r="AY10" i="78"/>
  <c r="AY30" i="78" s="1"/>
  <c r="K10" i="80"/>
  <c r="AH10" i="80" s="1"/>
  <c r="K10" i="78"/>
  <c r="BF374" i="4"/>
  <c r="BA30" i="78"/>
  <c r="KZ30" i="78" s="1"/>
  <c r="KZ10" i="78"/>
  <c r="BD20" i="78"/>
  <c r="BB20" i="78"/>
  <c r="BC10" i="78"/>
  <c r="BC30" i="78" s="1"/>
  <c r="BB27" i="80"/>
  <c r="BR29" i="80"/>
  <c r="BS19" i="80"/>
  <c r="BR21" i="80"/>
  <c r="H27" i="78"/>
  <c r="G17" i="78"/>
  <c r="AG17" i="78" s="1"/>
  <c r="AY21" i="78"/>
  <c r="U17" i="80"/>
  <c r="V17" i="80" s="1"/>
  <c r="V27" i="80"/>
  <c r="PO27" i="80" s="1"/>
  <c r="PO31" i="80" s="1"/>
  <c r="W17" i="80"/>
  <c r="W27" i="80" s="1"/>
  <c r="BM17" i="80"/>
  <c r="BN21" i="80"/>
  <c r="BN11" i="80"/>
  <c r="BN27" i="80"/>
  <c r="BN31" i="80" s="1"/>
  <c r="AF20" i="80"/>
  <c r="AF30" i="80" s="1"/>
  <c r="AD20" i="80"/>
  <c r="AD30" i="80" s="1"/>
  <c r="PX20" i="80"/>
  <c r="PY20" i="80" s="1"/>
  <c r="PY30" i="80" s="1"/>
  <c r="AB380" i="4"/>
  <c r="AB383" i="4" s="1"/>
  <c r="AB365" i="4"/>
  <c r="AB387" i="4" s="1"/>
  <c r="AB390" i="4" s="1"/>
  <c r="CU130" i="4"/>
  <c r="CU121" i="4" s="1"/>
  <c r="CU169" i="4" s="1"/>
  <c r="CU362" i="4" s="1"/>
  <c r="CU365" i="4" s="1"/>
  <c r="CU387" i="4" s="1"/>
  <c r="CT121" i="4"/>
  <c r="CT169" i="4" s="1"/>
  <c r="CT362" i="4" s="1"/>
  <c r="CT365" i="4" s="1"/>
  <c r="CT387" i="4" s="1"/>
  <c r="Q11" i="80"/>
  <c r="BE28" i="78"/>
  <c r="BE21" i="78"/>
  <c r="AE377" i="4"/>
  <c r="AE389" i="4" s="1"/>
  <c r="AE381" i="4"/>
  <c r="CB9" i="80"/>
  <c r="BG11" i="80"/>
  <c r="G7" i="80"/>
  <c r="BB356" i="4"/>
  <c r="BB267" i="4"/>
  <c r="CA154" i="4"/>
  <c r="CC154" i="4" s="1"/>
  <c r="CC153" i="4" s="1"/>
  <c r="BX153" i="4"/>
  <c r="BQ20" i="80"/>
  <c r="BO20" i="80"/>
  <c r="BO30" i="80" s="1"/>
  <c r="BP30" i="80"/>
  <c r="BA21" i="80"/>
  <c r="AJ20" i="80"/>
  <c r="AJ21" i="80" s="1"/>
  <c r="AT29" i="78"/>
  <c r="L28" i="78"/>
  <c r="KR18" i="78"/>
  <c r="BO127" i="4"/>
  <c r="BM121" i="4"/>
  <c r="BM169" i="4" s="1"/>
  <c r="AA390" i="4"/>
  <c r="AN377" i="4"/>
  <c r="AN389" i="4" s="1"/>
  <c r="AN390" i="4" s="1"/>
  <c r="BC9" i="80"/>
  <c r="CF9" i="80" s="1"/>
  <c r="AP9" i="78"/>
  <c r="BD369" i="4"/>
  <c r="BD371" i="4" s="1"/>
  <c r="BD388" i="4" s="1"/>
  <c r="U27" i="80"/>
  <c r="LD9" i="78"/>
  <c r="CA20" i="80"/>
  <c r="PR9" i="80"/>
  <c r="W380" i="4"/>
  <c r="W383" i="4" s="1"/>
  <c r="W359" i="4"/>
  <c r="W386" i="4" s="1"/>
  <c r="W390" i="4" s="1"/>
  <c r="BC380" i="4"/>
  <c r="BC365" i="4"/>
  <c r="BC387" i="4" s="1"/>
  <c r="BE29" i="80"/>
  <c r="CT258" i="4"/>
  <c r="CS254" i="4"/>
  <c r="CS265" i="4" s="1"/>
  <c r="CS374" i="4" s="1"/>
  <c r="CC371" i="4"/>
  <c r="CC388" i="4" s="1"/>
  <c r="PE18" i="80"/>
  <c r="K18" i="80"/>
  <c r="AI359" i="4"/>
  <c r="AI386" i="4" s="1"/>
  <c r="AI390" i="4" s="1"/>
  <c r="AI380" i="4"/>
  <c r="BM42" i="57"/>
  <c r="BL40" i="57"/>
  <c r="BM31" i="57"/>
  <c r="BN31" i="57" s="1"/>
  <c r="BM9" i="57"/>
  <c r="BL7" i="57"/>
  <c r="CZ21" i="80"/>
  <c r="CY17" i="80"/>
  <c r="BZ17" i="78"/>
  <c r="BY17" i="78" s="1"/>
  <c r="BY21" i="78" s="1"/>
  <c r="AW24" i="57"/>
  <c r="AW47" i="57"/>
  <c r="AW10" i="57"/>
  <c r="AW32" i="57"/>
  <c r="AW29" i="57"/>
  <c r="T58" i="57"/>
  <c r="AG58" i="57"/>
  <c r="AN58" i="57"/>
  <c r="DL907" i="3"/>
  <c r="DL929" i="3" s="1"/>
  <c r="DF907" i="3"/>
  <c r="DF929" i="3" s="1"/>
  <c r="DM901" i="3"/>
  <c r="DM928" i="3" s="1"/>
  <c r="DO907" i="3"/>
  <c r="DO929" i="3" s="1"/>
  <c r="CQ363" i="4"/>
  <c r="CQ290" i="4"/>
  <c r="BL907" i="3"/>
  <c r="BL929" i="3" s="1"/>
  <c r="S907" i="3"/>
  <c r="S929" i="3" s="1"/>
  <c r="AW907" i="3"/>
  <c r="AW929" i="3" s="1"/>
  <c r="AV907" i="3"/>
  <c r="AV929" i="3" s="1"/>
  <c r="AG907" i="3"/>
  <c r="AG929" i="3" s="1"/>
  <c r="BN43" i="57"/>
  <c r="AO27" i="57"/>
  <c r="AO26" i="57" s="1"/>
  <c r="CK9" i="80"/>
  <c r="CI369" i="4"/>
  <c r="CM9" i="80"/>
  <c r="CM11" i="80" s="1"/>
  <c r="CK369" i="4"/>
  <c r="CK381" i="4" s="1"/>
  <c r="CK336" i="4"/>
  <c r="AW41" i="57"/>
  <c r="AT27" i="57"/>
  <c r="AT26" i="57" s="1"/>
  <c r="AQ58" i="57"/>
  <c r="AT41" i="57"/>
  <c r="AT40" i="57" s="1"/>
  <c r="CQ365" i="4"/>
  <c r="CQ387" i="4" s="1"/>
  <c r="CT329" i="4"/>
  <c r="CS328" i="4"/>
  <c r="DP21" i="80"/>
  <c r="DP27" i="80"/>
  <c r="DP31" i="80" s="1"/>
  <c r="DQ17" i="80"/>
  <c r="DQ21" i="80" s="1"/>
  <c r="CQ17" i="78"/>
  <c r="CQ21" i="78" s="1"/>
  <c r="CP21" i="78"/>
  <c r="CO17" i="78"/>
  <c r="CP27" i="78"/>
  <c r="CP31" i="78" s="1"/>
  <c r="LH17" i="78"/>
  <c r="AW23" i="57"/>
  <c r="ED7" i="80"/>
  <c r="ED11" i="80" s="1"/>
  <c r="BZ21" i="78"/>
  <c r="AO42" i="57"/>
  <c r="AO40" i="57" s="1"/>
  <c r="AW31" i="57"/>
  <c r="AW12" i="57"/>
  <c r="AW15" i="57"/>
  <c r="AW19" i="57"/>
  <c r="AW28" i="57"/>
  <c r="AW16" i="57"/>
  <c r="AW9" i="57"/>
  <c r="AW17" i="57"/>
  <c r="AW14" i="57"/>
  <c r="HW7" i="78"/>
  <c r="HW11" i="78" s="1"/>
  <c r="AI41" i="78" s="1"/>
  <c r="AR41" i="78" s="1"/>
  <c r="GV27" i="78"/>
  <c r="GV31" i="78" s="1"/>
  <c r="KG21" i="80"/>
  <c r="HG27" i="78"/>
  <c r="HY17" i="78"/>
  <c r="HY21" i="78" s="1"/>
  <c r="GV21" i="78"/>
  <c r="LD7" i="78"/>
  <c r="HE27" i="78"/>
  <c r="HE31" i="78" s="1"/>
  <c r="HX7" i="78"/>
  <c r="HX11" i="78" s="1"/>
  <c r="AJ41" i="78" s="1"/>
  <c r="AQ41" i="78" s="1"/>
  <c r="AZ68" i="77"/>
  <c r="KI21" i="80"/>
  <c r="LB17" i="80"/>
  <c r="LB21" i="80" s="1"/>
  <c r="GZ21" i="78"/>
  <c r="GY17" i="78"/>
  <c r="GY21" i="78" s="1"/>
  <c r="GZ27" i="78"/>
  <c r="HO27" i="78"/>
  <c r="HZ17" i="78"/>
  <c r="HZ21" i="78" s="1"/>
  <c r="HP17" i="78"/>
  <c r="HN17" i="78"/>
  <c r="HO21" i="78"/>
  <c r="HT11" i="78"/>
  <c r="HT27" i="78"/>
  <c r="HT31" i="78" s="1"/>
  <c r="HW17" i="78"/>
  <c r="HW21" i="78" s="1"/>
  <c r="HS21" i="78"/>
  <c r="HS27" i="78"/>
  <c r="HS31" i="78" s="1"/>
  <c r="JG10" i="80"/>
  <c r="EG745" i="3"/>
  <c r="DU21" i="78"/>
  <c r="BL901" i="3"/>
  <c r="BL928" i="3" s="1"/>
  <c r="EB10" i="78"/>
  <c r="HN19" i="80"/>
  <c r="DQ282" i="3"/>
  <c r="FJ30" i="78"/>
  <c r="S814" i="3"/>
  <c r="GQ21" i="78"/>
  <c r="BL911" i="3"/>
  <c r="BL923" i="3" s="1"/>
  <c r="S923" i="3"/>
  <c r="S442" i="3"/>
  <c r="AX932" i="3"/>
  <c r="AG899" i="3"/>
  <c r="AG814" i="3"/>
  <c r="DR624" i="3"/>
  <c r="DR899" i="3" s="1"/>
  <c r="FM20" i="78"/>
  <c r="ED30" i="78"/>
  <c r="EE409" i="3"/>
  <c r="EE910" i="3" s="1"/>
  <c r="AU901" i="3"/>
  <c r="AU928" i="3" s="1"/>
  <c r="AU932" i="3" s="1"/>
  <c r="DQ810" i="3"/>
  <c r="DQ917" i="3" s="1"/>
  <c r="DQ919" i="3" s="1"/>
  <c r="DQ931" i="3" s="1"/>
  <c r="EB19" i="78"/>
  <c r="DY21" i="78"/>
  <c r="EI448" i="3"/>
  <c r="EI624" i="3" s="1"/>
  <c r="EI899" i="3" s="1"/>
  <c r="EH448" i="3"/>
  <c r="EH624" i="3" s="1"/>
  <c r="EH899" i="3" s="1"/>
  <c r="DZ31" i="78"/>
  <c r="DY31" i="78"/>
  <c r="FO19" i="80"/>
  <c r="AW814" i="3"/>
  <c r="DQ761" i="3"/>
  <c r="DQ911" i="3" s="1"/>
  <c r="AX923" i="3"/>
  <c r="EG409" i="3"/>
  <c r="EG910" i="3" s="1"/>
  <c r="IM31" i="80"/>
  <c r="PL19" i="80"/>
  <c r="FA29" i="80"/>
  <c r="EI288" i="3"/>
  <c r="EI282" i="3" s="1"/>
  <c r="EH282" i="3"/>
  <c r="EO31" i="78"/>
  <c r="HI11" i="80"/>
  <c r="DR913" i="3"/>
  <c r="DR930" i="3" s="1"/>
  <c r="S925" i="3"/>
  <c r="BG904" i="3"/>
  <c r="BG442" i="3"/>
  <c r="FF29" i="80"/>
  <c r="PQ19" i="80"/>
  <c r="HA31" i="80"/>
  <c r="HL30" i="80"/>
  <c r="EQ30" i="80"/>
  <c r="PB20" i="80"/>
  <c r="PQ20" i="80"/>
  <c r="GZ21" i="80"/>
  <c r="GZ30" i="80"/>
  <c r="GZ31" i="80" s="1"/>
  <c r="PS20" i="80"/>
  <c r="S913" i="3"/>
  <c r="S930" i="3" s="1"/>
  <c r="S932" i="3" s="1"/>
  <c r="IR31" i="80"/>
  <c r="GR18" i="78"/>
  <c r="FZ21" i="78"/>
  <c r="EY30" i="80"/>
  <c r="FQ30" i="80" s="1"/>
  <c r="FQ20" i="80"/>
  <c r="LJ20" i="78"/>
  <c r="GK30" i="80"/>
  <c r="GK31" i="80" s="1"/>
  <c r="GK21" i="80"/>
  <c r="DQ655" i="3"/>
  <c r="AU922" i="3"/>
  <c r="AU925" i="3" s="1"/>
  <c r="EE913" i="3"/>
  <c r="EE930" i="3" s="1"/>
  <c r="AU442" i="3"/>
  <c r="EE21" i="78"/>
  <c r="AX442" i="3"/>
  <c r="GR20" i="78"/>
  <c r="FZ30" i="78"/>
  <c r="BG901" i="3"/>
  <c r="BG928" i="3" s="1"/>
  <c r="EV19" i="80"/>
  <c r="BR910" i="3"/>
  <c r="DI19" i="78"/>
  <c r="DI21" i="78" s="1"/>
  <c r="GQ30" i="80"/>
  <c r="GQ31" i="80" s="1"/>
  <c r="GQ21" i="80"/>
  <c r="AX922" i="3"/>
  <c r="AX925" i="3" s="1"/>
  <c r="AG922" i="3"/>
  <c r="FD31" i="78"/>
  <c r="FF21" i="80"/>
  <c r="EU31" i="78"/>
  <c r="FK30" i="78"/>
  <c r="EI321" i="3"/>
  <c r="EI297" i="3" s="1"/>
  <c r="EI409" i="3" s="1"/>
  <c r="EI910" i="3" s="1"/>
  <c r="EH297" i="3"/>
  <c r="EH409" i="3" s="1"/>
  <c r="EH910" i="3" s="1"/>
  <c r="BL916" i="3"/>
  <c r="BL919" i="3" s="1"/>
  <c r="BL931" i="3" s="1"/>
  <c r="BL442" i="3"/>
  <c r="BL913" i="3"/>
  <c r="BL930" i="3" s="1"/>
  <c r="IQ31" i="80"/>
  <c r="EG761" i="3"/>
  <c r="EG911" i="3" s="1"/>
  <c r="AV898" i="3"/>
  <c r="AV442" i="3"/>
  <c r="CT104" i="4"/>
  <c r="CS83" i="4"/>
  <c r="EH248" i="3"/>
  <c r="EG242" i="3"/>
  <c r="EG295" i="3" s="1"/>
  <c r="EG904" i="3" s="1"/>
  <c r="EE240" i="3"/>
  <c r="EE898" i="3" s="1"/>
  <c r="EG209" i="3"/>
  <c r="EF208" i="3"/>
  <c r="JJ10" i="80"/>
  <c r="JU10" i="80" s="1"/>
  <c r="DT917" i="3"/>
  <c r="EI760" i="3"/>
  <c r="EI745" i="3" s="1"/>
  <c r="EI761" i="3" s="1"/>
  <c r="EH745" i="3"/>
  <c r="EH761" i="3" s="1"/>
  <c r="EE829" i="3"/>
  <c r="EF830" i="3"/>
  <c r="EE825" i="3"/>
  <c r="EF826" i="3"/>
  <c r="EC247" i="3"/>
  <c r="DZ242" i="3"/>
  <c r="DZ295" i="3" s="1"/>
  <c r="CG8" i="80"/>
  <c r="CS8" i="80" s="1"/>
  <c r="CE363" i="4"/>
  <c r="CE365" i="4" s="1"/>
  <c r="CE387" i="4" s="1"/>
  <c r="EE919" i="3"/>
  <c r="EE931" i="3" s="1"/>
  <c r="CR7" i="4"/>
  <c r="CR119" i="4" s="1"/>
  <c r="CR267" i="4" s="1"/>
  <c r="CS13" i="4"/>
  <c r="CS7" i="4" s="1"/>
  <c r="KQ21" i="80"/>
  <c r="KQ27" i="80"/>
  <c r="KQ31" i="80" s="1"/>
  <c r="MV27" i="80"/>
  <c r="MV31" i="80" s="1"/>
  <c r="JH29" i="78"/>
  <c r="KI21" i="78"/>
  <c r="KK17" i="78"/>
  <c r="KK21" i="78" s="1"/>
  <c r="BB68" i="77"/>
  <c r="DO919" i="3"/>
  <c r="DO931" i="3" s="1"/>
  <c r="ID31" i="78"/>
  <c r="JD27" i="78"/>
  <c r="HW29" i="78"/>
  <c r="GW31" i="78"/>
  <c r="BA68" i="77"/>
  <c r="KY9" i="78"/>
  <c r="AZ11" i="78"/>
  <c r="DX21" i="78"/>
  <c r="EG18" i="78"/>
  <c r="GI30" i="78"/>
  <c r="GU20" i="78"/>
  <c r="GS21" i="78"/>
  <c r="AL10" i="80"/>
  <c r="DP919" i="3"/>
  <c r="DP931" i="3" s="1"/>
  <c r="JE21" i="80"/>
  <c r="FM31" i="80"/>
  <c r="CF913" i="3"/>
  <c r="CF930" i="3" s="1"/>
  <c r="CF932" i="3" s="1"/>
  <c r="CF922" i="3"/>
  <c r="CF925" i="3" s="1"/>
  <c r="FU8" i="80"/>
  <c r="DS904" i="3"/>
  <c r="FV8" i="80"/>
  <c r="DT904" i="3"/>
  <c r="DT907" i="3" s="1"/>
  <c r="FW8" i="80"/>
  <c r="DU904" i="3"/>
  <c r="DU907" i="3" s="1"/>
  <c r="FX8" i="80"/>
  <c r="DV904" i="3"/>
  <c r="DV907" i="3" s="1"/>
  <c r="FY8" i="80"/>
  <c r="DW904" i="3"/>
  <c r="DW907" i="3" s="1"/>
  <c r="FZ8" i="80"/>
  <c r="DX904" i="3"/>
  <c r="DX907" i="3" s="1"/>
  <c r="GA8" i="80"/>
  <c r="DY904" i="3"/>
  <c r="DY907" i="3" s="1"/>
  <c r="GB8" i="80"/>
  <c r="QO8" i="80" s="1"/>
  <c r="DZ904" i="3"/>
  <c r="GC8" i="80"/>
  <c r="QP8" i="80" s="1"/>
  <c r="EA904" i="3"/>
  <c r="GD8" i="80"/>
  <c r="EB904" i="3"/>
  <c r="EB907" i="3" s="1"/>
  <c r="GF8" i="80"/>
  <c r="QS8" i="80" s="1"/>
  <c r="ED904" i="3"/>
  <c r="AM9" i="80"/>
  <c r="CE368" i="4"/>
  <c r="CG9" i="80"/>
  <c r="CE369" i="4"/>
  <c r="FU9" i="80"/>
  <c r="DS910" i="3"/>
  <c r="DS913" i="3" s="1"/>
  <c r="DS930" i="3" s="1"/>
  <c r="CH9" i="80"/>
  <c r="CF369" i="4"/>
  <c r="CF336" i="4"/>
  <c r="HP9" i="80"/>
  <c r="DT912" i="3"/>
  <c r="DT913" i="3" s="1"/>
  <c r="DT930" i="3" s="1"/>
  <c r="AO9" i="80"/>
  <c r="CG368" i="4"/>
  <c r="CI9" i="80"/>
  <c r="CI11" i="80" s="1"/>
  <c r="CG369" i="4"/>
  <c r="CG381" i="4" s="1"/>
  <c r="CG336" i="4"/>
  <c r="FW9" i="80"/>
  <c r="DU910" i="3"/>
  <c r="HQ9" i="80"/>
  <c r="DU912" i="3"/>
  <c r="AP9" i="80"/>
  <c r="CH368" i="4"/>
  <c r="CJ9" i="80"/>
  <c r="CH369" i="4"/>
  <c r="HR9" i="80"/>
  <c r="DV912" i="3"/>
  <c r="DV913" i="3" s="1"/>
  <c r="DV930" i="3" s="1"/>
  <c r="AQ9" i="80"/>
  <c r="CI368" i="4"/>
  <c r="CI371" i="4" s="1"/>
  <c r="CI388" i="4" s="1"/>
  <c r="FY9" i="80"/>
  <c r="DW910" i="3"/>
  <c r="DW913" i="3" s="1"/>
  <c r="DW930" i="3" s="1"/>
  <c r="AR9" i="80"/>
  <c r="CJ368" i="4"/>
  <c r="CL9" i="80"/>
  <c r="CL11" i="80" s="1"/>
  <c r="CJ369" i="4"/>
  <c r="CJ336" i="4"/>
  <c r="FZ9" i="80"/>
  <c r="DX910" i="3"/>
  <c r="DX913" i="3" s="1"/>
  <c r="DX930" i="3" s="1"/>
  <c r="AS9" i="80"/>
  <c r="CK368" i="4"/>
  <c r="GA9" i="80"/>
  <c r="DY910" i="3"/>
  <c r="HU9" i="80"/>
  <c r="DY912" i="3"/>
  <c r="CN9" i="80"/>
  <c r="CL369" i="4"/>
  <c r="GB9" i="80"/>
  <c r="DZ910" i="3"/>
  <c r="DZ913" i="3" s="1"/>
  <c r="DZ930" i="3" s="1"/>
  <c r="AU9" i="80"/>
  <c r="CM368" i="4"/>
  <c r="CM267" i="4"/>
  <c r="CO9" i="80"/>
  <c r="CM369" i="4"/>
  <c r="GC9" i="80"/>
  <c r="EA910" i="3"/>
  <c r="EA913" i="3" s="1"/>
  <c r="EA930" i="3" s="1"/>
  <c r="CP9" i="80"/>
  <c r="CN369" i="4"/>
  <c r="CN336" i="4"/>
  <c r="CN350" i="4" s="1"/>
  <c r="HX9" i="80"/>
  <c r="EB912" i="3"/>
  <c r="EB913" i="3" s="1"/>
  <c r="EB930" i="3" s="1"/>
  <c r="AW9" i="80"/>
  <c r="CO368" i="4"/>
  <c r="CQ9" i="80"/>
  <c r="CQ11" i="80" s="1"/>
  <c r="CO369" i="4"/>
  <c r="CO381" i="4" s="1"/>
  <c r="CO336" i="4"/>
  <c r="GE9" i="80"/>
  <c r="EC910" i="3"/>
  <c r="HY9" i="80"/>
  <c r="EC912" i="3"/>
  <c r="AX9" i="80"/>
  <c r="CP368" i="4"/>
  <c r="CR9" i="80"/>
  <c r="CP369" i="4"/>
  <c r="HZ9" i="80"/>
  <c r="ED912" i="3"/>
  <c r="ED913" i="3" s="1"/>
  <c r="ED930" i="3" s="1"/>
  <c r="AM10" i="80"/>
  <c r="CE374" i="4"/>
  <c r="CE377" i="4" s="1"/>
  <c r="CE389" i="4" s="1"/>
  <c r="FU10" i="80"/>
  <c r="DS916" i="3"/>
  <c r="HO10" i="80"/>
  <c r="DS893" i="3"/>
  <c r="DS918" i="3"/>
  <c r="DS924" i="3" s="1"/>
  <c r="AN10" i="80"/>
  <c r="CF374" i="4"/>
  <c r="CF377" i="4" s="1"/>
  <c r="CF389" i="4" s="1"/>
  <c r="FV10" i="80"/>
  <c r="DT916" i="3"/>
  <c r="DT442" i="3"/>
  <c r="HP10" i="80"/>
  <c r="DT918" i="3"/>
  <c r="AO10" i="80"/>
  <c r="CG374" i="4"/>
  <c r="CG377" i="4" s="1"/>
  <c r="CG389" i="4" s="1"/>
  <c r="FW10" i="80"/>
  <c r="DU916" i="3"/>
  <c r="DU442" i="3"/>
  <c r="HQ10" i="80"/>
  <c r="DU918" i="3"/>
  <c r="AP10" i="80"/>
  <c r="CH374" i="4"/>
  <c r="CH377" i="4" s="1"/>
  <c r="CH389" i="4" s="1"/>
  <c r="FX10" i="80"/>
  <c r="DV916" i="3"/>
  <c r="DV442" i="3"/>
  <c r="HR10" i="80"/>
  <c r="DV918" i="3"/>
  <c r="AQ10" i="80"/>
  <c r="CI374" i="4"/>
  <c r="CI377" i="4" s="1"/>
  <c r="CI389" i="4" s="1"/>
  <c r="FY10" i="80"/>
  <c r="DW916" i="3"/>
  <c r="DW442" i="3"/>
  <c r="HS10" i="80"/>
  <c r="DW918" i="3"/>
  <c r="AR10" i="80"/>
  <c r="CJ374" i="4"/>
  <c r="CJ377" i="4" s="1"/>
  <c r="CJ389" i="4" s="1"/>
  <c r="FZ10" i="80"/>
  <c r="DX442" i="3"/>
  <c r="DX916" i="3"/>
  <c r="HT10" i="80"/>
  <c r="DX918" i="3"/>
  <c r="AS10" i="80"/>
  <c r="CK374" i="4"/>
  <c r="CK377" i="4" s="1"/>
  <c r="CK389" i="4" s="1"/>
  <c r="GA10" i="80"/>
  <c r="DY916" i="3"/>
  <c r="DY442" i="3"/>
  <c r="HU10" i="80"/>
  <c r="DY918" i="3"/>
  <c r="GB10" i="80"/>
  <c r="DZ442" i="3"/>
  <c r="DZ916" i="3"/>
  <c r="HV10" i="80"/>
  <c r="DZ918" i="3"/>
  <c r="GC10" i="80"/>
  <c r="EA442" i="3"/>
  <c r="EA916" i="3"/>
  <c r="HW10" i="80"/>
  <c r="EA918" i="3"/>
  <c r="GD10" i="80"/>
  <c r="EB916" i="3"/>
  <c r="EB442" i="3"/>
  <c r="HX10" i="80"/>
  <c r="EB918" i="3"/>
  <c r="GE10" i="80"/>
  <c r="EC916" i="3"/>
  <c r="HY10" i="80"/>
  <c r="EC918" i="3"/>
  <c r="GF10" i="80"/>
  <c r="ED442" i="3"/>
  <c r="ED916" i="3"/>
  <c r="HZ10" i="80"/>
  <c r="ED918" i="3"/>
  <c r="AM7" i="80"/>
  <c r="CE267" i="4"/>
  <c r="CG7" i="80"/>
  <c r="CE357" i="4"/>
  <c r="FU7" i="80"/>
  <c r="DS898" i="3"/>
  <c r="JI7" i="80"/>
  <c r="DS899" i="3"/>
  <c r="DS923" i="3" s="1"/>
  <c r="DS814" i="3"/>
  <c r="AN7" i="80"/>
  <c r="CF356" i="4"/>
  <c r="CF267" i="4"/>
  <c r="HP7" i="80"/>
  <c r="DT900" i="3"/>
  <c r="DT924" i="3" s="1"/>
  <c r="DT893" i="3"/>
  <c r="JJ7" i="80"/>
  <c r="JJ11" i="80" s="1"/>
  <c r="DT899" i="3"/>
  <c r="AO7" i="80"/>
  <c r="CG356" i="4"/>
  <c r="CG267" i="4"/>
  <c r="HQ7" i="80"/>
  <c r="DU900" i="3"/>
  <c r="DU924" i="3" s="1"/>
  <c r="DU893" i="3"/>
  <c r="JK7" i="80"/>
  <c r="JK11" i="80" s="1"/>
  <c r="DU899" i="3"/>
  <c r="DU814" i="3"/>
  <c r="AP7" i="80"/>
  <c r="CH356" i="4"/>
  <c r="CH267" i="4"/>
  <c r="CJ7" i="80"/>
  <c r="CH357" i="4"/>
  <c r="CH336" i="4"/>
  <c r="HR7" i="80"/>
  <c r="DV900" i="3"/>
  <c r="DV924" i="3" s="1"/>
  <c r="DV893" i="3"/>
  <c r="JL7" i="80"/>
  <c r="JL11" i="80" s="1"/>
  <c r="DV899" i="3"/>
  <c r="DV814" i="3"/>
  <c r="AQ7" i="80"/>
  <c r="CI356" i="4"/>
  <c r="CI267" i="4"/>
  <c r="CK7" i="80"/>
  <c r="CK11" i="80" s="1"/>
  <c r="CI357" i="4"/>
  <c r="CI336" i="4"/>
  <c r="JM7" i="80"/>
  <c r="JM11" i="80" s="1"/>
  <c r="DW814" i="3"/>
  <c r="DW899" i="3"/>
  <c r="DW923" i="3" s="1"/>
  <c r="AR7" i="80"/>
  <c r="CJ356" i="4"/>
  <c r="CJ267" i="4"/>
  <c r="HT7" i="80"/>
  <c r="DX900" i="3"/>
  <c r="DX924" i="3" s="1"/>
  <c r="DX893" i="3"/>
  <c r="AS7" i="80"/>
  <c r="CK356" i="4"/>
  <c r="CK359" i="4" s="1"/>
  <c r="CK386" i="4" s="1"/>
  <c r="CK267" i="4"/>
  <c r="AT7" i="80"/>
  <c r="AT11" i="80" s="1"/>
  <c r="CL356" i="4"/>
  <c r="CL267" i="4"/>
  <c r="CN7" i="80"/>
  <c r="CL357" i="4"/>
  <c r="CL336" i="4"/>
  <c r="GB7" i="80"/>
  <c r="DZ898" i="3"/>
  <c r="DZ922" i="3" s="1"/>
  <c r="JP7" i="80"/>
  <c r="JP11" i="80" s="1"/>
  <c r="DZ899" i="3"/>
  <c r="DZ923" i="3" s="1"/>
  <c r="DZ814" i="3"/>
  <c r="CO7" i="80"/>
  <c r="CM336" i="4"/>
  <c r="CM357" i="4"/>
  <c r="GC7" i="80"/>
  <c r="EA898" i="3"/>
  <c r="EA922" i="3" s="1"/>
  <c r="HW7" i="80"/>
  <c r="HW11" i="80" s="1"/>
  <c r="EA893" i="3"/>
  <c r="EA900" i="3"/>
  <c r="EA924" i="3" s="1"/>
  <c r="JQ7" i="80"/>
  <c r="EA899" i="3"/>
  <c r="EA814" i="3"/>
  <c r="HX7" i="80"/>
  <c r="EB900" i="3"/>
  <c r="EB893" i="3"/>
  <c r="AW7" i="80"/>
  <c r="AW11" i="80" s="1"/>
  <c r="CO356" i="4"/>
  <c r="CO267" i="4"/>
  <c r="AX7" i="80"/>
  <c r="CP267" i="4"/>
  <c r="CP356" i="4"/>
  <c r="CR7" i="80"/>
  <c r="CP357" i="4"/>
  <c r="GF7" i="80"/>
  <c r="ED898" i="3"/>
  <c r="ED922" i="3" s="1"/>
  <c r="JT7" i="80"/>
  <c r="JT11" i="80" s="1"/>
  <c r="ED899" i="3"/>
  <c r="ED923" i="3" s="1"/>
  <c r="ED814" i="3"/>
  <c r="CT17" i="80"/>
  <c r="CT21" i="80" s="1"/>
  <c r="BT17" i="78"/>
  <c r="BV23" i="78"/>
  <c r="BV17" i="78"/>
  <c r="BX23" i="78"/>
  <c r="BX17" i="78"/>
  <c r="DB17" i="80"/>
  <c r="PG17" i="80" s="1"/>
  <c r="CB17" i="78"/>
  <c r="DF17" i="80"/>
  <c r="CF17" i="78"/>
  <c r="DJ17" i="80"/>
  <c r="PO17" i="80" s="1"/>
  <c r="CJ17" i="78"/>
  <c r="DM17" i="80"/>
  <c r="CM17" i="78"/>
  <c r="DR7" i="80"/>
  <c r="DR11" i="80" s="1"/>
  <c r="CR7" i="78"/>
  <c r="CR11" i="78" s="1"/>
  <c r="DO7" i="80"/>
  <c r="CO7" i="78"/>
  <c r="DG7" i="80"/>
  <c r="CG7" i="78"/>
  <c r="DA7" i="80"/>
  <c r="CA7" i="78"/>
  <c r="CZ7" i="80"/>
  <c r="BZ7" i="78"/>
  <c r="CX7" i="80"/>
  <c r="BX7" i="78"/>
  <c r="KP7" i="78" s="1"/>
  <c r="CW7" i="80"/>
  <c r="BW7" i="78"/>
  <c r="KO7" i="78" s="1"/>
  <c r="DQ242" i="3"/>
  <c r="BW371" i="4"/>
  <c r="BW388" i="4" s="1"/>
  <c r="BQ356" i="4"/>
  <c r="BQ267" i="4"/>
  <c r="BQ350" i="4" s="1"/>
  <c r="LA28" i="78"/>
  <c r="HG17" i="80"/>
  <c r="FG17" i="78"/>
  <c r="BY900" i="3"/>
  <c r="BY924" i="3" s="1"/>
  <c r="BY893" i="3"/>
  <c r="GN17" i="80"/>
  <c r="EN17" i="78"/>
  <c r="KR17" i="78" s="1"/>
  <c r="BQ900" i="3"/>
  <c r="BQ924" i="3" s="1"/>
  <c r="AP375" i="4"/>
  <c r="AP336" i="4"/>
  <c r="AP350" i="4" s="1"/>
  <c r="BU10" i="80"/>
  <c r="PT10" i="80" s="1"/>
  <c r="BH10" i="78"/>
  <c r="LG10" i="78" s="1"/>
  <c r="BV375" i="4"/>
  <c r="BV336" i="4"/>
  <c r="BV350" i="4" s="1"/>
  <c r="BC10" i="80"/>
  <c r="AP10" i="78"/>
  <c r="BD375" i="4"/>
  <c r="BD336" i="4"/>
  <c r="BD350" i="4" s="1"/>
  <c r="BA10" i="80"/>
  <c r="CF10" i="80" s="1"/>
  <c r="AN10" i="78"/>
  <c r="BB336" i="4"/>
  <c r="BB375" i="4"/>
  <c r="AO377" i="4"/>
  <c r="AO389" i="4" s="1"/>
  <c r="AO380" i="4"/>
  <c r="AD7" i="80"/>
  <c r="AD7" i="78"/>
  <c r="BY356" i="4"/>
  <c r="BY267" i="4"/>
  <c r="BY350" i="4" s="1"/>
  <c r="FS10" i="80"/>
  <c r="GR30" i="78"/>
  <c r="KY30" i="78"/>
  <c r="CB266" i="4"/>
  <c r="CB374" i="4"/>
  <c r="BK356" i="4"/>
  <c r="BK380" i="4" s="1"/>
  <c r="BK267" i="4"/>
  <c r="EE905" i="3"/>
  <c r="EE814" i="3"/>
  <c r="AW898" i="3"/>
  <c r="AW442" i="3"/>
  <c r="CJ898" i="3"/>
  <c r="CJ442" i="3"/>
  <c r="EP7" i="80"/>
  <c r="EP11" i="80" s="1"/>
  <c r="CR442" i="3"/>
  <c r="DC7" i="78"/>
  <c r="DC11" i="78" s="1"/>
  <c r="CR898" i="3"/>
  <c r="DK17" i="78"/>
  <c r="BS442" i="3"/>
  <c r="FI21" i="78"/>
  <c r="CB357" i="4"/>
  <c r="CB289" i="4"/>
  <c r="CB336" i="4"/>
  <c r="DD442" i="3"/>
  <c r="DD904" i="3"/>
  <c r="DI898" i="3"/>
  <c r="DI442" i="3"/>
  <c r="IA29" i="78"/>
  <c r="HS7" i="80"/>
  <c r="DW893" i="3"/>
  <c r="DW900" i="3"/>
  <c r="DW924" i="3" s="1"/>
  <c r="MQ27" i="80"/>
  <c r="LQ31" i="80"/>
  <c r="CT7" i="80"/>
  <c r="BT7" i="78"/>
  <c r="KW21" i="80"/>
  <c r="LA18" i="80"/>
  <c r="JY21" i="80"/>
  <c r="JY27" i="80"/>
  <c r="HY7" i="80"/>
  <c r="EC893" i="3"/>
  <c r="EC900" i="3"/>
  <c r="EC924" i="3" s="1"/>
  <c r="KW28" i="80"/>
  <c r="LB28" i="80"/>
  <c r="HM18" i="80"/>
  <c r="CU17" i="80"/>
  <c r="CV21" i="80"/>
  <c r="KZ27" i="80"/>
  <c r="KZ31" i="80" s="1"/>
  <c r="KO31" i="80"/>
  <c r="DF442" i="3"/>
  <c r="KN27" i="80"/>
  <c r="KN31" i="80" s="1"/>
  <c r="GU10" i="78"/>
  <c r="FV11" i="78"/>
  <c r="FV30" i="78"/>
  <c r="AR20" i="78"/>
  <c r="AS30" i="78"/>
  <c r="AS21" i="78"/>
  <c r="AM336" i="4"/>
  <c r="AM350" i="4" s="1"/>
  <c r="AM369" i="4"/>
  <c r="DD30" i="78"/>
  <c r="PW10" i="80"/>
  <c r="BX11" i="80"/>
  <c r="BX30" i="80"/>
  <c r="FO28" i="80"/>
  <c r="EJ11" i="78"/>
  <c r="EJ30" i="78"/>
  <c r="EJ31" i="78" s="1"/>
  <c r="FZ31" i="78"/>
  <c r="AC7" i="80"/>
  <c r="AJ7" i="80" s="1"/>
  <c r="BX356" i="4"/>
  <c r="AC7" i="78"/>
  <c r="JH19" i="80"/>
  <c r="IY21" i="80"/>
  <c r="GD21" i="78"/>
  <c r="GD27" i="78"/>
  <c r="GD31" i="78" s="1"/>
  <c r="BJ29" i="78"/>
  <c r="HE9" i="80"/>
  <c r="HE29" i="80" s="1"/>
  <c r="DM912" i="3"/>
  <c r="DM924" i="3" s="1"/>
  <c r="FE9" i="78"/>
  <c r="FE29" i="78" s="1"/>
  <c r="DM893" i="3"/>
  <c r="DG648" i="3"/>
  <c r="DD642" i="3"/>
  <c r="DD655" i="3" s="1"/>
  <c r="HK27" i="80"/>
  <c r="BU292" i="4"/>
  <c r="BR293" i="4"/>
  <c r="BK336" i="4"/>
  <c r="BK357" i="4"/>
  <c r="BS10" i="78"/>
  <c r="LC10" i="78"/>
  <c r="Q20" i="80"/>
  <c r="PK10" i="80"/>
  <c r="PK20" i="80"/>
  <c r="CE898" i="3"/>
  <c r="CE442" i="3"/>
  <c r="DO27" i="78"/>
  <c r="DO31" i="78" s="1"/>
  <c r="DN17" i="78"/>
  <c r="DO21" i="78"/>
  <c r="DF17" i="78"/>
  <c r="DG21" i="78"/>
  <c r="DG27" i="78"/>
  <c r="BY29" i="80"/>
  <c r="PX29" i="80" s="1"/>
  <c r="BX19" i="80"/>
  <c r="BZ19" i="80"/>
  <c r="CD19" i="80"/>
  <c r="PX19" i="80"/>
  <c r="BY11" i="80"/>
  <c r="CD9" i="80"/>
  <c r="FR30" i="80"/>
  <c r="FG31" i="80"/>
  <c r="FC17" i="80"/>
  <c r="FD27" i="80"/>
  <c r="FD31" i="80" s="1"/>
  <c r="FE17" i="80"/>
  <c r="FE21" i="80" s="1"/>
  <c r="FD21" i="80"/>
  <c r="X11" i="78"/>
  <c r="X28" i="78"/>
  <c r="LD8" i="78"/>
  <c r="LD11" i="78" s="1"/>
  <c r="AG30" i="80"/>
  <c r="EU17" i="80"/>
  <c r="EV21" i="80"/>
  <c r="EV27" i="80"/>
  <c r="LG8" i="78"/>
  <c r="AA11" i="78"/>
  <c r="AA28" i="78"/>
  <c r="AG8" i="80"/>
  <c r="F11" i="80"/>
  <c r="F28" i="80"/>
  <c r="F31" i="80" s="1"/>
  <c r="BP380" i="4"/>
  <c r="BP365" i="4"/>
  <c r="BP387" i="4" s="1"/>
  <c r="KZ18" i="78"/>
  <c r="T8" i="78"/>
  <c r="S18" i="78"/>
  <c r="S28" i="78" s="1"/>
  <c r="T21" i="78"/>
  <c r="AC365" i="4"/>
  <c r="AC387" i="4" s="1"/>
  <c r="AC380" i="4"/>
  <c r="PF18" i="80"/>
  <c r="M28" i="80"/>
  <c r="HI28" i="80"/>
  <c r="HN28" i="80"/>
  <c r="MQ21" i="80"/>
  <c r="MU17" i="80"/>
  <c r="MU21" i="80" s="1"/>
  <c r="DH17" i="80"/>
  <c r="CH17" i="78"/>
  <c r="NW31" i="80"/>
  <c r="OI27" i="80"/>
  <c r="OI31" i="80" s="1"/>
  <c r="CV7" i="80"/>
  <c r="BV7" i="78"/>
  <c r="DQ901" i="3"/>
  <c r="DQ928" i="3" s="1"/>
  <c r="CE8" i="80"/>
  <c r="KK11" i="80"/>
  <c r="KK27" i="80"/>
  <c r="KK31" i="80" s="1"/>
  <c r="DL442" i="3"/>
  <c r="DO442" i="3"/>
  <c r="JR29" i="78"/>
  <c r="KT9" i="78"/>
  <c r="KT11" i="78" s="1"/>
  <c r="JI27" i="78"/>
  <c r="JI31" i="78" s="1"/>
  <c r="CQ356" i="4"/>
  <c r="FR27" i="78"/>
  <c r="FR11" i="78"/>
  <c r="GC29" i="78"/>
  <c r="KZ29" i="78" s="1"/>
  <c r="GB19" i="78"/>
  <c r="KZ19" i="78"/>
  <c r="GW11" i="80"/>
  <c r="GW27" i="80"/>
  <c r="GW31" i="80" s="1"/>
  <c r="GQ8" i="78"/>
  <c r="FT28" i="78"/>
  <c r="IT31" i="80"/>
  <c r="GA31" i="78"/>
  <c r="JD27" i="80"/>
  <c r="IG31" i="80"/>
  <c r="FC29" i="78"/>
  <c r="LG19" i="78"/>
  <c r="FC21" i="78"/>
  <c r="JE30" i="80"/>
  <c r="BW29" i="80"/>
  <c r="PU9" i="80"/>
  <c r="DM242" i="3"/>
  <c r="GP21" i="78"/>
  <c r="AJ10" i="80"/>
  <c r="PS10" i="80"/>
  <c r="Z30" i="80"/>
  <c r="BM359" i="4"/>
  <c r="BM386" i="4" s="1"/>
  <c r="BJ30" i="78"/>
  <c r="GQ10" i="78"/>
  <c r="GT10" i="78" s="1"/>
  <c r="LI10" i="78"/>
  <c r="DG282" i="3"/>
  <c r="DG295" i="3" s="1"/>
  <c r="EY11" i="78"/>
  <c r="DX27" i="78"/>
  <c r="CC144" i="4"/>
  <c r="HE27" i="80"/>
  <c r="Q20" i="78"/>
  <c r="R10" i="78"/>
  <c r="KX20" i="78"/>
  <c r="CD898" i="3"/>
  <c r="CD442" i="3"/>
  <c r="I19" i="78"/>
  <c r="KP19" i="78"/>
  <c r="J29" i="78"/>
  <c r="PX9" i="80"/>
  <c r="BV901" i="3"/>
  <c r="BV928" i="3" s="1"/>
  <c r="BV932" i="3" s="1"/>
  <c r="BV922" i="3"/>
  <c r="BV925" i="3" s="1"/>
  <c r="EQ29" i="80"/>
  <c r="PQ8" i="80"/>
  <c r="PQ11" i="80" s="1"/>
  <c r="X28" i="80"/>
  <c r="X11" i="80"/>
  <c r="FN27" i="80"/>
  <c r="FN21" i="80"/>
  <c r="AA11" i="80"/>
  <c r="PT8" i="80"/>
  <c r="AA28" i="80"/>
  <c r="V18" i="80"/>
  <c r="V28" i="80" s="1"/>
  <c r="U28" i="80"/>
  <c r="PN18" i="80"/>
  <c r="AE21" i="78"/>
  <c r="LK18" i="78"/>
  <c r="AJ18" i="78"/>
  <c r="AD18" i="78"/>
  <c r="AE8" i="78"/>
  <c r="AF18" i="78"/>
  <c r="Y28" i="78"/>
  <c r="LE8" i="78"/>
  <c r="DC923" i="3"/>
  <c r="DC925" i="3" s="1"/>
  <c r="DC901" i="3"/>
  <c r="DC928" i="3" s="1"/>
  <c r="DC932" i="3" s="1"/>
  <c r="KT28" i="78"/>
  <c r="CY7" i="80"/>
  <c r="BY7" i="78"/>
  <c r="KE21" i="80"/>
  <c r="KE27" i="80"/>
  <c r="KE31" i="80" s="1"/>
  <c r="HK11" i="78"/>
  <c r="HK27" i="78"/>
  <c r="HK31" i="78" s="1"/>
  <c r="JH17" i="78"/>
  <c r="JH21" i="78" s="1"/>
  <c r="JD21" i="78"/>
  <c r="JD11" i="78"/>
  <c r="JH7" i="78"/>
  <c r="JH11" i="78" s="1"/>
  <c r="DF11" i="78"/>
  <c r="EC7" i="78"/>
  <c r="EG7" i="78"/>
  <c r="DF27" i="78"/>
  <c r="EW17" i="78"/>
  <c r="EY17" i="78"/>
  <c r="EY21" i="78" s="1"/>
  <c r="EX27" i="78"/>
  <c r="FK17" i="78"/>
  <c r="FK21" i="78" s="1"/>
  <c r="EX21" i="78"/>
  <c r="HN10" i="80"/>
  <c r="GY30" i="80"/>
  <c r="FX27" i="78"/>
  <c r="FX11" i="78"/>
  <c r="JC21" i="80"/>
  <c r="JG17" i="80"/>
  <c r="HB29" i="80"/>
  <c r="HB21" i="80"/>
  <c r="GB17" i="78"/>
  <c r="GC27" i="78"/>
  <c r="GC21" i="78"/>
  <c r="S27" i="78"/>
  <c r="S11" i="78"/>
  <c r="HC31" i="80"/>
  <c r="PP10" i="80"/>
  <c r="PV10" i="80"/>
  <c r="BU359" i="4"/>
  <c r="BU386" i="4" s="1"/>
  <c r="DJ282" i="3"/>
  <c r="DM284" i="3"/>
  <c r="GY27" i="80"/>
  <c r="GY11" i="80"/>
  <c r="FE11" i="78"/>
  <c r="FE27" i="78"/>
  <c r="BG27" i="78"/>
  <c r="EU9" i="80"/>
  <c r="DH9" i="78"/>
  <c r="CW910" i="3"/>
  <c r="CW442" i="3"/>
  <c r="PO20" i="80"/>
  <c r="PP20" i="80" s="1"/>
  <c r="W20" i="80"/>
  <c r="W30" i="80" s="1"/>
  <c r="U20" i="80"/>
  <c r="AI10" i="80"/>
  <c r="PO10" i="80"/>
  <c r="QB10" i="80" s="1"/>
  <c r="V11" i="80"/>
  <c r="DE11" i="78"/>
  <c r="BJ29" i="80"/>
  <c r="BJ31" i="80" s="1"/>
  <c r="BJ21" i="80"/>
  <c r="BI19" i="80"/>
  <c r="DA30" i="78"/>
  <c r="KL20" i="78"/>
  <c r="EB20" i="78"/>
  <c r="EF916" i="3"/>
  <c r="EF919" i="3" s="1"/>
  <c r="EF931" i="3" s="1"/>
  <c r="J29" i="80"/>
  <c r="I19" i="80"/>
  <c r="I21" i="80" s="1"/>
  <c r="PC19" i="80"/>
  <c r="GH30" i="80"/>
  <c r="HI20" i="80"/>
  <c r="GH21" i="80"/>
  <c r="P29" i="78"/>
  <c r="KV19" i="78"/>
  <c r="O19" i="78"/>
  <c r="P21" i="78"/>
  <c r="BX901" i="3"/>
  <c r="BX928" i="3" s="1"/>
  <c r="BX932" i="3" s="1"/>
  <c r="BX922" i="3"/>
  <c r="BX925" i="3" s="1"/>
  <c r="AH17" i="80"/>
  <c r="K27" i="80"/>
  <c r="ES27" i="80"/>
  <c r="ES21" i="80"/>
  <c r="Y31" i="80"/>
  <c r="PR28" i="80"/>
  <c r="QC28" i="80" s="1"/>
  <c r="V21" i="80"/>
  <c r="AH365" i="4"/>
  <c r="AH387" i="4" s="1"/>
  <c r="AH390" i="4" s="1"/>
  <c r="AH380" i="4"/>
  <c r="AH383" i="4" s="1"/>
  <c r="AH18" i="78"/>
  <c r="KQ18" i="78"/>
  <c r="K28" i="78"/>
  <c r="IO11" i="80"/>
  <c r="IO27" i="80"/>
  <c r="JE7" i="80"/>
  <c r="JE11" i="80" s="1"/>
  <c r="AZ40" i="80" s="1"/>
  <c r="BD40" i="80" s="1"/>
  <c r="BT359" i="4"/>
  <c r="BT386" i="4" s="1"/>
  <c r="DQ295" i="3"/>
  <c r="DQ904" i="3" s="1"/>
  <c r="CY21" i="80"/>
  <c r="AU43" i="57"/>
  <c r="AW43" i="57" s="1"/>
  <c r="DF922" i="3"/>
  <c r="DF925" i="3" s="1"/>
  <c r="DF901" i="3"/>
  <c r="DF928" i="3" s="1"/>
  <c r="DF932" i="3" s="1"/>
  <c r="CU28" i="78"/>
  <c r="CY28" i="78" s="1"/>
  <c r="CZ28" i="78"/>
  <c r="KK27" i="78"/>
  <c r="BC28" i="78"/>
  <c r="LB8" i="78"/>
  <c r="M7" i="80"/>
  <c r="M7" i="78"/>
  <c r="BH356" i="4"/>
  <c r="BH267" i="4"/>
  <c r="BH350" i="4" s="1"/>
  <c r="EC10" i="78"/>
  <c r="EF10" i="78" s="1"/>
  <c r="DJ11" i="78"/>
  <c r="DJ30" i="78"/>
  <c r="JF21" i="80"/>
  <c r="JG18" i="80"/>
  <c r="FR28" i="78"/>
  <c r="GM29" i="80"/>
  <c r="HJ9" i="80"/>
  <c r="HM9" i="80" s="1"/>
  <c r="JD29" i="80"/>
  <c r="DV11" i="78"/>
  <c r="DV30" i="78"/>
  <c r="GU30" i="78"/>
  <c r="GP30" i="78"/>
  <c r="GH31" i="78"/>
  <c r="GS27" i="78"/>
  <c r="GS31" i="78" s="1"/>
  <c r="S27" i="80"/>
  <c r="S11" i="80"/>
  <c r="HM7" i="80"/>
  <c r="BV20" i="80"/>
  <c r="GM29" i="78"/>
  <c r="GM31" i="78" s="1"/>
  <c r="GM21" i="78"/>
  <c r="DU27" i="78"/>
  <c r="Z27" i="78"/>
  <c r="PR7" i="80"/>
  <c r="BT27" i="80"/>
  <c r="EF628" i="3"/>
  <c r="EF655" i="3" s="1"/>
  <c r="EG630" i="3"/>
  <c r="EG628" i="3" s="1"/>
  <c r="EG655" i="3" s="1"/>
  <c r="DQ910" i="3"/>
  <c r="DQ913" i="3" s="1"/>
  <c r="DQ930" i="3" s="1"/>
  <c r="W20" i="78"/>
  <c r="U20" i="78"/>
  <c r="LB20" i="78"/>
  <c r="LC20" i="78" s="1"/>
  <c r="V10" i="78"/>
  <c r="CT901" i="3"/>
  <c r="CT928" i="3" s="1"/>
  <c r="CT932" i="3" s="1"/>
  <c r="CT922" i="3"/>
  <c r="CT925" i="3" s="1"/>
  <c r="EN30" i="80"/>
  <c r="FO20" i="80"/>
  <c r="DW31" i="78"/>
  <c r="EE30" i="78"/>
  <c r="G19" i="78"/>
  <c r="KN19" i="78"/>
  <c r="H29" i="78"/>
  <c r="BO10" i="3"/>
  <c r="BO240" i="3" s="1"/>
  <c r="BP118" i="3"/>
  <c r="BP10" i="3" s="1"/>
  <c r="BP240" i="3" s="1"/>
  <c r="P29" i="80"/>
  <c r="O19" i="80"/>
  <c r="PI19" i="80"/>
  <c r="FJ27" i="80"/>
  <c r="FJ21" i="80"/>
  <c r="FI17" i="80"/>
  <c r="FR17" i="80"/>
  <c r="FR21" i="80" s="1"/>
  <c r="FK17" i="80"/>
  <c r="FK21" i="80" s="1"/>
  <c r="GJ31" i="80"/>
  <c r="R8" i="78"/>
  <c r="R21" i="78"/>
  <c r="Q18" i="78"/>
  <c r="AL18" i="78" s="1"/>
  <c r="KX18" i="78"/>
  <c r="FL21" i="80"/>
  <c r="FL27" i="80"/>
  <c r="FL31" i="80" s="1"/>
  <c r="AI8" i="78"/>
  <c r="KY8" i="78"/>
  <c r="V380" i="4"/>
  <c r="V383" i="4" s="1"/>
  <c r="V359" i="4"/>
  <c r="V386" i="4" s="1"/>
  <c r="V390" i="4" s="1"/>
  <c r="BL380" i="4"/>
  <c r="BL383" i="4" s="1"/>
  <c r="AI7" i="80"/>
  <c r="AI11" i="80" s="1"/>
  <c r="AZ35" i="80" s="1"/>
  <c r="F21" i="78"/>
  <c r="KL18" i="78"/>
  <c r="AG18" i="78"/>
  <c r="CW17" i="80"/>
  <c r="CX21" i="80"/>
  <c r="KI7" i="80"/>
  <c r="HI7" i="78"/>
  <c r="NT30" i="80"/>
  <c r="NT31" i="80" s="1"/>
  <c r="PI10" i="80"/>
  <c r="HV7" i="80"/>
  <c r="HV11" i="80" s="1"/>
  <c r="DZ893" i="3"/>
  <c r="DZ900" i="3"/>
  <c r="DZ924" i="3" s="1"/>
  <c r="EL11" i="80"/>
  <c r="HU7" i="80"/>
  <c r="DY900" i="3"/>
  <c r="DY924" i="3" s="1"/>
  <c r="DY893" i="3"/>
  <c r="DI7" i="80"/>
  <c r="CI7" i="78"/>
  <c r="DC7" i="80"/>
  <c r="CC7" i="78"/>
  <c r="KY29" i="80"/>
  <c r="LA29" i="80" s="1"/>
  <c r="KG31" i="80"/>
  <c r="MU11" i="80"/>
  <c r="KX27" i="80"/>
  <c r="KA31" i="80"/>
  <c r="DQ905" i="3"/>
  <c r="DQ923" i="3" s="1"/>
  <c r="DQ814" i="3"/>
  <c r="DI919" i="3"/>
  <c r="DI931" i="3" s="1"/>
  <c r="JC28" i="80"/>
  <c r="JG28" i="80" s="1"/>
  <c r="DB11" i="78"/>
  <c r="EG10" i="78"/>
  <c r="DB30" i="78"/>
  <c r="H30" i="78"/>
  <c r="H11" i="78"/>
  <c r="DF28" i="78"/>
  <c r="EC28" i="78" s="1"/>
  <c r="EC8" i="78"/>
  <c r="FJ9" i="78"/>
  <c r="FJ11" i="78" s="1"/>
  <c r="AJ39" i="78" s="1"/>
  <c r="AQ39" i="78" s="1"/>
  <c r="EM11" i="78"/>
  <c r="EM29" i="78"/>
  <c r="FI30" i="80"/>
  <c r="FT11" i="78"/>
  <c r="IC31" i="80"/>
  <c r="IB27" i="80"/>
  <c r="IB11" i="80"/>
  <c r="JC7" i="80"/>
  <c r="JH7" i="80"/>
  <c r="FX28" i="78"/>
  <c r="GU18" i="78"/>
  <c r="FX21" i="78"/>
  <c r="KU18" i="78"/>
  <c r="GT20" i="78"/>
  <c r="GM11" i="80"/>
  <c r="FN10" i="78"/>
  <c r="FE30" i="78"/>
  <c r="FN30" i="78" s="1"/>
  <c r="BG30" i="78"/>
  <c r="LF10" i="78"/>
  <c r="BO336" i="4"/>
  <c r="Z27" i="80"/>
  <c r="PP9" i="80"/>
  <c r="AL9" i="80"/>
  <c r="AT381" i="4"/>
  <c r="AT359" i="4"/>
  <c r="AT386" i="4" s="1"/>
  <c r="AT390" i="4" s="1"/>
  <c r="ER11" i="80"/>
  <c r="BV11" i="80"/>
  <c r="CD7" i="80"/>
  <c r="BV21" i="80"/>
  <c r="BW17" i="80"/>
  <c r="BW27" i="80" s="1"/>
  <c r="BU17" i="80"/>
  <c r="CD17" i="80"/>
  <c r="PU7" i="80"/>
  <c r="BV27" i="80"/>
  <c r="PU17" i="80"/>
  <c r="CY922" i="3"/>
  <c r="CY925" i="3" s="1"/>
  <c r="CY929" i="3"/>
  <c r="CY932" i="3" s="1"/>
  <c r="EF240" i="3"/>
  <c r="EF898" i="3" s="1"/>
  <c r="PA19" i="80"/>
  <c r="H29" i="80"/>
  <c r="G19" i="80"/>
  <c r="DE28" i="78"/>
  <c r="DA17" i="78"/>
  <c r="EN17" i="80"/>
  <c r="BN898" i="3"/>
  <c r="BN442" i="3"/>
  <c r="F28" i="78"/>
  <c r="DM31" i="78"/>
  <c r="R11" i="80"/>
  <c r="AJ380" i="4"/>
  <c r="AJ383" i="4" s="1"/>
  <c r="AJ365" i="4"/>
  <c r="AJ387" i="4" s="1"/>
  <c r="AJ390" i="4" s="1"/>
  <c r="OY18" i="80"/>
  <c r="F21" i="80"/>
  <c r="AG18" i="80"/>
  <c r="J21" i="80"/>
  <c r="GR7" i="78"/>
  <c r="GB11" i="78"/>
  <c r="GB27" i="78"/>
  <c r="DS17" i="80"/>
  <c r="CS17" i="78"/>
  <c r="JW31" i="80"/>
  <c r="CR356" i="4"/>
  <c r="DD17" i="80"/>
  <c r="CD17" i="78"/>
  <c r="HZ7" i="80"/>
  <c r="ED893" i="3"/>
  <c r="ED900" i="3"/>
  <c r="ED924" i="3" s="1"/>
  <c r="CU7" i="80"/>
  <c r="BU7" i="78"/>
  <c r="KM7" i="78" s="1"/>
  <c r="V60" i="57"/>
  <c r="MT31" i="80"/>
  <c r="LB29" i="80"/>
  <c r="KX17" i="80"/>
  <c r="JF31" i="78"/>
  <c r="BR18" i="78"/>
  <c r="BP8" i="78"/>
  <c r="BZ380" i="4"/>
  <c r="BZ383" i="4" s="1"/>
  <c r="BZ359" i="4"/>
  <c r="BZ386" i="4" s="1"/>
  <c r="BZ390" i="4" s="1"/>
  <c r="AZ29" i="78"/>
  <c r="DA28" i="78"/>
  <c r="EB8" i="78"/>
  <c r="LU8" i="78" s="1"/>
  <c r="DA11" i="78"/>
  <c r="LA9" i="78"/>
  <c r="U29" i="78"/>
  <c r="JA31" i="80"/>
  <c r="JF27" i="80"/>
  <c r="JF31" i="80" s="1"/>
  <c r="EB9" i="78"/>
  <c r="EG9" i="78"/>
  <c r="DA29" i="78"/>
  <c r="FM7" i="78"/>
  <c r="GP7" i="78"/>
  <c r="FO11" i="78"/>
  <c r="FO27" i="78"/>
  <c r="GU7" i="78"/>
  <c r="ED18" i="78"/>
  <c r="EF18" i="78" s="1"/>
  <c r="DL21" i="78"/>
  <c r="DJ242" i="3"/>
  <c r="DJ295" i="3" s="1"/>
  <c r="CB375" i="4"/>
  <c r="CB335" i="4"/>
  <c r="JC30" i="80"/>
  <c r="JG30" i="80" s="1"/>
  <c r="CV904" i="3"/>
  <c r="CV907" i="3" s="1"/>
  <c r="CV442" i="3"/>
  <c r="DG901" i="3"/>
  <c r="DG928" i="3" s="1"/>
  <c r="LF9" i="78"/>
  <c r="AF27" i="78"/>
  <c r="JH21" i="80"/>
  <c r="GT18" i="78"/>
  <c r="BO359" i="4"/>
  <c r="BO386" i="4" s="1"/>
  <c r="DB901" i="3"/>
  <c r="DB928" i="3" s="1"/>
  <c r="CX904" i="3"/>
  <c r="CX907" i="3" s="1"/>
  <c r="CX442" i="3"/>
  <c r="CU925" i="3"/>
  <c r="DR893" i="3"/>
  <c r="DR900" i="3"/>
  <c r="DR924" i="3" s="1"/>
  <c r="BS922" i="3"/>
  <c r="BS925" i="3" s="1"/>
  <c r="BS901" i="3"/>
  <c r="BS928" i="3" s="1"/>
  <c r="BS932" i="3" s="1"/>
  <c r="BC19" i="80"/>
  <c r="BD29" i="80"/>
  <c r="CA29" i="80" s="1"/>
  <c r="BD21" i="80"/>
  <c r="CA19" i="80"/>
  <c r="CA21" i="80" s="1"/>
  <c r="N30" i="80"/>
  <c r="PG30" i="80" s="1"/>
  <c r="M20" i="80"/>
  <c r="M21" i="80" s="1"/>
  <c r="PG20" i="80"/>
  <c r="GI30" i="80"/>
  <c r="OZ20" i="80"/>
  <c r="GI21" i="80"/>
  <c r="EG919" i="3"/>
  <c r="EG931" i="3" s="1"/>
  <c r="OY20" i="80"/>
  <c r="ED29" i="78"/>
  <c r="EH916" i="3"/>
  <c r="EH919" i="3" s="1"/>
  <c r="EH931" i="3" s="1"/>
  <c r="AE380" i="4"/>
  <c r="AE365" i="4"/>
  <c r="AE387" i="4" s="1"/>
  <c r="CU357" i="4"/>
  <c r="P28" i="80"/>
  <c r="O18" i="80"/>
  <c r="AH18" i="80" s="1"/>
  <c r="PI18" i="80"/>
  <c r="P21" i="80"/>
  <c r="PJ18" i="80"/>
  <c r="R18" i="80"/>
  <c r="R28" i="80" s="1"/>
  <c r="AI18" i="80"/>
  <c r="DH27" i="78"/>
  <c r="H21" i="78"/>
  <c r="Y380" i="4"/>
  <c r="Y365" i="4"/>
  <c r="Y387" i="4" s="1"/>
  <c r="PB18" i="80"/>
  <c r="I28" i="80"/>
  <c r="S21" i="80"/>
  <c r="PL18" i="80"/>
  <c r="T18" i="80"/>
  <c r="T28" i="80" s="1"/>
  <c r="S28" i="80"/>
  <c r="PL28" i="80" s="1"/>
  <c r="AT383" i="4"/>
  <c r="OG21" i="80"/>
  <c r="OK17" i="80"/>
  <c r="OK21" i="80" s="1"/>
  <c r="BO28" i="80"/>
  <c r="CU29" i="78"/>
  <c r="CY29" i="78" s="1"/>
  <c r="CZ29" i="78"/>
  <c r="BZ350" i="4"/>
  <c r="DO901" i="3"/>
  <c r="DO928" i="3" s="1"/>
  <c r="DO932" i="3" s="1"/>
  <c r="DO922" i="3"/>
  <c r="DO925" i="3" s="1"/>
  <c r="HA27" i="78"/>
  <c r="HA21" i="78"/>
  <c r="HX17" i="78"/>
  <c r="FC11" i="78"/>
  <c r="FC30" i="78"/>
  <c r="FH29" i="78"/>
  <c r="FH11" i="78"/>
  <c r="GP9" i="78"/>
  <c r="GT9" i="78" s="1"/>
  <c r="FO29" i="78"/>
  <c r="GU9" i="78"/>
  <c r="BN7" i="78"/>
  <c r="AP27" i="78"/>
  <c r="FQ7" i="80"/>
  <c r="FA11" i="80"/>
  <c r="FT7" i="80"/>
  <c r="HK19" i="80"/>
  <c r="GS29" i="80"/>
  <c r="GS21" i="80"/>
  <c r="GJ21" i="78"/>
  <c r="GJ27" i="78"/>
  <c r="FO9" i="80"/>
  <c r="EN11" i="80"/>
  <c r="FT9" i="80"/>
  <c r="EN29" i="80"/>
  <c r="IS30" i="80"/>
  <c r="JH30" i="80" s="1"/>
  <c r="JH10" i="80"/>
  <c r="JU48" i="80" s="1"/>
  <c r="GG21" i="78"/>
  <c r="GG27" i="78"/>
  <c r="AL7" i="78"/>
  <c r="G11" i="78"/>
  <c r="G27" i="78"/>
  <c r="LL9" i="78"/>
  <c r="BZ30" i="80"/>
  <c r="PX10" i="80"/>
  <c r="GQ7" i="78"/>
  <c r="GQ11" i="78" s="1"/>
  <c r="AJ40" i="78" s="1"/>
  <c r="FE27" i="80"/>
  <c r="DM913" i="3"/>
  <c r="DM930" i="3" s="1"/>
  <c r="BT30" i="80"/>
  <c r="PR10" i="80"/>
  <c r="QC10" i="80" s="1"/>
  <c r="DB442" i="3"/>
  <c r="DB904" i="3"/>
  <c r="DB907" i="3" s="1"/>
  <c r="AL9" i="78"/>
  <c r="LC9" i="78"/>
  <c r="HB7" i="80"/>
  <c r="DJ893" i="3"/>
  <c r="DJ900" i="3"/>
  <c r="DJ924" i="3" s="1"/>
  <c r="FB7" i="78"/>
  <c r="DH20" i="78"/>
  <c r="DI30" i="78"/>
  <c r="L30" i="80"/>
  <c r="L31" i="80" s="1"/>
  <c r="PE20" i="80"/>
  <c r="K20" i="80"/>
  <c r="EX27" i="80"/>
  <c r="EX21" i="80"/>
  <c r="EW17" i="80"/>
  <c r="EW28" i="80"/>
  <c r="FP8" i="80"/>
  <c r="EW11" i="80"/>
  <c r="BG19" i="80"/>
  <c r="BG21" i="80" s="1"/>
  <c r="BH29" i="80"/>
  <c r="PG19" i="80"/>
  <c r="BH21" i="80"/>
  <c r="AP19" i="78"/>
  <c r="AQ29" i="78"/>
  <c r="AQ21" i="78"/>
  <c r="BN19" i="78"/>
  <c r="EG10" i="3"/>
  <c r="KT20" i="78"/>
  <c r="M20" i="78"/>
  <c r="M21" i="78" s="1"/>
  <c r="N30" i="78"/>
  <c r="FH30" i="80"/>
  <c r="FH21" i="80"/>
  <c r="FC29" i="80"/>
  <c r="BA380" i="4"/>
  <c r="BA365" i="4"/>
  <c r="BA387" i="4" s="1"/>
  <c r="PJ28" i="80"/>
  <c r="FQ19" i="80"/>
  <c r="EY29" i="80"/>
  <c r="EY21" i="80"/>
  <c r="CC901" i="3"/>
  <c r="CC928" i="3" s="1"/>
  <c r="CC932" i="3" s="1"/>
  <c r="CC922" i="3"/>
  <c r="CC925" i="3" s="1"/>
  <c r="J31" i="80"/>
  <c r="PT18" i="80"/>
  <c r="AB18" i="80"/>
  <c r="AB28" i="80" s="1"/>
  <c r="AJ28" i="80" s="1"/>
  <c r="PG28" i="80"/>
  <c r="PI11" i="80"/>
  <c r="CF18" i="80"/>
  <c r="CB18" i="80"/>
  <c r="BG28" i="80"/>
  <c r="KY21" i="80"/>
  <c r="DL922" i="3"/>
  <c r="DL925" i="3" s="1"/>
  <c r="KP21" i="80"/>
  <c r="KP27" i="80"/>
  <c r="KP31" i="80" s="1"/>
  <c r="KS27" i="80"/>
  <c r="KS31" i="80" s="1"/>
  <c r="DL932" i="3"/>
  <c r="BW359" i="4"/>
  <c r="BW386" i="4" s="1"/>
  <c r="BW390" i="4" s="1"/>
  <c r="BW380" i="4"/>
  <c r="BW383" i="4" s="1"/>
  <c r="JH27" i="78"/>
  <c r="JH31" i="78" s="1"/>
  <c r="JD31" i="78"/>
  <c r="JR31" i="78"/>
  <c r="IB29" i="78"/>
  <c r="HG31" i="78"/>
  <c r="IA18" i="78"/>
  <c r="EL30" i="78"/>
  <c r="GR8" i="78"/>
  <c r="GT8" i="78" s="1"/>
  <c r="GB28" i="78"/>
  <c r="GR28" i="78" s="1"/>
  <c r="EH11" i="78"/>
  <c r="FI9" i="78"/>
  <c r="FM9" i="78" s="1"/>
  <c r="EH29" i="78"/>
  <c r="EH31" i="78" s="1"/>
  <c r="FN9" i="78"/>
  <c r="EK17" i="78"/>
  <c r="EL21" i="78"/>
  <c r="EL27" i="78"/>
  <c r="BK11" i="78"/>
  <c r="BK30" i="78"/>
  <c r="LJ30" i="78" s="1"/>
  <c r="LJ10" i="78"/>
  <c r="FF11" i="78"/>
  <c r="LU20" i="78"/>
  <c r="GI27" i="78"/>
  <c r="GI21" i="78"/>
  <c r="JG20" i="80"/>
  <c r="JC29" i="80"/>
  <c r="JG29" i="80" s="1"/>
  <c r="JH29" i="80"/>
  <c r="FB19" i="78"/>
  <c r="FB21" i="78" s="1"/>
  <c r="FA29" i="78"/>
  <c r="FL19" i="78"/>
  <c r="EZ19" i="78"/>
  <c r="FA21" i="78"/>
  <c r="LE19" i="78"/>
  <c r="EE28" i="78"/>
  <c r="EE31" i="78" s="1"/>
  <c r="DT31" i="78"/>
  <c r="ED28" i="78"/>
  <c r="DL31" i="78"/>
  <c r="BR359" i="4"/>
  <c r="BR386" i="4" s="1"/>
  <c r="FP31" i="78"/>
  <c r="CA357" i="4"/>
  <c r="CA359" i="4" s="1"/>
  <c r="CA386" i="4" s="1"/>
  <c r="BZ7" i="80"/>
  <c r="BM7" i="78"/>
  <c r="LL10" i="78"/>
  <c r="LL30" i="78" s="1"/>
  <c r="AF27" i="80"/>
  <c r="CZ904" i="3"/>
  <c r="CZ907" i="3" s="1"/>
  <c r="CZ442" i="3"/>
  <c r="DR635" i="3"/>
  <c r="DM634" i="3"/>
  <c r="DJ628" i="3"/>
  <c r="K20" i="78"/>
  <c r="K21" i="78" s="1"/>
  <c r="L30" i="78"/>
  <c r="KR20" i="78"/>
  <c r="FB27" i="80"/>
  <c r="FB31" i="80" s="1"/>
  <c r="FB21" i="80"/>
  <c r="FA17" i="80"/>
  <c r="FA27" i="80" s="1"/>
  <c r="AC381" i="4"/>
  <c r="AC371" i="4"/>
  <c r="AC388" i="4" s="1"/>
  <c r="LK19" i="78"/>
  <c r="LL19" i="78" s="1"/>
  <c r="BK19" i="78"/>
  <c r="BQ19" i="78"/>
  <c r="BQ21" i="78" s="1"/>
  <c r="BM19" i="78"/>
  <c r="BM21" i="78" s="1"/>
  <c r="BL21" i="78"/>
  <c r="BL9" i="78"/>
  <c r="EW20" i="80"/>
  <c r="FT20" i="80" s="1"/>
  <c r="EX30" i="80"/>
  <c r="PI30" i="80" s="1"/>
  <c r="PI20" i="80"/>
  <c r="GM20" i="80"/>
  <c r="HN20" i="80" s="1"/>
  <c r="GN30" i="80"/>
  <c r="GN21" i="80"/>
  <c r="DQ21" i="78"/>
  <c r="DP17" i="78"/>
  <c r="DQ27" i="78"/>
  <c r="DR17" i="78"/>
  <c r="O11" i="80"/>
  <c r="O28" i="80"/>
  <c r="AD365" i="4"/>
  <c r="AD387" i="4" s="1"/>
  <c r="AD390" i="4" s="1"/>
  <c r="AD380" i="4"/>
  <c r="AD383" i="4" s="1"/>
  <c r="PX28" i="80"/>
  <c r="AF380" i="4"/>
  <c r="AF383" i="4" s="1"/>
  <c r="AF365" i="4"/>
  <c r="AF387" i="4" s="1"/>
  <c r="AF390" i="4" s="1"/>
  <c r="M28" i="78"/>
  <c r="KS18" i="78"/>
  <c r="L21" i="78"/>
  <c r="BN10" i="57"/>
  <c r="CQ380" i="4" l="1"/>
  <c r="CQ267" i="4"/>
  <c r="QU20" i="80"/>
  <c r="BF377" i="4"/>
  <c r="BF389" i="4" s="1"/>
  <c r="BF380" i="4"/>
  <c r="BF383" i="4" s="1"/>
  <c r="BF390" i="4"/>
  <c r="PV9" i="80"/>
  <c r="AO31" i="78"/>
  <c r="X21" i="78"/>
  <c r="KL19" i="78"/>
  <c r="F29" i="78"/>
  <c r="Z29" i="80"/>
  <c r="PS29" i="80" s="1"/>
  <c r="Z21" i="80"/>
  <c r="BE31" i="78"/>
  <c r="BO11" i="78"/>
  <c r="AJ36" i="78" s="1"/>
  <c r="Y381" i="4"/>
  <c r="Y383" i="4" s="1"/>
  <c r="Y377" i="4"/>
  <c r="Y389" i="4" s="1"/>
  <c r="Z21" i="78"/>
  <c r="AR17" i="78"/>
  <c r="AS27" i="78"/>
  <c r="AS31" i="78" s="1"/>
  <c r="BG381" i="4"/>
  <c r="BG383" i="4" s="1"/>
  <c r="BG371" i="4"/>
  <c r="BG388" i="4" s="1"/>
  <c r="BG390" i="4" s="1"/>
  <c r="BH371" i="4"/>
  <c r="BH388" i="4" s="1"/>
  <c r="BH381" i="4"/>
  <c r="BP381" i="4"/>
  <c r="BP383" i="4" s="1"/>
  <c r="BP371" i="4"/>
  <c r="BP388" i="4" s="1"/>
  <c r="BP390" i="4" s="1"/>
  <c r="PN9" i="80"/>
  <c r="BO11" i="80"/>
  <c r="BY377" i="4"/>
  <c r="BY389" i="4" s="1"/>
  <c r="BY381" i="4"/>
  <c r="AR8" i="57"/>
  <c r="AO7" i="57"/>
  <c r="V7" i="78"/>
  <c r="U17" i="78"/>
  <c r="U27" i="78" s="1"/>
  <c r="W17" i="78"/>
  <c r="W27" i="78" s="1"/>
  <c r="BF27" i="78"/>
  <c r="BQ27" i="78" s="1"/>
  <c r="BQ7" i="78"/>
  <c r="QC18" i="80"/>
  <c r="LI30" i="78"/>
  <c r="AG383" i="4"/>
  <c r="BE380" i="4"/>
  <c r="BE383" i="4" s="1"/>
  <c r="BE27" i="80"/>
  <c r="CB17" i="80"/>
  <c r="CD11" i="80"/>
  <c r="V21" i="78"/>
  <c r="X29" i="78"/>
  <c r="CB11" i="80"/>
  <c r="AJ36" i="80" s="1"/>
  <c r="AZ31" i="80"/>
  <c r="AM29" i="78"/>
  <c r="AB21" i="78"/>
  <c r="BE390" i="4"/>
  <c r="CC266" i="4"/>
  <c r="CC374" i="4"/>
  <c r="CC377" i="4" s="1"/>
  <c r="CC389" i="4" s="1"/>
  <c r="LK7" i="78"/>
  <c r="AE27" i="78"/>
  <c r="BU29" i="80"/>
  <c r="PT29" i="80" s="1"/>
  <c r="PT9" i="80"/>
  <c r="AO371" i="4"/>
  <c r="AO388" i="4" s="1"/>
  <c r="AO381" i="4"/>
  <c r="BQ19" i="80"/>
  <c r="BQ29" i="80" s="1"/>
  <c r="PP29" i="80" s="1"/>
  <c r="BO19" i="80"/>
  <c r="BP29" i="80"/>
  <c r="CC29" i="80" s="1"/>
  <c r="PO19" i="80"/>
  <c r="PP19" i="80" s="1"/>
  <c r="PO9" i="80"/>
  <c r="BP21" i="80"/>
  <c r="BP11" i="80"/>
  <c r="Y390" i="4"/>
  <c r="BK350" i="4"/>
  <c r="LB17" i="78"/>
  <c r="CL371" i="4"/>
  <c r="CL388" i="4" s="1"/>
  <c r="AI383" i="4"/>
  <c r="BE21" i="80"/>
  <c r="CA9" i="80"/>
  <c r="PR31" i="80"/>
  <c r="AI17" i="78"/>
  <c r="BF11" i="78"/>
  <c r="PL20" i="80"/>
  <c r="BM30" i="80"/>
  <c r="CC20" i="80"/>
  <c r="AC20" i="80"/>
  <c r="AC30" i="80" s="1"/>
  <c r="AA20" i="80"/>
  <c r="PU20" i="80"/>
  <c r="PV20" i="80" s="1"/>
  <c r="Z359" i="4"/>
  <c r="Z386" i="4" s="1"/>
  <c r="Z390" i="4" s="1"/>
  <c r="Z380" i="4"/>
  <c r="Z383" i="4" s="1"/>
  <c r="AL17" i="80"/>
  <c r="CP381" i="4"/>
  <c r="AB10" i="78"/>
  <c r="AB30" i="78" s="1"/>
  <c r="AC20" i="78"/>
  <c r="AC30" i="78" s="1"/>
  <c r="AA20" i="78"/>
  <c r="AA30" i="78" s="1"/>
  <c r="CR377" i="4"/>
  <c r="CR389" i="4" s="1"/>
  <c r="Q19" i="78"/>
  <c r="Q21" i="78" s="1"/>
  <c r="R9" i="78"/>
  <c r="KX19" i="78"/>
  <c r="BA27" i="80"/>
  <c r="CA27" i="80" s="1"/>
  <c r="CA7" i="80"/>
  <c r="CN380" i="4"/>
  <c r="CT327" i="4"/>
  <c r="CS310" i="4"/>
  <c r="CS334" i="4" s="1"/>
  <c r="CS375" i="4" s="1"/>
  <c r="N31" i="80"/>
  <c r="CR11" i="80"/>
  <c r="CK350" i="4"/>
  <c r="CC359" i="4"/>
  <c r="CC386" i="4" s="1"/>
  <c r="AJ20" i="78"/>
  <c r="AJ29" i="78"/>
  <c r="S29" i="80"/>
  <c r="PL9" i="80"/>
  <c r="QB9" i="80" s="1"/>
  <c r="BA371" i="4"/>
  <c r="BA388" i="4" s="1"/>
  <c r="BA390" i="4" s="1"/>
  <c r="BA381" i="4"/>
  <c r="BA383" i="4" s="1"/>
  <c r="AM21" i="78"/>
  <c r="Q19" i="80"/>
  <c r="Q21" i="80" s="1"/>
  <c r="PK19" i="80"/>
  <c r="PK9" i="80"/>
  <c r="PK11" i="80" s="1"/>
  <c r="CD30" i="80"/>
  <c r="PR30" i="80"/>
  <c r="QC30" i="80" s="1"/>
  <c r="Y27" i="78"/>
  <c r="LE7" i="78"/>
  <c r="AM30" i="78"/>
  <c r="BH29" i="78"/>
  <c r="LG9" i="78"/>
  <c r="AE390" i="4"/>
  <c r="PL29" i="80"/>
  <c r="BN9" i="78"/>
  <c r="CT297" i="4"/>
  <c r="CS295" i="4"/>
  <c r="CS308" i="4" s="1"/>
  <c r="CS369" i="4" s="1"/>
  <c r="CS371" i="4" s="1"/>
  <c r="CS388" i="4" s="1"/>
  <c r="X29" i="80"/>
  <c r="PQ29" i="80" s="1"/>
  <c r="BS390" i="4"/>
  <c r="AJ21" i="78"/>
  <c r="AO390" i="4"/>
  <c r="BD30" i="78"/>
  <c r="AO383" i="4"/>
  <c r="AS11" i="80"/>
  <c r="CJ11" i="80"/>
  <c r="CR369" i="4"/>
  <c r="CR336" i="4"/>
  <c r="CR350" i="4" s="1"/>
  <c r="AG350" i="4"/>
  <c r="AJ29" i="80"/>
  <c r="PR29" i="80"/>
  <c r="QC29" i="80" s="1"/>
  <c r="AG371" i="4"/>
  <c r="AG388" i="4" s="1"/>
  <c r="AG390" i="4" s="1"/>
  <c r="BS20" i="80"/>
  <c r="BR30" i="80"/>
  <c r="BR31" i="80" s="1"/>
  <c r="BP19" i="78"/>
  <c r="BB19" i="78"/>
  <c r="BB29" i="78" s="1"/>
  <c r="LA29" i="78" s="1"/>
  <c r="BC9" i="78"/>
  <c r="BD19" i="78"/>
  <c r="BR127" i="4"/>
  <c r="BO121" i="4"/>
  <c r="BO169" i="4" s="1"/>
  <c r="BP20" i="78"/>
  <c r="AX21" i="78"/>
  <c r="BA11" i="78"/>
  <c r="BA27" i="78"/>
  <c r="BA31" i="78" s="1"/>
  <c r="KZ7" i="78"/>
  <c r="BV359" i="4"/>
  <c r="BV386" i="4" s="1"/>
  <c r="BV380" i="4"/>
  <c r="BI365" i="4"/>
  <c r="BI387" i="4" s="1"/>
  <c r="BI390" i="4" s="1"/>
  <c r="BI380" i="4"/>
  <c r="BI383" i="4" s="1"/>
  <c r="KO18" i="78"/>
  <c r="I28" i="78"/>
  <c r="LE10" i="78"/>
  <c r="Y30" i="78"/>
  <c r="AJ10" i="78"/>
  <c r="LC29" i="78"/>
  <c r="AP30" i="78"/>
  <c r="AQ11" i="80"/>
  <c r="CH381" i="4"/>
  <c r="CU258" i="4"/>
  <c r="CU254" i="4" s="1"/>
  <c r="CU265" i="4" s="1"/>
  <c r="CU374" i="4" s="1"/>
  <c r="CT254" i="4"/>
  <c r="CT265" i="4" s="1"/>
  <c r="CT374" i="4" s="1"/>
  <c r="BP10" i="78"/>
  <c r="BM21" i="80"/>
  <c r="BM27" i="80"/>
  <c r="CC17" i="80"/>
  <c r="CC21" i="80" s="1"/>
  <c r="AF21" i="80"/>
  <c r="K11" i="80"/>
  <c r="V29" i="78"/>
  <c r="BI30" i="78"/>
  <c r="BQ10" i="78"/>
  <c r="LH10" i="78"/>
  <c r="BI11" i="78"/>
  <c r="AX11" i="78"/>
  <c r="BP7" i="78"/>
  <c r="BR7" i="78" s="1"/>
  <c r="AX27" i="78"/>
  <c r="BB30" i="78"/>
  <c r="BS9" i="78"/>
  <c r="AX30" i="78"/>
  <c r="BP30" i="78" s="1"/>
  <c r="CA153" i="4"/>
  <c r="CB154" i="4"/>
  <c r="CB153" i="4" s="1"/>
  <c r="BL359" i="4"/>
  <c r="BL386" i="4" s="1"/>
  <c r="BL390" i="4" s="1"/>
  <c r="CF20" i="80"/>
  <c r="CB20" i="80"/>
  <c r="CE20" i="80" s="1"/>
  <c r="BG30" i="80"/>
  <c r="CB30" i="80" s="1"/>
  <c r="LK10" i="78"/>
  <c r="AE30" i="78"/>
  <c r="LK30" i="78" s="1"/>
  <c r="BJ359" i="4"/>
  <c r="BJ386" i="4" s="1"/>
  <c r="BJ390" i="4" s="1"/>
  <c r="BJ380" i="4"/>
  <c r="BJ383" i="4" s="1"/>
  <c r="BH21" i="78"/>
  <c r="LG20" i="78"/>
  <c r="PM27" i="80"/>
  <c r="PM31" i="80" s="1"/>
  <c r="BK11" i="80"/>
  <c r="CC7" i="80"/>
  <c r="BK27" i="80"/>
  <c r="PJ7" i="80"/>
  <c r="PJ11" i="80" s="1"/>
  <c r="AX11" i="80"/>
  <c r="CL381" i="4"/>
  <c r="BO29" i="78"/>
  <c r="AT30" i="78"/>
  <c r="AT31" i="78" s="1"/>
  <c r="AT21" i="78"/>
  <c r="AY11" i="78"/>
  <c r="Y11" i="78"/>
  <c r="AI28" i="80"/>
  <c r="CB377" i="4"/>
  <c r="CB389" i="4" s="1"/>
  <c r="PI29" i="80"/>
  <c r="AF21" i="78"/>
  <c r="CE9" i="80"/>
  <c r="BB350" i="4"/>
  <c r="CO350" i="4"/>
  <c r="CO11" i="80"/>
  <c r="CN11" i="80"/>
  <c r="CG350" i="4"/>
  <c r="CF350" i="4"/>
  <c r="CE381" i="4"/>
  <c r="CT13" i="4"/>
  <c r="BB359" i="4"/>
  <c r="BB386" i="4" s="1"/>
  <c r="BB380" i="4"/>
  <c r="AE20" i="80"/>
  <c r="AE30" i="80" s="1"/>
  <c r="PW20" i="80"/>
  <c r="AD21" i="80"/>
  <c r="PO7" i="80"/>
  <c r="BB31" i="80"/>
  <c r="O11" i="78"/>
  <c r="O27" i="78"/>
  <c r="AI9" i="78"/>
  <c r="AK9" i="78" s="1"/>
  <c r="AA27" i="78"/>
  <c r="AA21" i="78"/>
  <c r="AY31" i="78"/>
  <c r="W21" i="80"/>
  <c r="CI381" i="4"/>
  <c r="PD18" i="80"/>
  <c r="K28" i="80"/>
  <c r="G27" i="80"/>
  <c r="AG27" i="80" s="1"/>
  <c r="AG7" i="80"/>
  <c r="AG11" i="80" s="1"/>
  <c r="AI35" i="80" s="1"/>
  <c r="G11" i="80"/>
  <c r="BB11" i="80"/>
  <c r="K11" i="78"/>
  <c r="AL10" i="78"/>
  <c r="AH10" i="78"/>
  <c r="V19" i="80"/>
  <c r="V29" i="80" s="1"/>
  <c r="U29" i="80"/>
  <c r="AV31" i="78"/>
  <c r="KM18" i="78"/>
  <c r="LM18" i="78" s="1"/>
  <c r="G28" i="78"/>
  <c r="CS72" i="4"/>
  <c r="CS119" i="4" s="1"/>
  <c r="CT81" i="4"/>
  <c r="AC29" i="80"/>
  <c r="AJ9" i="80"/>
  <c r="AK9" i="80" s="1"/>
  <c r="CU179" i="4"/>
  <c r="CU171" i="4" s="1"/>
  <c r="CU234" i="4" s="1"/>
  <c r="CU368" i="4" s="1"/>
  <c r="CT171" i="4"/>
  <c r="CT234" i="4" s="1"/>
  <c r="CT368" i="4" s="1"/>
  <c r="O30" i="78"/>
  <c r="AB11" i="78"/>
  <c r="AB27" i="78"/>
  <c r="LH7" i="78"/>
  <c r="AJ7" i="78"/>
  <c r="X30" i="78"/>
  <c r="LD30" i="78" s="1"/>
  <c r="LD20" i="78"/>
  <c r="AH28" i="80"/>
  <c r="AP11" i="78"/>
  <c r="CJ350" i="4"/>
  <c r="AO11" i="78"/>
  <c r="K27" i="78"/>
  <c r="AH17" i="78"/>
  <c r="AK17" i="78" s="1"/>
  <c r="BP17" i="78"/>
  <c r="AZ21" i="78"/>
  <c r="AZ27" i="78"/>
  <c r="AZ31" i="78" s="1"/>
  <c r="BS17" i="78"/>
  <c r="Q27" i="78"/>
  <c r="AC21" i="80"/>
  <c r="BQ28" i="78"/>
  <c r="AE383" i="4"/>
  <c r="BT390" i="4"/>
  <c r="BQ30" i="80"/>
  <c r="PP30" i="80" s="1"/>
  <c r="BM267" i="4"/>
  <c r="BM350" i="4" s="1"/>
  <c r="BM362" i="4"/>
  <c r="R17" i="80"/>
  <c r="R27" i="80" s="1"/>
  <c r="PK27" i="80" s="1"/>
  <c r="PK31" i="80" s="1"/>
  <c r="AI17" i="80"/>
  <c r="KX7" i="78"/>
  <c r="R27" i="78"/>
  <c r="BC371" i="4"/>
  <c r="BC388" i="4" s="1"/>
  <c r="BC390" i="4" s="1"/>
  <c r="BC381" i="4"/>
  <c r="BC383" i="4" s="1"/>
  <c r="LF20" i="78"/>
  <c r="LF30" i="78" s="1"/>
  <c r="LP20" i="78"/>
  <c r="BN42" i="57"/>
  <c r="BN40" i="57" s="1"/>
  <c r="BM40" i="57"/>
  <c r="BN9" i="57"/>
  <c r="BN7" i="57" s="1"/>
  <c r="BM7" i="57"/>
  <c r="AL58" i="57"/>
  <c r="DQ907" i="3"/>
  <c r="EB901" i="3"/>
  <c r="EB928" i="3" s="1"/>
  <c r="EB924" i="3"/>
  <c r="ED907" i="3"/>
  <c r="ED929" i="3" s="1"/>
  <c r="EA907" i="3"/>
  <c r="EA929" i="3" s="1"/>
  <c r="DZ907" i="3"/>
  <c r="DZ929" i="3" s="1"/>
  <c r="DS907" i="3"/>
  <c r="DS929" i="3" s="1"/>
  <c r="BG907" i="3"/>
  <c r="BG929" i="3" s="1"/>
  <c r="CO21" i="78"/>
  <c r="LG17" i="78"/>
  <c r="CU329" i="4"/>
  <c r="CU328" i="4" s="1"/>
  <c r="CT328" i="4"/>
  <c r="AV41" i="57"/>
  <c r="AV40" i="57" s="1"/>
  <c r="AV27" i="57"/>
  <c r="AV26" i="57" s="1"/>
  <c r="AV58" i="57" s="1"/>
  <c r="AO58" i="57"/>
  <c r="AR27" i="57"/>
  <c r="AR26" i="57" s="1"/>
  <c r="LH27" i="78"/>
  <c r="AR42" i="57"/>
  <c r="AR40" i="57" s="1"/>
  <c r="LI17" i="78"/>
  <c r="LI21" i="78" s="1"/>
  <c r="LH21" i="78"/>
  <c r="GY27" i="78"/>
  <c r="GY31" i="78" s="1"/>
  <c r="HP27" i="78"/>
  <c r="HP31" i="78" s="1"/>
  <c r="HP21" i="78"/>
  <c r="HZ27" i="78"/>
  <c r="HZ31" i="78" s="1"/>
  <c r="HO31" i="78"/>
  <c r="IB17" i="78"/>
  <c r="IB21" i="78" s="1"/>
  <c r="GZ31" i="78"/>
  <c r="HW27" i="78"/>
  <c r="HW31" i="78" s="1"/>
  <c r="HN21" i="78"/>
  <c r="HN27" i="78"/>
  <c r="HN31" i="78" s="1"/>
  <c r="BG932" i="3"/>
  <c r="AX443" i="3"/>
  <c r="EG913" i="3"/>
  <c r="EG930" i="3" s="1"/>
  <c r="HM11" i="80"/>
  <c r="BL922" i="3"/>
  <c r="BL925" i="3" s="1"/>
  <c r="AG923" i="3"/>
  <c r="AG925" i="3" s="1"/>
  <c r="AG901" i="3"/>
  <c r="AG928" i="3" s="1"/>
  <c r="AG932" i="3" s="1"/>
  <c r="KT30" i="78"/>
  <c r="BL932" i="3"/>
  <c r="HZ11" i="80"/>
  <c r="FF31" i="80"/>
  <c r="GC31" i="78"/>
  <c r="HE31" i="80"/>
  <c r="HJ11" i="80"/>
  <c r="AJ39" i="80" s="1"/>
  <c r="BD39" i="80" s="1"/>
  <c r="KT19" i="78"/>
  <c r="DH19" i="78"/>
  <c r="DI29" i="78"/>
  <c r="DI31" i="78" s="1"/>
  <c r="BR913" i="3"/>
  <c r="BR930" i="3" s="1"/>
  <c r="BR932" i="3" s="1"/>
  <c r="BR922" i="3"/>
  <c r="BR925" i="3" s="1"/>
  <c r="PQ30" i="80"/>
  <c r="EU19" i="80"/>
  <c r="EV29" i="80"/>
  <c r="EV31" i="80" s="1"/>
  <c r="HN9" i="80"/>
  <c r="GC11" i="80"/>
  <c r="GB11" i="80"/>
  <c r="EE833" i="3"/>
  <c r="EE900" i="3" s="1"/>
  <c r="EE924" i="3" s="1"/>
  <c r="BG922" i="3"/>
  <c r="BG925" i="3" s="1"/>
  <c r="HQ11" i="80"/>
  <c r="HP11" i="80"/>
  <c r="AV901" i="3"/>
  <c r="AV928" i="3" s="1"/>
  <c r="AV932" i="3" s="1"/>
  <c r="AV922" i="3"/>
  <c r="AV925" i="3" s="1"/>
  <c r="HT11" i="80"/>
  <c r="GF11" i="80"/>
  <c r="EL31" i="78"/>
  <c r="GY31" i="80"/>
  <c r="HR11" i="80"/>
  <c r="CU104" i="4"/>
  <c r="CU83" i="4" s="1"/>
  <c r="CT83" i="4"/>
  <c r="EH209" i="3"/>
  <c r="EG208" i="3"/>
  <c r="EG240" i="3" s="1"/>
  <c r="EI248" i="3"/>
  <c r="EI242" i="3" s="1"/>
  <c r="EI295" i="3" s="1"/>
  <c r="EI904" i="3" s="1"/>
  <c r="EH242" i="3"/>
  <c r="EH295" i="3" s="1"/>
  <c r="EH904" i="3" s="1"/>
  <c r="EH911" i="3"/>
  <c r="EH814" i="3"/>
  <c r="EI911" i="3"/>
  <c r="EI814" i="3"/>
  <c r="EC242" i="3"/>
  <c r="EC295" i="3" s="1"/>
  <c r="EE247" i="3"/>
  <c r="EG826" i="3"/>
  <c r="EF825" i="3"/>
  <c r="EG830" i="3"/>
  <c r="EF829" i="3"/>
  <c r="PG29" i="80"/>
  <c r="BH31" i="80"/>
  <c r="LL29" i="78"/>
  <c r="QB18" i="80"/>
  <c r="LU9" i="78"/>
  <c r="KY28" i="78"/>
  <c r="DJ17" i="78"/>
  <c r="DK27" i="78"/>
  <c r="DK31" i="78" s="1"/>
  <c r="DK21" i="78"/>
  <c r="CR901" i="3"/>
  <c r="CR928" i="3" s="1"/>
  <c r="CR932" i="3" s="1"/>
  <c r="CR922" i="3"/>
  <c r="CR925" i="3" s="1"/>
  <c r="CJ901" i="3"/>
  <c r="CJ928" i="3" s="1"/>
  <c r="CJ932" i="3" s="1"/>
  <c r="CJ922" i="3"/>
  <c r="CJ925" i="3" s="1"/>
  <c r="AW901" i="3"/>
  <c r="AW928" i="3" s="1"/>
  <c r="AW932" i="3" s="1"/>
  <c r="AW922" i="3"/>
  <c r="AW925" i="3" s="1"/>
  <c r="EE923" i="3"/>
  <c r="BY359" i="4"/>
  <c r="BY386" i="4" s="1"/>
  <c r="BY390" i="4" s="1"/>
  <c r="BY380" i="4"/>
  <c r="BY383" i="4" s="1"/>
  <c r="AD27" i="78"/>
  <c r="AD11" i="78"/>
  <c r="LJ7" i="78"/>
  <c r="LJ11" i="78" s="1"/>
  <c r="AD27" i="80"/>
  <c r="AD31" i="80" s="1"/>
  <c r="AD11" i="80"/>
  <c r="PW7" i="80"/>
  <c r="PW11" i="80" s="1"/>
  <c r="BB381" i="4"/>
  <c r="BB383" i="4" s="1"/>
  <c r="BB377" i="4"/>
  <c r="BB389" i="4" s="1"/>
  <c r="BB390" i="4" s="1"/>
  <c r="BN10" i="78"/>
  <c r="AN11" i="78"/>
  <c r="AN30" i="78"/>
  <c r="BA30" i="80"/>
  <c r="BA11" i="80"/>
  <c r="CA10" i="80"/>
  <c r="BD381" i="4"/>
  <c r="BD383" i="4" s="1"/>
  <c r="BD377" i="4"/>
  <c r="BD389" i="4" s="1"/>
  <c r="BD390" i="4" s="1"/>
  <c r="BC30" i="80"/>
  <c r="BC11" i="80"/>
  <c r="BV381" i="4"/>
  <c r="BV377" i="4"/>
  <c r="BV389" i="4" s="1"/>
  <c r="BH11" i="78"/>
  <c r="BH30" i="78"/>
  <c r="BH31" i="78" s="1"/>
  <c r="BU11" i="80"/>
  <c r="BU30" i="80"/>
  <c r="AP381" i="4"/>
  <c r="AP383" i="4" s="1"/>
  <c r="AP377" i="4"/>
  <c r="AP389" i="4" s="1"/>
  <c r="AP390" i="4" s="1"/>
  <c r="BQ925" i="3"/>
  <c r="BQ901" i="3"/>
  <c r="BQ928" i="3" s="1"/>
  <c r="BQ932" i="3" s="1"/>
  <c r="EN27" i="78"/>
  <c r="EN31" i="78" s="1"/>
  <c r="EM17" i="78"/>
  <c r="EN21" i="78"/>
  <c r="GN27" i="80"/>
  <c r="GN31" i="80" s="1"/>
  <c r="GM17" i="80"/>
  <c r="GM21" i="80" s="1"/>
  <c r="PE17" i="80"/>
  <c r="PE21" i="80" s="1"/>
  <c r="BY925" i="3"/>
  <c r="BY901" i="3"/>
  <c r="BY928" i="3" s="1"/>
  <c r="BY932" i="3" s="1"/>
  <c r="FH17" i="78"/>
  <c r="FF17" i="78"/>
  <c r="FG27" i="78"/>
  <c r="FL17" i="78"/>
  <c r="FG21" i="78"/>
  <c r="HG27" i="80"/>
  <c r="HF17" i="80"/>
  <c r="HH17" i="80"/>
  <c r="HG21" i="80"/>
  <c r="HL17" i="80"/>
  <c r="HL21" i="80" s="1"/>
  <c r="BQ380" i="4"/>
  <c r="BQ383" i="4" s="1"/>
  <c r="BQ359" i="4"/>
  <c r="BQ386" i="4" s="1"/>
  <c r="BQ390" i="4" s="1"/>
  <c r="BW11" i="78"/>
  <c r="PB7" i="80"/>
  <c r="CW11" i="80"/>
  <c r="BX27" i="78"/>
  <c r="BX31" i="78" s="1"/>
  <c r="BX11" i="78"/>
  <c r="JN8" i="78" s="1"/>
  <c r="CX11" i="80"/>
  <c r="NN10" i="80" s="1"/>
  <c r="CX27" i="80"/>
  <c r="CX31" i="80" s="1"/>
  <c r="PC7" i="80"/>
  <c r="BZ27" i="78"/>
  <c r="BZ31" i="78" s="1"/>
  <c r="BZ11" i="78"/>
  <c r="KR7" i="78"/>
  <c r="PE7" i="80"/>
  <c r="CZ11" i="80"/>
  <c r="CZ27" i="80"/>
  <c r="CA11" i="78"/>
  <c r="DA11" i="80"/>
  <c r="CG11" i="78"/>
  <c r="CW7" i="78"/>
  <c r="CW11" i="78" s="1"/>
  <c r="AM37" i="78" s="1"/>
  <c r="DG11" i="80"/>
  <c r="DW7" i="80"/>
  <c r="DW11" i="80" s="1"/>
  <c r="AZ37" i="80" s="1"/>
  <c r="CO27" i="78"/>
  <c r="CO31" i="78" s="1"/>
  <c r="LG7" i="78"/>
  <c r="LG11" i="78" s="1"/>
  <c r="CO11" i="78"/>
  <c r="PT7" i="80"/>
  <c r="PT11" i="80" s="1"/>
  <c r="DO11" i="80"/>
  <c r="DO27" i="80"/>
  <c r="DO31" i="80" s="1"/>
  <c r="CN17" i="78"/>
  <c r="CN21" i="78" s="1"/>
  <c r="CM21" i="78"/>
  <c r="CM27" i="78"/>
  <c r="CL17" i="78"/>
  <c r="LE17" i="78"/>
  <c r="LF17" i="78" s="1"/>
  <c r="DM27" i="80"/>
  <c r="DM31" i="80" s="1"/>
  <c r="PR17" i="80"/>
  <c r="DM21" i="80"/>
  <c r="DN17" i="80"/>
  <c r="DN21" i="80" s="1"/>
  <c r="DL17" i="80"/>
  <c r="CJ27" i="78"/>
  <c r="CJ31" i="78" s="1"/>
  <c r="CK17" i="78"/>
  <c r="CK21" i="78" s="1"/>
  <c r="CJ21" i="78"/>
  <c r="CI17" i="78"/>
  <c r="DK17" i="80"/>
  <c r="DK21" i="80" s="1"/>
  <c r="DJ21" i="80"/>
  <c r="DI17" i="80"/>
  <c r="DI27" i="80" s="1"/>
  <c r="DJ27" i="80"/>
  <c r="DJ31" i="80" s="1"/>
  <c r="CF21" i="78"/>
  <c r="CF27" i="78"/>
  <c r="CE17" i="78"/>
  <c r="KX17" i="78"/>
  <c r="KX21" i="78" s="1"/>
  <c r="PK17" i="80"/>
  <c r="PK21" i="80" s="1"/>
  <c r="DE17" i="80"/>
  <c r="DF27" i="80"/>
  <c r="DF31" i="80" s="1"/>
  <c r="DF21" i="80"/>
  <c r="CB21" i="78"/>
  <c r="CA17" i="78"/>
  <c r="CB27" i="78"/>
  <c r="KT17" i="78"/>
  <c r="KT21" i="78" s="1"/>
  <c r="DA17" i="80"/>
  <c r="DB21" i="80"/>
  <c r="DB27" i="80"/>
  <c r="BX21" i="78"/>
  <c r="BW17" i="78"/>
  <c r="BV21" i="78"/>
  <c r="BU17" i="78"/>
  <c r="BU21" i="78" s="1"/>
  <c r="BT21" i="78"/>
  <c r="CP380" i="4"/>
  <c r="CP383" i="4" s="1"/>
  <c r="CP359" i="4"/>
  <c r="CP386" i="4" s="1"/>
  <c r="CP350" i="4"/>
  <c r="CO359" i="4"/>
  <c r="CO386" i="4" s="1"/>
  <c r="CO380" i="4"/>
  <c r="CO383" i="4" s="1"/>
  <c r="HX11" i="80"/>
  <c r="QQ7" i="80"/>
  <c r="EA901" i="3"/>
  <c r="EA928" i="3" s="1"/>
  <c r="EA923" i="3"/>
  <c r="QP7" i="80"/>
  <c r="JQ11" i="80"/>
  <c r="EA925" i="3"/>
  <c r="CM381" i="4"/>
  <c r="CM359" i="4"/>
  <c r="CM386" i="4" s="1"/>
  <c r="CL350" i="4"/>
  <c r="CL359" i="4"/>
  <c r="CL386" i="4" s="1"/>
  <c r="CL380" i="4"/>
  <c r="DX901" i="3"/>
  <c r="DX928" i="3" s="1"/>
  <c r="CJ380" i="4"/>
  <c r="CJ359" i="4"/>
  <c r="CJ386" i="4" s="1"/>
  <c r="AR11" i="80"/>
  <c r="CI350" i="4"/>
  <c r="CI359" i="4"/>
  <c r="CI386" i="4" s="1"/>
  <c r="CI390" i="4" s="1"/>
  <c r="CI380" i="4"/>
  <c r="CI383" i="4" s="1"/>
  <c r="DV923" i="3"/>
  <c r="DV901" i="3"/>
  <c r="DV928" i="3" s="1"/>
  <c r="CH350" i="4"/>
  <c r="CH380" i="4"/>
  <c r="CH359" i="4"/>
  <c r="CH386" i="4" s="1"/>
  <c r="AP11" i="80"/>
  <c r="QK7" i="80"/>
  <c r="DU901" i="3"/>
  <c r="DU928" i="3" s="1"/>
  <c r="DU923" i="3"/>
  <c r="CG359" i="4"/>
  <c r="CG386" i="4" s="1"/>
  <c r="CG380" i="4"/>
  <c r="CG383" i="4" s="1"/>
  <c r="AO11" i="80"/>
  <c r="QJ7" i="80"/>
  <c r="DT923" i="3"/>
  <c r="DT901" i="3"/>
  <c r="DT928" i="3" s="1"/>
  <c r="CF380" i="4"/>
  <c r="CF359" i="4"/>
  <c r="CF386" i="4" s="1"/>
  <c r="AN11" i="80"/>
  <c r="QI7" i="80"/>
  <c r="JI11" i="80"/>
  <c r="JU7" i="80"/>
  <c r="JU45" i="80" s="1"/>
  <c r="DS922" i="3"/>
  <c r="DS901" i="3"/>
  <c r="DS928" i="3" s="1"/>
  <c r="GG7" i="80"/>
  <c r="FU11" i="80"/>
  <c r="CS7" i="80"/>
  <c r="CG11" i="80"/>
  <c r="CE350" i="4"/>
  <c r="CE359" i="4"/>
  <c r="CE386" i="4" s="1"/>
  <c r="AM11" i="80"/>
  <c r="AY7" i="80"/>
  <c r="QH7" i="80"/>
  <c r="ED919" i="3"/>
  <c r="ED931" i="3" s="1"/>
  <c r="QS10" i="80"/>
  <c r="EC919" i="3"/>
  <c r="EC931" i="3" s="1"/>
  <c r="QR10" i="80"/>
  <c r="EB919" i="3"/>
  <c r="EB931" i="3" s="1"/>
  <c r="QQ10" i="80"/>
  <c r="EA919" i="3"/>
  <c r="EA931" i="3" s="1"/>
  <c r="QP10" i="80"/>
  <c r="DZ919" i="3"/>
  <c r="DZ931" i="3" s="1"/>
  <c r="QO10" i="80"/>
  <c r="DY919" i="3"/>
  <c r="DY931" i="3" s="1"/>
  <c r="QN10" i="80"/>
  <c r="DX919" i="3"/>
  <c r="DX931" i="3" s="1"/>
  <c r="QM10" i="80"/>
  <c r="DW919" i="3"/>
  <c r="DW931" i="3" s="1"/>
  <c r="QL10" i="80"/>
  <c r="DV919" i="3"/>
  <c r="DV931" i="3" s="1"/>
  <c r="QK10" i="80"/>
  <c r="DU919" i="3"/>
  <c r="DU931" i="3" s="1"/>
  <c r="QJ10" i="80"/>
  <c r="DT919" i="3"/>
  <c r="DT931" i="3" s="1"/>
  <c r="QI10" i="80"/>
  <c r="DS925" i="3"/>
  <c r="IA10" i="80"/>
  <c r="IA48" i="80" s="1"/>
  <c r="HO11" i="80"/>
  <c r="DS919" i="3"/>
  <c r="DS931" i="3" s="1"/>
  <c r="GG10" i="80"/>
  <c r="AY10" i="80"/>
  <c r="QH10" i="80"/>
  <c r="CP371" i="4"/>
  <c r="CP388" i="4" s="1"/>
  <c r="QS9" i="80"/>
  <c r="EC913" i="3"/>
  <c r="EC930" i="3" s="1"/>
  <c r="CO371" i="4"/>
  <c r="CO388" i="4" s="1"/>
  <c r="QR9" i="80"/>
  <c r="CN381" i="4"/>
  <c r="CN383" i="4" s="1"/>
  <c r="CN371" i="4"/>
  <c r="CN388" i="4" s="1"/>
  <c r="CN390" i="4" s="1"/>
  <c r="CP11" i="80"/>
  <c r="QQ9" i="80"/>
  <c r="CM350" i="4"/>
  <c r="CM371" i="4"/>
  <c r="CM388" i="4" s="1"/>
  <c r="CM380" i="4"/>
  <c r="CM383" i="4" s="1"/>
  <c r="AU11" i="80"/>
  <c r="QP9" i="80"/>
  <c r="QO9" i="80"/>
  <c r="DY913" i="3"/>
  <c r="DY930" i="3" s="1"/>
  <c r="CK380" i="4"/>
  <c r="CK383" i="4" s="1"/>
  <c r="CK371" i="4"/>
  <c r="CK388" i="4" s="1"/>
  <c r="CK390" i="4" s="1"/>
  <c r="QN9" i="80"/>
  <c r="CJ371" i="4"/>
  <c r="CJ388" i="4" s="1"/>
  <c r="CJ381" i="4"/>
  <c r="QM9" i="80"/>
  <c r="QL9" i="80"/>
  <c r="CH371" i="4"/>
  <c r="CH388" i="4" s="1"/>
  <c r="QK9" i="80"/>
  <c r="DU913" i="3"/>
  <c r="DU930" i="3" s="1"/>
  <c r="CG371" i="4"/>
  <c r="CG388" i="4" s="1"/>
  <c r="QJ9" i="80"/>
  <c r="IA9" i="80"/>
  <c r="IA47" i="80" s="1"/>
  <c r="CF381" i="4"/>
  <c r="CF371" i="4"/>
  <c r="CF388" i="4" s="1"/>
  <c r="CH11" i="80"/>
  <c r="QI9" i="80"/>
  <c r="GG9" i="80"/>
  <c r="CS9" i="80"/>
  <c r="CE380" i="4"/>
  <c r="CE371" i="4"/>
  <c r="CE388" i="4" s="1"/>
  <c r="QH9" i="80"/>
  <c r="AY9" i="80"/>
  <c r="EB929" i="3"/>
  <c r="EB932" i="3" s="1"/>
  <c r="EB922" i="3"/>
  <c r="EB925" i="3" s="1"/>
  <c r="GD11" i="80"/>
  <c r="QQ8" i="80"/>
  <c r="EA932" i="3"/>
  <c r="DY922" i="3"/>
  <c r="DY929" i="3"/>
  <c r="GA11" i="80"/>
  <c r="QN8" i="80"/>
  <c r="DX929" i="3"/>
  <c r="DX922" i="3"/>
  <c r="DX925" i="3" s="1"/>
  <c r="FZ11" i="80"/>
  <c r="QM8" i="80"/>
  <c r="DW929" i="3"/>
  <c r="DW922" i="3"/>
  <c r="FY11" i="80"/>
  <c r="QL8" i="80"/>
  <c r="DV929" i="3"/>
  <c r="DV922" i="3"/>
  <c r="DV925" i="3" s="1"/>
  <c r="FX11" i="80"/>
  <c r="QK8" i="80"/>
  <c r="DU929" i="3"/>
  <c r="DU922" i="3"/>
  <c r="FW11" i="80"/>
  <c r="QJ8" i="80"/>
  <c r="DT929" i="3"/>
  <c r="DT922" i="3"/>
  <c r="DT925" i="3" s="1"/>
  <c r="FV11" i="80"/>
  <c r="QI8" i="80"/>
  <c r="QH8" i="80"/>
  <c r="HB11" i="80"/>
  <c r="HB27" i="80"/>
  <c r="AG27" i="78"/>
  <c r="BN21" i="78"/>
  <c r="BR19" i="78"/>
  <c r="BK21" i="78"/>
  <c r="BK29" i="78"/>
  <c r="LJ19" i="78"/>
  <c r="FS8" i="80"/>
  <c r="HK29" i="80"/>
  <c r="GS31" i="80"/>
  <c r="HX27" i="78"/>
  <c r="HA31" i="78"/>
  <c r="PM28" i="80"/>
  <c r="T31" i="80"/>
  <c r="FP28" i="80"/>
  <c r="FS28" i="80" s="1"/>
  <c r="CS27" i="78"/>
  <c r="CS21" i="78"/>
  <c r="CR17" i="78"/>
  <c r="CX17" i="78"/>
  <c r="CX21" i="78" s="1"/>
  <c r="CT17" i="78"/>
  <c r="CT21" i="78" s="1"/>
  <c r="LK17" i="78"/>
  <c r="AL18" i="80"/>
  <c r="H31" i="80"/>
  <c r="CD21" i="80"/>
  <c r="CE17" i="80"/>
  <c r="DI11" i="80"/>
  <c r="PN7" i="80"/>
  <c r="PN11" i="80" s="1"/>
  <c r="LC17" i="78"/>
  <c r="LC21" i="78" s="1"/>
  <c r="LB21" i="78"/>
  <c r="EW30" i="80"/>
  <c r="FT30" i="80" s="1"/>
  <c r="PH20" i="80"/>
  <c r="FP20" i="80"/>
  <c r="FS20" i="80" s="1"/>
  <c r="L31" i="78"/>
  <c r="FI30" i="78"/>
  <c r="FM30" i="78" s="1"/>
  <c r="AQ31" i="78"/>
  <c r="BN29" i="78"/>
  <c r="BM29" i="78"/>
  <c r="FO29" i="80"/>
  <c r="HK21" i="80"/>
  <c r="HM19" i="80"/>
  <c r="FI11" i="78"/>
  <c r="DT17" i="80"/>
  <c r="DT21" i="80" s="1"/>
  <c r="DS27" i="80"/>
  <c r="DR17" i="80"/>
  <c r="DS21" i="80"/>
  <c r="PX17" i="80"/>
  <c r="DX17" i="80"/>
  <c r="DX21" i="80" s="1"/>
  <c r="PZ18" i="80"/>
  <c r="BN922" i="3"/>
  <c r="BN925" i="3" s="1"/>
  <c r="BN901" i="3"/>
  <c r="BN928" i="3" s="1"/>
  <c r="BN932" i="3" s="1"/>
  <c r="BV17" i="80"/>
  <c r="BU21" i="80"/>
  <c r="BU27" i="80"/>
  <c r="PT17" i="80"/>
  <c r="CW21" i="80"/>
  <c r="CW27" i="80"/>
  <c r="LO8" i="78"/>
  <c r="FI27" i="80"/>
  <c r="FI31" i="80" s="1"/>
  <c r="FI21" i="80"/>
  <c r="H31" i="78"/>
  <c r="FO30" i="80"/>
  <c r="DQ442" i="3"/>
  <c r="DQ443" i="3" s="1"/>
  <c r="BH359" i="4"/>
  <c r="BH386" i="4" s="1"/>
  <c r="BH390" i="4" s="1"/>
  <c r="BH380" i="4"/>
  <c r="BH383" i="4" s="1"/>
  <c r="ES31" i="80"/>
  <c r="KV29" i="78"/>
  <c r="P31" i="78"/>
  <c r="AK10" i="80"/>
  <c r="EX31" i="78"/>
  <c r="FK27" i="78"/>
  <c r="FK31" i="78" s="1"/>
  <c r="CY11" i="80"/>
  <c r="DV7" i="80"/>
  <c r="DV11" i="80" s="1"/>
  <c r="AJ37" i="80" s="1"/>
  <c r="CY27" i="80"/>
  <c r="PD7" i="80"/>
  <c r="PO28" i="80"/>
  <c r="QB28" i="80" s="1"/>
  <c r="HE11" i="80"/>
  <c r="OK27" i="80"/>
  <c r="T28" i="78"/>
  <c r="KZ8" i="78"/>
  <c r="T11" i="78"/>
  <c r="PG21" i="80"/>
  <c r="X31" i="78"/>
  <c r="LD28" i="78"/>
  <c r="BZ21" i="80"/>
  <c r="BZ29" i="80"/>
  <c r="ED17" i="78"/>
  <c r="ED21" i="78" s="1"/>
  <c r="DN21" i="78"/>
  <c r="DN27" i="78"/>
  <c r="FK27" i="80"/>
  <c r="DJ648" i="3"/>
  <c r="DG642" i="3"/>
  <c r="DG655" i="3" s="1"/>
  <c r="AC27" i="78"/>
  <c r="AM371" i="4"/>
  <c r="AM388" i="4" s="1"/>
  <c r="AM390" i="4" s="1"/>
  <c r="AM381" i="4"/>
  <c r="AM383" i="4" s="1"/>
  <c r="BD31" i="80"/>
  <c r="LA28" i="80"/>
  <c r="KW31" i="80"/>
  <c r="EZ29" i="78"/>
  <c r="EZ21" i="78"/>
  <c r="LD19" i="78"/>
  <c r="FM11" i="78"/>
  <c r="GR27" i="78"/>
  <c r="EN21" i="80"/>
  <c r="EN27" i="80"/>
  <c r="OY17" i="80"/>
  <c r="CF17" i="80"/>
  <c r="BW21" i="80"/>
  <c r="DY925" i="3"/>
  <c r="DY901" i="3"/>
  <c r="DY928" i="3" s="1"/>
  <c r="DY932" i="3" s="1"/>
  <c r="R11" i="78"/>
  <c r="KX8" i="78"/>
  <c r="R28" i="78"/>
  <c r="M27" i="78"/>
  <c r="KS7" i="78"/>
  <c r="M11" i="78"/>
  <c r="AH7" i="78"/>
  <c r="AH28" i="78"/>
  <c r="U30" i="80"/>
  <c r="PN30" i="80" s="1"/>
  <c r="PN20" i="80"/>
  <c r="V20" i="80"/>
  <c r="V30" i="80" s="1"/>
  <c r="PO30" i="80" s="1"/>
  <c r="DP284" i="3"/>
  <c r="DM282" i="3"/>
  <c r="S31" i="78"/>
  <c r="GB29" i="78"/>
  <c r="GR19" i="78"/>
  <c r="GT19" i="78" s="1"/>
  <c r="GU19" i="78"/>
  <c r="KY19" i="78"/>
  <c r="BV27" i="78"/>
  <c r="BV11" i="78"/>
  <c r="JL10" i="78" s="1"/>
  <c r="KN7" i="78"/>
  <c r="HM28" i="80"/>
  <c r="QU8" i="80"/>
  <c r="FC21" i="80"/>
  <c r="FC27" i="80"/>
  <c r="FC31" i="80" s="1"/>
  <c r="PW19" i="80"/>
  <c r="BX21" i="80"/>
  <c r="BX29" i="80"/>
  <c r="BY19" i="80"/>
  <c r="LC30" i="78"/>
  <c r="LI9" i="78"/>
  <c r="LI29" i="78" s="1"/>
  <c r="BX359" i="4"/>
  <c r="BX386" i="4" s="1"/>
  <c r="EC901" i="3"/>
  <c r="EC928" i="3" s="1"/>
  <c r="DW925" i="3"/>
  <c r="DW901" i="3"/>
  <c r="DW928" i="3" s="1"/>
  <c r="DW932" i="3" s="1"/>
  <c r="CB381" i="4"/>
  <c r="CB359" i="4"/>
  <c r="CB386" i="4" s="1"/>
  <c r="BM27" i="78"/>
  <c r="BS19" i="78"/>
  <c r="AP29" i="78"/>
  <c r="AP31" i="78" s="1"/>
  <c r="AP21" i="78"/>
  <c r="FM19" i="78"/>
  <c r="FL21" i="78"/>
  <c r="FB11" i="78"/>
  <c r="FB27" i="78"/>
  <c r="DB929" i="3"/>
  <c r="DB932" i="3" s="1"/>
  <c r="DB922" i="3"/>
  <c r="DB925" i="3" s="1"/>
  <c r="BS7" i="78"/>
  <c r="CV929" i="3"/>
  <c r="CV932" i="3" s="1"/>
  <c r="CV922" i="3"/>
  <c r="CV925" i="3" s="1"/>
  <c r="CD27" i="78"/>
  <c r="CD21" i="78"/>
  <c r="CC17" i="78"/>
  <c r="CC27" i="78" s="1"/>
  <c r="KV17" i="78"/>
  <c r="KV21" i="78" s="1"/>
  <c r="DA21" i="78"/>
  <c r="DA27" i="78"/>
  <c r="KL17" i="78"/>
  <c r="JC11" i="80"/>
  <c r="JG7" i="80"/>
  <c r="JG11" i="80" s="1"/>
  <c r="HU11" i="80"/>
  <c r="HI27" i="78"/>
  <c r="IB7" i="78"/>
  <c r="IB11" i="78" s="1"/>
  <c r="HI11" i="78"/>
  <c r="HY7" i="78"/>
  <c r="FR27" i="80"/>
  <c r="FR31" i="80" s="1"/>
  <c r="FJ31" i="80"/>
  <c r="G29" i="78"/>
  <c r="AG19" i="78"/>
  <c r="KM19" i="78"/>
  <c r="G21" i="78"/>
  <c r="EG905" i="3"/>
  <c r="EG907" i="3" s="1"/>
  <c r="EG814" i="3"/>
  <c r="DV31" i="78"/>
  <c r="AH7" i="80"/>
  <c r="PF7" i="80"/>
  <c r="M27" i="80"/>
  <c r="AL7" i="80"/>
  <c r="M11" i="80"/>
  <c r="DR901" i="3"/>
  <c r="DR928" i="3" s="1"/>
  <c r="EW21" i="78"/>
  <c r="EW27" i="78"/>
  <c r="EW31" i="78" s="1"/>
  <c r="N31" i="78"/>
  <c r="LK8" i="78"/>
  <c r="AE11" i="78"/>
  <c r="AE28" i="78"/>
  <c r="PT28" i="80"/>
  <c r="PQ28" i="80"/>
  <c r="X31" i="80"/>
  <c r="CD901" i="3"/>
  <c r="CD928" i="3" s="1"/>
  <c r="CD932" i="3" s="1"/>
  <c r="CD922" i="3"/>
  <c r="CD925" i="3" s="1"/>
  <c r="DM295" i="3"/>
  <c r="CV27" i="80"/>
  <c r="CV11" i="80"/>
  <c r="PA7" i="80"/>
  <c r="EU21" i="80"/>
  <c r="EU27" i="80"/>
  <c r="BD8" i="78"/>
  <c r="BQ8" i="80"/>
  <c r="BR336" i="4"/>
  <c r="BR363" i="4"/>
  <c r="AC27" i="80"/>
  <c r="DI901" i="3"/>
  <c r="DI928" i="3" s="1"/>
  <c r="DI932" i="3" s="1"/>
  <c r="DI922" i="3"/>
  <c r="DI925" i="3" s="1"/>
  <c r="DD922" i="3"/>
  <c r="DP27" i="78"/>
  <c r="DP31" i="78" s="1"/>
  <c r="DP21" i="78"/>
  <c r="K30" i="78"/>
  <c r="KQ20" i="78"/>
  <c r="AH20" i="78"/>
  <c r="AL20" i="78"/>
  <c r="EC20" i="78"/>
  <c r="EF20" i="78" s="1"/>
  <c r="DH30" i="78"/>
  <c r="EC30" i="78" s="1"/>
  <c r="EW21" i="80"/>
  <c r="EW27" i="80"/>
  <c r="EW31" i="80" s="1"/>
  <c r="GG31" i="78"/>
  <c r="CZ922" i="3"/>
  <c r="CZ925" i="3" s="1"/>
  <c r="CZ929" i="3"/>
  <c r="CZ932" i="3" s="1"/>
  <c r="EY31" i="80"/>
  <c r="FQ29" i="80"/>
  <c r="FO11" i="80"/>
  <c r="AI38" i="80" s="1"/>
  <c r="BE38" i="80" s="1"/>
  <c r="QU9" i="80"/>
  <c r="FQ27" i="80"/>
  <c r="FA31" i="80"/>
  <c r="DH21" i="78"/>
  <c r="KY29" i="78"/>
  <c r="DC17" i="80"/>
  <c r="DC27" i="80" s="1"/>
  <c r="DD27" i="80"/>
  <c r="DD21" i="80"/>
  <c r="PI17" i="80"/>
  <c r="PI21" i="80" s="1"/>
  <c r="JL8" i="78"/>
  <c r="KX31" i="80"/>
  <c r="CC11" i="78"/>
  <c r="KU7" i="78"/>
  <c r="QS7" i="80"/>
  <c r="KI11" i="80"/>
  <c r="KI27" i="80"/>
  <c r="KY7" i="80"/>
  <c r="LB7" i="80"/>
  <c r="LB11" i="80" s="1"/>
  <c r="EF905" i="3"/>
  <c r="EF814" i="3"/>
  <c r="PL7" i="80"/>
  <c r="HJ29" i="80"/>
  <c r="HN29" i="80"/>
  <c r="LN18" i="78"/>
  <c r="GQ27" i="78"/>
  <c r="FX31" i="78"/>
  <c r="DF31" i="78"/>
  <c r="AD21" i="78"/>
  <c r="AD28" i="78"/>
  <c r="LJ18" i="78"/>
  <c r="FC31" i="78"/>
  <c r="LG29" i="78"/>
  <c r="AC383" i="4"/>
  <c r="DG31" i="78"/>
  <c r="CE922" i="3"/>
  <c r="CE925" i="3" s="1"/>
  <c r="CE901" i="3"/>
  <c r="CE928" i="3" s="1"/>
  <c r="CE932" i="3" s="1"/>
  <c r="HY11" i="80"/>
  <c r="QR7" i="80"/>
  <c r="BT27" i="78"/>
  <c r="BT11" i="78"/>
  <c r="CU7" i="78"/>
  <c r="LU7" i="78" s="1"/>
  <c r="KL7" i="78"/>
  <c r="HS11" i="80"/>
  <c r="IA7" i="80"/>
  <c r="AR35" i="78"/>
  <c r="FI29" i="78"/>
  <c r="PU28" i="80"/>
  <c r="M30" i="78"/>
  <c r="KS20" i="78"/>
  <c r="BL29" i="78"/>
  <c r="LK9" i="78"/>
  <c r="LP9" i="78" s="1"/>
  <c r="BL11" i="78"/>
  <c r="BQ9" i="78"/>
  <c r="PX7" i="80"/>
  <c r="BZ27" i="80"/>
  <c r="FL29" i="78"/>
  <c r="LE29" i="78"/>
  <c r="CB28" i="80"/>
  <c r="DJ901" i="3"/>
  <c r="DJ928" i="3" s="1"/>
  <c r="FA31" i="78"/>
  <c r="O21" i="80"/>
  <c r="PH18" i="80"/>
  <c r="QE18" i="80" s="1"/>
  <c r="KX21" i="80"/>
  <c r="LA17" i="80"/>
  <c r="LA21" i="80" s="1"/>
  <c r="GR11" i="78"/>
  <c r="AM40" i="78" s="1"/>
  <c r="AQ40" i="78" s="1"/>
  <c r="CD33" i="80"/>
  <c r="BB36" i="80"/>
  <c r="FA21" i="80"/>
  <c r="FQ17" i="80"/>
  <c r="FQ21" i="80" s="1"/>
  <c r="FB29" i="78"/>
  <c r="FN29" i="78" s="1"/>
  <c r="FN19" i="78"/>
  <c r="EX31" i="80"/>
  <c r="GJ31" i="78"/>
  <c r="LG27" i="78"/>
  <c r="BN11" i="78"/>
  <c r="AI36" i="78" s="1"/>
  <c r="AR36" i="78" s="1"/>
  <c r="P31" i="80"/>
  <c r="PI28" i="80"/>
  <c r="FO31" i="78"/>
  <c r="GP27" i="78"/>
  <c r="GU27" i="78"/>
  <c r="EB29" i="78"/>
  <c r="BU11" i="78"/>
  <c r="JK8" i="78" s="1"/>
  <c r="PV17" i="80"/>
  <c r="PV21" i="80" s="1"/>
  <c r="PU21" i="80"/>
  <c r="IB31" i="80"/>
  <c r="JC27" i="80"/>
  <c r="JH27" i="80"/>
  <c r="FJ29" i="78"/>
  <c r="DC11" i="80"/>
  <c r="NS8" i="80" s="1"/>
  <c r="PH7" i="80"/>
  <c r="PH19" i="80"/>
  <c r="AH19" i="80"/>
  <c r="O29" i="80"/>
  <c r="LB10" i="78"/>
  <c r="LO10" i="78" s="1"/>
  <c r="V30" i="78"/>
  <c r="AI10" i="78"/>
  <c r="V11" i="78"/>
  <c r="CF27" i="80"/>
  <c r="GH31" i="80"/>
  <c r="HI30" i="80"/>
  <c r="EG20" i="78"/>
  <c r="FE31" i="78"/>
  <c r="GB21" i="78"/>
  <c r="GR17" i="78"/>
  <c r="GU17" i="78"/>
  <c r="GU21" i="78" s="1"/>
  <c r="R30" i="78"/>
  <c r="KX30" i="78" s="1"/>
  <c r="KX10" i="78"/>
  <c r="EY27" i="78"/>
  <c r="EY31" i="78" s="1"/>
  <c r="QC9" i="80"/>
  <c r="GQ28" i="78"/>
  <c r="GT28" i="78" s="1"/>
  <c r="FT31" i="78"/>
  <c r="FR31" i="78"/>
  <c r="AC390" i="4"/>
  <c r="AA31" i="78"/>
  <c r="LG28" i="78"/>
  <c r="AK17" i="80"/>
  <c r="BU293" i="4"/>
  <c r="BX292" i="4"/>
  <c r="BO20" i="78"/>
  <c r="AR30" i="78"/>
  <c r="BS20" i="78"/>
  <c r="AR21" i="78"/>
  <c r="CU21" i="80"/>
  <c r="DU17" i="80"/>
  <c r="DU7" i="80"/>
  <c r="CT27" i="80"/>
  <c r="CT11" i="80"/>
  <c r="OY7" i="80"/>
  <c r="K30" i="80"/>
  <c r="AH20" i="80"/>
  <c r="PD20" i="80"/>
  <c r="AL20" i="80"/>
  <c r="HX21" i="78"/>
  <c r="IA17" i="78"/>
  <c r="IA21" i="78" s="1"/>
  <c r="BC29" i="80"/>
  <c r="BC21" i="80"/>
  <c r="CF19" i="80"/>
  <c r="CX929" i="3"/>
  <c r="CX932" i="3" s="1"/>
  <c r="CX922" i="3"/>
  <c r="CX925" i="3" s="1"/>
  <c r="EB11" i="78"/>
  <c r="AI38" i="78" s="1"/>
  <c r="AR38" i="78" s="1"/>
  <c r="EF8" i="78"/>
  <c r="CU11" i="80"/>
  <c r="CU27" i="80"/>
  <c r="OZ7" i="80"/>
  <c r="CR359" i="4"/>
  <c r="CR386" i="4" s="1"/>
  <c r="CR380" i="4"/>
  <c r="QU18" i="80"/>
  <c r="AK18" i="80"/>
  <c r="BV31" i="80"/>
  <c r="PU27" i="80"/>
  <c r="PU31" i="80" s="1"/>
  <c r="DK7" i="80"/>
  <c r="CK7" i="78"/>
  <c r="DZ925" i="3"/>
  <c r="DZ901" i="3"/>
  <c r="DZ928" i="3" s="1"/>
  <c r="DZ932" i="3" s="1"/>
  <c r="LU18" i="78"/>
  <c r="AG21" i="78"/>
  <c r="AI27" i="80"/>
  <c r="S31" i="80"/>
  <c r="BP28" i="78"/>
  <c r="LB28" i="78"/>
  <c r="LM20" i="78"/>
  <c r="CW922" i="3"/>
  <c r="CW925" i="3" s="1"/>
  <c r="CW913" i="3"/>
  <c r="CW930" i="3" s="1"/>
  <c r="CW932" i="3" s="1"/>
  <c r="EF7" i="78"/>
  <c r="LP8" i="78"/>
  <c r="LL18" i="78"/>
  <c r="LP18" i="78"/>
  <c r="J31" i="78"/>
  <c r="AI20" i="78"/>
  <c r="Q30" i="78"/>
  <c r="KW20" i="78"/>
  <c r="LO20" i="78" s="1"/>
  <c r="PS30" i="80"/>
  <c r="CH27" i="78"/>
  <c r="CH21" i="78"/>
  <c r="CG17" i="78"/>
  <c r="KZ17" i="78"/>
  <c r="KZ21" i="78" s="1"/>
  <c r="KR21" i="78"/>
  <c r="BK359" i="4"/>
  <c r="BK386" i="4" s="1"/>
  <c r="BK390" i="4" s="1"/>
  <c r="BK381" i="4"/>
  <c r="BK383" i="4" s="1"/>
  <c r="HI21" i="80"/>
  <c r="BE35" i="80"/>
  <c r="BG29" i="80"/>
  <c r="PF19" i="80"/>
  <c r="CB19" i="80"/>
  <c r="O31" i="80"/>
  <c r="FQ11" i="80"/>
  <c r="AZ38" i="80" s="1"/>
  <c r="FS7" i="80"/>
  <c r="PK28" i="80"/>
  <c r="PF20" i="80"/>
  <c r="M30" i="80"/>
  <c r="DU8" i="78"/>
  <c r="FH8" i="80"/>
  <c r="DJ442" i="3"/>
  <c r="DJ904" i="3"/>
  <c r="GP11" i="78"/>
  <c r="GT7" i="78"/>
  <c r="GT11" i="78" s="1"/>
  <c r="EB28" i="78"/>
  <c r="EF28" i="78" s="1"/>
  <c r="F31" i="78"/>
  <c r="AG28" i="78"/>
  <c r="G29" i="80"/>
  <c r="OZ19" i="80"/>
  <c r="AG19" i="80"/>
  <c r="G21" i="80"/>
  <c r="CF7" i="80"/>
  <c r="CI27" i="78"/>
  <c r="LA7" i="78"/>
  <c r="LA11" i="78" s="1"/>
  <c r="CI11" i="78"/>
  <c r="ER17" i="80"/>
  <c r="DE17" i="78"/>
  <c r="BP898" i="3"/>
  <c r="BP442" i="3"/>
  <c r="LA20" i="78"/>
  <c r="U30" i="78"/>
  <c r="LA30" i="78" s="1"/>
  <c r="U21" i="78"/>
  <c r="DQ929" i="3"/>
  <c r="DQ932" i="3" s="1"/>
  <c r="K21" i="80"/>
  <c r="O29" i="78"/>
  <c r="AH19" i="78"/>
  <c r="AH21" i="78" s="1"/>
  <c r="KU19" i="78"/>
  <c r="O21" i="78"/>
  <c r="PB19" i="80"/>
  <c r="I29" i="80"/>
  <c r="EB30" i="78"/>
  <c r="EC9" i="78"/>
  <c r="DH11" i="78"/>
  <c r="DH29" i="78"/>
  <c r="HN7" i="80"/>
  <c r="HN11" i="80" s="1"/>
  <c r="AJ8" i="78"/>
  <c r="AJ11" i="78" s="1"/>
  <c r="AO35" i="78" s="1"/>
  <c r="PN28" i="80"/>
  <c r="FN7" i="78"/>
  <c r="FN11" i="78" s="1"/>
  <c r="JD31" i="80"/>
  <c r="DQ922" i="3"/>
  <c r="DQ925" i="3" s="1"/>
  <c r="DG17" i="80"/>
  <c r="DH21" i="80"/>
  <c r="DH27" i="80"/>
  <c r="DH31" i="80" s="1"/>
  <c r="PM17" i="80"/>
  <c r="PM21" i="80" s="1"/>
  <c r="AG28" i="80"/>
  <c r="PP17" i="80"/>
  <c r="PY19" i="80"/>
  <c r="PY29" i="80" s="1"/>
  <c r="QC19" i="80"/>
  <c r="KQ17" i="78"/>
  <c r="EC17" i="78"/>
  <c r="DF21" i="78"/>
  <c r="HK31" i="80"/>
  <c r="MQ31" i="80"/>
  <c r="MU27" i="80"/>
  <c r="MU31" i="80" s="1"/>
  <c r="GM30" i="80"/>
  <c r="HJ30" i="80" s="1"/>
  <c r="HJ20" i="80"/>
  <c r="EI10" i="3"/>
  <c r="EH10" i="3"/>
  <c r="DR21" i="78"/>
  <c r="DR27" i="78"/>
  <c r="DP634" i="3"/>
  <c r="DP628" i="3" s="1"/>
  <c r="DM628" i="3"/>
  <c r="DQ31" i="78"/>
  <c r="LF19" i="78"/>
  <c r="LP19" i="78"/>
  <c r="FN17" i="78"/>
  <c r="EK27" i="78"/>
  <c r="EK21" i="78"/>
  <c r="GP29" i="78"/>
  <c r="GU29" i="78"/>
  <c r="PZ20" i="80"/>
  <c r="FI27" i="78"/>
  <c r="BR8" i="78"/>
  <c r="ED901" i="3"/>
  <c r="ED928" i="3" s="1"/>
  <c r="ED932" i="3" s="1"/>
  <c r="ED925" i="3"/>
  <c r="Q28" i="78"/>
  <c r="AI18" i="78"/>
  <c r="KW18" i="78"/>
  <c r="BO898" i="3"/>
  <c r="DC17" i="78"/>
  <c r="EP17" i="80"/>
  <c r="BO442" i="3"/>
  <c r="W30" i="78"/>
  <c r="JE27" i="80"/>
  <c r="JE31" i="80" s="1"/>
  <c r="IO31" i="80"/>
  <c r="FP17" i="80"/>
  <c r="BI29" i="80"/>
  <c r="BI31" i="80" s="1"/>
  <c r="BI21" i="80"/>
  <c r="FP9" i="80"/>
  <c r="FP11" i="80" s="1"/>
  <c r="AJ38" i="80" s="1"/>
  <c r="BD38" i="80" s="1"/>
  <c r="EU11" i="80"/>
  <c r="NQ9" i="80" s="1"/>
  <c r="NQ29" i="80" s="1"/>
  <c r="EU29" i="80"/>
  <c r="FP29" i="80" s="1"/>
  <c r="KY7" i="78"/>
  <c r="JG21" i="80"/>
  <c r="BY27" i="78"/>
  <c r="BY11" i="78"/>
  <c r="KQ7" i="78"/>
  <c r="CV7" i="78"/>
  <c r="CV11" i="78" s="1"/>
  <c r="AJ37" i="78" s="1"/>
  <c r="Y31" i="78"/>
  <c r="AJ28" i="78"/>
  <c r="LE28" i="78"/>
  <c r="U21" i="80"/>
  <c r="I29" i="78"/>
  <c r="KO19" i="78"/>
  <c r="I21" i="78"/>
  <c r="FE8" i="80"/>
  <c r="DG904" i="3"/>
  <c r="DG442" i="3"/>
  <c r="DR8" i="78"/>
  <c r="CE18" i="80"/>
  <c r="GI31" i="80"/>
  <c r="S21" i="78"/>
  <c r="KY18" i="78"/>
  <c r="Q30" i="80"/>
  <c r="R20" i="80"/>
  <c r="R30" i="80" s="1"/>
  <c r="PK30" i="80" s="1"/>
  <c r="PJ20" i="80"/>
  <c r="AI20" i="80"/>
  <c r="DD905" i="3"/>
  <c r="DD814" i="3"/>
  <c r="FV31" i="78"/>
  <c r="GQ30" i="78"/>
  <c r="GT30" i="78" s="1"/>
  <c r="JY31" i="80"/>
  <c r="DP282" i="3" l="1"/>
  <c r="DP295" i="3" s="1"/>
  <c r="DR284" i="3"/>
  <c r="DR282" i="3" s="1"/>
  <c r="QC20" i="80"/>
  <c r="IA11" i="80"/>
  <c r="IA49" i="80" s="1"/>
  <c r="IA45" i="80"/>
  <c r="JM8" i="78"/>
  <c r="BD29" i="78"/>
  <c r="BD21" i="78"/>
  <c r="CR371" i="4"/>
  <c r="CR388" i="4" s="1"/>
  <c r="CR390" i="4" s="1"/>
  <c r="CR381" i="4"/>
  <c r="LE11" i="78"/>
  <c r="AR7" i="57"/>
  <c r="AU8" i="57"/>
  <c r="AU7" i="57" s="1"/>
  <c r="AW8" i="57"/>
  <c r="AW7" i="57" s="1"/>
  <c r="AR27" i="78"/>
  <c r="BO27" i="78" s="1"/>
  <c r="BO17" i="78"/>
  <c r="PL30" i="80"/>
  <c r="CC30" i="80"/>
  <c r="CJ383" i="4"/>
  <c r="CU297" i="4"/>
  <c r="CU295" i="4" s="1"/>
  <c r="CU308" i="4" s="1"/>
  <c r="CU369" i="4" s="1"/>
  <c r="CU371" i="4" s="1"/>
  <c r="CU388" i="4" s="1"/>
  <c r="CT295" i="4"/>
  <c r="CT308" i="4" s="1"/>
  <c r="CT369" i="4" s="1"/>
  <c r="CT371" i="4" s="1"/>
  <c r="CT388" i="4" s="1"/>
  <c r="CU327" i="4"/>
  <c r="CU310" i="4" s="1"/>
  <c r="CU334" i="4" s="1"/>
  <c r="CT310" i="4"/>
  <c r="CT334" i="4" s="1"/>
  <c r="CL383" i="4"/>
  <c r="BO29" i="80"/>
  <c r="BO31" i="80" s="1"/>
  <c r="BO21" i="80"/>
  <c r="PN19" i="80"/>
  <c r="KW19" i="78"/>
  <c r="AI19" i="78"/>
  <c r="Q29" i="78"/>
  <c r="KZ11" i="78"/>
  <c r="AL19" i="80"/>
  <c r="AL21" i="80" s="1"/>
  <c r="JM10" i="78"/>
  <c r="CL390" i="4"/>
  <c r="LB7" i="78"/>
  <c r="V27" i="78"/>
  <c r="LB27" i="78" s="1"/>
  <c r="AI7" i="78"/>
  <c r="AK7" i="78" s="1"/>
  <c r="BS27" i="78"/>
  <c r="BF31" i="78"/>
  <c r="PO29" i="80"/>
  <c r="LP10" i="78"/>
  <c r="BM31" i="80"/>
  <c r="LA19" i="78"/>
  <c r="AC21" i="78"/>
  <c r="BC29" i="78"/>
  <c r="BP9" i="78"/>
  <c r="BP11" i="78" s="1"/>
  <c r="AM36" i="78" s="1"/>
  <c r="BC11" i="78"/>
  <c r="CB27" i="80"/>
  <c r="BE31" i="80"/>
  <c r="CS336" i="4"/>
  <c r="BB21" i="78"/>
  <c r="AB20" i="80"/>
  <c r="AB30" i="80" s="1"/>
  <c r="AA30" i="80"/>
  <c r="AA31" i="80" s="1"/>
  <c r="PT20" i="80"/>
  <c r="PT21" i="80" s="1"/>
  <c r="AA21" i="80"/>
  <c r="LO19" i="78"/>
  <c r="R19" i="80"/>
  <c r="R29" i="80" s="1"/>
  <c r="PK29" i="80" s="1"/>
  <c r="AI19" i="80"/>
  <c r="AI21" i="80" s="1"/>
  <c r="PJ19" i="80"/>
  <c r="QB19" i="80" s="1"/>
  <c r="Q29" i="80"/>
  <c r="PJ29" i="80" s="1"/>
  <c r="W21" i="78"/>
  <c r="PO21" i="80"/>
  <c r="AI27" i="78"/>
  <c r="AL17" i="78"/>
  <c r="BQ21" i="80"/>
  <c r="QB20" i="80"/>
  <c r="PP21" i="80"/>
  <c r="CR383" i="4"/>
  <c r="AL19" i="78"/>
  <c r="LG21" i="78"/>
  <c r="BB31" i="78"/>
  <c r="LB9" i="78"/>
  <c r="LO9" i="78" s="1"/>
  <c r="R29" i="78"/>
  <c r="KX29" i="78" s="1"/>
  <c r="KX9" i="78"/>
  <c r="AM31" i="78"/>
  <c r="CS267" i="4"/>
  <c r="CS350" i="4" s="1"/>
  <c r="CS352" i="4" s="1"/>
  <c r="CS356" i="4"/>
  <c r="CC27" i="80"/>
  <c r="BK31" i="80"/>
  <c r="AK10" i="78"/>
  <c r="CC11" i="80"/>
  <c r="AZ36" i="80" s="1"/>
  <c r="CE7" i="80"/>
  <c r="BI31" i="78"/>
  <c r="BQ30" i="78"/>
  <c r="LH30" i="78"/>
  <c r="LH31" i="78" s="1"/>
  <c r="BM380" i="4"/>
  <c r="BM383" i="4" s="1"/>
  <c r="BM365" i="4"/>
  <c r="BM387" i="4" s="1"/>
  <c r="BM390" i="4" s="1"/>
  <c r="LP7" i="78"/>
  <c r="LP11" i="78" s="1"/>
  <c r="LH11" i="78"/>
  <c r="CU81" i="4"/>
  <c r="CU72" i="4" s="1"/>
  <c r="CT72" i="4"/>
  <c r="PX30" i="80"/>
  <c r="AE31" i="80"/>
  <c r="AI29" i="80"/>
  <c r="U31" i="80"/>
  <c r="QA19" i="80"/>
  <c r="CH383" i="4"/>
  <c r="BV390" i="4"/>
  <c r="AJ27" i="78"/>
  <c r="AB31" i="78"/>
  <c r="BP27" i="78"/>
  <c r="BR27" i="78" s="1"/>
  <c r="AX31" i="78"/>
  <c r="LG30" i="78"/>
  <c r="LG31" i="78" s="1"/>
  <c r="NM9" i="80"/>
  <c r="PB9" i="80" s="1"/>
  <c r="BV383" i="4"/>
  <c r="BO362" i="4"/>
  <c r="BO267" i="4"/>
  <c r="BO350" i="4" s="1"/>
  <c r="CE383" i="4"/>
  <c r="JM9" i="78"/>
  <c r="KO9" i="78" s="1"/>
  <c r="BR17" i="78"/>
  <c r="BP21" i="78"/>
  <c r="CU13" i="4"/>
  <c r="CU7" i="4" s="1"/>
  <c r="CU119" i="4" s="1"/>
  <c r="CT7" i="4"/>
  <c r="CT119" i="4" s="1"/>
  <c r="CT356" i="4" s="1"/>
  <c r="AJ30" i="78"/>
  <c r="AJ31" i="78" s="1"/>
  <c r="LE30" i="78"/>
  <c r="BR121" i="4"/>
  <c r="BR169" i="4" s="1"/>
  <c r="BU127" i="4"/>
  <c r="AZ44" i="80"/>
  <c r="AT58" i="57"/>
  <c r="DD923" i="3"/>
  <c r="DD907" i="3"/>
  <c r="EH907" i="3"/>
  <c r="EH929" i="3" s="1"/>
  <c r="EI907" i="3"/>
  <c r="EI929" i="3" s="1"/>
  <c r="EE7" i="80"/>
  <c r="AR58" i="57"/>
  <c r="AU27" i="57"/>
  <c r="AU26" i="57" s="1"/>
  <c r="CS377" i="4"/>
  <c r="CS389" i="4" s="1"/>
  <c r="CS381" i="4"/>
  <c r="DN7" i="80"/>
  <c r="PS7" i="80" s="1"/>
  <c r="CN7" i="78"/>
  <c r="BD37" i="80"/>
  <c r="AU42" i="57"/>
  <c r="AU40" i="57" s="1"/>
  <c r="BU27" i="78"/>
  <c r="BU31" i="78" s="1"/>
  <c r="CU17" i="78"/>
  <c r="CU21" i="78" s="1"/>
  <c r="AQ37" i="78"/>
  <c r="DZ17" i="80"/>
  <c r="DZ21" i="80" s="1"/>
  <c r="JQ9" i="78"/>
  <c r="JQ29" i="78" s="1"/>
  <c r="KS29" i="78" s="1"/>
  <c r="JL9" i="78"/>
  <c r="JL11" i="78" s="1"/>
  <c r="LE21" i="78"/>
  <c r="LF21" i="78"/>
  <c r="EE893" i="3"/>
  <c r="KS19" i="78"/>
  <c r="LN19" i="78" s="1"/>
  <c r="EG19" i="78"/>
  <c r="EC19" i="78"/>
  <c r="EF19" i="78" s="1"/>
  <c r="EG30" i="78"/>
  <c r="EE901" i="3"/>
  <c r="EE928" i="3" s="1"/>
  <c r="FP19" i="80"/>
  <c r="FS19" i="80" s="1"/>
  <c r="FT19" i="80"/>
  <c r="KT29" i="78"/>
  <c r="QS11" i="80"/>
  <c r="KR27" i="78"/>
  <c r="FP21" i="80"/>
  <c r="EG898" i="3"/>
  <c r="EG922" i="3" s="1"/>
  <c r="EG442" i="3"/>
  <c r="FQ31" i="80"/>
  <c r="QT10" i="80"/>
  <c r="PF9" i="80"/>
  <c r="JU11" i="80"/>
  <c r="EI209" i="3"/>
  <c r="EI208" i="3" s="1"/>
  <c r="EI240" i="3" s="1"/>
  <c r="EH208" i="3"/>
  <c r="EH240" i="3" s="1"/>
  <c r="EH898" i="3" s="1"/>
  <c r="EI923" i="3"/>
  <c r="EI913" i="3"/>
  <c r="EI930" i="3" s="1"/>
  <c r="EH913" i="3"/>
  <c r="EH930" i="3" s="1"/>
  <c r="EH923" i="3"/>
  <c r="EH830" i="3"/>
  <c r="EG829" i="3"/>
  <c r="EF833" i="3"/>
  <c r="EF900" i="3" s="1"/>
  <c r="EH826" i="3"/>
  <c r="EG825" i="3"/>
  <c r="EF247" i="3"/>
  <c r="EF242" i="3" s="1"/>
  <c r="EF295" i="3" s="1"/>
  <c r="EE242" i="3"/>
  <c r="EE295" i="3" s="1"/>
  <c r="GE8" i="80"/>
  <c r="EC904" i="3"/>
  <c r="EC907" i="3" s="1"/>
  <c r="EC442" i="3"/>
  <c r="LR18" i="78"/>
  <c r="AI21" i="78"/>
  <c r="AK18" i="78"/>
  <c r="EC11" i="78"/>
  <c r="AJ38" i="78" s="1"/>
  <c r="AQ38" i="78" s="1"/>
  <c r="EF9" i="78"/>
  <c r="EF11" i="78" s="1"/>
  <c r="QE20" i="80"/>
  <c r="CB21" i="80"/>
  <c r="CE19" i="80"/>
  <c r="CE21" i="80" s="1"/>
  <c r="AK20" i="80"/>
  <c r="BQ11" i="78"/>
  <c r="BR9" i="78"/>
  <c r="GR29" i="78"/>
  <c r="GT29" i="78" s="1"/>
  <c r="GB31" i="78"/>
  <c r="QT9" i="80"/>
  <c r="DV932" i="3"/>
  <c r="QP11" i="80"/>
  <c r="QH11" i="80"/>
  <c r="AY11" i="80"/>
  <c r="CE390" i="4"/>
  <c r="CS11" i="80"/>
  <c r="DS932" i="3"/>
  <c r="QI11" i="80"/>
  <c r="CF390" i="4"/>
  <c r="CF383" i="4"/>
  <c r="DT932" i="3"/>
  <c r="QJ11" i="80"/>
  <c r="CG390" i="4"/>
  <c r="DU925" i="3"/>
  <c r="DU932" i="3"/>
  <c r="QK11" i="80"/>
  <c r="CH390" i="4"/>
  <c r="CJ390" i="4"/>
  <c r="DX932" i="3"/>
  <c r="CM390" i="4"/>
  <c r="QQ11" i="80"/>
  <c r="CO390" i="4"/>
  <c r="CP390" i="4"/>
  <c r="BW21" i="78"/>
  <c r="BW27" i="78"/>
  <c r="BW31" i="78" s="1"/>
  <c r="DB31" i="80"/>
  <c r="PG27" i="80"/>
  <c r="PG31" i="80" s="1"/>
  <c r="DA21" i="80"/>
  <c r="PF17" i="80"/>
  <c r="PF21" i="80" s="1"/>
  <c r="DA27" i="80"/>
  <c r="DA31" i="80" s="1"/>
  <c r="CB31" i="78"/>
  <c r="KT27" i="78"/>
  <c r="CA21" i="78"/>
  <c r="KS17" i="78"/>
  <c r="CA27" i="78"/>
  <c r="CA31" i="78" s="1"/>
  <c r="DE27" i="80"/>
  <c r="DE21" i="80"/>
  <c r="PJ17" i="80"/>
  <c r="PJ21" i="80" s="1"/>
  <c r="CE27" i="78"/>
  <c r="CE21" i="78"/>
  <c r="KW17" i="78"/>
  <c r="KW21" i="78" s="1"/>
  <c r="CF31" i="78"/>
  <c r="KX27" i="78"/>
  <c r="DI21" i="80"/>
  <c r="PN17" i="80"/>
  <c r="PN21" i="80" s="1"/>
  <c r="CI21" i="78"/>
  <c r="LA17" i="78"/>
  <c r="DL21" i="80"/>
  <c r="PQ17" i="80"/>
  <c r="PQ21" i="80" s="1"/>
  <c r="DL27" i="80"/>
  <c r="PS17" i="80"/>
  <c r="PS21" i="80" s="1"/>
  <c r="PR21" i="80"/>
  <c r="CL21" i="78"/>
  <c r="CL27" i="78"/>
  <c r="LD17" i="78"/>
  <c r="LD21" i="78" s="1"/>
  <c r="CM31" i="78"/>
  <c r="LE27" i="78"/>
  <c r="LE31" i="78" s="1"/>
  <c r="CZ31" i="80"/>
  <c r="PE27" i="80"/>
  <c r="NP8" i="80"/>
  <c r="NP9" i="80"/>
  <c r="NP10" i="80"/>
  <c r="JP10" i="78"/>
  <c r="JP9" i="78"/>
  <c r="JP8" i="78"/>
  <c r="NN8" i="80"/>
  <c r="NN9" i="80"/>
  <c r="JN10" i="78"/>
  <c r="JN9" i="78"/>
  <c r="HH27" i="80"/>
  <c r="HH31" i="80" s="1"/>
  <c r="HH21" i="80"/>
  <c r="HF27" i="80"/>
  <c r="HF31" i="80" s="1"/>
  <c r="HF21" i="80"/>
  <c r="HL27" i="80"/>
  <c r="HL31" i="80" s="1"/>
  <c r="HG31" i="80"/>
  <c r="FG31" i="78"/>
  <c r="FL27" i="78"/>
  <c r="FL31" i="78" s="1"/>
  <c r="FF21" i="78"/>
  <c r="FF27" i="78"/>
  <c r="FF31" i="78" s="1"/>
  <c r="FH27" i="78"/>
  <c r="FH31" i="78" s="1"/>
  <c r="FH21" i="78"/>
  <c r="GM27" i="80"/>
  <c r="HJ27" i="80" s="1"/>
  <c r="HM27" i="80" s="1"/>
  <c r="HJ17" i="80"/>
  <c r="HN17" i="80"/>
  <c r="HN21" i="80" s="1"/>
  <c r="PD17" i="80"/>
  <c r="PD21" i="80" s="1"/>
  <c r="FJ17" i="78"/>
  <c r="EM21" i="78"/>
  <c r="EM27" i="78"/>
  <c r="FN27" i="78" s="1"/>
  <c r="FN31" i="78" s="1"/>
  <c r="NM10" i="80"/>
  <c r="NM8" i="80"/>
  <c r="CE10" i="80"/>
  <c r="CE11" i="80" s="1"/>
  <c r="QU10" i="80"/>
  <c r="CA11" i="80"/>
  <c r="AI36" i="80" s="1"/>
  <c r="CA30" i="80"/>
  <c r="BA31" i="80"/>
  <c r="CF30" i="80"/>
  <c r="AN31" i="78"/>
  <c r="BN30" i="78"/>
  <c r="LU30" i="78" s="1"/>
  <c r="BR10" i="78"/>
  <c r="LU10" i="78"/>
  <c r="DJ21" i="78"/>
  <c r="DJ27" i="78"/>
  <c r="EH442" i="3"/>
  <c r="EI898" i="3"/>
  <c r="EI442" i="3"/>
  <c r="JK28" i="78"/>
  <c r="KM8" i="78"/>
  <c r="CH31" i="78"/>
  <c r="KZ27" i="78"/>
  <c r="HM30" i="80"/>
  <c r="PJ30" i="80"/>
  <c r="QB30" i="80" s="1"/>
  <c r="AI30" i="80"/>
  <c r="AI31" i="80" s="1"/>
  <c r="FI31" i="78"/>
  <c r="KQ21" i="78"/>
  <c r="DJ922" i="3"/>
  <c r="PF29" i="80"/>
  <c r="CB29" i="80"/>
  <c r="CE29" i="80" s="1"/>
  <c r="LR20" i="78"/>
  <c r="AH30" i="80"/>
  <c r="AL30" i="80"/>
  <c r="DC27" i="78"/>
  <c r="DC31" i="78" s="1"/>
  <c r="DC21" i="78"/>
  <c r="DB17" i="78"/>
  <c r="KN17" i="78"/>
  <c r="KN21" i="78" s="1"/>
  <c r="LN7" i="78"/>
  <c r="BO901" i="3"/>
  <c r="BO928" i="3" s="1"/>
  <c r="BO932" i="3" s="1"/>
  <c r="BO922" i="3"/>
  <c r="BO925" i="3" s="1"/>
  <c r="FH28" i="80"/>
  <c r="FH31" i="80" s="1"/>
  <c r="FH11" i="80"/>
  <c r="DK27" i="80"/>
  <c r="DK11" i="80"/>
  <c r="PP7" i="80"/>
  <c r="PZ7" i="80"/>
  <c r="LB30" i="78"/>
  <c r="V31" i="78"/>
  <c r="NS28" i="80"/>
  <c r="PH8" i="80"/>
  <c r="GP31" i="78"/>
  <c r="GT27" i="78"/>
  <c r="GM31" i="80"/>
  <c r="KY11" i="80"/>
  <c r="LA7" i="80"/>
  <c r="LA11" i="80" s="1"/>
  <c r="LN20" i="78"/>
  <c r="LQ20" i="78" s="1"/>
  <c r="EG923" i="3"/>
  <c r="EG929" i="3"/>
  <c r="CC21" i="78"/>
  <c r="CZ17" i="78"/>
  <c r="CZ21" i="78" s="1"/>
  <c r="KU17" i="78"/>
  <c r="KU21" i="78" s="1"/>
  <c r="CV17" i="78"/>
  <c r="CR21" i="78"/>
  <c r="LJ17" i="78"/>
  <c r="LJ21" i="78" s="1"/>
  <c r="CR27" i="78"/>
  <c r="JK9" i="78"/>
  <c r="DU28" i="78"/>
  <c r="DU31" i="78" s="1"/>
  <c r="DU11" i="78"/>
  <c r="NJ9" i="80"/>
  <c r="NJ8" i="80"/>
  <c r="FM29" i="78"/>
  <c r="LM7" i="78"/>
  <c r="KI31" i="80"/>
  <c r="KY27" i="80"/>
  <c r="JL28" i="78"/>
  <c r="KN8" i="78"/>
  <c r="FS9" i="80"/>
  <c r="FS11" i="80" s="1"/>
  <c r="AL30" i="78"/>
  <c r="AH30" i="78"/>
  <c r="BQ28" i="80"/>
  <c r="PO8" i="80"/>
  <c r="BQ11" i="80"/>
  <c r="M31" i="80"/>
  <c r="AL27" i="80"/>
  <c r="HY11" i="78"/>
  <c r="IA7" i="78"/>
  <c r="IA11" i="78" s="1"/>
  <c r="EA8" i="78"/>
  <c r="DP904" i="3"/>
  <c r="FN8" i="80"/>
  <c r="DP442" i="3"/>
  <c r="KX28" i="78"/>
  <c r="R31" i="78"/>
  <c r="FP27" i="80"/>
  <c r="JK10" i="78"/>
  <c r="PY17" i="80"/>
  <c r="PY21" i="80" s="1"/>
  <c r="PX21" i="80"/>
  <c r="HX31" i="78"/>
  <c r="I31" i="78"/>
  <c r="BR28" i="78"/>
  <c r="CT31" i="80"/>
  <c r="DU27" i="80"/>
  <c r="OY27" i="80"/>
  <c r="AH29" i="80"/>
  <c r="AD31" i="78"/>
  <c r="LJ28" i="78"/>
  <c r="HM29" i="80"/>
  <c r="KN9" i="78"/>
  <c r="JL29" i="78"/>
  <c r="KN29" i="78" s="1"/>
  <c r="BD28" i="78"/>
  <c r="BD11" i="78"/>
  <c r="NL9" i="80"/>
  <c r="NL8" i="80"/>
  <c r="NL10" i="80"/>
  <c r="LM19" i="78"/>
  <c r="CD31" i="78"/>
  <c r="KV27" i="78"/>
  <c r="KV31" i="78" s="1"/>
  <c r="K31" i="78"/>
  <c r="KX11" i="78"/>
  <c r="CF21" i="80"/>
  <c r="T31" i="78"/>
  <c r="KZ28" i="78"/>
  <c r="V31" i="80"/>
  <c r="NS10" i="80"/>
  <c r="CS31" i="78"/>
  <c r="LK27" i="78"/>
  <c r="CX27" i="78"/>
  <c r="CX31" i="78" s="1"/>
  <c r="LJ29" i="78"/>
  <c r="BK31" i="78"/>
  <c r="DR634" i="3"/>
  <c r="DR628" i="3" s="1"/>
  <c r="BY31" i="78"/>
  <c r="LF29" i="78"/>
  <c r="CI31" i="78"/>
  <c r="LA27" i="78"/>
  <c r="LA31" i="78" s="1"/>
  <c r="PZ19" i="80"/>
  <c r="QD19" i="80" s="1"/>
  <c r="CW17" i="78"/>
  <c r="CW21" i="78" s="1"/>
  <c r="CG21" i="78"/>
  <c r="KY17" i="78"/>
  <c r="CG27" i="78"/>
  <c r="CU31" i="80"/>
  <c r="BC31" i="80"/>
  <c r="CF29" i="80"/>
  <c r="BO30" i="78"/>
  <c r="AR31" i="78"/>
  <c r="BS30" i="78"/>
  <c r="JM28" i="78"/>
  <c r="KO8" i="78"/>
  <c r="QC17" i="80"/>
  <c r="QC21" i="80" s="1"/>
  <c r="BG31" i="80"/>
  <c r="AO36" i="78"/>
  <c r="BQ33" i="78"/>
  <c r="CU11" i="78"/>
  <c r="CY7" i="78"/>
  <c r="CY11" i="78" s="1"/>
  <c r="PL11" i="80"/>
  <c r="QB7" i="80"/>
  <c r="EU31" i="80"/>
  <c r="CV31" i="80"/>
  <c r="AH11" i="80"/>
  <c r="AJ35" i="80" s="1"/>
  <c r="AK7" i="80"/>
  <c r="AK19" i="78"/>
  <c r="LU19" i="78"/>
  <c r="KL21" i="78"/>
  <c r="HI31" i="80"/>
  <c r="DR21" i="80"/>
  <c r="PW17" i="80"/>
  <c r="PW21" i="80" s="1"/>
  <c r="DR27" i="80"/>
  <c r="FT29" i="80"/>
  <c r="NS9" i="80"/>
  <c r="QA18" i="80"/>
  <c r="QD18" i="80" s="1"/>
  <c r="JO10" i="78"/>
  <c r="JO8" i="78"/>
  <c r="JO9" i="78"/>
  <c r="NN30" i="80"/>
  <c r="PC30" i="80" s="1"/>
  <c r="PC10" i="80"/>
  <c r="LO18" i="78"/>
  <c r="LQ18" i="78" s="1"/>
  <c r="EC29" i="78"/>
  <c r="QU19" i="80"/>
  <c r="AK19" i="80"/>
  <c r="AI30" i="78"/>
  <c r="KW30" i="78"/>
  <c r="LB27" i="80"/>
  <c r="LB31" i="80" s="1"/>
  <c r="DR28" i="78"/>
  <c r="DR11" i="78"/>
  <c r="KY11" i="78"/>
  <c r="LO7" i="78"/>
  <c r="LO11" i="78" s="1"/>
  <c r="KW28" i="78"/>
  <c r="Q31" i="78"/>
  <c r="AI28" i="78"/>
  <c r="QU30" i="80"/>
  <c r="DG21" i="80"/>
  <c r="PL17" i="80"/>
  <c r="DG27" i="80"/>
  <c r="DW17" i="80"/>
  <c r="DW21" i="80" s="1"/>
  <c r="AG29" i="80"/>
  <c r="AL29" i="80"/>
  <c r="G31" i="80"/>
  <c r="NK8" i="80"/>
  <c r="NK10" i="80"/>
  <c r="NK9" i="80"/>
  <c r="QA20" i="80"/>
  <c r="DU11" i="80"/>
  <c r="DY7" i="80"/>
  <c r="DY11" i="80" s="1"/>
  <c r="QU7" i="80"/>
  <c r="BO21" i="78"/>
  <c r="BR20" i="78"/>
  <c r="BR21" i="78" s="1"/>
  <c r="JN28" i="78"/>
  <c r="KP8" i="78"/>
  <c r="EG29" i="78"/>
  <c r="AR44" i="78"/>
  <c r="JJ8" i="78"/>
  <c r="JJ9" i="78"/>
  <c r="JJ10" i="78"/>
  <c r="HM20" i="80"/>
  <c r="DD929" i="3"/>
  <c r="DD932" i="3" s="1"/>
  <c r="AG29" i="78"/>
  <c r="AL29" i="78"/>
  <c r="HI31" i="78"/>
  <c r="HY27" i="78"/>
  <c r="HY31" i="78" s="1"/>
  <c r="DA31" i="78"/>
  <c r="BS29" i="78"/>
  <c r="BX31" i="80"/>
  <c r="AH11" i="78"/>
  <c r="AJ35" i="78" s="1"/>
  <c r="U31" i="78"/>
  <c r="GF8" i="78"/>
  <c r="DG814" i="3"/>
  <c r="IS8" i="80"/>
  <c r="DG905" i="3"/>
  <c r="QA7" i="80"/>
  <c r="DX27" i="80"/>
  <c r="DX31" i="80" s="1"/>
  <c r="DS31" i="80"/>
  <c r="FS29" i="80"/>
  <c r="G31" i="78"/>
  <c r="AK8" i="78"/>
  <c r="EK31" i="78"/>
  <c r="CT267" i="4"/>
  <c r="CE28" i="80"/>
  <c r="AI44" i="78"/>
  <c r="BT31" i="78"/>
  <c r="KL27" i="78"/>
  <c r="CC31" i="78"/>
  <c r="KU27" i="78"/>
  <c r="DD925" i="3"/>
  <c r="DX8" i="78"/>
  <c r="FK8" i="80"/>
  <c r="DM442" i="3"/>
  <c r="DM904" i="3"/>
  <c r="AE31" i="78"/>
  <c r="LK28" i="78"/>
  <c r="LP28" i="78" s="1"/>
  <c r="BS21" i="78"/>
  <c r="AH21" i="80"/>
  <c r="JQ8" i="78"/>
  <c r="JQ10" i="78"/>
  <c r="OY21" i="80"/>
  <c r="DM648" i="3"/>
  <c r="DJ642" i="3"/>
  <c r="DJ655" i="3" s="1"/>
  <c r="CY31" i="80"/>
  <c r="K31" i="80"/>
  <c r="LL17" i="78"/>
  <c r="LL21" i="78" s="1"/>
  <c r="LP17" i="78"/>
  <c r="LP21" i="78" s="1"/>
  <c r="LK21" i="78"/>
  <c r="AL27" i="78"/>
  <c r="O31" i="78"/>
  <c r="AH29" i="78"/>
  <c r="LU28" i="78"/>
  <c r="BX293" i="4"/>
  <c r="CA292" i="4"/>
  <c r="CA293" i="4" s="1"/>
  <c r="CB292" i="4"/>
  <c r="DG922" i="3"/>
  <c r="DR31" i="78"/>
  <c r="DE21" i="78"/>
  <c r="DD17" i="78"/>
  <c r="KP17" i="78"/>
  <c r="KP21" i="78" s="1"/>
  <c r="DE27" i="78"/>
  <c r="BU363" i="4"/>
  <c r="BT8" i="80"/>
  <c r="BG8" i="78"/>
  <c r="BU336" i="4"/>
  <c r="EF29" i="78"/>
  <c r="LK29" i="78"/>
  <c r="LP29" i="78" s="1"/>
  <c r="BL31" i="78"/>
  <c r="BQ29" i="78"/>
  <c r="BQ31" i="78" s="1"/>
  <c r="LB11" i="78"/>
  <c r="EF923" i="3"/>
  <c r="JS8" i="78"/>
  <c r="JS9" i="78"/>
  <c r="JS10" i="78"/>
  <c r="DD31" i="80"/>
  <c r="PI27" i="80"/>
  <c r="PI31" i="80" s="1"/>
  <c r="DH31" i="78"/>
  <c r="FB31" i="78"/>
  <c r="JL30" i="78"/>
  <c r="KN30" i="78" s="1"/>
  <c r="KN10" i="78"/>
  <c r="AH27" i="80"/>
  <c r="CW31" i="80"/>
  <c r="PT27" i="80"/>
  <c r="BU31" i="80"/>
  <c r="AG21" i="80"/>
  <c r="BP922" i="3"/>
  <c r="BP925" i="3" s="1"/>
  <c r="BP901" i="3"/>
  <c r="BP928" i="3" s="1"/>
  <c r="BP932" i="3" s="1"/>
  <c r="JM30" i="78"/>
  <c r="KO30" i="78" s="1"/>
  <c r="KO10" i="78"/>
  <c r="EP21" i="80"/>
  <c r="EP27" i="80"/>
  <c r="EP31" i="80" s="1"/>
  <c r="EO17" i="80"/>
  <c r="PA17" i="80"/>
  <c r="PA21" i="80" s="1"/>
  <c r="FN21" i="78"/>
  <c r="FE28" i="80"/>
  <c r="FE11" i="80"/>
  <c r="AK28" i="80"/>
  <c r="QU28" i="80"/>
  <c r="EF30" i="78"/>
  <c r="EQ17" i="80"/>
  <c r="ER21" i="80"/>
  <c r="PC17" i="80"/>
  <c r="PC21" i="80" s="1"/>
  <c r="ER27" i="80"/>
  <c r="R31" i="80"/>
  <c r="QC7" i="80"/>
  <c r="CK11" i="78"/>
  <c r="CK27" i="78"/>
  <c r="CK31" i="78" s="1"/>
  <c r="LC7" i="78"/>
  <c r="DR295" i="3"/>
  <c r="DU21" i="80"/>
  <c r="AK21" i="80"/>
  <c r="GR21" i="78"/>
  <c r="GT17" i="78"/>
  <c r="GT21" i="78" s="1"/>
  <c r="HN30" i="80"/>
  <c r="DC31" i="80"/>
  <c r="PH27" i="80"/>
  <c r="JC31" i="80"/>
  <c r="JG27" i="80"/>
  <c r="JG31" i="80" s="1"/>
  <c r="GQ31" i="78"/>
  <c r="DC21" i="80"/>
  <c r="PH17" i="80"/>
  <c r="DV17" i="80"/>
  <c r="DV21" i="80" s="1"/>
  <c r="AK20" i="78"/>
  <c r="BR381" i="4"/>
  <c r="LK11" i="78"/>
  <c r="NQ10" i="80"/>
  <c r="NQ8" i="80"/>
  <c r="I31" i="80"/>
  <c r="BV31" i="78"/>
  <c r="KS27" i="78"/>
  <c r="M31" i="78"/>
  <c r="AH27" i="78"/>
  <c r="EN31" i="80"/>
  <c r="AI11" i="78"/>
  <c r="AM35" i="78" s="1"/>
  <c r="EZ31" i="78"/>
  <c r="LD29" i="78"/>
  <c r="DN31" i="78"/>
  <c r="ED27" i="78"/>
  <c r="ED31" i="78" s="1"/>
  <c r="NJ10" i="80"/>
  <c r="NO10" i="80"/>
  <c r="NO9" i="80"/>
  <c r="NO8" i="80"/>
  <c r="BN31" i="78"/>
  <c r="FP30" i="80"/>
  <c r="FS30" i="80" s="1"/>
  <c r="DI31" i="80"/>
  <c r="PN27" i="80"/>
  <c r="IB27" i="78"/>
  <c r="IB31" i="78" s="1"/>
  <c r="HB31" i="80"/>
  <c r="KT31" i="78" l="1"/>
  <c r="NM29" i="80"/>
  <c r="PB29" i="80" s="1"/>
  <c r="AL21" i="78"/>
  <c r="CT375" i="4"/>
  <c r="CT377" i="4" s="1"/>
  <c r="CT389" i="4" s="1"/>
  <c r="CT336" i="4"/>
  <c r="CU336" i="4"/>
  <c r="CU375" i="4"/>
  <c r="CU377" i="4" s="1"/>
  <c r="CU389" i="4" s="1"/>
  <c r="AQ36" i="78"/>
  <c r="AM44" i="78"/>
  <c r="LA21" i="78"/>
  <c r="QB29" i="80"/>
  <c r="AB31" i="80"/>
  <c r="PU30" i="80"/>
  <c r="BP29" i="78"/>
  <c r="BR29" i="78" s="1"/>
  <c r="BC31" i="78"/>
  <c r="BR11" i="78"/>
  <c r="QD20" i="80"/>
  <c r="LB29" i="78"/>
  <c r="LB31" i="78" s="1"/>
  <c r="KW29" i="78"/>
  <c r="AI29" i="78"/>
  <c r="AI31" i="78" s="1"/>
  <c r="QE19" i="80"/>
  <c r="Q31" i="80"/>
  <c r="AJ30" i="80"/>
  <c r="AJ31" i="80" s="1"/>
  <c r="PT30" i="80"/>
  <c r="PT31" i="80" s="1"/>
  <c r="PN29" i="80"/>
  <c r="PN31" i="80" s="1"/>
  <c r="CU267" i="4"/>
  <c r="CU350" i="4" s="1"/>
  <c r="CU356" i="4"/>
  <c r="JM29" i="78"/>
  <c r="KO29" i="78" s="1"/>
  <c r="CC292" i="4"/>
  <c r="AO44" i="78"/>
  <c r="LR19" i="78"/>
  <c r="BP31" i="78"/>
  <c r="BO380" i="4"/>
  <c r="BO383" i="4" s="1"/>
  <c r="BO365" i="4"/>
  <c r="BO387" i="4" s="1"/>
  <c r="BO390" i="4" s="1"/>
  <c r="CT350" i="4"/>
  <c r="CT352" i="4" s="1"/>
  <c r="JM11" i="78"/>
  <c r="LP30" i="78"/>
  <c r="AH31" i="78"/>
  <c r="AK28" i="78"/>
  <c r="KS21" i="78"/>
  <c r="BU121" i="4"/>
  <c r="BU169" i="4" s="1"/>
  <c r="BX127" i="4"/>
  <c r="CC31" i="80"/>
  <c r="CE27" i="80"/>
  <c r="CE31" i="80" s="1"/>
  <c r="BR267" i="4"/>
  <c r="BR350" i="4" s="1"/>
  <c r="BR362" i="4"/>
  <c r="W8" i="80"/>
  <c r="PP8" i="80" s="1"/>
  <c r="PP11" i="80" s="1"/>
  <c r="W8" i="78"/>
  <c r="CS359" i="4"/>
  <c r="CS386" i="4" s="1"/>
  <c r="CS390" i="4" s="1"/>
  <c r="CS380" i="4"/>
  <c r="CS383" i="4" s="1"/>
  <c r="CU27" i="78"/>
  <c r="CU31" i="78" s="1"/>
  <c r="PF27" i="80"/>
  <c r="DV27" i="80"/>
  <c r="DV31" i="80" s="1"/>
  <c r="DG923" i="3"/>
  <c r="DG925" i="3" s="1"/>
  <c r="DG907" i="3"/>
  <c r="DG929" i="3" s="1"/>
  <c r="DG932" i="3" s="1"/>
  <c r="CT381" i="4"/>
  <c r="AW27" i="57"/>
  <c r="AW26" i="57" s="1"/>
  <c r="EE11" i="80"/>
  <c r="QL7" i="80"/>
  <c r="EF7" i="80"/>
  <c r="CQ7" i="78"/>
  <c r="DQ7" i="80"/>
  <c r="AW42" i="57"/>
  <c r="AW40" i="57" s="1"/>
  <c r="CV27" i="78"/>
  <c r="CV31" i="78" s="1"/>
  <c r="DN27" i="80"/>
  <c r="KS9" i="78"/>
  <c r="DN11" i="80"/>
  <c r="CN27" i="78"/>
  <c r="CN31" i="78" s="1"/>
  <c r="LF7" i="78"/>
  <c r="LF27" i="78" s="1"/>
  <c r="CN11" i="78"/>
  <c r="KX31" i="78"/>
  <c r="EC21" i="78"/>
  <c r="KQ27" i="78"/>
  <c r="LN27" i="78" s="1"/>
  <c r="JN11" i="78"/>
  <c r="EG833" i="3"/>
  <c r="EG900" i="3" s="1"/>
  <c r="EG924" i="3" s="1"/>
  <c r="LO30" i="78"/>
  <c r="FT8" i="80"/>
  <c r="FT11" i="80" s="1"/>
  <c r="LQ19" i="78"/>
  <c r="GT31" i="78"/>
  <c r="KN27" i="78"/>
  <c r="HM31" i="80"/>
  <c r="HN27" i="80"/>
  <c r="HN31" i="80" s="1"/>
  <c r="GR31" i="78"/>
  <c r="HJ31" i="80"/>
  <c r="PD27" i="80"/>
  <c r="KN11" i="78"/>
  <c r="NS11" i="80"/>
  <c r="EC929" i="3"/>
  <c r="EC932" i="3" s="1"/>
  <c r="EC922" i="3"/>
  <c r="EC925" i="3" s="1"/>
  <c r="GE11" i="80"/>
  <c r="QR8" i="80"/>
  <c r="GG8" i="80"/>
  <c r="GG11" i="80" s="1"/>
  <c r="EE904" i="3"/>
  <c r="EE907" i="3" s="1"/>
  <c r="EE442" i="3"/>
  <c r="EF904" i="3"/>
  <c r="EF907" i="3" s="1"/>
  <c r="EF442" i="3"/>
  <c r="EI826" i="3"/>
  <c r="EI825" i="3" s="1"/>
  <c r="EH825" i="3"/>
  <c r="EF924" i="3"/>
  <c r="EF893" i="3"/>
  <c r="EI830" i="3"/>
  <c r="EI829" i="3" s="1"/>
  <c r="EH829" i="3"/>
  <c r="AK21" i="78"/>
  <c r="JK11" i="78"/>
  <c r="KZ31" i="78"/>
  <c r="EC27" i="78"/>
  <c r="EC31" i="78" s="1"/>
  <c r="DJ31" i="78"/>
  <c r="CE30" i="80"/>
  <c r="CA31" i="80"/>
  <c r="BE36" i="80"/>
  <c r="BE44" i="80" s="1"/>
  <c r="AI44" i="80"/>
  <c r="BD36" i="80"/>
  <c r="NM11" i="80"/>
  <c r="NM28" i="80"/>
  <c r="PB8" i="80"/>
  <c r="NM30" i="80"/>
  <c r="PB30" i="80" s="1"/>
  <c r="PB10" i="80"/>
  <c r="FJ27" i="78"/>
  <c r="EM31" i="78"/>
  <c r="FJ21" i="78"/>
  <c r="FM17" i="78"/>
  <c r="FM21" i="78" s="1"/>
  <c r="HM17" i="80"/>
  <c r="HM21" i="80" s="1"/>
  <c r="HJ21" i="80"/>
  <c r="KP9" i="78"/>
  <c r="JN29" i="78"/>
  <c r="KP29" i="78" s="1"/>
  <c r="JN30" i="78"/>
  <c r="KP30" i="78" s="1"/>
  <c r="KP10" i="78"/>
  <c r="PC9" i="80"/>
  <c r="NN29" i="80"/>
  <c r="PC29" i="80" s="1"/>
  <c r="NN28" i="80"/>
  <c r="PC28" i="80" s="1"/>
  <c r="PC8" i="80"/>
  <c r="NN11" i="80"/>
  <c r="KR8" i="78"/>
  <c r="JP28" i="78"/>
  <c r="KR28" i="78" s="1"/>
  <c r="JP11" i="78"/>
  <c r="KR9" i="78"/>
  <c r="JP29" i="78"/>
  <c r="KR29" i="78" s="1"/>
  <c r="KR10" i="78"/>
  <c r="JP30" i="78"/>
  <c r="NP30" i="80"/>
  <c r="PE30" i="80" s="1"/>
  <c r="PE10" i="80"/>
  <c r="PE9" i="80"/>
  <c r="NP29" i="80"/>
  <c r="PE29" i="80" s="1"/>
  <c r="NP28" i="80"/>
  <c r="PE8" i="80"/>
  <c r="NP11" i="80"/>
  <c r="CL31" i="78"/>
  <c r="LD27" i="78"/>
  <c r="LD31" i="78" s="1"/>
  <c r="DL31" i="80"/>
  <c r="PQ27" i="80"/>
  <c r="PQ31" i="80" s="1"/>
  <c r="CE31" i="78"/>
  <c r="KW27" i="78"/>
  <c r="KW31" i="78" s="1"/>
  <c r="DE31" i="80"/>
  <c r="PJ27" i="80"/>
  <c r="PJ31" i="80" s="1"/>
  <c r="EQ27" i="80"/>
  <c r="EQ21" i="80"/>
  <c r="PB17" i="80"/>
  <c r="PB21" i="80" s="1"/>
  <c r="CT359" i="4"/>
  <c r="CT386" i="4" s="1"/>
  <c r="CT380" i="4"/>
  <c r="CT383" i="4" s="1"/>
  <c r="LU29" i="78"/>
  <c r="AK29" i="78"/>
  <c r="PD8" i="80"/>
  <c r="OH8" i="80"/>
  <c r="NO28" i="80"/>
  <c r="NO11" i="80"/>
  <c r="KO17" i="78"/>
  <c r="KO21" i="78" s="1"/>
  <c r="DD21" i="78"/>
  <c r="DD27" i="78"/>
  <c r="BZ8" i="80"/>
  <c r="BM8" i="78"/>
  <c r="CA363" i="4"/>
  <c r="CA381" i="4" s="1"/>
  <c r="CA336" i="4"/>
  <c r="FK28" i="80"/>
  <c r="FK31" i="80" s="1"/>
  <c r="FK11" i="80"/>
  <c r="LO17" i="78"/>
  <c r="LO21" i="78" s="1"/>
  <c r="KY21" i="78"/>
  <c r="IA27" i="78"/>
  <c r="IA31" i="78" s="1"/>
  <c r="KN28" i="78"/>
  <c r="JL31" i="78"/>
  <c r="PH28" i="80"/>
  <c r="DB21" i="78"/>
  <c r="DB27" i="78"/>
  <c r="KM17" i="78"/>
  <c r="EB17" i="78"/>
  <c r="EG17" i="78"/>
  <c r="EG21" i="78" s="1"/>
  <c r="EH922" i="3"/>
  <c r="OH9" i="80"/>
  <c r="NO29" i="80"/>
  <c r="PD9" i="80"/>
  <c r="FE31" i="80"/>
  <c r="JS30" i="78"/>
  <c r="KU30" i="78" s="1"/>
  <c r="KU10" i="78"/>
  <c r="BX363" i="4"/>
  <c r="BW8" i="80"/>
  <c r="BJ8" i="78"/>
  <c r="BX336" i="4"/>
  <c r="IV8" i="80"/>
  <c r="GI8" i="78"/>
  <c r="DJ905" i="3"/>
  <c r="DJ907" i="3" s="1"/>
  <c r="DJ814" i="3"/>
  <c r="DX28" i="78"/>
  <c r="DX31" i="78" s="1"/>
  <c r="DX11" i="78"/>
  <c r="EG8" i="78"/>
  <c r="EG11" i="78" s="1"/>
  <c r="JO28" i="78"/>
  <c r="JO11" i="78"/>
  <c r="KH8" i="78"/>
  <c r="KQ8" i="78"/>
  <c r="DR31" i="80"/>
  <c r="PW27" i="80"/>
  <c r="BQ31" i="80"/>
  <c r="KY31" i="80"/>
  <c r="LA27" i="80"/>
  <c r="LA31" i="80" s="1"/>
  <c r="NJ11" i="80"/>
  <c r="NJ28" i="80"/>
  <c r="OG8" i="80"/>
  <c r="OY8" i="80"/>
  <c r="DP648" i="3"/>
  <c r="DP642" i="3" s="1"/>
  <c r="DP655" i="3" s="1"/>
  <c r="DM642" i="3"/>
  <c r="DM655" i="3" s="1"/>
  <c r="JO30" i="78"/>
  <c r="KH10" i="78"/>
  <c r="KQ10" i="78"/>
  <c r="AJ44" i="80"/>
  <c r="KO11" i="78"/>
  <c r="OG9" i="80"/>
  <c r="NJ29" i="80"/>
  <c r="OY9" i="80"/>
  <c r="DR904" i="3"/>
  <c r="DR442" i="3"/>
  <c r="DR443" i="3" s="1"/>
  <c r="JS28" i="78"/>
  <c r="KU8" i="78"/>
  <c r="JS11" i="78"/>
  <c r="BD31" i="78"/>
  <c r="FN28" i="80"/>
  <c r="FN31" i="80" s="1"/>
  <c r="FN11" i="80"/>
  <c r="AK30" i="78"/>
  <c r="KM9" i="78"/>
  <c r="JK29" i="78"/>
  <c r="KM29" i="78" s="1"/>
  <c r="CV21" i="78"/>
  <c r="CY17" i="78"/>
  <c r="CY21" i="78" s="1"/>
  <c r="KM28" i="78"/>
  <c r="KU9" i="78"/>
  <c r="JS29" i="78"/>
  <c r="KU29" i="78" s="1"/>
  <c r="NJ30" i="80"/>
  <c r="OG10" i="80"/>
  <c r="OY10" i="80"/>
  <c r="PH21" i="80"/>
  <c r="QA17" i="80"/>
  <c r="QA21" i="80" s="1"/>
  <c r="ER31" i="80"/>
  <c r="PC27" i="80"/>
  <c r="BG28" i="78"/>
  <c r="BG31" i="78" s="1"/>
  <c r="BG11" i="78"/>
  <c r="BT28" i="80"/>
  <c r="PR8" i="80"/>
  <c r="BT11" i="80"/>
  <c r="KP28" i="78"/>
  <c r="AG31" i="78"/>
  <c r="PA27" i="80"/>
  <c r="PD10" i="80"/>
  <c r="OH10" i="80"/>
  <c r="NO30" i="80"/>
  <c r="DY17" i="80"/>
  <c r="DY21" i="80" s="1"/>
  <c r="AK11" i="78"/>
  <c r="PF8" i="80"/>
  <c r="NQ28" i="80"/>
  <c r="NQ11" i="80"/>
  <c r="LC27" i="78"/>
  <c r="AH31" i="80"/>
  <c r="AK27" i="80"/>
  <c r="AJ44" i="78"/>
  <c r="AQ35" i="78"/>
  <c r="AQ44" i="78" s="1"/>
  <c r="AU44" i="78" s="1"/>
  <c r="NK29" i="80"/>
  <c r="OZ29" i="80" s="1"/>
  <c r="OZ9" i="80"/>
  <c r="AK29" i="80"/>
  <c r="QU29" i="80"/>
  <c r="JM31" i="78"/>
  <c r="KO28" i="78"/>
  <c r="JK30" i="78"/>
  <c r="KM30" i="78" s="1"/>
  <c r="KM10" i="78"/>
  <c r="DP922" i="3"/>
  <c r="CR31" i="78"/>
  <c r="LJ27" i="78"/>
  <c r="LJ31" i="78" s="1"/>
  <c r="LN17" i="78"/>
  <c r="LN21" i="78" s="1"/>
  <c r="AG31" i="80"/>
  <c r="NQ30" i="80"/>
  <c r="PF30" i="80" s="1"/>
  <c r="PF10" i="80"/>
  <c r="BU381" i="4"/>
  <c r="CB31" i="80"/>
  <c r="JJ30" i="78"/>
  <c r="KL10" i="78"/>
  <c r="KG10" i="78"/>
  <c r="NK30" i="80"/>
  <c r="OZ30" i="80" s="1"/>
  <c r="OZ10" i="80"/>
  <c r="LO28" i="78"/>
  <c r="AK27" i="78"/>
  <c r="LK31" i="78"/>
  <c r="LP27" i="78"/>
  <c r="LP31" i="78" s="1"/>
  <c r="PA10" i="80"/>
  <c r="NL30" i="80"/>
  <c r="PA30" i="80" s="1"/>
  <c r="FP31" i="80"/>
  <c r="EA28" i="78"/>
  <c r="EA31" i="78" s="1"/>
  <c r="EA11" i="78"/>
  <c r="LQ7" i="78"/>
  <c r="QD7" i="80"/>
  <c r="AK30" i="80"/>
  <c r="DR648" i="3"/>
  <c r="DR642" i="3" s="1"/>
  <c r="JQ30" i="78"/>
  <c r="KS30" i="78" s="1"/>
  <c r="KS10" i="78"/>
  <c r="DM922" i="3"/>
  <c r="IS11" i="80"/>
  <c r="IS28" i="80"/>
  <c r="JJ29" i="78"/>
  <c r="KG9" i="78"/>
  <c r="KL9" i="78"/>
  <c r="OZ8" i="80"/>
  <c r="NK11" i="80"/>
  <c r="NK28" i="80"/>
  <c r="DG31" i="80"/>
  <c r="DW27" i="80"/>
  <c r="DW31" i="80" s="1"/>
  <c r="PL27" i="80"/>
  <c r="NL11" i="80"/>
  <c r="PA8" i="80"/>
  <c r="NL28" i="80"/>
  <c r="DU31" i="80"/>
  <c r="EI922" i="3"/>
  <c r="KP27" i="78"/>
  <c r="DE31" i="78"/>
  <c r="JJ11" i="78"/>
  <c r="JJ28" i="78"/>
  <c r="KG8" i="78"/>
  <c r="KL8" i="78"/>
  <c r="PL21" i="80"/>
  <c r="QB17" i="80"/>
  <c r="QB21" i="80" s="1"/>
  <c r="BR30" i="78"/>
  <c r="BO31" i="78"/>
  <c r="CG31" i="78"/>
  <c r="CW27" i="78"/>
  <c r="CW31" i="78" s="1"/>
  <c r="KY27" i="78"/>
  <c r="DR655" i="3"/>
  <c r="PH10" i="80"/>
  <c r="NS30" i="80"/>
  <c r="PH30" i="80" s="1"/>
  <c r="NL29" i="80"/>
  <c r="PA29" i="80" s="1"/>
  <c r="PA9" i="80"/>
  <c r="QB8" i="80"/>
  <c r="QB11" i="80" s="1"/>
  <c r="PO11" i="80"/>
  <c r="EO21" i="80"/>
  <c r="EO27" i="80"/>
  <c r="FT17" i="80"/>
  <c r="FT21" i="80" s="1"/>
  <c r="OZ17" i="80"/>
  <c r="FO17" i="80"/>
  <c r="JQ11" i="78"/>
  <c r="JQ28" i="78"/>
  <c r="KS8" i="78"/>
  <c r="NS29" i="80"/>
  <c r="PH29" i="80" s="1"/>
  <c r="PH9" i="80"/>
  <c r="GF28" i="78"/>
  <c r="GF11" i="78"/>
  <c r="JO29" i="78"/>
  <c r="KH9" i="78"/>
  <c r="KQ9" i="78"/>
  <c r="DK31" i="80"/>
  <c r="PP27" i="80"/>
  <c r="AW58" i="57" l="1"/>
  <c r="BR31" i="78"/>
  <c r="AK31" i="78"/>
  <c r="CT390" i="4"/>
  <c r="CU381" i="4"/>
  <c r="QA27" i="80"/>
  <c r="CU352" i="4"/>
  <c r="LO29" i="78"/>
  <c r="CF8" i="80"/>
  <c r="CF11" i="80" s="1"/>
  <c r="W28" i="78"/>
  <c r="W31" i="78" s="1"/>
  <c r="W11" i="78"/>
  <c r="W11" i="80"/>
  <c r="W28" i="80"/>
  <c r="BX121" i="4"/>
  <c r="BX169" i="4" s="1"/>
  <c r="CA127" i="4"/>
  <c r="BR380" i="4"/>
  <c r="BR383" i="4" s="1"/>
  <c r="BR365" i="4"/>
  <c r="BR387" i="4" s="1"/>
  <c r="BR390" i="4" s="1"/>
  <c r="BU362" i="4"/>
  <c r="Z8" i="78"/>
  <c r="LF8" i="78" s="1"/>
  <c r="BU267" i="4"/>
  <c r="BU350" i="4" s="1"/>
  <c r="Z8" i="80"/>
  <c r="LC8" i="78"/>
  <c r="CU359" i="4"/>
  <c r="CU386" i="4" s="1"/>
  <c r="CU380" i="4"/>
  <c r="CU383" i="4" s="1"/>
  <c r="CU390" i="4"/>
  <c r="LN9" i="78"/>
  <c r="AU58" i="57"/>
  <c r="DT7" i="80" s="1"/>
  <c r="EF11" i="80"/>
  <c r="QM7" i="80"/>
  <c r="QM11" i="80" s="1"/>
  <c r="EH7" i="80"/>
  <c r="EG7" i="80"/>
  <c r="QL11" i="80"/>
  <c r="CT7" i="78"/>
  <c r="PE11" i="80"/>
  <c r="LI7" i="78"/>
  <c r="LI27" i="78" s="1"/>
  <c r="CQ27" i="78"/>
  <c r="CQ31" i="78" s="1"/>
  <c r="CQ11" i="78"/>
  <c r="DN31" i="80"/>
  <c r="PS27" i="80"/>
  <c r="KS11" i="78"/>
  <c r="PV7" i="80"/>
  <c r="DQ27" i="80"/>
  <c r="DQ11" i="80"/>
  <c r="KN31" i="78"/>
  <c r="KP31" i="78"/>
  <c r="NN31" i="80"/>
  <c r="EG893" i="3"/>
  <c r="PC31" i="80"/>
  <c r="JN31" i="78"/>
  <c r="OZ11" i="80"/>
  <c r="OK9" i="80"/>
  <c r="KK10" i="78"/>
  <c r="PC11" i="80"/>
  <c r="PH31" i="80"/>
  <c r="EF901" i="3"/>
  <c r="EF928" i="3" s="1"/>
  <c r="EH833" i="3"/>
  <c r="EI833" i="3"/>
  <c r="EG925" i="3"/>
  <c r="EG901" i="3"/>
  <c r="EG928" i="3" s="1"/>
  <c r="EG932" i="3" s="1"/>
  <c r="EF922" i="3"/>
  <c r="EF929" i="3"/>
  <c r="EE922" i="3"/>
  <c r="EE925" i="3" s="1"/>
  <c r="EE929" i="3"/>
  <c r="EE932" i="3" s="1"/>
  <c r="QR11" i="80"/>
  <c r="QT8" i="80"/>
  <c r="KM11" i="78"/>
  <c r="KU11" i="78"/>
  <c r="PE28" i="80"/>
  <c r="PE31" i="80" s="1"/>
  <c r="NP31" i="80"/>
  <c r="JP31" i="78"/>
  <c r="KR30" i="78"/>
  <c r="KR31" i="78" s="1"/>
  <c r="KR11" i="78"/>
  <c r="KP11" i="78"/>
  <c r="FJ31" i="78"/>
  <c r="FM27" i="78"/>
  <c r="FM31" i="78" s="1"/>
  <c r="PB11" i="80"/>
  <c r="PB28" i="80"/>
  <c r="NM31" i="80"/>
  <c r="BJ28" i="78"/>
  <c r="BJ31" i="78" s="1"/>
  <c r="BJ11" i="78"/>
  <c r="BS8" i="78"/>
  <c r="BS11" i="78" s="1"/>
  <c r="PH11" i="80"/>
  <c r="OH30" i="80"/>
  <c r="PW30" i="80" s="1"/>
  <c r="PD30" i="80"/>
  <c r="QA30" i="80" s="1"/>
  <c r="JS31" i="78"/>
  <c r="KU28" i="78"/>
  <c r="KU31" i="78" s="1"/>
  <c r="KH11" i="78"/>
  <c r="DJ923" i="3"/>
  <c r="DJ925" i="3" s="1"/>
  <c r="DJ929" i="3"/>
  <c r="DJ932" i="3" s="1"/>
  <c r="AR46" i="78"/>
  <c r="DD31" i="78"/>
  <c r="KO27" i="78"/>
  <c r="KO31" i="78" s="1"/>
  <c r="IY8" i="80"/>
  <c r="DM905" i="3"/>
  <c r="DM907" i="3" s="1"/>
  <c r="DM814" i="3"/>
  <c r="GL8" i="78"/>
  <c r="DR814" i="3"/>
  <c r="DR905" i="3"/>
  <c r="LR9" i="78"/>
  <c r="LM9" i="78"/>
  <c r="QA10" i="80"/>
  <c r="JK31" i="78"/>
  <c r="DR922" i="3"/>
  <c r="JB8" i="80"/>
  <c r="DP814" i="3"/>
  <c r="GO8" i="78"/>
  <c r="DP905" i="3"/>
  <c r="DP907" i="3" s="1"/>
  <c r="OK8" i="80"/>
  <c r="OG11" i="80"/>
  <c r="KH28" i="78"/>
  <c r="JO31" i="78"/>
  <c r="KQ28" i="78"/>
  <c r="IV28" i="80"/>
  <c r="IV31" i="80" s="1"/>
  <c r="IV11" i="80"/>
  <c r="EB21" i="78"/>
  <c r="LU21" i="78" s="1"/>
  <c r="EF17" i="78"/>
  <c r="EF21" i="78" s="1"/>
  <c r="LU17" i="78"/>
  <c r="EO31" i="80"/>
  <c r="FO27" i="80"/>
  <c r="OZ27" i="80"/>
  <c r="FT27" i="80"/>
  <c r="PZ8" i="80"/>
  <c r="OY11" i="80"/>
  <c r="GI28" i="78"/>
  <c r="GI31" i="78" s="1"/>
  <c r="GI11" i="78"/>
  <c r="JQ31" i="78"/>
  <c r="KS28" i="78"/>
  <c r="KS31" i="78" s="1"/>
  <c r="KY31" i="78"/>
  <c r="LO27" i="78"/>
  <c r="KK9" i="78"/>
  <c r="NQ31" i="80"/>
  <c r="PF28" i="80"/>
  <c r="PF31" i="80" s="1"/>
  <c r="PR11" i="80"/>
  <c r="LN10" i="78"/>
  <c r="OG28" i="80"/>
  <c r="NJ31" i="80"/>
  <c r="OY28" i="80"/>
  <c r="FT28" i="80"/>
  <c r="KM21" i="78"/>
  <c r="LM17" i="78"/>
  <c r="LR17" i="78"/>
  <c r="LR21" i="78" s="1"/>
  <c r="EQ31" i="80"/>
  <c r="PB27" i="80"/>
  <c r="KH29" i="78"/>
  <c r="KQ29" i="78"/>
  <c r="LN29" i="78" s="1"/>
  <c r="LM8" i="78"/>
  <c r="KL11" i="78"/>
  <c r="DY27" i="80"/>
  <c r="DY31" i="80" s="1"/>
  <c r="PL31" i="80"/>
  <c r="QB27" i="80"/>
  <c r="QB31" i="80" s="1"/>
  <c r="KG29" i="78"/>
  <c r="KL29" i="78"/>
  <c r="PF11" i="80"/>
  <c r="BT31" i="80"/>
  <c r="PZ10" i="80"/>
  <c r="QE10" i="80"/>
  <c r="QA9" i="80"/>
  <c r="DB31" i="78"/>
  <c r="EB27" i="78"/>
  <c r="EG27" i="78"/>
  <c r="KM27" i="78"/>
  <c r="OH28" i="80"/>
  <c r="NO31" i="80"/>
  <c r="PD28" i="80"/>
  <c r="IS31" i="80"/>
  <c r="QE9" i="80"/>
  <c r="PZ9" i="80"/>
  <c r="FO21" i="80"/>
  <c r="QU21" i="80" s="1"/>
  <c r="FS17" i="80"/>
  <c r="FS21" i="80" s="1"/>
  <c r="QU17" i="80"/>
  <c r="JJ31" i="78"/>
  <c r="KG28" i="78"/>
  <c r="KL28" i="78"/>
  <c r="NL31" i="80"/>
  <c r="PA28" i="80"/>
  <c r="PA31" i="80" s="1"/>
  <c r="LR10" i="78"/>
  <c r="LM10" i="78"/>
  <c r="AK31" i="80"/>
  <c r="OG30" i="80"/>
  <c r="OY30" i="80"/>
  <c r="OG29" i="80"/>
  <c r="OY29" i="80"/>
  <c r="BW28" i="80"/>
  <c r="PU8" i="80"/>
  <c r="BW11" i="80"/>
  <c r="BM28" i="78"/>
  <c r="BM31" i="78" s="1"/>
  <c r="BM11" i="78"/>
  <c r="QA8" i="80"/>
  <c r="PD11" i="80"/>
  <c r="KK8" i="78"/>
  <c r="KG11" i="78"/>
  <c r="OK10" i="80"/>
  <c r="EG28" i="78"/>
  <c r="KH30" i="78"/>
  <c r="KQ30" i="78"/>
  <c r="LN30" i="78" s="1"/>
  <c r="OH29" i="80"/>
  <c r="PW29" i="80" s="1"/>
  <c r="PD29" i="80"/>
  <c r="QA29" i="80" s="1"/>
  <c r="OH11" i="80"/>
  <c r="GF31" i="78"/>
  <c r="OZ21" i="80"/>
  <c r="PZ17" i="80"/>
  <c r="QE17" i="80"/>
  <c r="QE21" i="80" s="1"/>
  <c r="PA11" i="80"/>
  <c r="NK31" i="80"/>
  <c r="OZ28" i="80"/>
  <c r="KG30" i="78"/>
  <c r="KL30" i="78"/>
  <c r="CY27" i="78"/>
  <c r="CY31" i="78" s="1"/>
  <c r="LN8" i="78"/>
  <c r="KQ11" i="78"/>
  <c r="BX381" i="4"/>
  <c r="NS31" i="80"/>
  <c r="BZ28" i="80"/>
  <c r="PX8" i="80"/>
  <c r="PX11" i="80" s="1"/>
  <c r="BZ11" i="80"/>
  <c r="LO31" i="78" l="1"/>
  <c r="Z28" i="80"/>
  <c r="Z31" i="80" s="1"/>
  <c r="Z11" i="80"/>
  <c r="W31" i="80"/>
  <c r="Z11" i="78"/>
  <c r="Z28" i="78"/>
  <c r="CA121" i="4"/>
  <c r="CA169" i="4" s="1"/>
  <c r="CC127" i="4"/>
  <c r="CC121" i="4" s="1"/>
  <c r="CC169" i="4" s="1"/>
  <c r="CB127" i="4"/>
  <c r="CB121" i="4" s="1"/>
  <c r="CB169" i="4" s="1"/>
  <c r="BU380" i="4"/>
  <c r="BU383" i="4" s="1"/>
  <c r="BU365" i="4"/>
  <c r="BU387" i="4" s="1"/>
  <c r="BU390" i="4" s="1"/>
  <c r="PP28" i="80"/>
  <c r="PP31" i="80" s="1"/>
  <c r="PS8" i="80"/>
  <c r="PS11" i="80" s="1"/>
  <c r="LC28" i="78"/>
  <c r="LC31" i="78" s="1"/>
  <c r="LC11" i="78"/>
  <c r="BX362" i="4"/>
  <c r="AC8" i="78"/>
  <c r="AC8" i="80"/>
  <c r="BX267" i="4"/>
  <c r="BX350" i="4" s="1"/>
  <c r="LQ9" i="78"/>
  <c r="DR923" i="3"/>
  <c r="DR925" i="3" s="1"/>
  <c r="DR907" i="3"/>
  <c r="DR929" i="3" s="1"/>
  <c r="DR932" i="3" s="1"/>
  <c r="DT27" i="80"/>
  <c r="DT11" i="80"/>
  <c r="PY7" i="80"/>
  <c r="DZ7" i="80"/>
  <c r="DZ11" i="80" s="1"/>
  <c r="CT11" i="78"/>
  <c r="CT27" i="78"/>
  <c r="LL7" i="78"/>
  <c r="LL27" i="78" s="1"/>
  <c r="LR27" i="78" s="1"/>
  <c r="CZ7" i="78"/>
  <c r="CZ11" i="78" s="1"/>
  <c r="BK36" i="57"/>
  <c r="BK26" i="57" s="1"/>
  <c r="EG11" i="80"/>
  <c r="QN7" i="80"/>
  <c r="EM7" i="80"/>
  <c r="EM11" i="80" s="1"/>
  <c r="EH11" i="80"/>
  <c r="QO7" i="80"/>
  <c r="QO11" i="80" s="1"/>
  <c r="LN11" i="78"/>
  <c r="DQ31" i="80"/>
  <c r="PV27" i="80"/>
  <c r="LQ10" i="78"/>
  <c r="PB31" i="80"/>
  <c r="KK11" i="78"/>
  <c r="QA11" i="80"/>
  <c r="QD9" i="80"/>
  <c r="QD10" i="80"/>
  <c r="KK29" i="78"/>
  <c r="EF932" i="3"/>
  <c r="EF925" i="3"/>
  <c r="KK30" i="78"/>
  <c r="EI900" i="3"/>
  <c r="EI924" i="3" s="1"/>
  <c r="EI893" i="3"/>
  <c r="EH893" i="3"/>
  <c r="EH900" i="3"/>
  <c r="EH924" i="3" s="1"/>
  <c r="BZ31" i="80"/>
  <c r="CF28" i="80"/>
  <c r="CF31" i="80" s="1"/>
  <c r="PU11" i="80"/>
  <c r="QC8" i="80"/>
  <c r="QC11" i="80" s="1"/>
  <c r="EG31" i="78"/>
  <c r="FT31" i="80"/>
  <c r="KH31" i="78"/>
  <c r="LF28" i="78"/>
  <c r="LF31" i="78" s="1"/>
  <c r="LF11" i="78"/>
  <c r="LQ17" i="78"/>
  <c r="LQ21" i="78" s="1"/>
  <c r="LM21" i="78"/>
  <c r="OZ31" i="80"/>
  <c r="PZ27" i="80"/>
  <c r="LN28" i="78"/>
  <c r="LN31" i="78" s="1"/>
  <c r="KQ31" i="78"/>
  <c r="JB28" i="80"/>
  <c r="JB31" i="80" s="1"/>
  <c r="JB11" i="80"/>
  <c r="KK28" i="78"/>
  <c r="KG31" i="78"/>
  <c r="GO11" i="78"/>
  <c r="GO28" i="78"/>
  <c r="GO31" i="78" s="1"/>
  <c r="KM31" i="78"/>
  <c r="LM27" i="78"/>
  <c r="BW31" i="80"/>
  <c r="EF27" i="78"/>
  <c r="EF31" i="78" s="1"/>
  <c r="EB31" i="78"/>
  <c r="LU31" i="78" s="1"/>
  <c r="LU27" i="78"/>
  <c r="FO31" i="80"/>
  <c r="QU31" i="80" s="1"/>
  <c r="FS27" i="80"/>
  <c r="FS31" i="80" s="1"/>
  <c r="QU27" i="80"/>
  <c r="PZ29" i="80"/>
  <c r="QD29" i="80" s="1"/>
  <c r="GL11" i="78"/>
  <c r="GL28" i="78"/>
  <c r="GU8" i="78"/>
  <c r="GU11" i="78" s="1"/>
  <c r="QD17" i="80"/>
  <c r="QD21" i="80" s="1"/>
  <c r="PZ21" i="80"/>
  <c r="PZ30" i="80"/>
  <c r="QD30" i="80" s="1"/>
  <c r="QA28" i="80"/>
  <c r="QA31" i="80" s="1"/>
  <c r="PD31" i="80"/>
  <c r="LQ8" i="78"/>
  <c r="LM11" i="78"/>
  <c r="OG31" i="80"/>
  <c r="OK28" i="80"/>
  <c r="OK11" i="80"/>
  <c r="DM923" i="3"/>
  <c r="DM925" i="3" s="1"/>
  <c r="DM929" i="3"/>
  <c r="DM932" i="3" s="1"/>
  <c r="PZ28" i="80"/>
  <c r="OY31" i="80"/>
  <c r="OK29" i="80"/>
  <c r="PV29" i="80"/>
  <c r="QE29" i="80" s="1"/>
  <c r="LM30" i="78"/>
  <c r="LQ30" i="78" s="1"/>
  <c r="LR30" i="78"/>
  <c r="OK30" i="80"/>
  <c r="PV30" i="80"/>
  <c r="QE30" i="80" s="1"/>
  <c r="LM28" i="78"/>
  <c r="KL31" i="78"/>
  <c r="BS28" i="78"/>
  <c r="BS31" i="78" s="1"/>
  <c r="LM29" i="78"/>
  <c r="LQ29" i="78" s="1"/>
  <c r="LR29" i="78"/>
  <c r="PZ11" i="80"/>
  <c r="DP923" i="3"/>
  <c r="DP925" i="3" s="1"/>
  <c r="DP929" i="3"/>
  <c r="DP932" i="3" s="1"/>
  <c r="IY11" i="80"/>
  <c r="IY28" i="80"/>
  <c r="JH8" i="80"/>
  <c r="JU46" i="80" s="1"/>
  <c r="LI8" i="78"/>
  <c r="OH31" i="80"/>
  <c r="PW28" i="80"/>
  <c r="PW31" i="80" s="1"/>
  <c r="QD8" i="80" l="1"/>
  <c r="CC362" i="4"/>
  <c r="CC170" i="4"/>
  <c r="CC267" i="4"/>
  <c r="CC350" i="4" s="1"/>
  <c r="AF8" i="80"/>
  <c r="AJ8" i="80" s="1"/>
  <c r="CA267" i="4"/>
  <c r="CA350" i="4" s="1"/>
  <c r="AF8" i="78"/>
  <c r="CA362" i="4"/>
  <c r="Z31" i="78"/>
  <c r="PS28" i="80"/>
  <c r="PS31" i="80" s="1"/>
  <c r="AC11" i="80"/>
  <c r="AC28" i="80"/>
  <c r="AC31" i="80" s="1"/>
  <c r="AC11" i="78"/>
  <c r="AC28" i="78"/>
  <c r="AC31" i="78" s="1"/>
  <c r="AL8" i="78"/>
  <c r="AL11" i="78" s="1"/>
  <c r="BX380" i="4"/>
  <c r="BX383" i="4" s="1"/>
  <c r="BX365" i="4"/>
  <c r="BX387" i="4" s="1"/>
  <c r="BX390" i="4" s="1"/>
  <c r="PV8" i="80"/>
  <c r="PV11" i="80" s="1"/>
  <c r="CB267" i="4"/>
  <c r="CB350" i="4" s="1"/>
  <c r="CB362" i="4"/>
  <c r="CB170" i="4"/>
  <c r="LR7" i="78"/>
  <c r="QN11" i="80"/>
  <c r="QT7" i="80"/>
  <c r="QT11" i="80" s="1"/>
  <c r="BL36" i="57"/>
  <c r="BL26" i="57" s="1"/>
  <c r="BK58" i="57"/>
  <c r="CT31" i="78"/>
  <c r="CZ27" i="78"/>
  <c r="CZ31" i="78" s="1"/>
  <c r="PY27" i="80"/>
  <c r="QE27" i="80" s="1"/>
  <c r="QE7" i="80"/>
  <c r="DT31" i="80"/>
  <c r="DZ27" i="80"/>
  <c r="DZ31" i="80" s="1"/>
  <c r="LQ11" i="78"/>
  <c r="QD11" i="80"/>
  <c r="KK31" i="78"/>
  <c r="JH11" i="80"/>
  <c r="JU49" i="80" s="1"/>
  <c r="EH925" i="3"/>
  <c r="EH901" i="3"/>
  <c r="EH928" i="3" s="1"/>
  <c r="EH932" i="3" s="1"/>
  <c r="EI925" i="3"/>
  <c r="EI901" i="3"/>
  <c r="EI928" i="3" s="1"/>
  <c r="EI932" i="3" s="1"/>
  <c r="IY31" i="80"/>
  <c r="PV28" i="80"/>
  <c r="PV31" i="80" s="1"/>
  <c r="JH28" i="80"/>
  <c r="JH31" i="80" s="1"/>
  <c r="OK31" i="80"/>
  <c r="LQ28" i="78"/>
  <c r="QD27" i="80"/>
  <c r="QD31" i="80" s="1"/>
  <c r="PZ31" i="80"/>
  <c r="QD28" i="80"/>
  <c r="LI28" i="78"/>
  <c r="LI11" i="78"/>
  <c r="LM31" i="78"/>
  <c r="LQ27" i="78"/>
  <c r="GL31" i="78"/>
  <c r="GU28" i="78"/>
  <c r="GU31" i="78" s="1"/>
  <c r="AK8" i="80" l="1"/>
  <c r="AK11" i="80" s="1"/>
  <c r="AJ11" i="80"/>
  <c r="BB35" i="80" s="1"/>
  <c r="CA365" i="4"/>
  <c r="CA387" i="4" s="1"/>
  <c r="CA390" i="4" s="1"/>
  <c r="CA380" i="4"/>
  <c r="CA383" i="4" s="1"/>
  <c r="CC380" i="4"/>
  <c r="CC383" i="4" s="1"/>
  <c r="CC365" i="4"/>
  <c r="CC387" i="4" s="1"/>
  <c r="CC390" i="4" s="1"/>
  <c r="AF28" i="78"/>
  <c r="AF11" i="78"/>
  <c r="LL8" i="78"/>
  <c r="CB380" i="4"/>
  <c r="CB383" i="4" s="1"/>
  <c r="CB365" i="4"/>
  <c r="CB387" i="4" s="1"/>
  <c r="CB390" i="4" s="1"/>
  <c r="AF11" i="80"/>
  <c r="AF28" i="80"/>
  <c r="AL8" i="80"/>
  <c r="AL11" i="80" s="1"/>
  <c r="PY8" i="80"/>
  <c r="BM36" i="57"/>
  <c r="BM26" i="57" s="1"/>
  <c r="BL58" i="57"/>
  <c r="LI31" i="78"/>
  <c r="LQ31" i="78"/>
  <c r="CQ357" i="4"/>
  <c r="CQ359" i="4"/>
  <c r="CQ386" i="4" s="1"/>
  <c r="CQ334" i="4"/>
  <c r="CQ336" i="4" s="1"/>
  <c r="CQ350" i="4" s="1"/>
  <c r="QE8" i="80" l="1"/>
  <c r="QE11" i="80" s="1"/>
  <c r="QG11" i="80" s="1"/>
  <c r="PY28" i="80"/>
  <c r="PY11" i="80"/>
  <c r="AF31" i="78"/>
  <c r="AL28" i="78"/>
  <c r="AL31" i="78" s="1"/>
  <c r="CQ375" i="4"/>
  <c r="AF31" i="80"/>
  <c r="AL28" i="80"/>
  <c r="AL31" i="80" s="1"/>
  <c r="BB44" i="80"/>
  <c r="BD35" i="80"/>
  <c r="BD44" i="80" s="1"/>
  <c r="LR8" i="78"/>
  <c r="LR11" i="78" s="1"/>
  <c r="LT11" i="78" s="1"/>
  <c r="LL28" i="78"/>
  <c r="LL11" i="78"/>
  <c r="BN36" i="57"/>
  <c r="BM58" i="57"/>
  <c r="CQ352" i="4"/>
  <c r="CR352" i="4"/>
  <c r="CQ381" i="4" l="1"/>
  <c r="CQ383" i="4" s="1"/>
  <c r="CQ377" i="4"/>
  <c r="CQ389" i="4" s="1"/>
  <c r="CQ390" i="4" s="1"/>
  <c r="LL31" i="78"/>
  <c r="LR28" i="78"/>
  <c r="LR31" i="78" s="1"/>
  <c r="BE46" i="80"/>
  <c r="BH44" i="80"/>
  <c r="PY31" i="80"/>
  <c r="QE28" i="80"/>
  <c r="QE31" i="80" s="1"/>
  <c r="BN26" i="57"/>
  <c r="BN58" i="57" s="1"/>
</calcChain>
</file>

<file path=xl/comments1.xml><?xml version="1.0" encoding="utf-8"?>
<comments xmlns="http://schemas.openxmlformats.org/spreadsheetml/2006/main">
  <authors>
    <author>lincbp</author>
    <author>Budi Jayadi</author>
  </authors>
  <commentList>
    <comment ref="BF75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BILLING HALU</t>
        </r>
      </text>
    </comment>
    <comment ref="T127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turun karena 2 chamber tambahan gudang sudah habis, kembali ke kontrak awal</t>
        </r>
      </text>
    </comment>
    <comment ref="T13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Penurunan sewa palet storage</t>
        </r>
      </text>
    </comment>
    <comment ref="T176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Kontrak berakhir</t>
        </r>
      </text>
    </comment>
    <comment ref="E211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Pindahan dari Ecco Indonesia</t>
        </r>
      </text>
    </comment>
    <comment ref="E218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Pindahan dari Ecco Indonesia</t>
        </r>
      </text>
    </comment>
    <comment ref="T273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turun 100jt/bln (300jt)
</t>
        </r>
      </text>
    </comment>
    <comment ref="T275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Kalah tender dari 8 gudang jadi 5 gudang
hilang 70juta (Nov-Des) total 140juta
Kumai, sampit A&amp;B, Ampah
Tp dpt 1 baru jd total 5 </t>
        </r>
      </text>
    </comment>
    <comment ref="E284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Indocement Tunggal Prakarsa</t>
        </r>
      </text>
    </comment>
    <comment ref="T285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Belum menang sebelumnya 200 juta</t>
        </r>
      </text>
    </comment>
    <comment ref="E286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Indocement Tunggal Prakarsa</t>
        </r>
      </text>
    </comment>
    <comment ref="T286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Belum menang sebelumnya 200 juta</t>
        </r>
      </text>
    </comment>
    <comment ref="T298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PKT kontrak berakhir</t>
        </r>
      </text>
    </comment>
    <comment ref="BA342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Danone</t>
        </r>
      </text>
    </comment>
    <comment ref="BB342" authorId="0" shapeId="0">
      <text>
        <r>
          <rPr>
            <b/>
            <sz val="9"/>
            <color indexed="81"/>
            <rFont val="Tahoma"/>
            <family val="2"/>
          </rPr>
          <t>sw:</t>
        </r>
        <r>
          <rPr>
            <sz val="9"/>
            <color indexed="81"/>
            <rFont val="Tahoma"/>
            <family val="2"/>
          </rPr>
          <t xml:space="preserve">
Tirta Investama</t>
        </r>
      </text>
    </comment>
    <comment ref="BF342" authorId="0" shapeId="0">
      <text>
        <r>
          <rPr>
            <b/>
            <sz val="9"/>
            <color indexed="81"/>
            <rFont val="Tahoma"/>
            <family val="2"/>
          </rPr>
          <t>sw:</t>
        </r>
        <r>
          <rPr>
            <sz val="9"/>
            <color indexed="81"/>
            <rFont val="Tahoma"/>
            <family val="2"/>
          </rPr>
          <t xml:space="preserve">
TIV</t>
        </r>
      </text>
    </comment>
    <comment ref="BA346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SMART customer id 3000005193</t>
        </r>
      </text>
    </comment>
    <comment ref="BA348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Danone</t>
        </r>
      </text>
    </comment>
  </commentList>
</comments>
</file>

<file path=xl/comments2.xml><?xml version="1.0" encoding="utf-8"?>
<comments xmlns="http://schemas.openxmlformats.org/spreadsheetml/2006/main">
  <authors>
    <author>lincbp</author>
    <author>Budi Jayadi</author>
  </authors>
  <commentList>
    <comment ref="CS57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putus kontrak 6 unit + penalty pemutusan kontrak</t>
        </r>
      </text>
    </comment>
    <comment ref="E63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sdh ada dari 2020</t>
        </r>
      </text>
    </comment>
    <comment ref="E65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ITC ENEX INDONESIA</t>
        </r>
      </text>
    </comment>
    <comment ref="CS67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sewa bln Maret 12.850.000 dipotong lebih tagih bln Jan 7.750.000 (revisi rate berlaku surut)</t>
        </r>
      </text>
    </comment>
    <comment ref="CS74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termasuk tambahan tagihan subsidi enex (jan sd mar): 5.450.000 x 3 bln = 16.350.000 (tambahan masuk divisi rental)</t>
        </r>
      </text>
    </comment>
    <comment ref="CY80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Nilai minus karena miskom dari Ops, Itochu tdk pesan unit BP tapi order diambil---&gt; pesan 1 unit tapi dikasih 3 unit</t>
        </r>
      </text>
    </comment>
    <comment ref="BZ92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Budget bagi 2 dengan mata pelangi chemindo</t>
        </r>
      </text>
    </comment>
    <comment ref="CY95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Nilai minus karena koreksi salah rate (per email konfirmasi ke Ivin)</t>
        </r>
      </text>
    </comment>
    <comment ref="BZ115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Pindah dari Roca Industries Indonesia</t>
        </r>
      </text>
    </comment>
    <comment ref="BN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O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P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Q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S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T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U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V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W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X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Y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BZ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budget pindah ke yang TBK</t>
        </r>
      </text>
    </comment>
    <comment ref="CB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C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D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E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G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H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I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J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K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L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M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S120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adjustment caje 09_2020</t>
        </r>
      </text>
    </comment>
    <comment ref="EE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EF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EG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EH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EI12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dipindah ke sanghiang TBK</t>
        </r>
      </text>
    </comment>
    <comment ref="CS127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tagihan by inap unit rental SMART yg ditagih ke SDN krn kesalahan SDN telat bongkar</t>
        </r>
      </text>
    </comment>
    <comment ref="E131" authorId="0" shapeId="0">
      <text>
        <r>
          <rPr>
            <b/>
            <sz val="9"/>
            <color indexed="81"/>
            <rFont val="Tahoma"/>
            <family val="2"/>
          </rPr>
          <t>sw:</t>
        </r>
        <r>
          <rPr>
            <sz val="9"/>
            <color indexed="81"/>
            <rFont val="Tahoma"/>
            <family val="2"/>
          </rPr>
          <t xml:space="preserve">
merupakan vendor dari Rusli Vinilon Sakti, per 8 Feb seluruh order RVS diberikan melalui Tibeka</t>
        </r>
      </text>
    </comment>
    <comment ref="D164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&gt; 1 tahun jadi new kembali</t>
        </r>
      </text>
    </comment>
    <comment ref="CS196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adjustment audit</t>
        </r>
      </text>
    </comment>
    <comment ref="E316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d/h austasia food</t>
        </r>
      </text>
    </comment>
    <comment ref="CS522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audit adjustment</t>
        </r>
      </text>
    </comment>
    <comment ref="E538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d/h Indo Thai Trading</t>
        </r>
      </text>
    </comment>
    <comment ref="CS547" authorId="0" shapeId="0">
      <text>
        <r>
          <rPr>
            <b/>
            <sz val="9"/>
            <color indexed="81"/>
            <rFont val="Tahoma"/>
            <family val="2"/>
          </rPr>
          <t>lincbp:</t>
        </r>
        <r>
          <rPr>
            <sz val="9"/>
            <color indexed="81"/>
            <rFont val="Tahoma"/>
            <family val="2"/>
          </rPr>
          <t xml:space="preserve">
audit adjustment</t>
        </r>
      </text>
    </comment>
    <comment ref="DV830" authorId="1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asumsi tambah 4 unit investasi</t>
        </r>
      </text>
    </comment>
  </commentList>
</comments>
</file>

<file path=xl/comments3.xml><?xml version="1.0" encoding="utf-8"?>
<comments xmlns="http://schemas.openxmlformats.org/spreadsheetml/2006/main">
  <authors>
    <author>Budi Jayadi</author>
  </authors>
  <commentList>
    <comment ref="W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Z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AC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AF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AL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BQ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BT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BW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BZ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CF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DK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DN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DQ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DT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DZ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FE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FH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FK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FN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FT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GY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HB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HE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HH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HN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IS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IV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IY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JB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JH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KM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KP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KS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KV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LB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MG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MJ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MM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MP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MV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PP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PS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PV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PY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QE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</commentList>
</comments>
</file>

<file path=xl/comments4.xml><?xml version="1.0" encoding="utf-8"?>
<comments xmlns="http://schemas.openxmlformats.org/spreadsheetml/2006/main">
  <authors>
    <author>Budi Jayadi</author>
  </authors>
  <commentList>
    <comment ref="AL11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To be review</t>
        </r>
      </text>
    </comment>
    <comment ref="BS11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To be review</t>
        </r>
      </text>
    </comment>
    <comment ref="CZ11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To be review</t>
        </r>
      </text>
    </comment>
    <comment ref="IB11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To be review</t>
        </r>
      </text>
    </comment>
    <comment ref="W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Z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AC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AF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AL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BD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BG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BJ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BM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BS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CK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CN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CQ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CT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CZ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DR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DU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DX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EA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EG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EY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FB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FE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FH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FN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GF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GI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GL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GO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GU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HM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HP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HS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HV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IB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IT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IW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IZ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JC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JI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LC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LF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LI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LL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  <comment ref="LR12" authorId="0" shapeId="0">
      <text>
        <r>
          <rPr>
            <b/>
            <sz val="9"/>
            <color indexed="81"/>
            <rFont val="Tahoma"/>
            <family val="2"/>
          </rPr>
          <t>Budi Jayadi:</t>
        </r>
        <r>
          <rPr>
            <sz val="9"/>
            <color indexed="81"/>
            <rFont val="Tahoma"/>
            <family val="2"/>
          </rPr>
          <t xml:space="preserve">
FC Before by sales</t>
        </r>
      </text>
    </comment>
  </commentList>
</comments>
</file>

<file path=xl/sharedStrings.xml><?xml version="1.0" encoding="utf-8"?>
<sst xmlns="http://schemas.openxmlformats.org/spreadsheetml/2006/main" count="8000" uniqueCount="1230">
  <si>
    <t>PT.  CIPTA MAPAN LOGISTIK</t>
  </si>
  <si>
    <t>Actual</t>
  </si>
  <si>
    <t>Revenue by Area by BU</t>
  </si>
  <si>
    <t>FC1= Forecast Estimation (by sales)</t>
  </si>
  <si>
    <t>YTD Agt 2021 + FC1</t>
  </si>
  <si>
    <t>YTD Agt 2021 + FC2</t>
  </si>
  <si>
    <t>Periode 2021-2022</t>
  </si>
  <si>
    <t>FC2= Forecast Estimation (by sales) - updated by pak Jo</t>
  </si>
  <si>
    <t>OL</t>
  </si>
  <si>
    <t>ACTUAL</t>
  </si>
  <si>
    <t>BUDGET LTL</t>
  </si>
  <si>
    <t>Budget Rev</t>
  </si>
  <si>
    <t>BUDGET REV</t>
  </si>
  <si>
    <t>FC1</t>
  </si>
  <si>
    <t>FC2</t>
  </si>
  <si>
    <t>BUDGET</t>
  </si>
  <si>
    <t>BUDGET 2022</t>
  </si>
  <si>
    <t>Sales Name</t>
  </si>
  <si>
    <t>BU</t>
  </si>
  <si>
    <t>Existing/ New</t>
  </si>
  <si>
    <t>Customer</t>
  </si>
  <si>
    <t>Customer ID SAP</t>
  </si>
  <si>
    <t>YTD 2019</t>
  </si>
  <si>
    <t>May</t>
  </si>
  <si>
    <t>Total 2020</t>
  </si>
  <si>
    <t>Total 2021</t>
  </si>
  <si>
    <t>Total 2022</t>
  </si>
  <si>
    <t>Total 2023</t>
  </si>
  <si>
    <t>Total 2024</t>
  </si>
  <si>
    <t>Total 2025</t>
  </si>
  <si>
    <t>Total 2026</t>
  </si>
  <si>
    <t>Internal/Eksternal</t>
  </si>
  <si>
    <t>Industries</t>
  </si>
  <si>
    <t>PACKAGE</t>
  </si>
  <si>
    <t>PACK JAKARTA</t>
  </si>
  <si>
    <t>8Commerce</t>
  </si>
  <si>
    <t>Package Whs</t>
  </si>
  <si>
    <t>ACE LIVING CONCEPT</t>
  </si>
  <si>
    <t>Eksternal</t>
  </si>
  <si>
    <t>VANNY</t>
  </si>
  <si>
    <t>Existing</t>
  </si>
  <si>
    <t>ADVANCE STABILINDO INDONESIA</t>
  </si>
  <si>
    <t>Internal</t>
  </si>
  <si>
    <t>IVIN</t>
  </si>
  <si>
    <t>ANDALAN DUNIA SEMESTA</t>
  </si>
  <si>
    <t>ANUGRAH DAYAMITRA FIBER</t>
  </si>
  <si>
    <t>ANUGRAH KERTAS UTAMA</t>
  </si>
  <si>
    <t>AQUA GOLDEN MISSISSIPPI</t>
  </si>
  <si>
    <t>ASIA PACIFIC RAYON</t>
  </si>
  <si>
    <t>ATLAS PETROCHEM INDO</t>
  </si>
  <si>
    <t>BABABAA ANAK NUSANTARA</t>
  </si>
  <si>
    <t>BAHANA PRESTASI</t>
  </si>
  <si>
    <t>BAHTERA ADI JAYA</t>
  </si>
  <si>
    <t>BANK CENTRAL ASIA TBK</t>
  </si>
  <si>
    <t>BANK HSBC INDONESIA</t>
  </si>
  <si>
    <t>BCA FINANCE</t>
  </si>
  <si>
    <t>BERLINA TBK</t>
  </si>
  <si>
    <t>BINA MANDIRI TRANSINDO</t>
  </si>
  <si>
    <t>CATALITE INDONESIA</t>
  </si>
  <si>
    <t>BUDIMAN</t>
  </si>
  <si>
    <t>CATUR ANDALAN PERSADA</t>
  </si>
  <si>
    <t>CHARMER INDO LOGISTIK</t>
  </si>
  <si>
    <t>CIPTA LOGISTIK INDONESIA</t>
  </si>
  <si>
    <t>COBRA DENTAL INDONESIA</t>
  </si>
  <si>
    <t>COCA-COLA DISTRIBUTION INDONESIA</t>
  </si>
  <si>
    <t>DCH AURIGA INDONESIA</t>
  </si>
  <si>
    <t>DUNIA KIMIA JAYA</t>
  </si>
  <si>
    <t>DUTCH MILL INDONESIA</t>
  </si>
  <si>
    <t>DYNAPLAST</t>
  </si>
  <si>
    <t>FAJAR MITRA INDAH</t>
  </si>
  <si>
    <t>GISTEX RETAILINDO</t>
  </si>
  <si>
    <t>EMPAT PILAR FIBER INDONESIA</t>
  </si>
  <si>
    <t>GUNUNG MAS PERKASA ABADI</t>
  </si>
  <si>
    <t>HASA PRIMA KIMIA</t>
  </si>
  <si>
    <t>HIAS RITEL INDONESIA</t>
  </si>
  <si>
    <t>INDAH KIAT PULP &amp; PAPER Tbk.</t>
  </si>
  <si>
    <t>INTI MEGAH SWARA</t>
  </si>
  <si>
    <t>ITOCHU INDONESIA</t>
  </si>
  <si>
    <t>JAGAT KARYA PUTRA INDONESIA</t>
  </si>
  <si>
    <t>KARYA MANDIRI LESTARi</t>
  </si>
  <si>
    <t>KAYU RAYA INDONESIA</t>
  </si>
  <si>
    <t>LAM SENG HANG INDONESIA</t>
  </si>
  <si>
    <t>LAM SENG HANG RESIN</t>
  </si>
  <si>
    <t>LAUTAN LUAS TBK</t>
  </si>
  <si>
    <t>MDKOKO COSMETICS INDONESIA</t>
  </si>
  <si>
    <t>MOVI VENTURA PRIMA</t>
  </si>
  <si>
    <t>MULTI FORTUNA SINARDELTA</t>
  </si>
  <si>
    <t>NIRWANA LESTARI</t>
  </si>
  <si>
    <t>OXFORD BUSINESS ASSOCIATION</t>
  </si>
  <si>
    <t>PACINESIA CHEMICAL INDUSTRY</t>
  </si>
  <si>
    <t>PERUSAHAAN INDUSTRI CERES</t>
  </si>
  <si>
    <t>PIKATHATI KARUNIA AZZA</t>
  </si>
  <si>
    <t>PRIMA MAS MAKMUR</t>
  </si>
  <si>
    <t>PZ CUSSONS INDONESIA</t>
  </si>
  <si>
    <t>RAKSASA BISNIS INDONESIA</t>
  </si>
  <si>
    <t>RB FOOD SUPPLY INDONESIA</t>
  </si>
  <si>
    <t>RIAU ANDALAN KERTAS</t>
  </si>
  <si>
    <t>RHENUS LOGISTICS INDONESIA</t>
  </si>
  <si>
    <t>SAM JUNG INDONESIA</t>
  </si>
  <si>
    <t>SAMSONITE INDONESIA</t>
  </si>
  <si>
    <t>SEJAHTERA MITRA TRISUKSES</t>
  </si>
  <si>
    <t>SO GOOD FOOD</t>
  </si>
  <si>
    <t>SUNTORY GARUDA BEVERAGE</t>
  </si>
  <si>
    <t>TIRTA INVESTAMA</t>
  </si>
  <si>
    <t>UNILEVER ENTERPRISES INDONESIA</t>
  </si>
  <si>
    <t>VICTORY RETAILINDO</t>
  </si>
  <si>
    <t>ZULU ALPHA PAPA</t>
  </si>
  <si>
    <t>NEW CUSTOMER 2021</t>
  </si>
  <si>
    <t>New</t>
  </si>
  <si>
    <t>AERO SARANA PERSADA</t>
  </si>
  <si>
    <t>ANUGRAH SENTRA PERSADA</t>
  </si>
  <si>
    <t>BASF DISTRIBUTION INDONESIA</t>
  </si>
  <si>
    <t>BASF INDONESIA</t>
  </si>
  <si>
    <t>BASF Others</t>
  </si>
  <si>
    <t>GCM MARKETING SOLUTIONS INDONESIA</t>
  </si>
  <si>
    <t>GLOBAL BINTAN PERMATA</t>
  </si>
  <si>
    <t>LUMAS JAYA INDUSTRY</t>
  </si>
  <si>
    <t>Vanny</t>
  </si>
  <si>
    <t>TUMBAKMAS NIAGASAKTI</t>
  </si>
  <si>
    <t>YOKE FOOD INDUSTRIES INDONESIA</t>
  </si>
  <si>
    <t>POTENTIAL CUSTOMER</t>
  </si>
  <si>
    <t>Potential</t>
  </si>
  <si>
    <t>ABC KOGEN</t>
  </si>
  <si>
    <t>ADF GROUP</t>
  </si>
  <si>
    <t>AMCOR INDONESIA</t>
  </si>
  <si>
    <t>AKSA NOBEL</t>
  </si>
  <si>
    <t>BANGUN INFRA NUSANTARA</t>
  </si>
  <si>
    <t>BERSAUDARA UTAMA MAJU</t>
  </si>
  <si>
    <t>BLUEMART</t>
  </si>
  <si>
    <t>CERES / NIRWANA LESTARI</t>
  </si>
  <si>
    <t>CITA RASA PRIMA</t>
  </si>
  <si>
    <t>DANONE GUNUNG PUTRI</t>
  </si>
  <si>
    <t>GARUDA FOOD</t>
  </si>
  <si>
    <t>GARUDAFOOD/MBR</t>
  </si>
  <si>
    <t>GLOBAL SINERGI</t>
  </si>
  <si>
    <t>INDO THAI TRADING</t>
  </si>
  <si>
    <t>KIMBERLY</t>
  </si>
  <si>
    <t>KOMUNIKASI JEJALA INDONESIA</t>
  </si>
  <si>
    <t>LOGISLY</t>
  </si>
  <si>
    <t>MAS MEWAH</t>
  </si>
  <si>
    <t>MERAKI</t>
  </si>
  <si>
    <t>MITRAPAK ERAMANDIRI</t>
  </si>
  <si>
    <t>NUTRICIA</t>
  </si>
  <si>
    <t>Check???</t>
  </si>
  <si>
    <t>PPG</t>
  </si>
  <si>
    <t>5000m2 (additional whs)</t>
  </si>
  <si>
    <t>ROBERTET</t>
  </si>
  <si>
    <t>SCG</t>
  </si>
  <si>
    <t>SCIENTEX</t>
  </si>
  <si>
    <t>SHELL</t>
  </si>
  <si>
    <t>SMART MARUNDA</t>
  </si>
  <si>
    <t>SN NUTRICIA</t>
  </si>
  <si>
    <t>TEMANS</t>
  </si>
  <si>
    <t>UNILEVER INDONESIA</t>
  </si>
  <si>
    <t>VALEO</t>
  </si>
  <si>
    <t>Master Builder Solusi Indonesia</t>
  </si>
  <si>
    <t>Guyovital Indonesia Adm</t>
  </si>
  <si>
    <t>SUBTOTAL PACK JAKARTA</t>
  </si>
  <si>
    <t>PACK SEMARANG</t>
  </si>
  <si>
    <t>DEASY</t>
  </si>
  <si>
    <t>AGUNG KUNCORO TEXTIEL</t>
  </si>
  <si>
    <t>AGUNG SEJAHTERA SIDORAHARJATEX</t>
  </si>
  <si>
    <t>BERKAT MANUNGGAL JAYA</t>
  </si>
  <si>
    <t>BINA SINAR AMITY</t>
  </si>
  <si>
    <t>BINTANG ASAHI TEXTIL</t>
  </si>
  <si>
    <t>BUMI WAHYU JAYA ABADI</t>
  </si>
  <si>
    <t>GRAND TEXTILE INDUSTI</t>
  </si>
  <si>
    <t>INTERNATIONAL FORTUNA EKSPRESINDO</t>
  </si>
  <si>
    <t>MANNA ANUGERAH SEJAHTERA</t>
  </si>
  <si>
    <t>MERCUPRIMA SENTOSA TEXTILE</t>
  </si>
  <si>
    <t>MULIA JAYA SEJAHTERA</t>
  </si>
  <si>
    <t>PERTAMINA PETROCHEMICAL TRADING</t>
  </si>
  <si>
    <t>PURA BARUTAMA</t>
  </si>
  <si>
    <t>RINDANG JATI SPINNING</t>
  </si>
  <si>
    <t>TOTAL MANDIRI SELARAS</t>
  </si>
  <si>
    <t>TRISAKTI MUSTIKA GRAPHIKA</t>
  </si>
  <si>
    <t>UNZA VITALIS</t>
  </si>
  <si>
    <t>AMAN INDAH MAKMUR</t>
  </si>
  <si>
    <t>INDOCIPTA WISESA</t>
  </si>
  <si>
    <t>3000002489</t>
  </si>
  <si>
    <t>ABHIRAMA KRESNA</t>
  </si>
  <si>
    <t>DANONE NUTRICIA</t>
  </si>
  <si>
    <t>ROHA</t>
  </si>
  <si>
    <t>OOCL</t>
  </si>
  <si>
    <t>ROLIMEX</t>
  </si>
  <si>
    <t>SASA INTI</t>
  </si>
  <si>
    <t>TECHPACK ASIA</t>
  </si>
  <si>
    <t>TEMANS/HONDA</t>
  </si>
  <si>
    <t>SGC BARITO</t>
  </si>
  <si>
    <t>ICMD</t>
  </si>
  <si>
    <t>SUBTOTAL PACK SEMARANG</t>
  </si>
  <si>
    <t>PACK SURABAYA</t>
  </si>
  <si>
    <t>-</t>
  </si>
  <si>
    <t>ANTARA CIPTA</t>
  </si>
  <si>
    <t>EDWIN</t>
  </si>
  <si>
    <t>BDP INDONESIA</t>
  </si>
  <si>
    <t>ADIT</t>
  </si>
  <si>
    <t>CIPTA MORTAR UTAMA</t>
  </si>
  <si>
    <t>ECCO INDONESIA</t>
  </si>
  <si>
    <t>ECCO TANNERY INDONESIA</t>
  </si>
  <si>
    <t>ILC LOGISTICS INDONESIA</t>
  </si>
  <si>
    <t>PERUSAHAAN INDUSTRI</t>
  </si>
  <si>
    <t>PPG COATINGS INDONESIA</t>
  </si>
  <si>
    <t>SCIENTEX INDONESIA</t>
  </si>
  <si>
    <t>SINAR MAS AGRO RESOURCES AND</t>
  </si>
  <si>
    <t>SSI PRIMA MAS</t>
  </si>
  <si>
    <t>SYSPEX MULTITECH</t>
  </si>
  <si>
    <t>3000019518</t>
  </si>
  <si>
    <t>ASIAN PAINTS INDONESIA</t>
  </si>
  <si>
    <t>AVIAN GROUP</t>
  </si>
  <si>
    <t>AZELIS</t>
  </si>
  <si>
    <t>BAYER</t>
  </si>
  <si>
    <t>BSA</t>
  </si>
  <si>
    <t>CARGIL COCOA</t>
  </si>
  <si>
    <t>DB SCHENKER</t>
  </si>
  <si>
    <t>ECCO</t>
  </si>
  <si>
    <t>EMMERSON</t>
  </si>
  <si>
    <t>HERO/Guardian</t>
  </si>
  <si>
    <t>ISHANGRY</t>
  </si>
  <si>
    <t>MEDELA HEALTHCARE</t>
  </si>
  <si>
    <t>MIDEA</t>
  </si>
  <si>
    <t>SAMPOERNA</t>
  </si>
  <si>
    <t>SARPA WISESA REKAUNGGUL</t>
  </si>
  <si>
    <t>SC JHONSON</t>
  </si>
  <si>
    <t>SSK</t>
  </si>
  <si>
    <t>VEOLIA</t>
  </si>
  <si>
    <t>WILMAR</t>
  </si>
  <si>
    <t xml:space="preserve"> HB FULLER </t>
  </si>
  <si>
    <t xml:space="preserve"> MASTER BUILDER SOLUTION </t>
  </si>
  <si>
    <t xml:space="preserve"> DYNAPLAST </t>
  </si>
  <si>
    <t xml:space="preserve"> DE HEUS </t>
  </si>
  <si>
    <t xml:space="preserve"> GREE </t>
  </si>
  <si>
    <t xml:space="preserve"> BEHN MEYER AGRICARE </t>
  </si>
  <si>
    <t xml:space="preserve"> TUMBAKMAS NIAGASAKTI </t>
  </si>
  <si>
    <t xml:space="preserve"> CLARIANT ABSORBENT </t>
  </si>
  <si>
    <t>AMERTA INDAH OTSUKA</t>
  </si>
  <si>
    <t>BRAID GROUP INDONESIA</t>
  </si>
  <si>
    <t>RHENUS LOGISTIK</t>
  </si>
  <si>
    <t>GLICO</t>
  </si>
  <si>
    <t>SUBTOTAL PACK SURABAYA</t>
  </si>
  <si>
    <t>PACK MEDAN</t>
  </si>
  <si>
    <t xml:space="preserve">                           -</t>
  </si>
  <si>
    <t>HERLINA</t>
  </si>
  <si>
    <t>AZELIS INDONESIA DISTRIBUSI</t>
  </si>
  <si>
    <t>JEBSEN JESSEN INGREDIENTS INDONESIA</t>
  </si>
  <si>
    <t>YOKE FOOD  INDUSTRIES INDONESIA</t>
  </si>
  <si>
    <t>GCM Marketing Solution Indonesia</t>
  </si>
  <si>
    <t>TUMBAK MAS</t>
  </si>
  <si>
    <t>SUBTOTAL PACK MEDAN</t>
  </si>
  <si>
    <t>SUBTOTAL PACK NASIONAL</t>
  </si>
  <si>
    <t>BULK</t>
  </si>
  <si>
    <t>BULK JAKARTA</t>
  </si>
  <si>
    <t>Bulk Whs</t>
  </si>
  <si>
    <t xml:space="preserve">ADHITIA </t>
  </si>
  <si>
    <t>INDOCEMENT TUNGGAL PRAKARSA TBK.</t>
  </si>
  <si>
    <t>ND SAPUTRI</t>
  </si>
  <si>
    <t>PUPUK KALIMANTAN TIMUR</t>
  </si>
  <si>
    <t>PUPUK KUJANG</t>
  </si>
  <si>
    <t>SEMEN JAWA</t>
  </si>
  <si>
    <t>PUPUK KALIMANTAN TIMUR SULAWESI</t>
  </si>
  <si>
    <t>YARA INDONESIA</t>
  </si>
  <si>
    <t>SOLUSI BANGUN INDONESIA TBK</t>
  </si>
  <si>
    <t>CARGIL</t>
  </si>
  <si>
    <t xml:space="preserve">ITP Exclude P14 </t>
  </si>
  <si>
    <t>ITP PATI</t>
  </si>
  <si>
    <t xml:space="preserve">ITP PANDEGLANG </t>
  </si>
  <si>
    <t xml:space="preserve"> </t>
  </si>
  <si>
    <t>SUBTOTAL BULK JAKARTA</t>
  </si>
  <si>
    <t>BULK SEMARANG</t>
  </si>
  <si>
    <t>ABDUL RAUF</t>
  </si>
  <si>
    <t>PKT/Pupuk Indonesia</t>
  </si>
  <si>
    <t>SUBTOTAL BULK SEMARANG</t>
  </si>
  <si>
    <t>BULK SURABAYA</t>
  </si>
  <si>
    <t>CLEMENTCORP TRADING PTE</t>
  </si>
  <si>
    <t>ROLIMEX KIMIA NUSAMAS</t>
  </si>
  <si>
    <t>PERMATA AGRO PERSADA</t>
  </si>
  <si>
    <t>WILLEM</t>
  </si>
  <si>
    <t>SUMITOMO</t>
  </si>
  <si>
    <t>NEW CUSTOMER</t>
  </si>
  <si>
    <t>SUBTOTAL BULK SURABAYA</t>
  </si>
  <si>
    <t>BULK MEDAN</t>
  </si>
  <si>
    <t>TOTI MANUARA</t>
  </si>
  <si>
    <t>ROLIMEX KIMIA NUSAMA</t>
  </si>
  <si>
    <t>3000008984</t>
  </si>
  <si>
    <t>HEXTAR</t>
  </si>
  <si>
    <t>SBA LHOKSEMAWEU</t>
  </si>
  <si>
    <t>SBI BELAWAN</t>
  </si>
  <si>
    <t>SUBTOTAL BULK MEDAN</t>
  </si>
  <si>
    <t>SUBTOTAL BULK NASIONAL</t>
  </si>
  <si>
    <t>EXIM (2021 move to BP)</t>
  </si>
  <si>
    <t>EXIM JAKARTA</t>
  </si>
  <si>
    <t>ZUFEN</t>
  </si>
  <si>
    <t>Freight Forwarding CML</t>
  </si>
  <si>
    <t>SUBTOTAL EXIM JAKARTA</t>
  </si>
  <si>
    <t>EXIM SEMARANG</t>
  </si>
  <si>
    <t>SUBTOTAL EXIM SEMARANG</t>
  </si>
  <si>
    <t>EXIM SURABAYA</t>
  </si>
  <si>
    <t>SUBTOTAL EXIM SURABAYA</t>
  </si>
  <si>
    <t>EXIM MEDAN</t>
  </si>
  <si>
    <t>SUBTOTAL EXIM MEDAN</t>
  </si>
  <si>
    <t>SUBTOTAL EXIM NASIONAL</t>
  </si>
  <si>
    <t>GRAND TOTAL</t>
  </si>
  <si>
    <t>Cek</t>
  </si>
  <si>
    <t>JKT</t>
  </si>
  <si>
    <t>Pack</t>
  </si>
  <si>
    <t>Bulk</t>
  </si>
  <si>
    <t>Exim</t>
  </si>
  <si>
    <t>Total JKT</t>
  </si>
  <si>
    <t>SMRG</t>
  </si>
  <si>
    <t>Total SMRG</t>
  </si>
  <si>
    <t>SRBY</t>
  </si>
  <si>
    <t>Total SRBY</t>
  </si>
  <si>
    <t>MDN</t>
  </si>
  <si>
    <t>Total MDN</t>
  </si>
  <si>
    <t>ALL PER BUSINESS UNIT</t>
  </si>
  <si>
    <t>Total BUSINESS UNIT</t>
  </si>
  <si>
    <t>ALL PER AREA</t>
  </si>
  <si>
    <t>Jakarta</t>
  </si>
  <si>
    <t>Semarang</t>
  </si>
  <si>
    <t>Surabaya</t>
  </si>
  <si>
    <t>Medan</t>
  </si>
  <si>
    <t>Total AREA</t>
  </si>
  <si>
    <t>PT BAHANA PRESTASI</t>
  </si>
  <si>
    <t>TAHUN 2021-2022</t>
  </si>
  <si>
    <t>TRANSPORT &amp; RENTAL</t>
  </si>
  <si>
    <t>Existing/New</t>
  </si>
  <si>
    <t>Customer Name</t>
  </si>
  <si>
    <t>REVENUE 2018</t>
  </si>
  <si>
    <t>TOTAL 2018</t>
  </si>
  <si>
    <t>REVENUE 2019</t>
  </si>
  <si>
    <t>TOTAL 2019</t>
  </si>
  <si>
    <t>REVENUE 2020</t>
  </si>
  <si>
    <t>TOTAL  2020</t>
  </si>
  <si>
    <t>TOTAL BUDGET REVENUE 2020</t>
  </si>
  <si>
    <t>BUDGET 2021</t>
  </si>
  <si>
    <t>TOTAL BUDGET REVENUE 2021</t>
  </si>
  <si>
    <t>BUDGET REV 2021</t>
  </si>
  <si>
    <t>ACTUAL 2021</t>
  </si>
  <si>
    <t>TOTAL REVENUE 2021</t>
  </si>
  <si>
    <t>TOTAL BUDGET REVENUE 2022</t>
  </si>
  <si>
    <t>TOTAL BUDGET REVENUE 2023</t>
  </si>
  <si>
    <t>TOTAL BUDGET REVENUE 2024</t>
  </si>
  <si>
    <t>TOTAL BUDGET REVENUE 2025</t>
  </si>
  <si>
    <t>TOTAL BUDGET REVENUE 2026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</si>
  <si>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</si>
  <si>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</si>
  <si>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</si>
  <si>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</si>
  <si>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</si>
  <si>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</si>
  <si>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</si>
  <si>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</si>
  <si>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</si>
  <si>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</si>
  <si>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</si>
  <si>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</si>
  <si>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FORECAST</t>
  </si>
  <si>
    <t>JAKARTA</t>
  </si>
  <si>
    <t>Pack Trans</t>
  </si>
  <si>
    <t>ABM INDO LOGISTIK</t>
  </si>
  <si>
    <t>AKASHA WIRA INTERNATIONAL TBK</t>
  </si>
  <si>
    <t>INSERASENA</t>
  </si>
  <si>
    <t>MASTE DAYAA</t>
  </si>
  <si>
    <t>PERMATA DUNIA SUKSES UTAMA</t>
  </si>
  <si>
    <t>PROPAN RAYA I.C.C.</t>
  </si>
  <si>
    <t>SINAR GENERAL INDUSTRIES</t>
  </si>
  <si>
    <t>HIDUP AGUNGBUDI LESTARI</t>
  </si>
  <si>
    <t>HOLCIM INDONESIA TBK</t>
  </si>
  <si>
    <t>MIDI UTAMA INDONESIA TBK</t>
  </si>
  <si>
    <t>RENADA WIRA SAMUDERA</t>
  </si>
  <si>
    <t>SUMBER ALFARIA TRIJAYA TBK</t>
  </si>
  <si>
    <t>WASKITA KARYA (PERSERO)</t>
  </si>
  <si>
    <t>SURYA INDRA UTAMA</t>
  </si>
  <si>
    <t>CLARIANT ADSORBENTS INDONESIA</t>
  </si>
  <si>
    <t>TRANS TRIJAYA SAMUDERA</t>
  </si>
  <si>
    <t>SIMON ELEKTRIK INDONESIA</t>
  </si>
  <si>
    <t>HOLCIM BETON</t>
  </si>
  <si>
    <t>SINAR SAGO MAKMUR</t>
  </si>
  <si>
    <t>8commerce</t>
  </si>
  <si>
    <t>KARYA MANDIRI LESTARI</t>
  </si>
  <si>
    <t>CIPTA NIAGA SEMESTA</t>
  </si>
  <si>
    <t>BANK COMMONWEALTH</t>
  </si>
  <si>
    <t>SNF POLYMERS INDONESIA</t>
  </si>
  <si>
    <t>ADVANCE STABILINDO INDUSTRY</t>
  </si>
  <si>
    <t>SOLUSI NIAGA SEJAHTERA</t>
  </si>
  <si>
    <t>ANCOL TERANG METAL PRINTING</t>
  </si>
  <si>
    <t>AJINOMOTO SALES INDONESIA</t>
  </si>
  <si>
    <t>AM/NS INDONESIA</t>
  </si>
  <si>
    <t>ANDHIKA TIRTA ABADI</t>
  </si>
  <si>
    <t>ANUGERAH MORTAR ABADI</t>
  </si>
  <si>
    <t>ARTA BOGA CEMERLANG</t>
  </si>
  <si>
    <t>ARTHA BUMI PRATAMA</t>
  </si>
  <si>
    <t>BINTANG SIDORAYA</t>
  </si>
  <si>
    <t>CAMPINA ICE CREAM INDUSTRY TBK.</t>
  </si>
  <si>
    <t>CATUR PUTRAHARMONIS</t>
  </si>
  <si>
    <t>CIPTA MAPAN LOGISTIK</t>
  </si>
  <si>
    <t>CS2 POLA SEHAT</t>
  </si>
  <si>
    <t>DRYMIX INDONESIA</t>
  </si>
  <si>
    <t>ENEX TRADING</t>
  </si>
  <si>
    <t>ESSAR INDONESIA</t>
  </si>
  <si>
    <t>ENEX TRADING INDONESIA</t>
  </si>
  <si>
    <t>GRAND PASIFIC PRATAMA</t>
  </si>
  <si>
    <t>HARAPAN MITRA SEJATI</t>
  </si>
  <si>
    <t>HERO SUPERMARKET TBK</t>
  </si>
  <si>
    <t>INDONESIAN ACIDS INDUSTRY</t>
  </si>
  <si>
    <t>INTERBUANA MAKMUR</t>
  </si>
  <si>
    <t>ITO EN ULTRAJAYA WHOLESALE</t>
  </si>
  <si>
    <t>JFE SHOJI ELECTRONICS CORPORATION SINGAPORE BRANCH</t>
  </si>
  <si>
    <t>KAYSAR TRANS LOGISTICS</t>
  </si>
  <si>
    <t>3000015998</t>
  </si>
  <si>
    <t>KREASI MAS INDAH</t>
  </si>
  <si>
    <t>LIKU TELAGA</t>
  </si>
  <si>
    <t>LNX ILC INDONESIA</t>
  </si>
  <si>
    <t>MAHKOTA INDONESIA</t>
  </si>
  <si>
    <t>MAGO PASIFIC ABADI</t>
  </si>
  <si>
    <t>3000016162</t>
  </si>
  <si>
    <t>MATA PELANGI CHEMINDO</t>
  </si>
  <si>
    <t>MATA PELANGI TRADINDO</t>
  </si>
  <si>
    <t>MITRA MULIA</t>
  </si>
  <si>
    <t>MORA TELEMATIKA INDONESIA</t>
  </si>
  <si>
    <t>NIAGA NUSA ABADI</t>
  </si>
  <si>
    <t>OXYGEN INFRASTRUKTUR INDONESIA</t>
  </si>
  <si>
    <t>PADMATIRTA WISESA</t>
  </si>
  <si>
    <t>PETROKIMIA GRESIK</t>
  </si>
  <si>
    <t>3000004389</t>
  </si>
  <si>
    <t>PROPAN RAYA INDUSTRIAL COATING</t>
  </si>
  <si>
    <t>PUTRA ABTAR MANDIRI</t>
  </si>
  <si>
    <t>3000020681</t>
  </si>
  <si>
    <t>TIRTA UTAMA ABADI</t>
  </si>
  <si>
    <t>PUTRA DEWATA SEJATI</t>
  </si>
  <si>
    <t>SATRIA WICAKSANA SEJATI</t>
  </si>
  <si>
    <t>LIVIA MANDIRI SEJATI</t>
  </si>
  <si>
    <t>WAHYU JAYA</t>
  </si>
  <si>
    <t>WELONG JAYA</t>
  </si>
  <si>
    <t>RAPID PLAST INDONESIA</t>
  </si>
  <si>
    <t>REPUBLIC EXPRESS</t>
  </si>
  <si>
    <t>3000019242</t>
  </si>
  <si>
    <t>RUSLI VINILON SAKTI</t>
  </si>
  <si>
    <t>ROCA TRADING INDONESIA</t>
  </si>
  <si>
    <t>SALIM IVOMAS PRATAMA TBK</t>
  </si>
  <si>
    <t>SANGHIANG PERKASA TBK</t>
  </si>
  <si>
    <t>SANGHIANG PERKASA</t>
  </si>
  <si>
    <t>SCG BARITO LOGISTICS</t>
  </si>
  <si>
    <t>SEMEN INDONESIA (PERSERO) TBK</t>
  </si>
  <si>
    <t>SIKA INDONESIA</t>
  </si>
  <si>
    <t>SINAR MEADOW INTERNATIONAL</t>
  </si>
  <si>
    <t>SINAR SOSRO</t>
  </si>
  <si>
    <t>SINARMAS DISTRIBUSI NUSANTARA</t>
  </si>
  <si>
    <t>SUPER WAHANA TEHNO</t>
  </si>
  <si>
    <t>TARUNA BINA SARANA</t>
  </si>
  <si>
    <t>TIBEKA LOGISTIK INDONESIA</t>
  </si>
  <si>
    <t>3000020660</t>
  </si>
  <si>
    <t>TIRTA AGUNG</t>
  </si>
  <si>
    <t>ULTRAJAYA MILK INDUSTRY &amp;</t>
  </si>
  <si>
    <t>WAH TECH INDONESIA</t>
  </si>
  <si>
    <t>AJINOMOTO INDONESIA</t>
  </si>
  <si>
    <t>PINDO DELI PULP AND PAPER MILLS</t>
  </si>
  <si>
    <t>THE UNIVENUS</t>
  </si>
  <si>
    <t>INDRAWAN MASRIN</t>
  </si>
  <si>
    <t>HANKYU HANSHIN LOGISTICS INDONESIA</t>
  </si>
  <si>
    <t>JUI SHIN INDONESIA</t>
  </si>
  <si>
    <t>TOSA RODA PRATAMA</t>
  </si>
  <si>
    <t>ADHITYA RUSWOTO</t>
  </si>
  <si>
    <t>INBISCO NIAGATAMA SEMESTA</t>
  </si>
  <si>
    <t>DINAMIKA MAKMUR SENTOSA</t>
  </si>
  <si>
    <t>INTEGRATED LOGIXTREAM</t>
  </si>
  <si>
    <t>YUDICAHYO POERNOMO</t>
  </si>
  <si>
    <t>TIRTA MAKMUR SANTOSA</t>
  </si>
  <si>
    <t>PANTHERA BIRU INDONESIA</t>
  </si>
  <si>
    <t>MULTI TRANSPORTASI GLOBAL</t>
  </si>
  <si>
    <t>Unidentify</t>
  </si>
  <si>
    <t>ONE TIME CUSTOMER-2711-TRADE</t>
  </si>
  <si>
    <t>OTC2711TRD</t>
  </si>
  <si>
    <t>AKSSARA BUANA INTERNUSA</t>
  </si>
  <si>
    <t>New Target Customer</t>
  </si>
  <si>
    <t>ABC KOGEN DAIRY</t>
  </si>
  <si>
    <t>ARINDO GARMENTAMA</t>
  </si>
  <si>
    <t>3000021303</t>
  </si>
  <si>
    <t>3000006787</t>
  </si>
  <si>
    <t>BEHN MEYER CHEMICALS</t>
  </si>
  <si>
    <t>BIONIC NATURA</t>
  </si>
  <si>
    <t>CHEETHAM GARAM INDONESIA</t>
  </si>
  <si>
    <t>3000021173</t>
  </si>
  <si>
    <t>CIPTA AGRO SAKTI</t>
  </si>
  <si>
    <t>3000020671</t>
  </si>
  <si>
    <t>CITARASA PRIMA INDONESIA BERJAYA</t>
  </si>
  <si>
    <t>CRYSTAL CLEAR CHEMICALS</t>
  </si>
  <si>
    <t>DIGITAL TRUCK INDONESIA (Ritase)</t>
  </si>
  <si>
    <t>3000020670</t>
  </si>
  <si>
    <t>ELECTROLUX INDONESIA</t>
  </si>
  <si>
    <t>3211020000</t>
  </si>
  <si>
    <t>EVERBRIGHT</t>
  </si>
  <si>
    <t>GLOBAL JASA EXPRESS</t>
  </si>
  <si>
    <t>3000021245</t>
  </si>
  <si>
    <t>GUNUNG SLAMAT</t>
  </si>
  <si>
    <t>3000021044</t>
  </si>
  <si>
    <t>HARAPAN MITRA KREASI</t>
  </si>
  <si>
    <t>HARDAYA INTI PLANTATIONS</t>
  </si>
  <si>
    <t>3000018615</t>
  </si>
  <si>
    <t>INDOFOOD TSUKISHIMA SUKSES MAKMUR</t>
  </si>
  <si>
    <t>INTEC PERSADA</t>
  </si>
  <si>
    <t>KOYOTA INTERNASIONAL GRUP</t>
  </si>
  <si>
    <t>MEKAR PRATAMA BAN</t>
  </si>
  <si>
    <t>METROPOLY JAYANUSA</t>
  </si>
  <si>
    <t>MIKATASA AGUNG</t>
  </si>
  <si>
    <t>MITRA KIARA INDONESIA</t>
  </si>
  <si>
    <t>3000021320</t>
  </si>
  <si>
    <t>MODENA LOGISTICS INDONESIA</t>
  </si>
  <si>
    <t>3000021125</t>
  </si>
  <si>
    <t>PRIMADANI WIBISONO</t>
  </si>
  <si>
    <t>3000021244</t>
  </si>
  <si>
    <t>THE O ARTHA BRATA</t>
  </si>
  <si>
    <t>3000021153</t>
  </si>
  <si>
    <t>3000018793</t>
  </si>
  <si>
    <t>TRI BHAKTI</t>
  </si>
  <si>
    <t>3000021055</t>
  </si>
  <si>
    <t>TRI PUTRA MANDIRI</t>
  </si>
  <si>
    <t>3000021122</t>
  </si>
  <si>
    <t>SAPTA SATRIA SAKTI</t>
  </si>
  <si>
    <t>SINAR PEMATANG MULIA</t>
  </si>
  <si>
    <t>SINARMAS BIO ENERGY</t>
  </si>
  <si>
    <t>3000018347</t>
  </si>
  <si>
    <t>SARANA LOGISTIK INDONESIA</t>
  </si>
  <si>
    <t>SARIHUSADA GENERASI MAHARDHIKA</t>
  </si>
  <si>
    <t>3000004966</t>
  </si>
  <si>
    <t>SCG  BARITO</t>
  </si>
  <si>
    <t>3000019439</t>
  </si>
  <si>
    <t>3000014595</t>
  </si>
  <si>
    <t>SATRIA TRIDAYA UTAMA</t>
  </si>
  <si>
    <t>3000021096</t>
  </si>
  <si>
    <t>SEBAKIS INTI LESTARI</t>
  </si>
  <si>
    <t>Potential Customer</t>
  </si>
  <si>
    <t>AMCOR FLEXIBLES INDONESIA</t>
  </si>
  <si>
    <t>BEHN MEYER</t>
  </si>
  <si>
    <t>BHINEKA MENTARI MANDIRI</t>
  </si>
  <si>
    <t>BIN ( ADF Group)</t>
  </si>
  <si>
    <t>CHETAM</t>
  </si>
  <si>
    <t>CRISTAL CLEAR CHEMICAL</t>
  </si>
  <si>
    <t>DRYMIX</t>
  </si>
  <si>
    <t>DRY</t>
  </si>
  <si>
    <t>FRISIAN FLAG INDONESIA</t>
  </si>
  <si>
    <t>GODREJ INDONESIA</t>
  </si>
  <si>
    <t>GDJ</t>
  </si>
  <si>
    <t>INDOMILK</t>
  </si>
  <si>
    <t>IDM</t>
  </si>
  <si>
    <t>KINO FOOD INDONESIA</t>
  </si>
  <si>
    <t>3000017669</t>
  </si>
  <si>
    <t>KYMBERLY</t>
  </si>
  <si>
    <t>LOREAL</t>
  </si>
  <si>
    <t>LOTTE GLOBAL LOGISTICS IN</t>
  </si>
  <si>
    <t>MAYORA</t>
  </si>
  <si>
    <t>MITRAPACK</t>
  </si>
  <si>
    <t>MITSUI-SOKO INDONESIA</t>
  </si>
  <si>
    <t>ROCA INDUSTRIES INDONESIA</t>
  </si>
  <si>
    <t>SIAM CEMENT GROUP</t>
  </si>
  <si>
    <t>SIAM-INDO GYPSUM INDUSTRY</t>
  </si>
  <si>
    <t>3000007695</t>
  </si>
  <si>
    <t>SINDE BUDI SENTOSA</t>
  </si>
  <si>
    <t>SOTO SEGAR BOJOLALI</t>
  </si>
  <si>
    <t>SUNGAI BUDI</t>
  </si>
  <si>
    <t>SGB</t>
  </si>
  <si>
    <t>GULAKU</t>
  </si>
  <si>
    <t>SEMARANG</t>
  </si>
  <si>
    <t>ADETEX</t>
  </si>
  <si>
    <t>ASIA PACIFIC YARN</t>
  </si>
  <si>
    <t>BENANG CITRA INDONESIA</t>
  </si>
  <si>
    <t>DAN LIRIS</t>
  </si>
  <si>
    <t>DELTA DUNIA TEKSTIL</t>
  </si>
  <si>
    <t>GOLDEN MANDIRI JAYA</t>
  </si>
  <si>
    <t>GRAND TEXTILE INDUSTRY</t>
  </si>
  <si>
    <t>MANUNGGAL ADIPURA</t>
  </si>
  <si>
    <t>PANCAPERSADA MULIA</t>
  </si>
  <si>
    <t>PHAPROS TBK</t>
  </si>
  <si>
    <t>POLYCHEM UTAMA MAKMUR</t>
  </si>
  <si>
    <t>SAMITEX SEWON</t>
  </si>
  <si>
    <t>SUMBER GRAHA SEJAHTERA</t>
  </si>
  <si>
    <t>THREE MAKMUR RAJA</t>
  </si>
  <si>
    <t>ADITYA SARANA GRAHA</t>
  </si>
  <si>
    <t>3000009799</t>
  </si>
  <si>
    <t>AGUNG KUNCORO TEXTIEL INDUSTRI</t>
  </si>
  <si>
    <t>DELTA MERLIN SANDANG TEKSTIL</t>
  </si>
  <si>
    <t>INDOFOOD CBP SUKSES MAKMUR (BUMBU)</t>
  </si>
  <si>
    <t>3000013775</t>
  </si>
  <si>
    <t>WATUSALAM TEXTILE</t>
  </si>
  <si>
    <t>3000021116</t>
  </si>
  <si>
    <t>3000021131</t>
  </si>
  <si>
    <t>DANONE AQUA</t>
  </si>
  <si>
    <t>ITOCHU LOGISTICS INDONESIA</t>
  </si>
  <si>
    <t>JAVA PRIMA KOPI LUWAK</t>
  </si>
  <si>
    <t>KINO MORINAGA</t>
  </si>
  <si>
    <t>NOJORONO</t>
  </si>
  <si>
    <t>TiGA PILLAR SENTOSA</t>
  </si>
  <si>
    <t>SUKUN</t>
  </si>
  <si>
    <t>UNI PRESS</t>
  </si>
  <si>
    <t>SURABAYA</t>
  </si>
  <si>
    <t>ADITYA RIZKY VALENTINO</t>
  </si>
  <si>
    <t>ADYA MANDALA PERSADA</t>
  </si>
  <si>
    <t>ALAM SEJAHTERA TRANSPORTASI</t>
  </si>
  <si>
    <t>BATARA ELOK SEMESTA</t>
  </si>
  <si>
    <t>DIVA TRANS</t>
  </si>
  <si>
    <t>ERWIN PRAYOGA</t>
  </si>
  <si>
    <t>FASTANA LOGISTIK INDONESIA</t>
  </si>
  <si>
    <t>GOLDEN STEP INDONESIA</t>
  </si>
  <si>
    <t>GREENFIELDS DAIRY INDONESIA</t>
  </si>
  <si>
    <t>JASA PRIMA LOGISTIK</t>
  </si>
  <si>
    <t>KANAK TRANS INDONESIA</t>
  </si>
  <si>
    <t>LINTAS TIRTA TRANS</t>
  </si>
  <si>
    <t>MAQPRO BIOTECH INDONESIA</t>
  </si>
  <si>
    <t>MATRA UNIKATAMA</t>
  </si>
  <si>
    <t>MULTI ANUGERAH LESTARI TEXINDO</t>
  </si>
  <si>
    <t>MULTI TERMINAL INDONESIA</t>
  </si>
  <si>
    <t>NITSU LEMO INDONESIA LOGISTIK</t>
  </si>
  <si>
    <t>OMYA INDONESIA</t>
  </si>
  <si>
    <t>PESONA MULTI TRANS</t>
  </si>
  <si>
    <t>RAPINDO PLASTAMA</t>
  </si>
  <si>
    <t xml:space="preserve"> - </t>
  </si>
  <si>
    <t>SAF INDONUSA</t>
  </si>
  <si>
    <t>SINARMAS SURYA SEJAHTERA</t>
  </si>
  <si>
    <t>TUDER KAPUR BUMI INDONESIA</t>
  </si>
  <si>
    <t>WARUNG PINTAR DISTRIBUSI</t>
  </si>
  <si>
    <t>ASHERINDO DUTA PRATAMA</t>
  </si>
  <si>
    <t>AMINKA KARYA LANGGENG ABADI</t>
  </si>
  <si>
    <t>3000021212</t>
  </si>
  <si>
    <t>ATLANTIC OCEAN PAINT</t>
  </si>
  <si>
    <t>3000019640</t>
  </si>
  <si>
    <t>BATARA ELOK SEMESTA TERPADU</t>
  </si>
  <si>
    <t>3000008794</t>
  </si>
  <si>
    <t>JATIM MUSTIKA SARANA STEEL</t>
  </si>
  <si>
    <t>LAUTAN NATURAL KRIMERINDO</t>
  </si>
  <si>
    <t>MULTI ANEKA PANGAN NUSANTARA</t>
  </si>
  <si>
    <t>PASIFIC HARVEST</t>
  </si>
  <si>
    <t>3000016893</t>
  </si>
  <si>
    <t>3000020764</t>
  </si>
  <si>
    <t>3000004898</t>
  </si>
  <si>
    <t>SUKSES LINTAS PULAU</t>
  </si>
  <si>
    <t>UNICHEMCANDI INDONESIA</t>
  </si>
  <si>
    <t>UNIFOOD CANDI INDONESIA</t>
  </si>
  <si>
    <t>3000006166</t>
  </si>
  <si>
    <t>VEOLIA SERVICES INDONESIA</t>
  </si>
  <si>
    <t>3000021348</t>
  </si>
  <si>
    <t>AICA INDRIA</t>
  </si>
  <si>
    <t>AVIAN</t>
  </si>
  <si>
    <t>DAYASA ARIA PRIMA</t>
  </si>
  <si>
    <t>DSM</t>
  </si>
  <si>
    <t>FFI</t>
  </si>
  <si>
    <t>GARUDAFOOD PUTRA PUTRI JAYA Tbk</t>
  </si>
  <si>
    <t>GUMINDO</t>
  </si>
  <si>
    <t>INDOFOOD CBP SUKSES MAKMUR (SEASONING)</t>
  </si>
  <si>
    <t>INDOLAKTO</t>
  </si>
  <si>
    <t>JACOBIS</t>
  </si>
  <si>
    <t>KERTARAJASA</t>
  </si>
  <si>
    <t>MASPION</t>
  </si>
  <si>
    <t>MATAHARI SAKTI</t>
  </si>
  <si>
    <t>MITRA MULIA MAKMUR</t>
  </si>
  <si>
    <t>PROPAN</t>
  </si>
  <si>
    <t>PUPUK INDONESIA</t>
  </si>
  <si>
    <t>PPI</t>
  </si>
  <si>
    <t>PZ CUSSONS</t>
  </si>
  <si>
    <t>SALIM IVOMAS</t>
  </si>
  <si>
    <t>WARU GUNUNG</t>
  </si>
  <si>
    <t>3000006280</t>
  </si>
  <si>
    <t>TANIHUB</t>
  </si>
  <si>
    <t>QL HASIL LAUT</t>
  </si>
  <si>
    <t>KINO INDONESIA</t>
  </si>
  <si>
    <t>BEHN MEYER AGRICARE</t>
  </si>
  <si>
    <t>EASTERN PEARL FLOUR MILL</t>
  </si>
  <si>
    <t>LOTTE LOGISTICS</t>
  </si>
  <si>
    <t>MASTER BUILDER SOLUTION</t>
  </si>
  <si>
    <t>MEDAN</t>
  </si>
  <si>
    <t>INDOFOOD CBP SUKSES MAKMUR Tbk</t>
  </si>
  <si>
    <t> </t>
  </si>
  <si>
    <t xml:space="preserve">                                         -</t>
  </si>
  <si>
    <t>INDUSTRI NABATI LESTARI</t>
  </si>
  <si>
    <t>TIRTA SIBAYAKINDO</t>
  </si>
  <si>
    <t>3000015441</t>
  </si>
  <si>
    <t>CHANDRA TRANSPORTASI NUSANTARA</t>
  </si>
  <si>
    <t>3000021048</t>
  </si>
  <si>
    <t xml:space="preserve">                                        -</t>
  </si>
  <si>
    <t>3000021112</t>
  </si>
  <si>
    <t>3000004465</t>
  </si>
  <si>
    <t>GALATTA ABADI PLASTINDO</t>
  </si>
  <si>
    <t>Roshasana Indonesia</t>
  </si>
  <si>
    <t>DNR</t>
  </si>
  <si>
    <t>TOTAL TRANSPORT &amp; RENTAL</t>
  </si>
  <si>
    <t>EXIM</t>
  </si>
  <si>
    <t>FORECAST UPDATE</t>
  </si>
  <si>
    <t>OUTLOOK</t>
  </si>
  <si>
    <t>INDRA</t>
  </si>
  <si>
    <t>Freight Forwarding BP</t>
  </si>
  <si>
    <t>A&amp;P INDUSTRY INDONESIA</t>
  </si>
  <si>
    <t>ALAM SIRIKIT</t>
  </si>
  <si>
    <t>ALAS GEMBOL</t>
  </si>
  <si>
    <t>ARMADA ORIENT</t>
  </si>
  <si>
    <t>BALI SURYA SENTOSA</t>
  </si>
  <si>
    <t>BANUA AGUNG ANITAMA</t>
  </si>
  <si>
    <t>BANYU MILI MITRATAMA</t>
  </si>
  <si>
    <t>BEES FOOTWEAR INC</t>
  </si>
  <si>
    <t>BINTANG INDOSPIN INDUSTRI</t>
  </si>
  <si>
    <t>BRIDGESTONE TIRE INDONESIA</t>
  </si>
  <si>
    <t>RUBBY</t>
  </si>
  <si>
    <t>BTL SANKYO GLOBAL CO.,LTD</t>
  </si>
  <si>
    <t>BUDIJAYA MAKMURSENTOSA</t>
  </si>
  <si>
    <t>BUMA APPAREL INDUSTRY</t>
  </si>
  <si>
    <t>CEMPAKA KARYA UTAMA</t>
  </si>
  <si>
    <t>CENTRAL MOTOR WHEEL JAKARTA INDONESIA</t>
  </si>
  <si>
    <t>CENTURY BATTERIES INDONESIA</t>
  </si>
  <si>
    <t>CHANDRA ASRI PETROCHEMICAL TBK</t>
  </si>
  <si>
    <t>CHENG HUA INDONESIA</t>
  </si>
  <si>
    <t>CIPTA KREASI PRIMA MUDA</t>
  </si>
  <si>
    <t>CITRA BUANA UNGGUL</t>
  </si>
  <si>
    <t>COCA COLA AMATIL INDONESIA</t>
  </si>
  <si>
    <t>COMBIPHAR</t>
  </si>
  <si>
    <t>3211010000</t>
  </si>
  <si>
    <t>CULLETPRIMA SETIA</t>
  </si>
  <si>
    <t>DAELIM CORPORATION</t>
  </si>
  <si>
    <t>DIAMONDFIT GARMENT INDONESIA</t>
  </si>
  <si>
    <t>DUTA PESONA LESTARI</t>
  </si>
  <si>
    <t>DYNIC TEXTILE PRESTIGE</t>
  </si>
  <si>
    <t>EDWARD GARMINDOTAMA</t>
  </si>
  <si>
    <t>ELANG PERDANA TYRE INDUSTRY</t>
  </si>
  <si>
    <t>ELITE INTERNATIONAL LOGISTICS</t>
  </si>
  <si>
    <t>EXCEL METAL INDUSTRY</t>
  </si>
  <si>
    <t>FENIX FREIGHT</t>
  </si>
  <si>
    <t>FIRST CABLE INDUSTRIES</t>
  </si>
  <si>
    <t>GLOBAL TRANS MAJU EMPAT EMPAT</t>
  </si>
  <si>
    <t>GLOBE EXPRESS LOGISTICS CO.,LTD</t>
  </si>
  <si>
    <t>GOLD COIN INDONESIA</t>
  </si>
  <si>
    <t>GRAHA FIBERTEX INDONESIA</t>
  </si>
  <si>
    <t>HALLIBURTON DRILLING SYSTEM INDONESIA</t>
  </si>
  <si>
    <t>HOSHI JAYA</t>
  </si>
  <si>
    <t>IFL LOGISTICS (SHANGHAI) CO.,LTD</t>
  </si>
  <si>
    <t>INDO TAI-CHEN TEXTILE INDUSTRY</t>
  </si>
  <si>
    <t>INDOFOOD FRITOLAY MAKMUR</t>
  </si>
  <si>
    <t>INDOVON PITALOKA PERKASA</t>
  </si>
  <si>
    <t>INTERCELL MITRA SANTIKA</t>
  </si>
  <si>
    <t>INTERTRANS INTERNATIONAL TRANSPORT (H.K) LIMITED</t>
  </si>
  <si>
    <t>INTI GLOBAL NETWORK</t>
  </si>
  <si>
    <t>JFE SHOJI ELECTRONICS CORPORATION</t>
  </si>
  <si>
    <t>KARYA PUTERA BERLIAN</t>
  </si>
  <si>
    <t>KENERTEC POWER SYSTEM</t>
  </si>
  <si>
    <t>KINAR PROSPEK TEKNOLOGI</t>
  </si>
  <si>
    <t>KOYORAD JAYA INDONESIA</t>
  </si>
  <si>
    <t>KREASI INDAH SELARAS</t>
  </si>
  <si>
    <t>LAUTAN BERKAH</t>
  </si>
  <si>
    <t>LAUTAN OTSUKA CHEMICAL</t>
  </si>
  <si>
    <t>LAUTAN SOLUSI AIRINDO</t>
  </si>
  <si>
    <t>LAUTAN SULFAMAT LESTARI</t>
  </si>
  <si>
    <t>LIMO SOKO MANDIRI</t>
  </si>
  <si>
    <t>LONGHI GROUP INTERNATIONAL</t>
  </si>
  <si>
    <t>MADISON 88 LTD.</t>
  </si>
  <si>
    <t>MANDALA SETYA PUTRA</t>
  </si>
  <si>
    <t>MATRIKSTAMA ANDALAN MITRA</t>
  </si>
  <si>
    <t>MAXIMA EXPRESS PRATAMA</t>
  </si>
  <si>
    <t>MERAKI CIPTA TRILOGI</t>
  </si>
  <si>
    <t>MILENIA ARMADA EKSPRESS</t>
  </si>
  <si>
    <t>MITRA HOCL INDONESIA</t>
  </si>
  <si>
    <t>ORSON INDONESIA</t>
  </si>
  <si>
    <t>OVERWIDE SUPREMACY</t>
  </si>
  <si>
    <t>PANJI MAS TEXTILE</t>
  </si>
  <si>
    <t>PASARAYA INTERNATIONAL HEDONISARANA</t>
  </si>
  <si>
    <t>PASIFIC MINERAL UTAMA</t>
  </si>
  <si>
    <t>PELANGI ELASINDO</t>
  </si>
  <si>
    <t>PIVIKO MANUNGGAL</t>
  </si>
  <si>
    <t>PMG INTEGRASI KOMUNIKASI</t>
  </si>
  <si>
    <t>POU CHEN INDONESIA</t>
  </si>
  <si>
    <t>SEA AIR LOGISTICS S.R.L.</t>
  </si>
  <si>
    <t>SENG DAM JAYA ABADI</t>
  </si>
  <si>
    <t>SENTRAL BRA MAKMUR</t>
  </si>
  <si>
    <t>SHANGHAI LANSEN INTERNATIONAL</t>
  </si>
  <si>
    <t>SHENZHEN WWW TRANS CO., LTD.</t>
  </si>
  <si>
    <t>SHINE TEXTILE INTERNATIONAL</t>
  </si>
  <si>
    <t>SIEGWERK INDONESIA</t>
  </si>
  <si>
    <t>SINARING REJEKI</t>
  </si>
  <si>
    <t>SINERGI LINTAS NUSANTARA</t>
  </si>
  <si>
    <t>SKY ENERGY INDONESIA TBK</t>
  </si>
  <si>
    <t>SOLUSI SURYA SISTEMA</t>
  </si>
  <si>
    <t>ST FREIGHT LIMITED</t>
  </si>
  <si>
    <t>STARCAM APPAREL INDONESIA</t>
  </si>
  <si>
    <t>SUKWANG INDONESIA</t>
  </si>
  <si>
    <t>SUM LOGISTIK</t>
  </si>
  <si>
    <t>SURYA LANGGENG INDONESIA</t>
  </si>
  <si>
    <t>SUZUKI INDOMOBIL MOTOR</t>
  </si>
  <si>
    <t>TARA PETINDO BERDIKARI</t>
  </si>
  <si>
    <t>3000016889</t>
  </si>
  <si>
    <t>TEXTILE ONE INDONESIA</t>
  </si>
  <si>
    <t>UWU JUMP INDONESIA</t>
  </si>
  <si>
    <t>VALSPAR INDONESIA</t>
  </si>
  <si>
    <t>WAHANA FORTUNA PRATAMA</t>
  </si>
  <si>
    <t>YONGJIN JAVASUKA GARMENT</t>
  </si>
  <si>
    <t>YUASA BATTERY INDONESIA</t>
  </si>
  <si>
    <t>YUPI INDO JELLY GUM</t>
  </si>
  <si>
    <t>AKT INDONESIA</t>
  </si>
  <si>
    <t>3000020988</t>
  </si>
  <si>
    <t>ALOE VERA INDONESIA</t>
  </si>
  <si>
    <t>3000000282</t>
  </si>
  <si>
    <t>ARYASENA</t>
  </si>
  <si>
    <t>3000000615</t>
  </si>
  <si>
    <t>CS4 LOGISTICS GMBH</t>
  </si>
  <si>
    <t>3000021177</t>
  </si>
  <si>
    <t>Eren Outdoor furniture</t>
  </si>
  <si>
    <t>DELTA OPTIKA PRIMA</t>
  </si>
  <si>
    <t>3000021118</t>
  </si>
  <si>
    <t>FURUKAWA INDOMOBIL BATTERY</t>
  </si>
  <si>
    <t>GAJAH TUNGGAL Tbk.</t>
  </si>
  <si>
    <t>GLOBAL SAFETY CARGO FREIGHT INC.</t>
  </si>
  <si>
    <t>INDOFOOD FORTUNA MAKMUR</t>
  </si>
  <si>
    <t>3000020763</t>
  </si>
  <si>
    <t>KAREL LOJISTIK HIZMETLERI</t>
  </si>
  <si>
    <t>3000016614</t>
  </si>
  <si>
    <t>KUSANO SANGYO INDONESIA</t>
  </si>
  <si>
    <t>3000020839</t>
  </si>
  <si>
    <t>LAJUPERDANA INDAH</t>
  </si>
  <si>
    <t>3000003242</t>
  </si>
  <si>
    <t>8000000526</t>
  </si>
  <si>
    <t>MAMAC DISTRIBUSI INDO</t>
  </si>
  <si>
    <t>3000020794</t>
  </si>
  <si>
    <t>MAXXINDO MAJU PERKASA</t>
  </si>
  <si>
    <t>3000020992</t>
  </si>
  <si>
    <t>NIAGA MUTUPRIMA SEJATI</t>
  </si>
  <si>
    <t>3000020820</t>
  </si>
  <si>
    <t>NISSHINBO INDONESIA</t>
  </si>
  <si>
    <t>3211070000</t>
  </si>
  <si>
    <t>NUTRICIA INDONESIA SEJAHTERA</t>
  </si>
  <si>
    <t>3000021123</t>
  </si>
  <si>
    <t>OROTADA CO.,LTD.</t>
  </si>
  <si>
    <t>3000021371</t>
  </si>
  <si>
    <t>PKG LAUTAN INDONESIA</t>
  </si>
  <si>
    <t>3000004855</t>
  </si>
  <si>
    <t>UNA SURYA PUTRA MANDIRI</t>
  </si>
  <si>
    <t>3000021246</t>
  </si>
  <si>
    <t>BIOCHEM</t>
  </si>
  <si>
    <t>FRISIAN FLAG</t>
  </si>
  <si>
    <t>GS BATTERY</t>
  </si>
  <si>
    <t>KIMIA FARMA</t>
  </si>
  <si>
    <t>MALINDO FEEDMILL TBK</t>
  </si>
  <si>
    <t>MONTACHEM</t>
  </si>
  <si>
    <t>MTCM</t>
  </si>
  <si>
    <t>MUSIM MAS</t>
  </si>
  <si>
    <t>Oji Indo Makmur</t>
  </si>
  <si>
    <t>RIAU ANDALAN PULP &amp; PAPER</t>
  </si>
  <si>
    <t>3000009396</t>
  </si>
  <si>
    <t>Shopee</t>
  </si>
  <si>
    <t>Siam INdo</t>
  </si>
  <si>
    <t xml:space="preserve">Specialized Nutrition </t>
  </si>
  <si>
    <t>SPN</t>
  </si>
  <si>
    <t>ST Freight</t>
  </si>
  <si>
    <t>STF</t>
  </si>
  <si>
    <t>SUZUYO INDONESIA</t>
  </si>
  <si>
    <t>3000016980</t>
  </si>
  <si>
    <t>Wika</t>
  </si>
  <si>
    <t>ZTT-ADP</t>
  </si>
  <si>
    <t>Triartha</t>
  </si>
  <si>
    <t>Mitra10</t>
  </si>
  <si>
    <t>CURRENT JAKARTA</t>
  </si>
  <si>
    <t>FUTURE JAKARTA</t>
  </si>
  <si>
    <t>BULOG</t>
  </si>
  <si>
    <t>JAVA STAR CRAFT</t>
  </si>
  <si>
    <t>TUN HONG GARMENT INDONESIA</t>
  </si>
  <si>
    <t>EREN OUTDOOR FURNITURE</t>
  </si>
  <si>
    <t>BLUE TRANS INTERNATIONAL</t>
  </si>
  <si>
    <t>3000018176</t>
  </si>
  <si>
    <t xml:space="preserve"> -   </t>
  </si>
  <si>
    <t>LIO COLLECTION</t>
  </si>
  <si>
    <t>3000021247</t>
  </si>
  <si>
    <t>UMAFINDO</t>
  </si>
  <si>
    <t>3000016353</t>
  </si>
  <si>
    <t>TIRTA INVESTAMA (Danone Aqua)</t>
  </si>
  <si>
    <t>CURRENT SEMARANG</t>
  </si>
  <si>
    <t>FUTURE SEMARANG</t>
  </si>
  <si>
    <t>ADM INDONESIA TRADING</t>
  </si>
  <si>
    <t>ARUNGAN MIYATANI INTERNUSA</t>
  </si>
  <si>
    <t>ASIA PULP &amp; PAPER</t>
  </si>
  <si>
    <t>AUSTASIA FOOD</t>
  </si>
  <si>
    <t>BROADY INDONESIA GLOBAL</t>
  </si>
  <si>
    <t>CAPREFINDO</t>
  </si>
  <si>
    <t>ESSANTRA</t>
  </si>
  <si>
    <t>ESSENTRA</t>
  </si>
  <si>
    <t>INDOFOOD SUKSES MAKMUR TBK</t>
  </si>
  <si>
    <t>INDOSPRING TBK</t>
  </si>
  <si>
    <t>JATIM MUSTIKA</t>
  </si>
  <si>
    <t>KIA KERAMIK MAS</t>
  </si>
  <si>
    <t>LANGGENG AMANAH EXPRESS</t>
  </si>
  <si>
    <t>MEROKE TETAP JAYA</t>
  </si>
  <si>
    <t>MITRA SETIA ABADI</t>
  </si>
  <si>
    <t>SANKYO CORPORATE</t>
  </si>
  <si>
    <t>SARI SARANA KIMIATAMA</t>
  </si>
  <si>
    <t>SEMOGA AWET SENTOSA</t>
  </si>
  <si>
    <t>SOLUSI BANGUN INDONESIA</t>
  </si>
  <si>
    <t>SUKAJADI SAWIT MEKAR</t>
  </si>
  <si>
    <t>TIRTA SUKSES PERKASA</t>
  </si>
  <si>
    <t>TOYOBO TRIAS ECOSYAR</t>
  </si>
  <si>
    <t>TRI MEGA BATERINDO</t>
  </si>
  <si>
    <t>TRIMITRA BERKAH MANDIRI</t>
  </si>
  <si>
    <t>TRISULAMAS SAKTI</t>
  </si>
  <si>
    <t>UNICHEM CANDI INDONESIA</t>
  </si>
  <si>
    <t>UNIPLASTINDO INTERBUANA</t>
  </si>
  <si>
    <t>UNIVERSAL STEELINDO DINAMIKA</t>
  </si>
  <si>
    <t>VISTON PTY LTD</t>
  </si>
  <si>
    <t>WOODONE INTEGRA INDONESIA</t>
  </si>
  <si>
    <t>YIWU HANDAL INDONESIA</t>
  </si>
  <si>
    <t>CANDI JAYA AMERTA</t>
  </si>
  <si>
    <t>FERTILIZER INTI TECHNOLOGY</t>
  </si>
  <si>
    <t>HEXTAR FERTILIZER INDONESIA</t>
  </si>
  <si>
    <t>INDONESIA BIKEWORKS</t>
  </si>
  <si>
    <t>JADI MAS</t>
  </si>
  <si>
    <t>LANGGENGKARYA MAKMURLESTARI</t>
  </si>
  <si>
    <t>MEGASURYA MAS</t>
  </si>
  <si>
    <t>MITRAMULIA MAKMUR</t>
  </si>
  <si>
    <t>MULTI ANEKA PANGAN</t>
  </si>
  <si>
    <t>PEMUDA PRIMA USAHA</t>
  </si>
  <si>
    <t>SOPANUSA</t>
  </si>
  <si>
    <t>SUPARMA</t>
  </si>
  <si>
    <t>SURYA TERANG</t>
  </si>
  <si>
    <t>INDOPACK PRINTING</t>
  </si>
  <si>
    <t>SIANTAR TOP</t>
  </si>
  <si>
    <t>ASIA TRADE LOGISTICS</t>
  </si>
  <si>
    <t xml:space="preserve">JFE ENGINERING INDO </t>
  </si>
  <si>
    <t xml:space="preserve">SALIM IVOMAS </t>
  </si>
  <si>
    <t xml:space="preserve">AVIAN GROUP </t>
  </si>
  <si>
    <t>ALLNEXRESIN</t>
  </si>
  <si>
    <t>INDOFOOD CBP SEASONING</t>
  </si>
  <si>
    <t xml:space="preserve"> WARUGUNUNG </t>
  </si>
  <si>
    <t xml:space="preserve"> CATUR MITRA SEJATI </t>
  </si>
  <si>
    <t>CURRENT SURABAYA</t>
  </si>
  <si>
    <t>FUTURE SURABAYA</t>
  </si>
  <si>
    <t>HENDRI</t>
  </si>
  <si>
    <t>C&amp;R ENVIRO ENGINEERING</t>
  </si>
  <si>
    <t>3000021113</t>
  </si>
  <si>
    <t>GOLD COIN TRADING INDONESIA</t>
  </si>
  <si>
    <t>KING INDO</t>
  </si>
  <si>
    <t>MECHMAR JAYA INDUSTRIES</t>
  </si>
  <si>
    <t>NATURE AGRO SPICES</t>
  </si>
  <si>
    <t>3000021274</t>
  </si>
  <si>
    <t>NIPPON INDOSARI CORPINDO, TBK</t>
  </si>
  <si>
    <t>OZORA MANUNGGAL FREIGHTINDO</t>
  </si>
  <si>
    <t>PLANTEX SEMBADA INTERNATIONAL</t>
  </si>
  <si>
    <t>3000021308</t>
  </si>
  <si>
    <t>PLANTSAFE FERTILIZER INDONESIA</t>
  </si>
  <si>
    <t>TANJAYA SUKSES ABADI</t>
  </si>
  <si>
    <t>TSB</t>
  </si>
  <si>
    <t>PRATAMA SAKTI MANDALA</t>
  </si>
  <si>
    <t>CIPTA PRIMA INTERWOODS DEVELOPMENT INDUSTRY</t>
  </si>
  <si>
    <t>SARI INCOFOOD</t>
  </si>
  <si>
    <t>CURRENT MEDAN</t>
  </si>
  <si>
    <t>FUTURE MEDAN</t>
  </si>
  <si>
    <t>TOTAL EXIM</t>
  </si>
  <si>
    <t>Bulk Trans</t>
  </si>
  <si>
    <t>INDOCEMENT</t>
  </si>
  <si>
    <t>PKT Samarinda</t>
  </si>
  <si>
    <t>Lautan Luas *</t>
  </si>
  <si>
    <t>ADHITYA</t>
  </si>
  <si>
    <t>Manuchar</t>
  </si>
  <si>
    <t>A. RAUF</t>
  </si>
  <si>
    <t xml:space="preserve">OKI Baung </t>
  </si>
  <si>
    <t>Intan Daya Mandiri</t>
  </si>
  <si>
    <t>3000020946</t>
  </si>
  <si>
    <t>GALATTA LESTARINDO</t>
  </si>
  <si>
    <t>SARASWANTI ANUGERAH MAKMUR TBK</t>
  </si>
  <si>
    <t>AGRO TRADISI</t>
  </si>
  <si>
    <t>GLOBALINDO ALAM PERKASA</t>
  </si>
  <si>
    <t>GUNTUNG IDAMANNUSA</t>
  </si>
  <si>
    <t>HEXTAR FERTILIZER INDONES</t>
  </si>
  <si>
    <t>KOPERASI MANDIRI BINTANG BERSAMA</t>
  </si>
  <si>
    <t>KOPERASI MATTANG BERKAT JAYA SEJAHTERA</t>
  </si>
  <si>
    <t>KOPERASI PRODUSEN DELAPAN PILAR MAJU BERSAMA</t>
  </si>
  <si>
    <t>KOPERASI PRODUSEN SAWIT MENTARI</t>
  </si>
  <si>
    <t>LESTARI ABADI PERKASA</t>
  </si>
  <si>
    <t>MAJU ANEKA SAWIT</t>
  </si>
  <si>
    <t>MENTARI PRATAMA</t>
  </si>
  <si>
    <t>MULIA INDAH</t>
  </si>
  <si>
    <t>MULTIPERSADA GATRAMEGAH</t>
  </si>
  <si>
    <t>SARANA ESA CITA</t>
  </si>
  <si>
    <t>UNGGUL LESTARI</t>
  </si>
  <si>
    <t>Existing  Customer</t>
  </si>
  <si>
    <t>BUMI SAWIT KENCANA</t>
  </si>
  <si>
    <t>3000001028</t>
  </si>
  <si>
    <t>KERRY SAWIT INDONESIA</t>
  </si>
  <si>
    <t>3000006535</t>
  </si>
  <si>
    <t>SARANA TITIAN PERMATA</t>
  </si>
  <si>
    <t>SENTANA ADIDAYA PRATAMA</t>
  </si>
  <si>
    <t>3000005067</t>
  </si>
  <si>
    <t xml:space="preserve">MEGA ELTRA </t>
  </si>
  <si>
    <t>MEG</t>
  </si>
  <si>
    <t>TOTAL BULK</t>
  </si>
  <si>
    <t>Diupdate menjadi</t>
  </si>
  <si>
    <t>SUMMARY</t>
  </si>
  <si>
    <t>TOTAL JAKARTA</t>
  </si>
  <si>
    <t>TOTAL SEMARANG</t>
  </si>
  <si>
    <t>TOTAL SURABAYA</t>
  </si>
  <si>
    <t>TOTAL MEDAN</t>
  </si>
  <si>
    <t>ALL PER SERVICE</t>
  </si>
  <si>
    <t>TOTAL ALL PER SERVICE</t>
  </si>
  <si>
    <t>TOTAL ALL PER AREA</t>
  </si>
  <si>
    <t>PT CIPTA LOGISTIK INDONESIA</t>
  </si>
  <si>
    <t>Revenue 2021-2022</t>
  </si>
  <si>
    <t>NO</t>
  </si>
  <si>
    <t>Category</t>
  </si>
  <si>
    <t>Size</t>
  </si>
  <si>
    <t>CUSTOMER</t>
  </si>
  <si>
    <t>YTD 2021</t>
  </si>
  <si>
    <t>YTD 2022</t>
  </si>
  <si>
    <t>YTD 2023</t>
  </si>
  <si>
    <t>YTD 2024</t>
  </si>
  <si>
    <t>YTD 2025</t>
  </si>
  <si>
    <t>YTD 2026</t>
  </si>
  <si>
    <t>Erick</t>
  </si>
  <si>
    <t>AZA INVESTMENT AND DEVELOPMENT CO.,LTD</t>
  </si>
  <si>
    <t>Pery</t>
  </si>
  <si>
    <t>BASIS INOVASI GLOBAL</t>
  </si>
  <si>
    <t>GARUDA TIMUR PACIFIC</t>
  </si>
  <si>
    <t>HONG KONG GRATEFULNESS GROUP CO., LIMITED</t>
  </si>
  <si>
    <t>MAMAS CHOICE MERCHANDISING</t>
  </si>
  <si>
    <t>MASPION BAZAR</t>
  </si>
  <si>
    <t>MEGA SHOPINTAR INDONESIA</t>
  </si>
  <si>
    <t>PEYRON LIMITED SINGAPORE</t>
  </si>
  <si>
    <t>PSLOVE FEMHEALTH INDO</t>
  </si>
  <si>
    <t>SENYUM ASIA SEJAHTERA</t>
  </si>
  <si>
    <t>SELARAS INTERNASIONAL ABADI</t>
  </si>
  <si>
    <t>YUNI FASHION GROUP</t>
  </si>
  <si>
    <t>N/A</t>
  </si>
  <si>
    <t>ECOMMERCE BADAN INFORMATIKA</t>
  </si>
  <si>
    <t>GARUDA TIMUR PACIFIC (PROCHIZ PROJECT)</t>
  </si>
  <si>
    <t>PERTAMINA BRIGHT (Non E-commerce)</t>
  </si>
  <si>
    <t>LUXASIA (E-Commerce)</t>
  </si>
  <si>
    <t>3000020793</t>
  </si>
  <si>
    <t>TBESTPRO TRADING INVESTMENT COMPANY. LTD</t>
  </si>
  <si>
    <t>(IRFANSYAH) ONE TIME CUSTOMER-6511-NON TRADE</t>
  </si>
  <si>
    <t>OTC6511NON</t>
  </si>
  <si>
    <t>Mega Shopintar Indonesia (ATOME)</t>
  </si>
  <si>
    <t>PT. Karli Indah Cosmetics (SASC)</t>
  </si>
  <si>
    <t>MEGA PERINTIS (E-Commerce)</t>
  </si>
  <si>
    <t>GUMINDO BOGAMANIS</t>
  </si>
  <si>
    <t>DIAN TRIKARSA</t>
  </si>
  <si>
    <t>BUKA MITRA BUKALAPAK (E-Commerce)</t>
  </si>
  <si>
    <t>Medical</t>
  </si>
  <si>
    <t>S</t>
  </si>
  <si>
    <t>ARKRAY</t>
  </si>
  <si>
    <t>ERAPHONE (Non E-commerce)</t>
  </si>
  <si>
    <t>GARUDA FOOD (Non E-Commerce)</t>
  </si>
  <si>
    <t>Home Electronics</t>
  </si>
  <si>
    <t>M</t>
  </si>
  <si>
    <t>MASPION ELECTRONICS (E-Commerce)</t>
  </si>
  <si>
    <t>Houseware</t>
  </si>
  <si>
    <t>S-M</t>
  </si>
  <si>
    <t>RUMA MAPAN (E-Commerce)</t>
  </si>
  <si>
    <t>SHOPEE (CROSS BORDER)</t>
  </si>
  <si>
    <t>YARA (E-Commerce)</t>
  </si>
  <si>
    <t>Television</t>
  </si>
  <si>
    <t>M-L</t>
  </si>
  <si>
    <t>HUAWEI</t>
  </si>
  <si>
    <t>Cosmetics</t>
  </si>
  <si>
    <t>JACQUELLE</t>
  </si>
  <si>
    <t>Mix Product</t>
  </si>
  <si>
    <t>GROSIRAJA</t>
  </si>
  <si>
    <t>TOSHIBA</t>
  </si>
  <si>
    <t>Sports Equipment</t>
  </si>
  <si>
    <t>EIGER</t>
  </si>
  <si>
    <t>ONDA</t>
  </si>
  <si>
    <t>FMCG</t>
  </si>
  <si>
    <t>TORABIKA</t>
  </si>
  <si>
    <t>RATES</t>
  </si>
  <si>
    <t>Pharmacy</t>
  </si>
  <si>
    <t>KAWIJAYA</t>
  </si>
  <si>
    <t>TOTAL</t>
  </si>
  <si>
    <t>PT TARUNA BINA SARANA</t>
  </si>
  <si>
    <t>Revenue by customer - Budget vs Actual 2021-2022</t>
  </si>
  <si>
    <t>FC2= Forecast Estimation (by sales) - updated by pak Julius</t>
  </si>
  <si>
    <t>TYPE</t>
  </si>
  <si>
    <t>Remark</t>
  </si>
  <si>
    <t>Q1-2021</t>
  </si>
  <si>
    <t>Q2-2021</t>
  </si>
  <si>
    <t>Q3-2021</t>
  </si>
  <si>
    <t>Q4-2021</t>
  </si>
  <si>
    <t>FY-2021</t>
  </si>
  <si>
    <t>Budget</t>
  </si>
  <si>
    <t>Forecast</t>
  </si>
  <si>
    <t>Storage</t>
  </si>
  <si>
    <t>Apexindo Pacific</t>
  </si>
  <si>
    <t>Pipeline</t>
  </si>
  <si>
    <t>Indorama (Pipeline)</t>
  </si>
  <si>
    <t>PKG Lautan-Methanol</t>
  </si>
  <si>
    <t>PKG Lautan_Toluene</t>
  </si>
  <si>
    <t>PKG Lautan_Xylene</t>
  </si>
  <si>
    <t>NPS / Sepertiga Malam Sinergi</t>
  </si>
  <si>
    <t>HUR Sales Indonesia</t>
  </si>
  <si>
    <t>Ocean Petro-HSD</t>
  </si>
  <si>
    <t>Hokari Linex Pratama</t>
  </si>
  <si>
    <t>INU</t>
  </si>
  <si>
    <t>Trans Energi Nusantara</t>
  </si>
  <si>
    <t>Suma Adi Jaya-HSD</t>
  </si>
  <si>
    <t>Petro Utama Energi</t>
  </si>
  <si>
    <t>Kutilang Paksi Mas</t>
  </si>
  <si>
    <t>Panji Gemilang</t>
  </si>
  <si>
    <t>Jayanti Mudra Energi</t>
  </si>
  <si>
    <t>Oil Shipping Trans Indonesia</t>
  </si>
  <si>
    <t>Getra Mitra Energi</t>
  </si>
  <si>
    <t xml:space="preserve">Prima Wiguna </t>
  </si>
  <si>
    <t>Agung Persada Mandiri</t>
  </si>
  <si>
    <t>Sadikun</t>
  </si>
  <si>
    <t>Krakatau Steel</t>
  </si>
  <si>
    <t>Surya Parna Niaga-MFO</t>
  </si>
  <si>
    <t>Ganani</t>
  </si>
  <si>
    <t>Surya Parna Niaga</t>
  </si>
  <si>
    <t>Suma Adi Jaya-MFO</t>
  </si>
  <si>
    <t>Transport</t>
  </si>
  <si>
    <t>Mahkota Indonesia</t>
  </si>
  <si>
    <t>Indorama Polypet</t>
  </si>
  <si>
    <t>Mitra Utama Energi</t>
  </si>
  <si>
    <t>Fuel Trading</t>
  </si>
  <si>
    <t>Nusantara Timur Unggul</t>
  </si>
  <si>
    <t>Betjik Djojo</t>
  </si>
  <si>
    <t>Humpuss Trading</t>
  </si>
  <si>
    <t>Timuraya Tunggal</t>
  </si>
  <si>
    <t>Neste Singapore</t>
  </si>
  <si>
    <t>Sembilan Muara Abadi</t>
  </si>
  <si>
    <t>Bumi Mandiri Sinergi</t>
  </si>
  <si>
    <t>Cahaya Lintas Negeri</t>
  </si>
  <si>
    <t>Sinarmas Global Sejahtera</t>
  </si>
  <si>
    <t>Global Ocean Indonesia</t>
  </si>
  <si>
    <t>Summit Energi Nusantara</t>
  </si>
  <si>
    <t>Louis Dreyfus Company</t>
  </si>
  <si>
    <t>Nusantara Karya Hijau</t>
  </si>
  <si>
    <t>Petronas Chemical</t>
  </si>
  <si>
    <t>Plastic Energy</t>
  </si>
  <si>
    <t>Berkah Prabu Energi</t>
  </si>
  <si>
    <t>Bali Darma Nusantara</t>
  </si>
  <si>
    <t>Rintis Nabati Raksa</t>
  </si>
  <si>
    <t>Chandra Asri</t>
  </si>
  <si>
    <t>Padi Hijau</t>
  </si>
  <si>
    <t>Warna Prima</t>
  </si>
  <si>
    <t>Palm Acid Oil</t>
  </si>
  <si>
    <t>Manuchar Indonesia</t>
  </si>
  <si>
    <t>Sanmaru Indo Energi</t>
  </si>
  <si>
    <t>Pancasakti Putra Prima</t>
  </si>
  <si>
    <t>East Chem Sdn Bhd</t>
  </si>
  <si>
    <t>Jagad Nusantara Energi</t>
  </si>
  <si>
    <t>Mega Trans Energi</t>
  </si>
  <si>
    <t>Petro Energy</t>
  </si>
  <si>
    <t>PKG Lautan_Ethyl Acetate</t>
  </si>
  <si>
    <t>SPM / Dinar</t>
  </si>
  <si>
    <t xml:space="preserve">Sumitomo </t>
  </si>
  <si>
    <t>ODIN</t>
  </si>
  <si>
    <t>Summary Revenue by BU (Actual vs Forecast Investor vs PO LTL)</t>
  </si>
  <si>
    <t>A= Actual</t>
  </si>
  <si>
    <t>FY 2021 - 2022</t>
  </si>
  <si>
    <t>F= Forecast Investor</t>
  </si>
  <si>
    <t>GP Margin?</t>
  </si>
  <si>
    <t>Warehouse</t>
  </si>
  <si>
    <t>WAREHOUSE</t>
  </si>
  <si>
    <t>TRANSPORT</t>
  </si>
  <si>
    <t>FREIGHT FORWARDING</t>
  </si>
  <si>
    <t>TANK STORAGE</t>
  </si>
  <si>
    <t>MANAGE WAREHOUSE</t>
  </si>
  <si>
    <t>Elim</t>
  </si>
  <si>
    <t>LINC GROUP</t>
  </si>
  <si>
    <t>Package</t>
  </si>
  <si>
    <t>E-fulfillment</t>
  </si>
  <si>
    <t>Q4 2020</t>
  </si>
  <si>
    <t>A Jan-21</t>
  </si>
  <si>
    <t>A Feb-21</t>
  </si>
  <si>
    <t>F Feb-21</t>
  </si>
  <si>
    <t>A Mar-21</t>
  </si>
  <si>
    <t>F Mar-21</t>
  </si>
  <si>
    <t>A Apr-21</t>
  </si>
  <si>
    <t>F Apr-21</t>
  </si>
  <si>
    <t>A May-21</t>
  </si>
  <si>
    <t>F May-21</t>
  </si>
  <si>
    <t>A Jun-21</t>
  </si>
  <si>
    <t>F Jun-21</t>
  </si>
  <si>
    <t>A Jul-21</t>
  </si>
  <si>
    <t>F Jul-21</t>
  </si>
  <si>
    <t>A Aug-21</t>
  </si>
  <si>
    <t>F Aug-21</t>
  </si>
  <si>
    <t>A Sep-21</t>
  </si>
  <si>
    <t>F Sep-21</t>
  </si>
  <si>
    <t>FC2 
Sep-21</t>
  </si>
  <si>
    <t>A Oct-21</t>
  </si>
  <si>
    <t>F Oct-21</t>
  </si>
  <si>
    <t>FC2 
Oct-21</t>
  </si>
  <si>
    <t>A Nov-21</t>
  </si>
  <si>
    <t>F Nov-21</t>
  </si>
  <si>
    <t>FC2 
Nov-21</t>
  </si>
  <si>
    <t>A Dec-21</t>
  </si>
  <si>
    <t>F Dec-21</t>
  </si>
  <si>
    <t>FC2 
Dec-21</t>
  </si>
  <si>
    <t>Q1 2021</t>
  </si>
  <si>
    <t>Q2 2021</t>
  </si>
  <si>
    <t>Q3 2021</t>
  </si>
  <si>
    <t>Q4 2021</t>
  </si>
  <si>
    <r>
      <t xml:space="preserve">FY 2021
</t>
    </r>
    <r>
      <rPr>
        <b/>
        <sz val="7"/>
        <color theme="5" tint="-0.249977111117893"/>
        <rFont val="Calibri"/>
        <family val="2"/>
        <scheme val="minor"/>
      </rPr>
      <t>Actual YTD Aug + FC Sep-Dec</t>
    </r>
  </si>
  <si>
    <r>
      <t xml:space="preserve">FY 2021
</t>
    </r>
    <r>
      <rPr>
        <b/>
        <sz val="7"/>
        <color theme="5" tint="-0.249977111117893"/>
        <rFont val="Calibri"/>
        <family val="2"/>
        <scheme val="minor"/>
      </rPr>
      <t>Actual YTD Aug + FC2</t>
    </r>
  </si>
  <si>
    <t>PO 
Jan-22</t>
  </si>
  <si>
    <t>PO 
Feb-22</t>
  </si>
  <si>
    <t>PO 
Mar-22</t>
  </si>
  <si>
    <t>PO 
Apr-22</t>
  </si>
  <si>
    <t>PO 
May-22</t>
  </si>
  <si>
    <t>PO 
Jun-22</t>
  </si>
  <si>
    <t>PO 
Jul-22</t>
  </si>
  <si>
    <t>PO 
Aug-22</t>
  </si>
  <si>
    <t>PO 
Sep-22</t>
  </si>
  <si>
    <t>PO 
Oct-22</t>
  </si>
  <si>
    <t>PO 
Nov-22</t>
  </si>
  <si>
    <t>PO 
Des-22</t>
  </si>
  <si>
    <t>PO 
FY 2022</t>
  </si>
  <si>
    <r>
      <t xml:space="preserve">FY 2021
</t>
    </r>
    <r>
      <rPr>
        <b/>
        <sz val="7"/>
        <color theme="5" tint="-0.249977111117893"/>
        <rFont val="Calibri"/>
        <family val="2"/>
        <scheme val="minor"/>
      </rPr>
      <t xml:space="preserve">Actual YTD Aug + FC2 
</t>
    </r>
    <r>
      <rPr>
        <b/>
        <sz val="7"/>
        <color rgb="FFFF0000"/>
        <rFont val="Calibri"/>
        <family val="2"/>
        <scheme val="minor"/>
      </rPr>
      <t>To Be Update</t>
    </r>
  </si>
  <si>
    <t>FY 2021</t>
  </si>
  <si>
    <t>FY 2020</t>
  </si>
  <si>
    <t>Growth</t>
  </si>
  <si>
    <t>Total</t>
  </si>
  <si>
    <t>BOD</t>
  </si>
  <si>
    <t>PO 
to LTL</t>
  </si>
  <si>
    <t>Freight Forwarding</t>
  </si>
  <si>
    <t>Tank Storage</t>
  </si>
  <si>
    <t>Manage Warehouse</t>
  </si>
  <si>
    <t>E fulfillment</t>
  </si>
  <si>
    <t>Variance</t>
  </si>
  <si>
    <t>F2 Sep-21</t>
  </si>
  <si>
    <t>F2 Oct-21</t>
  </si>
  <si>
    <t>F2 Nov-21</t>
  </si>
  <si>
    <t>F2 Dec-21</t>
  </si>
  <si>
    <t>Marketing</t>
  </si>
  <si>
    <t>FY 2021Q1-Q4</t>
  </si>
  <si>
    <t>WH Pack</t>
  </si>
  <si>
    <t>WH bulk</t>
  </si>
  <si>
    <t>E-Fulfilment</t>
  </si>
  <si>
    <t>Transport pack</t>
  </si>
  <si>
    <t>Transport bulk</t>
  </si>
  <si>
    <t>FF</t>
  </si>
  <si>
    <t>Tank storage</t>
  </si>
  <si>
    <t>CMD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</si>
</sst>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5">
    <numFmt numFmtId="41" formatCode="_-* #,##0_-;\-* #,##0_-;_-* &quot;-&quot;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&quot;Rp&quot;#,##0_);\(&quot;Rp&quot;#,##0\)"/>
    <numFmt numFmtId="171" formatCode="&quot;Rp&quot;#,##0_);[Red]\(&quot;Rp&quot;#,##0\)"/>
    <numFmt numFmtId="172" formatCode="&quot;Rp&quot;#,##0.00_);[Red]\(&quot;Rp&quot;#,##0.00\)"/>
    <numFmt numFmtId="173" formatCode="_(&quot;Rp&quot;* #,##0_);_(&quot;Rp&quot;* \(#,##0\);_(&quot;Rp&quot;* &quot;-&quot;_);_(@_)"/>
    <numFmt numFmtId="174" formatCode="_(&quot;Rp&quot;* #,##0.00_);_(&quot;Rp&quot;* \(#,##0.00\);_(&quot;Rp&quot;* &quot;-&quot;??_);_(@_)"/>
    <numFmt numFmtId="175" formatCode="&quot;£&quot;#,##0;[Red]\-&quot;£&quot;#,##0"/>
    <numFmt numFmtId="176" formatCode="&quot;£&quot;#,##0.00;[Red]\-&quot;£&quot;#,##0.00"/>
    <numFmt numFmtId="177" formatCode="_-&quot;£&quot;* #,##0_-;\-&quot;£&quot;* #,##0_-;_-&quot;£&quot;* &quot;-&quot;_-;_-@_-"/>
    <numFmt numFmtId="178" formatCode="_-&quot;£&quot;* #,##0.00_-;\-&quot;£&quot;* #,##0.00_-;_-&quot;£&quot;* &quot;-&quot;??_-;_-@_-"/>
    <numFmt numFmtId="179" formatCode="_(* #,##0_);_(* \(#,##0\);_(* &quot;-&quot;??_);_(@_)"/>
    <numFmt numFmtId="180" formatCode="_-* #,##0_-;\-* #,##0_-;_-* &quot;-&quot;??_-;_-@_-"/>
    <numFmt numFmtId="181" formatCode="mmm"/>
    <numFmt numFmtId="182" formatCode="_-* #,##0_-;\-* #,##0_-;_-* \-_-;_-@_-"/>
    <numFmt numFmtId="183" formatCode="_(* #,##0.0_);_(* \(#,##0.0\);_(* &quot;-&quot;?_);_(@_)"/>
    <numFmt numFmtId="184" formatCode="General_)"/>
    <numFmt numFmtId="185" formatCode="_-* #,##0\ _F_-;\-* #,##0\ _F_-;_-* &quot;-&quot;\ _F_-;_-@_-"/>
    <numFmt numFmtId="186" formatCode="_-* #,##0\ &quot;F&quot;_-;\-* #,##0\ &quot;F&quot;_-;_-* &quot;-&quot;\ &quot;F&quot;_-;_-@_-"/>
    <numFmt numFmtId="187" formatCode="&quot;\&quot;#,##0;[Red]&quot;\&quot;\-#,##0"/>
    <numFmt numFmtId="188" formatCode="&quot;\&quot;#,##0.00;[Red]&quot;\&quot;\-#,##0.00"/>
    <numFmt numFmtId="189" formatCode="_(&quot;$&quot;* #,##0.0_);_(&quot;$&quot;* \(#,##0.0\);_(&quot;$&quot;* &quot;-&quot;?_);_(@_)"/>
    <numFmt numFmtId="190" formatCode="000000"/>
    <numFmt numFmtId="191" formatCode="&quot;IR£&quot;#,##0.00;[Red]\-&quot;IR£&quot;#,##0.00"/>
    <numFmt numFmtId="192" formatCode="#."/>
    <numFmt numFmtId="193" formatCode="_(&quot;Rp&quot;* #,##0.0_);_(&quot;Rp&quot;* \(#,##0.0\);_(&quot;Rp&quot;* &quot;-&quot;?_);_(@_)"/>
    <numFmt numFmtId="194" formatCode="\$#,##0_);[Red]\(\$#,##0\)"/>
    <numFmt numFmtId="195" formatCode="\$#,##0_);\(\$#,##0\)"/>
    <numFmt numFmtId="196" formatCode="_ * #,##0.00_ ;_ * \-#,##0.00_ ;_ * &quot;-&quot;??_ ;_ @_ "/>
    <numFmt numFmtId="197" formatCode="_ * #,##0_ ;_ * \-#,##0_ ;_ * &quot;-&quot;_ ;_ @_ "/>
    <numFmt numFmtId="198" formatCode="[$-409]mmmm\ d\,\ yyyy;@"/>
    <numFmt numFmtId="199" formatCode="&quot;$&quot;#,##0;[Red]\-&quot;$&quot;#,##0"/>
    <numFmt numFmtId="200" formatCode="_(* #,##0.000_);_(* \(#,##0.000\);_(* &quot;-&quot;???_);_(@_)"/>
    <numFmt numFmtId="201" formatCode="_(* #,##0,_);_(* \(#,##0,\);_(* &quot;-&quot;_)"/>
    <numFmt numFmtId="202" formatCode=";;;"/>
    <numFmt numFmtId="203" formatCode=";;"/>
    <numFmt numFmtId="204" formatCode="\ \ \ \ \ @"/>
    <numFmt numFmtId="205" formatCode="_(* #,##0_);_(* \(#,##0\);_(* &quot;-&quot;_)"/>
    <numFmt numFmtId="206" formatCode="\ \ \ \ \ \ \ \ \ @"/>
    <numFmt numFmtId="207" formatCode="#,##0_ ;[Red]\-#,##0\ "/>
    <numFmt numFmtId="208" formatCode="&quot;CHF&quot;\ #,##0.00;&quot;CHF&quot;\ \-#,##0.00"/>
    <numFmt numFmtId="209" formatCode="m/d/yy;@"/>
    <numFmt numFmtId="210" formatCode="&quot;Year-&quot;##"/>
    <numFmt numFmtId="211" formatCode="_(* #,##0_);_(* \(#,##0\);_(* \-_);_(@_)"/>
    <numFmt numFmtId="212" formatCode="#,##0.00\ ;&quot; (&quot;#,##0.00\);&quot; -&quot;#\ ;@\ "/>
    <numFmt numFmtId="213" formatCode="mmmm\ d\,\ yyyy"/>
    <numFmt numFmtId="214" formatCode="0000000"/>
    <numFmt numFmtId="215" formatCode="_(* #,##0.00_);_(* \(#,##0.00\);_(* \-??_);_(@_)"/>
    <numFmt numFmtId="216" formatCode="[$-409]d\-mmm\-yy;@"/>
    <numFmt numFmtId="217" formatCode="&quot;  010.000-10.&quot;#00000000"/>
    <numFmt numFmtId="218" formatCode="_(\$* #,##0.00_);_(\$* \(#,##0.00\);_(\$* \-??_);_(@_)"/>
    <numFmt numFmtId="219" formatCode="#,##0.00\ &quot;F&quot;;\-#,##0.00\ &quot;F&quot;"/>
    <numFmt numFmtId="220" formatCode="\$#,##0.00;[Red]\-\$#,##0.00"/>
    <numFmt numFmtId="221" formatCode="&quot;$&quot;#,##0.00;[Red]\-&quot;$&quot;#,##0.00"/>
    <numFmt numFmtId="222" formatCode="_ * #,##0.00_)&quot;£&quot;_ ;_ * \(#,##0.00\)&quot;£&quot;_ ;_ * &quot;-&quot;??_)&quot;£&quot;_ ;_ @_ "/>
    <numFmt numFmtId="223" formatCode="_(&quot;Rp&quot;* #,##0_);_(&quot;Rp&quot;* \(#,##0\);_(&quot;Rp&quot;* &quot;-&quot;??_);_(@_)"/>
    <numFmt numFmtId="224" formatCode="_(&quot;$&quot;* #,##0_);_(&quot;$&quot;* \(#,##0\);_(&quot;$&quot;* &quot;-&quot;??_);_(@_)"/>
    <numFmt numFmtId="225" formatCode="d\-mmm\-yy;@"/>
    <numFmt numFmtId="226" formatCode="_-&quot;$&quot;* #,##0.00_-;\-&quot;$&quot;* #,##0.00_-;_-&quot;$&quot;* &quot;-&quot;??_-;_-@_-"/>
    <numFmt numFmtId="227" formatCode="_(&quot;Rp &quot;* #,##0_);_(&quot;Rp &quot;* \(#,##0\);_(&quot;Rp &quot;* &quot;-&quot;_);_(@_)"/>
    <numFmt numFmtId="228" formatCode="\$#,##0\ ;\(\$#,##0\)"/>
    <numFmt numFmtId="229" formatCode="&quot;Rp&quot;#,##0\ ;\(&quot;Rp&quot;#,##0\)"/>
    <numFmt numFmtId="230" formatCode="&quot;$&quot;#,##0\ ;\(&quot;$&quot;#,##0\)"/>
    <numFmt numFmtId="231" formatCode="dd\-mmm\-yy_)"/>
    <numFmt numFmtId="232" formatCode="#,##0.00&quot;£&quot;_);\(#,##0.00&quot;£&quot;\)"/>
    <numFmt numFmtId="233" formatCode="&quot;$&quot;##,##0_);[Red]\(&quot;$&quot;#,##0\)"/>
    <numFmt numFmtId="234" formatCode="&quot;$&quot;_#\,##0_);\(&quot;$&quot;_#\,##0\)"/>
    <numFmt numFmtId="235" formatCode="0.0%"/>
    <numFmt numFmtId="236" formatCode="#,##0&quot;£&quot;_);\(#,##0&quot;£&quot;\)"/>
    <numFmt numFmtId="237" formatCode="mmm\-yyyy"/>
    <numFmt numFmtId="238" formatCode="_([$€-2]* #,##0.00_);_([$€-2]* \(#,##0.00\);_([$€-2]* &quot;-&quot;??_)"/>
    <numFmt numFmtId="239" formatCode="_ &quot;Rp&quot;\ * #,##0_ ;_ &quot;Rp&quot;\ * \-#,##0_ ;_ &quot;Rp&quot;\ * &quot;-&quot;_ ;_ @_ "/>
    <numFmt numFmtId="240" formatCode="[$-409]General"/>
    <numFmt numFmtId="241" formatCode="#,##0;[Red]\(#,##0\)"/>
    <numFmt numFmtId="242" formatCode="[$-409]mmm\-yy;@"/>
    <numFmt numFmtId="243" formatCode="_ * #,##0_)_£_ ;_ * \(#,##0\)_£_ ;_ * &quot;-&quot;_)_£_ ;_ @_ "/>
    <numFmt numFmtId="244" formatCode="[$-409]mmm\-yy&quot; A&quot;;"/>
    <numFmt numFmtId="245" formatCode="[$-409]mmm\-yy&quot; E&quot;;"/>
    <numFmt numFmtId="246" formatCode="#,##0.0;\(#,##0.0\);&quot;-&quot;"/>
    <numFmt numFmtId="247" formatCode="0_)"/>
    <numFmt numFmtId="248" formatCode="#,##0.0%;\(#,##0.0%\);&quot;-&quot;"/>
    <numFmt numFmtId="249" formatCode="_-* #,##0.000000000_-;_-* #,##0.000000000\-;_-* &quot;-&quot;??_-;_-@_-"/>
    <numFmt numFmtId="250" formatCode="#,##0.0_);\(#,##0.0\)"/>
    <numFmt numFmtId="251" formatCode="#,##0.0\x;\(#,##0.0\x\);&quot;-&quot;"/>
    <numFmt numFmtId="252" formatCode="#,##0.000000_);\(#,##0.000000\)"/>
    <numFmt numFmtId="253" formatCode="#,##0;[Red]#,##0&quot;-&quot;"/>
    <numFmt numFmtId="254" formatCode="yy"/>
    <numFmt numFmtId="255" formatCode="&quot;F&quot;\ #,##0_-;&quot;F&quot;\ #,##0\-"/>
    <numFmt numFmtId="256" formatCode="0.00_)"/>
    <numFmt numFmtId="257" formatCode="0;[Red]0"/>
    <numFmt numFmtId="258" formatCode="mmm\ \ yy"/>
    <numFmt numFmtId="259" formatCode="#,##0&quot;£&quot;_);[Red]\(#,##0&quot;£&quot;\)"/>
    <numFmt numFmtId="260" formatCode="###0.00"/>
    <numFmt numFmtId="261" formatCode="&quot;True&quot;;&quot;True&quot;;&quot;False&quot;"/>
    <numFmt numFmtId="262" formatCode="_(* #,##0.000_);_(* \(#,##0.000\);_(* &quot;-&quot;??_);_(@_)"/>
    <numFmt numFmtId="263" formatCode="#,##0.000000000000_);\(#,##0.000000000000\)"/>
    <numFmt numFmtId="264" formatCode="0%_);\(0%\)"/>
    <numFmt numFmtId="265" formatCode="0%;\(0%\)"/>
    <numFmt numFmtId="266" formatCode="_-* #,##0.0_-;\-* #,##0.0_-;_-* &quot;-&quot;??_-;_-@_-"/>
    <numFmt numFmtId="267" formatCode="&quot;$&quot;#,##0;\-&quot;$&quot;#,##0"/>
    <numFmt numFmtId="268" formatCode="[$$-409]#,##0.00;[Red]\-[$$-409]#,##0.00"/>
    <numFmt numFmtId="269" formatCode="mm/dd/yy"/>
    <numFmt numFmtId="270" formatCode="#,##0\ ;&quot; (&quot;#,##0\);&quot; -&quot;#\ ;@\ "/>
    <numFmt numFmtId="271" formatCode="_(* #,##0_);_(* \(#,##0\);_(* \-??_);_(@_)"/>
    <numFmt numFmtId="272" formatCode="&quot;    &quot;@"/>
    <numFmt numFmtId="273" formatCode="0.00_);[Red]\(0.00\)"/>
    <numFmt numFmtId="274" formatCode="0.0000%"/>
    <numFmt numFmtId="275" formatCode="&quot;$&quot;_#\,##0_);[Red]\(&quot;$&quot;_#\,##0\)"/>
    <numFmt numFmtId="276" formatCode="_-&quot;฿&quot;* #,##0_-;\-&quot;฿&quot;* #,##0_-;_-&quot;฿&quot;* &quot;-&quot;_-;_-@_-"/>
    <numFmt numFmtId="277" formatCode="_-&quot;฿&quot;* #,##0.00_-;\-&quot;฿&quot;* #,##0.00_-;_-&quot;฿&quot;* &quot;-&quot;??_-;_-@_-"/>
    <numFmt numFmtId="278" formatCode="&quot;\&quot;#,##0;[Red]&quot;\&quot;&quot;\&quot;\-#,##0"/>
    <numFmt numFmtId="279" formatCode="&quot;\&quot;#,##0.00;[Red]&quot;\&quot;&quot;\&quot;&quot;\&quot;&quot;\&quot;&quot;\&quot;&quot;\&quot;\-#,##0.00"/>
    <numFmt numFmtId="280" formatCode="_-&quot;$&quot;* #,##0_-;\-&quot;$&quot;* #,##0_-;_-&quot;$&quot;* &quot;-&quot;_-;_-@_-"/>
    <numFmt numFmtId="281" formatCode="&quot;¥&quot;#,##0;[Red]&quot;¥&quot;\-#,##0"/>
    <numFmt numFmtId="282" formatCode="_-&quot;Rp.&quot;* #,##0.00_-;\-&quot;Rp.&quot;* #,##0.00_-;_-&quot;Rp.&quot;* &quot;-&quot;??_-;_-@_-"/>
    <numFmt numFmtId="283" formatCode="_-* #,##0.00\ &quot;F&quot;_-;\-* #,##0.00\ &quot;F&quot;_-;_-* &quot;-&quot;??\ &quot;F&quot;_-;_-@_-"/>
    <numFmt numFmtId="284" formatCode="&quot;Rp&quot;#,##0.0000_);[Red]\(&quot;Rp&quot;#,##0.0000\)"/>
    <numFmt numFmtId="285" formatCode="#,##0.0000000"/>
    <numFmt numFmtId="286" formatCode="[$-409]mmmm\-yy;@"/>
    <numFmt numFmtId="287" formatCode="_-* #,##0.000_-;\-* #,##0.000_-;_-* &quot;-&quot;??_-;_-@_-"/>
    <numFmt numFmtId="288" formatCode="&quot;$&quot;#,##0.0000_);[Red]\(&quot;$&quot;#,##0.0000\)"/>
    <numFmt numFmtId="289" formatCode="0.000%"/>
    <numFmt numFmtId="290" formatCode="_(* #,##0_);_(* \(#,##0\);_(* &quot;–&quot;_);_(@_)"/>
    <numFmt numFmtId="291" formatCode="dd\ mmm\ yy"/>
    <numFmt numFmtId="292" formatCode="dd\-mm\-yy"/>
    <numFmt numFmtId="293" formatCode="&quot;£&quot;#,##0_);\(&quot;£&quot;#,##0\)"/>
    <numFmt numFmtId="294" formatCode="#,##0.000_);[Red]\(#,##0.000\)"/>
    <numFmt numFmtId="295" formatCode="#,##0_);\(#,##0\);"/>
    <numFmt numFmtId="296" formatCode="#,##0.0%_);\(#,##0.0%\)"/>
  </numFmts>
  <fonts count="38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b/>
      <u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10"/>
      <color theme="0"/>
      <name val="Arial"/>
      <family val="2"/>
    </font>
    <font>
      <sz val="12"/>
      <color theme="1"/>
      <name val="Calibri"/>
      <family val="2"/>
      <scheme val="minor"/>
    </font>
    <font>
      <b/>
      <sz val="11"/>
      <name val="Arial"/>
      <family val="2"/>
    </font>
    <font>
      <b/>
      <sz val="11"/>
      <color theme="0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"/>
      <name val="Calibri"/>
      <family val="2"/>
    </font>
    <font>
      <b/>
      <u val="singleAccounting"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  <charset val="1"/>
    </font>
    <font>
      <sz val="10"/>
      <color indexed="8"/>
      <name val="MS Sans Serif"/>
      <family val="2"/>
    </font>
    <font>
      <sz val="10"/>
      <name val="Tahoma"/>
      <family val="2"/>
    </font>
    <font>
      <sz val="12"/>
      <color indexed="12"/>
      <name val="Times New Roman"/>
      <family val="1"/>
    </font>
    <font>
      <sz val="11"/>
      <name val="?? ????"/>
      <family val="3"/>
      <charset val="128"/>
    </font>
    <font>
      <sz val="11"/>
      <name val="??"/>
      <family val="1"/>
      <charset val="128"/>
    </font>
    <font>
      <sz val="10"/>
      <name val="Helv"/>
      <family val="2"/>
    </font>
    <font>
      <sz val="10"/>
      <color indexed="8"/>
      <name val="Arial1"/>
    </font>
    <font>
      <sz val="10"/>
      <name val="MS Sans Serif"/>
      <family val="2"/>
    </font>
    <font>
      <sz val="11"/>
      <name val="‚l‚r ‚oƒSƒVƒbƒN"/>
      <charset val="128"/>
    </font>
    <font>
      <sz val="11"/>
      <name val="‚l‚r ‚oƒSƒVƒbƒN"/>
      <family val="3"/>
      <charset val="128"/>
    </font>
    <font>
      <sz val="11"/>
      <name val="明朝"/>
      <family val="1"/>
      <charset val="136"/>
    </font>
    <font>
      <sz val="12"/>
      <name val="Times New Roman"/>
      <family val="1"/>
    </font>
    <font>
      <sz val="10"/>
      <name val="Courier"/>
      <family val="3"/>
    </font>
    <font>
      <sz val="10"/>
      <name val="Courier New"/>
      <family val="3"/>
    </font>
    <font>
      <sz val="10"/>
      <color indexed="8"/>
      <name val="Arial"/>
      <family val="2"/>
      <charset val="1"/>
    </font>
    <font>
      <sz val="11"/>
      <name val="‚l‚r ‚oƒSƒVƒbƒN"/>
    </font>
    <font>
      <sz val="11"/>
      <name val="ＭＳ 明朝"/>
      <family val="1"/>
      <charset val="128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alibri"/>
      <family val="2"/>
    </font>
    <font>
      <sz val="10"/>
      <name val="Geneva"/>
    </font>
    <font>
      <sz val="12"/>
      <name val="¹ÙÅÁÃ¼"/>
    </font>
    <font>
      <sz val="12"/>
      <color indexed="8"/>
      <name val="Times New Roman"/>
      <family val="1"/>
    </font>
    <font>
      <sz val="10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ＭＳ Ｐゴシック"/>
      <family val="3"/>
      <charset val="128"/>
    </font>
    <font>
      <sz val="11"/>
      <color indexed="9"/>
      <name val="Calibri"/>
      <family val="2"/>
    </font>
    <font>
      <sz val="10"/>
      <color indexed="9"/>
      <name val="Arial1"/>
    </font>
    <font>
      <sz val="10"/>
      <color indexed="9"/>
      <name val="Arial"/>
      <family val="2"/>
    </font>
    <font>
      <sz val="10"/>
      <color indexed="9"/>
      <name val="Calibri"/>
      <family val="2"/>
    </font>
    <font>
      <sz val="11"/>
      <color indexed="9"/>
      <name val="Calibri"/>
      <family val="2"/>
      <charset val="1"/>
    </font>
    <font>
      <sz val="11"/>
      <color indexed="9"/>
      <name val="ＭＳ Ｐゴシック"/>
      <family val="3"/>
      <charset val="128"/>
    </font>
    <font>
      <sz val="14"/>
      <name val="AngsanaUPC"/>
      <family val="1"/>
    </font>
    <font>
      <sz val="7"/>
      <color indexed="8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sz val="9"/>
      <color indexed="8"/>
      <name val="Times New Roman"/>
      <family val="1"/>
    </font>
    <font>
      <b/>
      <sz val="12"/>
      <color indexed="8"/>
      <name val="Times New Roman"/>
      <family val="1"/>
    </font>
    <font>
      <sz val="12"/>
      <name val="Arial"/>
      <family val="2"/>
    </font>
    <font>
      <sz val="8"/>
      <name val="Times New Roman"/>
      <family val="1"/>
    </font>
    <font>
      <b/>
      <sz val="11"/>
      <color indexed="63"/>
      <name val="Calibri"/>
      <family val="2"/>
    </font>
    <font>
      <sz val="11"/>
      <color indexed="37"/>
      <name val="Calibri"/>
      <family val="2"/>
    </font>
    <font>
      <sz val="11"/>
      <color indexed="20"/>
      <name val="Calibri"/>
      <family val="2"/>
    </font>
    <font>
      <sz val="10"/>
      <color indexed="20"/>
      <name val="Arial1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sz val="10"/>
      <name val="Century"/>
      <family val="1"/>
    </font>
    <font>
      <sz val="10"/>
      <color indexed="12"/>
      <name val="Helvetica"/>
      <family val="2"/>
    </font>
    <font>
      <sz val="12"/>
      <name val="Tms Rmn"/>
    </font>
    <font>
      <b/>
      <sz val="10"/>
      <name val="Helv"/>
      <family val="2"/>
    </font>
    <font>
      <sz val="12"/>
      <name val="Helv"/>
    </font>
    <font>
      <sz val="8"/>
      <name val="Arial"/>
      <family val="2"/>
    </font>
    <font>
      <sz val="12"/>
      <name val="¹UAAA¼"/>
      <family val="3"/>
      <charset val="129"/>
    </font>
    <font>
      <sz val="10"/>
      <name val="Verdana"/>
      <family val="2"/>
    </font>
    <font>
      <b/>
      <sz val="11"/>
      <color indexed="17"/>
      <name val="Calibri"/>
      <family val="2"/>
    </font>
    <font>
      <b/>
      <sz val="11"/>
      <color indexed="52"/>
      <name val="Calibri"/>
      <family val="2"/>
      <charset val="1"/>
    </font>
    <font>
      <b/>
      <sz val="10"/>
      <name val="Helv"/>
    </font>
    <font>
      <b/>
      <sz val="11"/>
      <color indexed="9"/>
      <name val="Calibri"/>
      <family val="2"/>
    </font>
    <font>
      <b/>
      <sz val="11"/>
      <color indexed="9"/>
      <name val="Calibri"/>
      <family val="2"/>
      <charset val="1"/>
    </font>
    <font>
      <b/>
      <sz val="10"/>
      <color indexed="9"/>
      <name val="Arial1"/>
    </font>
    <font>
      <b/>
      <sz val="10"/>
      <color indexed="9"/>
      <name val="Arial"/>
      <family val="2"/>
    </font>
    <font>
      <b/>
      <sz val="12"/>
      <name val="System"/>
      <family val="2"/>
    </font>
    <font>
      <b/>
      <sz val="8"/>
      <name val="Arial"/>
      <family val="2"/>
    </font>
    <font>
      <b/>
      <u val="singleAccounting"/>
      <sz val="8"/>
      <color indexed="8"/>
      <name val="Arial"/>
      <family val="2"/>
    </font>
    <font>
      <b/>
      <sz val="10"/>
      <name val="Tms Rmn"/>
    </font>
    <font>
      <sz val="12"/>
      <name val="Tms Rmn"/>
      <family val="1"/>
    </font>
    <font>
      <sz val="11"/>
      <color indexed="8"/>
      <name val="Calibri"/>
      <family val="2"/>
      <charset val="134"/>
    </font>
    <font>
      <b/>
      <sz val="9.85"/>
      <color indexed="8"/>
      <name val="Courier New"/>
      <family val="3"/>
    </font>
    <font>
      <b/>
      <sz val="10"/>
      <color indexed="8"/>
      <name val="Courier New"/>
      <family val="3"/>
    </font>
    <font>
      <sz val="10"/>
      <color theme="1"/>
      <name val="Arial"/>
      <family val="2"/>
    </font>
    <font>
      <b/>
      <sz val="9.85"/>
      <color indexed="8"/>
      <name val="Draft 12cpi"/>
      <family val="3"/>
    </font>
    <font>
      <b/>
      <sz val="9.85"/>
      <color indexed="8"/>
      <name val="Draft 12cpi"/>
    </font>
    <font>
      <b/>
      <sz val="7.2"/>
      <color indexed="8"/>
      <name val="Tahoma"/>
      <family val="2"/>
    </font>
    <font>
      <sz val="10"/>
      <color theme="1"/>
      <name val="Tahoma"/>
      <family val="2"/>
    </font>
    <font>
      <sz val="10"/>
      <color theme="1"/>
      <name val="Calibri"/>
      <family val="2"/>
    </font>
    <font>
      <b/>
      <sz val="9.9499999999999993"/>
      <color indexed="8"/>
      <name val="Tahoma"/>
      <family val="2"/>
    </font>
    <font>
      <sz val="10"/>
      <color indexed="22"/>
      <name val="MS Sans Serif"/>
      <family val="2"/>
    </font>
    <font>
      <sz val="10"/>
      <name val="Helv"/>
    </font>
    <font>
      <sz val="10"/>
      <name val="MS Serif"/>
      <family val="1"/>
    </font>
    <font>
      <sz val="8"/>
      <name val="Tms Rmn"/>
    </font>
    <font>
      <b/>
      <sz val="12"/>
      <name val="Helv"/>
      <family val="2"/>
    </font>
    <font>
      <sz val="12"/>
      <name val="SWISS"/>
    </font>
    <font>
      <sz val="12"/>
      <name val="dutch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b/>
      <sz val="8"/>
      <name val="Arial"/>
      <family val="2"/>
      <charset val="238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1"/>
      <color indexed="8"/>
      <name val="Calibri1"/>
    </font>
    <font>
      <i/>
      <sz val="10"/>
      <color indexed="23"/>
      <name val="Arial1"/>
    </font>
    <font>
      <i/>
      <sz val="10"/>
      <color indexed="23"/>
      <name val="Arial"/>
      <family val="2"/>
    </font>
    <font>
      <i/>
      <sz val="10"/>
      <color indexed="23"/>
      <name val="Calibri"/>
      <family val="2"/>
    </font>
    <font>
      <i/>
      <sz val="11"/>
      <color indexed="23"/>
      <name val="Calibri"/>
      <family val="2"/>
      <charset val="1"/>
    </font>
    <font>
      <i/>
      <sz val="1"/>
      <color indexed="8"/>
      <name val="Courier"/>
      <family val="3"/>
    </font>
    <font>
      <sz val="7"/>
      <name val="Palatino"/>
      <family val="1"/>
    </font>
    <font>
      <sz val="12"/>
      <name val="Times N.R"/>
    </font>
    <font>
      <sz val="11"/>
      <color indexed="17"/>
      <name val="Calibri"/>
      <family val="2"/>
    </font>
    <font>
      <sz val="10"/>
      <color indexed="17"/>
      <name val="Arial1"/>
    </font>
    <font>
      <b/>
      <sz val="8"/>
      <color indexed="9"/>
      <name val="Futura"/>
    </font>
    <font>
      <b/>
      <sz val="18"/>
      <color indexed="12"/>
      <name val="MS Sans Serif"/>
      <family val="2"/>
    </font>
    <font>
      <sz val="6"/>
      <color indexed="16"/>
      <name val="Palatino"/>
      <family val="1"/>
    </font>
    <font>
      <b/>
      <sz val="12"/>
      <name val="Helv"/>
    </font>
    <font>
      <b/>
      <sz val="12"/>
      <name val="Arial"/>
      <family val="2"/>
    </font>
    <font>
      <b/>
      <sz val="18"/>
      <name val="Arial"/>
      <family val="2"/>
    </font>
    <font>
      <b/>
      <sz val="15"/>
      <color indexed="62"/>
      <name val="Calibri"/>
      <family val="2"/>
      <charset val="1"/>
    </font>
    <font>
      <b/>
      <sz val="15"/>
      <color indexed="62"/>
      <name val="Calibri"/>
      <family val="2"/>
    </font>
    <font>
      <b/>
      <sz val="15"/>
      <color indexed="56"/>
      <name val="Calibri"/>
      <family val="2"/>
    </font>
    <font>
      <b/>
      <sz val="15"/>
      <color indexed="56"/>
      <name val="Calibri"/>
      <family val="2"/>
      <charset val="1"/>
    </font>
    <font>
      <b/>
      <sz val="15"/>
      <color indexed="56"/>
      <name val="Arial1"/>
    </font>
    <font>
      <b/>
      <sz val="15"/>
      <color indexed="56"/>
      <name val="Arial"/>
      <family val="2"/>
    </font>
    <font>
      <b/>
      <sz val="13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56"/>
      <name val="Calibri"/>
      <family val="2"/>
      <charset val="1"/>
    </font>
    <font>
      <b/>
      <sz val="13"/>
      <color indexed="56"/>
      <name val="Arial1"/>
    </font>
    <font>
      <b/>
      <sz val="13"/>
      <color indexed="56"/>
      <name val="Arial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56"/>
      <name val="Calibri"/>
      <family val="2"/>
      <charset val="1"/>
    </font>
    <font>
      <b/>
      <sz val="11"/>
      <color indexed="56"/>
      <name val="Arial1"/>
    </font>
    <font>
      <b/>
      <sz val="11"/>
      <color indexed="56"/>
      <name val="Arial"/>
      <family val="2"/>
    </font>
    <font>
      <b/>
      <i/>
      <sz val="16"/>
      <color indexed="8"/>
      <name val="Arial"/>
      <family val="2"/>
    </font>
    <font>
      <b/>
      <sz val="10"/>
      <color theme="0"/>
      <name val="Calibri"/>
      <family val="2"/>
    </font>
    <font>
      <b/>
      <sz val="1"/>
      <color indexed="8"/>
      <name val="Courier"/>
      <family val="3"/>
    </font>
    <font>
      <b/>
      <i/>
      <sz val="16"/>
      <color indexed="8"/>
      <name val="Arial1"/>
    </font>
    <font>
      <b/>
      <sz val="8"/>
      <name val="MS Sans Serif"/>
      <family val="2"/>
    </font>
    <font>
      <b/>
      <sz val="9"/>
      <color indexed="16"/>
      <name val="SwitzerlandCondensed"/>
    </font>
    <font>
      <u/>
      <sz val="10"/>
      <color indexed="12"/>
      <name val="Arial"/>
      <family val="2"/>
    </font>
    <font>
      <u/>
      <sz val="10"/>
      <color indexed="12"/>
      <name val="Calibri"/>
      <family val="2"/>
    </font>
    <font>
      <sz val="10"/>
      <color rgb="FF0000FF"/>
      <name val="Calibri"/>
      <family val="2"/>
    </font>
    <font>
      <sz val="11"/>
      <color indexed="48"/>
      <name val="Calibri"/>
      <family val="2"/>
    </font>
    <font>
      <sz val="11"/>
      <color indexed="62"/>
      <name val="Calibri"/>
      <family val="2"/>
      <charset val="1"/>
    </font>
    <font>
      <sz val="9"/>
      <name val="Arial"/>
      <family val="2"/>
    </font>
    <font>
      <sz val="8"/>
      <color indexed="12"/>
      <name val="Helv"/>
    </font>
    <font>
      <i/>
      <sz val="8"/>
      <name val="Arial"/>
      <family val="2"/>
    </font>
    <font>
      <b/>
      <sz val="14"/>
      <name val="Helv"/>
    </font>
    <font>
      <sz val="11"/>
      <color indexed="52"/>
      <name val="Calibri"/>
      <family val="2"/>
    </font>
    <font>
      <sz val="11"/>
      <color indexed="52"/>
      <name val="Calibri"/>
      <family val="2"/>
      <charset val="1"/>
    </font>
    <font>
      <sz val="10"/>
      <color indexed="52"/>
      <name val="Arial1"/>
    </font>
    <font>
      <sz val="10"/>
      <color indexed="52"/>
      <name val="Arial"/>
      <family val="2"/>
    </font>
    <font>
      <sz val="12"/>
      <color indexed="9"/>
      <name val="Helv"/>
    </font>
    <font>
      <sz val="10"/>
      <color indexed="10"/>
      <name val="Tms Rmn"/>
    </font>
    <font>
      <sz val="8"/>
      <color indexed="16"/>
      <name val="Arial"/>
      <family val="2"/>
    </font>
    <font>
      <b/>
      <sz val="10"/>
      <name val="Arial"/>
      <family val="2"/>
      <charset val="238"/>
    </font>
    <font>
      <b/>
      <sz val="11"/>
      <name val="Helv"/>
    </font>
    <font>
      <sz val="10"/>
      <name val="Arabic Transparent"/>
      <family val="2"/>
    </font>
    <font>
      <sz val="8"/>
      <color indexed="55"/>
      <name val="Arial"/>
      <family val="2"/>
    </font>
    <font>
      <sz val="11"/>
      <color indexed="60"/>
      <name val="Calibri"/>
      <family val="2"/>
    </font>
    <font>
      <sz val="10"/>
      <color indexed="60"/>
      <name val="Arial1"/>
    </font>
    <font>
      <sz val="9"/>
      <name val="Times New Roman"/>
      <family val="1"/>
    </font>
    <font>
      <sz val="7"/>
      <name val="Small Fonts"/>
      <family val="3"/>
      <charset val="128"/>
    </font>
    <font>
      <b/>
      <i/>
      <sz val="16"/>
      <name val="Helv"/>
    </font>
    <font>
      <sz val="14"/>
      <name val="Helv"/>
    </font>
    <font>
      <sz val="8"/>
      <name val="Tms Rmn"/>
      <family val="1"/>
    </font>
    <font>
      <sz val="10"/>
      <name val="Arial"/>
      <family val="2"/>
      <charset val="134"/>
    </font>
    <font>
      <sz val="11"/>
      <color indexed="8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8"/>
      <name val="Trebuchet MS"/>
      <family val="2"/>
    </font>
    <font>
      <sz val="8"/>
      <name val="Verdana"/>
      <family val="2"/>
    </font>
    <font>
      <b/>
      <sz val="10"/>
      <color theme="1"/>
      <name val="Calibri"/>
      <family val="2"/>
    </font>
    <font>
      <b/>
      <sz val="11"/>
      <color indexed="63"/>
      <name val="Calibri"/>
      <family val="2"/>
      <charset val="1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b/>
      <sz val="9"/>
      <name val="Arial"/>
      <family val="2"/>
      <charset val="238"/>
    </font>
    <font>
      <sz val="10"/>
      <color indexed="16"/>
      <name val="Helvetica-Black"/>
    </font>
    <font>
      <sz val="8"/>
      <color indexed="18"/>
      <name val="Arial"/>
      <family val="2"/>
    </font>
    <font>
      <b/>
      <sz val="9.1"/>
      <color indexed="8"/>
      <name val="Tahoma"/>
      <family val="2"/>
    </font>
    <font>
      <sz val="8"/>
      <name val="Helv"/>
    </font>
    <font>
      <sz val="10"/>
      <color indexed="14"/>
      <name val="Helvetica"/>
      <family val="2"/>
    </font>
    <font>
      <sz val="10"/>
      <name val="Mangal"/>
      <family val="2"/>
    </font>
    <font>
      <b/>
      <sz val="9"/>
      <color indexed="10"/>
      <name val="SwitzerlandCondensed"/>
    </font>
    <font>
      <sz val="10"/>
      <name val="Arial CE"/>
      <family val="2"/>
      <charset val="238"/>
    </font>
    <font>
      <sz val="8"/>
      <name val="Arial"/>
      <family val="2"/>
      <charset val="238"/>
    </font>
    <font>
      <sz val="10"/>
      <name val="Tms Rmn"/>
    </font>
    <font>
      <b/>
      <sz val="10"/>
      <name val="SWISS"/>
    </font>
    <font>
      <b/>
      <sz val="10"/>
      <name val="MS Sans Serif"/>
      <family val="2"/>
    </font>
    <font>
      <sz val="12"/>
      <color indexed="8"/>
      <name val="Dutch"/>
    </font>
    <font>
      <b/>
      <sz val="10"/>
      <color indexed="53"/>
      <name val="Courier New"/>
      <family val="3"/>
    </font>
    <font>
      <sz val="8"/>
      <name val="Wingdings"/>
      <charset val="2"/>
    </font>
    <font>
      <b/>
      <i/>
      <u/>
      <sz val="10"/>
      <name val="Arial"/>
      <family val="2"/>
    </font>
    <font>
      <b/>
      <i/>
      <u/>
      <sz val="11"/>
      <color indexed="8"/>
      <name val="Arial1"/>
    </font>
    <font>
      <u/>
      <sz val="10"/>
      <name val="Arial"/>
      <family val="2"/>
      <charset val="1"/>
    </font>
    <font>
      <u/>
      <sz val="10"/>
      <color indexed="8"/>
      <name val="Arial"/>
      <family val="2"/>
    </font>
    <font>
      <u/>
      <sz val="10"/>
      <color indexed="8"/>
      <name val="Arial1"/>
    </font>
    <font>
      <u/>
      <sz val="10"/>
      <name val="Arial"/>
      <family val="2"/>
    </font>
    <font>
      <b/>
      <i/>
      <u/>
      <sz val="11"/>
      <color indexed="8"/>
      <name val="Arial"/>
      <family val="2"/>
    </font>
    <font>
      <sz val="10"/>
      <name val="Book Antiqua"/>
      <family val="1"/>
    </font>
    <font>
      <b/>
      <sz val="11"/>
      <color rgb="FF000000"/>
      <name val="Tahoma"/>
      <family val="2"/>
    </font>
    <font>
      <b/>
      <sz val="16"/>
      <color rgb="FF800000"/>
      <name val="Arial"/>
      <family val="2"/>
    </font>
    <font>
      <sz val="14"/>
      <color indexed="8"/>
      <name val="Arial"/>
      <family val="2"/>
    </font>
    <font>
      <sz val="8"/>
      <color rgb="FF000000"/>
      <name val="Tahoma"/>
      <family val="2"/>
    </font>
    <font>
      <sz val="8"/>
      <color indexed="8"/>
      <name val="Arial"/>
      <family val="2"/>
    </font>
    <font>
      <sz val="1"/>
      <color rgb="FF000000"/>
      <name val="Arial"/>
      <family val="2"/>
    </font>
    <font>
      <sz val="8"/>
      <color rgb="FFFF0000"/>
      <name val="Arial"/>
      <family val="2"/>
    </font>
    <font>
      <b/>
      <sz val="8"/>
      <color rgb="FF000080"/>
      <name val="Arial"/>
      <family val="2"/>
    </font>
    <font>
      <b/>
      <sz val="8"/>
      <color indexed="18"/>
      <name val="Arial"/>
      <family val="2"/>
    </font>
    <font>
      <b/>
      <sz val="10"/>
      <color rgb="FF000000"/>
      <name val="Tahoma"/>
      <family val="2"/>
    </font>
    <font>
      <b/>
      <sz val="16"/>
      <color indexed="16"/>
      <name val="Times New Roman"/>
      <family val="1"/>
    </font>
    <font>
      <sz val="8"/>
      <color rgb="FF000000"/>
      <name val="Arial"/>
      <family val="2"/>
    </font>
    <font>
      <b/>
      <sz val="11"/>
      <color indexed="8"/>
      <name val="Arial"/>
      <family val="2"/>
    </font>
    <font>
      <b/>
      <sz val="9"/>
      <color rgb="FF000080"/>
      <name val="Arial"/>
      <family val="2"/>
    </font>
    <font>
      <sz val="9"/>
      <color indexed="8"/>
      <name val="Arial"/>
      <family val="2"/>
    </font>
    <font>
      <sz val="10"/>
      <color rgb="FF000000"/>
      <name val="Arial"/>
      <family val="2"/>
    </font>
    <font>
      <b/>
      <sz val="9"/>
      <color indexed="18"/>
      <name val="Arial"/>
      <family val="2"/>
    </font>
    <font>
      <b/>
      <sz val="8"/>
      <color rgb="FF000000"/>
      <name val="Arial"/>
      <family val="2"/>
    </font>
    <font>
      <b/>
      <sz val="8"/>
      <color indexed="8"/>
      <name val="Arial"/>
      <family val="2"/>
    </font>
    <font>
      <sz val="8"/>
      <color indexed="62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b/>
      <sz val="12"/>
      <color indexed="8"/>
      <name val="Arial"/>
      <family val="2"/>
    </font>
    <font>
      <sz val="19"/>
      <name val="Arial"/>
      <family val="2"/>
    </font>
    <font>
      <sz val="19"/>
      <color indexed="48"/>
      <name val="Arial"/>
      <family val="2"/>
    </font>
    <font>
      <sz val="8"/>
      <color indexed="14"/>
      <name val="Arial"/>
      <family val="2"/>
    </font>
    <font>
      <sz val="12"/>
      <color indexed="14"/>
      <name val="Arial"/>
      <family val="2"/>
    </font>
    <font>
      <b/>
      <i/>
      <sz val="8"/>
      <name val="Arial"/>
      <family val="2"/>
    </font>
    <font>
      <b/>
      <sz val="8"/>
      <color indexed="9"/>
      <name val="Verdana"/>
      <family val="2"/>
    </font>
    <font>
      <b/>
      <u/>
      <sz val="14"/>
      <name val="Arial"/>
      <family val="2"/>
    </font>
    <font>
      <b/>
      <i/>
      <sz val="10"/>
      <name val="Arial"/>
      <family val="2"/>
    </font>
    <font>
      <b/>
      <sz val="18"/>
      <color indexed="62"/>
      <name val="Cambria"/>
      <family val="2"/>
    </font>
    <font>
      <sz val="8"/>
      <name val="MS Sans Serif"/>
      <family val="2"/>
    </font>
    <font>
      <sz val="12"/>
      <color indexed="8"/>
      <name val="HLV"/>
    </font>
    <font>
      <b/>
      <sz val="10"/>
      <color indexed="9"/>
      <name val="Verdana"/>
      <family val="2"/>
    </font>
    <font>
      <b/>
      <sz val="10"/>
      <name val="Tahoma"/>
      <family val="2"/>
    </font>
    <font>
      <b/>
      <sz val="9"/>
      <name val="Arial"/>
      <family val="2"/>
    </font>
    <font>
      <b/>
      <sz val="8"/>
      <color indexed="8"/>
      <name val="Helv"/>
    </font>
    <font>
      <b/>
      <sz val="10"/>
      <color indexed="12"/>
      <name val="Helv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b/>
      <sz val="10"/>
      <color indexed="10"/>
      <name val="Arial"/>
      <family val="2"/>
    </font>
    <font>
      <b/>
      <sz val="11"/>
      <name val="Times New Roman"/>
      <family val="1"/>
    </font>
    <font>
      <sz val="24"/>
      <color indexed="13"/>
      <name val="Helv"/>
    </font>
    <font>
      <b/>
      <sz val="12"/>
      <color indexed="13"/>
      <name val="Helv"/>
    </font>
    <font>
      <b/>
      <sz val="18"/>
      <color indexed="56"/>
      <name val="Cambria"/>
      <family val="2"/>
    </font>
    <font>
      <b/>
      <sz val="18"/>
      <color theme="3"/>
      <name val="Calibri Light"/>
      <family val="2"/>
      <charset val="1"/>
      <scheme val="major"/>
    </font>
    <font>
      <b/>
      <sz val="18"/>
      <color indexed="56"/>
      <name val="Cambria1"/>
    </font>
    <font>
      <b/>
      <sz val="18"/>
      <color indexed="56"/>
      <name val="Cambria"/>
      <family val="1"/>
    </font>
    <font>
      <b/>
      <sz val="18"/>
      <color indexed="56"/>
      <name val="Cambria11"/>
    </font>
    <font>
      <b/>
      <sz val="12"/>
      <name val="Geneva"/>
    </font>
    <font>
      <b/>
      <sz val="11"/>
      <color indexed="8"/>
      <name val="Calibri"/>
      <family val="2"/>
      <charset val="1"/>
    </font>
    <font>
      <b/>
      <sz val="12"/>
      <name val="Symbol"/>
      <family val="1"/>
      <charset val="2"/>
    </font>
    <font>
      <b/>
      <sz val="16"/>
      <name val="AT*Carleton"/>
      <charset val="2"/>
    </font>
    <font>
      <sz val="11"/>
      <color indexed="10"/>
      <name val="Calibri"/>
      <family val="2"/>
    </font>
    <font>
      <sz val="11"/>
      <color indexed="14"/>
      <name val="Calibri"/>
      <family val="2"/>
    </font>
    <font>
      <sz val="10"/>
      <color indexed="10"/>
      <name val="Arial1"/>
    </font>
    <font>
      <sz val="10"/>
      <color indexed="10"/>
      <name val="Arial"/>
      <family val="2"/>
    </font>
    <font>
      <b/>
      <sz val="10"/>
      <name val="Times New Roman"/>
      <family val="1"/>
    </font>
    <font>
      <sz val="16"/>
      <name val="AngsanaUPC"/>
      <family val="1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4"/>
      <name val="Cordia New"/>
      <family val="1"/>
    </font>
    <font>
      <sz val="12"/>
      <name val="นูลมรผ"/>
      <family val="1"/>
    </font>
    <font>
      <b/>
      <sz val="16"/>
      <name val="BrowalliaUPC"/>
      <family val="2"/>
      <charset val="222"/>
    </font>
    <font>
      <sz val="10"/>
      <name val=" "/>
      <family val="3"/>
      <charset val="128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1"/>
      <name val="돋움"/>
      <charset val="129"/>
    </font>
    <font>
      <sz val="12"/>
      <name val="바탕체"/>
      <family val="3"/>
      <charset val="129"/>
    </font>
    <font>
      <sz val="10"/>
      <name val="굴림체"/>
      <family val="3"/>
      <charset val="129"/>
    </font>
    <font>
      <sz val="11"/>
      <color indexed="16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2"/>
      <name val="宋体"/>
      <charset val="134"/>
    </font>
    <font>
      <b/>
      <sz val="11"/>
      <color indexed="8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name val="明朝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2"/>
      <name val="Courier"/>
      <family val="3"/>
    </font>
    <font>
      <sz val="11"/>
      <name val="ＭＳ ゴシック"/>
      <family val="3"/>
      <charset val="128"/>
    </font>
    <font>
      <sz val="20"/>
      <name val="Letter Gothic (W1)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u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 val="singleAccounting"/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1"/>
      <color rgb="FF000000"/>
      <name val="Calibri"/>
      <family val="2"/>
    </font>
    <font>
      <b/>
      <sz val="9"/>
      <color theme="1"/>
      <name val="Calibri"/>
      <family val="2"/>
      <scheme val="minor"/>
    </font>
    <font>
      <i/>
      <sz val="10"/>
      <name val="Arial"/>
      <family val="2"/>
    </font>
    <font>
      <sz val="10"/>
      <color indexed="8"/>
      <name val="Calibri"/>
      <family val="2"/>
      <charset val="1"/>
    </font>
    <font>
      <sz val="10"/>
      <color indexed="8"/>
      <name val="Trebuchet MS"/>
      <family val="2"/>
      <charset val="1"/>
    </font>
    <font>
      <sz val="11"/>
      <name val="Tahoma"/>
      <family val="2"/>
    </font>
    <font>
      <sz val="8"/>
      <color indexed="8"/>
      <name val="Arial"/>
      <family val="2"/>
      <charset val="1"/>
    </font>
    <font>
      <sz val="10"/>
      <name val="Arial Narrow"/>
      <family val="2"/>
    </font>
    <font>
      <sz val="11"/>
      <name val="ＭＳ Ｐゴシック"/>
    </font>
    <font>
      <sz val="10"/>
      <color indexed="8"/>
      <name val="Courier New"/>
      <family val="3"/>
    </font>
    <font>
      <sz val="18"/>
      <name val="Helvetica-Black"/>
    </font>
    <font>
      <i/>
      <sz val="14"/>
      <name val="Palatino"/>
      <family val="1"/>
    </font>
    <font>
      <sz val="7"/>
      <name val="Small Fonts"/>
      <family val="2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  <charset val="1"/>
    </font>
    <font>
      <sz val="10"/>
      <name val="Century Gothic"/>
      <family val="2"/>
    </font>
    <font>
      <sz val="10"/>
      <color theme="1"/>
      <name val="Calibri"/>
      <family val="2"/>
      <charset val="1"/>
    </font>
    <font>
      <sz val="11"/>
      <color theme="1"/>
      <name val="Times New Roman"/>
      <family val="2"/>
    </font>
    <font>
      <sz val="8"/>
      <color rgb="FF000000"/>
      <name val="Arial"/>
      <family val="2"/>
      <charset val="1"/>
    </font>
    <font>
      <sz val="12"/>
      <color indexed="43"/>
      <name val="Arial"/>
      <family val="2"/>
    </font>
    <font>
      <b/>
      <i/>
      <sz val="9"/>
      <color indexed="8"/>
      <name val="Arial"/>
      <family val="2"/>
    </font>
    <font>
      <b/>
      <sz val="9"/>
      <color indexed="8"/>
      <name val="Arial"/>
      <family val="2"/>
    </font>
    <font>
      <b/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name val="Geneva"/>
      <family val="2"/>
    </font>
    <font>
      <sz val="9"/>
      <name val="Geneva"/>
      <family val="2"/>
    </font>
    <font>
      <sz val="12"/>
      <name val="Courier New"/>
      <family val="3"/>
    </font>
    <font>
      <sz val="12"/>
      <name val="Roman 12cpi"/>
      <family val="2"/>
    </font>
    <font>
      <b/>
      <sz val="11"/>
      <name val="Times"/>
      <family val="1"/>
    </font>
    <font>
      <sz val="12"/>
      <color rgb="FF000000"/>
      <name val="Calibri"/>
      <family val="2"/>
    </font>
    <font>
      <sz val="12"/>
      <color rgb="FF000000"/>
      <name val="Calibri"/>
      <family val="2"/>
      <charset val="1"/>
    </font>
    <font>
      <sz val="12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4"/>
      <name val="Arial"/>
      <family val="2"/>
    </font>
    <font>
      <b/>
      <sz val="11"/>
      <name val="Calibri"/>
      <family val="2"/>
    </font>
    <font>
      <b/>
      <sz val="11"/>
      <color rgb="FF0000CC"/>
      <name val="Calibri"/>
      <family val="2"/>
    </font>
    <font>
      <b/>
      <sz val="10"/>
      <color rgb="FF0000CC"/>
      <name val="Arial"/>
      <family val="2"/>
    </font>
    <font>
      <sz val="10"/>
      <color rgb="FF0000CC"/>
      <name val="Arial"/>
      <family val="2"/>
    </font>
    <font>
      <b/>
      <sz val="11"/>
      <color rgb="FF7030A0"/>
      <name val="Calibri"/>
      <family val="2"/>
    </font>
    <font>
      <sz val="11"/>
      <color rgb="FF7030A0"/>
      <name val="Calibri"/>
      <family val="2"/>
      <scheme val="minor"/>
    </font>
    <font>
      <sz val="10"/>
      <color rgb="FF7030A0"/>
      <name val="Arial"/>
      <family val="2"/>
    </font>
    <font>
      <b/>
      <sz val="10"/>
      <color rgb="FF7030A0"/>
      <name val="Arial"/>
      <family val="2"/>
    </font>
    <font>
      <b/>
      <sz val="7"/>
      <color theme="5" tint="-0.249977111117893"/>
      <name val="Calibri"/>
      <family val="2"/>
      <scheme val="minor"/>
    </font>
    <font>
      <b/>
      <sz val="7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b/>
      <sz val="11"/>
      <color theme="0"/>
      <name val="Calibri"/>
      <family val="2"/>
      <charset val="1"/>
      <scheme val="minor"/>
    </font>
    <font>
      <sz val="12"/>
      <color rgb="FFFF0000"/>
      <name val="Calibri"/>
      <family val="2"/>
    </font>
  </fonts>
  <fills count="19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31"/>
      </patternFill>
    </fill>
    <fill>
      <patternFill patternType="solid">
        <fgColor indexed="24"/>
        <bgColor indexed="46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1"/>
      </patternFill>
    </fill>
    <fill>
      <patternFill patternType="solid">
        <f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47"/>
      </patternFill>
    </fill>
    <fill>
      <patternFill patternType="solid">
        <fgColor indexed="47"/>
        <bgColor indexed="31"/>
      </patternFill>
    </fill>
    <fill>
      <patternFill patternType="solid">
        <fgColor indexed="44"/>
        <bgColor indexed="31"/>
      </patternFill>
    </fill>
    <fill>
      <patternFill patternType="solid">
        <fgColor indexed="44"/>
      </patternFill>
    </fill>
    <fill>
      <patternFill patternType="solid">
        <fgColor indexed="44"/>
        <b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21"/>
        <bgColor indexed="38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30"/>
        <bgColor indexed="21"/>
      </patternFill>
    </fill>
    <fill>
      <patternFill patternType="solid">
        <fgColor indexed="30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28"/>
        <bgColor indexed="20"/>
      </patternFill>
    </fill>
    <fill>
      <patternFill patternType="solid">
        <fgColor indexed="49"/>
        <bgColor indexed="40"/>
      </patternFill>
    </fill>
    <fill>
      <patternFill patternType="solid">
        <fgColor indexed="49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8"/>
        <bgColor indexed="48"/>
      </patternFill>
    </fill>
    <fill>
      <patternFill patternType="solid">
        <fgColor indexed="62"/>
      </patternFill>
    </fill>
    <fill>
      <patternFill patternType="solid">
        <fgColor indexed="62"/>
        <bgColor indexed="56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7"/>
      </patternFill>
    </fill>
    <fill>
      <patternFill patternType="solid">
        <fgColor indexed="57"/>
        <bgColor indexed="21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35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3"/>
      </patternFill>
    </fill>
    <fill>
      <patternFill patternType="gray125">
        <fgColor indexed="8"/>
      </patternFill>
    </fill>
    <fill>
      <patternFill patternType="solid">
        <fgColor indexed="27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3"/>
        <bgColor indexed="34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61"/>
        <bgColor indexed="64"/>
      </patternFill>
    </fill>
    <fill>
      <patternFill patternType="solid">
        <fgColor indexed="60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42"/>
      </patternFill>
    </fill>
    <fill>
      <patternFill patternType="solid">
        <fgColor indexed="9"/>
        <bgColor indexed="8"/>
      </patternFill>
    </fill>
    <fill>
      <patternFill patternType="darkVertical"/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0"/>
      </patternFill>
    </fill>
    <fill>
      <patternFill patternType="solid">
        <fgColor indexed="18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2"/>
        <bgColor indexed="39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3"/>
        <b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rgb="FFC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EFFAFB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rgb="FF000000"/>
      </patternFill>
    </fill>
  </fills>
  <borders count="13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0"/>
      </bottom>
      <diagonal/>
    </border>
    <border>
      <left/>
      <right/>
      <top/>
      <bottom style="medium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double">
        <color indexed="1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medium">
        <color indexed="8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 style="thin">
        <color indexed="15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58510">
    <xf numFmtId="0" fontId="0" fillId="0" borderId="0"/>
    <xf numFmtId="167" fontId="2" fillId="0" borderId="0" applyFont="0" applyFill="0" applyBorder="0" applyAlignment="0" applyProtection="0"/>
    <xf numFmtId="0" fontId="3" fillId="0" borderId="0"/>
    <xf numFmtId="169" fontId="3" fillId="0" borderId="0" applyFont="0" applyFill="0" applyBorder="0" applyAlignment="0" applyProtection="0"/>
    <xf numFmtId="0" fontId="4" fillId="0" borderId="0"/>
    <xf numFmtId="167" fontId="3" fillId="0" borderId="0" applyFont="0" applyFill="0" applyBorder="0" applyAlignment="0" applyProtection="0"/>
    <xf numFmtId="167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3" fillId="0" borderId="0"/>
    <xf numFmtId="0" fontId="2" fillId="0" borderId="0"/>
    <xf numFmtId="167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3" fillId="0" borderId="0"/>
    <xf numFmtId="169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3" fillId="0" borderId="0"/>
    <xf numFmtId="0" fontId="4" fillId="0" borderId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7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7" fillId="0" borderId="0"/>
    <xf numFmtId="172" fontId="3" fillId="0" borderId="0" applyNumberFormat="0" applyFill="0" applyBorder="0" applyAlignment="0" applyProtection="0"/>
    <xf numFmtId="172" fontId="3" fillId="0" borderId="0" applyNumberFormat="0" applyFill="0" applyBorder="0" applyAlignment="0" applyProtection="0"/>
    <xf numFmtId="0" fontId="37" fillId="0" borderId="0"/>
    <xf numFmtId="0" fontId="3" fillId="0" borderId="0"/>
    <xf numFmtId="0" fontId="3" fillId="0" borderId="0"/>
    <xf numFmtId="0" fontId="38" fillId="0" borderId="0"/>
    <xf numFmtId="0" fontId="3" fillId="0" borderId="0"/>
    <xf numFmtId="0" fontId="38" fillId="0" borderId="0"/>
    <xf numFmtId="0" fontId="3" fillId="0" borderId="0"/>
    <xf numFmtId="0" fontId="3" fillId="0" borderId="0"/>
    <xf numFmtId="0" fontId="39" fillId="0" borderId="0"/>
    <xf numFmtId="0" fontId="39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2" fontId="3" fillId="0" borderId="0" applyFill="0" applyBorder="0" applyAlignment="0" applyProtection="0"/>
    <xf numFmtId="183" fontId="40" fillId="0" borderId="36" applyBorder="0"/>
    <xf numFmtId="3" fontId="41" fillId="53" borderId="37" applyFont="0" applyFill="0">
      <alignment horizontal="right" wrapText="1"/>
    </xf>
    <xf numFmtId="0" fontId="42" fillId="0" borderId="0"/>
    <xf numFmtId="168" fontId="43" fillId="0" borderId="0" applyFont="0" applyFill="0" applyBorder="0" applyAlignment="0" applyProtection="0"/>
    <xf numFmtId="169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84" fontId="3" fillId="0" borderId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44" fillId="0" borderId="0"/>
    <xf numFmtId="0" fontId="3" fillId="0" borderId="0"/>
    <xf numFmtId="0" fontId="44" fillId="0" borderId="0"/>
    <xf numFmtId="0" fontId="44" fillId="0" borderId="0"/>
    <xf numFmtId="0" fontId="3" fillId="0" borderId="0"/>
    <xf numFmtId="0" fontId="3" fillId="0" borderId="0"/>
    <xf numFmtId="0" fontId="4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5" fillId="0" borderId="0"/>
    <xf numFmtId="0" fontId="45" fillId="0" borderId="0"/>
    <xf numFmtId="0" fontId="46" fillId="0" borderId="0"/>
    <xf numFmtId="0" fontId="3" fillId="0" borderId="0"/>
    <xf numFmtId="0" fontId="3" fillId="0" borderId="0"/>
    <xf numFmtId="0" fontId="47" fillId="0" borderId="38"/>
    <xf numFmtId="0" fontId="48" fillId="0" borderId="38"/>
    <xf numFmtId="0" fontId="48" fillId="0" borderId="38"/>
    <xf numFmtId="0" fontId="47" fillId="0" borderId="38"/>
    <xf numFmtId="0" fontId="47" fillId="0" borderId="38"/>
    <xf numFmtId="0" fontId="47" fillId="0" borderId="38"/>
    <xf numFmtId="0" fontId="47" fillId="0" borderId="38"/>
    <xf numFmtId="0" fontId="47" fillId="0" borderId="39"/>
    <xf numFmtId="0" fontId="48" fillId="0" borderId="38"/>
    <xf numFmtId="0" fontId="48" fillId="0" borderId="38"/>
    <xf numFmtId="0" fontId="47" fillId="0" borderId="38"/>
    <xf numFmtId="0" fontId="48" fillId="0" borderId="38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5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46" fillId="0" borderId="0"/>
    <xf numFmtId="0" fontId="4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4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4" fontId="51" fillId="0" borderId="0"/>
    <xf numFmtId="184" fontId="52" fillId="0" borderId="0"/>
    <xf numFmtId="184" fontId="51" fillId="0" borderId="0"/>
    <xf numFmtId="184" fontId="51" fillId="0" borderId="0"/>
    <xf numFmtId="184" fontId="52" fillId="0" borderId="0"/>
    <xf numFmtId="184" fontId="52" fillId="0" borderId="0"/>
    <xf numFmtId="184" fontId="51" fillId="0" borderId="0"/>
    <xf numFmtId="184" fontId="52" fillId="0" borderId="0"/>
    <xf numFmtId="184" fontId="52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4" fontId="51" fillId="0" borderId="0"/>
    <xf numFmtId="184" fontId="52" fillId="0" borderId="0"/>
    <xf numFmtId="184" fontId="51" fillId="0" borderId="0"/>
    <xf numFmtId="184" fontId="51" fillId="0" borderId="0"/>
    <xf numFmtId="184" fontId="52" fillId="0" borderId="0"/>
    <xf numFmtId="184" fontId="52" fillId="0" borderId="0"/>
    <xf numFmtId="184" fontId="51" fillId="0" borderId="0"/>
    <xf numFmtId="184" fontId="52" fillId="0" borderId="0"/>
    <xf numFmtId="184" fontId="52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0" fontId="46" fillId="0" borderId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9" fillId="0" borderId="0"/>
    <xf numFmtId="0" fontId="45" fillId="0" borderId="0"/>
    <xf numFmtId="0" fontId="37" fillId="0" borderId="0"/>
    <xf numFmtId="184" fontId="51" fillId="0" borderId="0"/>
    <xf numFmtId="184" fontId="52" fillId="0" borderId="0"/>
    <xf numFmtId="184" fontId="51" fillId="0" borderId="0"/>
    <xf numFmtId="184" fontId="51" fillId="0" borderId="0"/>
    <xf numFmtId="184" fontId="52" fillId="0" borderId="0"/>
    <xf numFmtId="184" fontId="52" fillId="0" borderId="0"/>
    <xf numFmtId="184" fontId="51" fillId="0" borderId="0"/>
    <xf numFmtId="184" fontId="52" fillId="0" borderId="0"/>
    <xf numFmtId="184" fontId="52" fillId="0" borderId="0"/>
    <xf numFmtId="0" fontId="53" fillId="0" borderId="0">
      <alignment vertical="top"/>
    </xf>
    <xf numFmtId="187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189" fontId="3" fillId="0" borderId="0">
      <protection locked="0"/>
    </xf>
    <xf numFmtId="190" fontId="3" fillId="0" borderId="0">
      <protection locked="0"/>
    </xf>
    <xf numFmtId="191" fontId="3" fillId="0" borderId="0">
      <protection locked="0"/>
    </xf>
    <xf numFmtId="190" fontId="3" fillId="0" borderId="0">
      <protection locked="0"/>
    </xf>
    <xf numFmtId="190" fontId="3" fillId="0" borderId="0">
      <protection locked="0"/>
    </xf>
    <xf numFmtId="190" fontId="3" fillId="0" borderId="0">
      <protection locked="0"/>
    </xf>
    <xf numFmtId="192" fontId="56" fillId="0" borderId="0">
      <protection locked="0"/>
    </xf>
    <xf numFmtId="193" fontId="3" fillId="0" borderId="0">
      <protection locked="0"/>
    </xf>
    <xf numFmtId="189" fontId="3" fillId="0" borderId="0">
      <protection locked="0"/>
    </xf>
    <xf numFmtId="193" fontId="3" fillId="0" borderId="0">
      <protection locked="0"/>
    </xf>
    <xf numFmtId="189" fontId="3" fillId="0" borderId="0">
      <protection locked="0"/>
    </xf>
    <xf numFmtId="194" fontId="3" fillId="0" borderId="0">
      <protection locked="0"/>
    </xf>
    <xf numFmtId="192" fontId="56" fillId="0" borderId="0">
      <protection locked="0"/>
    </xf>
    <xf numFmtId="193" fontId="3" fillId="0" borderId="0">
      <protection locked="0"/>
    </xf>
    <xf numFmtId="190" fontId="3" fillId="0" borderId="0">
      <protection locked="0"/>
    </xf>
    <xf numFmtId="189" fontId="3" fillId="0" borderId="0">
      <protection locked="0"/>
    </xf>
    <xf numFmtId="190" fontId="3" fillId="0" borderId="0">
      <protection locked="0"/>
    </xf>
    <xf numFmtId="191" fontId="3" fillId="0" borderId="0">
      <protection locked="0"/>
    </xf>
    <xf numFmtId="190" fontId="3" fillId="0" borderId="0">
      <protection locked="0"/>
    </xf>
    <xf numFmtId="190" fontId="3" fillId="0" borderId="0">
      <protection locked="0"/>
    </xf>
    <xf numFmtId="190" fontId="3" fillId="0" borderId="0">
      <protection locked="0"/>
    </xf>
    <xf numFmtId="192" fontId="57" fillId="0" borderId="0">
      <protection locked="0"/>
    </xf>
    <xf numFmtId="193" fontId="3" fillId="0" borderId="0">
      <protection locked="0"/>
    </xf>
    <xf numFmtId="189" fontId="3" fillId="0" borderId="0">
      <protection locked="0"/>
    </xf>
    <xf numFmtId="193" fontId="3" fillId="0" borderId="0">
      <protection locked="0"/>
    </xf>
    <xf numFmtId="189" fontId="3" fillId="0" borderId="0">
      <protection locked="0"/>
    </xf>
    <xf numFmtId="194" fontId="3" fillId="0" borderId="0">
      <protection locked="0"/>
    </xf>
    <xf numFmtId="193" fontId="3" fillId="0" borderId="0">
      <protection locked="0"/>
    </xf>
    <xf numFmtId="190" fontId="3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195" fontId="40" fillId="0" borderId="0">
      <protection locked="0"/>
    </xf>
    <xf numFmtId="0" fontId="47" fillId="0" borderId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1" fontId="46" fillId="0" borderId="0"/>
    <xf numFmtId="0" fontId="3" fillId="0" borderId="0"/>
    <xf numFmtId="198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58" fillId="0" borderId="0"/>
    <xf numFmtId="0" fontId="50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" fontId="46" fillId="0" borderId="0"/>
    <xf numFmtId="199" fontId="59" fillId="0" borderId="0" applyFont="0" applyFill="0" applyBorder="0" applyAlignment="0" applyProtection="0"/>
    <xf numFmtId="199" fontId="59" fillId="0" borderId="0" applyFont="0" applyFill="0" applyBorder="0" applyAlignment="0" applyProtection="0"/>
    <xf numFmtId="9" fontId="60" fillId="0" borderId="0" applyFont="0" applyFill="0" applyBorder="0" applyAlignment="0" applyProtection="0"/>
    <xf numFmtId="169" fontId="61" fillId="53" borderId="37"/>
    <xf numFmtId="0" fontId="4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4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4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5" borderId="0" applyNumberFormat="0" applyBorder="0" applyAlignment="0" applyProtection="0"/>
    <xf numFmtId="0" fontId="45" fillId="56" borderId="0"/>
    <xf numFmtId="0" fontId="37" fillId="56" borderId="0"/>
    <xf numFmtId="0" fontId="37" fillId="54" borderId="0" applyNumberFormat="0" applyBorder="0" applyAlignment="0" applyProtection="0"/>
    <xf numFmtId="0" fontId="22" fillId="55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2" fillId="55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6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6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62" fillId="54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63" fillId="55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4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4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7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7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8" borderId="0" applyNumberFormat="0" applyBorder="0" applyAlignment="0" applyProtection="0"/>
    <xf numFmtId="0" fontId="45" fillId="57" borderId="0"/>
    <xf numFmtId="0" fontId="37" fillId="57" borderId="0"/>
    <xf numFmtId="0" fontId="37" fillId="57" borderId="0" applyNumberFormat="0" applyBorder="0" applyAlignment="0" applyProtection="0"/>
    <xf numFmtId="0" fontId="22" fillId="58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2" fillId="58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6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6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62" fillId="57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63" fillId="58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4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4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59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59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60" borderId="0" applyNumberFormat="0" applyBorder="0" applyAlignment="0" applyProtection="0"/>
    <xf numFmtId="0" fontId="45" fillId="59" borderId="0"/>
    <xf numFmtId="0" fontId="37" fillId="59" borderId="0"/>
    <xf numFmtId="0" fontId="37" fillId="59" borderId="0" applyNumberFormat="0" applyBorder="0" applyAlignment="0" applyProtection="0"/>
    <xf numFmtId="0" fontId="22" fillId="6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2" fillId="6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6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6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62" fillId="59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63" fillId="6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2" borderId="0" applyNumberFormat="0" applyBorder="0" applyAlignment="0" applyProtection="0"/>
    <xf numFmtId="0" fontId="45" fillId="61" borderId="0"/>
    <xf numFmtId="0" fontId="37" fillId="61" borderId="0"/>
    <xf numFmtId="0" fontId="37" fillId="61" borderId="0" applyNumberFormat="0" applyBorder="0" applyAlignment="0" applyProtection="0"/>
    <xf numFmtId="0" fontId="22" fillId="62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2" fillId="62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6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6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62" fillId="6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63" fillId="62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3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3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4" borderId="0" applyNumberFormat="0" applyBorder="0" applyAlignment="0" applyProtection="0"/>
    <xf numFmtId="0" fontId="45" fillId="63" borderId="0"/>
    <xf numFmtId="0" fontId="37" fillId="63" borderId="0"/>
    <xf numFmtId="0" fontId="37" fillId="63" borderId="0" applyNumberFormat="0" applyBorder="0" applyAlignment="0" applyProtection="0"/>
    <xf numFmtId="0" fontId="22" fillId="6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2" fillId="6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6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6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62" fillId="6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63" fillId="6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4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4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7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63" fillId="67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7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63" fillId="67" borderId="0" applyNumberFormat="0" applyBorder="0" applyAlignment="0" applyProtection="0"/>
    <xf numFmtId="0" fontId="22" fillId="66" borderId="0" applyNumberFormat="0" applyBorder="0" applyAlignment="0" applyProtection="0"/>
    <xf numFmtId="0" fontId="45" fillId="67" borderId="0"/>
    <xf numFmtId="0" fontId="37" fillId="67" borderId="0"/>
    <xf numFmtId="0" fontId="37" fillId="65" borderId="0" applyNumberFormat="0" applyBorder="0" applyAlignment="0" applyProtection="0"/>
    <xf numFmtId="0" fontId="22" fillId="6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6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6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6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62" fillId="6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63" fillId="66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4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2" fillId="54" borderId="0" applyNumberFormat="0" applyBorder="0" applyAlignment="0" applyProtection="0"/>
    <xf numFmtId="0" fontId="22" fillId="57" borderId="0" applyNumberFormat="0" applyBorder="0" applyAlignment="0" applyProtection="0"/>
    <xf numFmtId="0" fontId="22" fillId="59" borderId="0" applyNumberFormat="0" applyBorder="0" applyAlignment="0" applyProtection="0"/>
    <xf numFmtId="0" fontId="22" fillId="61" borderId="0" applyNumberFormat="0" applyBorder="0" applyAlignment="0" applyProtection="0"/>
    <xf numFmtId="0" fontId="22" fillId="63" borderId="0" applyNumberFormat="0" applyBorder="0" applyAlignment="0" applyProtection="0"/>
    <xf numFmtId="0" fontId="22" fillId="65" borderId="0" applyNumberFormat="0" applyBorder="0" applyAlignment="0" applyProtection="0"/>
    <xf numFmtId="0" fontId="64" fillId="54" borderId="0" applyNumberFormat="0" applyBorder="0" applyAlignment="0" applyProtection="0"/>
    <xf numFmtId="0" fontId="64" fillId="57" borderId="0" applyNumberFormat="0" applyBorder="0" applyAlignment="0" applyProtection="0"/>
    <xf numFmtId="0" fontId="64" fillId="59" borderId="0" applyNumberFormat="0" applyBorder="0" applyAlignment="0" applyProtection="0"/>
    <xf numFmtId="0" fontId="64" fillId="61" borderId="0" applyNumberFormat="0" applyBorder="0" applyAlignment="0" applyProtection="0"/>
    <xf numFmtId="0" fontId="64" fillId="63" borderId="0" applyNumberFormat="0" applyBorder="0" applyAlignment="0" applyProtection="0"/>
    <xf numFmtId="0" fontId="64" fillId="65" borderId="0" applyNumberFormat="0" applyBorder="0" applyAlignment="0" applyProtection="0"/>
    <xf numFmtId="200" fontId="50" fillId="0" borderId="0"/>
    <xf numFmtId="0" fontId="4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70" borderId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63" fillId="7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70" borderId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63" fillId="70" borderId="0" applyNumberFormat="0" applyBorder="0" applyAlignment="0" applyProtection="0"/>
    <xf numFmtId="0" fontId="22" fillId="69" borderId="0" applyNumberFormat="0" applyBorder="0" applyAlignment="0" applyProtection="0"/>
    <xf numFmtId="0" fontId="45" fillId="70" borderId="0"/>
    <xf numFmtId="0" fontId="37" fillId="70" borderId="0"/>
    <xf numFmtId="0" fontId="37" fillId="68" borderId="0" applyNumberFormat="0" applyBorder="0" applyAlignment="0" applyProtection="0"/>
    <xf numFmtId="0" fontId="22" fillId="69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2" fillId="69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6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6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62" fillId="68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63" fillId="69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4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4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2" borderId="0" applyNumberFormat="0" applyBorder="0" applyAlignment="0" applyProtection="0"/>
    <xf numFmtId="0" fontId="22" fillId="72" borderId="0" applyNumberFormat="0" applyBorder="0" applyAlignment="0" applyProtection="0"/>
    <xf numFmtId="0" fontId="22" fillId="72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1" borderId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1" borderId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2" borderId="0" applyNumberFormat="0" applyBorder="0" applyAlignment="0" applyProtection="0"/>
    <xf numFmtId="0" fontId="45" fillId="71" borderId="0"/>
    <xf numFmtId="0" fontId="37" fillId="71" borderId="0"/>
    <xf numFmtId="0" fontId="37" fillId="71" borderId="0" applyNumberFormat="0" applyBorder="0" applyAlignment="0" applyProtection="0"/>
    <xf numFmtId="0" fontId="22" fillId="72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2" fillId="72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6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6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62" fillId="71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63" fillId="72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4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4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3" borderId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3" borderId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4" borderId="0" applyNumberFormat="0" applyBorder="0" applyAlignment="0" applyProtection="0"/>
    <xf numFmtId="0" fontId="45" fillId="73" borderId="0"/>
    <xf numFmtId="0" fontId="37" fillId="73" borderId="0"/>
    <xf numFmtId="0" fontId="37" fillId="73" borderId="0" applyNumberFormat="0" applyBorder="0" applyAlignment="0" applyProtection="0"/>
    <xf numFmtId="0" fontId="22" fillId="7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2" fillId="7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62" fillId="7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62" fillId="7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62" fillId="7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63" fillId="7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1" borderId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1" borderId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2" borderId="0" applyNumberFormat="0" applyBorder="0" applyAlignment="0" applyProtection="0"/>
    <xf numFmtId="0" fontId="45" fillId="61" borderId="0"/>
    <xf numFmtId="0" fontId="37" fillId="61" borderId="0"/>
    <xf numFmtId="0" fontId="37" fillId="61" borderId="0" applyNumberFormat="0" applyBorder="0" applyAlignment="0" applyProtection="0"/>
    <xf numFmtId="0" fontId="22" fillId="6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2" fillId="6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6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6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62" fillId="6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63" fillId="6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70" borderId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63" fillId="70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70" borderId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63" fillId="70" borderId="0" applyNumberFormat="0" applyBorder="0" applyAlignment="0" applyProtection="0"/>
    <xf numFmtId="0" fontId="22" fillId="69" borderId="0" applyNumberFormat="0" applyBorder="0" applyAlignment="0" applyProtection="0"/>
    <xf numFmtId="0" fontId="45" fillId="70" borderId="0"/>
    <xf numFmtId="0" fontId="37" fillId="70" borderId="0"/>
    <xf numFmtId="0" fontId="37" fillId="68" borderId="0" applyNumberFormat="0" applyBorder="0" applyAlignment="0" applyProtection="0"/>
    <xf numFmtId="0" fontId="22" fillId="69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2" fillId="69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6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6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62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63" fillId="69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4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4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6" borderId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6" borderId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7" borderId="0" applyNumberFormat="0" applyBorder="0" applyAlignment="0" applyProtection="0"/>
    <xf numFmtId="0" fontId="45" fillId="76" borderId="0"/>
    <xf numFmtId="0" fontId="37" fillId="76" borderId="0"/>
    <xf numFmtId="0" fontId="37" fillId="76" borderId="0" applyNumberFormat="0" applyBorder="0" applyAlignment="0" applyProtection="0"/>
    <xf numFmtId="0" fontId="22" fillId="77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77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6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6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62" fillId="7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63" fillId="77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4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2" fillId="68" borderId="0" applyNumberFormat="0" applyBorder="0" applyAlignment="0" applyProtection="0"/>
    <xf numFmtId="0" fontId="22" fillId="71" borderId="0" applyNumberFormat="0" applyBorder="0" applyAlignment="0" applyProtection="0"/>
    <xf numFmtId="0" fontId="22" fillId="73" borderId="0" applyNumberFormat="0" applyBorder="0" applyAlignment="0" applyProtection="0"/>
    <xf numFmtId="0" fontId="22" fillId="61" borderId="0" applyNumberFormat="0" applyBorder="0" applyAlignment="0" applyProtection="0"/>
    <xf numFmtId="0" fontId="22" fillId="68" borderId="0" applyNumberFormat="0" applyBorder="0" applyAlignment="0" applyProtection="0"/>
    <xf numFmtId="0" fontId="22" fillId="76" borderId="0" applyNumberFormat="0" applyBorder="0" applyAlignment="0" applyProtection="0"/>
    <xf numFmtId="0" fontId="64" fillId="68" borderId="0" applyNumberFormat="0" applyBorder="0" applyAlignment="0" applyProtection="0"/>
    <xf numFmtId="0" fontId="64" fillId="71" borderId="0" applyNumberFormat="0" applyBorder="0" applyAlignment="0" applyProtection="0"/>
    <xf numFmtId="0" fontId="64" fillId="73" borderId="0" applyNumberFormat="0" applyBorder="0" applyAlignment="0" applyProtection="0"/>
    <xf numFmtId="0" fontId="64" fillId="61" borderId="0" applyNumberFormat="0" applyBorder="0" applyAlignment="0" applyProtection="0"/>
    <xf numFmtId="0" fontId="64" fillId="68" borderId="0" applyNumberFormat="0" applyBorder="0" applyAlignment="0" applyProtection="0"/>
    <xf numFmtId="0" fontId="64" fillId="76" borderId="0" applyNumberFormat="0" applyBorder="0" applyAlignment="0" applyProtection="0"/>
    <xf numFmtId="0" fontId="8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9" borderId="0" applyNumberFormat="0" applyBorder="0" applyAlignment="0" applyProtection="0"/>
    <xf numFmtId="0" fontId="65" fillId="79" borderId="0" applyNumberFormat="0" applyBorder="0" applyAlignment="0" applyProtection="0"/>
    <xf numFmtId="0" fontId="65" fillId="79" borderId="0" applyNumberFormat="0" applyBorder="0" applyAlignment="0" applyProtection="0"/>
    <xf numFmtId="0" fontId="7" fillId="31" borderId="0" applyNumberFormat="0" applyBorder="0" applyAlignment="0" applyProtection="0"/>
    <xf numFmtId="0" fontId="65" fillId="78" borderId="0"/>
    <xf numFmtId="0" fontId="65" fillId="78" borderId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8" borderId="0"/>
    <xf numFmtId="0" fontId="65" fillId="78" borderId="0"/>
    <xf numFmtId="0" fontId="65" fillId="78" borderId="0"/>
    <xf numFmtId="0" fontId="65" fillId="78" borderId="0"/>
    <xf numFmtId="0" fontId="65" fillId="79" borderId="0" applyNumberFormat="0" applyBorder="0" applyAlignment="0" applyProtection="0"/>
    <xf numFmtId="0" fontId="66" fillId="78" borderId="0"/>
    <xf numFmtId="0" fontId="67" fillId="78" borderId="0"/>
    <xf numFmtId="0" fontId="65" fillId="78" borderId="0" applyNumberFormat="0" applyBorder="0" applyAlignment="0" applyProtection="0"/>
    <xf numFmtId="0" fontId="65" fillId="7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5" fillId="7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8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8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8" fillId="7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69" fillId="7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8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8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7" fillId="35" borderId="0" applyNumberFormat="0" applyBorder="0" applyAlignment="0" applyProtection="0"/>
    <xf numFmtId="0" fontId="65" fillId="71" borderId="0"/>
    <xf numFmtId="0" fontId="65" fillId="71" borderId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1" borderId="0"/>
    <xf numFmtId="0" fontId="65" fillId="71" borderId="0"/>
    <xf numFmtId="0" fontId="65" fillId="71" borderId="0"/>
    <xf numFmtId="0" fontId="65" fillId="71" borderId="0"/>
    <xf numFmtId="0" fontId="65" fillId="72" borderId="0" applyNumberFormat="0" applyBorder="0" applyAlignment="0" applyProtection="0"/>
    <xf numFmtId="0" fontId="66" fillId="71" borderId="0"/>
    <xf numFmtId="0" fontId="67" fillId="71" borderId="0"/>
    <xf numFmtId="0" fontId="65" fillId="71" borderId="0" applyNumberFormat="0" applyBorder="0" applyAlignment="0" applyProtection="0"/>
    <xf numFmtId="0" fontId="65" fillId="72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5" fillId="72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8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8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8" fillId="7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69" fillId="72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8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8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3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4" borderId="0" applyNumberFormat="0" applyBorder="0" applyAlignment="0" applyProtection="0"/>
    <xf numFmtId="0" fontId="65" fillId="74" borderId="0" applyNumberFormat="0" applyBorder="0" applyAlignment="0" applyProtection="0"/>
    <xf numFmtId="0" fontId="65" fillId="74" borderId="0" applyNumberFormat="0" applyBorder="0" applyAlignment="0" applyProtection="0"/>
    <xf numFmtId="0" fontId="7" fillId="39" borderId="0" applyNumberFormat="0" applyBorder="0" applyAlignment="0" applyProtection="0"/>
    <xf numFmtId="0" fontId="65" fillId="73" borderId="0"/>
    <xf numFmtId="0" fontId="65" fillId="73" borderId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3" borderId="0"/>
    <xf numFmtId="0" fontId="65" fillId="73" borderId="0"/>
    <xf numFmtId="0" fontId="65" fillId="73" borderId="0"/>
    <xf numFmtId="0" fontId="65" fillId="73" borderId="0"/>
    <xf numFmtId="0" fontId="65" fillId="74" borderId="0" applyNumberFormat="0" applyBorder="0" applyAlignment="0" applyProtection="0"/>
    <xf numFmtId="0" fontId="66" fillId="73" borderId="0"/>
    <xf numFmtId="0" fontId="67" fillId="73" borderId="0"/>
    <xf numFmtId="0" fontId="65" fillId="73" borderId="0" applyNumberFormat="0" applyBorder="0" applyAlignment="0" applyProtection="0"/>
    <xf numFmtId="0" fontId="65" fillId="74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5" fillId="74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8" fillId="75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8" fillId="75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8" fillId="75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69" fillId="74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8" fillId="39" borderId="0" applyNumberFormat="0" applyBorder="0" applyAlignment="0" applyProtection="0"/>
    <xf numFmtId="0" fontId="7" fillId="39" borderId="0" applyNumberFormat="0" applyBorder="0" applyAlignment="0" applyProtection="0"/>
    <xf numFmtId="0" fontId="7" fillId="39" borderId="0" applyNumberFormat="0" applyBorder="0" applyAlignment="0" applyProtection="0"/>
    <xf numFmtId="0" fontId="8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0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0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0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0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0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0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0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0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1" borderId="0" applyNumberFormat="0" applyBorder="0" applyAlignment="0" applyProtection="0"/>
    <xf numFmtId="0" fontId="65" fillId="81" borderId="0" applyNumberFormat="0" applyBorder="0" applyAlignment="0" applyProtection="0"/>
    <xf numFmtId="0" fontId="65" fillId="81" borderId="0" applyNumberFormat="0" applyBorder="0" applyAlignment="0" applyProtection="0"/>
    <xf numFmtId="0" fontId="7" fillId="43" borderId="0" applyNumberFormat="0" applyBorder="0" applyAlignment="0" applyProtection="0"/>
    <xf numFmtId="0" fontId="65" fillId="80" borderId="0"/>
    <xf numFmtId="0" fontId="65" fillId="80" borderId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0" borderId="0"/>
    <xf numFmtId="0" fontId="65" fillId="80" borderId="0"/>
    <xf numFmtId="0" fontId="65" fillId="80" borderId="0"/>
    <xf numFmtId="0" fontId="65" fillId="80" borderId="0"/>
    <xf numFmtId="0" fontId="65" fillId="81" borderId="0" applyNumberFormat="0" applyBorder="0" applyAlignment="0" applyProtection="0"/>
    <xf numFmtId="0" fontId="66" fillId="80" borderId="0"/>
    <xf numFmtId="0" fontId="67" fillId="80" borderId="0"/>
    <xf numFmtId="0" fontId="65" fillId="80" borderId="0" applyNumberFormat="0" applyBorder="0" applyAlignment="0" applyProtection="0"/>
    <xf numFmtId="0" fontId="65" fillId="81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5" fillId="81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8" fillId="82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8" fillId="82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8" fillId="82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69" fillId="81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8" fillId="43" borderId="0" applyNumberFormat="0" applyBorder="0" applyAlignment="0" applyProtection="0"/>
    <xf numFmtId="0" fontId="7" fillId="43" borderId="0" applyNumberFormat="0" applyBorder="0" applyAlignment="0" applyProtection="0"/>
    <xf numFmtId="0" fontId="7" fillId="43" borderId="0" applyNumberFormat="0" applyBorder="0" applyAlignment="0" applyProtection="0"/>
    <xf numFmtId="0" fontId="8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4" borderId="0" applyNumberFormat="0" applyBorder="0" applyAlignment="0" applyProtection="0"/>
    <xf numFmtId="0" fontId="65" fillId="84" borderId="0" applyNumberFormat="0" applyBorder="0" applyAlignment="0" applyProtection="0"/>
    <xf numFmtId="0" fontId="65" fillId="84" borderId="0" applyNumberFormat="0" applyBorder="0" applyAlignment="0" applyProtection="0"/>
    <xf numFmtId="0" fontId="7" fillId="47" borderId="0" applyNumberFormat="0" applyBorder="0" applyAlignment="0" applyProtection="0"/>
    <xf numFmtId="0" fontId="65" fillId="83" borderId="0"/>
    <xf numFmtId="0" fontId="65" fillId="83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3" borderId="0"/>
    <xf numFmtId="0" fontId="65" fillId="83" borderId="0"/>
    <xf numFmtId="0" fontId="65" fillId="83" borderId="0"/>
    <xf numFmtId="0" fontId="65" fillId="83" borderId="0"/>
    <xf numFmtId="0" fontId="65" fillId="84" borderId="0" applyNumberFormat="0" applyBorder="0" applyAlignment="0" applyProtection="0"/>
    <xf numFmtId="0" fontId="66" fillId="83" borderId="0"/>
    <xf numFmtId="0" fontId="67" fillId="83" borderId="0"/>
    <xf numFmtId="0" fontId="65" fillId="83" borderId="0" applyNumberFormat="0" applyBorder="0" applyAlignment="0" applyProtection="0"/>
    <xf numFmtId="0" fontId="65" fillId="84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5" fillId="84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8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8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8" fillId="83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69" fillId="84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8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8" fillId="51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6" borderId="0" applyNumberFormat="0" applyBorder="0" applyAlignment="0" applyProtection="0"/>
    <xf numFmtId="0" fontId="65" fillId="86" borderId="0" applyNumberFormat="0" applyBorder="0" applyAlignment="0" applyProtection="0"/>
    <xf numFmtId="0" fontId="65" fillId="86" borderId="0" applyNumberFormat="0" applyBorder="0" applyAlignment="0" applyProtection="0"/>
    <xf numFmtId="0" fontId="7" fillId="51" borderId="0" applyNumberFormat="0" applyBorder="0" applyAlignment="0" applyProtection="0"/>
    <xf numFmtId="0" fontId="65" fillId="85" borderId="0"/>
    <xf numFmtId="0" fontId="65" fillId="85" borderId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5" borderId="0"/>
    <xf numFmtId="0" fontId="65" fillId="85" borderId="0"/>
    <xf numFmtId="0" fontId="65" fillId="85" borderId="0"/>
    <xf numFmtId="0" fontId="65" fillId="85" borderId="0"/>
    <xf numFmtId="0" fontId="65" fillId="86" borderId="0" applyNumberFormat="0" applyBorder="0" applyAlignment="0" applyProtection="0"/>
    <xf numFmtId="0" fontId="66" fillId="85" borderId="0"/>
    <xf numFmtId="0" fontId="67" fillId="85" borderId="0"/>
    <xf numFmtId="0" fontId="65" fillId="85" borderId="0" applyNumberFormat="0" applyBorder="0" applyAlignment="0" applyProtection="0"/>
    <xf numFmtId="0" fontId="65" fillId="86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86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8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8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8" fillId="85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9" fillId="86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8" fillId="51" borderId="0" applyNumberFormat="0" applyBorder="0" applyAlignment="0" applyProtection="0"/>
    <xf numFmtId="0" fontId="7" fillId="51" borderId="0" applyNumberFormat="0" applyBorder="0" applyAlignment="0" applyProtection="0"/>
    <xf numFmtId="0" fontId="7" fillId="51" borderId="0" applyNumberFormat="0" applyBorder="0" applyAlignment="0" applyProtection="0"/>
    <xf numFmtId="0" fontId="65" fillId="78" borderId="0" applyNumberFormat="0" applyBorder="0" applyAlignment="0" applyProtection="0"/>
    <xf numFmtId="0" fontId="65" fillId="71" borderId="0" applyNumberFormat="0" applyBorder="0" applyAlignment="0" applyProtection="0"/>
    <xf numFmtId="0" fontId="65" fillId="73" borderId="0" applyNumberFormat="0" applyBorder="0" applyAlignment="0" applyProtection="0"/>
    <xf numFmtId="0" fontId="65" fillId="80" borderId="0" applyNumberFormat="0" applyBorder="0" applyAlignment="0" applyProtection="0"/>
    <xf numFmtId="0" fontId="65" fillId="83" borderId="0" applyNumberFormat="0" applyBorder="0" applyAlignment="0" applyProtection="0"/>
    <xf numFmtId="0" fontId="65" fillId="85" borderId="0" applyNumberFormat="0" applyBorder="0" applyAlignment="0" applyProtection="0"/>
    <xf numFmtId="0" fontId="70" fillId="78" borderId="0" applyNumberFormat="0" applyBorder="0" applyAlignment="0" applyProtection="0"/>
    <xf numFmtId="0" fontId="70" fillId="71" borderId="0" applyNumberFormat="0" applyBorder="0" applyAlignment="0" applyProtection="0"/>
    <xf numFmtId="0" fontId="70" fillId="73" borderId="0" applyNumberFormat="0" applyBorder="0" applyAlignment="0" applyProtection="0"/>
    <xf numFmtId="0" fontId="70" fillId="80" borderId="0" applyNumberFormat="0" applyBorder="0" applyAlignment="0" applyProtection="0"/>
    <xf numFmtId="0" fontId="70" fillId="83" borderId="0" applyNumberFormat="0" applyBorder="0" applyAlignment="0" applyProtection="0"/>
    <xf numFmtId="0" fontId="70" fillId="85" borderId="0" applyNumberFormat="0" applyBorder="0" applyAlignment="0" applyProtection="0"/>
    <xf numFmtId="9" fontId="71" fillId="0" borderId="0"/>
    <xf numFmtId="167" fontId="72" fillId="53" borderId="0">
      <alignment horizontal="right" wrapText="1"/>
    </xf>
    <xf numFmtId="0" fontId="3" fillId="0" borderId="0"/>
    <xf numFmtId="184" fontId="51" fillId="0" borderId="0"/>
    <xf numFmtId="0" fontId="50" fillId="0" borderId="0" applyNumberFormat="0" applyFont="0" applyFill="0" applyBorder="0"/>
    <xf numFmtId="167" fontId="73" fillId="0" borderId="0"/>
    <xf numFmtId="167" fontId="74" fillId="0" borderId="0" applyNumberFormat="0"/>
    <xf numFmtId="167" fontId="75" fillId="53" borderId="0"/>
    <xf numFmtId="0" fontId="22" fillId="87" borderId="0" applyNumberFormat="0" applyBorder="0" applyAlignment="0" applyProtection="0"/>
    <xf numFmtId="0" fontId="22" fillId="88" borderId="0" applyNumberFormat="0" applyBorder="0" applyAlignment="0" applyProtection="0"/>
    <xf numFmtId="0" fontId="65" fillId="89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1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1" borderId="0" applyNumberFormat="0" applyBorder="0" applyAlignment="0" applyProtection="0"/>
    <xf numFmtId="0" fontId="7" fillId="28" borderId="0" applyNumberFormat="0" applyBorder="0" applyAlignment="0" applyProtection="0"/>
    <xf numFmtId="0" fontId="65" fillId="92" borderId="0"/>
    <xf numFmtId="0" fontId="65" fillId="92" borderId="0"/>
    <xf numFmtId="0" fontId="7" fillId="28" borderId="0" applyNumberFormat="0" applyBorder="0" applyAlignment="0" applyProtection="0"/>
    <xf numFmtId="0" fontId="65" fillId="91" borderId="0" applyNumberFormat="0" applyBorder="0" applyAlignment="0" applyProtection="0"/>
    <xf numFmtId="0" fontId="7" fillId="28" borderId="0" applyNumberFormat="0" applyBorder="0" applyAlignment="0" applyProtection="0"/>
    <xf numFmtId="0" fontId="65" fillId="92" borderId="0"/>
    <xf numFmtId="0" fontId="65" fillId="92" borderId="0"/>
    <xf numFmtId="0" fontId="65" fillId="92" borderId="0"/>
    <xf numFmtId="0" fontId="65" fillId="92" borderId="0"/>
    <xf numFmtId="0" fontId="65" fillId="91" borderId="0" applyNumberFormat="0" applyBorder="0" applyAlignment="0" applyProtection="0"/>
    <xf numFmtId="0" fontId="66" fillId="92" borderId="0"/>
    <xf numFmtId="0" fontId="67" fillId="92" borderId="0"/>
    <xf numFmtId="0" fontId="65" fillId="92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1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1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65" fillId="90" borderId="0" applyNumberFormat="0" applyBorder="0" applyAlignment="0" applyProtection="0"/>
    <xf numFmtId="0" fontId="22" fillId="93" borderId="0" applyNumberFormat="0" applyBorder="0" applyAlignment="0" applyProtection="0"/>
    <xf numFmtId="0" fontId="22" fillId="94" borderId="0" applyNumberFormat="0" applyBorder="0" applyAlignment="0" applyProtection="0"/>
    <xf numFmtId="0" fontId="65" fillId="95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7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7" borderId="0" applyNumberFormat="0" applyBorder="0" applyAlignment="0" applyProtection="0"/>
    <xf numFmtId="0" fontId="7" fillId="32" borderId="0" applyNumberFormat="0" applyBorder="0" applyAlignment="0" applyProtection="0"/>
    <xf numFmtId="0" fontId="65" fillId="98" borderId="0"/>
    <xf numFmtId="0" fontId="65" fillId="98" borderId="0"/>
    <xf numFmtId="0" fontId="7" fillId="32" borderId="0" applyNumberFormat="0" applyBorder="0" applyAlignment="0" applyProtection="0"/>
    <xf numFmtId="0" fontId="65" fillId="97" borderId="0" applyNumberFormat="0" applyBorder="0" applyAlignment="0" applyProtection="0"/>
    <xf numFmtId="0" fontId="7" fillId="32" borderId="0" applyNumberFormat="0" applyBorder="0" applyAlignment="0" applyProtection="0"/>
    <xf numFmtId="0" fontId="65" fillId="98" borderId="0"/>
    <xf numFmtId="0" fontId="65" fillId="98" borderId="0"/>
    <xf numFmtId="0" fontId="65" fillId="98" borderId="0"/>
    <xf numFmtId="0" fontId="65" fillId="98" borderId="0"/>
    <xf numFmtId="0" fontId="65" fillId="97" borderId="0" applyNumberFormat="0" applyBorder="0" applyAlignment="0" applyProtection="0"/>
    <xf numFmtId="0" fontId="66" fillId="98" borderId="0"/>
    <xf numFmtId="0" fontId="67" fillId="98" borderId="0"/>
    <xf numFmtId="0" fontId="65" fillId="98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7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7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65" fillId="96" borderId="0" applyNumberFormat="0" applyBorder="0" applyAlignment="0" applyProtection="0"/>
    <xf numFmtId="0" fontId="22" fillId="99" borderId="0" applyNumberFormat="0" applyBorder="0" applyAlignment="0" applyProtection="0"/>
    <xf numFmtId="0" fontId="22" fillId="100" borderId="0" applyNumberFormat="0" applyBorder="0" applyAlignment="0" applyProtection="0"/>
    <xf numFmtId="0" fontId="65" fillId="101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3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3" borderId="0" applyNumberFormat="0" applyBorder="0" applyAlignment="0" applyProtection="0"/>
    <xf numFmtId="0" fontId="7" fillId="36" borderId="0" applyNumberFormat="0" applyBorder="0" applyAlignment="0" applyProtection="0"/>
    <xf numFmtId="0" fontId="65" fillId="104" borderId="0"/>
    <xf numFmtId="0" fontId="65" fillId="104" borderId="0"/>
    <xf numFmtId="0" fontId="7" fillId="36" borderId="0" applyNumberFormat="0" applyBorder="0" applyAlignment="0" applyProtection="0"/>
    <xf numFmtId="0" fontId="65" fillId="103" borderId="0" applyNumberFormat="0" applyBorder="0" applyAlignment="0" applyProtection="0"/>
    <xf numFmtId="0" fontId="7" fillId="36" borderId="0" applyNumberFormat="0" applyBorder="0" applyAlignment="0" applyProtection="0"/>
    <xf numFmtId="0" fontId="65" fillId="104" borderId="0"/>
    <xf numFmtId="0" fontId="65" fillId="104" borderId="0"/>
    <xf numFmtId="0" fontId="65" fillId="104" borderId="0"/>
    <xf numFmtId="0" fontId="65" fillId="104" borderId="0"/>
    <xf numFmtId="0" fontId="65" fillId="103" borderId="0" applyNumberFormat="0" applyBorder="0" applyAlignment="0" applyProtection="0"/>
    <xf numFmtId="0" fontId="66" fillId="104" borderId="0"/>
    <xf numFmtId="0" fontId="67" fillId="104" borderId="0"/>
    <xf numFmtId="0" fontId="65" fillId="104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3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3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65" fillId="102" borderId="0" applyNumberFormat="0" applyBorder="0" applyAlignment="0" applyProtection="0"/>
    <xf numFmtId="0" fontId="22" fillId="93" borderId="0" applyNumberFormat="0" applyBorder="0" applyAlignment="0" applyProtection="0"/>
    <xf numFmtId="0" fontId="22" fillId="105" borderId="0" applyNumberFormat="0" applyBorder="0" applyAlignment="0" applyProtection="0"/>
    <xf numFmtId="0" fontId="65" fillId="94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81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81" borderId="0" applyNumberFormat="0" applyBorder="0" applyAlignment="0" applyProtection="0"/>
    <xf numFmtId="0" fontId="7" fillId="40" borderId="0" applyNumberFormat="0" applyBorder="0" applyAlignment="0" applyProtection="0"/>
    <xf numFmtId="0" fontId="65" fillId="80" borderId="0"/>
    <xf numFmtId="0" fontId="65" fillId="80" borderId="0"/>
    <xf numFmtId="0" fontId="7" fillId="40" borderId="0" applyNumberFormat="0" applyBorder="0" applyAlignment="0" applyProtection="0"/>
    <xf numFmtId="0" fontId="65" fillId="81" borderId="0" applyNumberFormat="0" applyBorder="0" applyAlignment="0" applyProtection="0"/>
    <xf numFmtId="0" fontId="7" fillId="40" borderId="0" applyNumberFormat="0" applyBorder="0" applyAlignment="0" applyProtection="0"/>
    <xf numFmtId="0" fontId="65" fillId="80" borderId="0"/>
    <xf numFmtId="0" fontId="65" fillId="80" borderId="0"/>
    <xf numFmtId="0" fontId="65" fillId="80" borderId="0"/>
    <xf numFmtId="0" fontId="65" fillId="80" borderId="0"/>
    <xf numFmtId="0" fontId="65" fillId="81" borderId="0" applyNumberFormat="0" applyBorder="0" applyAlignment="0" applyProtection="0"/>
    <xf numFmtId="0" fontId="66" fillId="80" borderId="0"/>
    <xf numFmtId="0" fontId="67" fillId="80" borderId="0"/>
    <xf numFmtId="0" fontId="65" fillId="8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81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81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7" fillId="40" borderId="0" applyNumberFormat="0" applyBorder="0" applyAlignment="0" applyProtection="0"/>
    <xf numFmtId="0" fontId="7" fillId="40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65" fillId="106" borderId="0" applyNumberFormat="0" applyBorder="0" applyAlignment="0" applyProtection="0"/>
    <xf numFmtId="0" fontId="22" fillId="107" borderId="0" applyNumberFormat="0" applyBorder="0" applyAlignment="0" applyProtection="0"/>
    <xf numFmtId="0" fontId="22" fillId="108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4" borderId="0" applyNumberFormat="0" applyBorder="0" applyAlignment="0" applyProtection="0"/>
    <xf numFmtId="0" fontId="7" fillId="44" borderId="0" applyNumberFormat="0" applyBorder="0" applyAlignment="0" applyProtection="0"/>
    <xf numFmtId="0" fontId="65" fillId="83" borderId="0"/>
    <xf numFmtId="0" fontId="65" fillId="83" borderId="0"/>
    <xf numFmtId="0" fontId="7" fillId="44" borderId="0" applyNumberFormat="0" applyBorder="0" applyAlignment="0" applyProtection="0"/>
    <xf numFmtId="0" fontId="65" fillId="84" borderId="0" applyNumberFormat="0" applyBorder="0" applyAlignment="0" applyProtection="0"/>
    <xf numFmtId="0" fontId="7" fillId="44" borderId="0" applyNumberFormat="0" applyBorder="0" applyAlignment="0" applyProtection="0"/>
    <xf numFmtId="0" fontId="65" fillId="83" borderId="0"/>
    <xf numFmtId="0" fontId="65" fillId="83" borderId="0"/>
    <xf numFmtId="0" fontId="65" fillId="83" borderId="0"/>
    <xf numFmtId="0" fontId="65" fillId="83" borderId="0"/>
    <xf numFmtId="0" fontId="65" fillId="84" borderId="0" applyNumberFormat="0" applyBorder="0" applyAlignment="0" applyProtection="0"/>
    <xf numFmtId="0" fontId="66" fillId="83" borderId="0"/>
    <xf numFmtId="0" fontId="67" fillId="83" borderId="0"/>
    <xf numFmtId="0" fontId="65" fillId="83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4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7" fillId="44" borderId="0" applyNumberFormat="0" applyBorder="0" applyAlignment="0" applyProtection="0"/>
    <xf numFmtId="0" fontId="7" fillId="44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65" fillId="89" borderId="0" applyNumberFormat="0" applyBorder="0" applyAlignment="0" applyProtection="0"/>
    <xf numFmtId="0" fontId="22" fillId="109" borderId="0" applyNumberFormat="0" applyBorder="0" applyAlignment="0" applyProtection="0"/>
    <xf numFmtId="0" fontId="22" fillId="110" borderId="0" applyNumberFormat="0" applyBorder="0" applyAlignment="0" applyProtection="0"/>
    <xf numFmtId="0" fontId="65" fillId="111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3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3" borderId="0" applyNumberFormat="0" applyBorder="0" applyAlignment="0" applyProtection="0"/>
    <xf numFmtId="0" fontId="7" fillId="48" borderId="0" applyNumberFormat="0" applyBorder="0" applyAlignment="0" applyProtection="0"/>
    <xf numFmtId="0" fontId="65" fillId="114" borderId="0"/>
    <xf numFmtId="0" fontId="65" fillId="114" borderId="0"/>
    <xf numFmtId="0" fontId="7" fillId="48" borderId="0" applyNumberFormat="0" applyBorder="0" applyAlignment="0" applyProtection="0"/>
    <xf numFmtId="0" fontId="65" fillId="113" borderId="0" applyNumberFormat="0" applyBorder="0" applyAlignment="0" applyProtection="0"/>
    <xf numFmtId="0" fontId="7" fillId="48" borderId="0" applyNumberFormat="0" applyBorder="0" applyAlignment="0" applyProtection="0"/>
    <xf numFmtId="0" fontId="65" fillId="114" borderId="0"/>
    <xf numFmtId="0" fontId="65" fillId="114" borderId="0"/>
    <xf numFmtId="0" fontId="65" fillId="114" borderId="0"/>
    <xf numFmtId="0" fontId="65" fillId="114" borderId="0"/>
    <xf numFmtId="0" fontId="65" fillId="113" borderId="0" applyNumberFormat="0" applyBorder="0" applyAlignment="0" applyProtection="0"/>
    <xf numFmtId="0" fontId="66" fillId="114" borderId="0"/>
    <xf numFmtId="0" fontId="67" fillId="114" borderId="0"/>
    <xf numFmtId="0" fontId="65" fillId="114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3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3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0" fontId="65" fillId="112" borderId="0" applyNumberFormat="0" applyBorder="0" applyAlignment="0" applyProtection="0"/>
    <xf numFmtId="173" fontId="76" fillId="0" borderId="0" applyFont="0"/>
    <xf numFmtId="173" fontId="76" fillId="0" borderId="12" applyFont="0"/>
    <xf numFmtId="166" fontId="76" fillId="0" borderId="12" applyFont="0"/>
    <xf numFmtId="173" fontId="76" fillId="0" borderId="0" applyFont="0"/>
    <xf numFmtId="167" fontId="76" fillId="0" borderId="0" applyFont="0"/>
    <xf numFmtId="167" fontId="76" fillId="0" borderId="0" applyFont="0"/>
    <xf numFmtId="176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0" fontId="65" fillId="92" borderId="0" applyNumberFormat="0" applyBorder="0" applyAlignment="0" applyProtection="0"/>
    <xf numFmtId="0" fontId="65" fillId="98" borderId="0" applyNumberFormat="0" applyBorder="0" applyAlignment="0" applyProtection="0"/>
    <xf numFmtId="0" fontId="65" fillId="104" borderId="0" applyNumberFormat="0" applyBorder="0" applyAlignment="0" applyProtection="0"/>
    <xf numFmtId="0" fontId="65" fillId="80" borderId="0" applyNumberFormat="0" applyBorder="0" applyAlignment="0" applyProtection="0"/>
    <xf numFmtId="0" fontId="65" fillId="83" borderId="0" applyNumberFormat="0" applyBorder="0" applyAlignment="0" applyProtection="0"/>
    <xf numFmtId="0" fontId="65" fillId="114" borderId="0" applyNumberFormat="0" applyBorder="0" applyAlignment="0" applyProtection="0"/>
    <xf numFmtId="0" fontId="77" fillId="0" borderId="0" applyFont="0" applyFill="0" applyBorder="0" applyProtection="0">
      <alignment horizontal="justify" vertical="top"/>
    </xf>
    <xf numFmtId="0" fontId="78" fillId="0" borderId="0">
      <alignment horizontal="center" wrapText="1"/>
      <protection locked="0"/>
    </xf>
    <xf numFmtId="0" fontId="78" fillId="0" borderId="0">
      <alignment horizontal="center" wrapText="1"/>
      <protection locked="0"/>
    </xf>
    <xf numFmtId="0" fontId="78" fillId="0" borderId="0">
      <alignment horizontal="center" wrapText="1"/>
      <protection locked="0"/>
    </xf>
    <xf numFmtId="0" fontId="78" fillId="0" borderId="0">
      <alignment horizontal="center" wrapText="1"/>
      <protection locked="0"/>
    </xf>
    <xf numFmtId="0" fontId="78" fillId="0" borderId="0">
      <alignment horizontal="center" wrapText="1"/>
      <protection locked="0"/>
    </xf>
    <xf numFmtId="0" fontId="3" fillId="0" borderId="0" applyFill="0" applyBorder="0">
      <alignment vertical="center"/>
    </xf>
    <xf numFmtId="177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79" fillId="115" borderId="40" applyNumberFormat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1" fillId="58" borderId="0" applyNumberFormat="0" applyBorder="0" applyAlignment="0" applyProtection="0"/>
    <xf numFmtId="0" fontId="80" fillId="109" borderId="0" applyNumberFormat="0" applyBorder="0" applyAlignment="0" applyProtection="0"/>
    <xf numFmtId="0" fontId="81" fillId="58" borderId="0" applyNumberFormat="0" applyBorder="0" applyAlignment="0" applyProtection="0"/>
    <xf numFmtId="0" fontId="30" fillId="22" borderId="0" applyNumberFormat="0" applyBorder="0" applyAlignment="0" applyProtection="0"/>
    <xf numFmtId="0" fontId="81" fillId="57" borderId="0"/>
    <xf numFmtId="0" fontId="81" fillId="57" borderId="0"/>
    <xf numFmtId="0" fontId="30" fillId="22" borderId="0" applyNumberFormat="0" applyBorder="0" applyAlignment="0" applyProtection="0"/>
    <xf numFmtId="0" fontId="81" fillId="58" borderId="0" applyNumberFormat="0" applyBorder="0" applyAlignment="0" applyProtection="0"/>
    <xf numFmtId="0" fontId="30" fillId="22" borderId="0" applyNumberFormat="0" applyBorder="0" applyAlignment="0" applyProtection="0"/>
    <xf numFmtId="0" fontId="81" fillId="57" borderId="0"/>
    <xf numFmtId="0" fontId="81" fillId="57" borderId="0"/>
    <xf numFmtId="0" fontId="81" fillId="57" borderId="0"/>
    <xf numFmtId="0" fontId="81" fillId="57" borderId="0"/>
    <xf numFmtId="0" fontId="81" fillId="58" borderId="0" applyNumberFormat="0" applyBorder="0" applyAlignment="0" applyProtection="0"/>
    <xf numFmtId="0" fontId="82" fillId="57" borderId="0"/>
    <xf numFmtId="0" fontId="83" fillId="57" borderId="0"/>
    <xf numFmtId="0" fontId="81" fillId="57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1" fillId="58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1" fillId="58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0" fillId="109" borderId="0" applyNumberFormat="0" applyBorder="0" applyAlignment="0" applyProtection="0"/>
    <xf numFmtId="0" fontId="30" fillId="22" borderId="0" applyNumberFormat="0" applyBorder="0" applyAlignment="0" applyProtection="0"/>
    <xf numFmtId="0" fontId="30" fillId="22" borderId="0" applyNumberFormat="0" applyBorder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0" fontId="84" fillId="115" borderId="41" applyNumberFormat="0" applyAlignment="0" applyProtection="0"/>
    <xf numFmtId="39" fontId="85" fillId="0" borderId="0">
      <alignment vertical="center"/>
    </xf>
    <xf numFmtId="37" fontId="86" fillId="0" borderId="0" applyNumberFormat="0" applyFill="0" applyBorder="0" applyAlignment="0" applyProtection="0"/>
    <xf numFmtId="37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0"/>
    <xf numFmtId="184" fontId="89" fillId="0" borderId="0"/>
    <xf numFmtId="0" fontId="90" fillId="53" borderId="42">
      <alignment horizontal="justify" vertical="justify"/>
    </xf>
    <xf numFmtId="167" fontId="50" fillId="0" borderId="0" applyNumberFormat="0" applyBorder="0"/>
    <xf numFmtId="0" fontId="91" fillId="0" borderId="0"/>
    <xf numFmtId="0" fontId="60" fillId="0" borderId="0"/>
    <xf numFmtId="0" fontId="91" fillId="0" borderId="0"/>
    <xf numFmtId="0" fontId="37" fillId="0" borderId="0" applyFill="0" applyBorder="0" applyAlignment="0"/>
    <xf numFmtId="0" fontId="37" fillId="0" borderId="0" applyFill="0" applyBorder="0" applyAlignment="0"/>
    <xf numFmtId="201" fontId="89" fillId="0" borderId="0" applyFill="0" applyBorder="0" applyAlignment="0"/>
    <xf numFmtId="202" fontId="89" fillId="0" borderId="0" applyFill="0" applyBorder="0" applyAlignment="0"/>
    <xf numFmtId="203" fontId="89" fillId="0" borderId="0" applyFill="0" applyBorder="0" applyAlignment="0"/>
    <xf numFmtId="204" fontId="89" fillId="0" borderId="0" applyFill="0" applyBorder="0" applyAlignment="0"/>
    <xf numFmtId="205" fontId="89" fillId="0" borderId="0" applyFill="0" applyBorder="0" applyAlignment="0"/>
    <xf numFmtId="206" fontId="89" fillId="0" borderId="0" applyFill="0" applyBorder="0" applyAlignment="0"/>
    <xf numFmtId="0" fontId="3" fillId="0" borderId="0" applyFill="0" applyBorder="0" applyAlignment="0"/>
    <xf numFmtId="201" fontId="89" fillId="0" borderId="0" applyFill="0" applyBorder="0" applyAlignment="0"/>
    <xf numFmtId="207" fontId="92" fillId="116" borderId="43" applyBorder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93" fillId="117" borderId="44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34" fillId="25" borderId="30" applyNumberFormat="0" applyAlignment="0" applyProtection="0"/>
    <xf numFmtId="0" fontId="94" fillId="115" borderId="41" applyNumberFormat="0" applyAlignment="0" applyProtection="0"/>
    <xf numFmtId="0" fontId="84" fillId="115" borderId="41"/>
    <xf numFmtId="0" fontId="34" fillId="25" borderId="30" applyNumberFormat="0" applyAlignment="0" applyProtection="0"/>
    <xf numFmtId="0" fontId="94" fillId="115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94" fillId="115" borderId="41" applyNumberFormat="0" applyAlignment="0" applyProtection="0"/>
    <xf numFmtId="0" fontId="34" fillId="25" borderId="30" applyNumberFormat="0" applyAlignment="0" applyProtection="0"/>
    <xf numFmtId="0" fontId="84" fillId="118" borderId="41" applyNumberFormat="0" applyAlignment="0" applyProtection="0"/>
    <xf numFmtId="0" fontId="84" fillId="115" borderId="41"/>
    <xf numFmtId="0" fontId="84" fillId="115" borderId="41"/>
    <xf numFmtId="0" fontId="84" fillId="115" borderId="41"/>
    <xf numFmtId="0" fontId="94" fillId="115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34" fillId="25" borderId="30" applyNumberFormat="0" applyAlignment="0" applyProtection="0"/>
    <xf numFmtId="0" fontId="84" fillId="118" borderId="41" applyNumberFormat="0" applyAlignment="0" applyProtection="0"/>
    <xf numFmtId="0" fontId="34" fillId="25" borderId="30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34" fillId="25" borderId="30" applyNumberFormat="0" applyAlignment="0" applyProtection="0"/>
    <xf numFmtId="0" fontId="84" fillId="118" borderId="41" applyNumberFormat="0" applyAlignment="0" applyProtection="0"/>
    <xf numFmtId="0" fontId="34" fillId="25" borderId="30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84" fillId="118" borderId="41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84" fillId="118" borderId="41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0" fontId="93" fillId="117" borderId="44" applyNumberFormat="0" applyAlignment="0" applyProtection="0"/>
    <xf numFmtId="0" fontId="34" fillId="25" borderId="30" applyNumberFormat="0" applyAlignment="0" applyProtection="0"/>
    <xf numFmtId="0" fontId="34" fillId="25" borderId="30" applyNumberFormat="0" applyAlignment="0" applyProtection="0"/>
    <xf numFmtId="38" fontId="59" fillId="0" borderId="0" applyFont="0" applyFill="0" applyBorder="0" applyAlignment="0" applyProtection="0"/>
    <xf numFmtId="40" fontId="59" fillId="0" borderId="0" applyFont="0" applyFill="0" applyBorder="0" applyAlignment="0" applyProtection="0"/>
    <xf numFmtId="0" fontId="95" fillId="0" borderId="0"/>
    <xf numFmtId="208" fontId="74" fillId="0" borderId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19" borderId="45" applyNumberFormat="0" applyAlignment="0" applyProtection="0"/>
    <xf numFmtId="0" fontId="96" fillId="106" borderId="45" applyNumberFormat="0" applyAlignment="0" applyProtection="0"/>
    <xf numFmtId="0" fontId="96" fillId="119" borderId="45" applyNumberFormat="0" applyAlignment="0" applyProtection="0"/>
    <xf numFmtId="0" fontId="5" fillId="26" borderId="33" applyNumberFormat="0" applyAlignment="0" applyProtection="0"/>
    <xf numFmtId="0" fontId="96" fillId="120" borderId="45"/>
    <xf numFmtId="0" fontId="96" fillId="120" borderId="45"/>
    <xf numFmtId="0" fontId="5" fillId="26" borderId="33" applyNumberFormat="0" applyAlignment="0" applyProtection="0"/>
    <xf numFmtId="0" fontId="96" fillId="119" borderId="45" applyNumberFormat="0" applyAlignment="0" applyProtection="0"/>
    <xf numFmtId="0" fontId="97" fillId="120" borderId="45" applyNumberFormat="0" applyAlignment="0" applyProtection="0"/>
    <xf numFmtId="0" fontId="5" fillId="26" borderId="33" applyNumberFormat="0" applyAlignment="0" applyProtection="0"/>
    <xf numFmtId="0" fontId="96" fillId="120" borderId="45"/>
    <xf numFmtId="0" fontId="96" fillId="120" borderId="45"/>
    <xf numFmtId="0" fontId="96" fillId="120" borderId="45"/>
    <xf numFmtId="0" fontId="96" fillId="120" borderId="45"/>
    <xf numFmtId="0" fontId="97" fillId="120" borderId="45" applyNumberFormat="0" applyAlignment="0" applyProtection="0"/>
    <xf numFmtId="0" fontId="96" fillId="119" borderId="45" applyNumberFormat="0" applyAlignment="0" applyProtection="0"/>
    <xf numFmtId="0" fontId="98" fillId="120" borderId="45"/>
    <xf numFmtId="0" fontId="99" fillId="120" borderId="45"/>
    <xf numFmtId="0" fontId="96" fillId="119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19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19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96" fillId="106" borderId="45" applyNumberFormat="0" applyAlignment="0" applyProtection="0"/>
    <xf numFmtId="0" fontId="5" fillId="26" borderId="33" applyNumberFormat="0" applyAlignment="0" applyProtection="0"/>
    <xf numFmtId="0" fontId="5" fillId="26" borderId="33" applyNumberFormat="0" applyAlignment="0" applyProtection="0"/>
    <xf numFmtId="0" fontId="100" fillId="0" borderId="0" applyNumberFormat="0" applyFill="0" applyBorder="0" applyAlignment="0" applyProtection="0"/>
    <xf numFmtId="0" fontId="101" fillId="0" borderId="23">
      <alignment horizontal="center"/>
    </xf>
    <xf numFmtId="0" fontId="102" fillId="121" borderId="0" applyAlignment="0"/>
    <xf numFmtId="0" fontId="103" fillId="0" borderId="0"/>
    <xf numFmtId="37" fontId="104" fillId="0" borderId="0"/>
    <xf numFmtId="37" fontId="87" fillId="0" borderId="0"/>
    <xf numFmtId="37" fontId="104" fillId="0" borderId="0"/>
    <xf numFmtId="37" fontId="87" fillId="0" borderId="0"/>
    <xf numFmtId="37" fontId="104" fillId="0" borderId="0"/>
    <xf numFmtId="37" fontId="87" fillId="0" borderId="0"/>
    <xf numFmtId="37" fontId="104" fillId="0" borderId="0"/>
    <xf numFmtId="37" fontId="87" fillId="0" borderId="0"/>
    <xf numFmtId="37" fontId="104" fillId="0" borderId="0"/>
    <xf numFmtId="37" fontId="87" fillId="0" borderId="0"/>
    <xf numFmtId="37" fontId="104" fillId="0" borderId="0"/>
    <xf numFmtId="37" fontId="87" fillId="0" borderId="0"/>
    <xf numFmtId="37" fontId="104" fillId="0" borderId="0"/>
    <xf numFmtId="37" fontId="87" fillId="0" borderId="0"/>
    <xf numFmtId="37" fontId="104" fillId="0" borderId="0"/>
    <xf numFmtId="37" fontId="87" fillId="0" borderId="0"/>
    <xf numFmtId="1" fontId="77" fillId="53" borderId="0" applyFont="0" applyFill="0" applyBorder="0" applyAlignment="0" applyProtection="0"/>
    <xf numFmtId="37" fontId="89" fillId="0" borderId="0"/>
    <xf numFmtId="37" fontId="89" fillId="0" borderId="0"/>
    <xf numFmtId="37" fontId="89" fillId="0" borderId="0"/>
    <xf numFmtId="37" fontId="89" fillId="0" borderId="0"/>
    <xf numFmtId="37" fontId="89" fillId="0" borderId="0"/>
    <xf numFmtId="37" fontId="89" fillId="0" borderId="0"/>
    <xf numFmtId="37" fontId="89" fillId="0" borderId="0"/>
    <xf numFmtId="37" fontId="89" fillId="0" borderId="0"/>
    <xf numFmtId="179" fontId="3" fillId="0" borderId="0"/>
    <xf numFmtId="179" fontId="3" fillId="0" borderId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105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6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106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106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9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09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10" fontId="3" fillId="0" borderId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10" fontId="3" fillId="0" borderId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10" fontId="3" fillId="0" borderId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210" fontId="3" fillId="0" borderId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90" fillId="0" borderId="0" applyFont="0" applyFill="0" applyBorder="0" applyAlignment="0" applyProtection="0"/>
    <xf numFmtId="167" fontId="9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6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11" fontId="3" fillId="0" borderId="0" applyFill="0" applyBorder="0" applyAlignment="0" applyProtection="0"/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105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63" fillId="0" borderId="0" applyFill="0" applyBorder="0" applyAlignment="0" applyProtection="0"/>
    <xf numFmtId="0" fontId="63" fillId="0" borderId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97" fontId="22" fillId="0" borderId="0" applyFont="0" applyFill="0" applyBorder="0" applyAlignment="0" applyProtection="0">
      <alignment vertical="center"/>
    </xf>
    <xf numFmtId="197" fontId="22" fillId="0" borderId="0" applyFont="0" applyFill="0" applyBorder="0" applyAlignment="0" applyProtection="0">
      <alignment vertical="center"/>
    </xf>
    <xf numFmtId="197" fontId="22" fillId="0" borderId="0" applyFont="0" applyFill="0" applyBorder="0" applyAlignment="0" applyProtection="0">
      <alignment vertical="center"/>
    </xf>
    <xf numFmtId="197" fontId="22" fillId="0" borderId="0" applyFont="0" applyFill="0" applyBorder="0" applyAlignment="0" applyProtection="0">
      <alignment vertical="center"/>
    </xf>
    <xf numFmtId="197" fontId="22" fillId="0" borderId="0" applyFont="0" applyFill="0" applyBorder="0" applyAlignment="0" applyProtection="0">
      <alignment vertical="center"/>
    </xf>
    <xf numFmtId="19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9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97" fontId="22" fillId="0" borderId="0" applyFont="0" applyFill="0" applyBorder="0" applyAlignment="0" applyProtection="0">
      <alignment vertical="center"/>
    </xf>
    <xf numFmtId="197" fontId="22" fillId="0" borderId="0" applyFont="0" applyFill="0" applyBorder="0" applyAlignment="0" applyProtection="0">
      <alignment vertical="center"/>
    </xf>
    <xf numFmtId="197" fontId="22" fillId="0" borderId="0" applyFont="0" applyFill="0" applyBorder="0" applyAlignment="0" applyProtection="0">
      <alignment vertical="center"/>
    </xf>
    <xf numFmtId="197" fontId="22" fillId="0" borderId="0" applyFont="0" applyFill="0" applyBorder="0" applyAlignment="0" applyProtection="0">
      <alignment vertical="center"/>
    </xf>
    <xf numFmtId="167" fontId="90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2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9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63" fillId="0" borderId="0" applyFont="0" applyFill="0" applyBorder="0" applyAlignment="0" applyProtection="0"/>
    <xf numFmtId="167" fontId="2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205" fontId="89" fillId="0" borderId="0" applyFont="0" applyFill="0" applyBorder="0" applyAlignment="0" applyProtection="0"/>
    <xf numFmtId="179" fontId="3" fillId="0" borderId="0" applyNumberFormat="0"/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78" fontId="3" fillId="0" borderId="0" applyFont="0" applyFill="0" applyBorder="0" applyAlignment="0" applyProtection="0">
      <alignment horizontal="right"/>
    </xf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3" fillId="0" borderId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105" fillId="0" borderId="0" applyFont="0" applyFill="0" applyBorder="0" applyAlignment="0" applyProtection="0">
      <alignment vertical="center"/>
    </xf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212" fontId="22" fillId="0" borderId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13" fontId="3" fillId="0" borderId="0" applyFont="0" applyFill="0" applyBorder="0" applyAlignment="0" applyProtection="0">
      <alignment horizontal="right"/>
    </xf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214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/>
    <xf numFmtId="179" fontId="22" fillId="0" borderId="0" applyFont="0" applyFill="0" applyBorder="0" applyAlignment="0" applyProtection="0">
      <alignment vertical="center"/>
    </xf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2" fillId="0" borderId="0" applyFont="0" applyFill="0" applyBorder="0" applyAlignment="0" applyProtection="0"/>
    <xf numFmtId="215" fontId="22" fillId="0" borderId="0" applyFill="0" applyBorder="0" applyAlignment="0" applyProtection="0"/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22" fillId="0" borderId="0" applyFont="0" applyFill="0" applyBorder="0" applyAlignment="0" applyProtection="0">
      <alignment vertical="center"/>
    </xf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8" fillId="0" borderId="0" applyFont="0" applyFill="0" applyBorder="0" applyAlignment="0" applyProtection="0"/>
    <xf numFmtId="169" fontId="109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74" fillId="0" borderId="0" applyFont="0" applyFill="0" applyBorder="0" applyAlignment="0" applyProtection="0"/>
    <xf numFmtId="169" fontId="7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216" fontId="3" fillId="0" borderId="0" applyFont="0" applyFill="0" applyBorder="0" applyAlignment="0" applyProtection="0"/>
    <xf numFmtId="216" fontId="3" fillId="0" borderId="0" applyFont="0" applyFill="0" applyBorder="0" applyAlignment="0" applyProtection="0"/>
    <xf numFmtId="216" fontId="3" fillId="0" borderId="0" applyFont="0" applyFill="0" applyBorder="0" applyAlignment="0" applyProtection="0"/>
    <xf numFmtId="216" fontId="3" fillId="0" borderId="0" applyFont="0" applyFill="0" applyBorder="0" applyAlignment="0" applyProtection="0"/>
    <xf numFmtId="216" fontId="3" fillId="0" borderId="0" applyFont="0" applyFill="0" applyBorder="0" applyAlignment="0" applyProtection="0"/>
    <xf numFmtId="169" fontId="74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217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217" fontId="3" fillId="0" borderId="0" applyFont="0" applyFill="0" applyBorder="0" applyAlignment="0" applyProtection="0"/>
    <xf numFmtId="211" fontId="3" fillId="0" borderId="0" applyFont="0" applyFill="0" applyBorder="0" applyAlignment="0" applyProtection="0"/>
    <xf numFmtId="211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216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11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11" fillId="0" borderId="0" applyFont="0" applyFill="0" applyBorder="0" applyAlignment="0" applyProtection="0"/>
    <xf numFmtId="169" fontId="90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1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1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11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210" fontId="3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58" fillId="0" borderId="0" applyFont="0" applyFill="0" applyBorder="0" applyAlignment="0" applyProtection="0"/>
    <xf numFmtId="210" fontId="3" fillId="0" borderId="0" applyFont="0" applyFill="0" applyBorder="0" applyAlignment="0" applyProtection="0"/>
    <xf numFmtId="210" fontId="3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210" fontId="3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22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0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107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9" fontId="3" fillId="0" borderId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79" fontId="3" fillId="0" borderId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218" fontId="3" fillId="0" borderId="0" applyFill="0" applyBorder="0" applyAlignment="0" applyProtection="0"/>
    <xf numFmtId="169" fontId="11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201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218" fontId="3" fillId="0" borderId="0" applyFill="0" applyBorder="0" applyAlignment="0" applyProtection="0"/>
    <xf numFmtId="169" fontId="108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0" fontId="46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3" fillId="0" borderId="0" applyFont="0" applyFill="0" applyBorder="0" applyAlignment="0" applyProtection="0"/>
    <xf numFmtId="40" fontId="4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15" fontId="3" fillId="0" borderId="0" applyFill="0" applyBorder="0" applyAlignment="0" applyProtection="0"/>
    <xf numFmtId="169" fontId="22" fillId="0" borderId="0" applyFont="0" applyFill="0" applyBorder="0" applyAlignment="0" applyProtection="0"/>
    <xf numFmtId="218" fontId="3" fillId="0" borderId="0" applyFill="0" applyBorder="0" applyAlignment="0" applyProtection="0"/>
    <xf numFmtId="169" fontId="4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218" fontId="3" fillId="0" borderId="0" applyFill="0" applyBorder="0" applyAlignment="0" applyProtection="0"/>
    <xf numFmtId="169" fontId="4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218" fontId="3" fillId="0" borderId="0" applyFill="0" applyBorder="0" applyAlignment="0" applyProtection="0"/>
    <xf numFmtId="169" fontId="22" fillId="0" borderId="0" applyFont="0" applyFill="0" applyBorder="0" applyAlignment="0" applyProtection="0">
      <alignment vertical="center"/>
    </xf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" fillId="0" borderId="0" applyFont="0" applyFill="0" applyBorder="0" applyAlignment="0" applyProtection="0"/>
    <xf numFmtId="219" fontId="71" fillId="0" borderId="0"/>
    <xf numFmtId="3" fontId="3" fillId="0" borderId="0" applyFont="0" applyFill="0" applyBorder="0" applyAlignment="0" applyProtection="0"/>
    <xf numFmtId="3" fontId="115" fillId="0" borderId="0" applyFont="0" applyFill="0" applyBorder="0" applyAlignment="0" applyProtection="0"/>
    <xf numFmtId="0" fontId="116" fillId="0" borderId="0"/>
    <xf numFmtId="0" fontId="117" fillId="0" borderId="0" applyNumberFormat="0" applyAlignment="0">
      <alignment horizontal="left"/>
    </xf>
    <xf numFmtId="0" fontId="117" fillId="0" borderId="0" applyNumberFormat="0" applyAlignment="0">
      <alignment horizontal="left"/>
    </xf>
    <xf numFmtId="0" fontId="117" fillId="0" borderId="0" applyNumberFormat="0" applyAlignment="0">
      <alignment horizontal="left"/>
    </xf>
    <xf numFmtId="0" fontId="117" fillId="0" borderId="0" applyNumberFormat="0" applyAlignment="0">
      <alignment horizontal="left"/>
    </xf>
    <xf numFmtId="0" fontId="117" fillId="0" borderId="0" applyNumberFormat="0" applyAlignment="0">
      <alignment horizontal="left"/>
    </xf>
    <xf numFmtId="0" fontId="51" fillId="0" borderId="0" applyNumberFormat="0" applyAlignment="0"/>
    <xf numFmtId="0" fontId="51" fillId="0" borderId="0" applyNumberFormat="0" applyAlignment="0"/>
    <xf numFmtId="0" fontId="51" fillId="0" borderId="0" applyNumberFormat="0" applyAlignment="0"/>
    <xf numFmtId="0" fontId="51" fillId="0" borderId="0" applyNumberFormat="0" applyAlignment="0"/>
    <xf numFmtId="0" fontId="51" fillId="0" borderId="0" applyNumberFormat="0" applyAlignment="0"/>
    <xf numFmtId="0" fontId="89" fillId="0" borderId="0"/>
    <xf numFmtId="0" fontId="103" fillId="0" borderId="0"/>
    <xf numFmtId="0" fontId="103" fillId="0" borderId="0"/>
    <xf numFmtId="220" fontId="74" fillId="0" borderId="0">
      <alignment horizontal="center"/>
    </xf>
    <xf numFmtId="172" fontId="87" fillId="0" borderId="13"/>
    <xf numFmtId="172" fontId="87" fillId="0" borderId="13"/>
    <xf numFmtId="172" fontId="87" fillId="0" borderId="13"/>
    <xf numFmtId="221" fontId="87" fillId="0" borderId="13"/>
    <xf numFmtId="221" fontId="87" fillId="0" borderId="13"/>
    <xf numFmtId="221" fontId="87" fillId="0" borderId="13"/>
    <xf numFmtId="166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3" fontId="3" fillId="0" borderId="0" applyFill="0" applyBorder="0" applyAlignment="0" applyProtection="0"/>
    <xf numFmtId="173" fontId="3" fillId="0" borderId="0" applyFont="0" applyFill="0" applyBorder="0" applyAlignment="0" applyProtection="0"/>
    <xf numFmtId="173" fontId="4" fillId="0" borderId="0" applyFont="0" applyFill="0" applyBorder="0" applyAlignment="0" applyProtection="0"/>
    <xf numFmtId="201" fontId="89" fillId="0" borderId="0" applyFont="0" applyFill="0" applyBorder="0" applyAlignment="0" applyProtection="0"/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222" fontId="3" fillId="0" borderId="0" applyFont="0" applyFill="0" applyBorder="0" applyAlignment="0" applyProtection="0">
      <alignment horizontal="right"/>
    </xf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90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223" fontId="3" fillId="0" borderId="0" applyFont="0" applyFill="0" applyBorder="0" applyAlignment="0" applyProtection="0">
      <alignment horizontal="right"/>
    </xf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224" fontId="3" fillId="0" borderId="0" applyFont="0" applyFill="0" applyBorder="0" applyAlignment="0" applyProtection="0">
      <alignment horizontal="right"/>
    </xf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223" fontId="3" fillId="0" borderId="0" applyFont="0" applyFill="0" applyBorder="0" applyAlignment="0" applyProtection="0">
      <alignment horizontal="right"/>
    </xf>
    <xf numFmtId="174" fontId="3" fillId="0" borderId="0" applyFont="0" applyFill="0" applyBorder="0" applyAlignment="0" applyProtection="0"/>
    <xf numFmtId="223" fontId="3" fillId="0" borderId="0" applyFont="0" applyFill="0" applyBorder="0" applyAlignment="0" applyProtection="0">
      <alignment horizontal="right"/>
    </xf>
    <xf numFmtId="174" fontId="3" fillId="0" borderId="0" applyFont="0" applyFill="0" applyBorder="0" applyAlignment="0" applyProtection="0"/>
    <xf numFmtId="225" fontId="3" fillId="0" borderId="0" applyFont="0" applyFill="0" applyBorder="0" applyAlignment="0" applyProtection="0"/>
    <xf numFmtId="225" fontId="3" fillId="0" borderId="0" applyFont="0" applyFill="0" applyBorder="0" applyAlignment="0" applyProtection="0"/>
    <xf numFmtId="225" fontId="3" fillId="0" borderId="0" applyFont="0" applyFill="0" applyBorder="0" applyAlignment="0" applyProtection="0"/>
    <xf numFmtId="225" fontId="3" fillId="0" borderId="0" applyFont="0" applyFill="0" applyBorder="0" applyAlignment="0" applyProtection="0"/>
    <xf numFmtId="225" fontId="3" fillId="0" borderId="0" applyFont="0" applyFill="0" applyBorder="0" applyAlignment="0" applyProtection="0"/>
    <xf numFmtId="223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4" fontId="3" fillId="0" borderId="0" applyFont="0" applyFill="0" applyBorder="0" applyAlignment="0" applyProtection="0">
      <alignment horizontal="right"/>
    </xf>
    <xf numFmtId="224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4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4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4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4" fontId="3" fillId="0" borderId="0" applyFont="0" applyFill="0" applyBorder="0" applyAlignment="0" applyProtection="0">
      <alignment horizontal="right"/>
    </xf>
    <xf numFmtId="224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168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226" fontId="3" fillId="0" borderId="0" applyFont="0" applyFill="0" applyBorder="0" applyAlignment="0" applyProtection="0"/>
    <xf numFmtId="169" fontId="3" fillId="0" borderId="0" applyFill="0" applyBorder="0" applyAlignment="0" applyProtection="0"/>
    <xf numFmtId="169" fontId="3" fillId="0" borderId="0" applyFill="0" applyBorder="0" applyAlignment="0" applyProtection="0"/>
    <xf numFmtId="214" fontId="3" fillId="0" borderId="0" applyFont="0" applyFill="0" applyBorder="0" applyAlignment="0" applyProtection="0"/>
    <xf numFmtId="226" fontId="3" fillId="0" borderId="0" applyFont="0" applyFill="0" applyBorder="0" applyAlignment="0" applyProtection="0"/>
    <xf numFmtId="226" fontId="3" fillId="0" borderId="0" applyFont="0" applyFill="0" applyBorder="0" applyAlignment="0" applyProtection="0"/>
    <xf numFmtId="225" fontId="3" fillId="0" borderId="0" applyFont="0" applyFill="0" applyBorder="0" applyAlignment="0" applyProtection="0"/>
    <xf numFmtId="226" fontId="3" fillId="0" borderId="0" applyFont="0" applyFill="0" applyBorder="0" applyAlignment="0" applyProtection="0"/>
    <xf numFmtId="226" fontId="3" fillId="0" borderId="0" applyFont="0" applyFill="0" applyBorder="0" applyAlignment="0" applyProtection="0"/>
    <xf numFmtId="225" fontId="3" fillId="0" borderId="0" applyFont="0" applyFill="0" applyBorder="0" applyAlignment="0" applyProtection="0"/>
    <xf numFmtId="226" fontId="3" fillId="0" borderId="0" applyFont="0" applyFill="0" applyBorder="0" applyAlignment="0" applyProtection="0"/>
    <xf numFmtId="226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226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6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2" fillId="0" borderId="0" applyFont="0" applyFill="0" applyBorder="0" applyAlignment="0" applyProtection="0"/>
    <xf numFmtId="227" fontId="74" fillId="0" borderId="0" applyFont="0" applyFill="0" applyBorder="0" applyAlignment="0" applyProtection="0"/>
    <xf numFmtId="228" fontId="3" fillId="0" borderId="0" applyFont="0" applyFill="0" applyBorder="0" applyAlignment="0" applyProtection="0"/>
    <xf numFmtId="229" fontId="115" fillId="0" borderId="0" applyFont="0" applyFill="0" applyBorder="0" applyAlignment="0" applyProtection="0"/>
    <xf numFmtId="230" fontId="115" fillId="0" borderId="0" applyFont="0" applyFill="0" applyBorder="0" applyAlignment="0" applyProtection="0"/>
    <xf numFmtId="231" fontId="71" fillId="0" borderId="0"/>
    <xf numFmtId="168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118" fillId="0" borderId="0"/>
    <xf numFmtId="0" fontId="89" fillId="0" borderId="0"/>
    <xf numFmtId="0" fontId="119" fillId="0" borderId="1" applyNumberFormat="0" applyBorder="0">
      <alignment horizontal="centerContinuous"/>
    </xf>
    <xf numFmtId="0" fontId="12" fillId="122" borderId="0" applyNumberFormat="0" applyFont="0" applyFill="0" applyBorder="0" applyProtection="0">
      <alignment horizontal="left"/>
    </xf>
    <xf numFmtId="0" fontId="89" fillId="0" borderId="46"/>
    <xf numFmtId="0" fontId="89" fillId="0" borderId="46"/>
    <xf numFmtId="0" fontId="89" fillId="0" borderId="46"/>
    <xf numFmtId="0" fontId="89" fillId="0" borderId="46"/>
    <xf numFmtId="207" fontId="92" fillId="123" borderId="0" applyBorder="0">
      <protection locked="0"/>
    </xf>
    <xf numFmtId="0" fontId="3" fillId="0" borderId="0" applyNumberFormat="0" applyFill="0" applyBorder="0" applyProtection="0">
      <alignment horizontal="left"/>
    </xf>
    <xf numFmtId="0" fontId="22" fillId="0" borderId="0">
      <alignment horizontal="left"/>
    </xf>
    <xf numFmtId="0" fontId="22" fillId="0" borderId="0">
      <alignment horizontal="left"/>
    </xf>
    <xf numFmtId="0" fontId="22" fillId="0" borderId="0">
      <alignment horizontal="left"/>
    </xf>
    <xf numFmtId="0" fontId="63" fillId="0" borderId="0" applyNumberFormat="0" applyFill="0" applyBorder="0" applyProtection="0">
      <alignment horizontal="left"/>
    </xf>
    <xf numFmtId="0" fontId="22" fillId="0" borderId="0">
      <alignment horizontal="left"/>
    </xf>
    <xf numFmtId="0" fontId="3" fillId="0" borderId="0" applyNumberFormat="0" applyFill="0" applyBorder="0" applyProtection="0">
      <alignment horizontal="left"/>
    </xf>
    <xf numFmtId="0" fontId="37" fillId="0" borderId="0">
      <alignment horizontal="left"/>
    </xf>
    <xf numFmtId="0" fontId="22" fillId="0" borderId="0">
      <alignment horizontal="left"/>
    </xf>
    <xf numFmtId="0" fontId="63" fillId="0" borderId="0" applyNumberFormat="0" applyFill="0" applyBorder="0" applyProtection="0">
      <alignment horizontal="left"/>
    </xf>
    <xf numFmtId="0" fontId="3" fillId="0" borderId="0" applyNumberForma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63" fillId="0" borderId="0" applyNumberFormat="0" applyFill="0" applyBorder="0" applyAlignment="0" applyProtection="0"/>
    <xf numFmtId="0" fontId="22" fillId="0" borderId="0"/>
    <xf numFmtId="0" fontId="3" fillId="0" borderId="0" applyNumberFormat="0" applyFill="0" applyBorder="0" applyAlignment="0" applyProtection="0"/>
    <xf numFmtId="0" fontId="37" fillId="0" borderId="0"/>
    <xf numFmtId="0" fontId="22" fillId="0" borderId="0"/>
    <xf numFmtId="0" fontId="6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63" fillId="0" borderId="0" applyNumberFormat="0" applyFill="0" applyBorder="0" applyAlignment="0" applyProtection="0"/>
    <xf numFmtId="0" fontId="22" fillId="0" borderId="0"/>
    <xf numFmtId="0" fontId="3" fillId="0" borderId="0" applyNumberFormat="0" applyFill="0" applyBorder="0" applyAlignment="0" applyProtection="0"/>
    <xf numFmtId="0" fontId="37" fillId="0" borderId="0"/>
    <xf numFmtId="0" fontId="22" fillId="0" borderId="0"/>
    <xf numFmtId="0" fontId="6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2" fillId="0" borderId="0"/>
    <xf numFmtId="0" fontId="22" fillId="0" borderId="0"/>
    <xf numFmtId="0" fontId="63" fillId="0" borderId="0" applyNumberFormat="0" applyFill="0" applyBorder="0" applyAlignment="0" applyProtection="0"/>
    <xf numFmtId="0" fontId="22" fillId="0" borderId="0"/>
    <xf numFmtId="0" fontId="3" fillId="0" borderId="0" applyNumberFormat="0" applyFill="0" applyBorder="0" applyAlignment="0" applyProtection="0"/>
    <xf numFmtId="0" fontId="37" fillId="0" borderId="0"/>
    <xf numFmtId="0" fontId="22" fillId="0" borderId="0"/>
    <xf numFmtId="0" fontId="63" fillId="0" borderId="0" applyNumberFormat="0" applyFill="0" applyBorder="0" applyAlignment="0" applyProtection="0"/>
    <xf numFmtId="0" fontId="3" fillId="0" borderId="0" applyNumberFormat="0" applyFill="0" applyBorder="0" applyProtection="0">
      <alignment horizontal="left"/>
    </xf>
    <xf numFmtId="0" fontId="12" fillId="0" borderId="0" applyNumberFormat="0" applyFill="0" applyBorder="0" applyProtection="0">
      <alignment horizontal="left"/>
    </xf>
    <xf numFmtId="0" fontId="22" fillId="0" borderId="0">
      <alignment horizontal="left"/>
    </xf>
    <xf numFmtId="0" fontId="22" fillId="0" borderId="0">
      <alignment horizontal="left"/>
    </xf>
    <xf numFmtId="0" fontId="63" fillId="0" borderId="0" applyNumberFormat="0" applyFill="0" applyBorder="0" applyProtection="0">
      <alignment horizontal="left"/>
    </xf>
    <xf numFmtId="0" fontId="22" fillId="0" borderId="0">
      <alignment horizontal="left"/>
    </xf>
    <xf numFmtId="0" fontId="3" fillId="0" borderId="0" applyNumberFormat="0" applyFill="0" applyBorder="0" applyProtection="0">
      <alignment horizontal="left"/>
    </xf>
    <xf numFmtId="0" fontId="37" fillId="0" borderId="0">
      <alignment horizontal="left"/>
    </xf>
    <xf numFmtId="0" fontId="22" fillId="0" borderId="0">
      <alignment horizontal="left"/>
    </xf>
    <xf numFmtId="0" fontId="63" fillId="0" borderId="0" applyNumberFormat="0" applyFill="0" applyBorder="0" applyProtection="0">
      <alignment horizontal="left"/>
    </xf>
    <xf numFmtId="0" fontId="3" fillId="0" borderId="0" applyNumberForma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63" fillId="0" borderId="0" applyNumberFormat="0" applyFill="0" applyBorder="0" applyAlignment="0" applyProtection="0"/>
    <xf numFmtId="0" fontId="22" fillId="0" borderId="0"/>
    <xf numFmtId="0" fontId="3" fillId="0" borderId="0" applyNumberFormat="0" applyFill="0" applyBorder="0" applyAlignment="0" applyProtection="0"/>
    <xf numFmtId="0" fontId="37" fillId="0" borderId="0"/>
    <xf numFmtId="0" fontId="22" fillId="0" borderId="0"/>
    <xf numFmtId="0" fontId="63" fillId="0" borderId="0" applyNumberForma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232" fontId="3" fillId="0" borderId="0" applyFont="0" applyFill="0" applyBorder="0" applyAlignment="0" applyProtection="0"/>
    <xf numFmtId="14" fontId="37" fillId="0" borderId="0" applyFill="0" applyBorder="0" applyAlignment="0"/>
    <xf numFmtId="14" fontId="37" fillId="0" borderId="0" applyFill="0" applyBorder="0" applyAlignment="0"/>
    <xf numFmtId="0" fontId="90" fillId="53" borderId="43"/>
    <xf numFmtId="0" fontId="120" fillId="124" borderId="0"/>
    <xf numFmtId="38" fontId="46" fillId="0" borderId="47">
      <alignment vertical="center"/>
    </xf>
    <xf numFmtId="233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1" fontId="121" fillId="0" borderId="48" applyBorder="0"/>
    <xf numFmtId="1" fontId="121" fillId="0" borderId="48" applyBorder="0"/>
    <xf numFmtId="1" fontId="121" fillId="0" borderId="48" applyBorder="0"/>
    <xf numFmtId="9" fontId="3" fillId="0" borderId="0"/>
    <xf numFmtId="235" fontId="71" fillId="0" borderId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236" fontId="3" fillId="0" borderId="49" applyNumberFormat="0" applyFont="0" applyFill="0" applyAlignment="0" applyProtection="0"/>
    <xf numFmtId="0" fontId="120" fillId="124" borderId="0"/>
    <xf numFmtId="0" fontId="120" fillId="124" borderId="0"/>
    <xf numFmtId="38" fontId="59" fillId="0" borderId="0" applyFont="0" applyFill="0" applyBorder="0" applyAlignment="0" applyProtection="0"/>
    <xf numFmtId="40" fontId="59" fillId="0" borderId="0" applyFont="0" applyFill="0" applyBorder="0" applyAlignment="0" applyProtection="0"/>
    <xf numFmtId="0" fontId="51" fillId="0" borderId="0">
      <alignment horizontal="centerContinuous"/>
    </xf>
    <xf numFmtId="0" fontId="51" fillId="0" borderId="0"/>
    <xf numFmtId="0" fontId="51" fillId="0" borderId="0">
      <alignment horizontal="centerContinuous"/>
    </xf>
    <xf numFmtId="237" fontId="74" fillId="0" borderId="43">
      <alignment horizontal="center"/>
    </xf>
    <xf numFmtId="0" fontId="122" fillId="65" borderId="41" applyNumberFormat="0" applyAlignment="0" applyProtection="0"/>
    <xf numFmtId="0" fontId="122" fillId="65" borderId="41" applyNumberFormat="0" applyAlignment="0" applyProtection="0"/>
    <xf numFmtId="0" fontId="122" fillId="65" borderId="41" applyNumberFormat="0" applyAlignment="0" applyProtection="0"/>
    <xf numFmtId="0" fontId="122" fillId="65" borderId="41" applyNumberFormat="0" applyAlignment="0" applyProtection="0"/>
    <xf numFmtId="0" fontId="122" fillId="65" borderId="41" applyNumberFormat="0" applyAlignment="0" applyProtection="0"/>
    <xf numFmtId="0" fontId="122" fillId="65" borderId="41" applyNumberFormat="0" applyAlignment="0" applyProtection="0"/>
    <xf numFmtId="0" fontId="122" fillId="65" borderId="41" applyNumberFormat="0" applyAlignment="0" applyProtection="0"/>
    <xf numFmtId="0" fontId="122" fillId="65" borderId="41" applyNumberFormat="0" applyAlignment="0" applyProtection="0"/>
    <xf numFmtId="0" fontId="122" fillId="65" borderId="41" applyNumberFormat="0" applyAlignment="0" applyProtection="0"/>
    <xf numFmtId="0" fontId="122" fillId="65" borderId="41" applyNumberFormat="0" applyAlignment="0" applyProtection="0"/>
    <xf numFmtId="0" fontId="122" fillId="65" borderId="41" applyNumberFormat="0" applyAlignment="0" applyProtection="0"/>
    <xf numFmtId="0" fontId="122" fillId="65" borderId="41" applyNumberFormat="0" applyAlignment="0" applyProtection="0"/>
    <xf numFmtId="0" fontId="123" fillId="125" borderId="0" applyNumberFormat="0" applyBorder="0" applyAlignment="0" applyProtection="0"/>
    <xf numFmtId="0" fontId="123" fillId="126" borderId="0" applyNumberFormat="0" applyBorder="0" applyAlignment="0" applyProtection="0"/>
    <xf numFmtId="0" fontId="123" fillId="127" borderId="0" applyNumberFormat="0" applyBorder="0" applyAlignment="0" applyProtection="0"/>
    <xf numFmtId="0" fontId="124" fillId="0" borderId="0" applyNumberFormat="0"/>
    <xf numFmtId="0" fontId="120" fillId="124" borderId="0"/>
    <xf numFmtId="205" fontId="89" fillId="0" borderId="0" applyFill="0" applyBorder="0" applyAlignment="0"/>
    <xf numFmtId="201" fontId="89" fillId="0" borderId="0" applyFill="0" applyBorder="0" applyAlignment="0"/>
    <xf numFmtId="205" fontId="89" fillId="0" borderId="0" applyFill="0" applyBorder="0" applyAlignment="0"/>
    <xf numFmtId="206" fontId="89" fillId="0" borderId="0" applyFill="0" applyBorder="0" applyAlignment="0"/>
    <xf numFmtId="0" fontId="3" fillId="0" borderId="0" applyFill="0" applyBorder="0" applyAlignment="0"/>
    <xf numFmtId="201" fontId="89" fillId="0" borderId="0" applyFill="0" applyBorder="0" applyAlignment="0"/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3" fillId="0" borderId="50" applyNumberFormat="0" applyFill="0" applyAlignment="0" applyProtection="0"/>
    <xf numFmtId="0" fontId="126" fillId="0" borderId="0" applyNumberFormat="0" applyFill="0" applyBorder="0" applyAlignment="0" applyProtection="0"/>
    <xf numFmtId="238" fontId="3" fillId="0" borderId="0" applyFont="0" applyFill="0" applyBorder="0" applyAlignment="0" applyProtection="0"/>
    <xf numFmtId="239" fontId="38" fillId="0" borderId="0" applyFill="0" applyBorder="0" applyAlignment="0" applyProtection="0"/>
    <xf numFmtId="0" fontId="22" fillId="0" borderId="0"/>
    <xf numFmtId="0" fontId="127" fillId="0" borderId="0"/>
    <xf numFmtId="0" fontId="3" fillId="0" borderId="0"/>
    <xf numFmtId="240" fontId="22" fillId="0" borderId="0">
      <alignment vertical="center"/>
    </xf>
    <xf numFmtId="240" fontId="22" fillId="0" borderId="0">
      <alignment vertical="center"/>
    </xf>
    <xf numFmtId="240" fontId="22" fillId="0" borderId="0">
      <alignment vertical="center"/>
    </xf>
    <xf numFmtId="240" fontId="22" fillId="0" borderId="0">
      <alignment vertical="center"/>
    </xf>
    <xf numFmtId="240" fontId="22" fillId="0" borderId="0">
      <alignment vertical="center"/>
    </xf>
    <xf numFmtId="240" fontId="22" fillId="0" borderId="0">
      <alignment vertical="center"/>
    </xf>
    <xf numFmtId="0" fontId="22" fillId="0" borderId="0"/>
    <xf numFmtId="240" fontId="22" fillId="0" borderId="0">
      <alignment vertical="center"/>
    </xf>
    <xf numFmtId="240" fontId="22" fillId="0" borderId="0">
      <alignment vertical="center"/>
    </xf>
    <xf numFmtId="240" fontId="22" fillId="0" borderId="0">
      <alignment vertical="center"/>
    </xf>
    <xf numFmtId="240" fontId="22" fillId="0" borderId="0">
      <alignment vertical="center"/>
    </xf>
    <xf numFmtId="240" fontId="22" fillId="0" borderId="0">
      <alignment vertical="center"/>
    </xf>
    <xf numFmtId="240" fontId="22" fillId="0" borderId="0">
      <alignment vertical="center"/>
    </xf>
    <xf numFmtId="240" fontId="22" fillId="0" borderId="0">
      <alignment vertical="center"/>
    </xf>
    <xf numFmtId="0" fontId="22" fillId="0" borderId="0"/>
    <xf numFmtId="240" fontId="22" fillId="0" borderId="0">
      <alignment vertical="center"/>
    </xf>
    <xf numFmtId="240" fontId="22" fillId="0" borderId="0">
      <alignment vertical="center"/>
    </xf>
    <xf numFmtId="240" fontId="22" fillId="0" borderId="0">
      <alignment vertical="center"/>
    </xf>
    <xf numFmtId="240" fontId="22" fillId="0" borderId="0"/>
    <xf numFmtId="240" fontId="22" fillId="0" borderId="0"/>
    <xf numFmtId="240" fontId="22" fillId="0" borderId="0"/>
    <xf numFmtId="0" fontId="63" fillId="0" borderId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/>
    <xf numFmtId="0" fontId="126" fillId="0" borderId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 applyNumberFormat="0" applyFill="0" applyBorder="0" applyAlignment="0" applyProtection="0"/>
    <xf numFmtId="0" fontId="128" fillId="0" borderId="0"/>
    <xf numFmtId="0" fontId="129" fillId="0" borderId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6" fillId="0" borderId="0">
      <protection locked="0"/>
    </xf>
    <xf numFmtId="0" fontId="56" fillId="0" borderId="0">
      <protection locked="0"/>
    </xf>
    <xf numFmtId="0" fontId="132" fillId="0" borderId="0">
      <protection locked="0"/>
    </xf>
    <xf numFmtId="0" fontId="56" fillId="0" borderId="0">
      <protection locked="0"/>
    </xf>
    <xf numFmtId="0" fontId="56" fillId="0" borderId="0">
      <protection locked="0"/>
    </xf>
    <xf numFmtId="0" fontId="56" fillId="0" borderId="0">
      <protection locked="0"/>
    </xf>
    <xf numFmtId="0" fontId="132" fillId="0" borderId="0">
      <protection locked="0"/>
    </xf>
    <xf numFmtId="2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133" fillId="0" borderId="0" applyFill="0" applyBorder="0" applyProtection="0">
      <alignment horizontal="left"/>
    </xf>
    <xf numFmtId="0" fontId="120" fillId="124" borderId="0"/>
    <xf numFmtId="0" fontId="120" fillId="124" borderId="0"/>
    <xf numFmtId="0" fontId="120" fillId="124" borderId="0"/>
    <xf numFmtId="14" fontId="121" fillId="0" borderId="24" applyBorder="0"/>
    <xf numFmtId="14" fontId="121" fillId="0" borderId="24" applyBorder="0"/>
    <xf numFmtId="14" fontId="121" fillId="0" borderId="24" applyBorder="0"/>
    <xf numFmtId="37" fontId="134" fillId="0" borderId="51">
      <alignment vertical="top" wrapText="1"/>
    </xf>
    <xf numFmtId="37" fontId="134" fillId="0" borderId="51">
      <alignment vertical="top" wrapText="1"/>
    </xf>
    <xf numFmtId="241" fontId="92" fillId="128" borderId="0" applyBorder="0"/>
    <xf numFmtId="1" fontId="74" fillId="0" borderId="23"/>
    <xf numFmtId="0" fontId="73" fillId="0" borderId="0"/>
    <xf numFmtId="242" fontId="74" fillId="0" borderId="13" applyFont="0" applyBorder="0" applyAlignment="0">
      <alignment horizontal="right"/>
    </xf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135" fillId="60" borderId="0" applyNumberFormat="0" applyBorder="0" applyAlignment="0" applyProtection="0"/>
    <xf numFmtId="0" fontId="22" fillId="100" borderId="0" applyNumberFormat="0" applyBorder="0" applyAlignment="0" applyProtection="0"/>
    <xf numFmtId="0" fontId="135" fillId="60" borderId="0" applyNumberFormat="0" applyBorder="0" applyAlignment="0" applyProtection="0"/>
    <xf numFmtId="0" fontId="29" fillId="21" borderId="0" applyNumberFormat="0" applyBorder="0" applyAlignment="0" applyProtection="0"/>
    <xf numFmtId="0" fontId="135" fillId="59" borderId="0"/>
    <xf numFmtId="0" fontId="135" fillId="59" borderId="0"/>
    <xf numFmtId="0" fontId="29" fillId="21" borderId="0" applyNumberFormat="0" applyBorder="0" applyAlignment="0" applyProtection="0"/>
    <xf numFmtId="0" fontId="135" fillId="60" borderId="0" applyNumberFormat="0" applyBorder="0" applyAlignment="0" applyProtection="0"/>
    <xf numFmtId="0" fontId="29" fillId="21" borderId="0" applyNumberFormat="0" applyBorder="0" applyAlignment="0" applyProtection="0"/>
    <xf numFmtId="0" fontId="135" fillId="59" borderId="0"/>
    <xf numFmtId="0" fontId="135" fillId="59" borderId="0"/>
    <xf numFmtId="0" fontId="135" fillId="59" borderId="0"/>
    <xf numFmtId="0" fontId="135" fillId="59" borderId="0"/>
    <xf numFmtId="0" fontId="135" fillId="60" borderId="0" applyNumberFormat="0" applyBorder="0" applyAlignment="0" applyProtection="0"/>
    <xf numFmtId="0" fontId="136" fillId="59" borderId="0"/>
    <xf numFmtId="0" fontId="135" fillId="60" borderId="0" applyNumberFormat="0" applyBorder="0" applyAlignment="0" applyProtection="0"/>
    <xf numFmtId="0" fontId="135" fillId="59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135" fillId="6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135" fillId="6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2" fillId="100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38" fontId="90" fillId="122" borderId="0" applyNumberFormat="0" applyBorder="0" applyAlignment="0" applyProtection="0"/>
    <xf numFmtId="38" fontId="90" fillId="53" borderId="0" applyNumberFormat="0" applyBorder="0" applyAlignment="0" applyProtection="0"/>
    <xf numFmtId="38" fontId="90" fillId="53" borderId="0" applyNumberFormat="0" applyBorder="0" applyAlignment="0" applyProtection="0"/>
    <xf numFmtId="38" fontId="90" fillId="53" borderId="0" applyNumberFormat="0" applyBorder="0" applyAlignment="0" applyProtection="0"/>
    <xf numFmtId="38" fontId="90" fillId="53" borderId="0" applyNumberFormat="0" applyBorder="0" applyAlignment="0" applyProtection="0"/>
    <xf numFmtId="38" fontId="90" fillId="122" borderId="0" applyNumberFormat="0" applyBorder="0" applyAlignment="0" applyProtection="0"/>
    <xf numFmtId="0" fontId="135" fillId="59" borderId="0" applyNumberFormat="0" applyBorder="0" applyAlignment="0" applyProtection="0"/>
    <xf numFmtId="235" fontId="3" fillId="129" borderId="13" applyNumberFormat="0" applyFont="0" applyBorder="0" applyAlignment="0" applyProtection="0"/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243" fontId="3" fillId="0" borderId="0" applyFont="0" applyFill="0" applyBorder="0" applyAlignment="0" applyProtection="0">
      <alignment horizontal="right"/>
    </xf>
    <xf numFmtId="0" fontId="137" fillId="130" borderId="13" applyNumberFormat="0" applyFont="0" applyBorder="0" applyAlignment="0">
      <alignment horizontal="center"/>
    </xf>
    <xf numFmtId="0" fontId="138" fillId="0" borderId="0">
      <alignment horizontal="left" vertical="center"/>
    </xf>
    <xf numFmtId="0" fontId="139" fillId="0" borderId="0" applyProtection="0">
      <alignment horizontal="right"/>
    </xf>
    <xf numFmtId="0" fontId="140" fillId="131" borderId="52"/>
    <xf numFmtId="0" fontId="116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0" fontId="141" fillId="0" borderId="0"/>
    <xf numFmtId="14" fontId="12" fillId="132" borderId="6">
      <alignment horizontal="center" vertical="center" wrapText="1"/>
    </xf>
    <xf numFmtId="0" fontId="142" fillId="0" borderId="0" applyNumberFormat="0" applyFill="0" applyBorder="0" applyAlignment="0" applyProtection="0"/>
    <xf numFmtId="0" fontId="143" fillId="0" borderId="53" applyNumberFormat="0" applyFill="0" applyAlignment="0" applyProtection="0"/>
    <xf numFmtId="0" fontId="144" fillId="0" borderId="53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5" fillId="0" borderId="55" applyNumberFormat="0" applyFill="0" applyAlignment="0" applyProtection="0"/>
    <xf numFmtId="0" fontId="144" fillId="0" borderId="54" applyNumberFormat="0" applyFill="0" applyAlignment="0" applyProtection="0"/>
    <xf numFmtId="0" fontId="145" fillId="0" borderId="55" applyNumberFormat="0" applyFill="0" applyAlignment="0" applyProtection="0"/>
    <xf numFmtId="0" fontId="26" fillId="0" borderId="27" applyNumberFormat="0" applyFill="0" applyAlignment="0" applyProtection="0"/>
    <xf numFmtId="0" fontId="145" fillId="0" borderId="55"/>
    <xf numFmtId="0" fontId="145" fillId="0" borderId="55"/>
    <xf numFmtId="0" fontId="26" fillId="0" borderId="27" applyNumberFormat="0" applyFill="0" applyAlignment="0" applyProtection="0"/>
    <xf numFmtId="0" fontId="145" fillId="0" borderId="55" applyNumberFormat="0" applyFill="0" applyAlignment="0" applyProtection="0"/>
    <xf numFmtId="0" fontId="146" fillId="0" borderId="55" applyNumberFormat="0" applyFill="0" applyAlignment="0" applyProtection="0"/>
    <xf numFmtId="0" fontId="26" fillId="0" borderId="27" applyNumberFormat="0" applyFill="0" applyAlignment="0" applyProtection="0"/>
    <xf numFmtId="0" fontId="145" fillId="0" borderId="55"/>
    <xf numFmtId="0" fontId="145" fillId="0" borderId="55"/>
    <xf numFmtId="0" fontId="145" fillId="0" borderId="55"/>
    <xf numFmtId="0" fontId="145" fillId="0" borderId="55"/>
    <xf numFmtId="0" fontId="146" fillId="0" borderId="55" applyNumberFormat="0" applyFill="0" applyAlignment="0" applyProtection="0"/>
    <xf numFmtId="0" fontId="145" fillId="0" borderId="55" applyNumberFormat="0" applyFill="0" applyAlignment="0" applyProtection="0"/>
    <xf numFmtId="0" fontId="147" fillId="0" borderId="55"/>
    <xf numFmtId="0" fontId="148" fillId="0" borderId="55"/>
    <xf numFmtId="0" fontId="145" fillId="0" borderId="55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5" fillId="0" borderId="55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5" fillId="0" borderId="55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4" fillId="0" borderId="54" applyNumberFormat="0" applyFill="0" applyAlignment="0" applyProtection="0"/>
    <xf numFmtId="0" fontId="26" fillId="0" borderId="27" applyNumberFormat="0" applyFill="0" applyAlignment="0" applyProtection="0"/>
    <xf numFmtId="0" fontId="26" fillId="0" borderId="27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50" fillId="0" borderId="57" applyNumberFormat="0" applyFill="0" applyAlignment="0" applyProtection="0"/>
    <xf numFmtId="0" fontId="149" fillId="0" borderId="56" applyNumberFormat="0" applyFill="0" applyAlignment="0" applyProtection="0"/>
    <xf numFmtId="0" fontId="150" fillId="0" borderId="57" applyNumberFormat="0" applyFill="0" applyAlignment="0" applyProtection="0"/>
    <xf numFmtId="0" fontId="27" fillId="0" borderId="28" applyNumberFormat="0" applyFill="0" applyAlignment="0" applyProtection="0"/>
    <xf numFmtId="0" fontId="150" fillId="0" borderId="57"/>
    <xf numFmtId="0" fontId="150" fillId="0" borderId="57"/>
    <xf numFmtId="0" fontId="27" fillId="0" borderId="28" applyNumberFormat="0" applyFill="0" applyAlignment="0" applyProtection="0"/>
    <xf numFmtId="0" fontId="150" fillId="0" borderId="57" applyNumberFormat="0" applyFill="0" applyAlignment="0" applyProtection="0"/>
    <xf numFmtId="0" fontId="151" fillId="0" borderId="57" applyNumberFormat="0" applyFill="0" applyAlignment="0" applyProtection="0"/>
    <xf numFmtId="0" fontId="27" fillId="0" borderId="28" applyNumberFormat="0" applyFill="0" applyAlignment="0" applyProtection="0"/>
    <xf numFmtId="0" fontId="150" fillId="0" borderId="57"/>
    <xf numFmtId="0" fontId="150" fillId="0" borderId="57"/>
    <xf numFmtId="0" fontId="150" fillId="0" borderId="57"/>
    <xf numFmtId="0" fontId="150" fillId="0" borderId="57"/>
    <xf numFmtId="0" fontId="151" fillId="0" borderId="57" applyNumberFormat="0" applyFill="0" applyAlignment="0" applyProtection="0"/>
    <xf numFmtId="0" fontId="150" fillId="0" borderId="57" applyNumberFormat="0" applyFill="0" applyAlignment="0" applyProtection="0"/>
    <xf numFmtId="0" fontId="152" fillId="0" borderId="57"/>
    <xf numFmtId="0" fontId="153" fillId="0" borderId="57"/>
    <xf numFmtId="0" fontId="150" fillId="0" borderId="57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50" fillId="0" borderId="57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50" fillId="0" borderId="57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49" fillId="0" borderId="56" applyNumberFormat="0" applyFill="0" applyAlignment="0" applyProtection="0"/>
    <xf numFmtId="0" fontId="27" fillId="0" borderId="28" applyNumberFormat="0" applyFill="0" applyAlignment="0" applyProtection="0"/>
    <xf numFmtId="0" fontId="27" fillId="0" borderId="28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5" fillId="0" borderId="59" applyNumberFormat="0" applyFill="0" applyAlignment="0" applyProtection="0"/>
    <xf numFmtId="0" fontId="154" fillId="0" borderId="58" applyNumberFormat="0" applyFill="0" applyAlignment="0" applyProtection="0"/>
    <xf numFmtId="0" fontId="155" fillId="0" borderId="59" applyNumberFormat="0" applyFill="0" applyAlignment="0" applyProtection="0"/>
    <xf numFmtId="0" fontId="28" fillId="0" borderId="29" applyNumberFormat="0" applyFill="0" applyAlignment="0" applyProtection="0"/>
    <xf numFmtId="0" fontId="154" fillId="0" borderId="60" applyNumberFormat="0" applyFill="0" applyAlignment="0" applyProtection="0">
      <alignment vertical="center"/>
    </xf>
    <xf numFmtId="0" fontId="155" fillId="0" borderId="59"/>
    <xf numFmtId="0" fontId="28" fillId="0" borderId="29" applyNumberFormat="0" applyFill="0" applyAlignment="0" applyProtection="0"/>
    <xf numFmtId="0" fontId="155" fillId="0" borderId="59" applyNumberFormat="0" applyFill="0" applyAlignment="0" applyProtection="0"/>
    <xf numFmtId="0" fontId="156" fillId="0" borderId="59" applyNumberFormat="0" applyFill="0" applyAlignment="0" applyProtection="0"/>
    <xf numFmtId="0" fontId="28" fillId="0" borderId="29" applyNumberFormat="0" applyFill="0" applyAlignment="0" applyProtection="0"/>
    <xf numFmtId="0" fontId="155" fillId="0" borderId="59"/>
    <xf numFmtId="0" fontId="155" fillId="0" borderId="59"/>
    <xf numFmtId="0" fontId="155" fillId="0" borderId="59"/>
    <xf numFmtId="0" fontId="155" fillId="0" borderId="59"/>
    <xf numFmtId="0" fontId="156" fillId="0" borderId="59" applyNumberFormat="0" applyFill="0" applyAlignment="0" applyProtection="0"/>
    <xf numFmtId="0" fontId="155" fillId="0" borderId="59" applyNumberFormat="0" applyFill="0" applyAlignment="0" applyProtection="0"/>
    <xf numFmtId="0" fontId="157" fillId="0" borderId="59"/>
    <xf numFmtId="0" fontId="154" fillId="0" borderId="60" applyNumberFormat="0" applyFill="0" applyAlignment="0" applyProtection="0">
      <alignment vertical="center"/>
    </xf>
    <xf numFmtId="0" fontId="154" fillId="0" borderId="60" applyNumberFormat="0" applyFill="0" applyAlignment="0" applyProtection="0">
      <alignment vertical="center"/>
    </xf>
    <xf numFmtId="0" fontId="155" fillId="0" borderId="59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5" fillId="0" borderId="59" applyNumberFormat="0" applyFill="0" applyAlignment="0" applyProtection="0"/>
    <xf numFmtId="0" fontId="28" fillId="0" borderId="29" applyNumberFormat="0" applyFill="0" applyAlignment="0" applyProtection="0"/>
    <xf numFmtId="0" fontId="154" fillId="0" borderId="60" applyNumberFormat="0" applyFill="0" applyAlignment="0" applyProtection="0">
      <alignment vertical="center"/>
    </xf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5" fillId="0" borderId="5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58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5" fillId="0" borderId="0"/>
    <xf numFmtId="0" fontId="155" fillId="0" borderId="0"/>
    <xf numFmtId="0" fontId="28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5" fillId="0" borderId="0"/>
    <xf numFmtId="0" fontId="155" fillId="0" borderId="0"/>
    <xf numFmtId="0" fontId="155" fillId="0" borderId="0"/>
    <xf numFmtId="0" fontId="155" fillId="0" borderId="0"/>
    <xf numFmtId="0" fontId="155" fillId="0" borderId="0" applyNumberFormat="0" applyFill="0" applyBorder="0" applyAlignment="0" applyProtection="0"/>
    <xf numFmtId="0" fontId="157" fillId="0" borderId="0"/>
    <xf numFmtId="0" fontId="158" fillId="0" borderId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4" fontId="12" fillId="132" borderId="6">
      <alignment horizontal="center" vertical="center" wrapText="1"/>
    </xf>
    <xf numFmtId="0" fontId="159" fillId="0" borderId="0">
      <alignment horizontal="center"/>
    </xf>
    <xf numFmtId="244" fontId="160" fillId="133" borderId="0" applyProtection="0">
      <alignment horizontal="right" vertical="center"/>
    </xf>
    <xf numFmtId="245" fontId="160" fillId="133" borderId="0" applyProtection="0">
      <alignment horizontal="right" vertical="center"/>
    </xf>
    <xf numFmtId="246" fontId="160" fillId="133" borderId="0" applyProtection="0">
      <alignment horizontal="right" vertical="center"/>
    </xf>
    <xf numFmtId="192" fontId="161" fillId="0" borderId="0">
      <protection locked="0"/>
    </xf>
    <xf numFmtId="192" fontId="161" fillId="0" borderId="0">
      <protection locked="0"/>
    </xf>
    <xf numFmtId="0" fontId="162" fillId="0" borderId="0">
      <alignment horizontal="center" textRotation="90"/>
    </xf>
    <xf numFmtId="192" fontId="161" fillId="0" borderId="0">
      <protection locked="0"/>
    </xf>
    <xf numFmtId="192" fontId="161" fillId="0" borderId="0">
      <protection locked="0"/>
    </xf>
    <xf numFmtId="0" fontId="159" fillId="0" borderId="0">
      <alignment horizontal="center" textRotation="90"/>
    </xf>
    <xf numFmtId="0" fontId="159" fillId="0" borderId="0">
      <alignment horizontal="center" textRotation="90"/>
    </xf>
    <xf numFmtId="190" fontId="3" fillId="0" borderId="0">
      <protection locked="0"/>
    </xf>
    <xf numFmtId="192" fontId="161" fillId="0" borderId="0">
      <protection locked="0"/>
    </xf>
    <xf numFmtId="192" fontId="161" fillId="0" borderId="0">
      <protection locked="0"/>
    </xf>
    <xf numFmtId="247" fontId="76" fillId="0" borderId="0">
      <alignment horizontal="centerContinuous"/>
    </xf>
    <xf numFmtId="0" fontId="163" fillId="0" borderId="6">
      <alignment horizontal="center"/>
    </xf>
    <xf numFmtId="0" fontId="163" fillId="0" borderId="6">
      <alignment horizontal="center"/>
    </xf>
    <xf numFmtId="0" fontId="163" fillId="0" borderId="6">
      <alignment horizontal="center"/>
    </xf>
    <xf numFmtId="0" fontId="163" fillId="0" borderId="6">
      <alignment horizontal="center"/>
    </xf>
    <xf numFmtId="0" fontId="163" fillId="0" borderId="6">
      <alignment horizontal="center"/>
    </xf>
    <xf numFmtId="0" fontId="163" fillId="0" borderId="6">
      <alignment horizontal="center"/>
    </xf>
    <xf numFmtId="0" fontId="163" fillId="0" borderId="6">
      <alignment horizontal="center"/>
    </xf>
    <xf numFmtId="0" fontId="163" fillId="0" borderId="0">
      <alignment horizontal="center"/>
    </xf>
    <xf numFmtId="0" fontId="163" fillId="0" borderId="0">
      <alignment horizontal="center"/>
    </xf>
    <xf numFmtId="0" fontId="163" fillId="0" borderId="0">
      <alignment horizontal="center"/>
    </xf>
    <xf numFmtId="0" fontId="163" fillId="0" borderId="0">
      <alignment horizontal="center"/>
    </xf>
    <xf numFmtId="0" fontId="163" fillId="0" borderId="0">
      <alignment horizontal="center"/>
    </xf>
    <xf numFmtId="247" fontId="76" fillId="0" borderId="61">
      <alignment horizontal="center"/>
    </xf>
    <xf numFmtId="247" fontId="76" fillId="0" borderId="61">
      <alignment horizontal="center"/>
    </xf>
    <xf numFmtId="0" fontId="164" fillId="0" borderId="6" applyBorder="0"/>
    <xf numFmtId="0" fontId="50" fillId="0" borderId="0">
      <alignment horizontal="justify" vertical="top" wrapText="1"/>
    </xf>
    <xf numFmtId="0" fontId="165" fillId="0" borderId="0" applyNumberFormat="0" applyFill="0" applyBorder="0" applyAlignment="0" applyProtection="0">
      <alignment vertical="top"/>
      <protection locked="0"/>
    </xf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5" fillId="0" borderId="0" applyNumberFormat="0" applyFill="0" applyBorder="0" applyAlignment="0" applyProtection="0">
      <alignment vertical="top"/>
      <protection locked="0"/>
    </xf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5" fillId="0" borderId="0" applyNumberFormat="0" applyFill="0" applyBorder="0" applyAlignment="0" applyProtection="0">
      <alignment vertical="top"/>
      <protection locked="0"/>
    </xf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40" fillId="134" borderId="0">
      <alignment horizontal="left" wrapText="1" indent="2"/>
    </xf>
    <xf numFmtId="248" fontId="167" fillId="52" borderId="0" applyProtection="0">
      <alignment horizontal="right" vertical="center"/>
    </xf>
    <xf numFmtId="10" fontId="90" fillId="134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10" fontId="90" fillId="53" borderId="43" applyNumberFormat="0" applyBorder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32" fillId="24" borderId="30" applyNumberFormat="0" applyAlignment="0" applyProtection="0"/>
    <xf numFmtId="0" fontId="169" fillId="65" borderId="41" applyNumberFormat="0" applyAlignment="0" applyProtection="0"/>
    <xf numFmtId="0" fontId="122" fillId="67" borderId="41"/>
    <xf numFmtId="0" fontId="32" fillId="24" borderId="30" applyNumberFormat="0" applyAlignment="0" applyProtection="0"/>
    <xf numFmtId="0" fontId="169" fillId="65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69" fillId="67" borderId="41" applyNumberFormat="0" applyAlignment="0" applyProtection="0"/>
    <xf numFmtId="0" fontId="32" fillId="24" borderId="30" applyNumberFormat="0" applyAlignment="0" applyProtection="0"/>
    <xf numFmtId="0" fontId="122" fillId="66" borderId="41" applyNumberFormat="0" applyAlignment="0" applyProtection="0"/>
    <xf numFmtId="0" fontId="122" fillId="67" borderId="41"/>
    <xf numFmtId="0" fontId="122" fillId="67" borderId="41"/>
    <xf numFmtId="0" fontId="122" fillId="67" borderId="41"/>
    <xf numFmtId="0" fontId="169" fillId="67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32" fillId="24" borderId="30" applyNumberFormat="0" applyAlignment="0" applyProtection="0"/>
    <xf numFmtId="0" fontId="122" fillId="66" borderId="41" applyNumberFormat="0" applyAlignment="0" applyProtection="0"/>
    <xf numFmtId="0" fontId="32" fillId="24" borderId="30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32" fillId="24" borderId="30" applyNumberFormat="0" applyAlignment="0" applyProtection="0"/>
    <xf numFmtId="0" fontId="122" fillId="66" borderId="41" applyNumberFormat="0" applyAlignment="0" applyProtection="0"/>
    <xf numFmtId="0" fontId="32" fillId="24" borderId="30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22" fillId="66" borderId="41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122" fillId="66" borderId="41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122" fillId="66" borderId="41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122" fillId="66" borderId="41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32" fillId="24" borderId="30" applyNumberFormat="0" applyAlignment="0" applyProtection="0"/>
    <xf numFmtId="0" fontId="32" fillId="24" borderId="30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0" fontId="168" fillId="110" borderId="44" applyNumberFormat="0" applyAlignment="0" applyProtection="0"/>
    <xf numFmtId="249" fontId="87" fillId="135" borderId="0"/>
    <xf numFmtId="250" fontId="89" fillId="135" borderId="0"/>
    <xf numFmtId="246" fontId="167" fillId="52" borderId="0" applyProtection="0">
      <alignment horizontal="right" vertical="center"/>
    </xf>
    <xf numFmtId="37" fontId="170" fillId="0" borderId="0" applyNumberFormat="0" applyBorder="0" applyAlignment="0" applyProtection="0"/>
    <xf numFmtId="251" fontId="167" fillId="52" borderId="0" applyProtection="0">
      <alignment horizontal="right" vertical="center"/>
    </xf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52" fontId="3" fillId="0" borderId="0"/>
    <xf numFmtId="235" fontId="171" fillId="0" borderId="0"/>
    <xf numFmtId="0" fontId="172" fillId="0" borderId="0">
      <alignment horizontal="left" vertical="top" wrapText="1"/>
      <protection locked="0"/>
    </xf>
    <xf numFmtId="39" fontId="74" fillId="0" borderId="0">
      <alignment vertical="center"/>
    </xf>
    <xf numFmtId="253" fontId="46" fillId="0" borderId="0" applyFont="0" applyFill="0" applyBorder="0" applyAlignment="0" applyProtection="0"/>
    <xf numFmtId="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2" fontId="3" fillId="0" borderId="0" applyFill="0" applyBorder="0" applyAlignment="0" applyProtection="0"/>
    <xf numFmtId="0" fontId="173" fillId="136" borderId="46"/>
    <xf numFmtId="0" fontId="173" fillId="136" borderId="46"/>
    <xf numFmtId="0" fontId="173" fillId="136" borderId="46"/>
    <xf numFmtId="0" fontId="173" fillId="136" borderId="46"/>
    <xf numFmtId="205" fontId="89" fillId="0" borderId="0" applyFill="0" applyBorder="0" applyAlignment="0"/>
    <xf numFmtId="201" fontId="89" fillId="0" borderId="0" applyFill="0" applyBorder="0" applyAlignment="0"/>
    <xf numFmtId="205" fontId="89" fillId="0" borderId="0" applyFill="0" applyBorder="0" applyAlignment="0"/>
    <xf numFmtId="206" fontId="89" fillId="0" borderId="0" applyFill="0" applyBorder="0" applyAlignment="0"/>
    <xf numFmtId="0" fontId="3" fillId="0" borderId="0" applyFill="0" applyBorder="0" applyAlignment="0"/>
    <xf numFmtId="201" fontId="89" fillId="0" borderId="0" applyFill="0" applyBorder="0" applyAlignment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74" fillId="0" borderId="63" applyNumberFormat="0" applyFill="0" applyAlignment="0" applyProtection="0"/>
    <xf numFmtId="0" fontId="135" fillId="0" borderId="62" applyNumberFormat="0" applyFill="0" applyAlignment="0" applyProtection="0"/>
    <xf numFmtId="0" fontId="174" fillId="0" borderId="63" applyNumberFormat="0" applyFill="0" applyAlignment="0" applyProtection="0"/>
    <xf numFmtId="0" fontId="35" fillId="0" borderId="32" applyNumberFormat="0" applyFill="0" applyAlignment="0" applyProtection="0"/>
    <xf numFmtId="0" fontId="174" fillId="0" borderId="63"/>
    <xf numFmtId="0" fontId="174" fillId="0" borderId="63"/>
    <xf numFmtId="0" fontId="35" fillId="0" borderId="32" applyNumberFormat="0" applyFill="0" applyAlignment="0" applyProtection="0"/>
    <xf numFmtId="0" fontId="174" fillId="0" borderId="63" applyNumberFormat="0" applyFill="0" applyAlignment="0" applyProtection="0"/>
    <xf numFmtId="0" fontId="175" fillId="0" borderId="63" applyNumberFormat="0" applyFill="0" applyAlignment="0" applyProtection="0"/>
    <xf numFmtId="0" fontId="35" fillId="0" borderId="32" applyNumberFormat="0" applyFill="0" applyAlignment="0" applyProtection="0"/>
    <xf numFmtId="0" fontId="174" fillId="0" borderId="63"/>
    <xf numFmtId="0" fontId="174" fillId="0" borderId="63"/>
    <xf numFmtId="0" fontId="174" fillId="0" borderId="63"/>
    <xf numFmtId="0" fontId="174" fillId="0" borderId="63"/>
    <xf numFmtId="0" fontId="175" fillId="0" borderId="63" applyNumberFormat="0" applyFill="0" applyAlignment="0" applyProtection="0"/>
    <xf numFmtId="0" fontId="174" fillId="0" borderId="63" applyNumberFormat="0" applyFill="0" applyAlignment="0" applyProtection="0"/>
    <xf numFmtId="0" fontId="176" fillId="0" borderId="63"/>
    <xf numFmtId="0" fontId="177" fillId="0" borderId="63"/>
    <xf numFmtId="0" fontId="174" fillId="0" borderId="63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74" fillId="0" borderId="63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74" fillId="0" borderId="63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0" fontId="135" fillId="0" borderId="62" applyNumberFormat="0" applyFill="0" applyAlignment="0" applyProtection="0"/>
    <xf numFmtId="0" fontId="35" fillId="0" borderId="32" applyNumberFormat="0" applyFill="0" applyAlignment="0" applyProtection="0"/>
    <xf numFmtId="0" fontId="35" fillId="0" borderId="32" applyNumberFormat="0" applyFill="0" applyAlignment="0" applyProtection="0"/>
    <xf numFmtId="249" fontId="87" fillId="137" borderId="0"/>
    <xf numFmtId="250" fontId="178" fillId="137" borderId="0"/>
    <xf numFmtId="250" fontId="179" fillId="0" borderId="0"/>
    <xf numFmtId="0" fontId="51" fillId="0" borderId="0"/>
    <xf numFmtId="1" fontId="180" fillId="0" borderId="0" applyNumberFormat="0"/>
    <xf numFmtId="0" fontId="181" fillId="0" borderId="0" applyNumberFormat="0"/>
    <xf numFmtId="221" fontId="59" fillId="0" borderId="0" applyFont="0" applyFill="0" applyBorder="0" applyAlignment="0" applyProtection="0"/>
    <xf numFmtId="0" fontId="77" fillId="0" borderId="0">
      <alignment horizontal="center" vertical="center"/>
    </xf>
    <xf numFmtId="254" fontId="87" fillId="0" borderId="0" applyFont="0" applyFill="0" applyBorder="0" applyAlignment="0" applyProtection="0"/>
    <xf numFmtId="255" fontId="87" fillId="0" borderId="0" applyFont="0" applyFill="0" applyBorder="0" applyAlignment="0" applyProtection="0"/>
    <xf numFmtId="221" fontId="59" fillId="0" borderId="0" applyFont="0" applyFill="0" applyBorder="0" applyAlignment="0" applyProtection="0"/>
    <xf numFmtId="0" fontId="182" fillId="0" borderId="64"/>
    <xf numFmtId="256" fontId="3" fillId="0" borderId="0" applyFont="0" applyFill="0" applyBorder="0" applyAlignment="0" applyProtection="0"/>
    <xf numFmtId="250" fontId="3" fillId="0" borderId="0" applyFont="0" applyFill="0" applyBorder="0" applyAlignment="0" applyProtection="0"/>
    <xf numFmtId="164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257" fontId="87" fillId="0" borderId="0" applyFont="0" applyFill="0" applyBorder="0" applyAlignment="0" applyProtection="0"/>
    <xf numFmtId="258" fontId="87" fillId="0" borderId="0" applyFont="0" applyFill="0" applyBorder="0" applyAlignment="0" applyProtection="0"/>
    <xf numFmtId="164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183" fillId="0" borderId="0" applyNumberFormat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259" fontId="3" fillId="0" borderId="0" applyFont="0" applyFill="0" applyBorder="0" applyAlignment="0" applyProtection="0">
      <alignment horizontal="right"/>
    </xf>
    <xf numFmtId="0" fontId="77" fillId="0" borderId="0" applyNumberFormat="0" applyFont="0" applyFill="0" applyAlignment="0"/>
    <xf numFmtId="0" fontId="184" fillId="0" borderId="65" applyBorder="0" applyAlignment="0">
      <alignment horizontal="left"/>
    </xf>
    <xf numFmtId="0" fontId="184" fillId="0" borderId="65" applyBorder="0" applyAlignment="0">
      <alignment horizontal="left"/>
    </xf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85" fillId="138" borderId="0" applyNumberFormat="0" applyBorder="0" applyAlignment="0" applyProtection="0"/>
    <xf numFmtId="0" fontId="135" fillId="110" borderId="0" applyNumberFormat="0" applyBorder="0" applyAlignment="0" applyProtection="0"/>
    <xf numFmtId="0" fontId="185" fillId="138" borderId="0" applyNumberFormat="0" applyBorder="0" applyAlignment="0" applyProtection="0"/>
    <xf numFmtId="0" fontId="31" fillId="23" borderId="0" applyNumberFormat="0" applyBorder="0" applyAlignment="0" applyProtection="0"/>
    <xf numFmtId="0" fontId="185" fillId="139" borderId="0"/>
    <xf numFmtId="0" fontId="185" fillId="139" borderId="0"/>
    <xf numFmtId="0" fontId="31" fillId="23" borderId="0" applyNumberFormat="0" applyBorder="0" applyAlignment="0" applyProtection="0"/>
    <xf numFmtId="0" fontId="185" fillId="138" borderId="0" applyNumberFormat="0" applyBorder="0" applyAlignment="0" applyProtection="0"/>
    <xf numFmtId="0" fontId="31" fillId="23" borderId="0" applyNumberFormat="0" applyBorder="0" applyAlignment="0" applyProtection="0"/>
    <xf numFmtId="0" fontId="185" fillId="139" borderId="0"/>
    <xf numFmtId="0" fontId="185" fillId="139" borderId="0"/>
    <xf numFmtId="0" fontId="185" fillId="139" borderId="0"/>
    <xf numFmtId="0" fontId="185" fillId="139" borderId="0"/>
    <xf numFmtId="0" fontId="185" fillId="138" borderId="0" applyNumberFormat="0" applyBorder="0" applyAlignment="0" applyProtection="0"/>
    <xf numFmtId="0" fontId="186" fillId="139" borderId="0"/>
    <xf numFmtId="0" fontId="185" fillId="138" borderId="0" applyNumberFormat="0" applyBorder="0" applyAlignment="0" applyProtection="0"/>
    <xf numFmtId="0" fontId="185" fillId="139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85" fillId="138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85" fillId="138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135" fillId="110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2" fontId="187" fillId="53" borderId="0"/>
    <xf numFmtId="207" fontId="92" fillId="140" borderId="66" applyBorder="0"/>
    <xf numFmtId="207" fontId="92" fillId="140" borderId="66" applyBorder="0"/>
    <xf numFmtId="37" fontId="188" fillId="0" borderId="0"/>
    <xf numFmtId="0" fontId="90" fillId="0" borderId="13" applyBorder="0" applyProtection="0">
      <alignment horizontal="center"/>
    </xf>
    <xf numFmtId="0" fontId="46" fillId="0" borderId="0"/>
    <xf numFmtId="0" fontId="3" fillId="0" borderId="0"/>
    <xf numFmtId="0" fontId="46" fillId="0" borderId="0"/>
    <xf numFmtId="37" fontId="3" fillId="0" borderId="67"/>
    <xf numFmtId="256" fontId="189" fillId="0" borderId="0"/>
    <xf numFmtId="260" fontId="104" fillId="0" borderId="0"/>
    <xf numFmtId="0" fontId="190" fillId="0" borderId="0"/>
    <xf numFmtId="0" fontId="191" fillId="0" borderId="0"/>
    <xf numFmtId="0" fontId="190" fillId="0" borderId="0"/>
    <xf numFmtId="0" fontId="191" fillId="0" borderId="0"/>
    <xf numFmtId="0" fontId="190" fillId="0" borderId="0"/>
    <xf numFmtId="0" fontId="191" fillId="0" borderId="0"/>
    <xf numFmtId="0" fontId="103" fillId="0" borderId="0"/>
    <xf numFmtId="0" fontId="190" fillId="0" borderId="0"/>
    <xf numFmtId="0" fontId="190" fillId="0" borderId="0"/>
    <xf numFmtId="0" fontId="191" fillId="0" borderId="0"/>
    <xf numFmtId="0" fontId="190" fillId="0" borderId="0"/>
    <xf numFmtId="0" fontId="191" fillId="0" borderId="0"/>
    <xf numFmtId="0" fontId="190" fillId="0" borderId="0"/>
    <xf numFmtId="0" fontId="191" fillId="0" borderId="0"/>
    <xf numFmtId="0" fontId="71" fillId="0" borderId="0"/>
    <xf numFmtId="0" fontId="71" fillId="0" borderId="0"/>
    <xf numFmtId="248" fontId="113" fillId="0" borderId="0" applyProtection="0">
      <alignment horizontal="right" vertical="center"/>
    </xf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0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8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9" fillId="0" borderId="0"/>
    <xf numFmtId="0" fontId="39" fillId="0" borderId="0"/>
    <xf numFmtId="0" fontId="3" fillId="0" borderId="0">
      <alignment vertical="top"/>
    </xf>
    <xf numFmtId="0" fontId="192" fillId="0" borderId="0">
      <alignment vertical="top"/>
    </xf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50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4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90" fillId="141" borderId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90" fillId="141" borderId="0"/>
    <xf numFmtId="0" fontId="90" fillId="141" borderId="0"/>
    <xf numFmtId="0" fontId="2" fillId="0" borderId="0"/>
    <xf numFmtId="0" fontId="2" fillId="0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2" fillId="0" borderId="0"/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8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90" fillId="141" borderId="0"/>
    <xf numFmtId="0" fontId="4" fillId="0" borderId="0"/>
    <xf numFmtId="0" fontId="22" fillId="0" borderId="0" applyFill="0" applyProtection="0"/>
    <xf numFmtId="0" fontId="90" fillId="141" borderId="0"/>
    <xf numFmtId="0" fontId="2" fillId="0" borderId="0"/>
    <xf numFmtId="0" fontId="2" fillId="0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22" fillId="0" borderId="0" applyFill="0" applyProtection="0"/>
    <xf numFmtId="0" fontId="90" fillId="141" borderId="0"/>
    <xf numFmtId="0" fontId="4" fillId="0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22" fillId="0" borderId="0" applyFill="0" applyProtection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141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51" fillId="0" borderId="0"/>
    <xf numFmtId="0" fontId="22" fillId="0" borderId="0" applyFill="0" applyProtection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90" fillId="141" borderId="0"/>
    <xf numFmtId="0" fontId="90" fillId="141" borderId="0"/>
    <xf numFmtId="0" fontId="2" fillId="0" borderId="0"/>
    <xf numFmtId="0" fontId="90" fillId="141" borderId="0"/>
    <xf numFmtId="0" fontId="90" fillId="141" borderId="0"/>
    <xf numFmtId="0" fontId="2" fillId="0" borderId="0"/>
    <xf numFmtId="0" fontId="90" fillId="141" borderId="0"/>
    <xf numFmtId="0" fontId="2" fillId="0" borderId="0"/>
    <xf numFmtId="0" fontId="90" fillId="141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141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141" borderId="0"/>
    <xf numFmtId="0" fontId="90" fillId="141" borderId="0"/>
    <xf numFmtId="0" fontId="90" fillId="141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 applyFill="0" applyProtection="0"/>
    <xf numFmtId="0" fontId="3" fillId="0" borderId="0"/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90" fillId="141" borderId="0"/>
    <xf numFmtId="0" fontId="90" fillId="141" borderId="0"/>
    <xf numFmtId="0" fontId="2" fillId="0" borderId="0"/>
    <xf numFmtId="0" fontId="90" fillId="141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141" borderId="0"/>
    <xf numFmtId="0" fontId="2" fillId="0" borderId="0"/>
    <xf numFmtId="0" fontId="90" fillId="141" borderId="0"/>
    <xf numFmtId="0" fontId="4" fillId="0" borderId="0"/>
    <xf numFmtId="0" fontId="4" fillId="0" borderId="0"/>
    <xf numFmtId="0" fontId="4" fillId="0" borderId="0"/>
    <xf numFmtId="0" fontId="90" fillId="141" borderId="0"/>
    <xf numFmtId="0" fontId="2" fillId="0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3" fillId="0" borderId="0"/>
    <xf numFmtId="0" fontId="37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22" fillId="0" borderId="0"/>
    <xf numFmtId="0" fontId="3" fillId="0" borderId="0">
      <alignment vertical="center"/>
    </xf>
    <xf numFmtId="0" fontId="3" fillId="0" borderId="0">
      <alignment vertical="center"/>
    </xf>
    <xf numFmtId="0" fontId="19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/>
    <xf numFmtId="0" fontId="22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3" fillId="0" borderId="0">
      <alignment vertical="center"/>
    </xf>
    <xf numFmtId="0" fontId="22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198" fontId="3" fillId="0" borderId="0"/>
    <xf numFmtId="0" fontId="39" fillId="0" borderId="0"/>
    <xf numFmtId="261" fontId="39" fillId="0" borderId="0"/>
    <xf numFmtId="0" fontId="22" fillId="0" borderId="0"/>
    <xf numFmtId="0" fontId="22" fillId="0" borderId="0"/>
    <xf numFmtId="0" fontId="22" fillId="0" borderId="0"/>
    <xf numFmtId="198" fontId="3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7" fillId="0" borderId="0">
      <alignment vertical="top"/>
    </xf>
    <xf numFmtId="0" fontId="39" fillId="0" borderId="0"/>
    <xf numFmtId="172" fontId="3" fillId="0" borderId="0"/>
    <xf numFmtId="172" fontId="3" fillId="0" borderId="0"/>
    <xf numFmtId="0" fontId="22" fillId="0" borderId="0"/>
    <xf numFmtId="0" fontId="22" fillId="0" borderId="0"/>
    <xf numFmtId="0" fontId="22" fillId="0" borderId="0"/>
    <xf numFmtId="0" fontId="37" fillId="0" borderId="0">
      <alignment vertical="top"/>
    </xf>
    <xf numFmtId="0" fontId="39" fillId="0" borderId="0"/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2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 applyFill="0" applyProtection="0"/>
    <xf numFmtId="0" fontId="193" fillId="0" borderId="0"/>
    <xf numFmtId="0" fontId="3" fillId="0" borderId="0"/>
    <xf numFmtId="0" fontId="39" fillId="0" borderId="0"/>
    <xf numFmtId="0" fontId="39" fillId="0" borderId="0"/>
    <xf numFmtId="0" fontId="22" fillId="0" borderId="0">
      <alignment vertical="center"/>
    </xf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2" fillId="0" borderId="0"/>
    <xf numFmtId="0" fontId="22" fillId="0" borderId="0"/>
    <xf numFmtId="0" fontId="22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3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3" fillId="0" borderId="0">
      <alignment vertical="center"/>
    </xf>
    <xf numFmtId="0" fontId="39" fillId="0" borderId="0"/>
    <xf numFmtId="0" fontId="39" fillId="0" borderId="0"/>
    <xf numFmtId="0" fontId="3" fillId="0" borderId="0">
      <alignment vertical="center"/>
    </xf>
    <xf numFmtId="0" fontId="3" fillId="0" borderId="0">
      <alignment vertical="center"/>
    </xf>
    <xf numFmtId="0" fontId="39" fillId="0" borderId="0"/>
    <xf numFmtId="0" fontId="3" fillId="0" borderId="0">
      <alignment vertical="center"/>
    </xf>
    <xf numFmtId="0" fontId="3" fillId="0" borderId="0">
      <alignment vertical="center"/>
    </xf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8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22" fillId="0" borderId="0"/>
    <xf numFmtId="0" fontId="108" fillId="0" borderId="0"/>
    <xf numFmtId="0" fontId="39" fillId="0" borderId="0"/>
    <xf numFmtId="0" fontId="4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>
      <alignment vertical="top"/>
    </xf>
    <xf numFmtId="0" fontId="192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>
      <alignment vertical="top"/>
    </xf>
    <xf numFmtId="0" fontId="3" fillId="0" borderId="0">
      <alignment vertical="top"/>
    </xf>
    <xf numFmtId="0" fontId="3" fillId="0" borderId="0">
      <alignment vertical="top"/>
    </xf>
    <xf numFmtId="0" fontId="22" fillId="0" borderId="0">
      <alignment vertical="center"/>
    </xf>
    <xf numFmtId="0" fontId="3" fillId="0" borderId="0">
      <alignment vertical="top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" fillId="0" borderId="0" applyNumberFormat="0" applyFill="0" applyBorder="0" applyAlignment="0" applyProtection="0">
      <alignment vertical="center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05" fillId="0" borderId="0">
      <alignment vertical="center"/>
    </xf>
    <xf numFmtId="0" fontId="19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19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94" fillId="0" borderId="0" applyNumberFormat="0" applyFill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2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90" fillId="141" borderId="0"/>
    <xf numFmtId="0" fontId="90" fillId="141" borderId="0"/>
    <xf numFmtId="0" fontId="90" fillId="141" borderId="0"/>
    <xf numFmtId="0" fontId="4" fillId="0" borderId="0"/>
    <xf numFmtId="0" fontId="90" fillId="141" borderId="0"/>
    <xf numFmtId="0" fontId="90" fillId="141" borderId="0"/>
    <xf numFmtId="0" fontId="90" fillId="141" borderId="0"/>
    <xf numFmtId="0" fontId="4" fillId="0" borderId="0"/>
    <xf numFmtId="0" fontId="90" fillId="141" borderId="0"/>
    <xf numFmtId="0" fontId="90" fillId="141" borderId="0"/>
    <xf numFmtId="0" fontId="2" fillId="0" borderId="0"/>
    <xf numFmtId="0" fontId="90" fillId="141" borderId="0"/>
    <xf numFmtId="0" fontId="90" fillId="141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2" fillId="0" borderId="0"/>
    <xf numFmtId="0" fontId="90" fillId="141" borderId="0"/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2" fillId="0" borderId="0"/>
    <xf numFmtId="0" fontId="90" fillId="141" borderId="0"/>
    <xf numFmtId="0" fontId="2" fillId="0" borderId="0"/>
    <xf numFmtId="0" fontId="90" fillId="141" borderId="0"/>
    <xf numFmtId="0" fontId="2" fillId="0" borderId="0"/>
    <xf numFmtId="0" fontId="90" fillId="141" borderId="0"/>
    <xf numFmtId="0" fontId="2" fillId="0" borderId="0"/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" fillId="0" borderId="0"/>
    <xf numFmtId="0" fontId="90" fillId="141" borderId="0"/>
    <xf numFmtId="0" fontId="2" fillId="0" borderId="0"/>
    <xf numFmtId="0" fontId="90" fillId="141" borderId="0"/>
    <xf numFmtId="0" fontId="2" fillId="0" borderId="0"/>
    <xf numFmtId="0" fontId="90" fillId="141" borderId="0"/>
    <xf numFmtId="0" fontId="2" fillId="0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90" fillId="141" borderId="0"/>
    <xf numFmtId="0" fontId="90" fillId="141" borderId="0"/>
    <xf numFmtId="0" fontId="90" fillId="141" borderId="0"/>
    <xf numFmtId="0" fontId="90" fillId="141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3" fillId="0" borderId="0"/>
    <xf numFmtId="0" fontId="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5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05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261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261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261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39" fillId="0" borderId="0"/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4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172" fontId="4" fillId="0" borderId="0"/>
    <xf numFmtId="172" fontId="4" fillId="0" borderId="0"/>
    <xf numFmtId="0" fontId="22" fillId="0" borderId="0">
      <alignment vertical="center"/>
    </xf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>
      <alignment vertical="top"/>
    </xf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4" fillId="0" borderId="0"/>
    <xf numFmtId="0" fontId="7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39" fillId="0" borderId="0"/>
    <xf numFmtId="0" fontId="39" fillId="0" borderId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22" fillId="0" borderId="0" applyFill="0" applyProtection="0"/>
    <xf numFmtId="0" fontId="74" fillId="0" borderId="0"/>
    <xf numFmtId="0" fontId="39" fillId="0" borderId="0"/>
    <xf numFmtId="0" fontId="39" fillId="0" borderId="0"/>
    <xf numFmtId="0" fontId="2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4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2" fillId="0" borderId="0"/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90" fillId="141" borderId="0"/>
    <xf numFmtId="0" fontId="22" fillId="0" borderId="0">
      <alignment vertical="center"/>
    </xf>
    <xf numFmtId="0" fontId="51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12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5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4" fillId="0" borderId="0"/>
    <xf numFmtId="0" fontId="4" fillId="0" borderId="0"/>
    <xf numFmtId="0" fontId="22" fillId="0" borderId="0">
      <alignment vertical="center"/>
    </xf>
    <xf numFmtId="0" fontId="3" fillId="0" borderId="0"/>
    <xf numFmtId="0" fontId="19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90" fillId="141" borderId="0"/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4" fillId="0" borderId="0"/>
    <xf numFmtId="0" fontId="2" fillId="0" borderId="0"/>
    <xf numFmtId="0" fontId="4" fillId="0" borderId="0"/>
    <xf numFmtId="0" fontId="90" fillId="141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198" fontId="2" fillId="0" borderId="0"/>
    <xf numFmtId="0" fontId="3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90" fillId="141" borderId="0"/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8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39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39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90" fillId="141" borderId="0"/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 applyFill="0" applyProtection="0"/>
    <xf numFmtId="0" fontId="90" fillId="141" borderId="0"/>
    <xf numFmtId="0" fontId="90" fillId="141" borderId="0"/>
    <xf numFmtId="0" fontId="22" fillId="0" borderId="0">
      <alignment vertical="center"/>
    </xf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84" fontId="89" fillId="0" borderId="0"/>
    <xf numFmtId="0" fontId="39" fillId="0" borderId="0"/>
    <xf numFmtId="0" fontId="39" fillId="0" borderId="0"/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22" fillId="0" borderId="0" applyFill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9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/>
    <xf numFmtId="0" fontId="39" fillId="0" borderId="0"/>
    <xf numFmtId="0" fontId="39" fillId="0" borderId="0"/>
    <xf numFmtId="0" fontId="4" fillId="0" borderId="0"/>
    <xf numFmtId="0" fontId="4" fillId="0" borderId="0"/>
    <xf numFmtId="0" fontId="3" fillId="0" borderId="0"/>
    <xf numFmtId="0" fontId="39" fillId="0" borderId="0"/>
    <xf numFmtId="0" fontId="90" fillId="141" borderId="0"/>
    <xf numFmtId="0" fontId="22" fillId="0" borderId="0" applyFill="0" applyProtection="0"/>
    <xf numFmtId="0" fontId="22" fillId="0" borderId="0">
      <alignment vertical="center"/>
    </xf>
    <xf numFmtId="0" fontId="90" fillId="141" borderId="0"/>
    <xf numFmtId="0" fontId="90" fillId="141" borderId="0"/>
    <xf numFmtId="0" fontId="22" fillId="0" borderId="0" applyFill="0" applyProtection="0"/>
    <xf numFmtId="0" fontId="90" fillId="141" borderId="0"/>
    <xf numFmtId="0" fontId="90" fillId="141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2" fillId="0" borderId="0">
      <alignment vertical="center"/>
    </xf>
    <xf numFmtId="0" fontId="3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2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/>
    <xf numFmtId="0" fontId="2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08" fillId="0" borderId="0"/>
    <xf numFmtId="0" fontId="39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22" fillId="0" borderId="0" applyFill="0" applyProtection="0"/>
    <xf numFmtId="0" fontId="90" fillId="141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261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61" fontId="4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8" fillId="0" borderId="0"/>
    <xf numFmtId="262" fontId="2" fillId="0" borderId="0"/>
    <xf numFmtId="0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262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22" fillId="0" borderId="0"/>
    <xf numFmtId="0" fontId="90" fillId="141" borderId="0"/>
    <xf numFmtId="0" fontId="22" fillId="0" borderId="0" applyFill="0" applyProtection="0"/>
    <xf numFmtId="0" fontId="90" fillId="141" borderId="0"/>
    <xf numFmtId="0" fontId="90" fillId="141" borderId="0"/>
    <xf numFmtId="0" fontId="22" fillId="0" borderId="0" applyFill="0" applyProtection="0"/>
    <xf numFmtId="0" fontId="90" fillId="141" borderId="0"/>
    <xf numFmtId="0" fontId="90" fillId="141" borderId="0"/>
    <xf numFmtId="0" fontId="22" fillId="0" borderId="0" applyFill="0" applyProtection="0"/>
    <xf numFmtId="0" fontId="90" fillId="141" borderId="0"/>
    <xf numFmtId="0" fontId="90" fillId="141" borderId="0"/>
    <xf numFmtId="0" fontId="195" fillId="0" borderId="0">
      <alignment vertical="center"/>
    </xf>
    <xf numFmtId="0" fontId="22" fillId="0" borderId="0" applyFill="0" applyProtection="0"/>
    <xf numFmtId="0" fontId="90" fillId="141" borderId="0"/>
    <xf numFmtId="0" fontId="90" fillId="141" borderId="0"/>
    <xf numFmtId="0" fontId="195" fillId="0" borderId="0">
      <alignment vertical="center"/>
    </xf>
    <xf numFmtId="0" fontId="22" fillId="0" borderId="0" applyFill="0" applyProtection="0"/>
    <xf numFmtId="0" fontId="90" fillId="141" borderId="0"/>
    <xf numFmtId="0" fontId="90" fillId="141" borderId="0"/>
    <xf numFmtId="0" fontId="195" fillId="0" borderId="0">
      <alignment vertical="center"/>
    </xf>
    <xf numFmtId="0" fontId="22" fillId="0" borderId="0" applyFill="0" applyProtection="0"/>
    <xf numFmtId="0" fontId="90" fillId="141" borderId="0"/>
    <xf numFmtId="0" fontId="195" fillId="0" borderId="0">
      <alignment vertical="center"/>
    </xf>
    <xf numFmtId="0" fontId="22" fillId="0" borderId="0" applyFill="0" applyProtection="0"/>
    <xf numFmtId="0" fontId="90" fillId="141" borderId="0"/>
    <xf numFmtId="0" fontId="195" fillId="0" borderId="0">
      <alignment vertical="center"/>
    </xf>
    <xf numFmtId="0" fontId="22" fillId="0" borderId="0" applyFill="0" applyProtection="0"/>
    <xf numFmtId="0" fontId="90" fillId="141" borderId="0"/>
    <xf numFmtId="0" fontId="195" fillId="0" borderId="0">
      <alignment vertical="center"/>
    </xf>
    <xf numFmtId="0" fontId="22" fillId="0" borderId="0" applyFill="0" applyProtection="0"/>
    <xf numFmtId="0" fontId="90" fillId="141" borderId="0"/>
    <xf numFmtId="0" fontId="39" fillId="0" borderId="0"/>
    <xf numFmtId="0" fontId="22" fillId="0" borderId="0" applyFill="0" applyProtection="0"/>
    <xf numFmtId="0" fontId="39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61" fontId="4" fillId="0" borderId="0"/>
    <xf numFmtId="261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/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9" fillId="0" borderId="0"/>
    <xf numFmtId="198" fontId="2" fillId="0" borderId="0"/>
    <xf numFmtId="0" fontId="3" fillId="0" borderId="0"/>
    <xf numFmtId="0" fontId="4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90" fillId="141" borderId="0"/>
    <xf numFmtId="0" fontId="39" fillId="0" borderId="0"/>
    <xf numFmtId="0" fontId="22" fillId="0" borderId="0" applyFill="0" applyProtection="0"/>
    <xf numFmtId="0" fontId="90" fillId="141" borderId="0"/>
    <xf numFmtId="0" fontId="39" fillId="0" borderId="0"/>
    <xf numFmtId="0" fontId="22" fillId="0" borderId="0" applyFill="0" applyProtection="0"/>
    <xf numFmtId="0" fontId="90" fillId="141" borderId="0"/>
    <xf numFmtId="0" fontId="90" fillId="141" borderId="0"/>
    <xf numFmtId="0" fontId="39" fillId="0" borderId="0"/>
    <xf numFmtId="0" fontId="22" fillId="0" borderId="0" applyFill="0" applyProtection="0"/>
    <xf numFmtId="0" fontId="90" fillId="141" borderId="0"/>
    <xf numFmtId="0" fontId="39" fillId="0" borderId="0"/>
    <xf numFmtId="0" fontId="22" fillId="0" borderId="0" applyFill="0" applyProtection="0"/>
    <xf numFmtId="0" fontId="90" fillId="141" borderId="0"/>
    <xf numFmtId="0" fontId="90" fillId="141" borderId="0"/>
    <xf numFmtId="0" fontId="39" fillId="0" borderId="0"/>
    <xf numFmtId="0" fontId="22" fillId="0" borderId="0" applyFill="0" applyProtection="0"/>
    <xf numFmtId="0" fontId="90" fillId="141" borderId="0"/>
    <xf numFmtId="0" fontId="39" fillId="0" borderId="0"/>
    <xf numFmtId="0" fontId="22" fillId="0" borderId="0" applyFill="0" applyProtection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90" fillId="141" borderId="0"/>
    <xf numFmtId="0" fontId="39" fillId="0" borderId="0"/>
    <xf numFmtId="0" fontId="22" fillId="0" borderId="0" applyFill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 applyFill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198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2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8" fontId="2" fillId="0" borderId="0"/>
    <xf numFmtId="0" fontId="3" fillId="0" borderId="0"/>
    <xf numFmtId="0" fontId="2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0" fillId="14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 applyFill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63" fontId="3" fillId="0" borderId="0"/>
    <xf numFmtId="263" fontId="3" fillId="0" borderId="0"/>
    <xf numFmtId="263" fontId="3" fillId="0" borderId="0"/>
    <xf numFmtId="263" fontId="3" fillId="0" borderId="0"/>
    <xf numFmtId="263" fontId="3" fillId="0" borderId="0"/>
    <xf numFmtId="263" fontId="3" fillId="0" borderId="0"/>
    <xf numFmtId="263" fontId="3" fillId="0" borderId="0"/>
    <xf numFmtId="263" fontId="3" fillId="0" borderId="0"/>
    <xf numFmtId="263" fontId="3" fillId="0" borderId="0"/>
    <xf numFmtId="263" fontId="3" fillId="0" borderId="0"/>
    <xf numFmtId="263" fontId="3" fillId="0" borderId="0"/>
    <xf numFmtId="263" fontId="3" fillId="0" borderId="0"/>
    <xf numFmtId="0" fontId="196" fillId="53" borderId="0">
      <alignment horizontal="justify" vertical="top" wrapText="1"/>
      <protection locked="0"/>
    </xf>
    <xf numFmtId="0" fontId="59" fillId="0" borderId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4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90" fillId="109" borderId="69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90" fillId="109" borderId="69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90" fillId="109" borderId="69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22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90" fillId="109" borderId="69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22" fillId="142" borderId="68" applyNumberFormat="0" applyFont="0" applyAlignment="0" applyProtection="0"/>
    <xf numFmtId="0" fontId="74" fillId="142" borderId="68" applyNumberFormat="0" applyFont="0" applyAlignment="0" applyProtection="0"/>
    <xf numFmtId="0" fontId="22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22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3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3" borderId="68" applyNumberFormat="0" applyAlignment="0" applyProtection="0"/>
    <xf numFmtId="0" fontId="3" fillId="143" borderId="68" applyNumberFormat="0" applyAlignment="0" applyProtection="0"/>
    <xf numFmtId="0" fontId="3" fillId="143" borderId="68" applyNumberForma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3" borderId="68" applyNumberForma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" fillId="27" borderId="34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2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3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90" fillId="109" borderId="69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22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2" fillId="27" borderId="34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74" fillId="142" borderId="68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" fillId="27" borderId="34" applyNumberFormat="0" applyFon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0" fontId="46" fillId="143" borderId="68" applyNumberFormat="0" applyAlignment="0" applyProtection="0"/>
    <xf numFmtId="4" fontId="197" fillId="0" borderId="0" applyFill="0" applyBorder="0"/>
    <xf numFmtId="169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248" fontId="198" fillId="8" borderId="70" applyProtection="0">
      <alignment horizontal="right" vertical="center"/>
    </xf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7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33" fillId="25" borderId="31" applyNumberFormat="0" applyAlignment="0" applyProtection="0"/>
    <xf numFmtId="0" fontId="199" fillId="115" borderId="71" applyNumberFormat="0" applyAlignment="0" applyProtection="0"/>
    <xf numFmtId="0" fontId="79" fillId="115" borderId="71"/>
    <xf numFmtId="0" fontId="33" fillId="25" borderId="31" applyNumberFormat="0" applyAlignment="0" applyProtection="0"/>
    <xf numFmtId="0" fontId="199" fillId="115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199" fillId="115" borderId="71" applyNumberFormat="0" applyAlignment="0" applyProtection="0"/>
    <xf numFmtId="0" fontId="33" fillId="25" borderId="31" applyNumberFormat="0" applyAlignment="0" applyProtection="0"/>
    <xf numFmtId="0" fontId="79" fillId="118" borderId="71" applyNumberFormat="0" applyAlignment="0" applyProtection="0"/>
    <xf numFmtId="0" fontId="79" fillId="115" borderId="71"/>
    <xf numFmtId="0" fontId="79" fillId="115" borderId="71"/>
    <xf numFmtId="0" fontId="79" fillId="115" borderId="71"/>
    <xf numFmtId="0" fontId="199" fillId="115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33" fillId="25" borderId="31" applyNumberFormat="0" applyAlignment="0" applyProtection="0"/>
    <xf numFmtId="0" fontId="79" fillId="118" borderId="71" applyNumberFormat="0" applyAlignment="0" applyProtection="0"/>
    <xf numFmtId="0" fontId="33" fillId="25" borderId="3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33" fillId="25" borderId="31" applyNumberFormat="0" applyAlignment="0" applyProtection="0"/>
    <xf numFmtId="0" fontId="79" fillId="118" borderId="71" applyNumberFormat="0" applyAlignment="0" applyProtection="0"/>
    <xf numFmtId="0" fontId="33" fillId="25" borderId="3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8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79" fillId="118" borderId="7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0" fontId="79" fillId="117" borderId="71" applyNumberFormat="0" applyAlignment="0" applyProtection="0"/>
    <xf numFmtId="0" fontId="33" fillId="25" borderId="31" applyNumberFormat="0" applyAlignment="0" applyProtection="0"/>
    <xf numFmtId="0" fontId="33" fillId="25" borderId="31" applyNumberFormat="0" applyAlignment="0" applyProtection="0"/>
    <xf numFmtId="4" fontId="37" fillId="53" borderId="0">
      <alignment horizontal="right"/>
    </xf>
    <xf numFmtId="0" fontId="200" fillId="53" borderId="0">
      <alignment horizontal="center" vertical="center"/>
    </xf>
    <xf numFmtId="246" fontId="198" fillId="8" borderId="70" applyProtection="0">
      <alignment horizontal="right" vertical="center"/>
    </xf>
    <xf numFmtId="0" fontId="201" fillId="53" borderId="36"/>
    <xf numFmtId="0" fontId="200" fillId="53" borderId="0" applyBorder="0">
      <alignment horizontal="centerContinuous"/>
    </xf>
    <xf numFmtId="0" fontId="202" fillId="53" borderId="0" applyBorder="0">
      <alignment horizontal="centerContinuous"/>
    </xf>
    <xf numFmtId="251" fontId="198" fillId="8" borderId="70" applyProtection="0">
      <alignment horizontal="right" vertical="center"/>
    </xf>
    <xf numFmtId="0" fontId="52" fillId="144" borderId="0"/>
    <xf numFmtId="0" fontId="203" fillId="0" borderId="0"/>
    <xf numFmtId="1" fontId="204" fillId="0" borderId="0" applyProtection="0">
      <alignment horizontal="right" vertical="center"/>
    </xf>
    <xf numFmtId="0" fontId="90" fillId="0" borderId="13">
      <alignment horizontal="left"/>
    </xf>
    <xf numFmtId="0" fontId="12" fillId="0" borderId="0">
      <alignment horizontal="right" vertical="top" wrapText="1"/>
      <protection locked="0"/>
    </xf>
    <xf numFmtId="1" fontId="205" fillId="0" borderId="0" applyNumberFormat="0"/>
    <xf numFmtId="14" fontId="78" fillId="0" borderId="0">
      <alignment horizontal="center" wrapText="1"/>
      <protection locked="0"/>
    </xf>
    <xf numFmtId="14" fontId="78" fillId="0" borderId="0">
      <alignment horizontal="center" wrapText="1"/>
      <protection locked="0"/>
    </xf>
    <xf numFmtId="14" fontId="78" fillId="0" borderId="0">
      <alignment horizontal="center" wrapText="1"/>
      <protection locked="0"/>
    </xf>
    <xf numFmtId="14" fontId="78" fillId="0" borderId="0">
      <alignment horizontal="center" wrapText="1"/>
      <protection locked="0"/>
    </xf>
    <xf numFmtId="14" fontId="78" fillId="0" borderId="0">
      <alignment horizontal="center" wrapText="1"/>
      <protection locked="0"/>
    </xf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64" fontId="3" fillId="0" borderId="0" applyFont="0" applyFill="0" applyBorder="0" applyAlignment="0" applyProtection="0"/>
    <xf numFmtId="204" fontId="89" fillId="0" borderId="0" applyFont="0" applyFill="0" applyBorder="0" applyAlignment="0" applyProtection="0"/>
    <xf numFmtId="265" fontId="3" fillId="0" borderId="0" applyFont="0" applyFill="0" applyBorder="0" applyAlignment="0" applyProtection="0"/>
    <xf numFmtId="266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2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2" fillId="0" borderId="0"/>
    <xf numFmtId="9" fontId="22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0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35" fontId="207" fillId="0" borderId="0"/>
    <xf numFmtId="9" fontId="46" fillId="0" borderId="1" applyNumberFormat="0" applyBorder="0"/>
    <xf numFmtId="37" fontId="208" fillId="0" borderId="0" applyNumberFormat="0" applyFill="0" applyBorder="0" applyAlignment="0" applyProtection="0"/>
    <xf numFmtId="37" fontId="208" fillId="0" borderId="0" applyNumberFormat="0" applyFill="0" applyBorder="0" applyAlignment="0" applyProtection="0"/>
    <xf numFmtId="0" fontId="209" fillId="0" borderId="0" applyNumberFormat="0" applyFill="0" applyBorder="0" applyProtection="0">
      <alignment horizontal="left"/>
    </xf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Protection="0">
      <alignment horizontal="left"/>
    </xf>
    <xf numFmtId="0" fontId="209" fillId="0" borderId="0" applyNumberFormat="0" applyFill="0" applyBorder="0" applyAlignment="0" applyProtection="0"/>
    <xf numFmtId="0" fontId="210" fillId="0" borderId="64" applyBorder="0"/>
    <xf numFmtId="0" fontId="211" fillId="0" borderId="0"/>
    <xf numFmtId="0" fontId="212" fillId="0" borderId="0" applyNumberFormat="0"/>
    <xf numFmtId="205" fontId="89" fillId="0" borderId="0" applyFill="0" applyBorder="0" applyAlignment="0"/>
    <xf numFmtId="201" fontId="89" fillId="0" borderId="0" applyFill="0" applyBorder="0" applyAlignment="0"/>
    <xf numFmtId="205" fontId="89" fillId="0" borderId="0" applyFill="0" applyBorder="0" applyAlignment="0"/>
    <xf numFmtId="206" fontId="89" fillId="0" borderId="0" applyFill="0" applyBorder="0" applyAlignment="0"/>
    <xf numFmtId="0" fontId="3" fillId="0" borderId="0" applyFill="0" applyBorder="0" applyAlignment="0"/>
    <xf numFmtId="201" fontId="89" fillId="0" borderId="0" applyFill="0" applyBorder="0" applyAlignment="0"/>
    <xf numFmtId="170" fontId="213" fillId="0" borderId="0"/>
    <xf numFmtId="170" fontId="213" fillId="0" borderId="0"/>
    <xf numFmtId="170" fontId="213" fillId="0" borderId="0"/>
    <xf numFmtId="267" fontId="213" fillId="0" borderId="0"/>
    <xf numFmtId="0" fontId="214" fillId="0" borderId="0"/>
    <xf numFmtId="9" fontId="3" fillId="0" borderId="0" applyFont="0" applyFill="0" applyBorder="0" applyAlignment="0" applyProtection="0"/>
    <xf numFmtId="0" fontId="46" fillId="0" borderId="0" applyNumberFormat="0" applyFont="0" applyFill="0" applyBorder="0" applyAlignment="0" applyProtection="0">
      <alignment horizontal="left"/>
    </xf>
    <xf numFmtId="0" fontId="46" fillId="0" borderId="0" applyNumberFormat="0" applyFont="0" applyFill="0" applyBorder="0" applyAlignment="0" applyProtection="0">
      <alignment horizontal="left"/>
    </xf>
    <xf numFmtId="0" fontId="46" fillId="0" borderId="0" applyNumberFormat="0" applyFont="0" applyFill="0" applyBorder="0" applyAlignment="0" applyProtection="0">
      <alignment horizontal="left"/>
    </xf>
    <xf numFmtId="0" fontId="46" fillId="0" borderId="0" applyNumberFormat="0" applyFont="0" applyFill="0" applyBorder="0" applyAlignment="0" applyProtection="0">
      <alignment horizontal="left"/>
    </xf>
    <xf numFmtId="0" fontId="46" fillId="0" borderId="0" applyNumberFormat="0" applyFont="0" applyFill="0" applyBorder="0" applyAlignment="0" applyProtection="0">
      <alignment horizontal="left"/>
    </xf>
    <xf numFmtId="0" fontId="46" fillId="0" borderId="0" applyNumberFormat="0" applyFont="0" applyFill="0" applyBorder="0" applyAlignment="0" applyProtection="0">
      <alignment horizontal="left"/>
    </xf>
    <xf numFmtId="15" fontId="46" fillId="0" borderId="0" applyFont="0" applyFill="0" applyBorder="0" applyAlignment="0" applyProtection="0"/>
    <xf numFmtId="0" fontId="215" fillId="0" borderId="64">
      <alignment horizontal="center"/>
    </xf>
    <xf numFmtId="0" fontId="215" fillId="0" borderId="64">
      <alignment horizontal="center"/>
    </xf>
    <xf numFmtId="167" fontId="216" fillId="145" borderId="0"/>
    <xf numFmtId="1" fontId="3" fillId="0" borderId="66" applyNumberFormat="0" applyFill="0" applyAlignment="0" applyProtection="0">
      <alignment horizontal="center" vertical="center"/>
    </xf>
    <xf numFmtId="1" fontId="3" fillId="0" borderId="66" applyNumberFormat="0" applyFill="0" applyAlignment="0" applyProtection="0">
      <alignment horizontal="center" vertical="center"/>
    </xf>
    <xf numFmtId="10" fontId="217" fillId="0" borderId="0">
      <alignment horizontal="center"/>
    </xf>
    <xf numFmtId="0" fontId="218" fillId="146" borderId="0" applyNumberFormat="0" applyFont="0" applyBorder="0" applyAlignment="0">
      <alignment horizontal="center"/>
    </xf>
    <xf numFmtId="0" fontId="218" fillId="146" borderId="0" applyNumberFormat="0" applyFont="0" applyBorder="0" applyAlignment="0">
      <alignment horizontal="center"/>
    </xf>
    <xf numFmtId="0" fontId="218" fillId="146" borderId="0" applyNumberFormat="0" applyFont="0" applyBorder="0" applyAlignment="0">
      <alignment horizontal="center"/>
    </xf>
    <xf numFmtId="0" fontId="218" fillId="146" borderId="0" applyNumberFormat="0" applyFont="0" applyBorder="0" applyAlignment="0">
      <alignment horizontal="center"/>
    </xf>
    <xf numFmtId="0" fontId="218" fillId="146" borderId="0" applyNumberFormat="0" applyFont="0" applyBorder="0" applyAlignment="0">
      <alignment horizontal="center"/>
    </xf>
    <xf numFmtId="178" fontId="3" fillId="0" borderId="0" applyFont="0" applyFill="0" applyBorder="0" applyAlignment="0" applyProtection="0"/>
    <xf numFmtId="0" fontId="118" fillId="0" borderId="0"/>
    <xf numFmtId="0" fontId="89" fillId="0" borderId="0"/>
    <xf numFmtId="0" fontId="120" fillId="124" borderId="0"/>
    <xf numFmtId="0" fontId="219" fillId="0" borderId="0" applyNumberFormat="0" applyFill="0" applyBorder="0" applyAlignment="0" applyProtection="0"/>
    <xf numFmtId="0" fontId="219" fillId="0" borderId="0" applyNumberFormat="0" applyFill="0" applyBorder="0" applyAlignment="0" applyProtection="0"/>
    <xf numFmtId="0" fontId="220" fillId="0" borderId="0"/>
    <xf numFmtId="0" fontId="221" fillId="0" borderId="0" applyNumberFormat="0" applyFill="0" applyBorder="0" applyAlignment="0" applyProtection="0"/>
    <xf numFmtId="0" fontId="222" fillId="0" borderId="0"/>
    <xf numFmtId="0" fontId="219" fillId="0" borderId="0" applyNumberFormat="0" applyFill="0" applyBorder="0" applyAlignment="0" applyProtection="0"/>
    <xf numFmtId="0" fontId="223" fillId="0" borderId="0"/>
    <xf numFmtId="0" fontId="221" fillId="0" borderId="0" applyNumberFormat="0" applyFill="0" applyBorder="0" applyAlignment="0" applyProtection="0"/>
    <xf numFmtId="0" fontId="222" fillId="0" borderId="0"/>
    <xf numFmtId="0" fontId="224" fillId="0" borderId="0" applyNumberFormat="0" applyFill="0" applyBorder="0" applyAlignment="0" applyProtection="0"/>
    <xf numFmtId="0" fontId="222" fillId="0" borderId="0"/>
    <xf numFmtId="0" fontId="220" fillId="0" borderId="0"/>
    <xf numFmtId="0" fontId="225" fillId="0" borderId="0"/>
    <xf numFmtId="0" fontId="224" fillId="0" borderId="0" applyNumberFormat="0" applyFill="0" applyBorder="0" applyAlignment="0" applyProtection="0"/>
    <xf numFmtId="0" fontId="225" fillId="0" borderId="0"/>
    <xf numFmtId="0" fontId="224" fillId="0" borderId="0" applyNumberFormat="0" applyFill="0" applyBorder="0" applyAlignment="0" applyProtection="0"/>
    <xf numFmtId="0" fontId="219" fillId="0" borderId="0" applyNumberFormat="0" applyFill="0" applyBorder="0" applyAlignment="0" applyProtection="0"/>
    <xf numFmtId="268" fontId="225" fillId="0" borderId="0"/>
    <xf numFmtId="268" fontId="220" fillId="0" borderId="0"/>
    <xf numFmtId="268" fontId="220" fillId="0" borderId="0"/>
    <xf numFmtId="268" fontId="225" fillId="0" borderId="0"/>
    <xf numFmtId="268" fontId="225" fillId="0" borderId="0"/>
    <xf numFmtId="268" fontId="225" fillId="0" borderId="0"/>
    <xf numFmtId="37" fontId="12" fillId="1" borderId="67"/>
    <xf numFmtId="269" fontId="207" fillId="0" borderId="0" applyNumberForma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166" fontId="3" fillId="0" borderId="0"/>
    <xf numFmtId="10" fontId="134" fillId="0" borderId="72">
      <alignment horizontal="right"/>
    </xf>
    <xf numFmtId="0" fontId="226" fillId="0" borderId="0" applyNumberFormat="0" applyFill="0" applyBorder="0" applyAlignment="0" applyProtection="0"/>
    <xf numFmtId="4" fontId="227" fillId="0" borderId="0">
      <alignment horizontal="center" vertical="top"/>
    </xf>
    <xf numFmtId="0" fontId="75" fillId="0" borderId="0">
      <alignment horizontal="left" vertical="top"/>
    </xf>
    <xf numFmtId="4" fontId="228" fillId="0" borderId="0">
      <alignment horizontal="center" vertical="top"/>
    </xf>
    <xf numFmtId="0" fontId="229" fillId="0" borderId="0">
      <alignment horizontal="center" vertical="top"/>
    </xf>
    <xf numFmtId="4" fontId="230" fillId="0" borderId="0">
      <alignment horizontal="center" vertical="top"/>
    </xf>
    <xf numFmtId="0" fontId="231" fillId="0" borderId="0">
      <alignment horizontal="left" vertical="top"/>
    </xf>
    <xf numFmtId="4" fontId="232" fillId="0" borderId="0">
      <alignment horizontal="left" vertical="top"/>
    </xf>
    <xf numFmtId="4" fontId="233" fillId="0" borderId="0">
      <alignment horizontal="left" vertical="top"/>
    </xf>
    <xf numFmtId="0" fontId="231" fillId="0" borderId="0">
      <alignment horizontal="right" vertical="top"/>
    </xf>
    <xf numFmtId="4" fontId="230" fillId="0" borderId="0">
      <alignment horizontal="left" vertical="top"/>
    </xf>
    <xf numFmtId="0" fontId="75" fillId="0" borderId="0">
      <alignment horizontal="center" vertical="top"/>
    </xf>
    <xf numFmtId="4" fontId="230" fillId="0" borderId="0">
      <alignment horizontal="right" vertical="top"/>
    </xf>
    <xf numFmtId="0" fontId="75" fillId="0" borderId="0">
      <alignment horizontal="right" vertical="top"/>
    </xf>
    <xf numFmtId="4" fontId="234" fillId="0" borderId="0">
      <alignment horizontal="right" vertical="top"/>
    </xf>
    <xf numFmtId="0" fontId="235" fillId="0" borderId="0">
      <alignment horizontal="left" vertical="top"/>
    </xf>
    <xf numFmtId="0" fontId="235" fillId="0" borderId="0">
      <alignment horizontal="right" vertical="top"/>
    </xf>
    <xf numFmtId="4" fontId="236" fillId="0" borderId="0">
      <alignment horizontal="center" vertical="top"/>
    </xf>
    <xf numFmtId="0" fontId="237" fillId="0" borderId="0">
      <alignment horizontal="center" vertical="top"/>
    </xf>
    <xf numFmtId="4" fontId="238" fillId="0" borderId="0">
      <alignment horizontal="right" vertical="top"/>
    </xf>
    <xf numFmtId="0" fontId="239" fillId="0" borderId="0">
      <alignment horizontal="center" vertical="top"/>
    </xf>
    <xf numFmtId="4" fontId="240" fillId="0" borderId="0">
      <alignment horizontal="center" vertical="top"/>
    </xf>
    <xf numFmtId="0" fontId="241" fillId="0" borderId="0">
      <alignment horizontal="right" vertical="top"/>
    </xf>
    <xf numFmtId="4" fontId="242" fillId="0" borderId="0">
      <alignment horizontal="left" vertical="top"/>
    </xf>
    <xf numFmtId="0" fontId="243" fillId="0" borderId="0">
      <alignment horizontal="left" vertical="top"/>
    </xf>
    <xf numFmtId="4" fontId="244" fillId="0" borderId="0">
      <alignment horizontal="left" vertical="top"/>
    </xf>
    <xf numFmtId="0" fontId="241" fillId="0" borderId="0">
      <alignment horizontal="center" vertical="top"/>
    </xf>
    <xf numFmtId="4" fontId="238" fillId="0" borderId="0">
      <alignment horizontal="left" vertical="top"/>
    </xf>
    <xf numFmtId="0" fontId="243" fillId="0" borderId="0">
      <alignment horizontal="right" vertical="top"/>
    </xf>
    <xf numFmtId="4" fontId="238" fillId="0" borderId="0">
      <alignment horizontal="right" vertical="top"/>
    </xf>
    <xf numFmtId="0" fontId="245" fillId="0" borderId="0">
      <alignment horizontal="left" vertical="top"/>
    </xf>
    <xf numFmtId="4" fontId="234" fillId="0" borderId="0">
      <alignment horizontal="right" vertical="top"/>
    </xf>
    <xf numFmtId="0" fontId="245" fillId="0" borderId="0">
      <alignment horizontal="right" vertical="top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90" fillId="138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7" fillId="123" borderId="73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246" fillId="123" borderId="69" applyNumberFormat="0" applyProtection="0">
      <alignment vertical="center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4" fontId="90" fillId="123" borderId="69" applyNumberFormat="0" applyProtection="0">
      <alignment horizontal="left" vertical="center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0" fontId="245" fillId="138" borderId="73" applyNumberFormat="0" applyProtection="0">
      <alignment horizontal="left" vertical="top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58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137" borderId="69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97" borderId="74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77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86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1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03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147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74" borderId="69" applyNumberFormat="0" applyProtection="0">
      <alignment horizontal="right" vertical="center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90" fillId="148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3" fillId="149" borderId="74" applyNumberFormat="0" applyProtection="0">
      <alignment horizontal="left" vertical="center" indent="1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0" borderId="69" applyNumberFormat="0" applyProtection="0">
      <alignment horizontal="right" vertical="center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1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4" fontId="90" fillId="150" borderId="74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18" borderId="69" applyNumberFormat="0" applyProtection="0">
      <alignment horizontal="left" vertical="center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49" borderId="73" applyNumberFormat="0" applyProtection="0">
      <alignment horizontal="left" vertical="top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30" borderId="69" applyNumberFormat="0" applyProtection="0">
      <alignment horizontal="left" vertical="center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150" borderId="73" applyNumberFormat="0" applyProtection="0">
      <alignment horizontal="left" vertical="top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69" applyNumberFormat="0" applyProtection="0">
      <alignment horizontal="left" vertical="center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69" borderId="73" applyNumberFormat="0" applyProtection="0">
      <alignment horizontal="left" vertical="top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69" applyNumberFormat="0" applyProtection="0">
      <alignment horizontal="left" vertical="center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51" borderId="73" applyNumberFormat="0" applyProtection="0">
      <alignment horizontal="left" vertical="top" indent="1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90" fillId="124" borderId="75" applyNumberFormat="0">
      <protection locked="0"/>
    </xf>
    <xf numFmtId="0" fontId="101" fillId="149" borderId="76" applyBorder="0"/>
    <xf numFmtId="0" fontId="101" fillId="149" borderId="76" applyBorder="0"/>
    <xf numFmtId="0" fontId="101" fillId="149" borderId="76" applyBorder="0"/>
    <xf numFmtId="0" fontId="101" fillId="149" borderId="76" applyBorder="0"/>
    <xf numFmtId="0" fontId="101" fillId="149" borderId="76" applyBorder="0"/>
    <xf numFmtId="0" fontId="101" fillId="149" borderId="76" applyBorder="0"/>
    <xf numFmtId="0" fontId="101" fillId="149" borderId="76" applyBorder="0"/>
    <xf numFmtId="0" fontId="101" fillId="149" borderId="76" applyBorder="0"/>
    <xf numFmtId="0" fontId="101" fillId="149" borderId="76" applyBorder="0"/>
    <xf numFmtId="0" fontId="101" fillId="149" borderId="76" applyBorder="0"/>
    <xf numFmtId="0" fontId="101" fillId="149" borderId="76" applyBorder="0"/>
    <xf numFmtId="0" fontId="101" fillId="149" borderId="76" applyBorder="0"/>
    <xf numFmtId="0" fontId="101" fillId="149" borderId="76" applyBorder="0"/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48" fillId="116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31" fillId="142" borderId="7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9" fillId="116" borderId="7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46" fillId="134" borderId="13" applyNumberFormat="0" applyProtection="0">
      <alignment vertical="center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50" fillId="152" borderId="77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4" fontId="231" fillId="118" borderId="73" applyNumberFormat="0" applyProtection="0">
      <alignment horizontal="left" vertical="center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0" fontId="231" fillId="142" borderId="73" applyNumberFormat="0" applyProtection="0">
      <alignment horizontal="left" vertical="top" indent="1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90" fillId="0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9" fillId="116" borderId="73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246" fillId="53" borderId="69" applyNumberFormat="0" applyProtection="0">
      <alignment horizontal="right" vertical="center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4" fontId="90" fillId="84" borderId="69" applyNumberFormat="0" applyProtection="0">
      <alignment horizontal="left" vertical="center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0" fontId="231" fillId="150" borderId="73" applyNumberFormat="0" applyProtection="0">
      <alignment horizontal="left" vertical="top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2" fillId="153" borderId="77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4" fontId="251" fillId="135" borderId="74" applyNumberFormat="0" applyProtection="0">
      <alignment horizontal="left" vertical="center" indent="1"/>
    </xf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0" fontId="90" fillId="154" borderId="13"/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4" fillId="116" borderId="73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4" fontId="253" fillId="124" borderId="69" applyNumberFormat="0" applyProtection="0">
      <alignment horizontal="right" vertical="center"/>
    </xf>
    <xf numFmtId="0" fontId="255" fillId="0" borderId="78"/>
    <xf numFmtId="0" fontId="255" fillId="0" borderId="78"/>
    <xf numFmtId="0" fontId="255" fillId="0" borderId="78"/>
    <xf numFmtId="0" fontId="255" fillId="0" borderId="78"/>
    <xf numFmtId="0" fontId="255" fillId="0" borderId="78"/>
    <xf numFmtId="0" fontId="51" fillId="0" borderId="0"/>
    <xf numFmtId="0" fontId="81" fillId="57" borderId="0" applyNumberFormat="0" applyBorder="0" applyAlignment="0" applyProtection="0"/>
    <xf numFmtId="0" fontId="256" fillId="155" borderId="48" applyBorder="0">
      <alignment horizontal="centerContinuous"/>
    </xf>
    <xf numFmtId="0" fontId="256" fillId="155" borderId="48" applyBorder="0">
      <alignment horizontal="centerContinuous"/>
    </xf>
    <xf numFmtId="0" fontId="256" fillId="155" borderId="48" applyBorder="0">
      <alignment horizontal="centerContinuous"/>
    </xf>
    <xf numFmtId="0" fontId="257" fillId="0" borderId="0">
      <alignment horizontal="right" vertical="top" wrapText="1"/>
    </xf>
    <xf numFmtId="37" fontId="258" fillId="1" borderId="67"/>
    <xf numFmtId="0" fontId="218" fillId="1" borderId="14" applyNumberFormat="0" applyFont="0" applyAlignment="0">
      <alignment horizontal="center"/>
    </xf>
    <xf numFmtId="0" fontId="218" fillId="1" borderId="14" applyNumberFormat="0" applyFont="0" applyAlignment="0">
      <alignment horizontal="center"/>
    </xf>
    <xf numFmtId="0" fontId="218" fillId="1" borderId="14" applyNumberFormat="0" applyFont="0" applyAlignment="0">
      <alignment horizontal="center"/>
    </xf>
    <xf numFmtId="0" fontId="218" fillId="1" borderId="14" applyNumberFormat="0" applyFont="0" applyAlignment="0">
      <alignment horizontal="center"/>
    </xf>
    <xf numFmtId="0" fontId="218" fillId="1" borderId="14" applyNumberFormat="0" applyFont="0" applyAlignment="0">
      <alignment horizontal="center"/>
    </xf>
    <xf numFmtId="0" fontId="218" fillId="1" borderId="14" applyNumberFormat="0" applyFont="0" applyAlignment="0">
      <alignment horizontal="center"/>
    </xf>
    <xf numFmtId="0" fontId="259" fillId="0" borderId="0" applyNumberFormat="0" applyFill="0" applyBorder="0" applyAlignment="0" applyProtection="0"/>
    <xf numFmtId="0" fontId="260" fillId="0" borderId="0" applyNumberFormat="0" applyFill="0" applyBorder="0" applyAlignment="0">
      <alignment horizontal="center"/>
    </xf>
    <xf numFmtId="0" fontId="260" fillId="0" borderId="0" applyNumberFormat="0" applyFill="0" applyBorder="0" applyAlignment="0">
      <alignment horizontal="center"/>
    </xf>
    <xf numFmtId="0" fontId="260" fillId="0" borderId="0" applyNumberFormat="0" applyFill="0" applyBorder="0" applyAlignment="0">
      <alignment horizontal="center"/>
    </xf>
    <xf numFmtId="0" fontId="260" fillId="0" borderId="0" applyNumberFormat="0" applyFill="0" applyBorder="0" applyAlignment="0">
      <alignment horizontal="center"/>
    </xf>
    <xf numFmtId="0" fontId="260" fillId="0" borderId="0" applyNumberFormat="0" applyFill="0" applyBorder="0" applyAlignment="0">
      <alignment horizontal="center"/>
    </xf>
    <xf numFmtId="0" fontId="46" fillId="0" borderId="0"/>
    <xf numFmtId="0" fontId="3" fillId="156" borderId="0"/>
    <xf numFmtId="0" fontId="44" fillId="0" borderId="0"/>
    <xf numFmtId="0" fontId="46" fillId="0" borderId="0"/>
    <xf numFmtId="0" fontId="46" fillId="0" borderId="0"/>
    <xf numFmtId="0" fontId="46" fillId="0" borderId="0"/>
    <xf numFmtId="0" fontId="37" fillId="0" borderId="0">
      <alignment vertical="top"/>
    </xf>
    <xf numFmtId="0" fontId="3" fillId="0" borderId="0"/>
    <xf numFmtId="0" fontId="3" fillId="0" borderId="0"/>
    <xf numFmtId="37" fontId="50" fillId="124" borderId="0"/>
    <xf numFmtId="0" fontId="37" fillId="0" borderId="0" applyNumberFormat="0" applyBorder="0" applyAlignment="0"/>
    <xf numFmtId="37" fontId="50" fillId="124" borderId="0"/>
    <xf numFmtId="37" fontId="50" fillId="124" borderId="0"/>
    <xf numFmtId="37" fontId="50" fillId="124" borderId="0"/>
    <xf numFmtId="37" fontId="50" fillId="124" borderId="0"/>
    <xf numFmtId="37" fontId="50" fillId="124" borderId="0"/>
    <xf numFmtId="37" fontId="50" fillId="124" borderId="0"/>
    <xf numFmtId="37" fontId="50" fillId="124" borderId="0"/>
    <xf numFmtId="0" fontId="261" fillId="157" borderId="0"/>
    <xf numFmtId="0" fontId="261" fillId="157" borderId="0"/>
    <xf numFmtId="0" fontId="261" fillId="157" borderId="0"/>
    <xf numFmtId="0" fontId="261" fillId="157" borderId="0"/>
    <xf numFmtId="0" fontId="261" fillId="157" borderId="0"/>
    <xf numFmtId="0" fontId="261" fillId="157" borderId="0"/>
    <xf numFmtId="0" fontId="261" fillId="157" borderId="0"/>
    <xf numFmtId="0" fontId="261" fillId="157" borderId="0"/>
    <xf numFmtId="0" fontId="182" fillId="0" borderId="0"/>
    <xf numFmtId="207" fontId="262" fillId="155" borderId="13">
      <alignment horizontal="left"/>
    </xf>
    <xf numFmtId="0" fontId="263" fillId="134" borderId="0">
      <alignment wrapText="1"/>
    </xf>
    <xf numFmtId="0" fontId="264" fillId="0" borderId="79"/>
    <xf numFmtId="0" fontId="264" fillId="0" borderId="79"/>
    <xf numFmtId="0" fontId="264" fillId="0" borderId="79"/>
    <xf numFmtId="0" fontId="264" fillId="0" borderId="79"/>
    <xf numFmtId="0" fontId="264" fillId="0" borderId="79"/>
    <xf numFmtId="40" fontId="265" fillId="0" borderId="0" applyBorder="0">
      <alignment horizontal="right"/>
    </xf>
    <xf numFmtId="0" fontId="51" fillId="0" borderId="0"/>
    <xf numFmtId="3" fontId="3" fillId="0" borderId="0">
      <alignment horizontal="justify" vertical="justify" wrapText="1"/>
    </xf>
    <xf numFmtId="270" fontId="74" fillId="0" borderId="0"/>
    <xf numFmtId="179" fontId="266" fillId="0" borderId="80">
      <protection locked="0"/>
    </xf>
    <xf numFmtId="271" fontId="266" fillId="0" borderId="80">
      <protection locked="0"/>
    </xf>
    <xf numFmtId="179" fontId="266" fillId="0" borderId="80">
      <protection locked="0"/>
    </xf>
    <xf numFmtId="179" fontId="266" fillId="0" borderId="80">
      <protection locked="0"/>
    </xf>
    <xf numFmtId="271" fontId="266" fillId="0" borderId="80">
      <protection locked="0"/>
    </xf>
    <xf numFmtId="179" fontId="266" fillId="0" borderId="80">
      <protection locked="0"/>
    </xf>
    <xf numFmtId="271" fontId="266" fillId="0" borderId="80">
      <protection locked="0"/>
    </xf>
    <xf numFmtId="3" fontId="3" fillId="0" borderId="13" applyNumberFormat="0" applyFont="0" applyFill="0" applyAlignment="0" applyProtection="0">
      <alignment vertical="center"/>
    </xf>
    <xf numFmtId="0" fontId="118" fillId="0" borderId="74"/>
    <xf numFmtId="0" fontId="118" fillId="0" borderId="74"/>
    <xf numFmtId="0" fontId="118" fillId="0" borderId="74"/>
    <xf numFmtId="0" fontId="118" fillId="0" borderId="74"/>
    <xf numFmtId="0" fontId="89" fillId="0" borderId="74"/>
    <xf numFmtId="0" fontId="89" fillId="0" borderId="74"/>
    <xf numFmtId="0" fontId="89" fillId="0" borderId="74"/>
    <xf numFmtId="0" fontId="89" fillId="0" borderId="74"/>
    <xf numFmtId="0" fontId="267" fillId="0" borderId="0" applyBorder="0" applyProtection="0">
      <alignment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236" fontId="3" fillId="0" borderId="81" applyBorder="0" applyProtection="0">
      <alignment horizontal="right" vertical="center"/>
    </xf>
    <xf numFmtId="0" fontId="268" fillId="158" borderId="0" applyBorder="0" applyProtection="0">
      <alignment horizontal="centerContinuous" vertical="center"/>
    </xf>
    <xf numFmtId="0" fontId="268" fillId="159" borderId="81" applyBorder="0" applyProtection="0">
      <alignment horizontal="centerContinuous" vertical="center"/>
    </xf>
    <xf numFmtId="0" fontId="268" fillId="159" borderId="81" applyBorder="0" applyProtection="0">
      <alignment horizontal="centerContinuous" vertical="center"/>
    </xf>
    <xf numFmtId="0" fontId="268" fillId="159" borderId="81" applyBorder="0" applyProtection="0">
      <alignment horizontal="centerContinuous" vertical="center"/>
    </xf>
    <xf numFmtId="0" fontId="268" fillId="159" borderId="81" applyBorder="0" applyProtection="0">
      <alignment horizontal="centerContinuous" vertical="center"/>
    </xf>
    <xf numFmtId="0" fontId="268" fillId="159" borderId="81" applyBorder="0" applyProtection="0">
      <alignment horizontal="centerContinuous" vertical="center"/>
    </xf>
    <xf numFmtId="0" fontId="268" fillId="159" borderId="81" applyBorder="0" applyProtection="0">
      <alignment horizontal="centerContinuous" vertical="center"/>
    </xf>
    <xf numFmtId="0" fontId="269" fillId="0" borderId="0" applyFill="0" applyBorder="0" applyProtection="0">
      <alignment horizontal="left"/>
    </xf>
    <xf numFmtId="0" fontId="133" fillId="0" borderId="26" applyFill="0" applyBorder="0" applyProtection="0">
      <alignment horizontal="left" vertical="top"/>
    </xf>
    <xf numFmtId="0" fontId="133" fillId="0" borderId="26" applyFill="0" applyBorder="0" applyProtection="0">
      <alignment horizontal="left" vertical="top"/>
    </xf>
    <xf numFmtId="15" fontId="74" fillId="0" borderId="13" applyBorder="0">
      <alignment horizontal="center"/>
    </xf>
    <xf numFmtId="15" fontId="74" fillId="0" borderId="13" applyBorder="0">
      <alignment horizontal="center"/>
    </xf>
    <xf numFmtId="15" fontId="74" fillId="0" borderId="13" applyBorder="0">
      <alignment horizontal="center"/>
    </xf>
    <xf numFmtId="15" fontId="74" fillId="0" borderId="13" applyBorder="0">
      <alignment horizontal="center"/>
    </xf>
    <xf numFmtId="15" fontId="74" fillId="0" borderId="13" applyBorder="0">
      <alignment horizontal="center"/>
    </xf>
    <xf numFmtId="15" fontId="74" fillId="0" borderId="13" applyBorder="0">
      <alignment horizontal="center"/>
    </xf>
    <xf numFmtId="15" fontId="74" fillId="0" borderId="13" applyBorder="0">
      <alignment horizontal="center"/>
    </xf>
    <xf numFmtId="0" fontId="90" fillId="0" borderId="0">
      <alignment horizontal="justify" vertical="justify"/>
    </xf>
    <xf numFmtId="49" fontId="3" fillId="0" borderId="0"/>
    <xf numFmtId="49" fontId="37" fillId="0" borderId="0" applyFill="0" applyBorder="0" applyAlignment="0"/>
    <xf numFmtId="49" fontId="37" fillId="0" borderId="0" applyFill="0" applyBorder="0" applyAlignment="0"/>
    <xf numFmtId="272" fontId="89" fillId="0" borderId="0" applyFill="0" applyBorder="0" applyAlignment="0"/>
    <xf numFmtId="0" fontId="3" fillId="0" borderId="0" applyFill="0" applyBorder="0" applyAlignment="0"/>
    <xf numFmtId="264" fontId="89" fillId="0" borderId="0" applyFill="0" applyBorder="0" applyAlignment="0"/>
    <xf numFmtId="0" fontId="231" fillId="0" borderId="0" applyAlignment="0"/>
    <xf numFmtId="0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0" fontId="46" fillId="0" borderId="0" applyNumberFormat="0" applyFont="0" applyProtection="0"/>
    <xf numFmtId="0" fontId="270" fillId="0" borderId="0" applyFill="0" applyBorder="0" applyProtection="0">
      <alignment horizontal="left" vertical="top"/>
    </xf>
    <xf numFmtId="40" fontId="271" fillId="0" borderId="0"/>
    <xf numFmtId="0" fontId="50" fillId="0" borderId="66" applyNumberFormat="0" applyFill="0" applyAlignment="0"/>
    <xf numFmtId="0" fontId="272" fillId="160" borderId="0"/>
    <xf numFmtId="0" fontId="273" fillId="137" borderId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6" fillId="0" borderId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7" fillId="0" borderId="0"/>
    <xf numFmtId="0" fontId="276" fillId="0" borderId="0"/>
    <xf numFmtId="0" fontId="277" fillId="0" borderId="0"/>
    <xf numFmtId="0" fontId="274" fillId="0" borderId="0" applyNumberFormat="0" applyFill="0" applyBorder="0" applyAlignment="0" applyProtection="0"/>
    <xf numFmtId="0" fontId="278" fillId="0" borderId="0"/>
    <xf numFmtId="0" fontId="276" fillId="0" borderId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5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9" fillId="0" borderId="82" applyBorder="0">
      <alignment horizontal="center"/>
    </xf>
    <xf numFmtId="0" fontId="279" fillId="0" borderId="82" applyBorder="0">
      <alignment horizontal="center"/>
    </xf>
    <xf numFmtId="0" fontId="279" fillId="0" borderId="82" applyBorder="0">
      <alignment horizontal="center"/>
    </xf>
    <xf numFmtId="0" fontId="279" fillId="0" borderId="82" applyBorder="0">
      <alignment horizontal="center"/>
    </xf>
    <xf numFmtId="273" fontId="197" fillId="0" borderId="0"/>
    <xf numFmtId="49" fontId="197" fillId="0" borderId="0">
      <alignment horizontal="left"/>
    </xf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3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6" fillId="0" borderId="35" applyNumberFormat="0" applyFill="0" applyAlignment="0" applyProtection="0"/>
    <xf numFmtId="0" fontId="280" fillId="0" borderId="84" applyNumberFormat="0" applyFill="0" applyAlignment="0" applyProtection="0"/>
    <xf numFmtId="0" fontId="123" fillId="0" borderId="84"/>
    <xf numFmtId="0" fontId="6" fillId="0" borderId="35" applyNumberFormat="0" applyFill="0" applyAlignment="0" applyProtection="0"/>
    <xf numFmtId="0" fontId="280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280" fillId="0" borderId="84" applyNumberFormat="0" applyFill="0" applyAlignment="0" applyProtection="0"/>
    <xf numFmtId="0" fontId="6" fillId="0" borderId="35" applyNumberFormat="0" applyFill="0" applyAlignment="0" applyProtection="0"/>
    <xf numFmtId="0" fontId="123" fillId="0" borderId="84" applyNumberFormat="0" applyFill="0" applyAlignment="0" applyProtection="0"/>
    <xf numFmtId="0" fontId="123" fillId="0" borderId="84"/>
    <xf numFmtId="0" fontId="123" fillId="0" borderId="84"/>
    <xf numFmtId="0" fontId="123" fillId="0" borderId="84"/>
    <xf numFmtId="0" fontId="280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6" fillId="0" borderId="35" applyNumberFormat="0" applyFill="0" applyAlignment="0" applyProtection="0"/>
    <xf numFmtId="0" fontId="123" fillId="0" borderId="84" applyNumberFormat="0" applyFill="0" applyAlignment="0" applyProtection="0"/>
    <xf numFmtId="0" fontId="6" fillId="0" borderId="35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6" fillId="0" borderId="35" applyNumberFormat="0" applyFill="0" applyAlignment="0" applyProtection="0"/>
    <xf numFmtId="0" fontId="123" fillId="0" borderId="84" applyNumberFormat="0" applyFill="0" applyAlignment="0" applyProtection="0"/>
    <xf numFmtId="0" fontId="6" fillId="0" borderId="35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4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123" fillId="0" borderId="84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23" fillId="0" borderId="83" applyNumberFormat="0" applyFill="0" applyAlignment="0" applyProtection="0"/>
    <xf numFmtId="0" fontId="6" fillId="0" borderId="35" applyNumberFormat="0" applyFill="0" applyAlignment="0" applyProtection="0"/>
    <xf numFmtId="0" fontId="6" fillId="0" borderId="35" applyNumberFormat="0" applyFill="0" applyAlignment="0" applyProtection="0"/>
    <xf numFmtId="0" fontId="173" fillId="0" borderId="85"/>
    <xf numFmtId="0" fontId="281" fillId="0" borderId="85"/>
    <xf numFmtId="0" fontId="281" fillId="0" borderId="85"/>
    <xf numFmtId="0" fontId="281" fillId="0" borderId="85"/>
    <xf numFmtId="0" fontId="281" fillId="0" borderId="85"/>
    <xf numFmtId="0" fontId="281" fillId="0" borderId="85"/>
    <xf numFmtId="0" fontId="173" fillId="0" borderId="74"/>
    <xf numFmtId="0" fontId="173" fillId="0" borderId="74"/>
    <xf numFmtId="0" fontId="173" fillId="0" borderId="74"/>
    <xf numFmtId="0" fontId="173" fillId="0" borderId="74"/>
    <xf numFmtId="0" fontId="281" fillId="0" borderId="74"/>
    <xf numFmtId="0" fontId="281" fillId="0" borderId="74"/>
    <xf numFmtId="0" fontId="281" fillId="0" borderId="74"/>
    <xf numFmtId="0" fontId="281" fillId="0" borderId="74"/>
    <xf numFmtId="0" fontId="281" fillId="0" borderId="74"/>
    <xf numFmtId="0" fontId="281" fillId="0" borderId="74"/>
    <xf numFmtId="0" fontId="281" fillId="0" borderId="74"/>
    <xf numFmtId="0" fontId="281" fillId="0" borderId="74"/>
    <xf numFmtId="0" fontId="281" fillId="0" borderId="74"/>
    <xf numFmtId="0" fontId="281" fillId="0" borderId="74"/>
    <xf numFmtId="38" fontId="46" fillId="0" borderId="0" applyFont="0" applyFill="0" applyBorder="0" applyAlignment="0" applyProtection="0"/>
    <xf numFmtId="40" fontId="46" fillId="0" borderId="0" applyFont="0" applyFill="0" applyBorder="0" applyAlignment="0" applyProtection="0"/>
    <xf numFmtId="0" fontId="274" fillId="0" borderId="0" applyNumberFormat="0" applyFill="0" applyBorder="0" applyAlignment="0" applyProtection="0"/>
    <xf numFmtId="0" fontId="145" fillId="0" borderId="55" applyNumberFormat="0" applyFill="0" applyAlignment="0" applyProtection="0"/>
    <xf numFmtId="0" fontId="150" fillId="0" borderId="57" applyNumberFormat="0" applyFill="0" applyAlignment="0" applyProtection="0"/>
    <xf numFmtId="0" fontId="155" fillId="0" borderId="59" applyNumberFormat="0" applyFill="0" applyAlignment="0" applyProtection="0"/>
    <xf numFmtId="0" fontId="155" fillId="0" borderId="59" applyNumberFormat="0" applyFill="0" applyAlignment="0" applyProtection="0"/>
    <xf numFmtId="0" fontId="155" fillId="0" borderId="0" applyNumberFormat="0" applyFill="0" applyBorder="0" applyAlignment="0" applyProtection="0"/>
    <xf numFmtId="16" fontId="264" fillId="0" borderId="0" applyNumberFormat="0" applyFont="0" applyFill="0" applyBorder="0">
      <alignment horizontal="left"/>
    </xf>
    <xf numFmtId="175" fontId="46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282" fillId="0" borderId="0"/>
    <xf numFmtId="0" fontId="174" fillId="0" borderId="63" applyNumberFormat="0" applyFill="0" applyAlignment="0" applyProtection="0"/>
    <xf numFmtId="0" fontId="174" fillId="0" borderId="63" applyNumberFormat="0" applyFill="0" applyAlignment="0" applyProtection="0"/>
    <xf numFmtId="274" fontId="50" fillId="0" borderId="0" applyFont="0" applyFill="0" applyBorder="0" applyAlignment="0" applyProtection="0"/>
    <xf numFmtId="275" fontId="50" fillId="0" borderId="0" applyFont="0" applyFill="0" applyBorder="0" applyAlignment="0" applyProtection="0"/>
    <xf numFmtId="0" fontId="283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3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3" fillId="0" borderId="0"/>
    <xf numFmtId="0" fontId="283" fillId="0" borderId="0"/>
    <xf numFmtId="0" fontId="24" fillId="0" borderId="0" applyNumberFormat="0" applyFill="0" applyBorder="0" applyAlignment="0" applyProtection="0"/>
    <xf numFmtId="0" fontId="28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3" fillId="0" borderId="0"/>
    <xf numFmtId="0" fontId="283" fillId="0" borderId="0"/>
    <xf numFmtId="0" fontId="283" fillId="0" borderId="0"/>
    <xf numFmtId="0" fontId="283" fillId="0" borderId="0"/>
    <xf numFmtId="0" fontId="283" fillId="0" borderId="0" applyNumberFormat="0" applyFill="0" applyBorder="0" applyAlignment="0" applyProtection="0"/>
    <xf numFmtId="0" fontId="285" fillId="0" borderId="0"/>
    <xf numFmtId="0" fontId="286" fillId="0" borderId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8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9" fillId="0" borderId="86"/>
    <xf numFmtId="0" fontId="89" fillId="0" borderId="86"/>
    <xf numFmtId="0" fontId="89" fillId="0" borderId="86"/>
    <xf numFmtId="0" fontId="89" fillId="0" borderId="86"/>
    <xf numFmtId="37" fontId="287" fillId="0" borderId="0"/>
    <xf numFmtId="169" fontId="75" fillId="53" borderId="66"/>
    <xf numFmtId="0" fontId="3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1" fontId="3" fillId="122" borderId="0">
      <alignment horizontal="center"/>
    </xf>
    <xf numFmtId="1" fontId="3" fillId="122" borderId="0">
      <alignment horizontal="center"/>
    </xf>
    <xf numFmtId="1" fontId="3" fillId="122" borderId="0">
      <alignment horizontal="center"/>
    </xf>
    <xf numFmtId="1" fontId="3" fillId="122" borderId="0">
      <alignment horizontal="center"/>
    </xf>
    <xf numFmtId="1" fontId="3" fillId="122" borderId="0">
      <alignment horizontal="center"/>
    </xf>
    <xf numFmtId="1" fontId="3" fillId="122" borderId="0">
      <alignment horizontal="center"/>
    </xf>
    <xf numFmtId="1" fontId="3" fillId="115" borderId="0">
      <alignment horizontal="center"/>
    </xf>
    <xf numFmtId="0" fontId="3" fillId="0" borderId="0"/>
    <xf numFmtId="37" fontId="3" fillId="0" borderId="0" applyProtection="0"/>
    <xf numFmtId="0" fontId="3" fillId="0" borderId="0" applyNumberFormat="0" applyFont="0" applyAlignment="0" applyProtection="0"/>
    <xf numFmtId="0" fontId="203" fillId="0" borderId="0"/>
    <xf numFmtId="0" fontId="96" fillId="120" borderId="45" applyNumberFormat="0" applyAlignment="0" applyProtection="0"/>
    <xf numFmtId="0" fontId="70" fillId="92" borderId="0" applyNumberFormat="0" applyBorder="0" applyAlignment="0" applyProtection="0"/>
    <xf numFmtId="0" fontId="64" fillId="93" borderId="0" applyNumberFormat="0" applyBorder="0" applyAlignment="0" applyProtection="0"/>
    <xf numFmtId="0" fontId="64" fillId="93" borderId="0" applyNumberFormat="0" applyBorder="0" applyAlignment="0" applyProtection="0"/>
    <xf numFmtId="0" fontId="70" fillId="161" borderId="0" applyNumberFormat="0" applyBorder="0" applyAlignment="0" applyProtection="0"/>
    <xf numFmtId="0" fontId="70" fillId="98" borderId="0" applyNumberFormat="0" applyBorder="0" applyAlignment="0" applyProtection="0"/>
    <xf numFmtId="0" fontId="64" fillId="109" borderId="0" applyNumberFormat="0" applyBorder="0" applyAlignment="0" applyProtection="0"/>
    <xf numFmtId="0" fontId="64" fillId="88" borderId="0" applyNumberFormat="0" applyBorder="0" applyAlignment="0" applyProtection="0"/>
    <xf numFmtId="0" fontId="70" fillId="105" borderId="0" applyNumberFormat="0" applyBorder="0" applyAlignment="0" applyProtection="0"/>
    <xf numFmtId="0" fontId="70" fillId="104" borderId="0" applyNumberFormat="0" applyBorder="0" applyAlignment="0" applyProtection="0"/>
    <xf numFmtId="0" fontId="64" fillId="109" borderId="0" applyNumberFormat="0" applyBorder="0" applyAlignment="0" applyProtection="0"/>
    <xf numFmtId="0" fontId="64" fillId="144" borderId="0" applyNumberFormat="0" applyBorder="0" applyAlignment="0" applyProtection="0"/>
    <xf numFmtId="0" fontId="70" fillId="88" borderId="0" applyNumberFormat="0" applyBorder="0" applyAlignment="0" applyProtection="0"/>
    <xf numFmtId="0" fontId="70" fillId="80" borderId="0" applyNumberFormat="0" applyBorder="0" applyAlignment="0" applyProtection="0"/>
    <xf numFmtId="0" fontId="64" fillId="93" borderId="0" applyNumberFormat="0" applyBorder="0" applyAlignment="0" applyProtection="0"/>
    <xf numFmtId="0" fontId="64" fillId="88" borderId="0" applyNumberFormat="0" applyBorder="0" applyAlignment="0" applyProtection="0"/>
    <xf numFmtId="0" fontId="70" fillId="88" borderId="0" applyNumberFormat="0" applyBorder="0" applyAlignment="0" applyProtection="0"/>
    <xf numFmtId="0" fontId="70" fillId="83" borderId="0" applyNumberFormat="0" applyBorder="0" applyAlignment="0" applyProtection="0"/>
    <xf numFmtId="0" fontId="64" fillId="162" borderId="0" applyNumberFormat="0" applyBorder="0" applyAlignment="0" applyProtection="0"/>
    <xf numFmtId="0" fontId="64" fillId="93" borderId="0" applyNumberFormat="0" applyBorder="0" applyAlignment="0" applyProtection="0"/>
    <xf numFmtId="0" fontId="70" fillId="161" borderId="0" applyNumberFormat="0" applyBorder="0" applyAlignment="0" applyProtection="0"/>
    <xf numFmtId="0" fontId="70" fillId="114" borderId="0" applyNumberFormat="0" applyBorder="0" applyAlignment="0" applyProtection="0"/>
    <xf numFmtId="0" fontId="64" fillId="109" borderId="0" applyNumberFormat="0" applyBorder="0" applyAlignment="0" applyProtection="0"/>
    <xf numFmtId="0" fontId="64" fillId="110" borderId="0" applyNumberFormat="0" applyBorder="0" applyAlignment="0" applyProtection="0"/>
    <xf numFmtId="0" fontId="70" fillId="110" borderId="0" applyNumberFormat="0" applyBorder="0" applyAlignment="0" applyProtection="0"/>
    <xf numFmtId="0" fontId="288" fillId="0" borderId="0"/>
    <xf numFmtId="0" fontId="289" fillId="0" borderId="0" applyNumberFormat="0" applyFill="0" applyBorder="0" applyAlignment="0" applyProtection="0"/>
    <xf numFmtId="0" fontId="290" fillId="120" borderId="45" applyNumberFormat="0" applyAlignment="0" applyProtection="0"/>
    <xf numFmtId="0" fontId="291" fillId="139" borderId="0" applyNumberFormat="0" applyBorder="0" applyAlignment="0" applyProtection="0"/>
    <xf numFmtId="9" fontId="55" fillId="0" borderId="0" applyFont="0" applyFill="0" applyBorder="0" applyAlignment="0" applyProtection="0"/>
    <xf numFmtId="0" fontId="3" fillId="143" borderId="68" applyNumberFormat="0" applyAlignment="0" applyProtection="0"/>
    <xf numFmtId="0" fontId="3" fillId="143" borderId="68" applyNumberFormat="0" applyAlignment="0" applyProtection="0"/>
    <xf numFmtId="0" fontId="3" fillId="143" borderId="68" applyNumberFormat="0" applyAlignment="0" applyProtection="0"/>
    <xf numFmtId="0" fontId="3" fillId="143" borderId="68" applyNumberFormat="0" applyAlignment="0" applyProtection="0"/>
    <xf numFmtId="0" fontId="292" fillId="0" borderId="63" applyNumberFormat="0" applyFill="0" applyAlignment="0" applyProtection="0"/>
    <xf numFmtId="167" fontId="293" fillId="0" borderId="0" applyFont="0" applyFill="0" applyBorder="0" applyAlignment="0" applyProtection="0"/>
    <xf numFmtId="169" fontId="293" fillId="0" borderId="0" applyFont="0" applyFill="0" applyBorder="0" applyAlignment="0" applyProtection="0"/>
    <xf numFmtId="276" fontId="293" fillId="0" borderId="0" applyFont="0" applyFill="0" applyBorder="0" applyAlignment="0" applyProtection="0"/>
    <xf numFmtId="277" fontId="293" fillId="0" borderId="0" applyFont="0" applyFill="0" applyBorder="0" applyAlignment="0" applyProtection="0"/>
    <xf numFmtId="9" fontId="294" fillId="0" borderId="0" applyFont="0" applyFill="0" applyBorder="0" applyAlignment="0" applyProtection="0"/>
    <xf numFmtId="0" fontId="90" fillId="0" borderId="0"/>
    <xf numFmtId="0" fontId="294" fillId="0" borderId="0" applyFont="0" applyFill="0" applyBorder="0" applyAlignment="0" applyProtection="0"/>
    <xf numFmtId="0" fontId="294" fillId="0" borderId="0" applyFont="0" applyFill="0" applyBorder="0" applyAlignment="0" applyProtection="0"/>
    <xf numFmtId="0" fontId="294" fillId="0" borderId="0" applyFont="0" applyFill="0" applyBorder="0" applyAlignment="0" applyProtection="0"/>
    <xf numFmtId="0" fontId="294" fillId="0" borderId="0" applyFont="0" applyFill="0" applyBorder="0" applyAlignment="0" applyProtection="0"/>
    <xf numFmtId="0" fontId="294" fillId="0" borderId="0"/>
    <xf numFmtId="39" fontId="295" fillId="0" borderId="0" applyFont="0" applyBorder="0" applyAlignment="0">
      <alignment horizontal="center"/>
    </xf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50" fillId="0" borderId="0">
      <alignment vertical="center"/>
    </xf>
    <xf numFmtId="40" fontId="297" fillId="0" borderId="0" applyFont="0" applyFill="0" applyBorder="0" applyAlignment="0" applyProtection="0"/>
    <xf numFmtId="38" fontId="297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97" fillId="0" borderId="0" applyFont="0" applyFill="0" applyBorder="0" applyAlignment="0" applyProtection="0"/>
    <xf numFmtId="9" fontId="298" fillId="0" borderId="0" applyFont="0" applyFill="0" applyBorder="0" applyAlignment="0" applyProtection="0"/>
    <xf numFmtId="0" fontId="299" fillId="0" borderId="0"/>
    <xf numFmtId="167" fontId="300" fillId="0" borderId="0" applyFont="0" applyFill="0" applyBorder="0" applyAlignment="0" applyProtection="0"/>
    <xf numFmtId="278" fontId="3" fillId="0" borderId="0" applyFont="0" applyFill="0" applyBorder="0" applyAlignment="0" applyProtection="0"/>
    <xf numFmtId="279" fontId="3" fillId="0" borderId="0" applyFont="0" applyFill="0" applyBorder="0" applyAlignment="0" applyProtection="0"/>
    <xf numFmtId="188" fontId="301" fillId="0" borderId="0" applyFont="0" applyFill="0" applyBorder="0" applyAlignment="0" applyProtection="0"/>
    <xf numFmtId="187" fontId="301" fillId="0" borderId="0" applyFont="0" applyFill="0" applyBorder="0" applyAlignment="0" applyProtection="0"/>
    <xf numFmtId="0" fontId="302" fillId="0" borderId="0"/>
    <xf numFmtId="0" fontId="77" fillId="0" borderId="0"/>
    <xf numFmtId="0" fontId="303" fillId="95" borderId="0" applyNumberFormat="0" applyBorder="0" applyAlignment="0" applyProtection="0"/>
    <xf numFmtId="0" fontId="304" fillId="65" borderId="87" applyNumberFormat="0" applyAlignment="0" applyProtection="0"/>
    <xf numFmtId="0" fontId="304" fillId="65" borderId="87" applyNumberFormat="0" applyAlignment="0" applyProtection="0"/>
    <xf numFmtId="0" fontId="304" fillId="65" borderId="87" applyNumberFormat="0" applyAlignment="0" applyProtection="0"/>
    <xf numFmtId="0" fontId="304" fillId="65" borderId="87" applyNumberFormat="0" applyAlignment="0" applyProtection="0"/>
    <xf numFmtId="0" fontId="305" fillId="115" borderId="71" applyNumberFormat="0" applyAlignment="0" applyProtection="0"/>
    <xf numFmtId="0" fontId="305" fillId="115" borderId="71" applyNumberFormat="0" applyAlignment="0" applyProtection="0"/>
    <xf numFmtId="0" fontId="305" fillId="115" borderId="71" applyNumberFormat="0" applyAlignment="0" applyProtection="0"/>
    <xf numFmtId="0" fontId="305" fillId="115" borderId="71" applyNumberFormat="0" applyAlignment="0" applyProtection="0"/>
    <xf numFmtId="167" fontId="306" fillId="0" borderId="0" applyFont="0" applyFill="0" applyBorder="0" applyAlignment="0" applyProtection="0"/>
    <xf numFmtId="169" fontId="306" fillId="0" borderId="0" applyFont="0" applyFill="0" applyBorder="0" applyAlignment="0" applyProtection="0"/>
    <xf numFmtId="197" fontId="74" fillId="0" borderId="0" applyFont="0" applyFill="0" applyBorder="0" applyAlignment="0" applyProtection="0"/>
    <xf numFmtId="196" fontId="74" fillId="0" borderId="0" applyFont="0" applyFill="0" applyBorder="0" applyAlignment="0" applyProtection="0"/>
    <xf numFmtId="0" fontId="307" fillId="163" borderId="0" applyNumberFormat="0" applyBorder="0" applyAlignment="0" applyProtection="0"/>
    <xf numFmtId="0" fontId="307" fillId="164" borderId="0" applyNumberFormat="0" applyBorder="0" applyAlignment="0" applyProtection="0"/>
    <xf numFmtId="0" fontId="307" fillId="165" borderId="0" applyNumberFormat="0" applyBorder="0" applyAlignment="0" applyProtection="0"/>
    <xf numFmtId="0" fontId="308" fillId="57" borderId="0" applyNumberFormat="0" applyBorder="0" applyAlignment="0" applyProtection="0"/>
    <xf numFmtId="0" fontId="291" fillId="166" borderId="0" applyNumberFormat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0" fontId="55" fillId="0" borderId="0" applyFont="0" applyFill="0" applyBorder="0" applyAlignment="0" applyProtection="0">
      <alignment vertical="center"/>
    </xf>
    <xf numFmtId="169" fontId="226" fillId="0" borderId="0" applyFont="0" applyFill="0" applyBorder="0" applyAlignment="0" applyProtection="0"/>
    <xf numFmtId="38" fontId="55" fillId="0" borderId="0" applyFont="0" applyFill="0" applyBorder="0" applyAlignment="0" applyProtection="0"/>
    <xf numFmtId="38" fontId="55" fillId="0" borderId="0" applyFont="0" applyFill="0" applyBorder="0" applyAlignment="0" applyProtection="0"/>
    <xf numFmtId="38" fontId="55" fillId="0" borderId="0" applyFont="0" applyFill="0" applyBorder="0" applyAlignment="0" applyProtection="0"/>
    <xf numFmtId="38" fontId="309" fillId="0" borderId="0" applyFont="0" applyFill="0" applyBorder="0" applyAlignment="0" applyProtection="0"/>
    <xf numFmtId="0" fontId="310" fillId="0" borderId="0">
      <alignment vertical="center"/>
    </xf>
    <xf numFmtId="0" fontId="3" fillId="0" borderId="0"/>
    <xf numFmtId="0" fontId="55" fillId="0" borderId="0"/>
    <xf numFmtId="0" fontId="311" fillId="0" borderId="0"/>
    <xf numFmtId="197" fontId="71" fillId="0" borderId="0" applyFont="0" applyFill="0" applyBorder="0" applyAlignment="0" applyProtection="0"/>
    <xf numFmtId="196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312" fillId="144" borderId="0" applyNumberFormat="0" applyBorder="0" applyAlignment="0" applyProtection="0"/>
    <xf numFmtId="0" fontId="312" fillId="59" borderId="0" applyNumberFormat="0" applyBorder="0" applyAlignment="0" applyProtection="0"/>
    <xf numFmtId="0" fontId="313" fillId="0" borderId="55" applyNumberFormat="0" applyFill="0" applyAlignment="0" applyProtection="0"/>
    <xf numFmtId="0" fontId="314" fillId="0" borderId="57" applyNumberFormat="0" applyFill="0" applyAlignment="0" applyProtection="0"/>
    <xf numFmtId="0" fontId="315" fillId="0" borderId="59" applyNumberFormat="0" applyFill="0" applyAlignment="0" applyProtection="0"/>
    <xf numFmtId="0" fontId="315" fillId="0" borderId="0" applyNumberFormat="0" applyFill="0" applyBorder="0" applyAlignment="0" applyProtection="0"/>
    <xf numFmtId="0" fontId="316" fillId="115" borderId="87" applyNumberFormat="0" applyAlignment="0" applyProtection="0"/>
    <xf numFmtId="0" fontId="316" fillId="115" borderId="87" applyNumberFormat="0" applyAlignment="0" applyProtection="0"/>
    <xf numFmtId="0" fontId="316" fillId="115" borderId="87" applyNumberFormat="0" applyAlignment="0" applyProtection="0"/>
    <xf numFmtId="0" fontId="316" fillId="115" borderId="87" applyNumberFormat="0" applyAlignment="0" applyProtection="0"/>
    <xf numFmtId="0" fontId="317" fillId="0" borderId="0" applyNumberFormat="0" applyFill="0" applyBorder="0" applyAlignment="0" applyProtection="0"/>
    <xf numFmtId="0" fontId="318" fillId="0" borderId="0" applyNumberFormat="0" applyFill="0" applyBorder="0" applyAlignment="0" applyProtection="0"/>
    <xf numFmtId="280" fontId="170" fillId="0" borderId="0" applyFont="0" applyFill="0" applyBorder="0" applyAlignment="0" applyProtection="0"/>
    <xf numFmtId="164" fontId="319" fillId="0" borderId="0" applyFont="0" applyFill="0" applyBorder="0" applyAlignment="0" applyProtection="0"/>
    <xf numFmtId="226" fontId="170" fillId="0" borderId="0" applyFont="0" applyFill="0" applyBorder="0" applyAlignment="0" applyProtection="0"/>
    <xf numFmtId="188" fontId="320" fillId="0" borderId="0" applyFont="0" applyFill="0" applyBorder="0" applyAlignment="0" applyProtection="0"/>
    <xf numFmtId="281" fontId="55" fillId="0" borderId="0" applyFont="0" applyFill="0" applyBorder="0" applyAlignment="0" applyProtection="0">
      <alignment vertical="center"/>
    </xf>
    <xf numFmtId="187" fontId="320" fillId="0" borderId="0" applyFont="0" applyFill="0" applyBorder="0" applyAlignment="0" applyProtection="0"/>
    <xf numFmtId="0" fontId="307" fillId="0" borderId="84" applyNumberFormat="0" applyFill="0" applyAlignment="0" applyProtection="0"/>
    <xf numFmtId="0" fontId="307" fillId="0" borderId="84" applyNumberFormat="0" applyFill="0" applyAlignment="0" applyProtection="0"/>
    <xf numFmtId="0" fontId="307" fillId="0" borderId="84" applyNumberFormat="0" applyFill="0" applyAlignment="0" applyProtection="0"/>
    <xf numFmtId="0" fontId="307" fillId="0" borderId="84" applyNumberFormat="0" applyFill="0" applyAlignment="0" applyProtection="0"/>
    <xf numFmtId="282" fontId="3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78" fontId="3" fillId="0" borderId="0" applyFont="0" applyFill="0" applyBorder="0" applyAlignment="0" applyProtection="0"/>
    <xf numFmtId="283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NumberFormat="0" applyFill="0" applyBorder="0" applyAlignment="0" applyProtection="0"/>
    <xf numFmtId="172" fontId="46" fillId="0" borderId="0" applyFont="0" applyFill="0" applyBorder="0" applyAlignment="0" applyProtection="0"/>
    <xf numFmtId="174" fontId="3" fillId="0" borderId="0" applyNumberFormat="0" applyFill="0" applyBorder="0" applyAlignment="0" applyProtection="0"/>
    <xf numFmtId="178" fontId="3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283" fontId="3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78" fontId="3" fillId="0" borderId="0" applyFont="0" applyFill="0" applyBorder="0" applyAlignment="0" applyProtection="0"/>
    <xf numFmtId="283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NumberFormat="0" applyFill="0" applyBorder="0" applyAlignment="0" applyProtection="0"/>
    <xf numFmtId="172" fontId="46" fillId="0" borderId="0" applyFont="0" applyFill="0" applyBorder="0" applyAlignment="0" applyProtection="0"/>
    <xf numFmtId="174" fontId="3" fillId="0" borderId="0" applyNumberFormat="0" applyFill="0" applyBorder="0" applyAlignment="0" applyProtection="0"/>
    <xf numFmtId="178" fontId="3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283" fontId="3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78" fontId="3" fillId="0" borderId="0" applyFont="0" applyFill="0" applyBorder="0" applyAlignment="0" applyProtection="0"/>
    <xf numFmtId="283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NumberFormat="0" applyFill="0" applyBorder="0" applyAlignment="0" applyProtection="0"/>
    <xf numFmtId="172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172" fontId="46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2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28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21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21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285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4" fillId="0" borderId="0"/>
    <xf numFmtId="169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41" fillId="53" borderId="66" applyFont="0" applyFill="0">
      <alignment horizontal="right" wrapText="1"/>
    </xf>
    <xf numFmtId="192" fontId="56" fillId="0" borderId="0">
      <protection locked="0"/>
    </xf>
    <xf numFmtId="194" fontId="3" fillId="0" borderId="0">
      <protection locked="0"/>
    </xf>
    <xf numFmtId="169" fontId="61" fillId="53" borderId="66"/>
    <xf numFmtId="169" fontId="61" fillId="53" borderId="66"/>
    <xf numFmtId="167" fontId="72" fillId="53" borderId="0">
      <alignment horizontal="right" wrapText="1"/>
    </xf>
    <xf numFmtId="167" fontId="72" fillId="53" borderId="0">
      <alignment horizontal="right" wrapText="1"/>
    </xf>
    <xf numFmtId="167" fontId="73" fillId="0" borderId="0"/>
    <xf numFmtId="167" fontId="73" fillId="0" borderId="0"/>
    <xf numFmtId="167" fontId="74" fillId="0" borderId="0" applyNumberFormat="0"/>
    <xf numFmtId="167" fontId="74" fillId="0" borderId="0" applyNumberFormat="0"/>
    <xf numFmtId="167" fontId="75" fillId="53" borderId="0"/>
    <xf numFmtId="167" fontId="75" fillId="53" borderId="0"/>
    <xf numFmtId="166" fontId="76" fillId="0" borderId="0" applyFont="0"/>
    <xf numFmtId="173" fontId="76" fillId="0" borderId="0" applyFont="0"/>
    <xf numFmtId="173" fontId="76" fillId="0" borderId="12" applyFont="0"/>
    <xf numFmtId="167" fontId="76" fillId="0" borderId="0" applyFont="0"/>
    <xf numFmtId="167" fontId="76" fillId="0" borderId="0" applyFont="0"/>
    <xf numFmtId="167" fontId="50" fillId="0" borderId="0" applyNumberFormat="0" applyBorder="0"/>
    <xf numFmtId="167" fontId="50" fillId="0" borderId="0" applyNumberFormat="0" applyBorder="0"/>
    <xf numFmtId="0" fontId="84" fillId="118" borderId="98" applyNumberFormat="0" applyAlignment="0" applyProtection="0"/>
    <xf numFmtId="0" fontId="84" fillId="118" borderId="98" applyNumberFormat="0" applyAlignment="0" applyProtection="0"/>
    <xf numFmtId="167" fontId="339" fillId="0" borderId="0" applyFont="0" applyFill="0" applyBorder="0" applyAlignment="0" applyProtection="0"/>
    <xf numFmtId="167" fontId="33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40" fillId="0" borderId="0" applyFont="0" applyFill="0" applyBorder="0" applyAlignment="0" applyProtection="0"/>
    <xf numFmtId="167" fontId="340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3" fillId="0" borderId="0" applyFont="0" applyFill="0" applyBorder="0" applyAlignment="0" applyProtection="0"/>
    <xf numFmtId="38" fontId="34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63" fillId="0" borderId="0" applyFont="0" applyFill="0" applyBorder="0" applyAlignment="0" applyProtection="0"/>
    <xf numFmtId="167" fontId="6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4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213" fontId="3" fillId="0" borderId="0" applyFont="0" applyFill="0" applyBorder="0" applyAlignment="0" applyProtection="0">
      <alignment horizontal="right"/>
    </xf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06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4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0" fontId="341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6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26" fillId="0" borderId="0" applyFont="0" applyFill="0" applyBorder="0" applyAlignment="0" applyProtection="0"/>
    <xf numFmtId="169" fontId="344" fillId="0" borderId="0" applyFont="0" applyFill="0" applyBorder="0" applyAlignment="0" applyProtection="0"/>
    <xf numFmtId="169" fontId="344" fillId="0" borderId="0" applyFont="0" applyFill="0" applyBorder="0" applyAlignment="0" applyProtection="0"/>
    <xf numFmtId="169" fontId="46" fillId="0" borderId="0" applyFont="0" applyFill="0" applyBorder="0" applyAlignment="0" applyProtection="0"/>
    <xf numFmtId="169" fontId="46" fillId="0" borderId="0" applyFont="0" applyFill="0" applyBorder="0" applyAlignment="0" applyProtection="0"/>
    <xf numFmtId="169" fontId="226" fillId="0" borderId="0" applyFont="0" applyFill="0" applyBorder="0" applyAlignment="0" applyProtection="0"/>
    <xf numFmtId="169" fontId="22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110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339" fillId="0" borderId="0" applyFont="0" applyFill="0" applyBorder="0" applyAlignment="0" applyProtection="0"/>
    <xf numFmtId="169" fontId="339" fillId="0" borderId="0" applyFont="0" applyFill="0" applyBorder="0" applyAlignment="0" applyProtection="0"/>
    <xf numFmtId="169" fontId="339" fillId="0" borderId="0" applyFont="0" applyFill="0" applyBorder="0" applyAlignment="0" applyProtection="0"/>
    <xf numFmtId="169" fontId="339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345" fillId="0" borderId="0" applyFont="0" applyFill="0" applyBorder="0" applyAlignment="0" applyProtection="0"/>
    <xf numFmtId="169" fontId="345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50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72" fontId="87" fillId="0" borderId="43"/>
    <xf numFmtId="221" fontId="87" fillId="0" borderId="43"/>
    <xf numFmtId="172" fontId="87" fillId="0" borderId="43"/>
    <xf numFmtId="221" fontId="87" fillId="0" borderId="43"/>
    <xf numFmtId="173" fontId="3" fillId="0" borderId="0" applyFont="0" applyFill="0" applyBorder="0" applyAlignment="0" applyProtection="0"/>
    <xf numFmtId="224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4" fontId="3" fillId="0" borderId="0" applyFont="0" applyFill="0" applyBorder="0" applyAlignment="0" applyProtection="0">
      <alignment horizontal="right"/>
    </xf>
    <xf numFmtId="174" fontId="3" fillId="0" borderId="0" applyFont="0" applyFill="0" applyBorder="0" applyAlignment="0" applyProtection="0"/>
    <xf numFmtId="224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223" fontId="3" fillId="0" borderId="0" applyFont="0" applyFill="0" applyBorder="0" applyAlignment="0" applyProtection="0">
      <alignment horizontal="right"/>
    </xf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230" fontId="115" fillId="0" borderId="0" applyFont="0" applyFill="0" applyBorder="0" applyAlignment="0" applyProtection="0"/>
    <xf numFmtId="229" fontId="115" fillId="0" borderId="0" applyFont="0" applyFill="0" applyBorder="0" applyAlignment="0" applyProtection="0"/>
    <xf numFmtId="0" fontId="119" fillId="0" borderId="91" applyNumberFormat="0" applyBorder="0">
      <alignment horizontal="centerContinuous"/>
    </xf>
    <xf numFmtId="0" fontId="89" fillId="0" borderId="99"/>
    <xf numFmtId="1" fontId="121" fillId="0" borderId="96" applyBorder="0"/>
    <xf numFmtId="287" fontId="3" fillId="0" borderId="0">
      <protection locked="0"/>
    </xf>
    <xf numFmtId="287" fontId="3" fillId="0" borderId="0">
      <protection locked="0"/>
    </xf>
    <xf numFmtId="287" fontId="3" fillId="0" borderId="0">
      <protection locked="0"/>
    </xf>
    <xf numFmtId="287" fontId="3" fillId="0" borderId="0">
      <protection locked="0"/>
    </xf>
    <xf numFmtId="287" fontId="3" fillId="0" borderId="0">
      <protection locked="0"/>
    </xf>
    <xf numFmtId="287" fontId="3" fillId="0" borderId="0">
      <protection locked="0"/>
    </xf>
    <xf numFmtId="287" fontId="3" fillId="0" borderId="0">
      <protection locked="0"/>
    </xf>
    <xf numFmtId="14" fontId="121" fillId="0" borderId="96" applyBorder="0"/>
    <xf numFmtId="242" fontId="74" fillId="0" borderId="43" applyFont="0" applyBorder="0" applyAlignment="0">
      <alignment horizontal="right"/>
    </xf>
    <xf numFmtId="235" fontId="3" fillId="129" borderId="43" applyNumberFormat="0" applyFont="0" applyBorder="0" applyAlignment="0" applyProtection="0"/>
    <xf numFmtId="0" fontId="137" fillId="130" borderId="43" applyNumberFormat="0" applyFont="0" applyBorder="0" applyAlignment="0">
      <alignment horizontal="center"/>
    </xf>
    <xf numFmtId="0" fontId="141" fillId="0" borderId="3" applyNumberFormat="0" applyAlignment="0" applyProtection="0">
      <alignment horizontal="left" vertical="center"/>
    </xf>
    <xf numFmtId="0" fontId="141" fillId="0" borderId="89">
      <alignment horizontal="left" vertical="center"/>
    </xf>
    <xf numFmtId="0" fontId="142" fillId="0" borderId="0" applyNumberFormat="0" applyFill="0" applyBorder="0" applyAlignment="0" applyProtection="0"/>
    <xf numFmtId="0" fontId="346" fillId="0" borderId="0" applyProtection="0">
      <alignment horizontal="left"/>
    </xf>
    <xf numFmtId="0" fontId="347" fillId="0" borderId="0" applyProtection="0">
      <alignment horizontal="left"/>
    </xf>
    <xf numFmtId="0" fontId="155" fillId="0" borderId="100" applyNumberFormat="0" applyFill="0" applyAlignment="0" applyProtection="0"/>
    <xf numFmtId="0" fontId="122" fillId="66" borderId="98" applyNumberFormat="0" applyAlignment="0" applyProtection="0"/>
    <xf numFmtId="0" fontId="122" fillId="66" borderId="98" applyNumberFormat="0" applyAlignment="0" applyProtection="0"/>
    <xf numFmtId="0" fontId="122" fillId="66" borderId="98" applyNumberFormat="0" applyAlignment="0" applyProtection="0"/>
    <xf numFmtId="0" fontId="122" fillId="66" borderId="98" applyNumberFormat="0" applyAlignment="0" applyProtection="0"/>
    <xf numFmtId="0" fontId="122" fillId="66" borderId="98" applyNumberFormat="0" applyAlignment="0" applyProtection="0"/>
    <xf numFmtId="0" fontId="122" fillId="66" borderId="98" applyNumberFormat="0" applyAlignment="0" applyProtection="0"/>
    <xf numFmtId="0" fontId="122" fillId="66" borderId="98" applyNumberFormat="0" applyAlignment="0" applyProtection="0"/>
    <xf numFmtId="0" fontId="122" fillId="66" borderId="98" applyNumberFormat="0" applyAlignment="0" applyProtection="0"/>
    <xf numFmtId="0" fontId="122" fillId="66" borderId="98" applyNumberFormat="0" applyAlignment="0" applyProtection="0"/>
    <xf numFmtId="0" fontId="122" fillId="66" borderId="98" applyNumberFormat="0" applyAlignment="0" applyProtection="0"/>
    <xf numFmtId="39" fontId="74" fillId="0" borderId="0">
      <alignment vertical="center"/>
    </xf>
    <xf numFmtId="0" fontId="173" fillId="136" borderId="99"/>
    <xf numFmtId="0" fontId="182" fillId="0" borderId="6"/>
    <xf numFmtId="37" fontId="348" fillId="0" borderId="0"/>
    <xf numFmtId="0" fontId="39" fillId="0" borderId="0"/>
    <xf numFmtId="0" fontId="3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2" fillId="0" borderId="0"/>
    <xf numFmtId="0" fontId="22" fillId="0" borderId="0"/>
    <xf numFmtId="0" fontId="3" fillId="0" borderId="0" applyBorder="0"/>
    <xf numFmtId="0" fontId="22" fillId="0" borderId="0"/>
    <xf numFmtId="0" fontId="3" fillId="0" borderId="0"/>
    <xf numFmtId="0" fontId="2" fillId="0" borderId="0"/>
    <xf numFmtId="0" fontId="4" fillId="0" borderId="0"/>
    <xf numFmtId="0" fontId="108" fillId="0" borderId="0"/>
    <xf numFmtId="0" fontId="108" fillId="0" borderId="0"/>
    <xf numFmtId="0" fontId="22" fillId="0" borderId="0"/>
    <xf numFmtId="0" fontId="3" fillId="0" borderId="0"/>
    <xf numFmtId="0" fontId="2" fillId="0" borderId="0"/>
    <xf numFmtId="0" fontId="2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4" fillId="0" borderId="0"/>
    <xf numFmtId="0" fontId="3" fillId="0" borderId="0"/>
    <xf numFmtId="0" fontId="50" fillId="0" borderId="0"/>
    <xf numFmtId="0" fontId="3" fillId="0" borderId="0" applyBorder="0"/>
    <xf numFmtId="0" fontId="4" fillId="0" borderId="0"/>
    <xf numFmtId="0" fontId="22" fillId="0" borderId="0"/>
    <xf numFmtId="0" fontId="226" fillId="0" borderId="0"/>
    <xf numFmtId="0" fontId="22" fillId="0" borderId="0"/>
    <xf numFmtId="0" fontId="39" fillId="0" borderId="0"/>
    <xf numFmtId="0" fontId="39" fillId="0" borderId="0"/>
    <xf numFmtId="0" fontId="3" fillId="0" borderId="0"/>
    <xf numFmtId="0" fontId="22" fillId="0" borderId="0"/>
    <xf numFmtId="0" fontId="2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4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" fillId="0" borderId="0"/>
    <xf numFmtId="0" fontId="50" fillId="0" borderId="0"/>
    <xf numFmtId="0" fontId="2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0" fillId="0" borderId="0"/>
    <xf numFmtId="0" fontId="22" fillId="0" borderId="0"/>
    <xf numFmtId="0" fontId="22" fillId="0" borderId="0"/>
    <xf numFmtId="0" fontId="4" fillId="0" borderId="0"/>
    <xf numFmtId="0" fontId="22" fillId="0" borderId="0"/>
    <xf numFmtId="0" fontId="4" fillId="0" borderId="0"/>
    <xf numFmtId="0" fontId="22" fillId="0" borderId="0"/>
    <xf numFmtId="0" fontId="4" fillId="0" borderId="0"/>
    <xf numFmtId="0" fontId="22" fillId="0" borderId="0"/>
    <xf numFmtId="0" fontId="22" fillId="0" borderId="0"/>
    <xf numFmtId="0" fontId="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8" fillId="0" borderId="0"/>
    <xf numFmtId="0" fontId="50" fillId="0" borderId="0"/>
    <xf numFmtId="0" fontId="350" fillId="0" borderId="0"/>
    <xf numFmtId="0" fontId="350" fillId="0" borderId="0"/>
    <xf numFmtId="0" fontId="108" fillId="0" borderId="0"/>
    <xf numFmtId="0" fontId="309" fillId="0" borderId="0"/>
    <xf numFmtId="0" fontId="108" fillId="0" borderId="0"/>
    <xf numFmtId="0" fontId="108" fillId="0" borderId="0"/>
    <xf numFmtId="0" fontId="344" fillId="0" borderId="0"/>
    <xf numFmtId="0" fontId="46" fillId="0" borderId="0"/>
    <xf numFmtId="0" fontId="351" fillId="0" borderId="0"/>
    <xf numFmtId="0" fontId="3" fillId="0" borderId="0"/>
    <xf numFmtId="0" fontId="108" fillId="0" borderId="0"/>
    <xf numFmtId="0" fontId="63" fillId="0" borderId="0"/>
    <xf numFmtId="0" fontId="352" fillId="0" borderId="0"/>
    <xf numFmtId="0" fontId="352" fillId="0" borderId="0"/>
    <xf numFmtId="0" fontId="4" fillId="0" borderId="0"/>
    <xf numFmtId="0" fontId="353" fillId="0" borderId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3" fillId="142" borderId="101" applyNumberFormat="0" applyFont="0" applyAlignment="0" applyProtection="0"/>
    <xf numFmtId="0" fontId="3" fillId="142" borderId="101" applyNumberFormat="0" applyFont="0" applyAlignment="0" applyProtection="0"/>
    <xf numFmtId="0" fontId="3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3" fillId="142" borderId="101" applyNumberFormat="0" applyFont="0" applyAlignment="0" applyProtection="0"/>
    <xf numFmtId="0" fontId="3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3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22" fillId="142" borderId="101" applyNumberFormat="0" applyFont="0" applyAlignment="0" applyProtection="0"/>
    <xf numFmtId="0" fontId="79" fillId="118" borderId="102" applyNumberFormat="0" applyAlignment="0" applyProtection="0"/>
    <xf numFmtId="0" fontId="79" fillId="118" borderId="102" applyNumberFormat="0" applyAlignment="0" applyProtection="0"/>
    <xf numFmtId="0" fontId="90" fillId="0" borderId="43">
      <alignment horizontal="left"/>
    </xf>
    <xf numFmtId="264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4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6" fillId="0" borderId="91" applyNumberFormat="0" applyBorder="0"/>
    <xf numFmtId="0" fontId="210" fillId="0" borderId="6" applyBorder="0"/>
    <xf numFmtId="170" fontId="213" fillId="0" borderId="0"/>
    <xf numFmtId="267" fontId="213" fillId="0" borderId="0"/>
    <xf numFmtId="170" fontId="213" fillId="0" borderId="0"/>
    <xf numFmtId="167" fontId="216" fillId="145" borderId="0"/>
    <xf numFmtId="167" fontId="216" fillId="145" borderId="0"/>
    <xf numFmtId="173" fontId="3" fillId="0" borderId="0"/>
    <xf numFmtId="0" fontId="238" fillId="0" borderId="0">
      <alignment horizontal="left" vertical="top"/>
    </xf>
    <xf numFmtId="4" fontId="230" fillId="0" borderId="0">
      <alignment horizontal="left" vertical="top"/>
    </xf>
    <xf numFmtId="4" fontId="232" fillId="0" borderId="0">
      <alignment horizontal="left" vertical="top"/>
    </xf>
    <xf numFmtId="4" fontId="234" fillId="0" borderId="0">
      <alignment horizontal="right" vertical="top"/>
    </xf>
    <xf numFmtId="4" fontId="230" fillId="0" borderId="0">
      <alignment horizontal="right" vertical="top"/>
    </xf>
    <xf numFmtId="4" fontId="230" fillId="0" borderId="0">
      <alignment horizontal="center" vertical="top"/>
    </xf>
    <xf numFmtId="4" fontId="230" fillId="0" borderId="0">
      <alignment horizontal="left" vertical="top"/>
    </xf>
    <xf numFmtId="4" fontId="230" fillId="0" borderId="0">
      <alignment horizontal="right" vertical="top"/>
    </xf>
    <xf numFmtId="4" fontId="230" fillId="0" borderId="0">
      <alignment horizontal="right" vertical="top"/>
    </xf>
    <xf numFmtId="4" fontId="234" fillId="0" borderId="0">
      <alignment horizontal="right" vertical="top"/>
    </xf>
    <xf numFmtId="4" fontId="244" fillId="0" borderId="0">
      <alignment horizontal="left" vertical="top"/>
    </xf>
    <xf numFmtId="4" fontId="238" fillId="0" borderId="0">
      <alignment horizontal="left" vertical="top"/>
    </xf>
    <xf numFmtId="4" fontId="244" fillId="0" borderId="0">
      <alignment horizontal="right" vertical="top"/>
    </xf>
    <xf numFmtId="4" fontId="238" fillId="0" borderId="0">
      <alignment horizontal="left" vertical="top"/>
    </xf>
    <xf numFmtId="4" fontId="238" fillId="0" borderId="0">
      <alignment horizontal="left" vertical="top"/>
    </xf>
    <xf numFmtId="4" fontId="354" fillId="0" borderId="0">
      <alignment horizontal="left" vertical="top"/>
    </xf>
    <xf numFmtId="4" fontId="230" fillId="0" borderId="0">
      <alignment horizontal="center" vertical="top"/>
    </xf>
    <xf numFmtId="4" fontId="230" fillId="0" borderId="0">
      <alignment horizontal="center" vertical="top"/>
    </xf>
    <xf numFmtId="4" fontId="250" fillId="123" borderId="103" applyNumberFormat="0" applyProtection="0">
      <alignment vertical="center"/>
    </xf>
    <xf numFmtId="4" fontId="247" fillId="123" borderId="103" applyNumberFormat="0" applyProtection="0">
      <alignment vertical="center"/>
    </xf>
    <xf numFmtId="4" fontId="248" fillId="123" borderId="103" applyNumberFormat="0" applyProtection="0">
      <alignment horizontal="left" vertical="center" indent="1"/>
    </xf>
    <xf numFmtId="4" fontId="248" fillId="173" borderId="0" applyNumberFormat="0" applyProtection="0">
      <alignment horizontal="left" vertical="center" indent="1"/>
    </xf>
    <xf numFmtId="4" fontId="248" fillId="174" borderId="103" applyNumberFormat="0" applyProtection="0">
      <alignment horizontal="right" vertical="center"/>
    </xf>
    <xf numFmtId="4" fontId="248" fillId="128" borderId="103" applyNumberFormat="0" applyProtection="0">
      <alignment horizontal="right" vertical="center"/>
    </xf>
    <xf numFmtId="4" fontId="248" fillId="175" borderId="103" applyNumberFormat="0" applyProtection="0">
      <alignment horizontal="right" vertical="center"/>
    </xf>
    <xf numFmtId="4" fontId="248" fillId="129" borderId="103" applyNumberFormat="0" applyProtection="0">
      <alignment horizontal="right" vertical="center"/>
    </xf>
    <xf numFmtId="4" fontId="248" fillId="176" borderId="103" applyNumberFormat="0" applyProtection="0">
      <alignment horizontal="right" vertical="center"/>
    </xf>
    <xf numFmtId="4" fontId="248" fillId="177" borderId="103" applyNumberFormat="0" applyProtection="0">
      <alignment horizontal="right" vertical="center"/>
    </xf>
    <xf numFmtId="4" fontId="248" fillId="178" borderId="103" applyNumberFormat="0" applyProtection="0">
      <alignment horizontal="right" vertical="center"/>
    </xf>
    <xf numFmtId="4" fontId="248" fillId="179" borderId="103" applyNumberFormat="0" applyProtection="0">
      <alignment horizontal="right" vertical="center"/>
    </xf>
    <xf numFmtId="4" fontId="248" fillId="180" borderId="103" applyNumberFormat="0" applyProtection="0">
      <alignment horizontal="right" vertical="center"/>
    </xf>
    <xf numFmtId="4" fontId="250" fillId="181" borderId="104" applyNumberFormat="0" applyProtection="0">
      <alignment horizontal="left" vertical="center" indent="1"/>
    </xf>
    <xf numFmtId="4" fontId="250" fillId="152" borderId="0" applyNumberFormat="0" applyProtection="0">
      <alignment horizontal="left" vertical="center" indent="1"/>
    </xf>
    <xf numFmtId="4" fontId="250" fillId="173" borderId="0" applyNumberFormat="0" applyProtection="0">
      <alignment horizontal="left" vertical="center" indent="1"/>
    </xf>
    <xf numFmtId="4" fontId="248" fillId="152" borderId="103" applyNumberFormat="0" applyProtection="0">
      <alignment horizontal="right" vertical="center"/>
    </xf>
    <xf numFmtId="4" fontId="355" fillId="0" borderId="105" applyNumberFormat="0" applyProtection="0">
      <alignment horizontal="left" vertical="center" indent="1"/>
    </xf>
    <xf numFmtId="4" fontId="355" fillId="0" borderId="105" applyNumberFormat="0" applyProtection="0">
      <alignment horizontal="left" vertical="center" indent="1"/>
    </xf>
    <xf numFmtId="4" fontId="248" fillId="116" borderId="103" applyNumberFormat="0" applyProtection="0">
      <alignment vertical="center"/>
    </xf>
    <xf numFmtId="4" fontId="249" fillId="116" borderId="103" applyNumberFormat="0" applyProtection="0">
      <alignment vertical="center"/>
    </xf>
    <xf numFmtId="4" fontId="250" fillId="152" borderId="106" applyNumberFormat="0" applyProtection="0">
      <alignment horizontal="left" vertical="center" indent="1"/>
    </xf>
    <xf numFmtId="4" fontId="248" fillId="116" borderId="103" applyNumberFormat="0" applyProtection="0">
      <alignment horizontal="right" vertical="center"/>
    </xf>
    <xf numFmtId="4" fontId="249" fillId="116" borderId="103" applyNumberFormat="0" applyProtection="0">
      <alignment horizontal="right" vertical="center"/>
    </xf>
    <xf numFmtId="4" fontId="250" fillId="138" borderId="43" applyNumberFormat="0" applyProtection="0">
      <alignment horizontal="left" vertical="center" indent="1"/>
    </xf>
    <xf numFmtId="4" fontId="252" fillId="153" borderId="106" applyNumberFormat="0" applyProtection="0">
      <alignment horizontal="left" vertical="center" indent="1"/>
    </xf>
    <xf numFmtId="4" fontId="254" fillId="116" borderId="103" applyNumberFormat="0" applyProtection="0">
      <alignment horizontal="right" vertical="center"/>
    </xf>
    <xf numFmtId="0" fontId="255" fillId="0" borderId="107"/>
    <xf numFmtId="0" fontId="255" fillId="0" borderId="107"/>
    <xf numFmtId="0" fontId="255" fillId="0" borderId="107"/>
    <xf numFmtId="0" fontId="255" fillId="0" borderId="107"/>
    <xf numFmtId="0" fontId="255" fillId="0" borderId="107"/>
    <xf numFmtId="0" fontId="256" fillId="155" borderId="96" applyBorder="0">
      <alignment horizontal="centerContinuous"/>
    </xf>
    <xf numFmtId="0" fontId="218" fillId="1" borderId="89" applyNumberFormat="0" applyFont="0" applyAlignment="0">
      <alignment horizontal="center"/>
    </xf>
    <xf numFmtId="0" fontId="218" fillId="1" borderId="89" applyNumberFormat="0" applyFont="0" applyAlignment="0">
      <alignment horizontal="center"/>
    </xf>
    <xf numFmtId="0" fontId="218" fillId="1" borderId="89" applyNumberFormat="0" applyFont="0" applyAlignment="0">
      <alignment horizontal="center"/>
    </xf>
    <xf numFmtId="0" fontId="218" fillId="1" borderId="89" applyNumberFormat="0" applyFont="0" applyAlignment="0">
      <alignment horizontal="center"/>
    </xf>
    <xf numFmtId="0" fontId="218" fillId="1" borderId="89" applyNumberFormat="0" applyFont="0" applyAlignment="0">
      <alignment horizontal="center"/>
    </xf>
    <xf numFmtId="0" fontId="116" fillId="0" borderId="0"/>
    <xf numFmtId="0" fontId="356" fillId="0" borderId="0" applyNumberFormat="0" applyBorder="0" applyAlignment="0"/>
    <xf numFmtId="0" fontId="239" fillId="0" borderId="0" applyNumberFormat="0" applyBorder="0" applyAlignment="0"/>
    <xf numFmtId="0" fontId="250" fillId="0" borderId="0" applyNumberFormat="0" applyBorder="0" applyAlignment="0"/>
    <xf numFmtId="0" fontId="357" fillId="0" borderId="0" applyNumberFormat="0" applyBorder="0" applyAlignment="0"/>
    <xf numFmtId="271" fontId="266" fillId="0" borderId="80">
      <protection locked="0"/>
    </xf>
    <xf numFmtId="3" fontId="3" fillId="0" borderId="43" applyNumberFormat="0" applyFont="0" applyFill="0" applyAlignment="0" applyProtection="0">
      <alignment vertical="center"/>
    </xf>
    <xf numFmtId="0" fontId="118" fillId="0" borderId="99"/>
    <xf numFmtId="0" fontId="89" fillId="0" borderId="99"/>
    <xf numFmtId="0" fontId="133" fillId="0" borderId="97" applyFill="0" applyBorder="0" applyProtection="0">
      <alignment horizontal="left" vertical="top"/>
    </xf>
    <xf numFmtId="0" fontId="133" fillId="0" borderId="97" applyFill="0" applyBorder="0" applyProtection="0">
      <alignment horizontal="left" vertical="top"/>
    </xf>
    <xf numFmtId="15" fontId="74" fillId="0" borderId="43" applyBorder="0">
      <alignment horizontal="center"/>
    </xf>
    <xf numFmtId="15" fontId="74" fillId="0" borderId="43" applyBorder="0">
      <alignment horizontal="center"/>
    </xf>
    <xf numFmtId="15" fontId="74" fillId="0" borderId="43" applyBorder="0">
      <alignment horizontal="center"/>
    </xf>
    <xf numFmtId="15" fontId="74" fillId="0" borderId="43" applyBorder="0">
      <alignment horizontal="center"/>
    </xf>
    <xf numFmtId="15" fontId="74" fillId="0" borderId="43" applyBorder="0">
      <alignment horizontal="center"/>
    </xf>
    <xf numFmtId="15" fontId="74" fillId="0" borderId="43" applyBorder="0">
      <alignment horizontal="center"/>
    </xf>
    <xf numFmtId="0" fontId="279" fillId="0" borderId="108" applyBorder="0">
      <alignment horizontal="center"/>
    </xf>
    <xf numFmtId="0" fontId="3" fillId="0" borderId="109" applyNumberFormat="0" applyFont="0" applyFill="0" applyAlignment="0" applyProtection="0"/>
    <xf numFmtId="0" fontId="123" fillId="0" borderId="110" applyNumberFormat="0" applyFill="0" applyAlignment="0" applyProtection="0"/>
    <xf numFmtId="0" fontId="173" fillId="0" borderId="99"/>
    <xf numFmtId="0" fontId="281" fillId="0" borderId="99"/>
    <xf numFmtId="0" fontId="281" fillId="0" borderId="99"/>
    <xf numFmtId="0" fontId="281" fillId="0" borderId="99"/>
    <xf numFmtId="0" fontId="281" fillId="0" borderId="99"/>
    <xf numFmtId="0" fontId="281" fillId="0" borderId="99"/>
    <xf numFmtId="169" fontId="75" fillId="53" borderId="66"/>
    <xf numFmtId="169" fontId="75" fillId="53" borderId="66"/>
    <xf numFmtId="0" fontId="3" fillId="143" borderId="101" applyNumberFormat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0" fontId="304" fillId="65" borderId="98" applyNumberFormat="0" applyAlignment="0" applyProtection="0"/>
    <xf numFmtId="0" fontId="305" fillId="115" borderId="102" applyNumberFormat="0" applyAlignment="0" applyProtection="0"/>
    <xf numFmtId="0" fontId="315" fillId="0" borderId="100" applyNumberFormat="0" applyFill="0" applyAlignment="0" applyProtection="0"/>
    <xf numFmtId="0" fontId="316" fillId="115" borderId="98" applyNumberFormat="0" applyAlignment="0" applyProtection="0"/>
    <xf numFmtId="0" fontId="307" fillId="0" borderId="110" applyNumberFormat="0" applyFill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NumberFormat="0" applyFill="0" applyBorder="0" applyAlignment="0" applyProtection="0"/>
    <xf numFmtId="174" fontId="3" fillId="0" borderId="0" applyNumberForma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8" fontId="3" fillId="0" borderId="0" applyNumberFormat="0" applyFill="0" applyBorder="0" applyAlignment="0" applyProtection="0"/>
    <xf numFmtId="174" fontId="3" fillId="0" borderId="0" applyNumberForma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NumberFormat="0" applyFill="0" applyBorder="0" applyAlignment="0" applyProtection="0"/>
    <xf numFmtId="174" fontId="3" fillId="0" borderId="0" applyNumberForma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8" fontId="3" fillId="0" borderId="0" applyNumberFormat="0" applyFill="0" applyBorder="0" applyAlignment="0" applyProtection="0"/>
    <xf numFmtId="174" fontId="3" fillId="0" borderId="0" applyNumberForma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NumberFormat="0" applyFill="0" applyBorder="0" applyAlignment="0" applyProtection="0"/>
    <xf numFmtId="174" fontId="3" fillId="0" borderId="0" applyNumberForma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288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288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288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288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5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288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68" fontId="321" fillId="0" borderId="0" applyFont="0" applyFill="0" applyBorder="0" applyAlignment="0" applyProtection="0"/>
    <xf numFmtId="168" fontId="3" fillId="0" borderId="0" applyFont="0" applyFill="0" applyBorder="0" applyAlignment="0" applyProtection="0"/>
    <xf numFmtId="288" fontId="3" fillId="0" borderId="0" applyFont="0" applyFill="0" applyBorder="0" applyAlignment="0" applyProtection="0"/>
    <xf numFmtId="174" fontId="321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21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21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288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28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68" fontId="3" fillId="0" borderId="0" applyFont="0" applyFill="0" applyBorder="0" applyAlignment="0" applyProtection="0"/>
    <xf numFmtId="288" fontId="3" fillId="0" borderId="0" applyFont="0" applyFill="0" applyBorder="0" applyAlignment="0" applyProtection="0"/>
    <xf numFmtId="164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68" fontId="3" fillId="0" borderId="0" applyFont="0" applyFill="0" applyBorder="0" applyAlignment="0" applyProtection="0"/>
    <xf numFmtId="288" fontId="3" fillId="0" borderId="0" applyFont="0" applyFill="0" applyBorder="0" applyAlignment="0" applyProtection="0"/>
    <xf numFmtId="164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74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71" fontId="46" fillId="0" borderId="0" applyFont="0" applyFill="0" applyBorder="0" applyAlignment="0" applyProtection="0"/>
    <xf numFmtId="16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288" fontId="3" fillId="0" borderId="0" applyFont="0" applyFill="0" applyBorder="0" applyAlignment="0" applyProtection="0"/>
    <xf numFmtId="284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62" fillId="0" borderId="0"/>
    <xf numFmtId="0" fontId="363" fillId="0" borderId="0"/>
    <xf numFmtId="0" fontId="362" fillId="0" borderId="0"/>
    <xf numFmtId="0" fontId="363" fillId="0" borderId="0"/>
    <xf numFmtId="0" fontId="363" fillId="0" borderId="0"/>
    <xf numFmtId="37" fontId="364" fillId="0" borderId="0" applyFont="0" applyFill="0" applyBorder="0" applyProtection="0"/>
    <xf numFmtId="37" fontId="364" fillId="0" borderId="0" applyFont="0" applyFill="0" applyBorder="0" applyProtection="0"/>
    <xf numFmtId="37" fontId="364" fillId="0" borderId="0" applyFont="0" applyFill="0" applyBorder="0" applyProtection="0"/>
    <xf numFmtId="0" fontId="363" fillId="0" borderId="0"/>
    <xf numFmtId="0" fontId="363" fillId="0" borderId="0"/>
    <xf numFmtId="0" fontId="363" fillId="0" borderId="0"/>
    <xf numFmtId="0" fontId="362" fillId="0" borderId="0"/>
    <xf numFmtId="0" fontId="363" fillId="0" borderId="0"/>
    <xf numFmtId="0" fontId="363" fillId="0" borderId="0"/>
    <xf numFmtId="37" fontId="364" fillId="0" borderId="0" applyFont="0" applyFill="0" applyBorder="0" applyProtection="0"/>
    <xf numFmtId="0" fontId="363" fillId="0" borderId="0"/>
    <xf numFmtId="0" fontId="363" fillId="0" borderId="0"/>
    <xf numFmtId="0" fontId="362" fillId="0" borderId="0"/>
    <xf numFmtId="0" fontId="363" fillId="0" borderId="0"/>
    <xf numFmtId="0" fontId="363" fillId="0" borderId="0"/>
    <xf numFmtId="0" fontId="362" fillId="0" borderId="0"/>
    <xf numFmtId="0" fontId="362" fillId="0" borderId="0"/>
    <xf numFmtId="0" fontId="3" fillId="0" borderId="0"/>
    <xf numFmtId="0" fontId="3" fillId="0" borderId="0"/>
    <xf numFmtId="0" fontId="3" fillId="0" borderId="0"/>
    <xf numFmtId="0" fontId="22" fillId="55" borderId="0" applyNumberFormat="0" applyBorder="0" applyAlignment="0" applyProtection="0"/>
    <xf numFmtId="0" fontId="22" fillId="58" borderId="0" applyNumberFormat="0" applyBorder="0" applyAlignment="0" applyProtection="0"/>
    <xf numFmtId="0" fontId="22" fillId="60" borderId="0" applyNumberFormat="0" applyBorder="0" applyAlignment="0" applyProtection="0"/>
    <xf numFmtId="0" fontId="22" fillId="62" borderId="0" applyNumberFormat="0" applyBorder="0" applyAlignment="0" applyProtection="0"/>
    <xf numFmtId="0" fontId="22" fillId="64" borderId="0" applyNumberFormat="0" applyBorder="0" applyAlignment="0" applyProtection="0"/>
    <xf numFmtId="0" fontId="22" fillId="66" borderId="0" applyNumberFormat="0" applyBorder="0" applyAlignment="0" applyProtection="0"/>
    <xf numFmtId="0" fontId="22" fillId="69" borderId="0" applyNumberFormat="0" applyBorder="0" applyAlignment="0" applyProtection="0"/>
    <xf numFmtId="0" fontId="22" fillId="72" borderId="0" applyNumberFormat="0" applyBorder="0" applyAlignment="0" applyProtection="0"/>
    <xf numFmtId="0" fontId="22" fillId="74" borderId="0" applyNumberFormat="0" applyBorder="0" applyAlignment="0" applyProtection="0"/>
    <xf numFmtId="0" fontId="22" fillId="62" borderId="0" applyNumberFormat="0" applyBorder="0" applyAlignment="0" applyProtection="0"/>
    <xf numFmtId="0" fontId="22" fillId="69" borderId="0" applyNumberFormat="0" applyBorder="0" applyAlignment="0" applyProtection="0"/>
    <xf numFmtId="0" fontId="22" fillId="77" borderId="0" applyNumberFormat="0" applyBorder="0" applyAlignment="0" applyProtection="0"/>
    <xf numFmtId="0" fontId="65" fillId="79" borderId="0" applyNumberFormat="0" applyBorder="0" applyAlignment="0" applyProtection="0"/>
    <xf numFmtId="0" fontId="65" fillId="72" borderId="0" applyNumberFormat="0" applyBorder="0" applyAlignment="0" applyProtection="0"/>
    <xf numFmtId="0" fontId="65" fillId="74" borderId="0" applyNumberFormat="0" applyBorder="0" applyAlignment="0" applyProtection="0"/>
    <xf numFmtId="0" fontId="65" fillId="81" borderId="0" applyNumberFormat="0" applyBorder="0" applyAlignment="0" applyProtection="0"/>
    <xf numFmtId="0" fontId="65" fillId="84" borderId="0" applyNumberFormat="0" applyBorder="0" applyAlignment="0" applyProtection="0"/>
    <xf numFmtId="0" fontId="65" fillId="8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5" fillId="91" borderId="0" applyNumberFormat="0" applyBorder="0" applyAlignment="0" applyProtection="0"/>
    <xf numFmtId="0" fontId="65" fillId="91" borderId="0" applyNumberFormat="0" applyBorder="0" applyAlignment="0" applyProtection="0"/>
    <xf numFmtId="0" fontId="65" fillId="97" borderId="0" applyNumberFormat="0" applyBorder="0" applyAlignment="0" applyProtection="0"/>
    <xf numFmtId="0" fontId="65" fillId="97" borderId="0" applyNumberFormat="0" applyBorder="0" applyAlignment="0" applyProtection="0"/>
    <xf numFmtId="0" fontId="65" fillId="103" borderId="0" applyNumberFormat="0" applyBorder="0" applyAlignment="0" applyProtection="0"/>
    <xf numFmtId="0" fontId="65" fillId="103" borderId="0" applyNumberFormat="0" applyBorder="0" applyAlignment="0" applyProtection="0"/>
    <xf numFmtId="0" fontId="65" fillId="81" borderId="0" applyNumberFormat="0" applyBorder="0" applyAlignment="0" applyProtection="0"/>
    <xf numFmtId="0" fontId="65" fillId="81" borderId="0" applyNumberFormat="0" applyBorder="0" applyAlignment="0" applyProtection="0"/>
    <xf numFmtId="0" fontId="65" fillId="84" borderId="0" applyNumberFormat="0" applyBorder="0" applyAlignment="0" applyProtection="0"/>
    <xf numFmtId="0" fontId="65" fillId="84" borderId="0" applyNumberFormat="0" applyBorder="0" applyAlignment="0" applyProtection="0"/>
    <xf numFmtId="0" fontId="65" fillId="113" borderId="0" applyNumberFormat="0" applyBorder="0" applyAlignment="0" applyProtection="0"/>
    <xf numFmtId="0" fontId="65" fillId="113" borderId="0" applyNumberFormat="0" applyBorder="0" applyAlignment="0" applyProtection="0"/>
    <xf numFmtId="167" fontId="364" fillId="0" borderId="0" applyFont="0" applyFill="0" applyBorder="0" applyProtection="0"/>
    <xf numFmtId="290" fontId="73" fillId="0" borderId="0" applyFont="0" applyFill="0" applyBorder="0" applyProtection="0"/>
    <xf numFmtId="167" fontId="50" fillId="0" borderId="0" applyFont="0" applyFill="0" applyBorder="0" applyProtection="0">
      <alignment horizontal="right"/>
      <protection locked="0"/>
    </xf>
    <xf numFmtId="0" fontId="81" fillId="58" borderId="0" applyNumberFormat="0" applyBorder="0" applyAlignment="0" applyProtection="0"/>
    <xf numFmtId="0" fontId="96" fillId="119" borderId="45" applyNumberFormat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6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291" fontId="365" fillId="0" borderId="0" applyFont="0" applyFill="0" applyBorder="0" applyProtection="0"/>
    <xf numFmtId="291" fontId="366" fillId="0" borderId="0"/>
    <xf numFmtId="292" fontId="364" fillId="0" borderId="0" applyFont="0" applyFill="0" applyBorder="0" applyProtection="0"/>
    <xf numFmtId="293" fontId="3" fillId="0" borderId="0">
      <protection locked="0"/>
    </xf>
    <xf numFmtId="293" fontId="3" fillId="0" borderId="0">
      <protection locked="0"/>
    </xf>
    <xf numFmtId="293" fontId="3" fillId="0" borderId="0">
      <protection locked="0"/>
    </xf>
    <xf numFmtId="293" fontId="3" fillId="0" borderId="0">
      <protection locked="0"/>
    </xf>
    <xf numFmtId="0" fontId="126" fillId="0" borderId="0" applyNumberFormat="0" applyFill="0" applyBorder="0" applyAlignment="0" applyProtection="0"/>
    <xf numFmtId="37" fontId="365" fillId="0" borderId="0" applyNumberFormat="0" applyFont="0" applyFill="0" applyBorder="0" applyProtection="0">
      <alignment horizontal="fill"/>
    </xf>
    <xf numFmtId="294" fontId="3" fillId="0" borderId="0">
      <protection locked="0"/>
    </xf>
    <xf numFmtId="294" fontId="3" fillId="0" borderId="0">
      <protection locked="0"/>
    </xf>
    <xf numFmtId="0" fontId="135" fillId="60" borderId="0" applyNumberFormat="0" applyBorder="0" applyAlignment="0" applyProtection="0"/>
    <xf numFmtId="0" fontId="145" fillId="0" borderId="55" applyNumberFormat="0" applyFill="0" applyAlignment="0" applyProtection="0"/>
    <xf numFmtId="0" fontId="150" fillId="0" borderId="57" applyNumberFormat="0" applyFill="0" applyAlignment="0" applyProtection="0"/>
    <xf numFmtId="0" fontId="155" fillId="0" borderId="114" applyNumberFormat="0" applyFill="0" applyAlignment="0" applyProtection="0"/>
    <xf numFmtId="0" fontId="155" fillId="0" borderId="114" applyNumberFormat="0" applyFill="0" applyAlignment="0" applyProtection="0"/>
    <xf numFmtId="0" fontId="155" fillId="0" borderId="114" applyNumberFormat="0" applyFill="0" applyAlignment="0" applyProtection="0"/>
    <xf numFmtId="0" fontId="155" fillId="0" borderId="114" applyNumberFormat="0" applyFill="0" applyAlignment="0" applyProtection="0"/>
    <xf numFmtId="0" fontId="155" fillId="0" borderId="0" applyNumberFormat="0" applyFill="0" applyBorder="0" applyAlignment="0" applyProtection="0"/>
    <xf numFmtId="289" fontId="3" fillId="0" borderId="0">
      <protection locked="0"/>
    </xf>
    <xf numFmtId="289" fontId="3" fillId="0" borderId="0">
      <protection locked="0"/>
    </xf>
    <xf numFmtId="289" fontId="3" fillId="0" borderId="0">
      <protection locked="0"/>
    </xf>
    <xf numFmtId="289" fontId="3" fillId="0" borderId="0">
      <protection locked="0"/>
    </xf>
    <xf numFmtId="0" fontId="122" fillId="66" borderId="87" applyNumberFormat="0" applyAlignment="0" applyProtection="0"/>
    <xf numFmtId="0" fontId="174" fillId="0" borderId="63" applyNumberFormat="0" applyFill="0" applyAlignment="0" applyProtection="0"/>
    <xf numFmtId="0" fontId="185" fillId="138" borderId="0" applyNumberFormat="0" applyBorder="0" applyAlignment="0" applyProtection="0"/>
    <xf numFmtId="0" fontId="19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/>
    <xf numFmtId="0" fontId="2" fillId="0" borderId="0"/>
    <xf numFmtId="0" fontId="22" fillId="0" borderId="0"/>
    <xf numFmtId="0" fontId="22" fillId="0" borderId="0"/>
    <xf numFmtId="0" fontId="3" fillId="0" borderId="0"/>
    <xf numFmtId="0" fontId="3" fillId="0" borderId="0"/>
    <xf numFmtId="0" fontId="3" fillId="0" borderId="0"/>
    <xf numFmtId="0" fontId="7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0" fontId="3" fillId="142" borderId="68" applyNumberFormat="0" applyFont="0" applyAlignment="0" applyProtection="0"/>
    <xf numFmtId="39" fontId="365" fillId="0" borderId="0" applyFont="0" applyFill="0" applyBorder="0" applyProtection="0"/>
    <xf numFmtId="295" fontId="73" fillId="0" borderId="0" applyFont="0" applyFill="0" applyBorder="0" applyProtection="0"/>
    <xf numFmtId="0" fontId="79" fillId="118" borderId="71" applyNumberFormat="0" applyAlignment="0" applyProtection="0"/>
    <xf numFmtId="296" fontId="364" fillId="0" borderId="0" applyFont="0" applyFill="0" applyBorder="0" applyProtection="0">
      <alignment horizontal="center"/>
    </xf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9" fontId="364" fillId="0" borderId="0" applyFont="0" applyFill="0" applyBorder="0" applyProtection="0"/>
    <xf numFmtId="0" fontId="274" fillId="0" borderId="0" applyNumberFormat="0" applyFill="0" applyBorder="0" applyAlignment="0" applyProtection="0"/>
    <xf numFmtId="0" fontId="274" fillId="0" borderId="0" applyNumberFormat="0" applyFill="0" applyBorder="0" applyAlignment="0" applyProtection="0"/>
    <xf numFmtId="0" fontId="283" fillId="0" borderId="0" applyNumberFormat="0" applyFill="0" applyBorder="0" applyAlignment="0" applyProtection="0"/>
    <xf numFmtId="37" fontId="364" fillId="0" borderId="0" applyFont="0" applyFill="0" applyBorder="0" applyProtection="0"/>
    <xf numFmtId="169" fontId="3" fillId="0" borderId="0" applyFont="0" applyFill="0" applyBorder="0" applyAlignment="0" applyProtection="0"/>
    <xf numFmtId="0" fontId="46" fillId="0" borderId="0"/>
  </cellStyleXfs>
  <cellXfs count="1307">
    <xf numFmtId="0" fontId="0" fillId="0" borderId="0" xfId="0"/>
    <xf numFmtId="0" fontId="4" fillId="0" borderId="0" xfId="4"/>
    <xf numFmtId="180" fontId="0" fillId="0" borderId="0" xfId="8" applyNumberFormat="1" applyFont="1"/>
    <xf numFmtId="0" fontId="4" fillId="5" borderId="0" xfId="4" applyFill="1"/>
    <xf numFmtId="167" fontId="5" fillId="5" borderId="4" xfId="5" applyFont="1" applyFill="1" applyBorder="1" applyAlignment="1">
      <alignment horizontal="center" vertical="center" wrapText="1"/>
    </xf>
    <xf numFmtId="0" fontId="6" fillId="0" borderId="0" xfId="4" applyFont="1" applyAlignment="1">
      <alignment horizontal="center"/>
    </xf>
    <xf numFmtId="0" fontId="4" fillId="0" borderId="7" xfId="4" applyBorder="1"/>
    <xf numFmtId="167" fontId="0" fillId="0" borderId="7" xfId="5" applyFont="1" applyFill="1" applyBorder="1"/>
    <xf numFmtId="0" fontId="4" fillId="3" borderId="0" xfId="4" applyFill="1"/>
    <xf numFmtId="180" fontId="0" fillId="0" borderId="7" xfId="8" applyNumberFormat="1" applyFont="1" applyFill="1" applyBorder="1"/>
    <xf numFmtId="167" fontId="6" fillId="0" borderId="5" xfId="5" applyFont="1" applyFill="1" applyBorder="1"/>
    <xf numFmtId="180" fontId="6" fillId="0" borderId="5" xfId="8" applyNumberFormat="1" applyFont="1" applyFill="1" applyBorder="1"/>
    <xf numFmtId="167" fontId="6" fillId="5" borderId="5" xfId="5" applyFont="1" applyFill="1" applyBorder="1"/>
    <xf numFmtId="180" fontId="0" fillId="0" borderId="7" xfId="8" applyNumberFormat="1" applyFont="1" applyBorder="1"/>
    <xf numFmtId="167" fontId="0" fillId="0" borderId="7" xfId="5" applyFont="1" applyBorder="1"/>
    <xf numFmtId="167" fontId="0" fillId="5" borderId="7" xfId="5" applyFont="1" applyFill="1" applyBorder="1"/>
    <xf numFmtId="167" fontId="0" fillId="0" borderId="7" xfId="6" applyFont="1" applyBorder="1"/>
    <xf numFmtId="167" fontId="9" fillId="0" borderId="7" xfId="5" applyFont="1" applyBorder="1"/>
    <xf numFmtId="0" fontId="9" fillId="0" borderId="0" xfId="4" applyFont="1"/>
    <xf numFmtId="0" fontId="4" fillId="0" borderId="7" xfId="4" applyBorder="1" applyAlignment="1">
      <alignment horizontal="left" indent="1"/>
    </xf>
    <xf numFmtId="167" fontId="6" fillId="0" borderId="5" xfId="5" applyFont="1" applyBorder="1"/>
    <xf numFmtId="180" fontId="6" fillId="0" borderId="5" xfId="8" applyNumberFormat="1" applyFont="1" applyBorder="1"/>
    <xf numFmtId="167" fontId="6" fillId="0" borderId="5" xfId="4" applyNumberFormat="1" applyFont="1" applyBorder="1"/>
    <xf numFmtId="167" fontId="6" fillId="5" borderId="5" xfId="4" applyNumberFormat="1" applyFont="1" applyFill="1" applyBorder="1"/>
    <xf numFmtId="167" fontId="0" fillId="0" borderId="0" xfId="5" applyFont="1"/>
    <xf numFmtId="167" fontId="0" fillId="5" borderId="0" xfId="5" applyFont="1" applyFill="1"/>
    <xf numFmtId="180" fontId="0" fillId="0" borderId="0" xfId="8" applyNumberFormat="1" applyFont="1" applyBorder="1"/>
    <xf numFmtId="169" fontId="0" fillId="0" borderId="7" xfId="8" applyFont="1" applyBorder="1" applyAlignment="1">
      <alignment vertical="top"/>
    </xf>
    <xf numFmtId="180" fontId="0" fillId="0" borderId="7" xfId="8" applyNumberFormat="1" applyFont="1" applyBorder="1" applyAlignment="1">
      <alignment vertical="top"/>
    </xf>
    <xf numFmtId="169" fontId="0" fillId="0" borderId="0" xfId="8" applyFont="1" applyAlignment="1">
      <alignment vertical="top"/>
    </xf>
    <xf numFmtId="180" fontId="0" fillId="0" borderId="7" xfId="9" applyNumberFormat="1" applyFont="1" applyBorder="1" applyAlignment="1">
      <alignment vertical="top"/>
    </xf>
    <xf numFmtId="180" fontId="0" fillId="0" borderId="0" xfId="9" applyNumberFormat="1" applyFont="1" applyAlignment="1">
      <alignment vertical="top"/>
    </xf>
    <xf numFmtId="167" fontId="6" fillId="0" borderId="10" xfId="5" applyFont="1" applyBorder="1"/>
    <xf numFmtId="180" fontId="6" fillId="0" borderId="10" xfId="8" applyNumberFormat="1" applyFont="1" applyBorder="1"/>
    <xf numFmtId="167" fontId="6" fillId="5" borderId="10" xfId="5" applyFont="1" applyFill="1" applyBorder="1"/>
    <xf numFmtId="167" fontId="6" fillId="0" borderId="10" xfId="4" applyNumberFormat="1" applyFont="1" applyBorder="1"/>
    <xf numFmtId="167" fontId="6" fillId="5" borderId="10" xfId="4" applyNumberFormat="1" applyFont="1" applyFill="1" applyBorder="1"/>
    <xf numFmtId="0" fontId="4" fillId="5" borderId="7" xfId="4" applyFill="1" applyBorder="1"/>
    <xf numFmtId="0" fontId="3" fillId="0" borderId="0" xfId="2"/>
    <xf numFmtId="167" fontId="3" fillId="12" borderId="0" xfId="1" applyFont="1" applyFill="1"/>
    <xf numFmtId="0" fontId="3" fillId="13" borderId="0" xfId="2" applyFill="1"/>
    <xf numFmtId="0" fontId="12" fillId="0" borderId="0" xfId="2" applyFont="1"/>
    <xf numFmtId="179" fontId="0" fillId="0" borderId="0" xfId="3" applyNumberFormat="1" applyFont="1"/>
    <xf numFmtId="167" fontId="0" fillId="0" borderId="0" xfId="1" applyFont="1"/>
    <xf numFmtId="0" fontId="3" fillId="3" borderId="0" xfId="2" applyFill="1"/>
    <xf numFmtId="0" fontId="14" fillId="0" borderId="0" xfId="0" applyFont="1" applyAlignment="1">
      <alignment vertical="center"/>
    </xf>
    <xf numFmtId="0" fontId="15" fillId="0" borderId="0" xfId="2" applyFont="1" applyAlignment="1">
      <alignment horizontal="center"/>
    </xf>
    <xf numFmtId="0" fontId="17" fillId="13" borderId="0" xfId="2" applyFont="1" applyFill="1"/>
    <xf numFmtId="179" fontId="19" fillId="0" borderId="0" xfId="3" applyNumberFormat="1" applyFont="1" applyAlignment="1">
      <alignment horizontal="left"/>
    </xf>
    <xf numFmtId="167" fontId="0" fillId="3" borderId="7" xfId="5" applyFont="1" applyFill="1" applyBorder="1"/>
    <xf numFmtId="0" fontId="0" fillId="0" borderId="0" xfId="0" applyAlignment="1">
      <alignment horizontal="center"/>
    </xf>
    <xf numFmtId="0" fontId="6" fillId="0" borderId="0" xfId="0" applyFont="1"/>
    <xf numFmtId="167" fontId="6" fillId="0" borderId="7" xfId="5" applyFont="1" applyBorder="1"/>
    <xf numFmtId="179" fontId="323" fillId="16" borderId="0" xfId="3" applyNumberFormat="1" applyFont="1" applyFill="1" applyAlignment="1">
      <alignment horizontal="left"/>
    </xf>
    <xf numFmtId="181" fontId="323" fillId="16" borderId="0" xfId="3" applyNumberFormat="1" applyFont="1" applyFill="1" applyAlignment="1">
      <alignment horizontal="center"/>
    </xf>
    <xf numFmtId="179" fontId="325" fillId="13" borderId="0" xfId="2" applyNumberFormat="1" applyFont="1" applyFill="1"/>
    <xf numFmtId="167" fontId="323" fillId="16" borderId="0" xfId="1" applyFont="1" applyFill="1" applyAlignment="1">
      <alignment horizontal="center"/>
    </xf>
    <xf numFmtId="0" fontId="325" fillId="0" borderId="0" xfId="2" applyFont="1"/>
    <xf numFmtId="179" fontId="323" fillId="17" borderId="0" xfId="3" applyNumberFormat="1" applyFont="1" applyFill="1" applyAlignment="1">
      <alignment horizontal="left"/>
    </xf>
    <xf numFmtId="181" fontId="323" fillId="17" borderId="0" xfId="3" applyNumberFormat="1" applyFont="1" applyFill="1" applyAlignment="1">
      <alignment horizontal="center"/>
    </xf>
    <xf numFmtId="0" fontId="325" fillId="13" borderId="0" xfId="2" applyFont="1" applyFill="1"/>
    <xf numFmtId="167" fontId="325" fillId="12" borderId="0" xfId="1" applyFont="1" applyFill="1"/>
    <xf numFmtId="167" fontId="325" fillId="9" borderId="0" xfId="1" applyFont="1" applyFill="1"/>
    <xf numFmtId="0" fontId="325" fillId="0" borderId="0" xfId="2" applyFont="1" applyAlignment="1">
      <alignment vertical="top"/>
    </xf>
    <xf numFmtId="167" fontId="325" fillId="0" borderId="0" xfId="1" applyFont="1" applyFill="1" applyAlignment="1">
      <alignment vertical="top"/>
    </xf>
    <xf numFmtId="179" fontId="14" fillId="0" borderId="0" xfId="3" applyNumberFormat="1" applyFont="1"/>
    <xf numFmtId="179" fontId="324" fillId="0" borderId="0" xfId="2" applyNumberFormat="1" applyFont="1"/>
    <xf numFmtId="179" fontId="325" fillId="0" borderId="0" xfId="10" applyNumberFormat="1" applyFont="1"/>
    <xf numFmtId="167" fontId="14" fillId="0" borderId="0" xfId="1" applyFont="1" applyFill="1"/>
    <xf numFmtId="179" fontId="14" fillId="3" borderId="0" xfId="3" applyNumberFormat="1" applyFont="1" applyFill="1"/>
    <xf numFmtId="167" fontId="14" fillId="9" borderId="0" xfId="1" applyFont="1" applyFill="1"/>
    <xf numFmtId="179" fontId="14" fillId="9" borderId="0" xfId="3" applyNumberFormat="1" applyFont="1" applyFill="1"/>
    <xf numFmtId="179" fontId="325" fillId="9" borderId="0" xfId="10" applyNumberFormat="1" applyFont="1" applyFill="1"/>
    <xf numFmtId="0" fontId="325" fillId="0" borderId="0" xfId="2" applyFont="1" applyAlignment="1">
      <alignment horizontal="left" vertical="top"/>
    </xf>
    <xf numFmtId="179" fontId="14" fillId="0" borderId="0" xfId="3" applyNumberFormat="1" applyFont="1" applyFill="1"/>
    <xf numFmtId="179" fontId="325" fillId="15" borderId="0" xfId="14" applyNumberFormat="1" applyFont="1" applyFill="1"/>
    <xf numFmtId="179" fontId="324" fillId="8" borderId="0" xfId="3" applyNumberFormat="1" applyFont="1" applyFill="1"/>
    <xf numFmtId="167" fontId="324" fillId="8" borderId="0" xfId="1" applyFont="1" applyFill="1"/>
    <xf numFmtId="167" fontId="325" fillId="13" borderId="0" xfId="1" applyFont="1" applyFill="1"/>
    <xf numFmtId="9" fontId="324" fillId="8" borderId="0" xfId="7" applyFont="1" applyFill="1"/>
    <xf numFmtId="167" fontId="323" fillId="17" borderId="0" xfId="1" applyFont="1" applyFill="1" applyAlignment="1">
      <alignment horizontal="center"/>
    </xf>
    <xf numFmtId="167" fontId="14" fillId="0" borderId="0" xfId="1" applyFont="1"/>
    <xf numFmtId="167" fontId="325" fillId="0" borderId="0" xfId="1" applyFont="1"/>
    <xf numFmtId="179" fontId="14" fillId="7" borderId="0" xfId="3" applyNumberFormat="1" applyFont="1" applyFill="1"/>
    <xf numFmtId="179" fontId="325" fillId="0" borderId="0" xfId="13" applyNumberFormat="1" applyFont="1"/>
    <xf numFmtId="179" fontId="325" fillId="15" borderId="0" xfId="10" applyNumberFormat="1" applyFont="1" applyFill="1"/>
    <xf numFmtId="167" fontId="325" fillId="0" borderId="0" xfId="1" applyFont="1" applyFill="1"/>
    <xf numFmtId="167" fontId="324" fillId="12" borderId="0" xfId="1" applyFont="1" applyFill="1"/>
    <xf numFmtId="179" fontId="325" fillId="0" borderId="0" xfId="2" applyNumberFormat="1" applyFont="1"/>
    <xf numFmtId="167" fontId="14" fillId="3" borderId="0" xfId="1" applyFont="1" applyFill="1"/>
    <xf numFmtId="179" fontId="325" fillId="0" borderId="0" xfId="12" applyNumberFormat="1" applyFont="1"/>
    <xf numFmtId="167" fontId="325" fillId="0" borderId="0" xfId="11" applyFont="1"/>
    <xf numFmtId="0" fontId="324" fillId="0" borderId="0" xfId="2" applyFont="1"/>
    <xf numFmtId="167" fontId="325" fillId="0" borderId="0" xfId="1" applyFont="1" applyAlignment="1">
      <alignment vertical="top"/>
    </xf>
    <xf numFmtId="167" fontId="323" fillId="0" borderId="0" xfId="1" applyFont="1" applyFill="1" applyAlignment="1">
      <alignment horizontal="center"/>
    </xf>
    <xf numFmtId="167" fontId="14" fillId="0" borderId="0" xfId="1" applyFont="1" applyFill="1" applyAlignment="1">
      <alignment horizontal="center"/>
    </xf>
    <xf numFmtId="179" fontId="325" fillId="18" borderId="0" xfId="10" applyNumberFormat="1" applyFont="1" applyFill="1"/>
    <xf numFmtId="167" fontId="325" fillId="0" borderId="0" xfId="1" applyFont="1" applyAlignment="1">
      <alignment horizontal="left" vertical="top"/>
    </xf>
    <xf numFmtId="167" fontId="325" fillId="15" borderId="0" xfId="1" applyFont="1" applyFill="1"/>
    <xf numFmtId="0" fontId="325" fillId="15" borderId="0" xfId="2" applyFont="1" applyFill="1"/>
    <xf numFmtId="169" fontId="325" fillId="0" borderId="0" xfId="10" applyFont="1"/>
    <xf numFmtId="179" fontId="323" fillId="3" borderId="0" xfId="3" applyNumberFormat="1" applyFont="1" applyFill="1"/>
    <xf numFmtId="9" fontId="325" fillId="0" borderId="0" xfId="7" applyFont="1"/>
    <xf numFmtId="10" fontId="325" fillId="12" borderId="0" xfId="7" applyNumberFormat="1" applyFont="1" applyFill="1"/>
    <xf numFmtId="167" fontId="325" fillId="0" borderId="0" xfId="2" applyNumberFormat="1" applyFont="1"/>
    <xf numFmtId="179" fontId="14" fillId="0" borderId="0" xfId="10" applyNumberFormat="1" applyFont="1"/>
    <xf numFmtId="179" fontId="323" fillId="0" borderId="0" xfId="10" applyNumberFormat="1" applyFont="1"/>
    <xf numFmtId="167" fontId="324" fillId="9" borderId="0" xfId="1" applyFont="1" applyFill="1"/>
    <xf numFmtId="167" fontId="324" fillId="14" borderId="0" xfId="7" applyNumberFormat="1" applyFont="1" applyFill="1"/>
    <xf numFmtId="167" fontId="323" fillId="167" borderId="0" xfId="1" applyFont="1" applyFill="1"/>
    <xf numFmtId="179" fontId="324" fillId="13" borderId="0" xfId="2" applyNumberFormat="1" applyFont="1" applyFill="1"/>
    <xf numFmtId="0" fontId="324" fillId="13" borderId="0" xfId="2" applyFont="1" applyFill="1"/>
    <xf numFmtId="167" fontId="6" fillId="0" borderId="0" xfId="1" applyFont="1" applyAlignment="1">
      <alignment horizontal="center"/>
    </xf>
    <xf numFmtId="180" fontId="6" fillId="0" borderId="7" xfId="8" applyNumberFormat="1" applyFont="1" applyBorder="1"/>
    <xf numFmtId="167" fontId="324" fillId="3" borderId="0" xfId="7" applyNumberFormat="1" applyFont="1" applyFill="1"/>
    <xf numFmtId="167" fontId="15" fillId="12" borderId="0" xfId="1" applyFont="1" applyFill="1" applyAlignment="1">
      <alignment horizontal="center"/>
    </xf>
    <xf numFmtId="167" fontId="13" fillId="168" borderId="0" xfId="1" applyFont="1" applyFill="1"/>
    <xf numFmtId="167" fontId="16" fillId="168" borderId="0" xfId="1" applyFont="1" applyFill="1" applyAlignment="1">
      <alignment horizontal="center"/>
    </xf>
    <xf numFmtId="167" fontId="328" fillId="3" borderId="0" xfId="1" applyFont="1" applyFill="1"/>
    <xf numFmtId="179" fontId="325" fillId="3" borderId="0" xfId="10" applyNumberFormat="1" applyFont="1" applyFill="1"/>
    <xf numFmtId="167" fontId="325" fillId="3" borderId="0" xfId="1" applyFont="1" applyFill="1"/>
    <xf numFmtId="167" fontId="15" fillId="20" borderId="0" xfId="1" applyFont="1" applyFill="1" applyAlignment="1">
      <alignment horizontal="center"/>
    </xf>
    <xf numFmtId="167" fontId="329" fillId="168" borderId="0" xfId="1" applyFont="1" applyFill="1"/>
    <xf numFmtId="10" fontId="329" fillId="168" borderId="0" xfId="7" applyNumberFormat="1" applyFont="1" applyFill="1"/>
    <xf numFmtId="167" fontId="327" fillId="168" borderId="0" xfId="1" applyFont="1" applyFill="1"/>
    <xf numFmtId="179" fontId="333" fillId="0" borderId="0" xfId="3" applyNumberFormat="1" applyFont="1" applyAlignment="1">
      <alignment horizontal="center"/>
    </xf>
    <xf numFmtId="167" fontId="0" fillId="0" borderId="90" xfId="5" applyFont="1" applyBorder="1"/>
    <xf numFmtId="0" fontId="4" fillId="0" borderId="90" xfId="4" applyBorder="1"/>
    <xf numFmtId="167" fontId="6" fillId="0" borderId="12" xfId="4" applyNumberFormat="1" applyFont="1" applyBorder="1"/>
    <xf numFmtId="167" fontId="9" fillId="0" borderId="0" xfId="4" applyNumberFormat="1" applyFont="1"/>
    <xf numFmtId="167" fontId="4" fillId="0" borderId="0" xfId="4" applyNumberFormat="1"/>
    <xf numFmtId="180" fontId="0" fillId="0" borderId="90" xfId="8" applyNumberFormat="1" applyFont="1" applyBorder="1"/>
    <xf numFmtId="167" fontId="5" fillId="5" borderId="92" xfId="5" applyFont="1" applyFill="1" applyBorder="1" applyAlignment="1">
      <alignment horizontal="center" vertical="center" wrapText="1"/>
    </xf>
    <xf numFmtId="0" fontId="5" fillId="6" borderId="88" xfId="4" applyFont="1" applyFill="1" applyBorder="1" applyAlignment="1">
      <alignment horizontal="center" vertical="center"/>
    </xf>
    <xf numFmtId="180" fontId="5" fillId="6" borderId="88" xfId="8" applyNumberFormat="1" applyFont="1" applyFill="1" applyBorder="1" applyAlignment="1">
      <alignment horizontal="center" vertical="center"/>
    </xf>
    <xf numFmtId="0" fontId="5" fillId="5" borderId="88" xfId="4" applyFont="1" applyFill="1" applyBorder="1" applyAlignment="1">
      <alignment horizontal="center" vertical="center"/>
    </xf>
    <xf numFmtId="179" fontId="323" fillId="7" borderId="0" xfId="3" applyNumberFormat="1" applyFont="1" applyFill="1" applyAlignment="1">
      <alignment horizontal="center" vertical="center"/>
    </xf>
    <xf numFmtId="181" fontId="323" fillId="7" borderId="0" xfId="3" applyNumberFormat="1" applyFont="1" applyFill="1" applyAlignment="1">
      <alignment horizontal="center" vertical="center"/>
    </xf>
    <xf numFmtId="0" fontId="324" fillId="13" borderId="0" xfId="2" applyFont="1" applyFill="1" applyAlignment="1">
      <alignment horizontal="center" vertical="center"/>
    </xf>
    <xf numFmtId="17" fontId="324" fillId="3" borderId="0" xfId="2" applyNumberFormat="1" applyFont="1" applyFill="1" applyAlignment="1">
      <alignment horizontal="center" vertical="center"/>
    </xf>
    <xf numFmtId="167" fontId="324" fillId="12" borderId="0" xfId="1" applyFont="1" applyFill="1" applyAlignment="1">
      <alignment horizontal="center" vertical="center"/>
    </xf>
    <xf numFmtId="167" fontId="327" fillId="168" borderId="0" xfId="1" applyFont="1" applyFill="1" applyAlignment="1">
      <alignment horizontal="center" vertical="center"/>
    </xf>
    <xf numFmtId="0" fontId="12" fillId="3" borderId="0" xfId="2" applyFont="1" applyFill="1"/>
    <xf numFmtId="0" fontId="0" fillId="0" borderId="13" xfId="0" applyBorder="1"/>
    <xf numFmtId="0" fontId="0" fillId="0" borderId="0" xfId="4" applyFont="1"/>
    <xf numFmtId="0" fontId="6" fillId="0" borderId="0" xfId="42583" applyFont="1"/>
    <xf numFmtId="0" fontId="2" fillId="0" borderId="0" xfId="42583"/>
    <xf numFmtId="286" fontId="6" fillId="7" borderId="16" xfId="33046" applyNumberFormat="1" applyFont="1" applyFill="1" applyBorder="1" applyAlignment="1">
      <alignment horizontal="center" vertical="center" wrapText="1"/>
    </xf>
    <xf numFmtId="0" fontId="6" fillId="0" borderId="0" xfId="42583" applyFont="1" applyAlignment="1">
      <alignment horizontal="center" vertical="center" wrapText="1"/>
    </xf>
    <xf numFmtId="0" fontId="6" fillId="0" borderId="0" xfId="42583" applyFont="1" applyAlignment="1">
      <alignment vertical="center"/>
    </xf>
    <xf numFmtId="9" fontId="0" fillId="0" borderId="0" xfId="7" applyFont="1" applyFill="1"/>
    <xf numFmtId="169" fontId="0" fillId="0" borderId="0" xfId="8" applyFont="1" applyBorder="1" applyAlignment="1">
      <alignment vertical="top"/>
    </xf>
    <xf numFmtId="180" fontId="0" fillId="0" borderId="0" xfId="8" applyNumberFormat="1" applyFont="1" applyBorder="1" applyAlignment="1">
      <alignment vertical="top"/>
    </xf>
    <xf numFmtId="180" fontId="0" fillId="0" borderId="0" xfId="9" applyNumberFormat="1" applyFont="1" applyBorder="1" applyAlignment="1">
      <alignment vertical="top"/>
    </xf>
    <xf numFmtId="0" fontId="3" fillId="0" borderId="0" xfId="16"/>
    <xf numFmtId="0" fontId="359" fillId="0" borderId="0" xfId="0" applyFont="1" applyAlignment="1">
      <alignment horizontal="center"/>
    </xf>
    <xf numFmtId="0" fontId="6" fillId="0" borderId="13" xfId="0" applyFont="1" applyBorder="1"/>
    <xf numFmtId="167" fontId="0" fillId="0" borderId="13" xfId="1" applyFont="1" applyBorder="1" applyAlignment="1">
      <alignment horizontal="center"/>
    </xf>
    <xf numFmtId="167" fontId="6" fillId="0" borderId="13" xfId="1" applyFont="1" applyBorder="1" applyAlignment="1">
      <alignment horizontal="center"/>
    </xf>
    <xf numFmtId="179" fontId="0" fillId="0" borderId="13" xfId="33046" applyNumberFormat="1" applyFont="1" applyFill="1" applyBorder="1"/>
    <xf numFmtId="179" fontId="2" fillId="0" borderId="0" xfId="42583" applyNumberFormat="1"/>
    <xf numFmtId="0" fontId="24" fillId="0" borderId="0" xfId="0" applyFont="1"/>
    <xf numFmtId="0" fontId="24" fillId="0" borderId="0" xfId="0" applyFont="1" applyAlignment="1">
      <alignment horizontal="center"/>
    </xf>
    <xf numFmtId="167" fontId="7" fillId="0" borderId="0" xfId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5" fillId="0" borderId="0" xfId="0" applyFont="1"/>
    <xf numFmtId="167" fontId="7" fillId="0" borderId="0" xfId="1" applyFont="1" applyFill="1" applyBorder="1" applyAlignment="1">
      <alignment horizontal="center"/>
    </xf>
    <xf numFmtId="167" fontId="5" fillId="0" borderId="0" xfId="1" applyFont="1" applyFill="1" applyBorder="1" applyAlignment="1">
      <alignment horizontal="center"/>
    </xf>
    <xf numFmtId="17" fontId="358" fillId="0" borderId="13" xfId="0" applyNumberFormat="1" applyFont="1" applyBorder="1" applyAlignment="1">
      <alignment horizontal="center"/>
    </xf>
    <xf numFmtId="167" fontId="359" fillId="0" borderId="13" xfId="1" applyFont="1" applyBorder="1" applyAlignment="1">
      <alignment horizontal="center"/>
    </xf>
    <xf numFmtId="167" fontId="358" fillId="0" borderId="13" xfId="1" applyFont="1" applyBorder="1" applyAlignment="1">
      <alignment horizontal="center"/>
    </xf>
    <xf numFmtId="167" fontId="322" fillId="0" borderId="0" xfId="1" applyFont="1" applyAlignment="1">
      <alignment horizontal="center"/>
    </xf>
    <xf numFmtId="17" fontId="6" fillId="0" borderId="13" xfId="0" applyNumberFormat="1" applyFont="1" applyBorder="1"/>
    <xf numFmtId="167" fontId="0" fillId="0" borderId="13" xfId="0" applyNumberFormat="1" applyBorder="1" applyAlignment="1">
      <alignment horizontal="center"/>
    </xf>
    <xf numFmtId="3" fontId="4" fillId="0" borderId="7" xfId="4" applyNumberFormat="1" applyBorder="1"/>
    <xf numFmtId="167" fontId="0" fillId="0" borderId="0" xfId="1" applyFont="1" applyFill="1"/>
    <xf numFmtId="167" fontId="1" fillId="0" borderId="0" xfId="1" applyFont="1"/>
    <xf numFmtId="169" fontId="1" fillId="0" borderId="113" xfId="8" applyFont="1" applyFill="1" applyBorder="1" applyAlignment="1">
      <alignment horizontal="left" indent="1"/>
    </xf>
    <xf numFmtId="167" fontId="0" fillId="5" borderId="113" xfId="5" applyFont="1" applyFill="1" applyBorder="1"/>
    <xf numFmtId="0" fontId="4" fillId="0" borderId="113" xfId="4" applyBorder="1" applyAlignment="1">
      <alignment horizontal="left" indent="1"/>
    </xf>
    <xf numFmtId="0" fontId="4" fillId="5" borderId="113" xfId="4" applyFill="1" applyBorder="1"/>
    <xf numFmtId="0" fontId="4" fillId="0" borderId="113" xfId="4" applyBorder="1" applyAlignment="1">
      <alignment horizontal="left"/>
    </xf>
    <xf numFmtId="167" fontId="4" fillId="0" borderId="113" xfId="4" applyNumberFormat="1" applyBorder="1" applyAlignment="1">
      <alignment horizontal="left"/>
    </xf>
    <xf numFmtId="169" fontId="1" fillId="0" borderId="113" xfId="10" applyFont="1" applyBorder="1" applyAlignment="1"/>
    <xf numFmtId="167" fontId="1" fillId="0" borderId="7" xfId="5" applyFont="1" applyBorder="1"/>
    <xf numFmtId="167" fontId="0" fillId="0" borderId="113" xfId="6" applyFont="1" applyBorder="1"/>
    <xf numFmtId="167" fontId="9" fillId="5" borderId="113" xfId="5" applyFont="1" applyFill="1" applyBorder="1"/>
    <xf numFmtId="167" fontId="0" fillId="0" borderId="113" xfId="5" applyFont="1" applyBorder="1"/>
    <xf numFmtId="0" fontId="4" fillId="0" borderId="113" xfId="4" applyBorder="1"/>
    <xf numFmtId="169" fontId="1" fillId="0" borderId="7" xfId="8" applyFont="1" applyBorder="1"/>
    <xf numFmtId="0" fontId="5" fillId="6" borderId="113" xfId="4" applyFont="1" applyFill="1" applyBorder="1" applyAlignment="1">
      <alignment horizontal="center" vertical="center"/>
    </xf>
    <xf numFmtId="180" fontId="5" fillId="6" borderId="113" xfId="8" applyNumberFormat="1" applyFont="1" applyFill="1" applyBorder="1" applyAlignment="1">
      <alignment horizontal="center" vertical="center"/>
    </xf>
    <xf numFmtId="0" fontId="5" fillId="5" borderId="113" xfId="4" applyFont="1" applyFill="1" applyBorder="1" applyAlignment="1">
      <alignment horizontal="center" vertical="center"/>
    </xf>
    <xf numFmtId="167" fontId="1" fillId="0" borderId="7" xfId="5" applyFont="1" applyFill="1" applyBorder="1"/>
    <xf numFmtId="167" fontId="1" fillId="0" borderId="0" xfId="5" applyFont="1" applyBorder="1"/>
    <xf numFmtId="167" fontId="1" fillId="0" borderId="113" xfId="5" applyFont="1" applyBorder="1"/>
    <xf numFmtId="167" fontId="6" fillId="0" borderId="113" xfId="5" applyFont="1" applyBorder="1"/>
    <xf numFmtId="167" fontId="6" fillId="5" borderId="113" xfId="5" applyFont="1" applyFill="1" applyBorder="1"/>
    <xf numFmtId="180" fontId="1" fillId="0" borderId="7" xfId="8" applyNumberFormat="1" applyFont="1" applyBorder="1"/>
    <xf numFmtId="180" fontId="1" fillId="0" borderId="0" xfId="8" applyNumberFormat="1" applyFont="1"/>
    <xf numFmtId="167" fontId="1" fillId="0" borderId="0" xfId="4" applyNumberFormat="1" applyFont="1"/>
    <xf numFmtId="167" fontId="361" fillId="0" borderId="0" xfId="1" applyFont="1"/>
    <xf numFmtId="167" fontId="361" fillId="0" borderId="0" xfId="1" applyFont="1" applyAlignment="1">
      <alignment horizontal="center"/>
    </xf>
    <xf numFmtId="167" fontId="361" fillId="3" borderId="0" xfId="1" applyFont="1" applyFill="1" applyAlignment="1">
      <alignment horizontal="center"/>
    </xf>
    <xf numFmtId="167" fontId="0" fillId="183" borderId="13" xfId="1" applyFont="1" applyFill="1" applyBorder="1" applyAlignment="1">
      <alignment horizontal="center"/>
    </xf>
    <xf numFmtId="167" fontId="360" fillId="0" borderId="0" xfId="1" applyFont="1" applyAlignment="1">
      <alignment horizontal="center"/>
    </xf>
    <xf numFmtId="0" fontId="325" fillId="3" borderId="0" xfId="2" applyFont="1" applyFill="1" applyAlignment="1">
      <alignment vertical="top"/>
    </xf>
    <xf numFmtId="179" fontId="323" fillId="0" borderId="0" xfId="3" applyNumberFormat="1" applyFont="1" applyFill="1" applyAlignment="1">
      <alignment horizontal="left"/>
    </xf>
    <xf numFmtId="167" fontId="371" fillId="0" borderId="13" xfId="1" applyFont="1" applyBorder="1" applyAlignment="1">
      <alignment horizontal="center"/>
    </xf>
    <xf numFmtId="167" fontId="370" fillId="0" borderId="0" xfId="0" applyNumberFormat="1" applyFont="1" applyAlignment="1">
      <alignment horizontal="center"/>
    </xf>
    <xf numFmtId="17" fontId="6" fillId="0" borderId="13" xfId="0" applyNumberFormat="1" applyFont="1" applyBorder="1" applyAlignment="1">
      <alignment horizontal="center"/>
    </xf>
    <xf numFmtId="167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179" fontId="0" fillId="3" borderId="0" xfId="0" applyNumberFormat="1" applyFill="1" applyAlignment="1">
      <alignment horizontal="center"/>
    </xf>
    <xf numFmtId="0" fontId="6" fillId="185" borderId="0" xfId="0" applyFont="1" applyFill="1" applyAlignment="1">
      <alignment horizontal="center" vertical="center"/>
    </xf>
    <xf numFmtId="0" fontId="6" fillId="185" borderId="0" xfId="0" applyFont="1" applyFill="1" applyAlignment="1">
      <alignment horizontal="center" vertical="center" wrapText="1"/>
    </xf>
    <xf numFmtId="9" fontId="0" fillId="0" borderId="0" xfId="0" applyNumberFormat="1" applyAlignment="1">
      <alignment horizontal="center"/>
    </xf>
    <xf numFmtId="179" fontId="0" fillId="186" borderId="0" xfId="0" applyNumberFormat="1" applyFill="1" applyAlignment="1">
      <alignment horizontal="center"/>
    </xf>
    <xf numFmtId="179" fontId="0" fillId="187" borderId="0" xfId="0" applyNumberFormat="1" applyFill="1" applyAlignment="1">
      <alignment horizontal="center"/>
    </xf>
    <xf numFmtId="167" fontId="6" fillId="0" borderId="0" xfId="1" applyFont="1" applyBorder="1" applyAlignment="1">
      <alignment horizontal="center"/>
    </xf>
    <xf numFmtId="167" fontId="358" fillId="0" borderId="0" xfId="1" applyFont="1" applyBorder="1" applyAlignment="1">
      <alignment horizontal="center"/>
    </xf>
    <xf numFmtId="167" fontId="371" fillId="0" borderId="0" xfId="1" applyFont="1" applyBorder="1" applyAlignment="1">
      <alignment horizontal="center"/>
    </xf>
    <xf numFmtId="167" fontId="324" fillId="3" borderId="0" xfId="1" applyFont="1" applyFill="1"/>
    <xf numFmtId="167" fontId="323" fillId="17" borderId="0" xfId="1" applyFont="1" applyFill="1" applyAlignment="1">
      <alignment horizontal="left"/>
    </xf>
    <xf numFmtId="167" fontId="324" fillId="14" borderId="0" xfId="1" applyFont="1" applyFill="1"/>
    <xf numFmtId="167" fontId="323" fillId="16" borderId="0" xfId="1" applyFont="1" applyFill="1" applyAlignment="1">
      <alignment horizontal="left"/>
    </xf>
    <xf numFmtId="167" fontId="323" fillId="0" borderId="0" xfId="1" applyFont="1" applyFill="1" applyAlignment="1">
      <alignment horizontal="left"/>
    </xf>
    <xf numFmtId="9" fontId="325" fillId="13" borderId="0" xfId="7" applyFont="1" applyFill="1"/>
    <xf numFmtId="17" fontId="324" fillId="20" borderId="0" xfId="2" applyNumberFormat="1" applyFont="1" applyFill="1" applyAlignment="1">
      <alignment horizontal="center" vertical="center"/>
    </xf>
    <xf numFmtId="179" fontId="324" fillId="3" borderId="0" xfId="2" applyNumberFormat="1" applyFont="1" applyFill="1"/>
    <xf numFmtId="179" fontId="324" fillId="9" borderId="0" xfId="2" applyNumberFormat="1" applyFont="1" applyFill="1"/>
    <xf numFmtId="179" fontId="325" fillId="9" borderId="0" xfId="2" applyNumberFormat="1" applyFont="1" applyFill="1"/>
    <xf numFmtId="179" fontId="324" fillId="13" borderId="0" xfId="3" applyNumberFormat="1" applyFont="1" applyFill="1"/>
    <xf numFmtId="179" fontId="323" fillId="13" borderId="0" xfId="3" applyNumberFormat="1" applyFont="1" applyFill="1" applyAlignment="1">
      <alignment horizontal="left"/>
    </xf>
    <xf numFmtId="167" fontId="11" fillId="52" borderId="21" xfId="1" applyFont="1" applyFill="1" applyBorder="1" applyAlignment="1">
      <alignment vertical="center" shrinkToFit="1"/>
    </xf>
    <xf numFmtId="179" fontId="322" fillId="0" borderId="13" xfId="33046" applyNumberFormat="1" applyFont="1" applyFill="1" applyBorder="1"/>
    <xf numFmtId="0" fontId="322" fillId="0" borderId="0" xfId="42583" applyFont="1"/>
    <xf numFmtId="179" fontId="322" fillId="0" borderId="0" xfId="42583" applyNumberFormat="1" applyFont="1"/>
    <xf numFmtId="169" fontId="1" fillId="3" borderId="113" xfId="8" applyFont="1" applyFill="1" applyBorder="1" applyAlignment="1">
      <alignment horizontal="left" indent="1"/>
    </xf>
    <xf numFmtId="0" fontId="4" fillId="9" borderId="0" xfId="4" applyFill="1"/>
    <xf numFmtId="169" fontId="1" fillId="9" borderId="113" xfId="8" applyFont="1" applyFill="1" applyBorder="1" applyAlignment="1">
      <alignment horizontal="left" indent="1"/>
    </xf>
    <xf numFmtId="167" fontId="0" fillId="9" borderId="7" xfId="5" applyFont="1" applyFill="1" applyBorder="1"/>
    <xf numFmtId="167" fontId="0" fillId="9" borderId="113" xfId="5" applyFont="1" applyFill="1" applyBorder="1"/>
    <xf numFmtId="167" fontId="0" fillId="0" borderId="0" xfId="5" applyFont="1" applyBorder="1"/>
    <xf numFmtId="179" fontId="323" fillId="9" borderId="0" xfId="3" applyNumberFormat="1" applyFont="1" applyFill="1"/>
    <xf numFmtId="0" fontId="324" fillId="3" borderId="0" xfId="2" applyFont="1" applyFill="1" applyAlignment="1">
      <alignment vertical="top"/>
    </xf>
    <xf numFmtId="179" fontId="6" fillId="0" borderId="13" xfId="33046" applyNumberFormat="1" applyFont="1" applyFill="1" applyBorder="1"/>
    <xf numFmtId="179" fontId="6" fillId="3" borderId="13" xfId="33046" applyNumberFormat="1" applyFont="1" applyFill="1" applyBorder="1"/>
    <xf numFmtId="179" fontId="11" fillId="9" borderId="13" xfId="33046" applyNumberFormat="1" applyFont="1" applyFill="1" applyBorder="1"/>
    <xf numFmtId="167" fontId="4" fillId="9" borderId="0" xfId="1" applyFont="1" applyFill="1"/>
    <xf numFmtId="167" fontId="1" fillId="9" borderId="113" xfId="1" applyFont="1" applyFill="1" applyBorder="1" applyAlignment="1">
      <alignment horizontal="left" indent="1"/>
    </xf>
    <xf numFmtId="167" fontId="0" fillId="9" borderId="7" xfId="1" applyFont="1" applyFill="1" applyBorder="1"/>
    <xf numFmtId="167" fontId="0" fillId="9" borderId="113" xfId="1" applyFont="1" applyFill="1" applyBorder="1"/>
    <xf numFmtId="167" fontId="4" fillId="3" borderId="0" xfId="1" applyFont="1" applyFill="1"/>
    <xf numFmtId="167" fontId="1" fillId="3" borderId="113" xfId="1" applyFont="1" applyFill="1" applyBorder="1" applyAlignment="1">
      <alignment horizontal="left" indent="1"/>
    </xf>
    <xf numFmtId="167" fontId="0" fillId="3" borderId="7" xfId="1" applyFont="1" applyFill="1" applyBorder="1"/>
    <xf numFmtId="167" fontId="0" fillId="5" borderId="113" xfId="1" applyFont="1" applyFill="1" applyBorder="1"/>
    <xf numFmtId="167" fontId="6" fillId="3" borderId="0" xfId="1" applyFont="1" applyFill="1"/>
    <xf numFmtId="167" fontId="6" fillId="3" borderId="113" xfId="1" applyFont="1" applyFill="1" applyBorder="1" applyAlignment="1">
      <alignment horizontal="left" indent="1"/>
    </xf>
    <xf numFmtId="167" fontId="6" fillId="3" borderId="7" xfId="1" applyFont="1" applyFill="1" applyBorder="1"/>
    <xf numFmtId="167" fontId="6" fillId="5" borderId="113" xfId="1" applyFont="1" applyFill="1" applyBorder="1"/>
    <xf numFmtId="167" fontId="5" fillId="0" borderId="0" xfId="1" applyFont="1"/>
    <xf numFmtId="0" fontId="12" fillId="0" borderId="0" xfId="16" applyFont="1"/>
    <xf numFmtId="167" fontId="5" fillId="0" borderId="0" xfId="1" applyFont="1" applyAlignment="1">
      <alignment horizontal="center"/>
    </xf>
    <xf numFmtId="167" fontId="0" fillId="0" borderId="113" xfId="5" applyFont="1" applyFill="1" applyBorder="1"/>
    <xf numFmtId="180" fontId="0" fillId="0" borderId="113" xfId="8" applyNumberFormat="1" applyFont="1" applyBorder="1"/>
    <xf numFmtId="167" fontId="4" fillId="0" borderId="0" xfId="1" applyFont="1" applyFill="1"/>
    <xf numFmtId="167" fontId="1" fillId="0" borderId="113" xfId="1" applyFont="1" applyFill="1" applyBorder="1" applyAlignment="1">
      <alignment horizontal="left" indent="1"/>
    </xf>
    <xf numFmtId="167" fontId="0" fillId="0" borderId="7" xfId="1" applyFont="1" applyFill="1" applyBorder="1"/>
    <xf numFmtId="167" fontId="0" fillId="0" borderId="113" xfId="1" applyFont="1" applyFill="1" applyBorder="1"/>
    <xf numFmtId="167" fontId="322" fillId="0" borderId="0" xfId="1" applyFont="1" applyFill="1"/>
    <xf numFmtId="167" fontId="322" fillId="0" borderId="113" xfId="1" applyFont="1" applyFill="1" applyBorder="1" applyAlignment="1">
      <alignment horizontal="left" indent="1"/>
    </xf>
    <xf numFmtId="167" fontId="322" fillId="0" borderId="7" xfId="1" applyFont="1" applyFill="1" applyBorder="1"/>
    <xf numFmtId="167" fontId="322" fillId="0" borderId="113" xfId="1" applyFont="1" applyFill="1" applyBorder="1"/>
    <xf numFmtId="0" fontId="3" fillId="0" borderId="0" xfId="2" applyProtection="1">
      <protection locked="0"/>
    </xf>
    <xf numFmtId="0" fontId="330" fillId="0" borderId="0" xfId="2" applyFont="1" applyProtection="1">
      <protection locked="0"/>
    </xf>
    <xf numFmtId="179" fontId="19" fillId="0" borderId="0" xfId="3" applyNumberFormat="1" applyFont="1" applyAlignment="1" applyProtection="1">
      <alignment horizontal="left"/>
      <protection locked="0"/>
    </xf>
    <xf numFmtId="0" fontId="17" fillId="0" borderId="0" xfId="2" applyFont="1" applyProtection="1">
      <protection locked="0"/>
    </xf>
    <xf numFmtId="0" fontId="331" fillId="0" borderId="0" xfId="2" applyFont="1" applyProtection="1">
      <protection locked="0"/>
    </xf>
    <xf numFmtId="179" fontId="18" fillId="0" borderId="0" xfId="3" applyNumberFormat="1" applyFont="1" applyProtection="1">
      <protection locked="0"/>
    </xf>
    <xf numFmtId="179" fontId="323" fillId="7" borderId="0" xfId="3" applyNumberFormat="1" applyFont="1" applyFill="1" applyAlignment="1" applyProtection="1">
      <alignment horizontal="center" vertical="center"/>
      <protection locked="0"/>
    </xf>
    <xf numFmtId="179" fontId="323" fillId="7" borderId="0" xfId="3" applyNumberFormat="1" applyFont="1" applyFill="1" applyAlignment="1" applyProtection="1">
      <alignment horizontal="center" vertical="center" wrapText="1"/>
      <protection locked="0"/>
    </xf>
    <xf numFmtId="179" fontId="323" fillId="16" borderId="0" xfId="3" applyNumberFormat="1" applyFont="1" applyFill="1" applyAlignment="1" applyProtection="1">
      <alignment horizontal="left"/>
      <protection locked="0"/>
    </xf>
    <xf numFmtId="179" fontId="323" fillId="17" borderId="0" xfId="3" applyNumberFormat="1" applyFont="1" applyFill="1" applyAlignment="1" applyProtection="1">
      <alignment horizontal="left"/>
      <protection locked="0"/>
    </xf>
    <xf numFmtId="0" fontId="3" fillId="5" borderId="0" xfId="2" applyFill="1" applyProtection="1">
      <protection locked="0"/>
    </xf>
    <xf numFmtId="0" fontId="325" fillId="0" borderId="0" xfId="2" applyFont="1" applyAlignment="1" applyProtection="1">
      <alignment vertical="top"/>
      <protection locked="0"/>
    </xf>
    <xf numFmtId="0" fontId="325" fillId="0" borderId="0" xfId="2" applyFont="1" applyAlignment="1" applyProtection="1">
      <alignment horizontal="left" vertical="top"/>
      <protection locked="0"/>
    </xf>
    <xf numFmtId="0" fontId="12" fillId="3" borderId="0" xfId="2" applyFont="1" applyFill="1" applyProtection="1">
      <protection locked="0"/>
    </xf>
    <xf numFmtId="0" fontId="332" fillId="3" borderId="0" xfId="2" applyFont="1" applyFill="1" applyProtection="1">
      <protection locked="0"/>
    </xf>
    <xf numFmtId="0" fontId="326" fillId="3" borderId="0" xfId="2" applyFont="1" applyFill="1" applyAlignment="1" applyProtection="1">
      <alignment vertical="top"/>
      <protection locked="0"/>
    </xf>
    <xf numFmtId="0" fontId="368" fillId="0" borderId="0" xfId="0" applyFont="1" applyAlignment="1" applyProtection="1">
      <alignment wrapText="1"/>
      <protection locked="0"/>
    </xf>
    <xf numFmtId="0" fontId="194" fillId="0" borderId="0" xfId="0" applyFont="1" applyAlignment="1" applyProtection="1">
      <alignment wrapText="1"/>
      <protection locked="0"/>
    </xf>
    <xf numFmtId="0" fontId="12" fillId="9" borderId="0" xfId="2" applyFont="1" applyFill="1" applyProtection="1">
      <protection locked="0"/>
    </xf>
    <xf numFmtId="0" fontId="326" fillId="9" borderId="0" xfId="2" applyFont="1" applyFill="1" applyAlignment="1" applyProtection="1">
      <alignment vertical="top"/>
      <protection locked="0"/>
    </xf>
    <xf numFmtId="0" fontId="3" fillId="3" borderId="0" xfId="2" applyFill="1" applyProtection="1">
      <protection locked="0"/>
    </xf>
    <xf numFmtId="0" fontId="3" fillId="184" borderId="0" xfId="2" applyFill="1" applyProtection="1">
      <protection locked="0"/>
    </xf>
    <xf numFmtId="179" fontId="14" fillId="0" borderId="0" xfId="3" applyNumberFormat="1" applyFont="1" applyFill="1" applyProtection="1">
      <protection locked="0"/>
    </xf>
    <xf numFmtId="0" fontId="367" fillId="0" borderId="0" xfId="0" applyFont="1" applyAlignment="1" applyProtection="1">
      <alignment wrapText="1"/>
      <protection locked="0"/>
    </xf>
    <xf numFmtId="179" fontId="14" fillId="0" borderId="0" xfId="3" applyNumberFormat="1" applyFont="1" applyProtection="1">
      <protection locked="0"/>
    </xf>
    <xf numFmtId="179" fontId="324" fillId="8" borderId="0" xfId="3" applyNumberFormat="1" applyFont="1" applyFill="1" applyProtection="1">
      <protection locked="0"/>
    </xf>
    <xf numFmtId="9" fontId="324" fillId="8" borderId="0" xfId="7" applyFont="1" applyFill="1" applyProtection="1">
      <protection locked="0"/>
    </xf>
    <xf numFmtId="0" fontId="325" fillId="0" borderId="0" xfId="2" applyFont="1" applyAlignment="1" applyProtection="1">
      <alignment horizontal="right" vertical="top"/>
      <protection locked="0"/>
    </xf>
    <xf numFmtId="179" fontId="0" fillId="0" borderId="0" xfId="3" applyNumberFormat="1" applyFont="1" applyProtection="1">
      <protection locked="0"/>
    </xf>
    <xf numFmtId="0" fontId="326" fillId="3" borderId="0" xfId="2" applyFont="1" applyFill="1" applyAlignment="1" applyProtection="1">
      <alignment horizontal="right" vertical="top"/>
      <protection locked="0"/>
    </xf>
    <xf numFmtId="0" fontId="369" fillId="0" borderId="0" xfId="2" applyFont="1" applyAlignment="1" applyProtection="1">
      <alignment horizontal="left" vertical="top"/>
      <protection locked="0"/>
    </xf>
    <xf numFmtId="0" fontId="3" fillId="9" borderId="0" xfId="2" applyFill="1" applyProtection="1">
      <protection locked="0"/>
    </xf>
    <xf numFmtId="167" fontId="323" fillId="17" borderId="0" xfId="1" applyFont="1" applyFill="1" applyAlignment="1" applyProtection="1">
      <alignment horizontal="left"/>
      <protection locked="0"/>
    </xf>
    <xf numFmtId="0" fontId="330" fillId="3" borderId="0" xfId="2" applyFont="1" applyFill="1" applyProtection="1">
      <protection locked="0"/>
    </xf>
    <xf numFmtId="0" fontId="326" fillId="0" borderId="0" xfId="2" applyFont="1" applyAlignment="1" applyProtection="1">
      <alignment vertical="top"/>
      <protection locked="0"/>
    </xf>
    <xf numFmtId="0" fontId="326" fillId="0" borderId="0" xfId="2" applyFont="1" applyAlignment="1" applyProtection="1">
      <alignment horizontal="right" vertical="top"/>
      <protection locked="0"/>
    </xf>
    <xf numFmtId="179" fontId="324" fillId="14" borderId="0" xfId="3" applyNumberFormat="1" applyFont="1" applyFill="1" applyProtection="1">
      <protection locked="0"/>
    </xf>
    <xf numFmtId="179" fontId="323" fillId="0" borderId="0" xfId="3" applyNumberFormat="1" applyFont="1" applyFill="1" applyAlignment="1" applyProtection="1">
      <alignment horizontal="left"/>
      <protection locked="0"/>
    </xf>
    <xf numFmtId="0" fontId="325" fillId="3" borderId="0" xfId="2" applyFont="1" applyFill="1" applyAlignment="1" applyProtection="1">
      <alignment horizontal="left" vertical="top"/>
      <protection locked="0"/>
    </xf>
    <xf numFmtId="0" fontId="325" fillId="7" borderId="0" xfId="2" applyFont="1" applyFill="1" applyAlignment="1" applyProtection="1">
      <alignment horizontal="left" vertical="top"/>
      <protection locked="0"/>
    </xf>
    <xf numFmtId="179" fontId="323" fillId="167" borderId="0" xfId="3" applyNumberFormat="1" applyFont="1" applyFill="1" applyProtection="1">
      <protection locked="0"/>
    </xf>
    <xf numFmtId="179" fontId="323" fillId="3" borderId="0" xfId="3" applyNumberFormat="1" applyFont="1" applyFill="1" applyProtection="1">
      <protection locked="0"/>
    </xf>
    <xf numFmtId="179" fontId="323" fillId="0" borderId="0" xfId="3" applyNumberFormat="1" applyFont="1" applyProtection="1">
      <protection locked="0"/>
    </xf>
    <xf numFmtId="0" fontId="12" fillId="0" borderId="0" xfId="2" applyFont="1" applyProtection="1">
      <protection locked="0"/>
    </xf>
    <xf numFmtId="0" fontId="332" fillId="0" borderId="0" xfId="2" applyFont="1" applyProtection="1">
      <protection locked="0"/>
    </xf>
    <xf numFmtId="167" fontId="323" fillId="16" borderId="0" xfId="1" applyFont="1" applyFill="1" applyAlignment="1" applyProtection="1">
      <alignment horizontal="center"/>
      <protection locked="0"/>
    </xf>
    <xf numFmtId="167" fontId="325" fillId="0" borderId="0" xfId="1" applyFont="1" applyProtection="1">
      <protection locked="0"/>
    </xf>
    <xf numFmtId="167" fontId="325" fillId="0" borderId="0" xfId="1" applyFont="1" applyFill="1" applyProtection="1">
      <protection locked="0"/>
    </xf>
    <xf numFmtId="167" fontId="324" fillId="3" borderId="0" xfId="1" applyFont="1" applyFill="1" applyProtection="1">
      <protection locked="0"/>
    </xf>
    <xf numFmtId="167" fontId="324" fillId="9" borderId="0" xfId="1" applyFont="1" applyFill="1" applyProtection="1">
      <protection locked="0"/>
    </xf>
    <xf numFmtId="167" fontId="324" fillId="8" borderId="0" xfId="1" applyFont="1" applyFill="1" applyProtection="1">
      <protection locked="0"/>
    </xf>
    <xf numFmtId="167" fontId="323" fillId="17" borderId="0" xfId="1" applyFont="1" applyFill="1" applyAlignment="1" applyProtection="1">
      <alignment horizontal="center"/>
      <protection locked="0"/>
    </xf>
    <xf numFmtId="167" fontId="325" fillId="3" borderId="0" xfId="1" applyFont="1" applyFill="1" applyProtection="1">
      <protection locked="0"/>
    </xf>
    <xf numFmtId="167" fontId="324" fillId="14" borderId="0" xfId="1" applyFont="1" applyFill="1" applyProtection="1">
      <protection locked="0"/>
    </xf>
    <xf numFmtId="179" fontId="324" fillId="9" borderId="0" xfId="2" applyNumberFormat="1" applyFont="1" applyFill="1" applyProtection="1">
      <protection locked="0"/>
    </xf>
    <xf numFmtId="167" fontId="323" fillId="0" borderId="0" xfId="1" applyFont="1" applyFill="1" applyAlignment="1" applyProtection="1">
      <alignment horizontal="left"/>
      <protection locked="0"/>
    </xf>
    <xf numFmtId="167" fontId="325" fillId="9" borderId="0" xfId="1" applyFont="1" applyFill="1" applyProtection="1">
      <protection locked="0"/>
    </xf>
    <xf numFmtId="167" fontId="323" fillId="167" borderId="0" xfId="1" applyFont="1" applyFill="1" applyProtection="1">
      <protection locked="0"/>
    </xf>
    <xf numFmtId="179" fontId="14" fillId="3" borderId="0" xfId="3" applyNumberFormat="1" applyFont="1" applyFill="1" applyProtection="1">
      <protection locked="0"/>
    </xf>
    <xf numFmtId="0" fontId="325" fillId="0" borderId="0" xfId="2" applyFont="1" applyProtection="1">
      <protection locked="0"/>
    </xf>
    <xf numFmtId="179" fontId="14" fillId="0" borderId="0" xfId="10" applyNumberFormat="1" applyFont="1" applyProtection="1">
      <protection locked="0"/>
    </xf>
    <xf numFmtId="179" fontId="323" fillId="0" borderId="0" xfId="10" applyNumberFormat="1" applyFont="1" applyProtection="1">
      <protection locked="0"/>
    </xf>
    <xf numFmtId="0" fontId="324" fillId="0" borderId="0" xfId="2" applyFont="1" applyProtection="1">
      <protection locked="0"/>
    </xf>
    <xf numFmtId="167" fontId="3" fillId="4" borderId="0" xfId="1" applyFont="1" applyFill="1" applyProtection="1">
      <protection locked="0"/>
    </xf>
    <xf numFmtId="167" fontId="3" fillId="11" borderId="0" xfId="1" applyFont="1" applyFill="1" applyProtection="1">
      <protection locked="0"/>
    </xf>
    <xf numFmtId="167" fontId="3" fillId="10" borderId="0" xfId="1" applyFont="1" applyFill="1" applyProtection="1">
      <protection locked="0"/>
    </xf>
    <xf numFmtId="167" fontId="3" fillId="9" borderId="0" xfId="1" applyFont="1" applyFill="1" applyProtection="1">
      <protection locked="0"/>
    </xf>
    <xf numFmtId="167" fontId="3" fillId="192" borderId="0" xfId="1" applyFont="1" applyFill="1" applyProtection="1">
      <protection locked="0"/>
    </xf>
    <xf numFmtId="167" fontId="15" fillId="4" borderId="0" xfId="1" applyFont="1" applyFill="1" applyAlignment="1" applyProtection="1">
      <alignment horizontal="center"/>
      <protection locked="0"/>
    </xf>
    <xf numFmtId="167" fontId="17" fillId="11" borderId="0" xfId="1" applyFont="1" applyFill="1" applyProtection="1">
      <protection locked="0"/>
    </xf>
    <xf numFmtId="167" fontId="17" fillId="10" borderId="0" xfId="1" applyFont="1" applyFill="1" applyProtection="1">
      <protection locked="0"/>
    </xf>
    <xf numFmtId="167" fontId="17" fillId="9" borderId="0" xfId="1" applyFont="1" applyFill="1" applyProtection="1">
      <protection locked="0"/>
    </xf>
    <xf numFmtId="167" fontId="17" fillId="192" borderId="0" xfId="1" applyFont="1" applyFill="1" applyProtection="1">
      <protection locked="0"/>
    </xf>
    <xf numFmtId="242" fontId="324" fillId="4" borderId="0" xfId="1" applyNumberFormat="1" applyFont="1" applyFill="1" applyAlignment="1" applyProtection="1">
      <alignment horizontal="center" vertical="center"/>
      <protection locked="0"/>
    </xf>
    <xf numFmtId="167" fontId="324" fillId="4" borderId="0" xfId="1" applyFont="1" applyFill="1" applyAlignment="1" applyProtection="1">
      <alignment horizontal="center" vertical="center"/>
      <protection locked="0"/>
    </xf>
    <xf numFmtId="167" fontId="324" fillId="11" borderId="0" xfId="1" applyFont="1" applyFill="1" applyAlignment="1" applyProtection="1">
      <alignment horizontal="center" vertical="center"/>
      <protection locked="0"/>
    </xf>
    <xf numFmtId="167" fontId="324" fillId="10" borderId="0" xfId="1" applyFont="1" applyFill="1" applyAlignment="1" applyProtection="1">
      <alignment horizontal="center" vertical="center"/>
      <protection locked="0"/>
    </xf>
    <xf numFmtId="167" fontId="324" fillId="9" borderId="0" xfId="1" applyFont="1" applyFill="1" applyAlignment="1" applyProtection="1">
      <alignment horizontal="center" vertical="center"/>
      <protection locked="0"/>
    </xf>
    <xf numFmtId="167" fontId="324" fillId="192" borderId="0" xfId="1" applyFont="1" applyFill="1" applyAlignment="1" applyProtection="1">
      <alignment horizontal="center" vertical="center"/>
      <protection locked="0"/>
    </xf>
    <xf numFmtId="167" fontId="325" fillId="4" borderId="0" xfId="1" applyFont="1" applyFill="1" applyProtection="1">
      <protection locked="0"/>
    </xf>
    <xf numFmtId="167" fontId="325" fillId="11" borderId="0" xfId="1" applyFont="1" applyFill="1" applyProtection="1">
      <protection locked="0"/>
    </xf>
    <xf numFmtId="167" fontId="325" fillId="10" borderId="0" xfId="1" applyFont="1" applyFill="1" applyProtection="1">
      <protection locked="0"/>
    </xf>
    <xf numFmtId="167" fontId="325" fillId="192" borderId="0" xfId="1" applyFont="1" applyFill="1" applyProtection="1">
      <protection locked="0"/>
    </xf>
    <xf numFmtId="167" fontId="323" fillId="0" borderId="0" xfId="1" applyFont="1" applyFill="1" applyAlignment="1" applyProtection="1">
      <alignment horizontal="center"/>
      <protection locked="0"/>
    </xf>
    <xf numFmtId="167" fontId="14" fillId="3" borderId="0" xfId="1" applyFont="1" applyFill="1" applyProtection="1">
      <protection locked="0"/>
    </xf>
    <xf numFmtId="10" fontId="325" fillId="4" borderId="0" xfId="7" applyNumberFormat="1" applyFont="1" applyFill="1" applyProtection="1">
      <protection locked="0"/>
    </xf>
    <xf numFmtId="9" fontId="325" fillId="4" borderId="0" xfId="7" applyFont="1" applyFill="1" applyProtection="1">
      <protection locked="0"/>
    </xf>
    <xf numFmtId="167" fontId="324" fillId="4" borderId="0" xfId="1" applyFont="1" applyFill="1" applyProtection="1">
      <protection locked="0"/>
    </xf>
    <xf numFmtId="167" fontId="324" fillId="11" borderId="0" xfId="1" applyFont="1" applyFill="1" applyProtection="1">
      <protection locked="0"/>
    </xf>
    <xf numFmtId="167" fontId="324" fillId="10" borderId="0" xfId="1" applyFont="1" applyFill="1" applyProtection="1">
      <protection locked="0"/>
    </xf>
    <xf numFmtId="167" fontId="324" fillId="192" borderId="0" xfId="1" applyFont="1" applyFill="1" applyProtection="1">
      <protection locked="0"/>
    </xf>
    <xf numFmtId="0" fontId="4" fillId="0" borderId="0" xfId="4" applyProtection="1">
      <protection locked="0"/>
    </xf>
    <xf numFmtId="0" fontId="11" fillId="0" borderId="0" xfId="4" applyFont="1" applyProtection="1">
      <protection locked="0"/>
    </xf>
    <xf numFmtId="0" fontId="4" fillId="0" borderId="0" xfId="4" applyAlignment="1" applyProtection="1">
      <alignment horizontal="center"/>
      <protection locked="0"/>
    </xf>
    <xf numFmtId="0" fontId="322" fillId="0" borderId="0" xfId="4" applyFont="1" applyProtection="1">
      <protection locked="0"/>
    </xf>
    <xf numFmtId="0" fontId="5" fillId="6" borderId="92" xfId="4" applyFont="1" applyFill="1" applyBorder="1" applyAlignment="1" applyProtection="1">
      <alignment horizontal="center" vertical="center" wrapText="1"/>
      <protection locked="0"/>
    </xf>
    <xf numFmtId="0" fontId="11" fillId="6" borderId="92" xfId="4" applyFont="1" applyFill="1" applyBorder="1" applyAlignment="1" applyProtection="1">
      <alignment horizontal="center" vertical="center"/>
      <protection locked="0"/>
    </xf>
    <xf numFmtId="0" fontId="5" fillId="6" borderId="6" xfId="4" applyFont="1" applyFill="1" applyBorder="1" applyAlignment="1" applyProtection="1">
      <alignment horizontal="center" vertical="center"/>
      <protection locked="0"/>
    </xf>
    <xf numFmtId="0" fontId="11" fillId="6" borderId="6" xfId="4" applyFont="1" applyFill="1" applyBorder="1" applyAlignment="1" applyProtection="1">
      <alignment horizontal="center" vertical="center"/>
      <protection locked="0"/>
    </xf>
    <xf numFmtId="0" fontId="5" fillId="6" borderId="88" xfId="4" applyFont="1" applyFill="1" applyBorder="1" applyAlignment="1" applyProtection="1">
      <alignment horizontal="center" vertical="center"/>
      <protection locked="0"/>
    </xf>
    <xf numFmtId="0" fontId="11" fillId="0" borderId="92" xfId="4" applyFont="1" applyBorder="1" applyProtection="1">
      <protection locked="0"/>
    </xf>
    <xf numFmtId="0" fontId="4" fillId="2" borderId="0" xfId="4" applyFill="1" applyProtection="1">
      <protection locked="0"/>
    </xf>
    <xf numFmtId="0" fontId="322" fillId="0" borderId="4" xfId="4" applyFont="1" applyBorder="1" applyProtection="1">
      <protection locked="0"/>
    </xf>
    <xf numFmtId="0" fontId="4" fillId="0" borderId="113" xfId="4" applyBorder="1" applyAlignment="1" applyProtection="1">
      <alignment horizontal="left"/>
      <protection locked="0"/>
    </xf>
    <xf numFmtId="0" fontId="4" fillId="0" borderId="113" xfId="4" applyBorder="1" applyAlignment="1" applyProtection="1">
      <alignment horizontal="center"/>
      <protection locked="0"/>
    </xf>
    <xf numFmtId="0" fontId="4" fillId="168" borderId="0" xfId="4" applyFill="1" applyProtection="1">
      <protection locked="0"/>
    </xf>
    <xf numFmtId="0" fontId="335" fillId="0" borderId="113" xfId="4" applyFont="1" applyBorder="1" applyAlignment="1" applyProtection="1">
      <alignment horizontal="left"/>
      <protection locked="0"/>
    </xf>
    <xf numFmtId="0" fontId="4" fillId="0" borderId="113" xfId="4" applyBorder="1" applyProtection="1">
      <protection locked="0"/>
    </xf>
    <xf numFmtId="0" fontId="9" fillId="0" borderId="113" xfId="4" applyFont="1" applyBorder="1" applyAlignment="1" applyProtection="1">
      <alignment horizontal="left"/>
      <protection locked="0"/>
    </xf>
    <xf numFmtId="0" fontId="4" fillId="0" borderId="0" xfId="4" applyAlignment="1" applyProtection="1">
      <alignment horizontal="left"/>
      <protection locked="0"/>
    </xf>
    <xf numFmtId="0" fontId="4" fillId="0" borderId="7" xfId="4" applyBorder="1" applyAlignment="1" applyProtection="1">
      <alignment horizontal="center"/>
      <protection locked="0"/>
    </xf>
    <xf numFmtId="0" fontId="4" fillId="0" borderId="113" xfId="4" applyBorder="1" applyAlignment="1" applyProtection="1">
      <alignment horizontal="left" vertical="top"/>
      <protection locked="0"/>
    </xf>
    <xf numFmtId="0" fontId="1" fillId="0" borderId="113" xfId="4" applyFont="1" applyBorder="1" applyAlignment="1" applyProtection="1">
      <alignment horizontal="left"/>
      <protection locked="0"/>
    </xf>
    <xf numFmtId="0" fontId="4" fillId="3" borderId="0" xfId="4" applyFill="1" applyProtection="1">
      <protection locked="0"/>
    </xf>
    <xf numFmtId="0" fontId="4" fillId="3" borderId="113" xfId="4" applyFill="1" applyBorder="1" applyAlignment="1" applyProtection="1">
      <alignment horizontal="center"/>
      <protection locked="0"/>
    </xf>
    <xf numFmtId="0" fontId="335" fillId="168" borderId="0" xfId="4" applyFont="1" applyFill="1" applyProtection="1">
      <protection locked="0"/>
    </xf>
    <xf numFmtId="0" fontId="4" fillId="0" borderId="113" xfId="4" applyBorder="1" applyAlignment="1" applyProtection="1">
      <alignment horizontal="left" indent="1"/>
      <protection locked="0"/>
    </xf>
    <xf numFmtId="167" fontId="322" fillId="3" borderId="4" xfId="1" applyFont="1" applyFill="1" applyBorder="1" applyProtection="1">
      <protection locked="0"/>
    </xf>
    <xf numFmtId="167" fontId="322" fillId="3" borderId="0" xfId="1" applyFont="1" applyFill="1" applyBorder="1" applyProtection="1">
      <protection locked="0"/>
    </xf>
    <xf numFmtId="167" fontId="10" fillId="3" borderId="113" xfId="1" applyFont="1" applyFill="1" applyBorder="1" applyAlignment="1" applyProtection="1">
      <alignment horizontal="left" indent="1"/>
      <protection locked="0"/>
    </xf>
    <xf numFmtId="0" fontId="1" fillId="0" borderId="113" xfId="4" applyFont="1" applyBorder="1" applyProtection="1">
      <protection locked="0"/>
    </xf>
    <xf numFmtId="167" fontId="322" fillId="9" borderId="4" xfId="1" applyFont="1" applyFill="1" applyBorder="1" applyProtection="1">
      <protection locked="0"/>
    </xf>
    <xf numFmtId="167" fontId="322" fillId="9" borderId="0" xfId="1" applyFont="1" applyFill="1" applyBorder="1" applyProtection="1">
      <protection locked="0"/>
    </xf>
    <xf numFmtId="167" fontId="10" fillId="9" borderId="113" xfId="1" applyFont="1" applyFill="1" applyBorder="1" applyAlignment="1" applyProtection="1">
      <alignment horizontal="left" indent="1"/>
      <protection locked="0"/>
    </xf>
    <xf numFmtId="0" fontId="336" fillId="0" borderId="113" xfId="0" applyFont="1" applyBorder="1" applyAlignment="1" applyProtection="1">
      <alignment wrapText="1"/>
      <protection locked="0"/>
    </xf>
    <xf numFmtId="0" fontId="336" fillId="169" borderId="0" xfId="0" applyFont="1" applyFill="1" applyAlignment="1" applyProtection="1">
      <alignment wrapText="1"/>
      <protection locked="0"/>
    </xf>
    <xf numFmtId="0" fontId="11" fillId="0" borderId="4" xfId="4" applyFont="1" applyBorder="1" applyProtection="1">
      <protection locked="0"/>
    </xf>
    <xf numFmtId="0" fontId="9" fillId="0" borderId="113" xfId="4" applyFont="1" applyBorder="1" applyProtection="1">
      <protection locked="0"/>
    </xf>
    <xf numFmtId="0" fontId="9" fillId="0" borderId="113" xfId="4" applyFont="1" applyBorder="1" applyAlignment="1" applyProtection="1">
      <alignment horizontal="center"/>
      <protection locked="0"/>
    </xf>
    <xf numFmtId="167" fontId="322" fillId="0" borderId="4" xfId="1" applyFont="1" applyFill="1" applyBorder="1" applyProtection="1">
      <protection locked="0"/>
    </xf>
    <xf numFmtId="167" fontId="6" fillId="3" borderId="0" xfId="1" applyFont="1" applyFill="1" applyProtection="1">
      <protection locked="0"/>
    </xf>
    <xf numFmtId="167" fontId="11" fillId="3" borderId="4" xfId="1" applyFont="1" applyFill="1" applyBorder="1" applyProtection="1">
      <protection locked="0"/>
    </xf>
    <xf numFmtId="167" fontId="11" fillId="3" borderId="0" xfId="1" applyFont="1" applyFill="1" applyBorder="1" applyProtection="1">
      <protection locked="0"/>
    </xf>
    <xf numFmtId="167" fontId="6" fillId="3" borderId="113" xfId="1" applyFont="1" applyFill="1" applyBorder="1" applyAlignment="1" applyProtection="1">
      <alignment horizontal="center"/>
      <protection locked="0"/>
    </xf>
    <xf numFmtId="167" fontId="322" fillId="0" borderId="0" xfId="1" applyFont="1" applyFill="1" applyProtection="1">
      <protection locked="0"/>
    </xf>
    <xf numFmtId="0" fontId="322" fillId="0" borderId="113" xfId="4" applyFont="1" applyBorder="1" applyProtection="1">
      <protection locked="0"/>
    </xf>
    <xf numFmtId="167" fontId="322" fillId="0" borderId="113" xfId="1" applyFont="1" applyFill="1" applyBorder="1" applyAlignment="1" applyProtection="1">
      <alignment horizontal="center"/>
      <protection locked="0"/>
    </xf>
    <xf numFmtId="0" fontId="4" fillId="9" borderId="0" xfId="4" applyFill="1" applyProtection="1">
      <protection locked="0"/>
    </xf>
    <xf numFmtId="0" fontId="322" fillId="9" borderId="4" xfId="4" applyFont="1" applyFill="1" applyBorder="1" applyProtection="1">
      <protection locked="0"/>
    </xf>
    <xf numFmtId="0" fontId="322" fillId="9" borderId="0" xfId="4" applyFont="1" applyFill="1" applyProtection="1">
      <protection locked="0"/>
    </xf>
    <xf numFmtId="0" fontId="10" fillId="9" borderId="113" xfId="4" applyFont="1" applyFill="1" applyBorder="1" applyAlignment="1" applyProtection="1">
      <alignment horizontal="left" indent="1"/>
      <protection locked="0"/>
    </xf>
    <xf numFmtId="0" fontId="4" fillId="9" borderId="113" xfId="4" applyFill="1" applyBorder="1" applyAlignment="1" applyProtection="1">
      <alignment horizontal="center"/>
      <protection locked="0"/>
    </xf>
    <xf numFmtId="0" fontId="322" fillId="0" borderId="6" xfId="4" applyFont="1" applyBorder="1" applyProtection="1">
      <protection locked="0"/>
    </xf>
    <xf numFmtId="0" fontId="6" fillId="0" borderId="88" xfId="4" applyFont="1" applyBorder="1" applyProtection="1">
      <protection locked="0"/>
    </xf>
    <xf numFmtId="0" fontId="6" fillId="0" borderId="88" xfId="4" applyFont="1" applyBorder="1" applyAlignment="1" applyProtection="1">
      <alignment horizontal="center"/>
      <protection locked="0"/>
    </xf>
    <xf numFmtId="0" fontId="11" fillId="6" borderId="92" xfId="4" applyFont="1" applyFill="1" applyBorder="1" applyAlignment="1" applyProtection="1">
      <alignment vertical="center"/>
      <protection locked="0"/>
    </xf>
    <xf numFmtId="0" fontId="6" fillId="0" borderId="0" xfId="4" applyFont="1" applyAlignment="1" applyProtection="1">
      <alignment horizontal="center"/>
      <protection locked="0"/>
    </xf>
    <xf numFmtId="0" fontId="11" fillId="6" borderId="6" xfId="4" applyFont="1" applyFill="1" applyBorder="1" applyAlignment="1" applyProtection="1">
      <alignment vertical="center"/>
      <protection locked="0"/>
    </xf>
    <xf numFmtId="0" fontId="5" fillId="6" borderId="88" xfId="4" applyFont="1" applyFill="1" applyBorder="1" applyAlignment="1" applyProtection="1">
      <alignment vertical="center"/>
      <protection locked="0"/>
    </xf>
    <xf numFmtId="0" fontId="11" fillId="6" borderId="4" xfId="4" applyFont="1" applyFill="1" applyBorder="1" applyAlignment="1" applyProtection="1">
      <alignment horizontal="center" vertical="center"/>
      <protection locked="0"/>
    </xf>
    <xf numFmtId="0" fontId="11" fillId="6" borderId="0" xfId="4" applyFont="1" applyFill="1" applyAlignment="1" applyProtection="1">
      <alignment horizontal="center" vertical="center"/>
      <protection locked="0"/>
    </xf>
    <xf numFmtId="0" fontId="5" fillId="6" borderId="113" xfId="4" applyFont="1" applyFill="1" applyBorder="1" applyAlignment="1" applyProtection="1">
      <alignment horizontal="center" vertical="center"/>
      <protection locked="0"/>
    </xf>
    <xf numFmtId="0" fontId="4" fillId="0" borderId="113" xfId="4" applyBorder="1" applyAlignment="1" applyProtection="1">
      <alignment vertical="top"/>
      <protection locked="0"/>
    </xf>
    <xf numFmtId="0" fontId="322" fillId="3" borderId="4" xfId="4" applyFont="1" applyFill="1" applyBorder="1" applyProtection="1">
      <protection locked="0"/>
    </xf>
    <xf numFmtId="0" fontId="322" fillId="3" borderId="0" xfId="4" applyFont="1" applyFill="1" applyProtection="1">
      <protection locked="0"/>
    </xf>
    <xf numFmtId="0" fontId="10" fillId="3" borderId="113" xfId="4" applyFont="1" applyFill="1" applyBorder="1" applyAlignment="1" applyProtection="1">
      <alignment horizontal="left" indent="1"/>
      <protection locked="0"/>
    </xf>
    <xf numFmtId="0" fontId="11" fillId="0" borderId="113" xfId="4" applyFont="1" applyBorder="1" applyProtection="1">
      <protection locked="0"/>
    </xf>
    <xf numFmtId="0" fontId="24" fillId="0" borderId="0" xfId="4" applyFont="1" applyProtection="1">
      <protection locked="0"/>
    </xf>
    <xf numFmtId="0" fontId="0" fillId="0" borderId="113" xfId="4" applyFont="1" applyBorder="1" applyAlignment="1" applyProtection="1">
      <alignment horizontal="center"/>
      <protection locked="0"/>
    </xf>
    <xf numFmtId="0" fontId="24" fillId="3" borderId="0" xfId="4" applyFont="1" applyFill="1" applyProtection="1">
      <protection locked="0"/>
    </xf>
    <xf numFmtId="167" fontId="1" fillId="0" borderId="113" xfId="5" applyFont="1" applyBorder="1" applyProtection="1">
      <protection locked="0"/>
    </xf>
    <xf numFmtId="0" fontId="6" fillId="0" borderId="113" xfId="4" applyFont="1" applyBorder="1" applyProtection="1">
      <protection locked="0"/>
    </xf>
    <xf numFmtId="0" fontId="1" fillId="0" borderId="0" xfId="4" applyFont="1" applyProtection="1">
      <protection locked="0"/>
    </xf>
    <xf numFmtId="0" fontId="6" fillId="0" borderId="113" xfId="4" applyFont="1" applyBorder="1" applyAlignment="1" applyProtection="1">
      <alignment horizontal="center"/>
      <protection locked="0"/>
    </xf>
    <xf numFmtId="0" fontId="1" fillId="3" borderId="0" xfId="4" applyFont="1" applyFill="1" applyProtection="1">
      <protection locked="0"/>
    </xf>
    <xf numFmtId="0" fontId="1" fillId="0" borderId="0" xfId="4" applyFont="1" applyAlignment="1" applyProtection="1">
      <alignment horizontal="center"/>
      <protection locked="0"/>
    </xf>
    <xf numFmtId="167" fontId="4" fillId="0" borderId="0" xfId="4" applyNumberFormat="1" applyProtection="1">
      <protection locked="0"/>
    </xf>
    <xf numFmtId="167" fontId="0" fillId="0" borderId="7" xfId="5" applyFont="1" applyFill="1" applyBorder="1" applyProtection="1">
      <protection locked="0"/>
    </xf>
    <xf numFmtId="167" fontId="6" fillId="3" borderId="7" xfId="1" applyFont="1" applyFill="1" applyBorder="1" applyAlignment="1" applyProtection="1">
      <alignment horizontal="left" indent="1"/>
      <protection locked="0"/>
    </xf>
    <xf numFmtId="167" fontId="6" fillId="9" borderId="7" xfId="1" applyFont="1" applyFill="1" applyBorder="1" applyAlignment="1" applyProtection="1">
      <alignment horizontal="left" indent="1"/>
      <protection locked="0"/>
    </xf>
    <xf numFmtId="167" fontId="6" fillId="0" borderId="7" xfId="1" applyFont="1" applyFill="1" applyBorder="1" applyAlignment="1" applyProtection="1">
      <alignment horizontal="left" indent="1"/>
      <protection locked="0"/>
    </xf>
    <xf numFmtId="0" fontId="4" fillId="0" borderId="7" xfId="4" applyBorder="1" applyProtection="1">
      <protection locked="0"/>
    </xf>
    <xf numFmtId="167" fontId="4" fillId="0" borderId="7" xfId="4" applyNumberFormat="1" applyBorder="1" applyProtection="1">
      <protection locked="0"/>
    </xf>
    <xf numFmtId="167" fontId="322" fillId="0" borderId="7" xfId="1" applyFont="1" applyFill="1" applyBorder="1" applyAlignment="1" applyProtection="1">
      <alignment horizontal="left" indent="1"/>
      <protection locked="0"/>
    </xf>
    <xf numFmtId="167" fontId="0" fillId="0" borderId="7" xfId="5" applyFont="1" applyBorder="1" applyProtection="1">
      <protection locked="0"/>
    </xf>
    <xf numFmtId="167" fontId="1" fillId="0" borderId="7" xfId="1" applyFont="1" applyBorder="1" applyProtection="1">
      <protection locked="0"/>
    </xf>
    <xf numFmtId="167" fontId="6" fillId="0" borderId="7" xfId="5" applyFont="1" applyBorder="1" applyProtection="1">
      <protection locked="0"/>
    </xf>
    <xf numFmtId="167" fontId="0" fillId="3" borderId="7" xfId="5" applyFont="1" applyFill="1" applyBorder="1" applyProtection="1">
      <protection locked="0"/>
    </xf>
    <xf numFmtId="167" fontId="6" fillId="0" borderId="7" xfId="1" applyFont="1" applyBorder="1" applyProtection="1">
      <protection locked="0"/>
    </xf>
    <xf numFmtId="0" fontId="4" fillId="0" borderId="9" xfId="4" applyBorder="1" applyProtection="1">
      <protection locked="0"/>
    </xf>
    <xf numFmtId="0" fontId="4" fillId="0" borderId="8" xfId="4" applyBorder="1" applyProtection="1">
      <protection locked="0"/>
    </xf>
    <xf numFmtId="169" fontId="4" fillId="0" borderId="7" xfId="4" applyNumberFormat="1" applyBorder="1" applyProtection="1">
      <protection locked="0"/>
    </xf>
    <xf numFmtId="169" fontId="0" fillId="0" borderId="7" xfId="5" applyNumberFormat="1" applyFont="1" applyFill="1" applyBorder="1" applyProtection="1">
      <protection locked="0"/>
    </xf>
    <xf numFmtId="169" fontId="1" fillId="0" borderId="7" xfId="10" applyFont="1" applyBorder="1" applyProtection="1">
      <protection locked="0"/>
    </xf>
    <xf numFmtId="167" fontId="6" fillId="0" borderId="11" xfId="1" applyFont="1" applyBorder="1" applyProtection="1">
      <protection locked="0"/>
    </xf>
    <xf numFmtId="167" fontId="4" fillId="0" borderId="11" xfId="4" applyNumberFormat="1" applyBorder="1" applyProtection="1">
      <protection locked="0"/>
    </xf>
    <xf numFmtId="169" fontId="1" fillId="0" borderId="0" xfId="10" applyFont="1" applyProtection="1">
      <protection locked="0"/>
    </xf>
    <xf numFmtId="169" fontId="4" fillId="0" borderId="0" xfId="4" applyNumberFormat="1" applyProtection="1">
      <protection locked="0"/>
    </xf>
    <xf numFmtId="0" fontId="4" fillId="188" borderId="0" xfId="4" applyFill="1"/>
    <xf numFmtId="0" fontId="11" fillId="188" borderId="8" xfId="4" applyFont="1" applyFill="1" applyBorder="1" applyAlignment="1">
      <alignment horizontal="center" vertical="center"/>
    </xf>
    <xf numFmtId="167" fontId="6" fillId="0" borderId="90" xfId="4" applyNumberFormat="1" applyFont="1" applyBorder="1" applyAlignment="1">
      <alignment horizontal="left"/>
    </xf>
    <xf numFmtId="167" fontId="6" fillId="3" borderId="7" xfId="1" applyFont="1" applyFill="1" applyBorder="1" applyAlignment="1" applyProtection="1">
      <alignment horizontal="left" indent="1"/>
    </xf>
    <xf numFmtId="167" fontId="6" fillId="9" borderId="7" xfId="1" applyFont="1" applyFill="1" applyBorder="1" applyAlignment="1" applyProtection="1">
      <alignment horizontal="left" indent="1"/>
    </xf>
    <xf numFmtId="167" fontId="6" fillId="0" borderId="5" xfId="5" applyFont="1" applyFill="1" applyBorder="1" applyProtection="1"/>
    <xf numFmtId="179" fontId="6" fillId="0" borderId="7" xfId="4" applyNumberFormat="1" applyFont="1" applyBorder="1" applyAlignment="1">
      <alignment horizontal="left"/>
    </xf>
    <xf numFmtId="179" fontId="1" fillId="188" borderId="7" xfId="10" applyNumberFormat="1" applyFont="1" applyFill="1" applyBorder="1" applyProtection="1"/>
    <xf numFmtId="167" fontId="6" fillId="0" borderId="5" xfId="5" applyFont="1" applyBorder="1" applyProtection="1"/>
    <xf numFmtId="167" fontId="6" fillId="0" borderId="7" xfId="4" applyNumberFormat="1" applyFont="1" applyBorder="1" applyAlignment="1">
      <alignment horizontal="left"/>
    </xf>
    <xf numFmtId="167" fontId="322" fillId="0" borderId="7" xfId="1" applyFont="1" applyFill="1" applyBorder="1" applyAlignment="1" applyProtection="1">
      <alignment horizontal="left" indent="1"/>
    </xf>
    <xf numFmtId="167" fontId="6" fillId="188" borderId="5" xfId="4" applyNumberFormat="1" applyFont="1" applyFill="1" applyBorder="1"/>
    <xf numFmtId="0" fontId="11" fillId="188" borderId="88" xfId="4" applyFont="1" applyFill="1" applyBorder="1" applyAlignment="1">
      <alignment horizontal="center" vertical="center"/>
    </xf>
    <xf numFmtId="167" fontId="6" fillId="0" borderId="7" xfId="1" applyFont="1" applyFill="1" applyBorder="1" applyAlignment="1" applyProtection="1">
      <alignment horizontal="left" indent="1"/>
    </xf>
    <xf numFmtId="167" fontId="6" fillId="0" borderId="93" xfId="5" applyFont="1" applyBorder="1" applyProtection="1"/>
    <xf numFmtId="167" fontId="6" fillId="188" borderId="7" xfId="5" applyFont="1" applyFill="1" applyBorder="1" applyProtection="1"/>
    <xf numFmtId="167" fontId="6" fillId="0" borderId="113" xfId="4" applyNumberFormat="1" applyFont="1" applyBorder="1"/>
    <xf numFmtId="167" fontId="6" fillId="0" borderId="93" xfId="4" applyNumberFormat="1" applyFont="1" applyBorder="1"/>
    <xf numFmtId="167" fontId="6" fillId="188" borderId="113" xfId="4" applyNumberFormat="1" applyFont="1" applyFill="1" applyBorder="1"/>
    <xf numFmtId="169" fontId="1" fillId="3" borderId="7" xfId="8" applyFont="1" applyFill="1" applyBorder="1" applyAlignment="1" applyProtection="1">
      <alignment horizontal="left" indent="1"/>
    </xf>
    <xf numFmtId="167" fontId="6" fillId="0" borderId="10" xfId="5" applyFont="1" applyBorder="1" applyProtection="1"/>
    <xf numFmtId="167" fontId="1" fillId="0" borderId="113" xfId="5" applyFont="1" applyBorder="1" applyProtection="1"/>
    <xf numFmtId="167" fontId="6" fillId="0" borderId="7" xfId="1" applyFont="1" applyBorder="1" applyProtection="1"/>
    <xf numFmtId="167" fontId="6" fillId="0" borderId="7" xfId="4" applyNumberFormat="1" applyFont="1" applyBorder="1"/>
    <xf numFmtId="167" fontId="6" fillId="188" borderId="10" xfId="4" applyNumberFormat="1" applyFont="1" applyFill="1" applyBorder="1"/>
    <xf numFmtId="167" fontId="6" fillId="188" borderId="12" xfId="4" applyNumberFormat="1" applyFont="1" applyFill="1" applyBorder="1"/>
    <xf numFmtId="167" fontId="11" fillId="12" borderId="3" xfId="5" applyFont="1" applyFill="1" applyBorder="1" applyAlignment="1" applyProtection="1">
      <alignment wrapText="1"/>
    </xf>
    <xf numFmtId="0" fontId="6" fillId="0" borderId="0" xfId="4" applyFont="1"/>
    <xf numFmtId="0" fontId="11" fillId="12" borderId="88" xfId="4" applyFont="1" applyFill="1" applyBorder="1" applyAlignment="1">
      <alignment horizontal="center" vertical="center"/>
    </xf>
    <xf numFmtId="167" fontId="6" fillId="0" borderId="7" xfId="5" applyFont="1" applyFill="1" applyBorder="1" applyProtection="1"/>
    <xf numFmtId="0" fontId="6" fillId="0" borderId="7" xfId="4" applyFont="1" applyBorder="1"/>
    <xf numFmtId="179" fontId="6" fillId="0" borderId="7" xfId="10" applyNumberFormat="1" applyFont="1" applyFill="1" applyBorder="1" applyProtection="1"/>
    <xf numFmtId="167" fontId="6" fillId="0" borderId="7" xfId="5" applyFont="1" applyBorder="1" applyProtection="1"/>
    <xf numFmtId="169" fontId="6" fillId="0" borderId="7" xfId="4" applyNumberFormat="1" applyFont="1" applyBorder="1"/>
    <xf numFmtId="179" fontId="6" fillId="0" borderId="7" xfId="7" applyNumberFormat="1" applyFont="1" applyFill="1" applyBorder="1" applyProtection="1"/>
    <xf numFmtId="9" fontId="6" fillId="0" borderId="0" xfId="7" applyFont="1" applyProtection="1"/>
    <xf numFmtId="167" fontId="6" fillId="3" borderId="7" xfId="5" applyFont="1" applyFill="1" applyBorder="1" applyProtection="1"/>
    <xf numFmtId="179" fontId="6" fillId="0" borderId="0" xfId="10" applyNumberFormat="1" applyFont="1" applyProtection="1"/>
    <xf numFmtId="167" fontId="6" fillId="0" borderId="0" xfId="4" applyNumberFormat="1" applyFont="1"/>
    <xf numFmtId="167" fontId="6" fillId="3" borderId="10" xfId="4" applyNumberFormat="1" applyFont="1" applyFill="1" applyBorder="1"/>
    <xf numFmtId="0" fontId="6" fillId="188" borderId="0" xfId="4" applyFont="1" applyFill="1"/>
    <xf numFmtId="0" fontId="6" fillId="188" borderId="7" xfId="4" applyFont="1" applyFill="1" applyBorder="1"/>
    <xf numFmtId="179" fontId="6" fillId="188" borderId="7" xfId="10" applyNumberFormat="1" applyFont="1" applyFill="1" applyBorder="1" applyProtection="1"/>
    <xf numFmtId="167" fontId="6" fillId="188" borderId="7" xfId="4" applyNumberFormat="1" applyFont="1" applyFill="1" applyBorder="1"/>
    <xf numFmtId="169" fontId="6" fillId="188" borderId="7" xfId="4" applyNumberFormat="1" applyFont="1" applyFill="1" applyBorder="1"/>
    <xf numFmtId="179" fontId="6" fillId="188" borderId="7" xfId="7" applyNumberFormat="1" applyFont="1" applyFill="1" applyBorder="1" applyProtection="1"/>
    <xf numFmtId="9" fontId="6" fillId="188" borderId="0" xfId="7" applyFont="1" applyFill="1" applyProtection="1"/>
    <xf numFmtId="179" fontId="6" fillId="188" borderId="0" xfId="10" applyNumberFormat="1" applyFont="1" applyFill="1" applyProtection="1"/>
    <xf numFmtId="167" fontId="6" fillId="188" borderId="0" xfId="4" applyNumberFormat="1" applyFont="1" applyFill="1"/>
    <xf numFmtId="167" fontId="11" fillId="12" borderId="2" xfId="5" applyFont="1" applyFill="1" applyBorder="1" applyAlignment="1" applyProtection="1">
      <alignment wrapText="1"/>
    </xf>
    <xf numFmtId="167" fontId="11" fillId="12" borderId="5" xfId="5" applyFont="1" applyFill="1" applyBorder="1" applyAlignment="1" applyProtection="1">
      <alignment horizontal="center"/>
    </xf>
    <xf numFmtId="0" fontId="11" fillId="12" borderId="8" xfId="4" applyFont="1" applyFill="1" applyBorder="1" applyAlignment="1">
      <alignment horizontal="center" vertical="center"/>
    </xf>
    <xf numFmtId="169" fontId="1" fillId="0" borderId="7" xfId="8" applyFont="1" applyFill="1" applyBorder="1" applyAlignment="1" applyProtection="1">
      <alignment horizontal="left" indent="1"/>
    </xf>
    <xf numFmtId="180" fontId="0" fillId="0" borderId="7" xfId="8" applyNumberFormat="1" applyFont="1" applyFill="1" applyBorder="1" applyProtection="1"/>
    <xf numFmtId="167" fontId="0" fillId="0" borderId="7" xfId="5" applyFont="1" applyFill="1" applyBorder="1" applyProtection="1"/>
    <xf numFmtId="179" fontId="1" fillId="0" borderId="7" xfId="8" applyNumberFormat="1" applyFont="1" applyFill="1" applyBorder="1" applyAlignment="1" applyProtection="1">
      <alignment horizontal="left" indent="1"/>
    </xf>
    <xf numFmtId="167" fontId="1" fillId="0" borderId="7" xfId="1" applyFont="1" applyFill="1" applyBorder="1" applyProtection="1"/>
    <xf numFmtId="167" fontId="4" fillId="0" borderId="7" xfId="4" applyNumberFormat="1" applyBorder="1"/>
    <xf numFmtId="179" fontId="1" fillId="0" borderId="7" xfId="10" applyNumberFormat="1" applyFont="1" applyFill="1" applyBorder="1" applyProtection="1"/>
    <xf numFmtId="179" fontId="1" fillId="0" borderId="7" xfId="10" applyNumberFormat="1" applyFont="1" applyFill="1" applyBorder="1" applyAlignment="1" applyProtection="1">
      <alignment horizontal="left" indent="1"/>
    </xf>
    <xf numFmtId="167" fontId="1" fillId="0" borderId="7" xfId="5" applyFont="1" applyFill="1" applyBorder="1" applyProtection="1"/>
    <xf numFmtId="3" fontId="4" fillId="0" borderId="7" xfId="4" applyNumberFormat="1" applyBorder="1" applyAlignment="1">
      <alignment horizontal="right" indent="1"/>
    </xf>
    <xf numFmtId="167" fontId="11" fillId="12" borderId="2" xfId="5" applyFont="1" applyFill="1" applyBorder="1" applyAlignment="1" applyProtection="1"/>
    <xf numFmtId="167" fontId="6" fillId="0" borderId="113" xfId="5" applyFont="1" applyBorder="1" applyProtection="1"/>
    <xf numFmtId="167" fontId="1" fillId="0" borderId="113" xfId="5" applyFont="1" applyFill="1" applyBorder="1" applyProtection="1"/>
    <xf numFmtId="179" fontId="4" fillId="0" borderId="113" xfId="4" applyNumberFormat="1" applyBorder="1"/>
    <xf numFmtId="167" fontId="0" fillId="0" borderId="11" xfId="5" applyFont="1" applyFill="1" applyBorder="1" applyProtection="1"/>
    <xf numFmtId="179" fontId="4" fillId="0" borderId="7" xfId="4" applyNumberFormat="1" applyBorder="1"/>
    <xf numFmtId="179" fontId="1" fillId="0" borderId="7" xfId="36979" applyNumberFormat="1" applyFont="1" applyBorder="1" applyAlignment="1"/>
    <xf numFmtId="0" fontId="4" fillId="0" borderId="9" xfId="4" applyBorder="1"/>
    <xf numFmtId="0" fontId="2" fillId="0" borderId="0" xfId="42583" applyProtection="1">
      <protection locked="0"/>
    </xf>
    <xf numFmtId="286" fontId="6" fillId="7" borderId="16" xfId="33046" applyNumberFormat="1" applyFont="1" applyFill="1" applyBorder="1" applyAlignment="1" applyProtection="1">
      <alignment horizontal="center" vertical="center" wrapText="1"/>
      <protection locked="0"/>
    </xf>
    <xf numFmtId="179" fontId="6" fillId="0" borderId="13" xfId="33046" applyNumberFormat="1" applyFont="1" applyFill="1" applyBorder="1" applyProtection="1">
      <protection locked="0"/>
    </xf>
    <xf numFmtId="179" fontId="0" fillId="0" borderId="13" xfId="33046" applyNumberFormat="1" applyFont="1" applyFill="1" applyBorder="1" applyProtection="1">
      <protection locked="0"/>
    </xf>
    <xf numFmtId="179" fontId="322" fillId="0" borderId="13" xfId="33046" applyNumberFormat="1" applyFont="1" applyFill="1" applyBorder="1" applyProtection="1">
      <protection locked="0"/>
    </xf>
    <xf numFmtId="286" fontId="6" fillId="7" borderId="16" xfId="33046" applyNumberFormat="1" applyFont="1" applyFill="1" applyBorder="1" applyAlignment="1" applyProtection="1">
      <alignment horizontal="center" vertical="center" wrapText="1"/>
    </xf>
    <xf numFmtId="179" fontId="0" fillId="0" borderId="13" xfId="33046" applyNumberFormat="1" applyFont="1" applyFill="1" applyBorder="1" applyProtection="1"/>
    <xf numFmtId="167" fontId="11" fillId="52" borderId="21" xfId="1" applyFont="1" applyFill="1" applyBorder="1" applyAlignment="1" applyProtection="1">
      <alignment vertical="center" shrinkToFit="1"/>
    </xf>
    <xf numFmtId="286" fontId="6" fillId="7" borderId="95" xfId="33046" applyNumberFormat="1" applyFont="1" applyFill="1" applyBorder="1" applyAlignment="1" applyProtection="1">
      <alignment horizontal="center" vertical="center" wrapText="1"/>
      <protection locked="0"/>
    </xf>
    <xf numFmtId="286" fontId="6" fillId="7" borderId="122" xfId="33046" applyNumberFormat="1" applyFont="1" applyFill="1" applyBorder="1" applyAlignment="1" applyProtection="1">
      <alignment horizontal="center" vertical="center" wrapText="1"/>
      <protection locked="0"/>
    </xf>
    <xf numFmtId="0" fontId="6" fillId="0" borderId="6" xfId="42583" applyFont="1" applyBorder="1" applyAlignment="1" applyProtection="1">
      <alignment horizontal="center" vertical="center" wrapText="1"/>
      <protection locked="0"/>
    </xf>
    <xf numFmtId="9" fontId="0" fillId="0" borderId="0" xfId="42583" applyNumberFormat="1" applyFont="1" applyAlignment="1" applyProtection="1">
      <alignment horizontal="center" vertical="center" wrapText="1"/>
      <protection locked="0"/>
    </xf>
    <xf numFmtId="9" fontId="0" fillId="0" borderId="36" xfId="42583" applyNumberFormat="1" applyFont="1" applyBorder="1" applyAlignment="1" applyProtection="1">
      <alignment horizontal="center" vertical="center" wrapText="1"/>
      <protection locked="0"/>
    </xf>
    <xf numFmtId="9" fontId="0" fillId="0" borderId="113" xfId="42583" applyNumberFormat="1" applyFont="1" applyBorder="1" applyAlignment="1" applyProtection="1">
      <alignment horizontal="center" vertical="center" wrapText="1"/>
      <protection locked="0"/>
    </xf>
    <xf numFmtId="179" fontId="0" fillId="0" borderId="119" xfId="33046" applyNumberFormat="1" applyFont="1" applyFill="1" applyBorder="1" applyProtection="1">
      <protection locked="0"/>
    </xf>
    <xf numFmtId="179" fontId="0" fillId="0" borderId="123" xfId="33046" applyNumberFormat="1" applyFont="1" applyFill="1" applyBorder="1" applyProtection="1">
      <protection locked="0"/>
    </xf>
    <xf numFmtId="179" fontId="322" fillId="0" borderId="119" xfId="33046" applyNumberFormat="1" applyFont="1" applyFill="1" applyBorder="1" applyProtection="1">
      <protection locked="0"/>
    </xf>
    <xf numFmtId="179" fontId="322" fillId="0" borderId="123" xfId="33046" applyNumberFormat="1" applyFont="1" applyFill="1" applyBorder="1" applyProtection="1">
      <protection locked="0"/>
    </xf>
    <xf numFmtId="0" fontId="3" fillId="0" borderId="0" xfId="16" applyProtection="1">
      <protection locked="0"/>
    </xf>
    <xf numFmtId="167" fontId="0" fillId="191" borderId="117" xfId="57493" applyFont="1" applyFill="1" applyBorder="1" applyProtection="1">
      <protection locked="0"/>
    </xf>
    <xf numFmtId="167" fontId="0" fillId="191" borderId="36" xfId="57493" applyFont="1" applyFill="1" applyBorder="1" applyProtection="1">
      <protection locked="0"/>
    </xf>
    <xf numFmtId="0" fontId="3" fillId="191" borderId="36" xfId="16" applyFill="1" applyBorder="1" applyProtection="1">
      <protection locked="0"/>
    </xf>
    <xf numFmtId="167" fontId="3" fillId="0" borderId="0" xfId="16" applyNumberFormat="1" applyProtection="1">
      <protection locked="0"/>
    </xf>
    <xf numFmtId="167" fontId="3" fillId="0" borderId="0" xfId="1" applyFont="1" applyProtection="1">
      <protection locked="0"/>
    </xf>
    <xf numFmtId="167" fontId="0" fillId="0" borderId="117" xfId="57493" applyFont="1" applyFill="1" applyBorder="1" applyProtection="1">
      <protection locked="0"/>
    </xf>
    <xf numFmtId="167" fontId="0" fillId="0" borderId="116" xfId="57493" applyFont="1" applyFill="1" applyBorder="1" applyProtection="1">
      <protection locked="0"/>
    </xf>
    <xf numFmtId="167" fontId="0" fillId="0" borderId="36" xfId="57493" applyFont="1" applyFill="1" applyBorder="1" applyProtection="1">
      <protection locked="0"/>
    </xf>
    <xf numFmtId="167" fontId="0" fillId="0" borderId="37" xfId="57493" applyFont="1" applyFill="1" applyBorder="1" applyProtection="1">
      <protection locked="0"/>
    </xf>
    <xf numFmtId="0" fontId="3" fillId="0" borderId="36" xfId="16" applyBorder="1" applyProtection="1">
      <protection locked="0"/>
    </xf>
    <xf numFmtId="167" fontId="12" fillId="0" borderId="119" xfId="16" applyNumberFormat="1" applyFont="1" applyBorder="1" applyProtection="1">
      <protection locked="0"/>
    </xf>
    <xf numFmtId="0" fontId="3" fillId="0" borderId="0" xfId="16" applyAlignment="1" applyProtection="1">
      <alignment horizontal="center"/>
      <protection locked="0"/>
    </xf>
    <xf numFmtId="0" fontId="372" fillId="0" borderId="81" xfId="16" applyFont="1" applyBorder="1" applyAlignment="1" applyProtection="1">
      <alignment vertical="center"/>
      <protection locked="0"/>
    </xf>
    <xf numFmtId="0" fontId="3" fillId="0" borderId="116" xfId="16" applyBorder="1" applyAlignment="1" applyProtection="1">
      <alignment horizontal="center"/>
      <protection locked="0"/>
    </xf>
    <xf numFmtId="0" fontId="3" fillId="0" borderId="117" xfId="16" applyBorder="1" applyProtection="1">
      <protection locked="0"/>
    </xf>
    <xf numFmtId="0" fontId="3" fillId="0" borderId="117" xfId="16" applyBorder="1" applyAlignment="1" applyProtection="1">
      <alignment horizontal="center"/>
      <protection locked="0"/>
    </xf>
    <xf numFmtId="0" fontId="3" fillId="0" borderId="37" xfId="16" applyBorder="1" applyAlignment="1" applyProtection="1">
      <alignment horizontal="center"/>
      <protection locked="0"/>
    </xf>
    <xf numFmtId="0" fontId="3" fillId="0" borderId="36" xfId="16" applyBorder="1" applyAlignment="1" applyProtection="1">
      <alignment horizontal="center"/>
      <protection locked="0"/>
    </xf>
    <xf numFmtId="0" fontId="195" fillId="0" borderId="36" xfId="49944" applyFont="1" applyBorder="1" applyAlignment="1" applyProtection="1">
      <alignment vertical="center"/>
      <protection locked="0"/>
    </xf>
    <xf numFmtId="0" fontId="195" fillId="0" borderId="36" xfId="49944" applyFont="1" applyBorder="1" applyAlignment="1" applyProtection="1">
      <alignment horizontal="center" vertical="center"/>
      <protection locked="0"/>
    </xf>
    <xf numFmtId="0" fontId="3" fillId="3" borderId="36" xfId="16" applyFill="1" applyBorder="1" applyProtection="1">
      <protection locked="0"/>
    </xf>
    <xf numFmtId="0" fontId="3" fillId="3" borderId="36" xfId="16" applyFill="1" applyBorder="1" applyAlignment="1" applyProtection="1">
      <alignment horizontal="center"/>
      <protection locked="0"/>
    </xf>
    <xf numFmtId="0" fontId="3" fillId="0" borderId="37" xfId="16" applyBorder="1" applyProtection="1">
      <protection locked="0"/>
    </xf>
    <xf numFmtId="167" fontId="0" fillId="3" borderId="13" xfId="1" applyFont="1" applyFill="1" applyBorder="1" applyAlignment="1">
      <alignment horizontal="center"/>
    </xf>
    <xf numFmtId="167" fontId="322" fillId="183" borderId="13" xfId="1" applyFont="1" applyFill="1" applyBorder="1" applyAlignment="1">
      <alignment horizontal="center"/>
    </xf>
    <xf numFmtId="167" fontId="322" fillId="0" borderId="13" xfId="1" applyFont="1" applyBorder="1" applyAlignment="1">
      <alignment horizontal="center"/>
    </xf>
    <xf numFmtId="167" fontId="358" fillId="0" borderId="13" xfId="1" applyFont="1" applyFill="1" applyBorder="1" applyAlignment="1">
      <alignment horizontal="center"/>
    </xf>
    <xf numFmtId="167" fontId="359" fillId="0" borderId="13" xfId="1" applyFont="1" applyFill="1" applyBorder="1" applyAlignment="1">
      <alignment horizontal="center"/>
    </xf>
    <xf numFmtId="167" fontId="322" fillId="0" borderId="0" xfId="0" applyNumberFormat="1" applyFont="1" applyAlignment="1">
      <alignment horizontal="center"/>
    </xf>
    <xf numFmtId="167" fontId="358" fillId="0" borderId="0" xfId="1" applyFont="1" applyFill="1" applyBorder="1" applyAlignment="1">
      <alignment horizontal="center"/>
    </xf>
    <xf numFmtId="167" fontId="6" fillId="0" borderId="13" xfId="1" applyFont="1" applyFill="1" applyBorder="1" applyAlignment="1">
      <alignment horizontal="center"/>
    </xf>
    <xf numFmtId="167" fontId="5" fillId="0" borderId="0" xfId="1" applyFont="1" applyFill="1" applyAlignment="1">
      <alignment horizontal="center"/>
    </xf>
    <xf numFmtId="167" fontId="5" fillId="0" borderId="0" xfId="1" applyFont="1" applyFill="1" applyBorder="1"/>
    <xf numFmtId="180" fontId="0" fillId="0" borderId="113" xfId="8" applyNumberFormat="1" applyFont="1" applyFill="1" applyBorder="1"/>
    <xf numFmtId="37" fontId="0" fillId="2" borderId="13" xfId="1" applyNumberFormat="1" applyFont="1" applyFill="1" applyBorder="1"/>
    <xf numFmtId="0" fontId="6" fillId="11" borderId="111" xfId="0" applyFont="1" applyFill="1" applyBorder="1"/>
    <xf numFmtId="0" fontId="6" fillId="11" borderId="120" xfId="0" applyFont="1" applyFill="1" applyBorder="1"/>
    <xf numFmtId="0" fontId="6" fillId="7" borderId="111" xfId="0" applyFont="1" applyFill="1" applyBorder="1"/>
    <xf numFmtId="0" fontId="6" fillId="7" borderId="120" xfId="0" applyFont="1" applyFill="1" applyBorder="1"/>
    <xf numFmtId="167" fontId="322" fillId="188" borderId="13" xfId="1" applyFont="1" applyFill="1" applyBorder="1" applyAlignment="1">
      <alignment horizontal="center"/>
    </xf>
    <xf numFmtId="167" fontId="0" fillId="188" borderId="13" xfId="1" applyFont="1" applyFill="1" applyBorder="1" applyAlignment="1">
      <alignment horizontal="center"/>
    </xf>
    <xf numFmtId="167" fontId="6" fillId="188" borderId="13" xfId="1" applyFont="1" applyFill="1" applyBorder="1" applyAlignment="1">
      <alignment horizontal="center"/>
    </xf>
    <xf numFmtId="167" fontId="11" fillId="0" borderId="13" xfId="1" applyFont="1" applyBorder="1" applyAlignment="1">
      <alignment horizontal="center"/>
    </xf>
    <xf numFmtId="167" fontId="0" fillId="3" borderId="13" xfId="1" applyFont="1" applyFill="1" applyBorder="1" applyAlignment="1" applyProtection="1">
      <alignment horizontal="center"/>
      <protection locked="0"/>
    </xf>
    <xf numFmtId="17" fontId="6" fillId="0" borderId="13" xfId="0" applyNumberFormat="1" applyFont="1" applyBorder="1" applyAlignment="1">
      <alignment vertical="top"/>
    </xf>
    <xf numFmtId="17" fontId="6" fillId="0" borderId="13" xfId="0" applyNumberFormat="1" applyFont="1" applyBorder="1" applyAlignment="1">
      <alignment horizontal="center" vertical="top"/>
    </xf>
    <xf numFmtId="17" fontId="358" fillId="0" borderId="13" xfId="0" applyNumberFormat="1" applyFont="1" applyBorder="1" applyAlignment="1">
      <alignment horizontal="center" vertical="top"/>
    </xf>
    <xf numFmtId="17" fontId="358" fillId="0" borderId="13" xfId="0" applyNumberFormat="1" applyFont="1" applyBorder="1" applyAlignment="1">
      <alignment horizontal="center" vertical="top" wrapText="1"/>
    </xf>
    <xf numFmtId="0" fontId="6" fillId="0" borderId="0" xfId="0" applyFont="1" applyAlignment="1">
      <alignment vertical="top"/>
    </xf>
    <xf numFmtId="167" fontId="15" fillId="0" borderId="0" xfId="1" applyFont="1" applyFill="1" applyAlignment="1">
      <alignment horizontal="center"/>
    </xf>
    <xf numFmtId="17" fontId="324" fillId="0" borderId="0" xfId="2" applyNumberFormat="1" applyFont="1" applyAlignment="1">
      <alignment horizontal="center" vertical="center"/>
    </xf>
    <xf numFmtId="179" fontId="14" fillId="0" borderId="0" xfId="10" applyNumberFormat="1" applyFont="1" applyFill="1"/>
    <xf numFmtId="179" fontId="323" fillId="0" borderId="0" xfId="10" applyNumberFormat="1" applyFont="1" applyFill="1"/>
    <xf numFmtId="17" fontId="6" fillId="188" borderId="13" xfId="0" applyNumberFormat="1" applyFont="1" applyFill="1" applyBorder="1" applyAlignment="1">
      <alignment horizontal="center" vertical="top" wrapText="1"/>
    </xf>
    <xf numFmtId="167" fontId="11" fillId="0" borderId="5" xfId="5" applyFont="1" applyFill="1" applyBorder="1" applyAlignment="1" applyProtection="1">
      <alignment horizontal="center"/>
    </xf>
    <xf numFmtId="0" fontId="11" fillId="0" borderId="8" xfId="4" applyFont="1" applyBorder="1" applyAlignment="1">
      <alignment horizontal="center" vertical="center"/>
    </xf>
    <xf numFmtId="179" fontId="4" fillId="0" borderId="7" xfId="4" applyNumberFormat="1" applyBorder="1" applyAlignment="1">
      <alignment horizontal="left" indent="1"/>
    </xf>
    <xf numFmtId="179" fontId="4" fillId="0" borderId="7" xfId="4" applyNumberFormat="1" applyBorder="1" applyAlignment="1">
      <alignment horizontal="right" indent="1"/>
    </xf>
    <xf numFmtId="167" fontId="11" fillId="0" borderId="3" xfId="5" applyFont="1" applyFill="1" applyBorder="1" applyAlignment="1" applyProtection="1"/>
    <xf numFmtId="167" fontId="1" fillId="0" borderId="113" xfId="1" applyFont="1" applyFill="1" applyBorder="1" applyProtection="1"/>
    <xf numFmtId="167" fontId="6" fillId="0" borderId="113" xfId="5" applyFont="1" applyFill="1" applyBorder="1" applyProtection="1"/>
    <xf numFmtId="167" fontId="9" fillId="0" borderId="113" xfId="5" applyFont="1" applyFill="1" applyBorder="1" applyProtection="1"/>
    <xf numFmtId="0" fontId="9" fillId="0" borderId="113" xfId="4" applyFont="1" applyBorder="1"/>
    <xf numFmtId="167" fontId="9" fillId="0" borderId="113" xfId="1" applyFont="1" applyFill="1" applyBorder="1" applyProtection="1"/>
    <xf numFmtId="167" fontId="0" fillId="0" borderId="113" xfId="5" applyFont="1" applyFill="1" applyBorder="1" applyProtection="1"/>
    <xf numFmtId="167" fontId="6" fillId="0" borderId="10" xfId="5" applyFont="1" applyFill="1" applyBorder="1" applyProtection="1"/>
    <xf numFmtId="167" fontId="6" fillId="0" borderId="7" xfId="1" applyFont="1" applyFill="1" applyBorder="1" applyProtection="1"/>
    <xf numFmtId="167" fontId="1" fillId="0" borderId="0" xfId="5" applyFont="1" applyFill="1" applyBorder="1" applyProtection="1"/>
    <xf numFmtId="286" fontId="6" fillId="0" borderId="16" xfId="33046" applyNumberFormat="1" applyFont="1" applyFill="1" applyBorder="1" applyAlignment="1">
      <alignment horizontal="center" vertical="center" wrapText="1"/>
    </xf>
    <xf numFmtId="167" fontId="11" fillId="0" borderId="21" xfId="1" applyFont="1" applyFill="1" applyBorder="1" applyAlignment="1">
      <alignment vertical="center" shrinkToFit="1"/>
    </xf>
    <xf numFmtId="242" fontId="377" fillId="189" borderId="13" xfId="33575" applyNumberFormat="1" applyFont="1" applyFill="1" applyBorder="1" applyAlignment="1" applyProtection="1">
      <alignment horizontal="center" vertical="center"/>
    </xf>
    <xf numFmtId="167" fontId="378" fillId="0" borderId="117" xfId="57493" applyFont="1" applyFill="1" applyBorder="1" applyProtection="1"/>
    <xf numFmtId="167" fontId="378" fillId="0" borderId="36" xfId="57493" applyFont="1" applyFill="1" applyBorder="1" applyProtection="1"/>
    <xf numFmtId="0" fontId="379" fillId="0" borderId="36" xfId="16" applyFont="1" applyBorder="1"/>
    <xf numFmtId="167" fontId="380" fillId="0" borderId="119" xfId="16" applyNumberFormat="1" applyFont="1" applyBorder="1"/>
    <xf numFmtId="167" fontId="3" fillId="0" borderId="0" xfId="16" applyNumberFormat="1"/>
    <xf numFmtId="242" fontId="374" fillId="190" borderId="13" xfId="33575" applyNumberFormat="1" applyFont="1" applyFill="1" applyBorder="1" applyAlignment="1" applyProtection="1">
      <alignment horizontal="center" vertical="center"/>
    </xf>
    <xf numFmtId="167" fontId="375" fillId="0" borderId="117" xfId="57493" applyFont="1" applyFill="1" applyBorder="1" applyProtection="1"/>
    <xf numFmtId="167" fontId="375" fillId="0" borderId="36" xfId="57493" applyFont="1" applyFill="1" applyBorder="1" applyProtection="1"/>
    <xf numFmtId="167" fontId="375" fillId="0" borderId="36" xfId="57493" applyFont="1" applyBorder="1" applyProtection="1"/>
    <xf numFmtId="0" fontId="376" fillId="0" borderId="36" xfId="16" applyFont="1" applyBorder="1"/>
    <xf numFmtId="167" fontId="375" fillId="0" borderId="119" xfId="16" applyNumberFormat="1" applyFont="1" applyBorder="1"/>
    <xf numFmtId="167" fontId="360" fillId="3" borderId="0" xfId="1" applyFont="1" applyFill="1" applyAlignment="1">
      <alignment horizontal="center"/>
    </xf>
    <xf numFmtId="0" fontId="383" fillId="0" borderId="0" xfId="0" applyFont="1" applyAlignment="1">
      <alignment horizontal="left"/>
    </xf>
    <xf numFmtId="167" fontId="322" fillId="188" borderId="13" xfId="1" applyFont="1" applyFill="1" applyBorder="1" applyAlignment="1" applyProtection="1">
      <alignment horizontal="center"/>
      <protection locked="0"/>
    </xf>
    <xf numFmtId="167" fontId="0" fillId="188" borderId="13" xfId="1" applyFont="1" applyFill="1" applyBorder="1" applyAlignment="1" applyProtection="1">
      <alignment horizontal="center"/>
      <protection locked="0"/>
    </xf>
    <xf numFmtId="167" fontId="325" fillId="194" borderId="0" xfId="1" applyFont="1" applyFill="1"/>
    <xf numFmtId="0" fontId="325" fillId="194" borderId="0" xfId="2" applyFont="1" applyFill="1"/>
    <xf numFmtId="179" fontId="14" fillId="194" borderId="0" xfId="10" applyNumberFormat="1" applyFont="1" applyFill="1"/>
    <xf numFmtId="179" fontId="323" fillId="194" borderId="0" xfId="10" applyNumberFormat="1" applyFont="1" applyFill="1"/>
    <xf numFmtId="0" fontId="324" fillId="194" borderId="0" xfId="2" applyFont="1" applyFill="1"/>
    <xf numFmtId="0" fontId="12" fillId="194" borderId="0" xfId="2" applyFont="1" applyFill="1"/>
    <xf numFmtId="167" fontId="361" fillId="0" borderId="0" xfId="1" applyFont="1" applyFill="1" applyAlignment="1">
      <alignment horizontal="center"/>
    </xf>
    <xf numFmtId="169" fontId="1" fillId="52" borderId="7" xfId="8" applyFont="1" applyFill="1" applyBorder="1" applyAlignment="1" applyProtection="1">
      <alignment horizontal="left" indent="1"/>
    </xf>
    <xf numFmtId="167" fontId="0" fillId="52" borderId="7" xfId="5" applyFont="1" applyFill="1" applyBorder="1" applyProtection="1"/>
    <xf numFmtId="179" fontId="1" fillId="52" borderId="7" xfId="8" applyNumberFormat="1" applyFont="1" applyFill="1" applyBorder="1" applyAlignment="1" applyProtection="1">
      <alignment horizontal="left" indent="1"/>
    </xf>
    <xf numFmtId="0" fontId="4" fillId="52" borderId="7" xfId="4" applyFill="1" applyBorder="1" applyAlignment="1">
      <alignment horizontal="left" indent="1"/>
    </xf>
    <xf numFmtId="179" fontId="1" fillId="52" borderId="7" xfId="10" applyNumberFormat="1" applyFont="1" applyFill="1" applyBorder="1" applyProtection="1"/>
    <xf numFmtId="179" fontId="1" fillId="52" borderId="7" xfId="10" applyNumberFormat="1" applyFont="1" applyFill="1" applyBorder="1" applyAlignment="1" applyProtection="1">
      <alignment horizontal="left" indent="1"/>
    </xf>
    <xf numFmtId="167" fontId="6" fillId="52" borderId="7" xfId="1" applyFont="1" applyFill="1" applyBorder="1" applyAlignment="1" applyProtection="1">
      <alignment horizontal="left" indent="1"/>
    </xf>
    <xf numFmtId="167" fontId="1" fillId="52" borderId="7" xfId="5" applyFont="1" applyFill="1" applyBorder="1" applyProtection="1"/>
    <xf numFmtId="167" fontId="322" fillId="52" borderId="7" xfId="1" applyFont="1" applyFill="1" applyBorder="1" applyAlignment="1" applyProtection="1">
      <alignment horizontal="left" indent="1"/>
    </xf>
    <xf numFmtId="0" fontId="4" fillId="52" borderId="7" xfId="4" applyFill="1" applyBorder="1"/>
    <xf numFmtId="167" fontId="1" fillId="52" borderId="7" xfId="1" applyFont="1" applyFill="1" applyBorder="1" applyProtection="1"/>
    <xf numFmtId="167" fontId="1" fillId="52" borderId="113" xfId="5" applyFont="1" applyFill="1" applyBorder="1" applyProtection="1"/>
    <xf numFmtId="0" fontId="4" fillId="52" borderId="113" xfId="4" applyFill="1" applyBorder="1"/>
    <xf numFmtId="167" fontId="1" fillId="52" borderId="113" xfId="1" applyFont="1" applyFill="1" applyBorder="1" applyProtection="1"/>
    <xf numFmtId="167" fontId="9" fillId="52" borderId="113" xfId="5" applyFont="1" applyFill="1" applyBorder="1" applyProtection="1"/>
    <xf numFmtId="0" fontId="9" fillId="52" borderId="113" xfId="4" applyFont="1" applyFill="1" applyBorder="1"/>
    <xf numFmtId="167" fontId="9" fillId="52" borderId="113" xfId="1" applyFont="1" applyFill="1" applyBorder="1" applyProtection="1"/>
    <xf numFmtId="167" fontId="0" fillId="52" borderId="113" xfId="5" applyFont="1" applyFill="1" applyBorder="1" applyProtection="1"/>
    <xf numFmtId="179" fontId="1" fillId="52" borderId="7" xfId="36979" applyNumberFormat="1" applyFont="1" applyFill="1" applyBorder="1" applyAlignment="1"/>
    <xf numFmtId="0" fontId="4" fillId="52" borderId="0" xfId="4" applyFill="1"/>
    <xf numFmtId="167" fontId="1" fillId="52" borderId="0" xfId="4" applyNumberFormat="1" applyFont="1" applyFill="1"/>
    <xf numFmtId="167" fontId="6" fillId="52" borderId="12" xfId="4" applyNumberFormat="1" applyFont="1" applyFill="1" applyBorder="1"/>
    <xf numFmtId="179" fontId="0" fillId="195" borderId="13" xfId="33046" applyNumberFormat="1" applyFont="1" applyFill="1" applyBorder="1"/>
    <xf numFmtId="179" fontId="322" fillId="195" borderId="13" xfId="33046" applyNumberFormat="1" applyFont="1" applyFill="1" applyBorder="1"/>
    <xf numFmtId="0" fontId="0" fillId="0" borderId="0" xfId="42583" applyFont="1" applyAlignment="1">
      <alignment horizontal="center" vertical="center" wrapText="1"/>
    </xf>
    <xf numFmtId="0" fontId="65" fillId="0" borderId="0" xfId="49944" applyFont="1" applyAlignment="1">
      <alignment vertical="center"/>
    </xf>
    <xf numFmtId="0" fontId="372" fillId="0" borderId="0" xfId="16" applyFont="1" applyAlignment="1" applyProtection="1">
      <alignment vertical="center"/>
      <protection locked="0"/>
    </xf>
    <xf numFmtId="0" fontId="15" fillId="0" borderId="0" xfId="16" applyFont="1" applyProtection="1">
      <protection locked="0"/>
    </xf>
    <xf numFmtId="0" fontId="17" fillId="0" borderId="81" xfId="16" applyFont="1" applyBorder="1" applyAlignment="1" applyProtection="1">
      <alignment vertical="center"/>
      <protection locked="0"/>
    </xf>
    <xf numFmtId="0" fontId="3" fillId="190" borderId="36" xfId="16" applyFill="1" applyBorder="1" applyProtection="1">
      <protection locked="0"/>
    </xf>
    <xf numFmtId="0" fontId="3" fillId="190" borderId="36" xfId="16" applyFill="1" applyBorder="1" applyAlignment="1" applyProtection="1">
      <alignment horizontal="center"/>
      <protection locked="0"/>
    </xf>
    <xf numFmtId="0" fontId="3" fillId="3" borderId="37" xfId="16" applyFill="1" applyBorder="1" applyAlignment="1" applyProtection="1">
      <alignment horizontal="center"/>
      <protection locked="0"/>
    </xf>
    <xf numFmtId="0" fontId="3" fillId="190" borderId="37" xfId="16" applyFill="1" applyBorder="1" applyAlignment="1" applyProtection="1">
      <alignment horizontal="center"/>
      <protection locked="0"/>
    </xf>
    <xf numFmtId="242" fontId="374" fillId="13" borderId="119" xfId="33575" applyNumberFormat="1" applyFont="1" applyFill="1" applyBorder="1" applyAlignment="1" applyProtection="1">
      <alignment horizontal="center" vertical="center"/>
    </xf>
    <xf numFmtId="242" fontId="374" fillId="13" borderId="13" xfId="33575" applyNumberFormat="1" applyFont="1" applyFill="1" applyBorder="1" applyAlignment="1" applyProtection="1">
      <alignment horizontal="center" vertical="center"/>
    </xf>
    <xf numFmtId="167" fontId="322" fillId="188" borderId="0" xfId="1" applyFont="1" applyFill="1" applyBorder="1" applyAlignment="1">
      <alignment horizontal="center"/>
    </xf>
    <xf numFmtId="167" fontId="0" fillId="188" borderId="0" xfId="1" applyFont="1" applyFill="1" applyBorder="1" applyAlignment="1">
      <alignment horizontal="center"/>
    </xf>
    <xf numFmtId="167" fontId="6" fillId="188" borderId="0" xfId="1" applyFont="1" applyFill="1" applyBorder="1" applyAlignment="1">
      <alignment horizontal="center"/>
    </xf>
    <xf numFmtId="17" fontId="358" fillId="0" borderId="0" xfId="0" applyNumberFormat="1" applyFont="1" applyAlignment="1">
      <alignment horizontal="center"/>
    </xf>
    <xf numFmtId="167" fontId="359" fillId="0" borderId="0" xfId="1" applyFont="1" applyBorder="1" applyAlignment="1">
      <alignment horizontal="center"/>
    </xf>
    <xf numFmtId="0" fontId="11" fillId="0" borderId="0" xfId="0" applyFont="1" applyAlignment="1">
      <alignment horizontal="center" vertical="top"/>
    </xf>
    <xf numFmtId="167" fontId="6" fillId="5" borderId="13" xfId="1" applyFont="1" applyFill="1" applyBorder="1" applyAlignment="1">
      <alignment horizontal="center"/>
    </xf>
    <xf numFmtId="0" fontId="5" fillId="0" borderId="0" xfId="0" applyFont="1" applyAlignment="1">
      <alignment vertical="top"/>
    </xf>
    <xf numFmtId="235" fontId="6" fillId="188" borderId="0" xfId="7" applyNumberFormat="1" applyFont="1" applyFill="1" applyBorder="1" applyAlignment="1">
      <alignment horizontal="center"/>
    </xf>
    <xf numFmtId="167" fontId="0" fillId="0" borderId="0" xfId="1" applyFont="1" applyAlignment="1">
      <alignment horizontal="center"/>
    </xf>
    <xf numFmtId="167" fontId="15" fillId="20" borderId="0" xfId="1" applyFont="1" applyFill="1" applyAlignment="1" applyProtection="1">
      <alignment horizontal="center"/>
    </xf>
    <xf numFmtId="167" fontId="15" fillId="0" borderId="0" xfId="1" applyFont="1" applyFill="1" applyAlignment="1" applyProtection="1">
      <alignment horizontal="center"/>
    </xf>
    <xf numFmtId="167" fontId="323" fillId="16" borderId="0" xfId="1" applyFont="1" applyFill="1" applyAlignment="1" applyProtection="1">
      <alignment horizontal="center"/>
    </xf>
    <xf numFmtId="167" fontId="323" fillId="17" borderId="0" xfId="1" applyFont="1" applyFill="1" applyAlignment="1" applyProtection="1">
      <alignment horizontal="left"/>
    </xf>
    <xf numFmtId="167" fontId="325" fillId="194" borderId="0" xfId="1" applyFont="1" applyFill="1" applyProtection="1"/>
    <xf numFmtId="167" fontId="325" fillId="0" borderId="0" xfId="1" applyFont="1" applyFill="1" applyProtection="1"/>
    <xf numFmtId="167" fontId="324" fillId="3" borderId="0" xfId="1" applyFont="1" applyFill="1" applyProtection="1"/>
    <xf numFmtId="167" fontId="324" fillId="9" borderId="0" xfId="1" applyFont="1" applyFill="1" applyProtection="1"/>
    <xf numFmtId="167" fontId="324" fillId="8" borderId="0" xfId="1" applyFont="1" applyFill="1" applyProtection="1"/>
    <xf numFmtId="9" fontId="324" fillId="8" borderId="0" xfId="7" applyFont="1" applyFill="1" applyProtection="1"/>
    <xf numFmtId="167" fontId="323" fillId="17" borderId="0" xfId="1" applyFont="1" applyFill="1" applyAlignment="1" applyProtection="1">
      <alignment horizontal="center"/>
    </xf>
    <xf numFmtId="167" fontId="325" fillId="3" borderId="0" xfId="1" applyFont="1" applyFill="1" applyProtection="1"/>
    <xf numFmtId="179" fontId="324" fillId="8" borderId="0" xfId="3" applyNumberFormat="1" applyFont="1" applyFill="1" applyProtection="1"/>
    <xf numFmtId="167" fontId="324" fillId="14" borderId="0" xfId="1" applyFont="1" applyFill="1" applyProtection="1"/>
    <xf numFmtId="167" fontId="323" fillId="16" borderId="0" xfId="1" applyFont="1" applyFill="1" applyAlignment="1" applyProtection="1">
      <alignment horizontal="left"/>
    </xf>
    <xf numFmtId="167" fontId="323" fillId="0" borderId="0" xfId="1" applyFont="1" applyFill="1" applyAlignment="1" applyProtection="1">
      <alignment horizontal="left"/>
    </xf>
    <xf numFmtId="167" fontId="325" fillId="0" borderId="0" xfId="1" applyFont="1" applyProtection="1"/>
    <xf numFmtId="167" fontId="325" fillId="9" borderId="0" xfId="1" applyFont="1" applyFill="1" applyProtection="1"/>
    <xf numFmtId="167" fontId="323" fillId="167" borderId="0" xfId="1" applyFont="1" applyFill="1" applyProtection="1"/>
    <xf numFmtId="179" fontId="14" fillId="3" borderId="0" xfId="3" applyNumberFormat="1" applyFont="1" applyFill="1" applyProtection="1"/>
    <xf numFmtId="179" fontId="323" fillId="3" borderId="0" xfId="3" applyNumberFormat="1" applyFont="1" applyFill="1" applyProtection="1"/>
    <xf numFmtId="179" fontId="14" fillId="194" borderId="0" xfId="10" applyNumberFormat="1" applyFont="1" applyFill="1" applyProtection="1"/>
    <xf numFmtId="179" fontId="14" fillId="0" borderId="0" xfId="10" applyNumberFormat="1" applyFont="1" applyFill="1" applyProtection="1"/>
    <xf numFmtId="179" fontId="323" fillId="194" borderId="0" xfId="10" applyNumberFormat="1" applyFont="1" applyFill="1" applyProtection="1"/>
    <xf numFmtId="179" fontId="323" fillId="0" borderId="0" xfId="10" applyNumberFormat="1" applyFont="1" applyFill="1" applyProtection="1"/>
    <xf numFmtId="167" fontId="12" fillId="20" borderId="0" xfId="1" applyFont="1" applyFill="1" applyProtection="1"/>
    <xf numFmtId="0" fontId="12" fillId="188" borderId="0" xfId="2" applyFont="1" applyFill="1"/>
    <xf numFmtId="167" fontId="324" fillId="20" borderId="0" xfId="1" applyFont="1" applyFill="1" applyAlignment="1" applyProtection="1">
      <alignment horizontal="center" vertical="center"/>
    </xf>
    <xf numFmtId="17" fontId="324" fillId="188" borderId="0" xfId="2" applyNumberFormat="1" applyFont="1" applyFill="1" applyAlignment="1">
      <alignment horizontal="center" vertical="center"/>
    </xf>
    <xf numFmtId="167" fontId="324" fillId="20" borderId="0" xfId="1" applyFont="1" applyFill="1" applyProtection="1"/>
    <xf numFmtId="167" fontId="324" fillId="188" borderId="0" xfId="1" applyFont="1" applyFill="1" applyProtection="1"/>
    <xf numFmtId="167" fontId="323" fillId="3" borderId="0" xfId="1" applyFont="1" applyFill="1" applyProtection="1"/>
    <xf numFmtId="10" fontId="324" fillId="20" borderId="0" xfId="7" applyNumberFormat="1" applyFont="1" applyFill="1" applyProtection="1"/>
    <xf numFmtId="0" fontId="324" fillId="188" borderId="0" xfId="2" applyFont="1" applyFill="1"/>
    <xf numFmtId="179" fontId="323" fillId="188" borderId="0" xfId="10" applyNumberFormat="1" applyFont="1" applyFill="1" applyProtection="1"/>
    <xf numFmtId="0" fontId="17" fillId="188" borderId="0" xfId="2" applyFont="1" applyFill="1"/>
    <xf numFmtId="0" fontId="3" fillId="188" borderId="0" xfId="2" applyFill="1"/>
    <xf numFmtId="167" fontId="15" fillId="188" borderId="0" xfId="1" applyFont="1" applyFill="1" applyAlignment="1" applyProtection="1">
      <alignment horizontal="center"/>
    </xf>
    <xf numFmtId="167" fontId="325" fillId="188" borderId="0" xfId="1" applyFont="1" applyFill="1" applyProtection="1"/>
    <xf numFmtId="167" fontId="323" fillId="188" borderId="0" xfId="1" applyFont="1" applyFill="1" applyAlignment="1" applyProtection="1">
      <alignment horizontal="left"/>
    </xf>
    <xf numFmtId="0" fontId="325" fillId="188" borderId="0" xfId="2" applyFont="1" applyFill="1"/>
    <xf numFmtId="179" fontId="14" fillId="188" borderId="0" xfId="10" applyNumberFormat="1" applyFont="1" applyFill="1" applyProtection="1"/>
    <xf numFmtId="0" fontId="12" fillId="13" borderId="0" xfId="2" applyFont="1" applyFill="1"/>
    <xf numFmtId="167" fontId="15" fillId="13" borderId="0" xfId="1" applyFont="1" applyFill="1" applyAlignment="1" applyProtection="1">
      <alignment horizontal="center"/>
    </xf>
    <xf numFmtId="17" fontId="324" fillId="13" borderId="0" xfId="2" applyNumberFormat="1" applyFont="1" applyFill="1" applyAlignment="1">
      <alignment horizontal="center" vertical="center"/>
    </xf>
    <xf numFmtId="167" fontId="323" fillId="13" borderId="0" xfId="1" applyFont="1" applyFill="1" applyAlignment="1" applyProtection="1">
      <alignment horizontal="center"/>
    </xf>
    <xf numFmtId="167" fontId="323" fillId="13" borderId="0" xfId="1" applyFont="1" applyFill="1" applyAlignment="1" applyProtection="1">
      <alignment horizontal="left"/>
    </xf>
    <xf numFmtId="167" fontId="324" fillId="13" borderId="0" xfId="1" applyFont="1" applyFill="1" applyProtection="1"/>
    <xf numFmtId="9" fontId="324" fillId="13" borderId="0" xfId="7" applyFont="1" applyFill="1" applyProtection="1"/>
    <xf numFmtId="167" fontId="325" fillId="13" borderId="0" xfId="1" applyFont="1" applyFill="1" applyProtection="1"/>
    <xf numFmtId="179" fontId="324" fillId="13" borderId="0" xfId="3" applyNumberFormat="1" applyFont="1" applyFill="1" applyProtection="1"/>
    <xf numFmtId="167" fontId="323" fillId="13" borderId="0" xfId="1" applyFont="1" applyFill="1" applyProtection="1"/>
    <xf numFmtId="179" fontId="323" fillId="13" borderId="0" xfId="3" applyNumberFormat="1" applyFont="1" applyFill="1" applyProtection="1"/>
    <xf numFmtId="179" fontId="323" fillId="13" borderId="0" xfId="10" applyNumberFormat="1" applyFont="1" applyFill="1" applyProtection="1"/>
    <xf numFmtId="167" fontId="11" fillId="12" borderId="94" xfId="5" applyFont="1" applyFill="1" applyBorder="1" applyAlignment="1" applyProtection="1">
      <alignment wrapText="1"/>
    </xf>
    <xf numFmtId="167" fontId="11" fillId="188" borderId="5" xfId="5" applyFont="1" applyFill="1" applyBorder="1" applyAlignment="1" applyProtection="1">
      <alignment horizontal="center"/>
    </xf>
    <xf numFmtId="169" fontId="1" fillId="188" borderId="7" xfId="8" applyFont="1" applyFill="1" applyBorder="1" applyAlignment="1" applyProtection="1">
      <alignment horizontal="left" indent="1"/>
    </xf>
    <xf numFmtId="167" fontId="0" fillId="188" borderId="7" xfId="5" applyFont="1" applyFill="1" applyBorder="1" applyProtection="1"/>
    <xf numFmtId="179" fontId="1" fillId="188" borderId="7" xfId="8" applyNumberFormat="1" applyFont="1" applyFill="1" applyBorder="1" applyAlignment="1" applyProtection="1">
      <alignment horizontal="left" indent="1"/>
    </xf>
    <xf numFmtId="179" fontId="4" fillId="188" borderId="7" xfId="4" applyNumberFormat="1" applyFill="1" applyBorder="1" applyAlignment="1">
      <alignment horizontal="right" indent="1"/>
    </xf>
    <xf numFmtId="167" fontId="0" fillId="0" borderId="0" xfId="5" applyFont="1" applyFill="1" applyBorder="1" applyProtection="1"/>
    <xf numFmtId="0" fontId="4" fillId="188" borderId="7" xfId="4" applyFill="1" applyBorder="1"/>
    <xf numFmtId="167" fontId="4" fillId="188" borderId="7" xfId="4" applyNumberFormat="1" applyFill="1" applyBorder="1"/>
    <xf numFmtId="179" fontId="1" fillId="0" borderId="7" xfId="10" applyNumberFormat="1" applyFont="1" applyBorder="1" applyProtection="1"/>
    <xf numFmtId="179" fontId="4" fillId="188" borderId="7" xfId="4" applyNumberFormat="1" applyFill="1" applyBorder="1"/>
    <xf numFmtId="179" fontId="0" fillId="188" borderId="7" xfId="4" applyNumberFormat="1" applyFont="1" applyFill="1" applyBorder="1"/>
    <xf numFmtId="167" fontId="1" fillId="188" borderId="7" xfId="5" applyFont="1" applyFill="1" applyBorder="1" applyProtection="1"/>
    <xf numFmtId="167" fontId="1" fillId="0" borderId="7" xfId="5" applyFont="1" applyBorder="1" applyProtection="1"/>
    <xf numFmtId="167" fontId="0" fillId="0" borderId="7" xfId="5" applyFont="1" applyBorder="1" applyProtection="1"/>
    <xf numFmtId="3" fontId="4" fillId="188" borderId="7" xfId="4" applyNumberFormat="1" applyFill="1" applyBorder="1" applyAlignment="1">
      <alignment horizontal="left" indent="1"/>
    </xf>
    <xf numFmtId="3" fontId="4" fillId="0" borderId="0" xfId="4" applyNumberFormat="1"/>
    <xf numFmtId="3" fontId="4" fillId="188" borderId="0" xfId="4" applyNumberFormat="1" applyFill="1"/>
    <xf numFmtId="3" fontId="4" fillId="188" borderId="7" xfId="4" applyNumberFormat="1" applyFill="1" applyBorder="1"/>
    <xf numFmtId="167" fontId="0" fillId="188" borderId="0" xfId="5" applyFont="1" applyFill="1" applyProtection="1"/>
    <xf numFmtId="167" fontId="0" fillId="0" borderId="0" xfId="5" applyFont="1" applyProtection="1"/>
    <xf numFmtId="167" fontId="11" fillId="188" borderId="3" xfId="5" applyFont="1" applyFill="1" applyBorder="1" applyAlignment="1" applyProtection="1"/>
    <xf numFmtId="167" fontId="11" fillId="12" borderId="3" xfId="5" applyFont="1" applyFill="1" applyBorder="1" applyAlignment="1" applyProtection="1"/>
    <xf numFmtId="167" fontId="9" fillId="188" borderId="7" xfId="5" applyFont="1" applyFill="1" applyBorder="1" applyProtection="1"/>
    <xf numFmtId="167" fontId="9" fillId="0" borderId="7" xfId="5" applyFont="1" applyBorder="1" applyProtection="1"/>
    <xf numFmtId="180" fontId="9" fillId="188" borderId="7" xfId="8" applyNumberFormat="1" applyFont="1" applyFill="1" applyBorder="1" applyProtection="1"/>
    <xf numFmtId="180" fontId="9" fillId="0" borderId="7" xfId="8" applyNumberFormat="1" applyFont="1" applyBorder="1" applyProtection="1"/>
    <xf numFmtId="167" fontId="9" fillId="0" borderId="113" xfId="5" applyFont="1" applyBorder="1" applyProtection="1"/>
    <xf numFmtId="167" fontId="9" fillId="0" borderId="7" xfId="5" applyFont="1" applyFill="1" applyBorder="1" applyProtection="1"/>
    <xf numFmtId="167" fontId="0" fillId="3" borderId="7" xfId="5" applyFont="1" applyFill="1" applyBorder="1" applyProtection="1"/>
    <xf numFmtId="167" fontId="0" fillId="188" borderId="11" xfId="5" applyFont="1" applyFill="1" applyBorder="1" applyProtection="1"/>
    <xf numFmtId="167" fontId="1" fillId="188" borderId="7" xfId="1" applyFont="1" applyFill="1" applyBorder="1" applyProtection="1"/>
    <xf numFmtId="167" fontId="1" fillId="188" borderId="0" xfId="4" applyNumberFormat="1" applyFont="1" applyFill="1"/>
    <xf numFmtId="180" fontId="0" fillId="0" borderId="0" xfId="8" applyNumberFormat="1" applyFont="1" applyProtection="1"/>
    <xf numFmtId="0" fontId="334" fillId="0" borderId="0" xfId="4" applyFont="1"/>
    <xf numFmtId="167" fontId="5" fillId="5" borderId="92" xfId="5" applyFont="1" applyFill="1" applyBorder="1" applyAlignment="1" applyProtection="1">
      <alignment horizontal="center" vertical="center" wrapText="1"/>
    </xf>
    <xf numFmtId="0" fontId="6" fillId="5" borderId="0" xfId="4" applyFont="1" applyFill="1" applyAlignment="1">
      <alignment horizontal="center"/>
    </xf>
    <xf numFmtId="180" fontId="5" fillId="6" borderId="88" xfId="8" applyNumberFormat="1" applyFont="1" applyFill="1" applyBorder="1" applyAlignment="1" applyProtection="1">
      <alignment horizontal="center" vertical="center"/>
    </xf>
    <xf numFmtId="0" fontId="6" fillId="5" borderId="6" xfId="4" applyFont="1" applyFill="1" applyBorder="1" applyAlignment="1">
      <alignment horizontal="center"/>
    </xf>
    <xf numFmtId="0" fontId="5" fillId="6" borderId="8" xfId="4" applyFont="1" applyFill="1" applyBorder="1" applyAlignment="1">
      <alignment horizontal="center" vertical="center"/>
    </xf>
    <xf numFmtId="0" fontId="5" fillId="168" borderId="88" xfId="4" applyFont="1" applyFill="1" applyBorder="1" applyAlignment="1">
      <alignment horizontal="center" vertical="center"/>
    </xf>
    <xf numFmtId="167" fontId="0" fillId="0" borderId="90" xfId="5" applyFont="1" applyBorder="1" applyProtection="1"/>
    <xf numFmtId="180" fontId="0" fillId="0" borderId="90" xfId="8" applyNumberFormat="1" applyFont="1" applyBorder="1" applyProtection="1"/>
    <xf numFmtId="167" fontId="0" fillId="5" borderId="113" xfId="5" applyFont="1" applyFill="1" applyBorder="1" applyProtection="1"/>
    <xf numFmtId="169" fontId="1" fillId="0" borderId="113" xfId="8" applyFont="1" applyFill="1" applyBorder="1" applyAlignment="1" applyProtection="1">
      <alignment horizontal="left" indent="1"/>
    </xf>
    <xf numFmtId="180" fontId="0" fillId="0" borderId="0" xfId="8" applyNumberFormat="1" applyFont="1" applyFill="1" applyBorder="1" applyProtection="1"/>
    <xf numFmtId="167" fontId="11" fillId="0" borderId="7" xfId="1" applyFont="1" applyFill="1" applyBorder="1" applyProtection="1"/>
    <xf numFmtId="180" fontId="0" fillId="0" borderId="0" xfId="9" applyNumberFormat="1" applyFont="1" applyFill="1" applyAlignment="1" applyProtection="1">
      <alignment vertical="top"/>
    </xf>
    <xf numFmtId="180" fontId="0" fillId="0" borderId="0" xfId="9" applyNumberFormat="1" applyFont="1" applyFill="1" applyBorder="1" applyAlignment="1" applyProtection="1">
      <alignment vertical="top"/>
    </xf>
    <xf numFmtId="167" fontId="0" fillId="7" borderId="7" xfId="5" applyFont="1" applyFill="1" applyBorder="1" applyProtection="1"/>
    <xf numFmtId="180" fontId="0" fillId="0" borderId="7" xfId="9" applyNumberFormat="1" applyFont="1" applyFill="1" applyBorder="1" applyAlignment="1" applyProtection="1">
      <alignment vertical="top"/>
    </xf>
    <xf numFmtId="169" fontId="1" fillId="168" borderId="7" xfId="8" applyFont="1" applyFill="1" applyBorder="1" applyAlignment="1" applyProtection="1">
      <alignment horizontal="left" indent="1"/>
    </xf>
    <xf numFmtId="180" fontId="0" fillId="168" borderId="7" xfId="8" applyNumberFormat="1" applyFont="1" applyFill="1" applyBorder="1" applyProtection="1"/>
    <xf numFmtId="167" fontId="0" fillId="168" borderId="7" xfId="5" applyFont="1" applyFill="1" applyBorder="1" applyProtection="1"/>
    <xf numFmtId="0" fontId="334" fillId="0" borderId="7" xfId="4" applyFont="1" applyBorder="1"/>
    <xf numFmtId="167" fontId="0" fillId="3" borderId="7" xfId="1" applyFont="1" applyFill="1" applyBorder="1" applyProtection="1"/>
    <xf numFmtId="167" fontId="0" fillId="5" borderId="113" xfId="1" applyFont="1" applyFill="1" applyBorder="1" applyProtection="1"/>
    <xf numFmtId="167" fontId="1" fillId="3" borderId="113" xfId="1" applyFont="1" applyFill="1" applyBorder="1" applyAlignment="1" applyProtection="1">
      <alignment horizontal="left" indent="1"/>
    </xf>
    <xf numFmtId="167" fontId="0" fillId="3" borderId="0" xfId="1" applyFont="1" applyFill="1" applyBorder="1" applyProtection="1"/>
    <xf numFmtId="167" fontId="0" fillId="9" borderId="7" xfId="1" applyFont="1" applyFill="1" applyBorder="1" applyProtection="1"/>
    <xf numFmtId="167" fontId="1" fillId="9" borderId="113" xfId="1" applyFont="1" applyFill="1" applyBorder="1" applyAlignment="1" applyProtection="1">
      <alignment horizontal="left" indent="1"/>
    </xf>
    <xf numFmtId="167" fontId="0" fillId="9" borderId="0" xfId="1" applyFont="1" applyFill="1" applyBorder="1" applyProtection="1"/>
    <xf numFmtId="167" fontId="6" fillId="5" borderId="5" xfId="5" applyFont="1" applyFill="1" applyBorder="1" applyProtection="1"/>
    <xf numFmtId="180" fontId="6" fillId="0" borderId="5" xfId="8" applyNumberFormat="1" applyFont="1" applyFill="1" applyBorder="1" applyProtection="1"/>
    <xf numFmtId="179" fontId="334" fillId="0" borderId="7" xfId="10" applyNumberFormat="1" applyFont="1" applyFill="1" applyBorder="1" applyProtection="1"/>
    <xf numFmtId="180" fontId="0" fillId="0" borderId="7" xfId="8" applyNumberFormat="1" applyFont="1" applyBorder="1" applyProtection="1"/>
    <xf numFmtId="167" fontId="0" fillId="5" borderId="7" xfId="5" applyFont="1" applyFill="1" applyBorder="1" applyProtection="1"/>
    <xf numFmtId="167" fontId="0" fillId="0" borderId="7" xfId="6" applyFont="1" applyBorder="1" applyProtection="1"/>
    <xf numFmtId="167" fontId="1" fillId="0" borderId="7" xfId="28550" applyFont="1" applyBorder="1" applyProtection="1"/>
    <xf numFmtId="167" fontId="0" fillId="0" borderId="113" xfId="6" applyFont="1" applyBorder="1" applyProtection="1"/>
    <xf numFmtId="179" fontId="1" fillId="0" borderId="7" xfId="10" applyNumberFormat="1" applyFont="1" applyBorder="1" applyAlignment="1" applyProtection="1">
      <alignment horizontal="left" indent="1"/>
    </xf>
    <xf numFmtId="179" fontId="0" fillId="0" borderId="7" xfId="10" applyNumberFormat="1" applyFont="1" applyBorder="1" applyProtection="1"/>
    <xf numFmtId="167" fontId="9" fillId="5" borderId="113" xfId="5" applyFont="1" applyFill="1" applyBorder="1" applyProtection="1"/>
    <xf numFmtId="0" fontId="9" fillId="0" borderId="113" xfId="4" applyFont="1" applyBorder="1" applyAlignment="1">
      <alignment horizontal="left" indent="1"/>
    </xf>
    <xf numFmtId="0" fontId="9" fillId="5" borderId="0" xfId="4" applyFont="1" applyFill="1"/>
    <xf numFmtId="0" fontId="4" fillId="0" borderId="113" xfId="4" applyBorder="1" applyAlignment="1">
      <alignment vertical="top"/>
    </xf>
    <xf numFmtId="167" fontId="0" fillId="0" borderId="7" xfId="1" applyFont="1" applyFill="1" applyBorder="1" applyProtection="1"/>
    <xf numFmtId="167" fontId="1" fillId="0" borderId="113" xfId="1" applyFont="1" applyFill="1" applyBorder="1" applyAlignment="1" applyProtection="1">
      <alignment horizontal="left" indent="1"/>
    </xf>
    <xf numFmtId="167" fontId="0" fillId="0" borderId="0" xfId="1" applyFont="1" applyFill="1" applyBorder="1" applyProtection="1"/>
    <xf numFmtId="180" fontId="0" fillId="0" borderId="0" xfId="8" applyNumberFormat="1" applyFont="1" applyBorder="1" applyProtection="1"/>
    <xf numFmtId="180" fontId="6" fillId="0" borderId="5" xfId="8" applyNumberFormat="1" applyFont="1" applyBorder="1" applyProtection="1"/>
    <xf numFmtId="167" fontId="334" fillId="0" borderId="7" xfId="4" applyNumberFormat="1" applyFont="1" applyBorder="1"/>
    <xf numFmtId="167" fontId="0" fillId="0" borderId="113" xfId="5" applyFont="1" applyBorder="1" applyProtection="1"/>
    <xf numFmtId="167" fontId="1" fillId="7" borderId="7" xfId="5" applyFont="1" applyFill="1" applyBorder="1" applyProtection="1"/>
    <xf numFmtId="169" fontId="1" fillId="0" borderId="113" xfId="10" applyFont="1" applyBorder="1" applyAlignment="1" applyProtection="1">
      <alignment horizontal="left" indent="1"/>
    </xf>
    <xf numFmtId="169" fontId="0" fillId="0" borderId="7" xfId="10" applyFont="1" applyBorder="1" applyProtection="1"/>
    <xf numFmtId="169" fontId="1" fillId="0" borderId="7" xfId="10" applyFont="1" applyBorder="1" applyProtection="1"/>
    <xf numFmtId="9" fontId="334" fillId="0" borderId="7" xfId="7" applyFont="1" applyBorder="1" applyProtection="1"/>
    <xf numFmtId="9" fontId="1" fillId="0" borderId="7" xfId="7" applyFont="1" applyBorder="1" applyProtection="1"/>
    <xf numFmtId="169" fontId="1" fillId="0" borderId="7" xfId="8" applyFont="1" applyBorder="1" applyProtection="1"/>
    <xf numFmtId="167" fontId="6" fillId="3" borderId="7" xfId="1" applyFont="1" applyFill="1" applyBorder="1" applyProtection="1"/>
    <xf numFmtId="167" fontId="6" fillId="5" borderId="113" xfId="1" applyFont="1" applyFill="1" applyBorder="1" applyProtection="1"/>
    <xf numFmtId="167" fontId="6" fillId="3" borderId="113" xfId="1" applyFont="1" applyFill="1" applyBorder="1" applyAlignment="1" applyProtection="1">
      <alignment horizontal="left" indent="1"/>
    </xf>
    <xf numFmtId="167" fontId="6" fillId="3" borderId="0" xfId="1" applyFont="1" applyFill="1" applyBorder="1" applyProtection="1"/>
    <xf numFmtId="167" fontId="6" fillId="5" borderId="0" xfId="1" applyFont="1" applyFill="1" applyProtection="1"/>
    <xf numFmtId="167" fontId="322" fillId="0" borderId="7" xfId="1" applyFont="1" applyFill="1" applyBorder="1" applyProtection="1"/>
    <xf numFmtId="167" fontId="322" fillId="0" borderId="113" xfId="1" applyFont="1" applyFill="1" applyBorder="1" applyAlignment="1" applyProtection="1">
      <alignment horizontal="left" indent="1"/>
    </xf>
    <xf numFmtId="167" fontId="322" fillId="0" borderId="0" xfId="1" applyFont="1" applyFill="1" applyBorder="1" applyProtection="1"/>
    <xf numFmtId="167" fontId="322" fillId="0" borderId="0" xfId="1" applyFont="1" applyFill="1" applyProtection="1"/>
    <xf numFmtId="167" fontId="0" fillId="9" borderId="7" xfId="5" applyFont="1" applyFill="1" applyBorder="1" applyProtection="1"/>
    <xf numFmtId="169" fontId="1" fillId="9" borderId="113" xfId="8" applyFont="1" applyFill="1" applyBorder="1" applyAlignment="1" applyProtection="1">
      <alignment horizontal="left" indent="1"/>
    </xf>
    <xf numFmtId="180" fontId="0" fillId="9" borderId="0" xfId="8" applyNumberFormat="1" applyFont="1" applyFill="1" applyBorder="1" applyProtection="1"/>
    <xf numFmtId="167" fontId="0" fillId="5" borderId="0" xfId="5" applyFont="1" applyFill="1" applyProtection="1"/>
    <xf numFmtId="9" fontId="0" fillId="0" borderId="0" xfId="7" applyFont="1" applyProtection="1"/>
    <xf numFmtId="167" fontId="5" fillId="5" borderId="4" xfId="5" applyFont="1" applyFill="1" applyBorder="1" applyAlignment="1" applyProtection="1">
      <alignment horizontal="center" vertical="center" wrapText="1"/>
    </xf>
    <xf numFmtId="180" fontId="5" fillId="6" borderId="113" xfId="8" applyNumberFormat="1" applyFont="1" applyFill="1" applyBorder="1" applyAlignment="1" applyProtection="1">
      <alignment horizontal="center" vertical="center"/>
    </xf>
    <xf numFmtId="0" fontId="5" fillId="6" borderId="7" xfId="4" applyFont="1" applyFill="1" applyBorder="1" applyAlignment="1">
      <alignment horizontal="center" vertical="center"/>
    </xf>
    <xf numFmtId="0" fontId="5" fillId="168" borderId="113" xfId="4" applyFont="1" applyFill="1" applyBorder="1" applyAlignment="1">
      <alignment horizontal="center" vertical="center"/>
    </xf>
    <xf numFmtId="0" fontId="0" fillId="5" borderId="7" xfId="5" applyNumberFormat="1" applyFont="1" applyFill="1" applyBorder="1" applyProtection="1"/>
    <xf numFmtId="167" fontId="1" fillId="0" borderId="0" xfId="5" applyFont="1" applyBorder="1" applyProtection="1"/>
    <xf numFmtId="180" fontId="0" fillId="0" borderId="7" xfId="8" applyNumberFormat="1" applyFont="1" applyBorder="1" applyAlignment="1" applyProtection="1">
      <alignment vertical="top"/>
    </xf>
    <xf numFmtId="169" fontId="0" fillId="0" borderId="0" xfId="8" applyFont="1" applyBorder="1" applyAlignment="1" applyProtection="1">
      <alignment vertical="top"/>
    </xf>
    <xf numFmtId="180" fontId="0" fillId="0" borderId="0" xfId="8" applyNumberFormat="1" applyFont="1" applyBorder="1" applyAlignment="1" applyProtection="1">
      <alignment vertical="top"/>
    </xf>
    <xf numFmtId="169" fontId="0" fillId="0" borderId="7" xfId="8" applyFont="1" applyBorder="1" applyAlignment="1" applyProtection="1">
      <alignment vertical="top"/>
    </xf>
    <xf numFmtId="180" fontId="0" fillId="0" borderId="7" xfId="9" applyNumberFormat="1" applyFont="1" applyBorder="1" applyAlignment="1" applyProtection="1">
      <alignment vertical="top"/>
    </xf>
    <xf numFmtId="180" fontId="0" fillId="0" borderId="0" xfId="9" applyNumberFormat="1" applyFont="1" applyBorder="1" applyAlignment="1" applyProtection="1">
      <alignment vertical="top"/>
    </xf>
    <xf numFmtId="0" fontId="0" fillId="5" borderId="113" xfId="5" applyNumberFormat="1" applyFont="1" applyFill="1" applyBorder="1" applyProtection="1"/>
    <xf numFmtId="169" fontId="1" fillId="3" borderId="113" xfId="8" applyFont="1" applyFill="1" applyBorder="1" applyAlignment="1" applyProtection="1">
      <alignment horizontal="left" indent="1"/>
    </xf>
    <xf numFmtId="180" fontId="0" fillId="3" borderId="0" xfId="8" applyNumberFormat="1" applyFont="1" applyFill="1" applyBorder="1" applyProtection="1"/>
    <xf numFmtId="180" fontId="0" fillId="3" borderId="7" xfId="8" applyNumberFormat="1" applyFont="1" applyFill="1" applyBorder="1" applyProtection="1"/>
    <xf numFmtId="167" fontId="11" fillId="3" borderId="7" xfId="1" applyFont="1" applyFill="1" applyBorder="1" applyProtection="1"/>
    <xf numFmtId="169" fontId="1" fillId="9" borderId="7" xfId="8" applyFont="1" applyFill="1" applyBorder="1" applyAlignment="1" applyProtection="1">
      <alignment horizontal="left" indent="1"/>
    </xf>
    <xf numFmtId="180" fontId="0" fillId="9" borderId="7" xfId="8" applyNumberFormat="1" applyFont="1" applyFill="1" applyBorder="1" applyProtection="1"/>
    <xf numFmtId="167" fontId="11" fillId="9" borderId="7" xfId="1" applyFont="1" applyFill="1" applyBorder="1" applyProtection="1"/>
    <xf numFmtId="167" fontId="6" fillId="5" borderId="10" xfId="5" applyFont="1" applyFill="1" applyBorder="1" applyProtection="1"/>
    <xf numFmtId="180" fontId="6" fillId="0" borderId="10" xfId="8" applyNumberFormat="1" applyFont="1" applyBorder="1" applyProtection="1"/>
    <xf numFmtId="167" fontId="6" fillId="5" borderId="113" xfId="5" applyFont="1" applyFill="1" applyBorder="1" applyProtection="1"/>
    <xf numFmtId="180" fontId="6" fillId="0" borderId="7" xfId="8" applyNumberFormat="1" applyFont="1" applyBorder="1" applyProtection="1"/>
    <xf numFmtId="0" fontId="9" fillId="0" borderId="7" xfId="4" applyFont="1" applyBorder="1"/>
    <xf numFmtId="180" fontId="0" fillId="0" borderId="0" xfId="9" applyNumberFormat="1" applyFont="1" applyAlignment="1" applyProtection="1">
      <alignment vertical="top"/>
    </xf>
    <xf numFmtId="169" fontId="0" fillId="0" borderId="0" xfId="8" applyFont="1" applyAlignment="1" applyProtection="1">
      <alignment vertical="top"/>
    </xf>
    <xf numFmtId="167" fontId="0" fillId="0" borderId="0" xfId="5" applyFont="1" applyBorder="1" applyProtection="1"/>
    <xf numFmtId="0" fontId="0" fillId="5" borderId="0" xfId="4" applyFont="1" applyFill="1"/>
    <xf numFmtId="167" fontId="11" fillId="0" borderId="7" xfId="1" applyFont="1" applyBorder="1" applyProtection="1"/>
    <xf numFmtId="0" fontId="0" fillId="5" borderId="7" xfId="4" applyFont="1" applyFill="1" applyBorder="1"/>
    <xf numFmtId="180" fontId="1" fillId="0" borderId="7" xfId="8" applyNumberFormat="1" applyFont="1" applyBorder="1" applyProtection="1"/>
    <xf numFmtId="179" fontId="334" fillId="0" borderId="0" xfId="10" applyNumberFormat="1" applyFont="1" applyProtection="1"/>
    <xf numFmtId="179" fontId="1" fillId="0" borderId="0" xfId="10" applyNumberFormat="1" applyFont="1" applyProtection="1"/>
    <xf numFmtId="167" fontId="334" fillId="0" borderId="0" xfId="4" applyNumberFormat="1" applyFont="1"/>
    <xf numFmtId="167" fontId="1" fillId="3" borderId="7" xfId="5" applyFont="1" applyFill="1" applyBorder="1" applyProtection="1"/>
    <xf numFmtId="167" fontId="0" fillId="0" borderId="0" xfId="28550" applyFont="1" applyProtection="1"/>
    <xf numFmtId="179" fontId="1" fillId="0" borderId="113" xfId="10" applyNumberFormat="1" applyFont="1" applyBorder="1" applyProtection="1"/>
    <xf numFmtId="167" fontId="1" fillId="0" borderId="7" xfId="1" applyFont="1" applyBorder="1" applyProtection="1"/>
    <xf numFmtId="167" fontId="1" fillId="3" borderId="7" xfId="1" applyFont="1" applyFill="1" applyBorder="1" applyProtection="1"/>
    <xf numFmtId="0" fontId="6" fillId="3" borderId="0" xfId="4" applyFont="1" applyFill="1"/>
    <xf numFmtId="167" fontId="23" fillId="3" borderId="0" xfId="1" applyFont="1" applyFill="1" applyProtection="1"/>
    <xf numFmtId="180" fontId="1" fillId="0" borderId="0" xfId="8" applyNumberFormat="1" applyFont="1" applyProtection="1"/>
    <xf numFmtId="167" fontId="322" fillId="5" borderId="113" xfId="1" applyFont="1" applyFill="1" applyBorder="1" applyProtection="1"/>
    <xf numFmtId="167" fontId="1" fillId="5" borderId="0" xfId="4" applyNumberFormat="1" applyFont="1" applyFill="1"/>
    <xf numFmtId="167" fontId="6" fillId="5" borderId="12" xfId="4" applyNumberFormat="1" applyFont="1" applyFill="1" applyBorder="1"/>
    <xf numFmtId="167" fontId="0" fillId="52" borderId="7" xfId="1" applyFont="1" applyFill="1" applyBorder="1" applyProtection="1"/>
    <xf numFmtId="0" fontId="2" fillId="188" borderId="0" xfId="42583" applyFill="1"/>
    <xf numFmtId="0" fontId="2" fillId="188" borderId="0" xfId="42583" applyFill="1" applyAlignment="1">
      <alignment horizontal="center" vertical="center" wrapText="1"/>
    </xf>
    <xf numFmtId="286" fontId="6" fillId="0" borderId="16" xfId="33046" applyNumberFormat="1" applyFont="1" applyFill="1" applyBorder="1" applyAlignment="1" applyProtection="1">
      <alignment horizontal="center" vertical="center" wrapText="1"/>
    </xf>
    <xf numFmtId="286" fontId="6" fillId="188" borderId="16" xfId="33046" applyNumberFormat="1" applyFont="1" applyFill="1" applyBorder="1" applyAlignment="1" applyProtection="1">
      <alignment horizontal="center" vertical="center" wrapText="1"/>
    </xf>
    <xf numFmtId="286" fontId="6" fillId="188" borderId="17" xfId="33046" applyNumberFormat="1" applyFont="1" applyFill="1" applyBorder="1" applyAlignment="1" applyProtection="1">
      <alignment horizontal="center" vertical="center" wrapText="1"/>
    </xf>
    <xf numFmtId="0" fontId="11" fillId="188" borderId="124" xfId="42583" applyFont="1" applyFill="1" applyBorder="1" applyAlignment="1">
      <alignment horizontal="center" vertical="center" wrapText="1"/>
    </xf>
    <xf numFmtId="0" fontId="6" fillId="188" borderId="115" xfId="42583" applyFont="1" applyFill="1" applyBorder="1" applyAlignment="1">
      <alignment horizontal="center" vertical="center" wrapText="1"/>
    </xf>
    <xf numFmtId="179" fontId="0" fillId="195" borderId="13" xfId="33046" applyNumberFormat="1" applyFont="1" applyFill="1" applyBorder="1" applyProtection="1"/>
    <xf numFmtId="179" fontId="0" fillId="188" borderId="19" xfId="33046" applyNumberFormat="1" applyFont="1" applyFill="1" applyBorder="1" applyProtection="1"/>
    <xf numFmtId="179" fontId="322" fillId="195" borderId="13" xfId="33046" applyNumberFormat="1" applyFont="1" applyFill="1" applyBorder="1" applyProtection="1"/>
    <xf numFmtId="179" fontId="322" fillId="0" borderId="13" xfId="33046" applyNumberFormat="1" applyFont="1" applyFill="1" applyBorder="1" applyProtection="1"/>
    <xf numFmtId="179" fontId="195" fillId="188" borderId="13" xfId="0" applyNumberFormat="1" applyFont="1" applyFill="1" applyBorder="1" applyAlignment="1">
      <alignment horizontal="right" wrapText="1"/>
    </xf>
    <xf numFmtId="167" fontId="11" fillId="0" borderId="21" xfId="1" applyFont="1" applyFill="1" applyBorder="1" applyAlignment="1" applyProtection="1">
      <alignment vertical="center" shrinkToFit="1"/>
    </xf>
    <xf numFmtId="9" fontId="0" fillId="0" borderId="0" xfId="7" applyFont="1" applyFill="1" applyProtection="1"/>
    <xf numFmtId="9" fontId="0" fillId="188" borderId="0" xfId="7" applyFont="1" applyFill="1" applyProtection="1"/>
    <xf numFmtId="242" fontId="373" fillId="189" borderId="13" xfId="33575" applyNumberFormat="1" applyFont="1" applyFill="1" applyBorder="1" applyAlignment="1" applyProtection="1">
      <alignment horizontal="center" vertical="center"/>
    </xf>
    <xf numFmtId="242" fontId="374" fillId="189" borderId="13" xfId="33575" applyNumberFormat="1" applyFont="1" applyFill="1" applyBorder="1" applyAlignment="1" applyProtection="1">
      <alignment horizontal="center" vertical="center"/>
    </xf>
    <xf numFmtId="0" fontId="3" fillId="3" borderId="0" xfId="2" applyFill="1" applyAlignment="1" applyProtection="1">
      <alignment horizontal="left"/>
      <protection locked="0"/>
    </xf>
    <xf numFmtId="0" fontId="17" fillId="0" borderId="0" xfId="2" applyFont="1"/>
    <xf numFmtId="0" fontId="324" fillId="0" borderId="0" xfId="2" applyFont="1" applyAlignment="1">
      <alignment horizontal="center" vertical="center"/>
    </xf>
    <xf numFmtId="0" fontId="15" fillId="0" borderId="0" xfId="2" applyFont="1" applyAlignment="1">
      <alignment horizontal="center" vertical="center"/>
    </xf>
    <xf numFmtId="9" fontId="325" fillId="0" borderId="0" xfId="7" applyFont="1" applyFill="1"/>
    <xf numFmtId="9" fontId="3" fillId="0" borderId="0" xfId="7" applyFont="1" applyFill="1"/>
    <xf numFmtId="167" fontId="3" fillId="0" borderId="0" xfId="1" applyFont="1" applyFill="1"/>
    <xf numFmtId="167" fontId="3" fillId="0" borderId="0" xfId="2" applyNumberFormat="1"/>
    <xf numFmtId="0" fontId="323" fillId="0" borderId="0" xfId="2" applyFont="1"/>
    <xf numFmtId="0" fontId="6" fillId="0" borderId="0" xfId="2" applyFont="1"/>
    <xf numFmtId="179" fontId="3" fillId="0" borderId="0" xfId="2" applyNumberFormat="1"/>
    <xf numFmtId="179" fontId="0" fillId="0" borderId="0" xfId="3" applyNumberFormat="1" applyFont="1" applyFill="1" applyProtection="1">
      <protection locked="0"/>
    </xf>
    <xf numFmtId="179" fontId="0" fillId="0" borderId="0" xfId="3" applyNumberFormat="1" applyFont="1" applyFill="1"/>
    <xf numFmtId="167" fontId="13" fillId="0" borderId="0" xfId="1" applyFont="1" applyFill="1"/>
    <xf numFmtId="167" fontId="12" fillId="0" borderId="0" xfId="1" applyFont="1" applyFill="1" applyProtection="1"/>
    <xf numFmtId="167" fontId="3" fillId="0" borderId="0" xfId="1" applyFont="1" applyFill="1" applyProtection="1">
      <protection locked="0"/>
    </xf>
    <xf numFmtId="17" fontId="6" fillId="0" borderId="13" xfId="0" applyNumberFormat="1" applyFont="1" applyBorder="1" applyAlignment="1">
      <alignment horizontal="center" vertical="top" wrapText="1"/>
    </xf>
    <xf numFmtId="167" fontId="322" fillId="0" borderId="13" xfId="1" applyFont="1" applyFill="1" applyBorder="1" applyAlignment="1">
      <alignment horizontal="center"/>
    </xf>
    <xf numFmtId="167" fontId="0" fillId="0" borderId="13" xfId="1" applyFont="1" applyFill="1" applyBorder="1" applyAlignment="1">
      <alignment horizontal="center"/>
    </xf>
    <xf numFmtId="167" fontId="360" fillId="0" borderId="0" xfId="1" applyFont="1" applyFill="1" applyAlignment="1">
      <alignment horizontal="center"/>
    </xf>
    <xf numFmtId="0" fontId="6" fillId="7" borderId="112" xfId="0" applyFont="1" applyFill="1" applyBorder="1" applyAlignment="1">
      <alignment horizontal="center"/>
    </xf>
    <xf numFmtId="167" fontId="322" fillId="3" borderId="13" xfId="1" applyFont="1" applyFill="1" applyBorder="1" applyAlignment="1">
      <alignment horizontal="center"/>
    </xf>
    <xf numFmtId="0" fontId="338" fillId="0" borderId="0" xfId="16" applyFont="1" applyAlignment="1">
      <alignment horizontal="right"/>
    </xf>
    <xf numFmtId="0" fontId="338" fillId="13" borderId="0" xfId="16" applyFont="1" applyFill="1" applyAlignment="1">
      <alignment horizontal="right"/>
    </xf>
    <xf numFmtId="0" fontId="372" fillId="0" borderId="81" xfId="16" applyFont="1" applyBorder="1" applyAlignment="1">
      <alignment vertical="center"/>
    </xf>
    <xf numFmtId="0" fontId="3" fillId="13" borderId="0" xfId="16" applyFill="1"/>
    <xf numFmtId="0" fontId="3" fillId="0" borderId="0" xfId="16" applyAlignment="1">
      <alignment horizontal="center" wrapText="1"/>
    </xf>
    <xf numFmtId="0" fontId="3" fillId="13" borderId="0" xfId="16" applyFill="1" applyAlignment="1">
      <alignment horizontal="center" wrapText="1"/>
    </xf>
    <xf numFmtId="167" fontId="0" fillId="0" borderId="117" xfId="57493" applyFont="1" applyFill="1" applyBorder="1" applyProtection="1"/>
    <xf numFmtId="167" fontId="0" fillId="14" borderId="117" xfId="57493" applyFont="1" applyFill="1" applyBorder="1" applyProtection="1"/>
    <xf numFmtId="167" fontId="375" fillId="0" borderId="116" xfId="57493" applyFont="1" applyFill="1" applyBorder="1" applyProtection="1"/>
    <xf numFmtId="167" fontId="378" fillId="52" borderId="117" xfId="57493" applyFont="1" applyFill="1" applyBorder="1" applyProtection="1"/>
    <xf numFmtId="167" fontId="0" fillId="191" borderId="116" xfId="57493" applyFont="1" applyFill="1" applyBorder="1" applyProtection="1"/>
    <xf numFmtId="167" fontId="12" fillId="0" borderId="116" xfId="57493" applyFont="1" applyFill="1" applyBorder="1" applyProtection="1"/>
    <xf numFmtId="167" fontId="378" fillId="52" borderId="116" xfId="57493" applyFont="1" applyFill="1" applyBorder="1" applyProtection="1"/>
    <xf numFmtId="167" fontId="378" fillId="13" borderId="117" xfId="57493" applyFont="1" applyFill="1" applyBorder="1" applyProtection="1"/>
    <xf numFmtId="167" fontId="0" fillId="0" borderId="36" xfId="57493" applyFont="1" applyFill="1" applyBorder="1" applyProtection="1"/>
    <xf numFmtId="167" fontId="0" fillId="14" borderId="36" xfId="57493" applyFont="1" applyFill="1" applyBorder="1" applyProtection="1"/>
    <xf numFmtId="167" fontId="375" fillId="0" borderId="37" xfId="57493" applyFont="1" applyFill="1" applyBorder="1" applyProtection="1"/>
    <xf numFmtId="167" fontId="0" fillId="191" borderId="36" xfId="57493" applyFont="1" applyFill="1" applyBorder="1" applyProtection="1"/>
    <xf numFmtId="167" fontId="378" fillId="52" borderId="36" xfId="57493" applyFont="1" applyFill="1" applyBorder="1" applyProtection="1"/>
    <xf numFmtId="167" fontId="0" fillId="191" borderId="37" xfId="57493" applyFont="1" applyFill="1" applyBorder="1" applyProtection="1"/>
    <xf numFmtId="167" fontId="12" fillId="0" borderId="37" xfId="57493" applyFont="1" applyFill="1" applyBorder="1" applyProtection="1"/>
    <xf numFmtId="167" fontId="378" fillId="52" borderId="37" xfId="57493" applyFont="1" applyFill="1" applyBorder="1" applyProtection="1"/>
    <xf numFmtId="167" fontId="378" fillId="13" borderId="36" xfId="57493" applyFont="1" applyFill="1" applyBorder="1" applyProtection="1"/>
    <xf numFmtId="167" fontId="12" fillId="0" borderId="36" xfId="57493" applyFont="1" applyBorder="1" applyProtection="1"/>
    <xf numFmtId="0" fontId="3" fillId="0" borderId="36" xfId="16" applyBorder="1"/>
    <xf numFmtId="0" fontId="3" fillId="14" borderId="36" xfId="16" applyFill="1" applyBorder="1"/>
    <xf numFmtId="0" fontId="3" fillId="191" borderId="36" xfId="16" applyFill="1" applyBorder="1"/>
    <xf numFmtId="0" fontId="379" fillId="52" borderId="36" xfId="16" applyFont="1" applyFill="1" applyBorder="1"/>
    <xf numFmtId="0" fontId="379" fillId="13" borderId="36" xfId="16" applyFont="1" applyFill="1" applyBorder="1"/>
    <xf numFmtId="167" fontId="12" fillId="0" borderId="119" xfId="16" applyNumberFormat="1" applyFont="1" applyBorder="1"/>
    <xf numFmtId="167" fontId="12" fillId="14" borderId="119" xfId="16" applyNumberFormat="1" applyFont="1" applyFill="1" applyBorder="1"/>
    <xf numFmtId="167" fontId="12" fillId="191" borderId="119" xfId="16" applyNumberFormat="1" applyFont="1" applyFill="1" applyBorder="1"/>
    <xf numFmtId="167" fontId="380" fillId="52" borderId="119" xfId="16" applyNumberFormat="1" applyFont="1" applyFill="1" applyBorder="1"/>
    <xf numFmtId="167" fontId="380" fillId="13" borderId="119" xfId="16" applyNumberFormat="1" applyFont="1" applyFill="1" applyBorder="1"/>
    <xf numFmtId="167" fontId="3" fillId="0" borderId="0" xfId="1" applyFont="1" applyProtection="1"/>
    <xf numFmtId="9" fontId="0" fillId="0" borderId="0" xfId="54858" applyFont="1" applyProtection="1"/>
    <xf numFmtId="242" fontId="373" fillId="189" borderId="13" xfId="33575" applyNumberFormat="1" applyFont="1" applyFill="1" applyBorder="1" applyAlignment="1" applyProtection="1">
      <alignment horizontal="center" vertical="center"/>
      <protection locked="0"/>
    </xf>
    <xf numFmtId="242" fontId="373" fillId="189" borderId="13" xfId="33575" applyNumberFormat="1" applyFont="1" applyFill="1" applyBorder="1" applyAlignment="1" applyProtection="1">
      <alignment horizontal="center" vertical="center" wrapText="1"/>
      <protection locked="0"/>
    </xf>
    <xf numFmtId="242" fontId="373" fillId="0" borderId="13" xfId="33575" applyNumberFormat="1" applyFont="1" applyFill="1" applyBorder="1" applyAlignment="1" applyProtection="1">
      <alignment horizontal="center" vertical="center"/>
      <protection locked="0"/>
    </xf>
    <xf numFmtId="0" fontId="5" fillId="6" borderId="121" xfId="4" applyFont="1" applyFill="1" applyBorder="1" applyAlignment="1" applyProtection="1">
      <alignment vertical="center"/>
      <protection locked="0"/>
    </xf>
    <xf numFmtId="0" fontId="11" fillId="6" borderId="121" xfId="4" applyFont="1" applyFill="1" applyBorder="1" applyAlignment="1" applyProtection="1">
      <alignment vertical="center"/>
      <protection locked="0"/>
    </xf>
    <xf numFmtId="0" fontId="5" fillId="6" borderId="6" xfId="4" applyFont="1" applyFill="1" applyBorder="1" applyAlignment="1" applyProtection="1">
      <alignment vertical="center"/>
      <protection locked="0"/>
    </xf>
    <xf numFmtId="167" fontId="5" fillId="5" borderId="121" xfId="5" applyFont="1" applyFill="1" applyBorder="1" applyAlignment="1">
      <alignment horizontal="center" vertical="center" wrapText="1"/>
    </xf>
    <xf numFmtId="167" fontId="5" fillId="5" borderId="121" xfId="5" applyFont="1" applyFill="1" applyBorder="1" applyAlignment="1" applyProtection="1">
      <alignment horizontal="center" vertical="center" wrapText="1"/>
    </xf>
    <xf numFmtId="0" fontId="5" fillId="6" borderId="121" xfId="4" applyFont="1" applyFill="1" applyBorder="1" applyAlignment="1" applyProtection="1">
      <alignment horizontal="center" vertical="center"/>
      <protection locked="0"/>
    </xf>
    <xf numFmtId="0" fontId="11" fillId="6" borderId="121" xfId="4" applyFont="1" applyFill="1" applyBorder="1" applyAlignment="1" applyProtection="1">
      <alignment horizontal="center" vertical="center"/>
      <protection locked="0"/>
    </xf>
    <xf numFmtId="167" fontId="1" fillId="3" borderId="0" xfId="1" applyFont="1" applyFill="1" applyProtection="1">
      <protection locked="0"/>
    </xf>
    <xf numFmtId="167" fontId="1" fillId="3" borderId="113" xfId="1" applyFont="1" applyFill="1" applyBorder="1" applyAlignment="1" applyProtection="1">
      <alignment horizontal="center"/>
      <protection locked="0"/>
    </xf>
    <xf numFmtId="167" fontId="1" fillId="5" borderId="0" xfId="1" applyFont="1" applyFill="1" applyProtection="1"/>
    <xf numFmtId="167" fontId="1" fillId="3" borderId="0" xfId="1" applyFont="1" applyFill="1"/>
    <xf numFmtId="167" fontId="1" fillId="52" borderId="7" xfId="1" applyFont="1" applyFill="1" applyBorder="1" applyAlignment="1" applyProtection="1">
      <alignment horizontal="left" indent="1"/>
    </xf>
    <xf numFmtId="167" fontId="1" fillId="0" borderId="7" xfId="1" applyFont="1" applyFill="1" applyBorder="1" applyAlignment="1" applyProtection="1">
      <alignment horizontal="left" indent="1"/>
    </xf>
    <xf numFmtId="167" fontId="1" fillId="0" borderId="7" xfId="1" applyFont="1" applyFill="1" applyBorder="1" applyAlignment="1" applyProtection="1">
      <alignment horizontal="right" indent="1"/>
    </xf>
    <xf numFmtId="167" fontId="1" fillId="9" borderId="0" xfId="1" applyFont="1" applyFill="1" applyProtection="1">
      <protection locked="0"/>
    </xf>
    <xf numFmtId="167" fontId="1" fillId="9" borderId="113" xfId="1" applyFont="1" applyFill="1" applyBorder="1" applyAlignment="1" applyProtection="1">
      <alignment horizontal="center"/>
      <protection locked="0"/>
    </xf>
    <xf numFmtId="167" fontId="1" fillId="9" borderId="0" xfId="1" applyFont="1" applyFill="1"/>
    <xf numFmtId="167" fontId="1" fillId="0" borderId="0" xfId="1" applyFont="1" applyFill="1" applyProtection="1">
      <protection locked="0"/>
    </xf>
    <xf numFmtId="167" fontId="1" fillId="0" borderId="113" xfId="1" applyFont="1" applyFill="1" applyBorder="1" applyAlignment="1" applyProtection="1">
      <alignment horizontal="center"/>
      <protection locked="0"/>
    </xf>
    <xf numFmtId="167" fontId="1" fillId="0" borderId="0" xfId="1" applyFont="1" applyFill="1" applyProtection="1"/>
    <xf numFmtId="0" fontId="322" fillId="0" borderId="121" xfId="4" applyFont="1" applyBorder="1" applyProtection="1">
      <protection locked="0"/>
    </xf>
    <xf numFmtId="167" fontId="11" fillId="188" borderId="121" xfId="5" applyFont="1" applyFill="1" applyBorder="1" applyAlignment="1" applyProtection="1">
      <alignment horizontal="center"/>
    </xf>
    <xf numFmtId="0" fontId="6" fillId="0" borderId="125" xfId="42583" applyFont="1" applyBorder="1" applyAlignment="1">
      <alignment horizontal="center" vertical="center" wrapText="1"/>
    </xf>
    <xf numFmtId="0" fontId="11" fillId="0" borderId="125" xfId="42583" applyFont="1" applyBorder="1" applyAlignment="1">
      <alignment horizontal="center" vertical="center" wrapText="1"/>
    </xf>
    <xf numFmtId="0" fontId="11" fillId="188" borderId="125" xfId="42583" applyFont="1" applyFill="1" applyBorder="1" applyAlignment="1">
      <alignment horizontal="center" vertical="center" wrapText="1"/>
    </xf>
    <xf numFmtId="9" fontId="337" fillId="0" borderId="37" xfId="42583" applyNumberFormat="1" applyFont="1" applyBorder="1" applyAlignment="1">
      <alignment horizontal="center" vertical="center" wrapText="1"/>
    </xf>
    <xf numFmtId="0" fontId="6" fillId="0" borderId="37" xfId="42583" applyFont="1" applyBorder="1" applyAlignment="1">
      <alignment horizontal="center" vertical="center" wrapText="1"/>
    </xf>
    <xf numFmtId="9" fontId="337" fillId="188" borderId="37" xfId="42583" applyNumberFormat="1" applyFont="1" applyFill="1" applyBorder="1" applyAlignment="1">
      <alignment horizontal="center" vertical="center" wrapText="1"/>
    </xf>
    <xf numFmtId="179" fontId="336" fillId="188" borderId="13" xfId="0" applyNumberFormat="1" applyFont="1" applyFill="1" applyBorder="1" applyAlignment="1">
      <alignment horizontal="right" wrapText="1"/>
    </xf>
    <xf numFmtId="0" fontId="12" fillId="0" borderId="127" xfId="16" applyFont="1" applyBorder="1" applyProtection="1">
      <protection locked="0"/>
    </xf>
    <xf numFmtId="0" fontId="12" fillId="0" borderId="126" xfId="16" applyFont="1" applyBorder="1" applyAlignment="1" applyProtection="1">
      <alignment horizontal="center"/>
      <protection locked="0"/>
    </xf>
    <xf numFmtId="167" fontId="325" fillId="194" borderId="0" xfId="1" applyFont="1" applyFill="1" applyProtection="1">
      <protection locked="0"/>
    </xf>
    <xf numFmtId="167" fontId="6" fillId="0" borderId="90" xfId="4" applyNumberFormat="1" applyFont="1" applyBorder="1" applyAlignment="1" applyProtection="1">
      <alignment horizontal="left"/>
      <protection locked="0"/>
    </xf>
    <xf numFmtId="167" fontId="6" fillId="0" borderId="5" xfId="5" applyFont="1" applyFill="1" applyBorder="1" applyProtection="1">
      <protection locked="0"/>
    </xf>
    <xf numFmtId="179" fontId="6" fillId="188" borderId="7" xfId="10" applyNumberFormat="1" applyFont="1" applyFill="1" applyBorder="1" applyProtection="1">
      <protection locked="0"/>
    </xf>
    <xf numFmtId="179" fontId="6" fillId="0" borderId="7" xfId="4" applyNumberFormat="1" applyFont="1" applyBorder="1" applyAlignment="1" applyProtection="1">
      <alignment horizontal="left"/>
      <protection locked="0"/>
    </xf>
    <xf numFmtId="0" fontId="9" fillId="0" borderId="0" xfId="4" applyFont="1" applyProtection="1">
      <protection locked="0"/>
    </xf>
    <xf numFmtId="167" fontId="6" fillId="52" borderId="7" xfId="1" applyFont="1" applyFill="1" applyBorder="1" applyAlignment="1" applyProtection="1">
      <alignment horizontal="left" indent="1"/>
      <protection locked="0"/>
    </xf>
    <xf numFmtId="167" fontId="6" fillId="0" borderId="5" xfId="5" applyFont="1" applyBorder="1" applyProtection="1">
      <protection locked="0"/>
    </xf>
    <xf numFmtId="167" fontId="6" fillId="188" borderId="7" xfId="4" applyNumberFormat="1" applyFont="1" applyFill="1" applyBorder="1" applyProtection="1">
      <protection locked="0"/>
    </xf>
    <xf numFmtId="167" fontId="6" fillId="0" borderId="7" xfId="4" applyNumberFormat="1" applyFont="1" applyBorder="1" applyAlignment="1" applyProtection="1">
      <alignment horizontal="left"/>
      <protection locked="0"/>
    </xf>
    <xf numFmtId="179" fontId="6" fillId="188" borderId="7" xfId="7" applyNumberFormat="1" applyFont="1" applyFill="1" applyBorder="1" applyProtection="1">
      <protection locked="0"/>
    </xf>
    <xf numFmtId="167" fontId="322" fillId="52" borderId="7" xfId="1" applyFont="1" applyFill="1" applyBorder="1" applyAlignment="1" applyProtection="1">
      <alignment horizontal="left" indent="1"/>
      <protection locked="0"/>
    </xf>
    <xf numFmtId="167" fontId="6" fillId="188" borderId="7" xfId="5" applyFont="1" applyFill="1" applyBorder="1" applyProtection="1">
      <protection locked="0"/>
    </xf>
    <xf numFmtId="167" fontId="6" fillId="188" borderId="5" xfId="4" applyNumberFormat="1" applyFont="1" applyFill="1" applyBorder="1" applyProtection="1">
      <protection locked="0"/>
    </xf>
    <xf numFmtId="167" fontId="1" fillId="52" borderId="7" xfId="1" applyFont="1" applyFill="1" applyBorder="1" applyProtection="1">
      <protection locked="0"/>
    </xf>
    <xf numFmtId="167" fontId="1" fillId="52" borderId="113" xfId="1" applyFont="1" applyFill="1" applyBorder="1" applyProtection="1">
      <protection locked="0"/>
    </xf>
    <xf numFmtId="167" fontId="6" fillId="0" borderId="93" xfId="5" applyFont="1" applyBorder="1" applyProtection="1">
      <protection locked="0"/>
    </xf>
    <xf numFmtId="167" fontId="6" fillId="0" borderId="113" xfId="4" applyNumberFormat="1" applyFont="1" applyBorder="1" applyProtection="1">
      <protection locked="0"/>
    </xf>
    <xf numFmtId="167" fontId="9" fillId="52" borderId="113" xfId="1" applyFont="1" applyFill="1" applyBorder="1" applyProtection="1">
      <protection locked="0"/>
    </xf>
    <xf numFmtId="167" fontId="6" fillId="0" borderId="93" xfId="4" applyNumberFormat="1" applyFont="1" applyBorder="1" applyProtection="1">
      <protection locked="0"/>
    </xf>
    <xf numFmtId="167" fontId="6" fillId="188" borderId="113" xfId="4" applyNumberFormat="1" applyFont="1" applyFill="1" applyBorder="1" applyProtection="1">
      <protection locked="0"/>
    </xf>
    <xf numFmtId="0" fontId="0" fillId="0" borderId="0" xfId="4" applyFont="1" applyProtection="1">
      <protection locked="0"/>
    </xf>
    <xf numFmtId="167" fontId="6" fillId="0" borderId="10" xfId="5" applyFont="1" applyBorder="1" applyProtection="1">
      <protection locked="0"/>
    </xf>
    <xf numFmtId="0" fontId="6" fillId="188" borderId="7" xfId="4" applyFont="1" applyFill="1" applyBorder="1" applyProtection="1">
      <protection locked="0"/>
    </xf>
    <xf numFmtId="167" fontId="6" fillId="0" borderId="10" xfId="4" applyNumberFormat="1" applyFont="1" applyBorder="1" applyProtection="1">
      <protection locked="0"/>
    </xf>
    <xf numFmtId="167" fontId="6" fillId="0" borderId="7" xfId="4" applyNumberFormat="1" applyFont="1" applyBorder="1" applyProtection="1">
      <protection locked="0"/>
    </xf>
    <xf numFmtId="167" fontId="6" fillId="188" borderId="10" xfId="4" applyNumberFormat="1" applyFont="1" applyFill="1" applyBorder="1" applyProtection="1">
      <protection locked="0"/>
    </xf>
    <xf numFmtId="167" fontId="6" fillId="188" borderId="0" xfId="4" applyNumberFormat="1" applyFont="1" applyFill="1" applyProtection="1">
      <protection locked="0"/>
    </xf>
    <xf numFmtId="9" fontId="1" fillId="0" borderId="0" xfId="7" applyFont="1" applyProtection="1">
      <protection locked="0"/>
    </xf>
    <xf numFmtId="167" fontId="6" fillId="188" borderId="12" xfId="4" applyNumberFormat="1" applyFont="1" applyFill="1" applyBorder="1" applyProtection="1">
      <protection locked="0"/>
    </xf>
    <xf numFmtId="0" fontId="6" fillId="188" borderId="0" xfId="4" applyFont="1" applyFill="1" applyProtection="1">
      <protection locked="0"/>
    </xf>
    <xf numFmtId="167" fontId="1" fillId="0" borderId="0" xfId="1" applyFont="1" applyFill="1"/>
    <xf numFmtId="0" fontId="194" fillId="0" borderId="0" xfId="0" applyFont="1" applyProtection="1">
      <protection locked="0"/>
    </xf>
    <xf numFmtId="3" fontId="194" fillId="0" borderId="0" xfId="0" applyNumberFormat="1" applyFont="1" applyProtection="1">
      <protection locked="0"/>
    </xf>
    <xf numFmtId="0" fontId="384" fillId="0" borderId="113" xfId="0" applyFont="1" applyBorder="1" applyProtection="1">
      <protection locked="0"/>
    </xf>
    <xf numFmtId="9" fontId="0" fillId="0" borderId="0" xfId="7" applyFont="1" applyAlignment="1">
      <alignment horizontal="center"/>
    </xf>
    <xf numFmtId="0" fontId="322" fillId="0" borderId="18" xfId="42583" applyFont="1" applyBorder="1" applyAlignment="1" applyProtection="1">
      <alignment horizontal="center" vertical="center"/>
      <protection locked="0"/>
    </xf>
    <xf numFmtId="0" fontId="322" fillId="3" borderId="119" xfId="42583" applyFont="1" applyFill="1" applyBorder="1" applyAlignment="1" applyProtection="1">
      <alignment horizontal="center" vertical="center"/>
      <protection locked="0"/>
    </xf>
    <xf numFmtId="0" fontId="3" fillId="3" borderId="13" xfId="2" applyFill="1" applyBorder="1" applyAlignment="1" applyProtection="1">
      <alignment horizontal="center"/>
      <protection locked="0"/>
    </xf>
    <xf numFmtId="0" fontId="322" fillId="0" borderId="13" xfId="42583" applyFont="1" applyBorder="1" applyAlignment="1" applyProtection="1">
      <alignment shrinkToFit="1"/>
      <protection locked="0"/>
    </xf>
    <xf numFmtId="0" fontId="3" fillId="0" borderId="13" xfId="2" applyBorder="1" applyAlignment="1" applyProtection="1">
      <alignment horizontal="center"/>
      <protection locked="0"/>
    </xf>
    <xf numFmtId="167" fontId="322" fillId="0" borderId="13" xfId="1" applyFont="1" applyFill="1" applyBorder="1" applyAlignment="1" applyProtection="1">
      <alignment horizontal="center"/>
      <protection locked="0"/>
    </xf>
    <xf numFmtId="179" fontId="322" fillId="195" borderId="116" xfId="33046" applyNumberFormat="1" applyFont="1" applyFill="1" applyBorder="1" applyProtection="1"/>
    <xf numFmtId="179" fontId="322" fillId="0" borderId="116" xfId="33046" applyNumberFormat="1" applyFont="1" applyFill="1" applyBorder="1" applyProtection="1"/>
    <xf numFmtId="179" fontId="195" fillId="188" borderId="116" xfId="0" applyNumberFormat="1" applyFont="1" applyFill="1" applyBorder="1" applyAlignment="1">
      <alignment horizontal="right" wrapText="1"/>
    </xf>
    <xf numFmtId="179" fontId="0" fillId="0" borderId="116" xfId="33046" applyNumberFormat="1" applyFont="1" applyFill="1" applyBorder="1" applyProtection="1"/>
    <xf numFmtId="179" fontId="0" fillId="188" borderId="129" xfId="33046" applyNumberFormat="1" applyFont="1" applyFill="1" applyBorder="1" applyProtection="1"/>
    <xf numFmtId="179" fontId="322" fillId="0" borderId="117" xfId="33046" applyNumberFormat="1" applyFont="1" applyFill="1" applyBorder="1" applyProtection="1">
      <protection locked="0"/>
    </xf>
    <xf numFmtId="0" fontId="3" fillId="184" borderId="117" xfId="2" applyFill="1" applyBorder="1" applyAlignment="1" applyProtection="1">
      <alignment horizontal="center"/>
      <protection locked="0"/>
    </xf>
    <xf numFmtId="0" fontId="3" fillId="3" borderId="117" xfId="2" applyFill="1" applyBorder="1" applyAlignment="1" applyProtection="1">
      <alignment horizontal="center"/>
      <protection locked="0"/>
    </xf>
    <xf numFmtId="0" fontId="322" fillId="0" borderId="116" xfId="42583" applyFont="1" applyBorder="1" applyAlignment="1" applyProtection="1">
      <alignment shrinkToFit="1"/>
      <protection locked="0"/>
    </xf>
    <xf numFmtId="179" fontId="322" fillId="195" borderId="116" xfId="33046" applyNumberFormat="1" applyFont="1" applyFill="1" applyBorder="1" applyProtection="1">
      <protection locked="0"/>
    </xf>
    <xf numFmtId="0" fontId="6" fillId="0" borderId="88" xfId="42583" applyFont="1" applyBorder="1" applyAlignment="1" applyProtection="1">
      <alignment horizontal="center" vertical="center" wrapText="1"/>
      <protection locked="0"/>
    </xf>
    <xf numFmtId="167" fontId="11" fillId="52" borderId="21" xfId="1" applyFont="1" applyFill="1" applyBorder="1" applyAlignment="1" applyProtection="1">
      <alignment vertical="center" shrinkToFit="1"/>
      <protection locked="0"/>
    </xf>
    <xf numFmtId="167" fontId="11" fillId="52" borderId="124" xfId="1" applyFont="1" applyFill="1" applyBorder="1" applyAlignment="1" applyProtection="1">
      <alignment vertical="center" shrinkToFit="1"/>
      <protection locked="0"/>
    </xf>
    <xf numFmtId="0" fontId="6" fillId="0" borderId="0" xfId="42583" applyFont="1" applyProtection="1">
      <protection locked="0"/>
    </xf>
    <xf numFmtId="0" fontId="2" fillId="0" borderId="0" xfId="42583" applyAlignment="1" applyProtection="1">
      <alignment horizontal="left" shrinkToFit="1"/>
      <protection locked="0"/>
    </xf>
    <xf numFmtId="0" fontId="2" fillId="0" borderId="0" xfId="42583" applyAlignment="1" applyProtection="1">
      <alignment shrinkToFit="1"/>
      <protection locked="0"/>
    </xf>
    <xf numFmtId="0" fontId="6" fillId="0" borderId="22" xfId="42583" applyFont="1" applyBorder="1" applyAlignment="1" applyProtection="1">
      <alignment horizontal="center" vertical="center" wrapText="1"/>
      <protection locked="0"/>
    </xf>
    <xf numFmtId="0" fontId="6" fillId="0" borderId="126" xfId="42583" applyFont="1" applyBorder="1" applyAlignment="1" applyProtection="1">
      <alignment horizontal="center" vertical="center" wrapText="1"/>
      <protection locked="0"/>
    </xf>
    <xf numFmtId="0" fontId="6" fillId="0" borderId="127" xfId="42583" applyFont="1" applyBorder="1" applyAlignment="1" applyProtection="1">
      <alignment horizontal="center" vertical="center" shrinkToFit="1"/>
      <protection locked="0"/>
    </xf>
    <xf numFmtId="0" fontId="6" fillId="0" borderId="37" xfId="42583" applyFont="1" applyBorder="1" applyAlignment="1" applyProtection="1">
      <alignment horizontal="center" vertical="center" shrinkToFit="1"/>
      <protection locked="0"/>
    </xf>
    <xf numFmtId="0" fontId="2" fillId="0" borderId="18" xfId="42583" applyBorder="1" applyAlignment="1" applyProtection="1">
      <alignment horizontal="center" vertical="center"/>
      <protection locked="0"/>
    </xf>
    <xf numFmtId="0" fontId="2" fillId="0" borderId="119" xfId="42583" applyBorder="1" applyAlignment="1" applyProtection="1">
      <alignment horizontal="center" vertical="center"/>
      <protection locked="0"/>
    </xf>
    <xf numFmtId="0" fontId="2" fillId="0" borderId="13" xfId="42583" applyBorder="1" applyAlignment="1" applyProtection="1">
      <alignment shrinkToFit="1"/>
      <protection locked="0"/>
    </xf>
    <xf numFmtId="0" fontId="0" fillId="0" borderId="119" xfId="42583" applyFont="1" applyBorder="1" applyAlignment="1" applyProtection="1">
      <alignment horizontal="center" vertical="center"/>
      <protection locked="0"/>
    </xf>
    <xf numFmtId="0" fontId="2" fillId="3" borderId="119" xfId="42583" applyFill="1" applyBorder="1" applyAlignment="1" applyProtection="1">
      <alignment horizontal="center" vertical="center"/>
      <protection locked="0"/>
    </xf>
    <xf numFmtId="0" fontId="2" fillId="3" borderId="18" xfId="42583" applyFill="1" applyBorder="1" applyAlignment="1" applyProtection="1">
      <alignment horizontal="center" vertical="center"/>
      <protection locked="0"/>
    </xf>
    <xf numFmtId="0" fontId="2" fillId="3" borderId="0" xfId="42583" applyFill="1" applyAlignment="1" applyProtection="1">
      <alignment horizontal="center" vertical="center"/>
      <protection locked="0"/>
    </xf>
    <xf numFmtId="0" fontId="2" fillId="3" borderId="13" xfId="42583" applyFill="1" applyBorder="1" applyAlignment="1" applyProtection="1">
      <alignment shrinkToFit="1"/>
      <protection locked="0"/>
    </xf>
    <xf numFmtId="0" fontId="322" fillId="0" borderId="119" xfId="42583" applyFont="1" applyBorder="1" applyAlignment="1" applyProtection="1">
      <alignment horizontal="center" vertical="center"/>
      <protection locked="0"/>
    </xf>
    <xf numFmtId="198" fontId="322" fillId="0" borderId="13" xfId="37286" applyFont="1" applyBorder="1" applyAlignment="1" applyProtection="1">
      <alignment shrinkToFit="1"/>
      <protection locked="0"/>
    </xf>
    <xf numFmtId="0" fontId="322" fillId="0" borderId="13" xfId="42583" applyFont="1" applyBorder="1" applyAlignment="1" applyProtection="1">
      <alignment horizontal="right" shrinkToFit="1"/>
      <protection locked="0"/>
    </xf>
    <xf numFmtId="0" fontId="322" fillId="0" borderId="13" xfId="42583" applyFont="1" applyBorder="1" applyAlignment="1" applyProtection="1">
      <alignment horizontal="center" vertical="center"/>
      <protection locked="0"/>
    </xf>
    <xf numFmtId="0" fontId="322" fillId="9" borderId="18" xfId="42583" applyFont="1" applyFill="1" applyBorder="1" applyAlignment="1" applyProtection="1">
      <alignment horizontal="center" vertical="center"/>
      <protection locked="0"/>
    </xf>
    <xf numFmtId="0" fontId="322" fillId="9" borderId="119" xfId="42583" applyFont="1" applyFill="1" applyBorder="1" applyAlignment="1" applyProtection="1">
      <alignment horizontal="center" vertical="center"/>
      <protection locked="0"/>
    </xf>
    <xf numFmtId="0" fontId="322" fillId="9" borderId="0" xfId="42583" applyFont="1" applyFill="1" applyAlignment="1" applyProtection="1">
      <alignment horizontal="center" vertical="center"/>
      <protection locked="0"/>
    </xf>
    <xf numFmtId="198" fontId="322" fillId="9" borderId="13" xfId="37286" applyFont="1" applyFill="1" applyBorder="1" applyAlignment="1" applyProtection="1">
      <alignment shrinkToFit="1"/>
      <protection locked="0"/>
    </xf>
    <xf numFmtId="0" fontId="3" fillId="184" borderId="13" xfId="2" applyFill="1" applyBorder="1" applyAlignment="1" applyProtection="1">
      <alignment horizontal="center"/>
      <protection locked="0"/>
    </xf>
    <xf numFmtId="0" fontId="6" fillId="52" borderId="20" xfId="42583" applyFont="1" applyFill="1" applyBorder="1" applyAlignment="1" applyProtection="1">
      <alignment vertical="center"/>
      <protection locked="0"/>
    </xf>
    <xf numFmtId="0" fontId="6" fillId="52" borderId="25" xfId="42583" applyFont="1" applyFill="1" applyBorder="1" applyAlignment="1" applyProtection="1">
      <alignment vertical="center"/>
      <protection locked="0"/>
    </xf>
    <xf numFmtId="0" fontId="2" fillId="0" borderId="0" xfId="42583" applyAlignment="1" applyProtection="1">
      <alignment horizontal="center" vertical="center"/>
      <protection locked="0"/>
    </xf>
    <xf numFmtId="3" fontId="336" fillId="0" borderId="113" xfId="0" applyNumberFormat="1" applyFont="1" applyBorder="1" applyProtection="1">
      <protection locked="0"/>
    </xf>
    <xf numFmtId="0" fontId="336" fillId="0" borderId="113" xfId="0" applyFont="1" applyBorder="1" applyProtection="1">
      <protection locked="0"/>
    </xf>
    <xf numFmtId="0" fontId="195" fillId="0" borderId="113" xfId="0" applyFont="1" applyBorder="1" applyProtection="1">
      <protection locked="0"/>
    </xf>
    <xf numFmtId="3" fontId="336" fillId="197" borderId="113" xfId="0" applyNumberFormat="1" applyFont="1" applyFill="1" applyBorder="1" applyProtection="1">
      <protection locked="0"/>
    </xf>
    <xf numFmtId="0" fontId="336" fillId="0" borderId="0" xfId="0" applyFont="1" applyProtection="1">
      <protection locked="0"/>
    </xf>
    <xf numFmtId="167" fontId="5" fillId="6" borderId="5" xfId="5" applyFont="1" applyFill="1" applyBorder="1" applyAlignment="1" applyProtection="1">
      <alignment horizontal="center"/>
    </xf>
    <xf numFmtId="167" fontId="5" fillId="6" borderId="2" xfId="5" applyFont="1" applyFill="1" applyBorder="1" applyAlignment="1">
      <alignment horizontal="center"/>
    </xf>
    <xf numFmtId="167" fontId="5" fillId="6" borderId="2" xfId="5" applyFont="1" applyFill="1" applyBorder="1" applyAlignment="1" applyProtection="1">
      <alignment horizontal="center"/>
    </xf>
    <xf numFmtId="0" fontId="6" fillId="11" borderId="120" xfId="0" applyFont="1" applyFill="1" applyBorder="1" applyAlignment="1">
      <alignment horizontal="center"/>
    </xf>
    <xf numFmtId="0" fontId="6" fillId="4" borderId="112" xfId="0" applyFont="1" applyFill="1" applyBorder="1" applyAlignment="1">
      <alignment horizontal="center"/>
    </xf>
    <xf numFmtId="0" fontId="5" fillId="182" borderId="0" xfId="0" applyFont="1" applyFill="1" applyAlignment="1">
      <alignment horizontal="center" vertical="center"/>
    </xf>
    <xf numFmtId="0" fontId="6" fillId="14" borderId="131" xfId="42583" applyFont="1" applyFill="1" applyBorder="1" applyAlignment="1" applyProtection="1">
      <alignment horizontal="center" vertical="center" wrapText="1"/>
      <protection locked="0"/>
    </xf>
    <xf numFmtId="0" fontId="6" fillId="14" borderId="132" xfId="42583" applyFont="1" applyFill="1" applyBorder="1" applyAlignment="1" applyProtection="1">
      <alignment horizontal="center" vertical="center" wrapText="1"/>
      <protection locked="0"/>
    </xf>
    <xf numFmtId="0" fontId="5" fillId="6" borderId="91" xfId="4" applyFont="1" applyFill="1" applyBorder="1" applyAlignment="1" applyProtection="1">
      <alignment horizontal="center" vertical="center" wrapText="1"/>
      <protection locked="0"/>
    </xf>
    <xf numFmtId="0" fontId="4" fillId="5" borderId="91" xfId="4" applyFill="1" applyBorder="1"/>
    <xf numFmtId="0" fontId="4" fillId="0" borderId="91" xfId="4" applyBorder="1" applyProtection="1">
      <protection locked="0"/>
    </xf>
    <xf numFmtId="0" fontId="11" fillId="0" borderId="91" xfId="4" applyFont="1" applyBorder="1" applyProtection="1">
      <protection locked="0"/>
    </xf>
    <xf numFmtId="0" fontId="4" fillId="0" borderId="133" xfId="4" applyBorder="1" applyAlignment="1" applyProtection="1">
      <alignment horizontal="left"/>
      <protection locked="0"/>
    </xf>
    <xf numFmtId="0" fontId="4" fillId="0" borderId="133" xfId="4" applyBorder="1" applyAlignment="1" applyProtection="1">
      <alignment horizontal="center"/>
      <protection locked="0"/>
    </xf>
    <xf numFmtId="0" fontId="4" fillId="0" borderId="133" xfId="4" applyBorder="1" applyAlignment="1">
      <alignment horizontal="left"/>
    </xf>
    <xf numFmtId="167" fontId="0" fillId="5" borderId="133" xfId="5" applyFont="1" applyFill="1" applyBorder="1"/>
    <xf numFmtId="167" fontId="0" fillId="5" borderId="133" xfId="5" applyFont="1" applyFill="1" applyBorder="1" applyProtection="1"/>
    <xf numFmtId="0" fontId="11" fillId="6" borderId="91" xfId="4" applyFont="1" applyFill="1" applyBorder="1" applyAlignment="1" applyProtection="1">
      <alignment vertical="center"/>
      <protection locked="0"/>
    </xf>
    <xf numFmtId="0" fontId="5" fillId="6" borderId="133" xfId="4" applyFont="1" applyFill="1" applyBorder="1" applyAlignment="1" applyProtection="1">
      <alignment vertical="center"/>
      <protection locked="0"/>
    </xf>
    <xf numFmtId="0" fontId="5" fillId="6" borderId="91" xfId="4" applyFont="1" applyFill="1" applyBorder="1" applyAlignment="1" applyProtection="1">
      <alignment horizontal="center" vertical="center"/>
      <protection locked="0"/>
    </xf>
    <xf numFmtId="167" fontId="11" fillId="188" borderId="91" xfId="5" applyFont="1" applyFill="1" applyBorder="1" applyAlignment="1" applyProtection="1"/>
    <xf numFmtId="0" fontId="4" fillId="0" borderId="133" xfId="4" applyBorder="1" applyProtection="1">
      <protection locked="0"/>
    </xf>
    <xf numFmtId="0" fontId="4" fillId="0" borderId="133" xfId="4" applyBorder="1"/>
    <xf numFmtId="0" fontId="4" fillId="5" borderId="133" xfId="4" applyFill="1" applyBorder="1"/>
    <xf numFmtId="167" fontId="6" fillId="0" borderId="133" xfId="4" applyNumberFormat="1" applyFont="1" applyBorder="1"/>
    <xf numFmtId="167" fontId="6" fillId="0" borderId="133" xfId="4" applyNumberFormat="1" applyFont="1" applyBorder="1" applyProtection="1">
      <protection locked="0"/>
    </xf>
    <xf numFmtId="167" fontId="334" fillId="0" borderId="90" xfId="4" applyNumberFormat="1" applyFont="1" applyBorder="1" applyAlignment="1" applyProtection="1">
      <alignment horizontal="left"/>
      <protection locked="0"/>
    </xf>
    <xf numFmtId="167" fontId="9" fillId="4" borderId="0" xfId="1" applyFont="1" applyFill="1" applyProtection="1">
      <protection locked="0"/>
    </xf>
    <xf numFmtId="167" fontId="334" fillId="9" borderId="7" xfId="1" applyFont="1" applyFill="1" applyBorder="1" applyAlignment="1" applyProtection="1">
      <alignment horizontal="left" indent="1"/>
      <protection locked="0"/>
    </xf>
    <xf numFmtId="0" fontId="1" fillId="0" borderId="8" xfId="4" applyFont="1" applyBorder="1" applyProtection="1">
      <protection locked="0"/>
    </xf>
    <xf numFmtId="167" fontId="334" fillId="0" borderId="5" xfId="5" applyFont="1" applyFill="1" applyBorder="1" applyProtection="1">
      <protection locked="0"/>
    </xf>
    <xf numFmtId="179" fontId="334" fillId="188" borderId="7" xfId="10" applyNumberFormat="1" applyFont="1" applyFill="1" applyBorder="1" applyProtection="1">
      <protection locked="0"/>
    </xf>
    <xf numFmtId="179" fontId="334" fillId="0" borderId="7" xfId="4" applyNumberFormat="1" applyFont="1" applyBorder="1" applyAlignment="1" applyProtection="1">
      <alignment horizontal="left"/>
      <protection locked="0"/>
    </xf>
    <xf numFmtId="167" fontId="334" fillId="3" borderId="7" xfId="1" applyFont="1" applyFill="1" applyBorder="1" applyAlignment="1" applyProtection="1">
      <alignment horizontal="left" indent="1"/>
      <protection locked="0"/>
    </xf>
    <xf numFmtId="167" fontId="334" fillId="0" borderId="5" xfId="5" applyFont="1" applyBorder="1" applyProtection="1">
      <protection locked="0"/>
    </xf>
    <xf numFmtId="167" fontId="334" fillId="188" borderId="7" xfId="4" applyNumberFormat="1" applyFont="1" applyFill="1" applyBorder="1" applyProtection="1">
      <protection locked="0"/>
    </xf>
    <xf numFmtId="167" fontId="334" fillId="0" borderId="7" xfId="4" applyNumberFormat="1" applyFont="1" applyBorder="1" applyAlignment="1" applyProtection="1">
      <alignment horizontal="left"/>
      <protection locked="0"/>
    </xf>
    <xf numFmtId="179" fontId="334" fillId="188" borderId="7" xfId="7" applyNumberFormat="1" applyFont="1" applyFill="1" applyBorder="1" applyProtection="1">
      <protection locked="0"/>
    </xf>
    <xf numFmtId="3" fontId="384" fillId="0" borderId="113" xfId="0" applyNumberFormat="1" applyFont="1" applyBorder="1" applyProtection="1">
      <protection locked="0"/>
    </xf>
    <xf numFmtId="0" fontId="385" fillId="0" borderId="113" xfId="0" applyFont="1" applyBorder="1" applyProtection="1">
      <protection locked="0"/>
    </xf>
    <xf numFmtId="3" fontId="385" fillId="0" borderId="113" xfId="0" applyNumberFormat="1" applyFont="1" applyBorder="1" applyProtection="1">
      <protection locked="0"/>
    </xf>
    <xf numFmtId="167" fontId="334" fillId="188" borderId="7" xfId="5" applyFont="1" applyFill="1" applyBorder="1" applyProtection="1">
      <protection locked="0"/>
    </xf>
    <xf numFmtId="167" fontId="334" fillId="188" borderId="5" xfId="4" applyNumberFormat="1" applyFont="1" applyFill="1" applyBorder="1" applyProtection="1">
      <protection locked="0"/>
    </xf>
    <xf numFmtId="0" fontId="386" fillId="6" borderId="88" xfId="4" applyFont="1" applyFill="1" applyBorder="1" applyAlignment="1" applyProtection="1">
      <alignment horizontal="center" vertical="center"/>
      <protection locked="0"/>
    </xf>
    <xf numFmtId="167" fontId="334" fillId="0" borderId="133" xfId="4" applyNumberFormat="1" applyFont="1" applyBorder="1" applyProtection="1">
      <protection locked="0"/>
    </xf>
    <xf numFmtId="167" fontId="334" fillId="0" borderId="93" xfId="5" applyFont="1" applyBorder="1" applyProtection="1">
      <protection locked="0"/>
    </xf>
    <xf numFmtId="167" fontId="334" fillId="0" borderId="7" xfId="5" applyFont="1" applyBorder="1" applyProtection="1">
      <protection locked="0"/>
    </xf>
    <xf numFmtId="167" fontId="334" fillId="0" borderId="11" xfId="1" applyFont="1" applyBorder="1" applyProtection="1">
      <protection locked="0"/>
    </xf>
    <xf numFmtId="167" fontId="334" fillId="0" borderId="113" xfId="4" applyNumberFormat="1" applyFont="1" applyBorder="1" applyProtection="1">
      <protection locked="0"/>
    </xf>
    <xf numFmtId="167" fontId="334" fillId="0" borderId="93" xfId="4" applyNumberFormat="1" applyFont="1" applyBorder="1" applyProtection="1">
      <protection locked="0"/>
    </xf>
    <xf numFmtId="167" fontId="1" fillId="0" borderId="11" xfId="4" applyNumberFormat="1" applyFont="1" applyBorder="1" applyProtection="1">
      <protection locked="0"/>
    </xf>
    <xf numFmtId="0" fontId="1" fillId="0" borderId="7" xfId="4" applyFont="1" applyBorder="1" applyProtection="1">
      <protection locked="0"/>
    </xf>
    <xf numFmtId="167" fontId="334" fillId="188" borderId="113" xfId="4" applyNumberFormat="1" applyFont="1" applyFill="1" applyBorder="1" applyProtection="1">
      <protection locked="0"/>
    </xf>
    <xf numFmtId="167" fontId="1" fillId="0" borderId="7" xfId="4" applyNumberFormat="1" applyFont="1" applyBorder="1" applyProtection="1">
      <protection locked="0"/>
    </xf>
    <xf numFmtId="167" fontId="334" fillId="0" borderId="7" xfId="1" applyFont="1" applyBorder="1" applyProtection="1">
      <protection locked="0"/>
    </xf>
    <xf numFmtId="167" fontId="1" fillId="3" borderId="7" xfId="5" applyFont="1" applyFill="1" applyBorder="1" applyProtection="1">
      <protection locked="0"/>
    </xf>
    <xf numFmtId="167" fontId="334" fillId="0" borderId="10" xfId="5" applyFont="1" applyBorder="1" applyProtection="1">
      <protection locked="0"/>
    </xf>
    <xf numFmtId="0" fontId="334" fillId="188" borderId="7" xfId="4" applyFont="1" applyFill="1" applyBorder="1" applyProtection="1">
      <protection locked="0"/>
    </xf>
    <xf numFmtId="167" fontId="334" fillId="0" borderId="10" xfId="4" applyNumberFormat="1" applyFont="1" applyBorder="1" applyProtection="1">
      <protection locked="0"/>
    </xf>
    <xf numFmtId="167" fontId="1" fillId="0" borderId="0" xfId="4" applyNumberFormat="1" applyFont="1" applyProtection="1">
      <protection locked="0"/>
    </xf>
    <xf numFmtId="167" fontId="1" fillId="0" borderId="7" xfId="5" applyFont="1" applyFill="1" applyBorder="1" applyProtection="1">
      <protection locked="0"/>
    </xf>
    <xf numFmtId="167" fontId="334" fillId="0" borderId="10" xfId="5" applyFont="1" applyBorder="1"/>
    <xf numFmtId="167" fontId="334" fillId="0" borderId="7" xfId="4" applyNumberFormat="1" applyFont="1" applyBorder="1" applyProtection="1">
      <protection locked="0"/>
    </xf>
    <xf numFmtId="167" fontId="334" fillId="188" borderId="10" xfId="4" applyNumberFormat="1" applyFont="1" applyFill="1" applyBorder="1" applyProtection="1">
      <protection locked="0"/>
    </xf>
    <xf numFmtId="0" fontId="3" fillId="0" borderId="0" xfId="2" quotePrefix="1"/>
    <xf numFmtId="167" fontId="6" fillId="0" borderId="0" xfId="1" applyFont="1" applyProtection="1">
      <protection locked="0"/>
    </xf>
    <xf numFmtId="167" fontId="11" fillId="0" borderId="92" xfId="1" applyFont="1" applyFill="1" applyBorder="1" applyAlignment="1" applyProtection="1">
      <alignment horizontal="center" vertical="center" wrapText="1"/>
      <protection locked="0"/>
    </xf>
    <xf numFmtId="167" fontId="11" fillId="0" borderId="121" xfId="1" applyFont="1" applyFill="1" applyBorder="1" applyAlignment="1" applyProtection="1">
      <alignment horizontal="center" vertical="center" wrapText="1"/>
      <protection locked="0"/>
    </xf>
    <xf numFmtId="167" fontId="11" fillId="0" borderId="88" xfId="1" applyFont="1" applyBorder="1" applyAlignment="1" applyProtection="1">
      <alignment horizontal="center" vertical="center"/>
      <protection locked="0"/>
    </xf>
    <xf numFmtId="167" fontId="6" fillId="0" borderId="90" xfId="1" applyFont="1" applyBorder="1" applyAlignment="1" applyProtection="1">
      <alignment horizontal="left"/>
      <protection locked="0"/>
    </xf>
    <xf numFmtId="167" fontId="1" fillId="52" borderId="7" xfId="1" applyFont="1" applyFill="1" applyBorder="1" applyAlignment="1" applyProtection="1">
      <alignment horizontal="left" indent="1"/>
      <protection locked="0"/>
    </xf>
    <xf numFmtId="167" fontId="0" fillId="52" borderId="7" xfId="1" applyFont="1" applyFill="1" applyBorder="1" applyProtection="1">
      <protection locked="0"/>
    </xf>
    <xf numFmtId="167" fontId="6" fillId="0" borderId="5" xfId="1" applyFont="1" applyFill="1" applyBorder="1" applyProtection="1">
      <protection locked="0"/>
    </xf>
    <xf numFmtId="167" fontId="6" fillId="188" borderId="7" xfId="1" applyFont="1" applyFill="1" applyBorder="1" applyProtection="1">
      <protection locked="0"/>
    </xf>
    <xf numFmtId="167" fontId="6" fillId="0" borderId="7" xfId="1" applyFont="1" applyBorder="1" applyAlignment="1" applyProtection="1">
      <alignment horizontal="left"/>
      <protection locked="0"/>
    </xf>
    <xf numFmtId="167" fontId="6" fillId="0" borderId="5" xfId="1" applyFont="1" applyBorder="1" applyProtection="1">
      <protection locked="0"/>
    </xf>
    <xf numFmtId="167" fontId="336" fillId="196" borderId="7" xfId="1" applyFont="1" applyFill="1" applyBorder="1" applyProtection="1">
      <protection locked="0"/>
    </xf>
    <xf numFmtId="167" fontId="336" fillId="196" borderId="113" xfId="1" applyFont="1" applyFill="1" applyBorder="1" applyProtection="1">
      <protection locked="0"/>
    </xf>
    <xf numFmtId="167" fontId="195" fillId="196" borderId="7" xfId="1" applyFont="1" applyFill="1" applyBorder="1" applyProtection="1">
      <protection locked="0"/>
    </xf>
    <xf numFmtId="167" fontId="195" fillId="196" borderId="113" xfId="1" applyFont="1" applyFill="1" applyBorder="1" applyProtection="1">
      <protection locked="0"/>
    </xf>
    <xf numFmtId="167" fontId="6" fillId="188" borderId="5" xfId="1" applyFont="1" applyFill="1" applyBorder="1" applyProtection="1">
      <protection locked="0"/>
    </xf>
    <xf numFmtId="167" fontId="11" fillId="12" borderId="2" xfId="1" applyFont="1" applyFill="1" applyBorder="1" applyAlignment="1" applyProtection="1">
      <protection locked="0"/>
    </xf>
    <xf numFmtId="167" fontId="11" fillId="12" borderId="5" xfId="1" applyFont="1" applyFill="1" applyBorder="1" applyAlignment="1" applyProtection="1">
      <alignment horizontal="center"/>
      <protection locked="0"/>
    </xf>
    <xf numFmtId="167" fontId="11" fillId="12" borderId="8" xfId="1" applyFont="1" applyFill="1" applyBorder="1" applyAlignment="1" applyProtection="1">
      <alignment horizontal="center" vertical="center"/>
      <protection locked="0"/>
    </xf>
    <xf numFmtId="167" fontId="6" fillId="0" borderId="133" xfId="1" applyFont="1" applyBorder="1" applyProtection="1">
      <protection locked="0"/>
    </xf>
    <xf numFmtId="167" fontId="6" fillId="0" borderId="93" xfId="1" applyFont="1" applyBorder="1" applyProtection="1">
      <protection locked="0"/>
    </xf>
    <xf numFmtId="167" fontId="6" fillId="0" borderId="113" xfId="1" applyFont="1" applyBorder="1" applyProtection="1">
      <protection locked="0"/>
    </xf>
    <xf numFmtId="167" fontId="6" fillId="188" borderId="113" xfId="1" applyFont="1" applyFill="1" applyBorder="1" applyProtection="1">
      <protection locked="0"/>
    </xf>
    <xf numFmtId="167" fontId="0" fillId="52" borderId="113" xfId="1" applyFont="1" applyFill="1" applyBorder="1" applyProtection="1">
      <protection locked="0"/>
    </xf>
    <xf numFmtId="167" fontId="1" fillId="3" borderId="7" xfId="1" applyFont="1" applyFill="1" applyBorder="1" applyAlignment="1" applyProtection="1">
      <alignment horizontal="left" indent="1"/>
      <protection locked="0"/>
    </xf>
    <xf numFmtId="167" fontId="6" fillId="0" borderId="10" xfId="1" applyFont="1" applyBorder="1" applyProtection="1">
      <protection locked="0"/>
    </xf>
    <xf numFmtId="167" fontId="1" fillId="0" borderId="113" xfId="1" applyFont="1" applyBorder="1" applyProtection="1">
      <protection locked="0"/>
    </xf>
    <xf numFmtId="167" fontId="0" fillId="0" borderId="11" xfId="1" applyFont="1" applyFill="1" applyBorder="1" applyProtection="1">
      <protection locked="0"/>
    </xf>
    <xf numFmtId="167" fontId="0" fillId="0" borderId="7" xfId="1" applyFont="1" applyFill="1" applyBorder="1" applyProtection="1">
      <protection locked="0"/>
    </xf>
    <xf numFmtId="167" fontId="6" fillId="0" borderId="10" xfId="1" applyFont="1" applyBorder="1"/>
    <xf numFmtId="167" fontId="1" fillId="52" borderId="7" xfId="1" applyFont="1" applyFill="1" applyBorder="1" applyAlignment="1" applyProtection="1">
      <protection locked="0"/>
    </xf>
    <xf numFmtId="167" fontId="6" fillId="188" borderId="10" xfId="1" applyFont="1" applyFill="1" applyBorder="1" applyProtection="1">
      <protection locked="0"/>
    </xf>
    <xf numFmtId="167" fontId="6" fillId="188" borderId="0" xfId="1" applyFont="1" applyFill="1" applyProtection="1">
      <protection locked="0"/>
    </xf>
    <xf numFmtId="167" fontId="6" fillId="188" borderId="12" xfId="1" applyFont="1" applyFill="1" applyBorder="1" applyProtection="1">
      <protection locked="0"/>
    </xf>
    <xf numFmtId="167" fontId="6" fillId="0" borderId="12" xfId="1" applyFont="1" applyBorder="1"/>
    <xf numFmtId="167" fontId="9" fillId="0" borderId="0" xfId="1" applyFont="1"/>
    <xf numFmtId="167" fontId="335" fillId="52" borderId="7" xfId="1" applyFont="1" applyFill="1" applyBorder="1" applyProtection="1">
      <protection locked="0"/>
    </xf>
    <xf numFmtId="167" fontId="335" fillId="4" borderId="0" xfId="1" applyFont="1" applyFill="1" applyProtection="1">
      <protection locked="0"/>
    </xf>
    <xf numFmtId="167" fontId="369" fillId="0" borderId="0" xfId="1" applyFont="1" applyProtection="1">
      <protection locked="0"/>
    </xf>
    <xf numFmtId="167" fontId="369" fillId="4" borderId="0" xfId="1" applyFont="1" applyFill="1" applyProtection="1">
      <protection locked="0"/>
    </xf>
    <xf numFmtId="3" fontId="387" fillId="0" borderId="0" xfId="0" applyNumberFormat="1" applyFont="1" applyProtection="1">
      <protection locked="0"/>
    </xf>
    <xf numFmtId="167" fontId="335" fillId="52" borderId="113" xfId="1" applyFont="1" applyFill="1" applyBorder="1" applyProtection="1">
      <protection locked="0"/>
    </xf>
    <xf numFmtId="179" fontId="24" fillId="0" borderId="117" xfId="33046" applyNumberFormat="1" applyFont="1" applyFill="1" applyBorder="1" applyProtection="1">
      <protection locked="0"/>
    </xf>
    <xf numFmtId="179" fontId="360" fillId="0" borderId="13" xfId="33046" applyNumberFormat="1" applyFont="1" applyFill="1" applyBorder="1" applyProtection="1">
      <protection locked="0"/>
    </xf>
    <xf numFmtId="167" fontId="1" fillId="0" borderId="0" xfId="1" applyFont="1" applyProtection="1">
      <protection locked="0"/>
    </xf>
    <xf numFmtId="167" fontId="1" fillId="0" borderId="9" xfId="1" applyFont="1" applyBorder="1" applyProtection="1">
      <protection locked="0"/>
    </xf>
    <xf numFmtId="167" fontId="1" fillId="52" borderId="0" xfId="1" applyFont="1" applyFill="1" applyProtection="1">
      <protection locked="0"/>
    </xf>
    <xf numFmtId="167" fontId="5" fillId="6" borderId="92" xfId="5" applyFont="1" applyFill="1" applyBorder="1" applyAlignment="1" applyProtection="1">
      <alignment horizontal="center" vertical="center" wrapText="1"/>
    </xf>
    <xf numFmtId="167" fontId="5" fillId="6" borderId="121" xfId="5" applyFont="1" applyFill="1" applyBorder="1" applyAlignment="1" applyProtection="1">
      <alignment horizontal="center" vertical="center" wrapText="1"/>
    </xf>
    <xf numFmtId="167" fontId="5" fillId="6" borderId="2" xfId="5" applyFont="1" applyFill="1" applyBorder="1" applyAlignment="1" applyProtection="1">
      <alignment horizontal="center"/>
    </xf>
    <xf numFmtId="167" fontId="5" fillId="6" borderId="3" xfId="5" applyFont="1" applyFill="1" applyBorder="1" applyAlignment="1" applyProtection="1">
      <alignment horizontal="center"/>
    </xf>
    <xf numFmtId="167" fontId="5" fillId="6" borderId="4" xfId="5" applyFont="1" applyFill="1" applyBorder="1" applyAlignment="1" applyProtection="1">
      <alignment horizontal="center" vertical="center" wrapText="1"/>
    </xf>
    <xf numFmtId="167" fontId="5" fillId="6" borderId="5" xfId="5" applyFont="1" applyFill="1" applyBorder="1" applyAlignment="1" applyProtection="1">
      <alignment horizontal="center"/>
    </xf>
    <xf numFmtId="167" fontId="5" fillId="168" borderId="92" xfId="5" applyFont="1" applyFill="1" applyBorder="1" applyAlignment="1" applyProtection="1">
      <alignment horizontal="center" vertical="center" wrapText="1"/>
    </xf>
    <xf numFmtId="167" fontId="5" fillId="168" borderId="121" xfId="5" applyFont="1" applyFill="1" applyBorder="1" applyAlignment="1" applyProtection="1">
      <alignment horizontal="center" vertical="center" wrapText="1"/>
    </xf>
    <xf numFmtId="167" fontId="11" fillId="12" borderId="92" xfId="5" applyFont="1" applyFill="1" applyBorder="1" applyAlignment="1" applyProtection="1">
      <alignment horizontal="center" vertical="center" wrapText="1"/>
    </xf>
    <xf numFmtId="167" fontId="11" fillId="12" borderId="121" xfId="5" applyFont="1" applyFill="1" applyBorder="1" applyAlignment="1" applyProtection="1">
      <alignment horizontal="center" vertical="center" wrapText="1"/>
    </xf>
    <xf numFmtId="167" fontId="11" fillId="188" borderId="92" xfId="5" applyFont="1" applyFill="1" applyBorder="1" applyAlignment="1" applyProtection="1">
      <alignment horizontal="center" vertical="center" wrapText="1"/>
    </xf>
    <xf numFmtId="167" fontId="11" fillId="188" borderId="121" xfId="5" applyFont="1" applyFill="1" applyBorder="1" applyAlignment="1" applyProtection="1">
      <alignment horizontal="center" vertical="center" wrapText="1"/>
    </xf>
    <xf numFmtId="167" fontId="5" fillId="6" borderId="2" xfId="5" applyFont="1" applyFill="1" applyBorder="1" applyAlignment="1">
      <alignment horizontal="center"/>
    </xf>
    <xf numFmtId="167" fontId="5" fillId="6" borderId="3" xfId="5" applyFont="1" applyFill="1" applyBorder="1" applyAlignment="1">
      <alignment horizontal="center"/>
    </xf>
    <xf numFmtId="167" fontId="5" fillId="6" borderId="4" xfId="5" applyFont="1" applyFill="1" applyBorder="1" applyAlignment="1">
      <alignment horizontal="center" vertical="center" wrapText="1"/>
    </xf>
    <xf numFmtId="167" fontId="5" fillId="6" borderId="121" xfId="5" applyFont="1" applyFill="1" applyBorder="1" applyAlignment="1">
      <alignment horizontal="center" vertical="center" wrapText="1"/>
    </xf>
    <xf numFmtId="167" fontId="5" fillId="6" borderId="92" xfId="5" applyFont="1" applyFill="1" applyBorder="1" applyAlignment="1">
      <alignment horizontal="center" vertical="center" wrapText="1"/>
    </xf>
    <xf numFmtId="167" fontId="5" fillId="168" borderId="4" xfId="5" applyFont="1" applyFill="1" applyBorder="1" applyAlignment="1" applyProtection="1">
      <alignment horizontal="center" vertical="center" wrapText="1"/>
    </xf>
    <xf numFmtId="167" fontId="5" fillId="6" borderId="90" xfId="5" applyFont="1" applyFill="1" applyBorder="1" applyAlignment="1" applyProtection="1">
      <alignment horizontal="center" vertical="center" wrapText="1"/>
      <protection locked="0"/>
    </xf>
    <xf numFmtId="167" fontId="5" fillId="6" borderId="8" xfId="5" applyFont="1" applyFill="1" applyBorder="1" applyAlignment="1" applyProtection="1">
      <alignment horizontal="center" vertical="center" wrapText="1"/>
      <protection locked="0"/>
    </xf>
    <xf numFmtId="167" fontId="386" fillId="6" borderId="92" xfId="5" applyFont="1" applyFill="1" applyBorder="1" applyAlignment="1" applyProtection="1">
      <alignment horizontal="center" vertical="center" wrapText="1"/>
      <protection locked="0"/>
    </xf>
    <xf numFmtId="167" fontId="386" fillId="6" borderId="121" xfId="5" applyFont="1" applyFill="1" applyBorder="1" applyAlignment="1" applyProtection="1">
      <alignment horizontal="center" vertical="center" wrapText="1"/>
      <protection locked="0"/>
    </xf>
    <xf numFmtId="167" fontId="5" fillId="6" borderId="92" xfId="5" applyFont="1" applyFill="1" applyBorder="1" applyAlignment="1" applyProtection="1">
      <alignment horizontal="center" vertical="center" wrapText="1"/>
      <protection locked="0"/>
    </xf>
    <xf numFmtId="167" fontId="5" fillId="6" borderId="121" xfId="5" applyFont="1" applyFill="1" applyBorder="1" applyAlignment="1" applyProtection="1">
      <alignment horizontal="center" vertical="center" wrapText="1"/>
      <protection locked="0"/>
    </xf>
    <xf numFmtId="0" fontId="6" fillId="14" borderId="15" xfId="42583" applyFont="1" applyFill="1" applyBorder="1" applyAlignment="1" applyProtection="1">
      <alignment horizontal="center" vertical="center" wrapText="1"/>
      <protection locked="0"/>
    </xf>
    <xf numFmtId="0" fontId="6" fillId="14" borderId="20" xfId="42583" applyFont="1" applyFill="1" applyBorder="1" applyAlignment="1" applyProtection="1">
      <alignment horizontal="center" vertical="center" wrapText="1"/>
      <protection locked="0"/>
    </xf>
    <xf numFmtId="0" fontId="6" fillId="14" borderId="130" xfId="42583" applyFont="1" applyFill="1" applyBorder="1" applyAlignment="1" applyProtection="1">
      <alignment horizontal="center" vertical="center" shrinkToFit="1"/>
      <protection locked="0"/>
    </xf>
    <xf numFmtId="0" fontId="6" fillId="14" borderId="125" xfId="42583" applyFont="1" applyFill="1" applyBorder="1" applyAlignment="1" applyProtection="1">
      <alignment horizontal="center" vertical="center" shrinkToFit="1"/>
      <protection locked="0"/>
    </xf>
    <xf numFmtId="0" fontId="6" fillId="14" borderId="130" xfId="42583" applyFont="1" applyFill="1" applyBorder="1" applyAlignment="1" applyProtection="1">
      <alignment horizontal="center" vertical="center" wrapText="1" shrinkToFit="1"/>
      <protection locked="0"/>
    </xf>
    <xf numFmtId="0" fontId="6" fillId="14" borderId="125" xfId="42583" applyFont="1" applyFill="1" applyBorder="1" applyAlignment="1" applyProtection="1">
      <alignment horizontal="center" vertical="center" wrapText="1" shrinkToFit="1"/>
      <protection locked="0"/>
    </xf>
    <xf numFmtId="242" fontId="374" fillId="190" borderId="111" xfId="33575" applyNumberFormat="1" applyFont="1" applyFill="1" applyBorder="1" applyAlignment="1" applyProtection="1">
      <alignment horizontal="center" vertical="center"/>
    </xf>
    <xf numFmtId="242" fontId="374" fillId="190" borderId="120" xfId="33575" applyNumberFormat="1" applyFont="1" applyFill="1" applyBorder="1" applyAlignment="1" applyProtection="1">
      <alignment horizontal="center" vertical="center"/>
    </xf>
    <xf numFmtId="242" fontId="374" fillId="190" borderId="119" xfId="33575" applyNumberFormat="1" applyFont="1" applyFill="1" applyBorder="1" applyAlignment="1" applyProtection="1">
      <alignment horizontal="center" vertical="center"/>
    </xf>
    <xf numFmtId="242" fontId="373" fillId="189" borderId="111" xfId="33575" applyNumberFormat="1" applyFont="1" applyFill="1" applyBorder="1" applyAlignment="1" applyProtection="1">
      <alignment horizontal="center" vertical="center"/>
    </xf>
    <xf numFmtId="242" fontId="373" fillId="189" borderId="120" xfId="33575" applyNumberFormat="1" applyFont="1" applyFill="1" applyBorder="1" applyAlignment="1" applyProtection="1">
      <alignment horizontal="center" vertical="center"/>
    </xf>
    <xf numFmtId="242" fontId="373" fillId="189" borderId="119" xfId="33575" applyNumberFormat="1" applyFont="1" applyFill="1" applyBorder="1" applyAlignment="1" applyProtection="1">
      <alignment horizontal="center" vertical="center"/>
    </xf>
    <xf numFmtId="242" fontId="374" fillId="189" borderId="111" xfId="33575" applyNumberFormat="1" applyFont="1" applyFill="1" applyBorder="1" applyAlignment="1" applyProtection="1">
      <alignment horizontal="center" vertical="center"/>
    </xf>
    <xf numFmtId="242" fontId="374" fillId="189" borderId="120" xfId="33575" applyNumberFormat="1" applyFont="1" applyFill="1" applyBorder="1" applyAlignment="1" applyProtection="1">
      <alignment horizontal="center" vertical="center"/>
    </xf>
    <xf numFmtId="242" fontId="374" fillId="189" borderId="119" xfId="33575" applyNumberFormat="1" applyFont="1" applyFill="1" applyBorder="1" applyAlignment="1" applyProtection="1">
      <alignment horizontal="center" vertical="center"/>
    </xf>
    <xf numFmtId="0" fontId="373" fillId="189" borderId="13" xfId="49944" applyFont="1" applyFill="1" applyBorder="1" applyAlignment="1">
      <alignment horizontal="center" vertical="center" wrapText="1"/>
    </xf>
    <xf numFmtId="0" fontId="373" fillId="189" borderId="116" xfId="49944" applyFont="1" applyFill="1" applyBorder="1" applyAlignment="1">
      <alignment horizontal="center" vertical="center" wrapText="1"/>
    </xf>
    <xf numFmtId="0" fontId="373" fillId="189" borderId="127" xfId="49944" applyFont="1" applyFill="1" applyBorder="1" applyAlignment="1">
      <alignment horizontal="center" vertical="center" wrapText="1"/>
    </xf>
    <xf numFmtId="0" fontId="11" fillId="0" borderId="118" xfId="0" applyFont="1" applyBorder="1" applyAlignment="1">
      <alignment horizontal="center" vertical="center"/>
    </xf>
    <xf numFmtId="0" fontId="11" fillId="0" borderId="112" xfId="0" applyFont="1" applyBorder="1" applyAlignment="1">
      <alignment horizontal="center" vertical="center"/>
    </xf>
    <xf numFmtId="0" fontId="11" fillId="0" borderId="117" xfId="0" applyFont="1" applyBorder="1" applyAlignment="1">
      <alignment horizontal="center" vertical="center"/>
    </xf>
    <xf numFmtId="0" fontId="11" fillId="0" borderId="128" xfId="0" applyFont="1" applyBorder="1" applyAlignment="1">
      <alignment horizontal="center" vertical="center"/>
    </xf>
    <xf numFmtId="0" fontId="11" fillId="0" borderId="81" xfId="0" applyFont="1" applyBorder="1" applyAlignment="1">
      <alignment horizontal="center" vertical="center"/>
    </xf>
    <xf numFmtId="0" fontId="11" fillId="0" borderId="126" xfId="0" applyFont="1" applyBorder="1" applyAlignment="1">
      <alignment horizontal="center" vertical="center"/>
    </xf>
    <xf numFmtId="0" fontId="5" fillId="182" borderId="97" xfId="0" applyFont="1" applyFill="1" applyBorder="1" applyAlignment="1">
      <alignment horizontal="center" vertical="center"/>
    </xf>
    <xf numFmtId="0" fontId="5" fillId="182" borderId="0" xfId="0" applyFont="1" applyFill="1" applyAlignment="1">
      <alignment horizontal="center" vertical="center"/>
    </xf>
    <xf numFmtId="0" fontId="5" fillId="182" borderId="128" xfId="0" applyFont="1" applyFill="1" applyBorder="1" applyAlignment="1">
      <alignment horizontal="center" vertical="center"/>
    </xf>
    <xf numFmtId="0" fontId="5" fillId="182" borderId="81" xfId="0" applyFont="1" applyFill="1" applyBorder="1" applyAlignment="1">
      <alignment horizontal="center" vertical="center"/>
    </xf>
    <xf numFmtId="0" fontId="6" fillId="11" borderId="120" xfId="0" applyFont="1" applyFill="1" applyBorder="1" applyAlignment="1">
      <alignment horizontal="center"/>
    </xf>
    <xf numFmtId="0" fontId="6" fillId="11" borderId="119" xfId="0" applyFont="1" applyFill="1" applyBorder="1" applyAlignment="1">
      <alignment horizontal="center"/>
    </xf>
    <xf numFmtId="0" fontId="6" fillId="170" borderId="111" xfId="0" applyFont="1" applyFill="1" applyBorder="1" applyAlignment="1">
      <alignment horizontal="center"/>
    </xf>
    <xf numFmtId="0" fontId="6" fillId="170" borderId="120" xfId="0" applyFont="1" applyFill="1" applyBorder="1" applyAlignment="1">
      <alignment horizontal="center"/>
    </xf>
    <xf numFmtId="0" fontId="6" fillId="170" borderId="119" xfId="0" applyFont="1" applyFill="1" applyBorder="1" applyAlignment="1">
      <alignment horizontal="center"/>
    </xf>
    <xf numFmtId="0" fontId="6" fillId="18" borderId="111" xfId="0" applyFont="1" applyFill="1" applyBorder="1" applyAlignment="1">
      <alignment horizontal="center"/>
    </xf>
    <xf numFmtId="0" fontId="6" fillId="18" borderId="120" xfId="0" applyFont="1" applyFill="1" applyBorder="1" applyAlignment="1">
      <alignment horizontal="center"/>
    </xf>
    <xf numFmtId="0" fontId="6" fillId="18" borderId="119" xfId="0" applyFont="1" applyFill="1" applyBorder="1" applyAlignment="1">
      <alignment horizontal="center"/>
    </xf>
    <xf numFmtId="0" fontId="6" fillId="11" borderId="111" xfId="0" applyFont="1" applyFill="1" applyBorder="1" applyAlignment="1">
      <alignment horizontal="center"/>
    </xf>
    <xf numFmtId="0" fontId="6" fillId="170" borderId="128" xfId="0" applyFont="1" applyFill="1" applyBorder="1" applyAlignment="1">
      <alignment horizontal="center"/>
    </xf>
    <xf numFmtId="0" fontId="6" fillId="170" borderId="81" xfId="0" applyFont="1" applyFill="1" applyBorder="1" applyAlignment="1">
      <alignment horizontal="center"/>
    </xf>
    <xf numFmtId="0" fontId="6" fillId="170" borderId="126" xfId="0" applyFont="1" applyFill="1" applyBorder="1" applyAlignment="1">
      <alignment horizontal="center"/>
    </xf>
    <xf numFmtId="0" fontId="5" fillId="193" borderId="118" xfId="0" applyFont="1" applyFill="1" applyBorder="1" applyAlignment="1">
      <alignment horizontal="center" vertical="center"/>
    </xf>
    <xf numFmtId="0" fontId="5" fillId="193" borderId="112" xfId="0" applyFont="1" applyFill="1" applyBorder="1" applyAlignment="1">
      <alignment horizontal="center" vertical="center"/>
    </xf>
    <xf numFmtId="0" fontId="5" fillId="193" borderId="117" xfId="0" applyFont="1" applyFill="1" applyBorder="1" applyAlignment="1">
      <alignment horizontal="center" vertical="center"/>
    </xf>
    <xf numFmtId="0" fontId="5" fillId="193" borderId="128" xfId="0" applyFont="1" applyFill="1" applyBorder="1" applyAlignment="1">
      <alignment horizontal="center" vertical="center"/>
    </xf>
    <xf numFmtId="0" fontId="5" fillId="193" borderId="81" xfId="0" applyFont="1" applyFill="1" applyBorder="1" applyAlignment="1">
      <alignment horizontal="center" vertical="center"/>
    </xf>
    <xf numFmtId="0" fontId="5" fillId="193" borderId="126" xfId="0" applyFont="1" applyFill="1" applyBorder="1" applyAlignment="1">
      <alignment horizontal="center" vertical="center"/>
    </xf>
    <xf numFmtId="0" fontId="6" fillId="172" borderId="116" xfId="0" applyFont="1" applyFill="1" applyBorder="1" applyAlignment="1">
      <alignment horizontal="center" vertical="center"/>
    </xf>
    <xf numFmtId="0" fontId="6" fillId="172" borderId="37" xfId="0" applyFont="1" applyFill="1" applyBorder="1" applyAlignment="1">
      <alignment horizontal="center" vertical="center"/>
    </xf>
    <xf numFmtId="0" fontId="6" fillId="172" borderId="127" xfId="0" applyFont="1" applyFill="1" applyBorder="1" applyAlignment="1">
      <alignment horizontal="center" vertical="center"/>
    </xf>
    <xf numFmtId="0" fontId="6" fillId="7" borderId="120" xfId="0" applyFont="1" applyFill="1" applyBorder="1" applyAlignment="1">
      <alignment horizontal="center"/>
    </xf>
    <xf numFmtId="0" fontId="6" fillId="7" borderId="119" xfId="0" applyFont="1" applyFill="1" applyBorder="1" applyAlignment="1">
      <alignment horizontal="center"/>
    </xf>
    <xf numFmtId="0" fontId="6" fillId="4" borderId="118" xfId="0" applyFont="1" applyFill="1" applyBorder="1" applyAlignment="1">
      <alignment horizontal="center"/>
    </xf>
    <xf numFmtId="0" fontId="6" fillId="4" borderId="112" xfId="0" applyFont="1" applyFill="1" applyBorder="1" applyAlignment="1">
      <alignment horizontal="center"/>
    </xf>
    <xf numFmtId="0" fontId="6" fillId="4" borderId="117" xfId="0" applyFont="1" applyFill="1" applyBorder="1" applyAlignment="1">
      <alignment horizontal="center"/>
    </xf>
    <xf numFmtId="0" fontId="6" fillId="171" borderId="118" xfId="0" applyFont="1" applyFill="1" applyBorder="1" applyAlignment="1">
      <alignment horizontal="center" vertical="center"/>
    </xf>
    <xf numFmtId="0" fontId="6" fillId="171" borderId="112" xfId="0" applyFont="1" applyFill="1" applyBorder="1" applyAlignment="1">
      <alignment horizontal="center" vertical="center"/>
    </xf>
    <xf numFmtId="0" fontId="6" fillId="171" borderId="117" xfId="0" applyFont="1" applyFill="1" applyBorder="1" applyAlignment="1">
      <alignment horizontal="center" vertical="center"/>
    </xf>
    <xf numFmtId="0" fontId="6" fillId="171" borderId="128" xfId="0" applyFont="1" applyFill="1" applyBorder="1" applyAlignment="1">
      <alignment horizontal="center" vertical="center"/>
    </xf>
    <xf numFmtId="0" fontId="6" fillId="171" borderId="81" xfId="0" applyFont="1" applyFill="1" applyBorder="1" applyAlignment="1">
      <alignment horizontal="center" vertical="center"/>
    </xf>
    <xf numFmtId="0" fontId="6" fillId="171" borderId="126" xfId="0" applyFont="1" applyFill="1" applyBorder="1" applyAlignment="1">
      <alignment horizontal="center" vertical="center"/>
    </xf>
    <xf numFmtId="0" fontId="6" fillId="11" borderId="118" xfId="0" applyFont="1" applyFill="1" applyBorder="1" applyAlignment="1">
      <alignment horizontal="center" vertical="center"/>
    </xf>
    <xf numFmtId="0" fontId="6" fillId="11" borderId="112" xfId="0" applyFont="1" applyFill="1" applyBorder="1" applyAlignment="1">
      <alignment horizontal="center" vertical="center"/>
    </xf>
    <xf numFmtId="0" fontId="6" fillId="11" borderId="117" xfId="0" applyFont="1" applyFill="1" applyBorder="1" applyAlignment="1">
      <alignment horizontal="center" vertical="center"/>
    </xf>
    <xf numFmtId="0" fontId="6" fillId="11" borderId="128" xfId="0" applyFont="1" applyFill="1" applyBorder="1" applyAlignment="1">
      <alignment horizontal="center" vertical="center"/>
    </xf>
    <xf numFmtId="0" fontId="6" fillId="11" borderId="81" xfId="0" applyFont="1" applyFill="1" applyBorder="1" applyAlignment="1">
      <alignment horizontal="center" vertical="center"/>
    </xf>
    <xf numFmtId="0" fontId="6" fillId="11" borderId="126" xfId="0" applyFont="1" applyFill="1" applyBorder="1" applyAlignment="1">
      <alignment horizontal="center" vertical="center"/>
    </xf>
    <xf numFmtId="0" fontId="11" fillId="0" borderId="97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6" fillId="7" borderId="116" xfId="0" applyFont="1" applyFill="1" applyBorder="1" applyAlignment="1">
      <alignment horizontal="center" vertical="center" wrapText="1"/>
    </xf>
    <xf numFmtId="0" fontId="6" fillId="7" borderId="37" xfId="0" applyFont="1" applyFill="1" applyBorder="1" applyAlignment="1">
      <alignment horizontal="center" vertical="center" wrapText="1"/>
    </xf>
    <xf numFmtId="0" fontId="6" fillId="7" borderId="127" xfId="0" applyFont="1" applyFill="1" applyBorder="1" applyAlignment="1">
      <alignment horizontal="center" vertical="center" wrapText="1"/>
    </xf>
    <xf numFmtId="0" fontId="6" fillId="11" borderId="128" xfId="0" applyFont="1" applyFill="1" applyBorder="1" applyAlignment="1">
      <alignment horizontal="center"/>
    </xf>
    <xf numFmtId="0" fontId="6" fillId="11" borderId="81" xfId="0" applyFont="1" applyFill="1" applyBorder="1" applyAlignment="1">
      <alignment horizontal="center"/>
    </xf>
    <xf numFmtId="0" fontId="6" fillId="11" borderId="126" xfId="0" applyFont="1" applyFill="1" applyBorder="1" applyAlignment="1">
      <alignment horizontal="center"/>
    </xf>
    <xf numFmtId="0" fontId="6" fillId="19" borderId="13" xfId="0" applyFont="1" applyFill="1" applyBorder="1" applyAlignment="1">
      <alignment horizontal="center" vertical="center"/>
    </xf>
    <xf numFmtId="0" fontId="6" fillId="172" borderId="13" xfId="0" applyFont="1" applyFill="1" applyBorder="1" applyAlignment="1">
      <alignment horizontal="center" vertical="center"/>
    </xf>
    <xf numFmtId="0" fontId="6" fillId="7" borderId="13" xfId="0" applyFont="1" applyFill="1" applyBorder="1" applyAlignment="1">
      <alignment horizontal="center" vertical="center" wrapText="1"/>
    </xf>
    <xf numFmtId="0" fontId="6" fillId="7" borderId="13" xfId="0" applyFont="1" applyFill="1" applyBorder="1" applyAlignment="1">
      <alignment horizontal="center" vertical="center"/>
    </xf>
  </cellXfs>
  <cellStyles count="58510">
    <cellStyle name="_x0004_" xfId="62"/>
    <cellStyle name=" 2" xfId="63"/>
    <cellStyle name="_x0004_ 2" xfId="64"/>
    <cellStyle name="_x0004_ 2 2" xfId="65"/>
    <cellStyle name=" 3" xfId="66"/>
    <cellStyle name="_x000a__x000a_JournalTemplate=C:\COMFO\CTALK\JOURSTD.TPL_x000a__x000a_LbStateAddress=3 3 0 251 1 89 2 311_x000a__x000a_LbStateJou" xfId="67"/>
    <cellStyle name="_x000b_" xfId="68"/>
    <cellStyle name="_x000b_ 2" xfId="69"/>
    <cellStyle name="_x000b_ 3" xfId="70"/>
    <cellStyle name="_x000b__Format Template Preventive Maintenance" xfId="71"/>
    <cellStyle name="_x000b__Update Data Truck Puninar 2013_Rev" xfId="72"/>
    <cellStyle name="_x000d__x000a_JournalTemplate=C:\COMFO\CTALK\JOURSTD.TPL_x000d__x000a_LbStateAddress=3 3 0 251 1 89 2 311_x000d__x000a_LbStateJou" xfId="73"/>
    <cellStyle name="%" xfId="74"/>
    <cellStyle name="%_A.08.3 Computation of PMTESAD - PT Arwana Citramulia Tbk 2008" xfId="75"/>
    <cellStyle name="(1000 L)8?4BC (1000 L)_x001c_?_x0018_¨_x0005__x0005__x0010_?_x000c_?" xfId="76"/>
    <cellStyle name="(1000 L)8?4BC (1000 L)_x001c_?_x0018_¨_x0005__x0005__x0010_?_x000c_? 2" xfId="77"/>
    <cellStyle name="(1000 L)8?4BC (1000 L)_x001c_?_x0018_¨_x0005__x0005__x0010_?_x000c_? 3" xfId="78"/>
    <cellStyle name="(1000 L)8?4BC (1000 L)_x001c_?_x0018_¨_x0005__x0005__x0010_?_x000c_? 4" xfId="79"/>
    <cellStyle name="(1000 L)8?4BC (1000 L)_x001c_?_x0018_¨_x0005__x0005__x0010_?_x000c_? 5" xfId="80"/>
    <cellStyle name="(1000 L)8?4BC (1000 L)_x001c_?_x0018_¨_x0005__x0005__x0010_?_x000c_? 6" xfId="81"/>
    <cellStyle name="(1000 L)8?4BC (1000 L)_x001c_?_x0018_¨_x0005__x0005__x0010_?_x000c_?_Data" xfId="82"/>
    <cellStyle name="," xfId="83"/>
    <cellStyle name=",=." xfId="84"/>
    <cellStyle name=",=. 2" xfId="57467"/>
    <cellStyle name="??" xfId="85"/>
    <cellStyle name="?? [0.00]_laroux" xfId="86"/>
    <cellStyle name="???? [0.00]_laroux" xfId="87"/>
    <cellStyle name="????_laroux" xfId="88"/>
    <cellStyle name="??_laroux" xfId="89"/>
    <cellStyle name="?_x001d_?w_x0009__x001a_??_x000c_??U_x0001_%_x0013_|)_x0007__x0001__x0001_" xfId="90"/>
    <cellStyle name="?_x001d_?w_x0009__x001a_??_x000c_??U_x0001_%_x0013_|)_x0007__x0001__x0001_ 2" xfId="91"/>
    <cellStyle name="?_x001d_?w_x0009__x001a_??_x000c_??U_x0001_%_x0013_|)_x0007__x0001__x0001_ 3" xfId="92"/>
    <cellStyle name="?_x001d_?w_x0009__x001a_??_x000c_??U_x0001_%_x0013_|)_x0007__x0001__x0001_ 4" xfId="93"/>
    <cellStyle name="?_x001d_?w_x0009__x001a_??_x000c_??U_x0001_%_x0013_|)_x0007__x0001__x0001_ 5" xfId="94"/>
    <cellStyle name="?_x001d_?w_x0009__x001a_??_x000c_??U_x0001_%_x0013_|)_x0007__x0001__x0001_ 6" xfId="95"/>
    <cellStyle name="?_x001d_?w_x0009__x001a_??_x000c_??U_x0001_%_x0013_|)_x0007__x0001__x0001__Data" xfId="96"/>
    <cellStyle name="_x001c_?_x0018_¨_x0005__x0005__x0010_?_x000c_?_x0008_ Azungen" xfId="97"/>
    <cellStyle name="_x001c_?_x0018_¨_x0005__x0005__x0010_?_x000c_?_x0008_ Azungen 2" xfId="98"/>
    <cellStyle name="_x001c_?_x0018_¨_x0005__x0005__x0010_?_x000c_?_x0008_ Azungen 3" xfId="99"/>
    <cellStyle name="_x001c_?_x0018_¨_x0005__x0005__x0010_?_x000c_?_x0008_ Azungen 4" xfId="100"/>
    <cellStyle name="_x001c_?_x0018_¨_x0005__x0005__x0010_?_x000c_?_x0008_ Azungen 5" xfId="101"/>
    <cellStyle name="_x001c_?_x0018_¨_x0005__x0005__x0010_?_x000c_?_x0008_ Azungen 6" xfId="102"/>
    <cellStyle name="_03020-AWP(12-01)fk" xfId="58333"/>
    <cellStyle name="_03180-AWP(25-01-03)" xfId="58334"/>
    <cellStyle name="_04040-AWP (12-02)" xfId="58335"/>
    <cellStyle name="_04040-FS (12-02)" xfId="58336"/>
    <cellStyle name="_07061-AWP(12-00)" xfId="58337"/>
    <cellStyle name="_11074 - AWP(12-01) " xfId="58338"/>
    <cellStyle name="_12036C -AWP (12-01)" xfId="58339"/>
    <cellStyle name="_15004-AWP (12-00)" xfId="58340"/>
    <cellStyle name="_20056-AWP(06-01).xls" xfId="58341"/>
    <cellStyle name="_2006 Grease Demand" xfId="103"/>
    <cellStyle name="_2006 Grease Demand_Data" xfId="104"/>
    <cellStyle name="_2006 Grease Demand_Plan 08 Nov 2010" xfId="105"/>
    <cellStyle name="_2006 Grease Demand_Plan 10 Nov 2010" xfId="106"/>
    <cellStyle name="_2006 Grease Demand_Sby &amp; Bpn" xfId="107"/>
    <cellStyle name="_2006 Grease Demand_Sheet1" xfId="108"/>
    <cellStyle name="_2006 Grease Demand_Sheet2" xfId="109"/>
    <cellStyle name="_2006 Grease Demand_Sheet3" xfId="110"/>
    <cellStyle name="_2006 Grease Demand_WGI to SBY" xfId="111"/>
    <cellStyle name="_2006 VN Demand Forecast" xfId="112"/>
    <cellStyle name="_2006 VN Demand Forecast 2" xfId="113"/>
    <cellStyle name="_2006 VN Demand Forecast 3" xfId="114"/>
    <cellStyle name="_2006 VN Demand Forecast 4" xfId="115"/>
    <cellStyle name="_2006 VN Demand Forecast 5" xfId="116"/>
    <cellStyle name="_2006 VN Demand Forecast 6" xfId="117"/>
    <cellStyle name="_2006 VN Demand Forecast_Booking In Inbound " xfId="118"/>
    <cellStyle name="_2006 VN Demand Forecast_Booking In Inbound  2" xfId="119"/>
    <cellStyle name="_2006 VN Demand Forecast_Booking In Inbound _1" xfId="120"/>
    <cellStyle name="_2006 VN Demand Forecast_Booking In Inbound _1 2" xfId="121"/>
    <cellStyle name="_2006 VN Demand Forecast_Data" xfId="122"/>
    <cellStyle name="_2006 VN Demand Forecast_Data_1" xfId="123"/>
    <cellStyle name="_2006 VN Demand Forecast_Pending" xfId="124"/>
    <cellStyle name="_2006 VN Demand Forecast_Pending_Plan 08 Nov 2010" xfId="125"/>
    <cellStyle name="_2006 VN Demand Forecast_Pending_Plan 10 Nov 2010" xfId="126"/>
    <cellStyle name="_2006 VN Demand Forecast_Pending_Sby &amp; Bpn" xfId="127"/>
    <cellStyle name="_2006 VN Demand Forecast_Pending_Sheet1" xfId="128"/>
    <cellStyle name="_2006 VN Demand Forecast_Pending_WGI to SBY" xfId="129"/>
    <cellStyle name="_2006 VN Demand Forecast_Plan 08 Nov 2010" xfId="130"/>
    <cellStyle name="_2006 VN Demand Forecast_Plan 10 Nov 2010" xfId="131"/>
    <cellStyle name="_2006 VN Demand Forecast_Plan 22 Sept 2010" xfId="132"/>
    <cellStyle name="_2006 VN Demand Forecast_Plan 22 Sept 2010_Data" xfId="133"/>
    <cellStyle name="_2006 VN Demand Forecast_Plan 22 Sept 2010_Plan 08 Nov 2010" xfId="134"/>
    <cellStyle name="_2006 VN Demand Forecast_Plan 22 Sept 2010_Plan 10 Nov 2010" xfId="135"/>
    <cellStyle name="_2006 VN Demand Forecast_Plan 22 Sept 2010_Sby &amp; Bpn" xfId="136"/>
    <cellStyle name="_2006 VN Demand Forecast_Plan 22 Sept 2010_Sby &amp; Bpn_1" xfId="137"/>
    <cellStyle name="_2006 VN Demand Forecast_Plan 22 Sept 2010_Sheet1" xfId="138"/>
    <cellStyle name="_2006 VN Demand Forecast_Plan 22 Sept 2010_WGI to SBY" xfId="139"/>
    <cellStyle name="_2006 VN Demand Forecast_Plan 23 Sept 2010" xfId="140"/>
    <cellStyle name="_2006 VN Demand Forecast_receiving data" xfId="141"/>
    <cellStyle name="_2006 VN Demand Forecast_receiving data 2" xfId="142"/>
    <cellStyle name="_2006 VN Demand Forecast_receiving data 3" xfId="143"/>
    <cellStyle name="_2006 VN Demand Forecast_receiving data 4" xfId="144"/>
    <cellStyle name="_2006 VN Demand Forecast_receiving data 5" xfId="145"/>
    <cellStyle name="_2006 VN Demand Forecast_receiving data 6" xfId="146"/>
    <cellStyle name="_2006 VN Demand Forecast_Sby &amp; Bpn" xfId="147"/>
    <cellStyle name="_2006 VN Demand Forecast_Sby &amp; Bpn_1" xfId="148"/>
    <cellStyle name="_2006 VN Demand Forecast_Sby &amp; Bpn_Data" xfId="149"/>
    <cellStyle name="_2006 VN Demand Forecast_Sby &amp; Bpn_Plan 08 Nov 2010" xfId="150"/>
    <cellStyle name="_2006 VN Demand Forecast_Sby &amp; Bpn_Plan 10 Nov 2010" xfId="151"/>
    <cellStyle name="_2006 VN Demand Forecast_Sby &amp; Bpn_Sby &amp; Bpn" xfId="152"/>
    <cellStyle name="_2006 VN Demand Forecast_Sby &amp; Bpn_Sheet1" xfId="153"/>
    <cellStyle name="_2006 VN Demand Forecast_Sby &amp; Bpn_WGI to SBY" xfId="154"/>
    <cellStyle name="_2006 VN Demand Forecast_Sheet1" xfId="155"/>
    <cellStyle name="_2006 VN Demand Forecast_Sheet2" xfId="156"/>
    <cellStyle name="_2006 VN Demand Forecast_Sheet3" xfId="157"/>
    <cellStyle name="_2006 VN Demand Forecast_WGI to SBY" xfId="158"/>
    <cellStyle name="_2006 VN Demand Forecast_WGI to SBY_1" xfId="159"/>
    <cellStyle name="_2006 VN Demand Forecast_WGI to SBY_Data" xfId="160"/>
    <cellStyle name="_2006 VN Demand Forecast_WGI to SBY_Plan 08 Nov 2010" xfId="161"/>
    <cellStyle name="_2006 VN Demand Forecast_WGI to SBY_Plan 10 Nov 2010" xfId="162"/>
    <cellStyle name="_2006 VN Demand Forecast_WGI to SBY_Sby &amp; Bpn" xfId="163"/>
    <cellStyle name="_2006 VN Demand Forecast_WGI to SBY_Sheet1" xfId="164"/>
    <cellStyle name="_2006 VN Demand Forecast_WGI to SBY_WGI to SBY" xfId="165"/>
    <cellStyle name="_2007 Dec Freight List" xfId="166"/>
    <cellStyle name="_2007 Dec Freight List 2" xfId="167"/>
    <cellStyle name="_2008 Apr Freight List" xfId="168"/>
    <cellStyle name="_2008 Apr Freight List 2" xfId="169"/>
    <cellStyle name="_2008 Feb Freight List" xfId="170"/>
    <cellStyle name="_2008 Feb Freight List 2" xfId="171"/>
    <cellStyle name="_2008 Jan Freight List" xfId="172"/>
    <cellStyle name="_2008 Jan Freight List 2" xfId="173"/>
    <cellStyle name="_2008 Jan SOR_Revised" xfId="174"/>
    <cellStyle name="_2008 Jan SOR_Revised 2" xfId="175"/>
    <cellStyle name="_2008 Jul Freight List" xfId="176"/>
    <cellStyle name="_2008 Jul Freight List 2" xfId="177"/>
    <cellStyle name="_2008 Mar Freight List" xfId="178"/>
    <cellStyle name="_2008 Mar Freight List 2" xfId="179"/>
    <cellStyle name="_2008 May Freight List" xfId="180"/>
    <cellStyle name="_2008 May Freight List 2" xfId="181"/>
    <cellStyle name="_20202-AWP(12-01)" xfId="58342"/>
    <cellStyle name="_23039-AWP (12-01)" xfId="58343"/>
    <cellStyle name="_26009-AWP(03-01)SL" xfId="58344"/>
    <cellStyle name="_30023-AWP (06-01) KPK" xfId="58345"/>
    <cellStyle name="_6152-AWP(03-01)" xfId="58346"/>
    <cellStyle name="_6326-AWP (06-01)" xfId="58347"/>
    <cellStyle name="_A6319-AWP(06-00)" xfId="58348"/>
    <cellStyle name="_A6319-FS (06-01)" xfId="58349"/>
    <cellStyle name="_auditplan" xfId="58350"/>
    <cellStyle name="_b_" xfId="182"/>
    <cellStyle name="_b_ 2" xfId="183"/>
    <cellStyle name="_BKS_Delivery2009-1_summary" xfId="184"/>
    <cellStyle name="_Book1" xfId="185"/>
    <cellStyle name="_Book1 2" xfId="186"/>
    <cellStyle name="_Book4" xfId="187"/>
    <cellStyle name="_Book4_ADM Loading Pattern #21" xfId="188"/>
    <cellStyle name="_Book4_ADM Loading Pattern（ﾔﾃﾞｨ）#2" xfId="189"/>
    <cellStyle name="_Book4_ADM Milkrun Volume Planning" xfId="190"/>
    <cellStyle name="_Book4_ADM Volume &amp; Route Planning" xfId="191"/>
    <cellStyle name="_Book4_ADM Volume &amp; Route Planning Cikarang Area" xfId="192"/>
    <cellStyle name="_Book4_New Supp Load Cikarang" xfId="193"/>
    <cellStyle name="_Book4_PACKING SPECIFICATION PART MILK RUN SECOND PHASE (1)" xfId="194"/>
    <cellStyle name="_Book4_Time Line (16Trip)#1 (1shift)" xfId="195"/>
    <cellStyle name="_Book4_Time Line (19Trip)#1" xfId="196"/>
    <cellStyle name="_Book4_Time Line 2nd phase" xfId="197"/>
    <cellStyle name="_Book4_Volume Parts Dec'05 Planning &amp; Box Revision" xfId="198"/>
    <cellStyle name="_Book7_Business Plan2011CBD PROJECT_BU 5_MPP BU 4_180112" xfId="199"/>
    <cellStyle name="_Booking In Inbound " xfId="200"/>
    <cellStyle name="_Booking In Inbound  2" xfId="201"/>
    <cellStyle name="_CMD" xfId="202"/>
    <cellStyle name="_CMD 2" xfId="203"/>
    <cellStyle name="_CMD 3" xfId="204"/>
    <cellStyle name="_CMD 4" xfId="205"/>
    <cellStyle name="_CMD 5" xfId="206"/>
    <cellStyle name="_CMD 6" xfId="207"/>
    <cellStyle name="_CMD_Booking In Inbound " xfId="208"/>
    <cellStyle name="_CMD_Booking In Inbound  2" xfId="209"/>
    <cellStyle name="_CMD_Booking In Inbound _1" xfId="210"/>
    <cellStyle name="_CMD_Booking In Inbound _1 2" xfId="211"/>
    <cellStyle name="_CMD_Data" xfId="212"/>
    <cellStyle name="_CMD_Data_1" xfId="213"/>
    <cellStyle name="_CMD_Pending" xfId="214"/>
    <cellStyle name="_CMD_Pending_Plan 08 Nov 2010" xfId="215"/>
    <cellStyle name="_CMD_Pending_Plan 10 Nov 2010" xfId="216"/>
    <cellStyle name="_CMD_Pending_Sby &amp; Bpn" xfId="217"/>
    <cellStyle name="_CMD_Pending_Sheet1" xfId="218"/>
    <cellStyle name="_CMD_Pending_WGI to SBY" xfId="219"/>
    <cellStyle name="_CMD_Plan 08 Nov 2010" xfId="220"/>
    <cellStyle name="_CMD_Plan 10 Nov 2010" xfId="221"/>
    <cellStyle name="_CMD_Plan 22 Sept 2010" xfId="222"/>
    <cellStyle name="_CMD_Plan 22 Sept 2010_Data" xfId="223"/>
    <cellStyle name="_CMD_Plan 22 Sept 2010_Plan 08 Nov 2010" xfId="224"/>
    <cellStyle name="_CMD_Plan 22 Sept 2010_Plan 10 Nov 2010" xfId="225"/>
    <cellStyle name="_CMD_Plan 22 Sept 2010_Sby &amp; Bpn" xfId="226"/>
    <cellStyle name="_CMD_Plan 22 Sept 2010_Sby &amp; Bpn_1" xfId="227"/>
    <cellStyle name="_CMD_Plan 22 Sept 2010_Sheet1" xfId="228"/>
    <cellStyle name="_CMD_Plan 22 Sept 2010_WGI to SBY" xfId="229"/>
    <cellStyle name="_CMD_Plan 23 Sept 2010" xfId="230"/>
    <cellStyle name="_CMD_receiving data" xfId="231"/>
    <cellStyle name="_CMD_receiving data 2" xfId="232"/>
    <cellStyle name="_CMD_receiving data 3" xfId="233"/>
    <cellStyle name="_CMD_receiving data 4" xfId="234"/>
    <cellStyle name="_CMD_receiving data 5" xfId="235"/>
    <cellStyle name="_CMD_receiving data 6" xfId="236"/>
    <cellStyle name="_CMD_Sby &amp; Bpn" xfId="237"/>
    <cellStyle name="_CMD_Sby &amp; Bpn_1" xfId="238"/>
    <cellStyle name="_CMD_Sby &amp; Bpn_Data" xfId="239"/>
    <cellStyle name="_CMD_Sby &amp; Bpn_Plan 08 Nov 2010" xfId="240"/>
    <cellStyle name="_CMD_Sby &amp; Bpn_Plan 10 Nov 2010" xfId="241"/>
    <cellStyle name="_CMD_Sby &amp; Bpn_Sby &amp; Bpn" xfId="242"/>
    <cellStyle name="_CMD_Sby &amp; Bpn_Sheet1" xfId="243"/>
    <cellStyle name="_CMD_Sby &amp; Bpn_WGI to SBY" xfId="244"/>
    <cellStyle name="_CMD_Sheet1" xfId="245"/>
    <cellStyle name="_CMD_Sheet2" xfId="246"/>
    <cellStyle name="_CMD_Sheet3" xfId="247"/>
    <cellStyle name="_CMD_WGI to SBY" xfId="248"/>
    <cellStyle name="_CMD_WGI to SBY_1" xfId="249"/>
    <cellStyle name="_CMD_WGI to SBY_Data" xfId="250"/>
    <cellStyle name="_CMD_WGI to SBY_Plan 08 Nov 2010" xfId="251"/>
    <cellStyle name="_CMD_WGI to SBY_Plan 10 Nov 2010" xfId="252"/>
    <cellStyle name="_CMD_WGI to SBY_Sby &amp; Bpn" xfId="253"/>
    <cellStyle name="_CMD_WGI to SBY_Sheet1" xfId="254"/>
    <cellStyle name="_CMD_WGI to SBY_WGI to SBY" xfId="255"/>
    <cellStyle name="_collins &amp; aikman-laileng" xfId="58351"/>
    <cellStyle name="_Consolidated HS Code_HT_ED Group 200710031 updated" xfId="256"/>
    <cellStyle name="_Consolidated HS Code_HT_ED Group 200710031 updated_Booking In Inbound " xfId="257"/>
    <cellStyle name="_Consolidated HS Code_HT_ED Group 200710031 updated_Booking In Inbound  2" xfId="258"/>
    <cellStyle name="_Consolidated HS Code_HT_ED Group 200710031 updated_Data" xfId="259"/>
    <cellStyle name="_Consolidated HS Code_HT_ED Group 200710031 updated_Pending" xfId="260"/>
    <cellStyle name="_Consolidated HS Code_HT_ED Group 200710031 updated_Pending_Plan 08 Nov 2010" xfId="261"/>
    <cellStyle name="_Consolidated HS Code_HT_ED Group 200710031 updated_Pending_Plan 10 Nov 2010" xfId="262"/>
    <cellStyle name="_Consolidated HS Code_HT_ED Group 200710031 updated_Pending_Plan 18 Octo 2010" xfId="263"/>
    <cellStyle name="_Consolidated HS Code_HT_ED Group 200710031 updated_Pending_Sby &amp; Bpn" xfId="264"/>
    <cellStyle name="_Consolidated HS Code_HT_ED Group 200710031 updated_Pending_Sheet1" xfId="265"/>
    <cellStyle name="_Consolidated HS Code_HT_ED Group 200710031 updated_Pending_Sheet1_1" xfId="266"/>
    <cellStyle name="_Consolidated HS Code_HT_ED Group 200710031 updated_Pending_Sheet1_2" xfId="267"/>
    <cellStyle name="_Consolidated HS Code_HT_ED Group 200710031 updated_Pending_WGI to SBY" xfId="268"/>
    <cellStyle name="_Consolidated HS Code_HT_ED Group 200710031 updated_Plan 08 Nov 2010" xfId="269"/>
    <cellStyle name="_Consolidated HS Code_HT_ED Group 200710031 updated_Plan 10 Nov 2010" xfId="270"/>
    <cellStyle name="_Consolidated HS Code_HT_ED Group 200710031 updated_Plan 22 Sept 2010" xfId="271"/>
    <cellStyle name="_Consolidated HS Code_HT_ED Group 200710031 updated_Plan 22 Sept 2010_Data" xfId="272"/>
    <cellStyle name="_Consolidated HS Code_HT_ED Group 200710031 updated_Plan 22 Sept 2010_Plan 08 Nov 2010" xfId="273"/>
    <cellStyle name="_Consolidated HS Code_HT_ED Group 200710031 updated_Plan 22 Sept 2010_Plan 10 Nov 2010" xfId="274"/>
    <cellStyle name="_Consolidated HS Code_HT_ED Group 200710031 updated_Plan 22 Sept 2010_Plan 18 Octo 2010" xfId="275"/>
    <cellStyle name="_Consolidated HS Code_HT_ED Group 200710031 updated_Plan 22 Sept 2010_Sby &amp; Bpn" xfId="276"/>
    <cellStyle name="_Consolidated HS Code_HT_ED Group 200710031 updated_Plan 22 Sept 2010_Sheet1" xfId="277"/>
    <cellStyle name="_Consolidated HS Code_HT_ED Group 200710031 updated_Plan 22 Sept 2010_Sheet1_1" xfId="278"/>
    <cellStyle name="_Consolidated HS Code_HT_ED Group 200710031 updated_Plan 22 Sept 2010_Sheet1_2" xfId="279"/>
    <cellStyle name="_Consolidated HS Code_HT_ED Group 200710031 updated_Plan 22 Sept 2010_WGI to SBY" xfId="280"/>
    <cellStyle name="_Consolidated HS Code_HT_ED Group 200710031 updated_Plan 23 Sept 2010" xfId="281"/>
    <cellStyle name="_Consolidated HS Code_HT_ED Group 200710031 updated_Sby &amp; Bpn" xfId="282"/>
    <cellStyle name="_Consolidated HS Code_HT_ED Group 200710031 updated_Sheet1" xfId="283"/>
    <cellStyle name="_Consolidated HS Code_HT_ED Group 200710031 updated_Sheet2" xfId="284"/>
    <cellStyle name="_Consolidated HS Code_HT_ED Group 200710031 updated_Sheet3" xfId="285"/>
    <cellStyle name="_Consolidated HS Code_HT_ED Group 200710031 updated_WGI to SBY" xfId="286"/>
    <cellStyle name="_copy of Rekap Trans-Sarpen Dec 2007-Audited" xfId="287"/>
    <cellStyle name="_Customer_master1Aug" xfId="288"/>
    <cellStyle name="_Customer_master1Aug 2" xfId="289"/>
    <cellStyle name="_data Balikpapan_Road transport" xfId="290"/>
    <cellStyle name="_data Bekasi Na" xfId="291"/>
    <cellStyle name="_data Bekasi Na_RT_Kamadjaja" xfId="292"/>
    <cellStyle name="_data Bekasi Na_RT_Kamadjaja_Roughcut Capacity Plan Car Carrier 2011_Contoh Struktur_BU 1 Holcim 081111" xfId="293"/>
    <cellStyle name="_DCR WGI 2009" xfId="294"/>
    <cellStyle name="_DCR WGI 2009 2" xfId="295"/>
    <cellStyle name="_DCR WGI 2009 3" xfId="296"/>
    <cellStyle name="_DCR WGI 2009 4" xfId="297"/>
    <cellStyle name="_DCR WGI 2009 5" xfId="298"/>
    <cellStyle name="_DCR WGI 2009 6" xfId="299"/>
    <cellStyle name="_DCR WGI 2009_Data" xfId="300"/>
    <cellStyle name="_DCR WGI 2009_Data_1" xfId="301"/>
    <cellStyle name="_DCR WGI 2009_Pending" xfId="302"/>
    <cellStyle name="_DCR WGI 2009_Pending_Plan 08 Nov 2010" xfId="303"/>
    <cellStyle name="_DCR WGI 2009_Pending_Plan 10 Nov 2010" xfId="304"/>
    <cellStyle name="_DCR WGI 2009_Pending_Sby &amp; Bpn" xfId="305"/>
    <cellStyle name="_DCR WGI 2009_Pending_Sheet1" xfId="306"/>
    <cellStyle name="_DCR WGI 2009_Pending_WGI to SBY" xfId="307"/>
    <cellStyle name="_DCR WGI 2009_Plan 08 Nov 2010" xfId="308"/>
    <cellStyle name="_DCR WGI 2009_Plan 10 Nov 2010" xfId="309"/>
    <cellStyle name="_DCR WGI 2009_Plan 22 Sept 2010" xfId="310"/>
    <cellStyle name="_DCR WGI 2009_Plan 22 Sept 2010_Data" xfId="311"/>
    <cellStyle name="_DCR WGI 2009_Plan 22 Sept 2010_Plan 08 Nov 2010" xfId="312"/>
    <cellStyle name="_DCR WGI 2009_Plan 22 Sept 2010_Plan 10 Nov 2010" xfId="313"/>
    <cellStyle name="_DCR WGI 2009_Plan 22 Sept 2010_Sby &amp; Bpn" xfId="314"/>
    <cellStyle name="_DCR WGI 2009_Plan 22 Sept 2010_Sby &amp; Bpn_1" xfId="315"/>
    <cellStyle name="_DCR WGI 2009_Plan 22 Sept 2010_Sheet1" xfId="316"/>
    <cellStyle name="_DCR WGI 2009_Plan 22 Sept 2010_WGI to SBY" xfId="317"/>
    <cellStyle name="_DCR WGI 2009_Plan 23 Sept 2010" xfId="318"/>
    <cellStyle name="_DCR WGI 2009_Sby &amp; Bpn" xfId="319"/>
    <cellStyle name="_DCR WGI 2009_Sby &amp; Bpn_1" xfId="320"/>
    <cellStyle name="_DCR WGI 2009_Sby &amp; Bpn_Data" xfId="321"/>
    <cellStyle name="_DCR WGI 2009_Sby &amp; Bpn_Plan 08 Nov 2010" xfId="322"/>
    <cellStyle name="_DCR WGI 2009_Sby &amp; Bpn_Plan 10 Nov 2010" xfId="323"/>
    <cellStyle name="_DCR WGI 2009_Sby &amp; Bpn_Sby &amp; Bpn" xfId="324"/>
    <cellStyle name="_DCR WGI 2009_Sby &amp; Bpn_Sheet1" xfId="325"/>
    <cellStyle name="_DCR WGI 2009_Sby &amp; Bpn_WGI to SBY" xfId="326"/>
    <cellStyle name="_DCR WGI 2009_Sheet1" xfId="327"/>
    <cellStyle name="_DCR WGI 2009_Sheet2" xfId="328"/>
    <cellStyle name="_DCR WGI 2009_Sheet3" xfId="329"/>
    <cellStyle name="_DCR WGI 2009_WGI to SBY" xfId="330"/>
    <cellStyle name="_DCR WGI 2009_WGI to SBY_1" xfId="331"/>
    <cellStyle name="_DCR WGI 2009_WGI to SBY_Data" xfId="332"/>
    <cellStyle name="_DCR WGI 2009_WGI to SBY_Plan 08 Nov 2010" xfId="333"/>
    <cellStyle name="_DCR WGI 2009_WGI to SBY_Plan 10 Nov 2010" xfId="334"/>
    <cellStyle name="_DCR WGI 2009_WGI to SBY_Sby &amp; Bpn" xfId="335"/>
    <cellStyle name="_DCR WGI 2009_WGI to SBY_Sheet1" xfId="336"/>
    <cellStyle name="_DCR WGI 2009_WGI to SBY_WGI to SBY" xfId="337"/>
    <cellStyle name="_ESG Ecotool-AWP-template" xfId="58352"/>
    <cellStyle name="_ET_STYLE_NoName_00_" xfId="338"/>
    <cellStyle name="_FINAL - Reckitt Benkiser - 16 Jan07" xfId="339"/>
    <cellStyle name="_Final Rates - Road Transport 2010_Analisa" xfId="340"/>
    <cellStyle name="_Freight List Aug 2008" xfId="341"/>
    <cellStyle name="_Freight List Aug 2008 2" xfId="342"/>
    <cellStyle name="_Freight List Nov07" xfId="343"/>
    <cellStyle name="_Freight List Nov07 2" xfId="344"/>
    <cellStyle name="_Freight List Oct07" xfId="345"/>
    <cellStyle name="_Freight List Oct07 2" xfId="346"/>
    <cellStyle name="_Freight List Sep07" xfId="347"/>
    <cellStyle name="_Freight List Sep07 2" xfId="348"/>
    <cellStyle name="_Freight Rates 2008 Dec" xfId="349"/>
    <cellStyle name="_Freight Rates 2008 Dec 2" xfId="350"/>
    <cellStyle name="_Freight Rates 2008 Nov" xfId="351"/>
    <cellStyle name="_Freight Rates 2008 Nov 2" xfId="352"/>
    <cellStyle name="_Freight Rates 2008 Oct" xfId="353"/>
    <cellStyle name="_Freight Rates 2008 Oct 2" xfId="354"/>
    <cellStyle name="_Freight Rates 2008 Sep" xfId="355"/>
    <cellStyle name="_Freight Rates 2008 Sep 2" xfId="356"/>
    <cellStyle name="_Frieght List Apr07" xfId="357"/>
    <cellStyle name="_Frieght List Apr07 2" xfId="358"/>
    <cellStyle name="_Frieght List Feb07" xfId="359"/>
    <cellStyle name="_Frieght List Feb07 2" xfId="360"/>
    <cellStyle name="_Frieght List Jan07" xfId="361"/>
    <cellStyle name="_Frieght List Jan07 2" xfId="362"/>
    <cellStyle name="_Frieght List Jul_07" xfId="363"/>
    <cellStyle name="_Frieght List Jul_07 2" xfId="364"/>
    <cellStyle name="_Frieght List Mar07" xfId="365"/>
    <cellStyle name="_Frieght List Mar07 2" xfId="366"/>
    <cellStyle name="_Frieght List May_07" xfId="367"/>
    <cellStyle name="_Frieght List May_07 2" xfId="368"/>
    <cellStyle name="_FRT RATES2008" xfId="369"/>
    <cellStyle name="_FRT RATES2008 2" xfId="370"/>
    <cellStyle name="_Frt_jun_2008" xfId="371"/>
    <cellStyle name="_Frt_jun_2008 2" xfId="372"/>
    <cellStyle name="_FS_Q2_2008_Eng" xfId="373"/>
    <cellStyle name="_GSK Malaysia Costing - 2007-01-09a" xfId="374"/>
    <cellStyle name="_incomplete (Stephen)" xfId="375"/>
    <cellStyle name="_incomplete (Stephen) 2" xfId="376"/>
    <cellStyle name="_incomplete (Stephen) 3" xfId="377"/>
    <cellStyle name="_incomplete (Stephen) 4" xfId="378"/>
    <cellStyle name="_incomplete (Stephen) 5" xfId="379"/>
    <cellStyle name="_incomplete (Stephen) 6" xfId="380"/>
    <cellStyle name="_incomplete (Stephen)_Booking In Inbound " xfId="381"/>
    <cellStyle name="_incomplete (Stephen)_Booking In Inbound  2" xfId="382"/>
    <cellStyle name="_incomplete (Stephen)_Booking In Inbound _1" xfId="383"/>
    <cellStyle name="_incomplete (Stephen)_Booking In Inbound _1 2" xfId="384"/>
    <cellStyle name="_incomplete (Stephen)_Data" xfId="385"/>
    <cellStyle name="_incomplete (Stephen)_Data_1" xfId="386"/>
    <cellStyle name="_incomplete (Stephen)_Pending" xfId="387"/>
    <cellStyle name="_incomplete (Stephen)_Pending_Plan 08 Nov 2010" xfId="388"/>
    <cellStyle name="_incomplete (Stephen)_Pending_Plan 10 Nov 2010" xfId="389"/>
    <cellStyle name="_incomplete (Stephen)_Pending_Sby &amp; Bpn" xfId="390"/>
    <cellStyle name="_incomplete (Stephen)_Pending_Sheet1" xfId="391"/>
    <cellStyle name="_incomplete (Stephen)_Pending_WGI to SBY" xfId="392"/>
    <cellStyle name="_incomplete (Stephen)_Plan 08 Nov 2010" xfId="393"/>
    <cellStyle name="_incomplete (Stephen)_Plan 10 Nov 2010" xfId="394"/>
    <cellStyle name="_incomplete (Stephen)_Plan 22 Sept 2010" xfId="395"/>
    <cellStyle name="_incomplete (Stephen)_Plan 22 Sept 2010_Data" xfId="396"/>
    <cellStyle name="_incomplete (Stephen)_Plan 22 Sept 2010_Plan 08 Nov 2010" xfId="397"/>
    <cellStyle name="_incomplete (Stephen)_Plan 22 Sept 2010_Plan 10 Nov 2010" xfId="398"/>
    <cellStyle name="_incomplete (Stephen)_Plan 22 Sept 2010_Sby &amp; Bpn" xfId="399"/>
    <cellStyle name="_incomplete (Stephen)_Plan 22 Sept 2010_Sby &amp; Bpn_1" xfId="400"/>
    <cellStyle name="_incomplete (Stephen)_Plan 22 Sept 2010_Sheet1" xfId="401"/>
    <cellStyle name="_incomplete (Stephen)_Plan 22 Sept 2010_WGI to SBY" xfId="402"/>
    <cellStyle name="_incomplete (Stephen)_Plan 23 Sept 2010" xfId="403"/>
    <cellStyle name="_incomplete (Stephen)_receiving data" xfId="404"/>
    <cellStyle name="_incomplete (Stephen)_receiving data 2" xfId="405"/>
    <cellStyle name="_incomplete (Stephen)_receiving data 3" xfId="406"/>
    <cellStyle name="_incomplete (Stephen)_receiving data 4" xfId="407"/>
    <cellStyle name="_incomplete (Stephen)_receiving data 5" xfId="408"/>
    <cellStyle name="_incomplete (Stephen)_receiving data 6" xfId="409"/>
    <cellStyle name="_incomplete (Stephen)_Sby &amp; Bpn" xfId="410"/>
    <cellStyle name="_incomplete (Stephen)_Sby &amp; Bpn_1" xfId="411"/>
    <cellStyle name="_incomplete (Stephen)_Sby &amp; Bpn_Data" xfId="412"/>
    <cellStyle name="_incomplete (Stephen)_Sby &amp; Bpn_Plan 08 Nov 2010" xfId="413"/>
    <cellStyle name="_incomplete (Stephen)_Sby &amp; Bpn_Plan 10 Nov 2010" xfId="414"/>
    <cellStyle name="_incomplete (Stephen)_Sby &amp; Bpn_Sby &amp; Bpn" xfId="415"/>
    <cellStyle name="_incomplete (Stephen)_Sby &amp; Bpn_Sheet1" xfId="416"/>
    <cellStyle name="_incomplete (Stephen)_Sby &amp; Bpn_WGI to SBY" xfId="417"/>
    <cellStyle name="_incomplete (Stephen)_Sheet1" xfId="418"/>
    <cellStyle name="_incomplete (Stephen)_Sheet2" xfId="419"/>
    <cellStyle name="_incomplete (Stephen)_Sheet3" xfId="420"/>
    <cellStyle name="_incomplete (Stephen)_WGI to SBY" xfId="421"/>
    <cellStyle name="_incomplete (Stephen)_WGI to SBY_1" xfId="422"/>
    <cellStyle name="_incomplete (Stephen)_WGI to SBY_Data" xfId="423"/>
    <cellStyle name="_incomplete (Stephen)_WGI to SBY_Plan 08 Nov 2010" xfId="424"/>
    <cellStyle name="_incomplete (Stephen)_WGI to SBY_Plan 10 Nov 2010" xfId="425"/>
    <cellStyle name="_incomplete (Stephen)_WGI to SBY_Sby &amp; Bpn" xfId="426"/>
    <cellStyle name="_incomplete (Stephen)_WGI to SBY_Sheet1" xfId="427"/>
    <cellStyle name="_incomplete (Stephen)_WGI to SBY_WGI to SBY" xfId="428"/>
    <cellStyle name="_Loading Stats_2008" xfId="429"/>
    <cellStyle name="_Loading Stats_2008_Booking In Inbound " xfId="430"/>
    <cellStyle name="_Loading Stats_2008_Booking In Inbound  2" xfId="431"/>
    <cellStyle name="_Loading Stats_2008_Data" xfId="432"/>
    <cellStyle name="_Loading Stats_2008_Pending" xfId="433"/>
    <cellStyle name="_Loading Stats_2008_Pending_Plan 08 Nov 2010" xfId="434"/>
    <cellStyle name="_Loading Stats_2008_Pending_Plan 10 Nov 2010" xfId="435"/>
    <cellStyle name="_Loading Stats_2008_Pending_Plan 18 Octo 2010" xfId="436"/>
    <cellStyle name="_Loading Stats_2008_Pending_Sby &amp; Bpn" xfId="437"/>
    <cellStyle name="_Loading Stats_2008_Pending_Sheet1" xfId="438"/>
    <cellStyle name="_Loading Stats_2008_Pending_Sheet1_1" xfId="439"/>
    <cellStyle name="_Loading Stats_2008_Pending_Sheet1_2" xfId="440"/>
    <cellStyle name="_Loading Stats_2008_Pending_WGI to SBY" xfId="441"/>
    <cellStyle name="_Loading Stats_2008_Plan 08 Nov 2010" xfId="442"/>
    <cellStyle name="_Loading Stats_2008_Plan 10 Nov 2010" xfId="443"/>
    <cellStyle name="_Loading Stats_2008_Plan 22 Sept 2010" xfId="444"/>
    <cellStyle name="_Loading Stats_2008_Plan 22 Sept 2010_Data" xfId="445"/>
    <cellStyle name="_Loading Stats_2008_Plan 22 Sept 2010_Plan 08 Nov 2010" xfId="446"/>
    <cellStyle name="_Loading Stats_2008_Plan 22 Sept 2010_Plan 10 Nov 2010" xfId="447"/>
    <cellStyle name="_Loading Stats_2008_Plan 22 Sept 2010_Plan 18 Octo 2010" xfId="448"/>
    <cellStyle name="_Loading Stats_2008_Plan 22 Sept 2010_Sby &amp; Bpn" xfId="449"/>
    <cellStyle name="_Loading Stats_2008_Plan 22 Sept 2010_Sheet1" xfId="450"/>
    <cellStyle name="_Loading Stats_2008_Plan 22 Sept 2010_Sheet1_1" xfId="451"/>
    <cellStyle name="_Loading Stats_2008_Plan 22 Sept 2010_Sheet1_2" xfId="452"/>
    <cellStyle name="_Loading Stats_2008_Plan 22 Sept 2010_WGI to SBY" xfId="453"/>
    <cellStyle name="_Loading Stats_2008_Plan 23 Sept 2010" xfId="454"/>
    <cellStyle name="_Loading Stats_2008_Sby &amp; Bpn" xfId="455"/>
    <cellStyle name="_Loading Stats_2008_Sheet1" xfId="456"/>
    <cellStyle name="_Loading Stats_2008_Sheet2" xfId="457"/>
    <cellStyle name="_Loading Stats_2008_Sheet3" xfId="458"/>
    <cellStyle name="_Loading Stats_2008_WGI to SBY" xfId="459"/>
    <cellStyle name="_LOBP_abbreviation" xfId="460"/>
    <cellStyle name="_LOBP_abbreviation_Data" xfId="461"/>
    <cellStyle name="_LOBP_abbreviation_Plan 08 Nov 2010" xfId="462"/>
    <cellStyle name="_LOBP_abbreviation_Plan 10 Nov 2010" xfId="463"/>
    <cellStyle name="_LOBP_abbreviation_Sby &amp; Bpn" xfId="464"/>
    <cellStyle name="_LOBP_abbreviation_Sheet1" xfId="465"/>
    <cellStyle name="_LOBP_abbreviation_Sheet2" xfId="466"/>
    <cellStyle name="_LOBP_abbreviation_Sheet3" xfId="467"/>
    <cellStyle name="_LOBP_abbreviation_WGI to SBY" xfId="468"/>
    <cellStyle name="_LSC_Aviation Product Uploaded in P94 20071018" xfId="469"/>
    <cellStyle name="_LSC_Aviation Product Uploaded in P94 20071018_Booking In Inbound " xfId="470"/>
    <cellStyle name="_LSC_Aviation Product Uploaded in P94 20071018_Booking In Inbound  2" xfId="471"/>
    <cellStyle name="_LSC_Aviation Product Uploaded in P94 20071018_Data" xfId="472"/>
    <cellStyle name="_LSC_Aviation Product Uploaded in P94 20071018_Pending" xfId="473"/>
    <cellStyle name="_LSC_Aviation Product Uploaded in P94 20071018_Pending_Plan 08 Nov 2010" xfId="474"/>
    <cellStyle name="_LSC_Aviation Product Uploaded in P94 20071018_Pending_Plan 10 Nov 2010" xfId="475"/>
    <cellStyle name="_LSC_Aviation Product Uploaded in P94 20071018_Pending_Plan 18 Octo 2010" xfId="476"/>
    <cellStyle name="_LSC_Aviation Product Uploaded in P94 20071018_Pending_Sby &amp; Bpn" xfId="477"/>
    <cellStyle name="_LSC_Aviation Product Uploaded in P94 20071018_Pending_Sheet1" xfId="478"/>
    <cellStyle name="_LSC_Aviation Product Uploaded in P94 20071018_Pending_Sheet1_1" xfId="479"/>
    <cellStyle name="_LSC_Aviation Product Uploaded in P94 20071018_Pending_Sheet1_2" xfId="480"/>
    <cellStyle name="_LSC_Aviation Product Uploaded in P94 20071018_Pending_WGI to SBY" xfId="481"/>
    <cellStyle name="_LSC_Aviation Product Uploaded in P94 20071018_Plan 08 Nov 2010" xfId="482"/>
    <cellStyle name="_LSC_Aviation Product Uploaded in P94 20071018_Plan 10 Nov 2010" xfId="483"/>
    <cellStyle name="_LSC_Aviation Product Uploaded in P94 20071018_Plan 22 Sept 2010" xfId="484"/>
    <cellStyle name="_LSC_Aviation Product Uploaded in P94 20071018_Plan 22 Sept 2010_Data" xfId="485"/>
    <cellStyle name="_LSC_Aviation Product Uploaded in P94 20071018_Plan 22 Sept 2010_Plan 08 Nov 2010" xfId="486"/>
    <cellStyle name="_LSC_Aviation Product Uploaded in P94 20071018_Plan 22 Sept 2010_Plan 10 Nov 2010" xfId="487"/>
    <cellStyle name="_LSC_Aviation Product Uploaded in P94 20071018_Plan 22 Sept 2010_Plan 18 Octo 2010" xfId="488"/>
    <cellStyle name="_LSC_Aviation Product Uploaded in P94 20071018_Plan 22 Sept 2010_Sby &amp; Bpn" xfId="489"/>
    <cellStyle name="_LSC_Aviation Product Uploaded in P94 20071018_Plan 22 Sept 2010_Sheet1" xfId="490"/>
    <cellStyle name="_LSC_Aviation Product Uploaded in P94 20071018_Plan 22 Sept 2010_Sheet1_1" xfId="491"/>
    <cellStyle name="_LSC_Aviation Product Uploaded in P94 20071018_Plan 22 Sept 2010_Sheet1_2" xfId="492"/>
    <cellStyle name="_LSC_Aviation Product Uploaded in P94 20071018_Plan 22 Sept 2010_WGI to SBY" xfId="493"/>
    <cellStyle name="_LSC_Aviation Product Uploaded in P94 20071018_Plan 23 Sept 2010" xfId="494"/>
    <cellStyle name="_LSC_Aviation Product Uploaded in P94 20071018_Sby &amp; Bpn" xfId="495"/>
    <cellStyle name="_LSC_Aviation Product Uploaded in P94 20071018_Sheet1" xfId="496"/>
    <cellStyle name="_LSC_Aviation Product Uploaded in P94 20071018_Sheet2" xfId="497"/>
    <cellStyle name="_LSC_Aviation Product Uploaded in P94 20071018_Sheet3" xfId="498"/>
    <cellStyle name="_LSC_Aviation Product Uploaded in P94 20071018_WGI to SBY" xfId="499"/>
    <cellStyle name="_MESA Grease allocation by supplier by market 23th Feb" xfId="500"/>
    <cellStyle name="_MESA Grease allocation by supplier by market 23th Feb 2" xfId="501"/>
    <cellStyle name="_MESA Grease allocation by supplier by market 23th Feb 3" xfId="502"/>
    <cellStyle name="_MESA Grease allocation by supplier by market 23th Feb 4" xfId="503"/>
    <cellStyle name="_MESA Grease allocation by supplier by market 23th Feb 5" xfId="504"/>
    <cellStyle name="_MESA Grease allocation by supplier by market 23th Feb 6" xfId="505"/>
    <cellStyle name="_MESA Grease allocation by supplier by market 23th Feb_Booking In Inbound " xfId="506"/>
    <cellStyle name="_MESA Grease allocation by supplier by market 23th Feb_Booking In Inbound  2" xfId="507"/>
    <cellStyle name="_MESA Grease allocation by supplier by market 23th Feb_Booking In Inbound _1" xfId="508"/>
    <cellStyle name="_MESA Grease allocation by supplier by market 23th Feb_Booking In Inbound _1 2" xfId="509"/>
    <cellStyle name="_MESA Grease allocation by supplier by market 23th Feb_Data" xfId="510"/>
    <cellStyle name="_MESA Grease allocation by supplier by market 23th Feb_Data_1" xfId="511"/>
    <cellStyle name="_MESA Grease allocation by supplier by market 23th Feb_Pending" xfId="512"/>
    <cellStyle name="_MESA Grease allocation by supplier by market 23th Feb_Pending_Plan 08 Nov 2010" xfId="513"/>
    <cellStyle name="_MESA Grease allocation by supplier by market 23th Feb_Pending_Plan 10 Nov 2010" xfId="514"/>
    <cellStyle name="_MESA Grease allocation by supplier by market 23th Feb_Pending_Sby &amp; Bpn" xfId="515"/>
    <cellStyle name="_MESA Grease allocation by supplier by market 23th Feb_Pending_Sheet1" xfId="516"/>
    <cellStyle name="_MESA Grease allocation by supplier by market 23th Feb_Pending_WGI to SBY" xfId="517"/>
    <cellStyle name="_MESA Grease allocation by supplier by market 23th Feb_Plan 08 Nov 2010" xfId="518"/>
    <cellStyle name="_MESA Grease allocation by supplier by market 23th Feb_Plan 10 Nov 2010" xfId="519"/>
    <cellStyle name="_MESA Grease allocation by supplier by market 23th Feb_Plan 22 Sept 2010" xfId="520"/>
    <cellStyle name="_MESA Grease allocation by supplier by market 23th Feb_Plan 22 Sept 2010_Data" xfId="521"/>
    <cellStyle name="_MESA Grease allocation by supplier by market 23th Feb_Plan 22 Sept 2010_Plan 08 Nov 2010" xfId="522"/>
    <cellStyle name="_MESA Grease allocation by supplier by market 23th Feb_Plan 22 Sept 2010_Plan 10 Nov 2010" xfId="523"/>
    <cellStyle name="_MESA Grease allocation by supplier by market 23th Feb_Plan 22 Sept 2010_Sby &amp; Bpn" xfId="524"/>
    <cellStyle name="_MESA Grease allocation by supplier by market 23th Feb_Plan 22 Sept 2010_Sby &amp; Bpn_1" xfId="525"/>
    <cellStyle name="_MESA Grease allocation by supplier by market 23th Feb_Plan 22 Sept 2010_Sheet1" xfId="526"/>
    <cellStyle name="_MESA Grease allocation by supplier by market 23th Feb_Plan 22 Sept 2010_WGI to SBY" xfId="527"/>
    <cellStyle name="_MESA Grease allocation by supplier by market 23th Feb_Plan 23 Sept 2010" xfId="528"/>
    <cellStyle name="_MESA Grease allocation by supplier by market 23th Feb_receiving data" xfId="529"/>
    <cellStyle name="_MESA Grease allocation by supplier by market 23th Feb_receiving data 2" xfId="530"/>
    <cellStyle name="_MESA Grease allocation by supplier by market 23th Feb_receiving data 3" xfId="531"/>
    <cellStyle name="_MESA Grease allocation by supplier by market 23th Feb_receiving data 4" xfId="532"/>
    <cellStyle name="_MESA Grease allocation by supplier by market 23th Feb_receiving data 5" xfId="533"/>
    <cellStyle name="_MESA Grease allocation by supplier by market 23th Feb_receiving data 6" xfId="534"/>
    <cellStyle name="_MESA Grease allocation by supplier by market 23th Feb_Sby &amp; Bpn" xfId="535"/>
    <cellStyle name="_MESA Grease allocation by supplier by market 23th Feb_Sby &amp; Bpn_1" xfId="536"/>
    <cellStyle name="_MESA Grease allocation by supplier by market 23th Feb_Sby &amp; Bpn_Data" xfId="537"/>
    <cellStyle name="_MESA Grease allocation by supplier by market 23th Feb_Sby &amp; Bpn_Plan 08 Nov 2010" xfId="538"/>
    <cellStyle name="_MESA Grease allocation by supplier by market 23th Feb_Sby &amp; Bpn_Plan 10 Nov 2010" xfId="539"/>
    <cellStyle name="_MESA Grease allocation by supplier by market 23th Feb_Sby &amp; Bpn_Sby &amp; Bpn" xfId="540"/>
    <cellStyle name="_MESA Grease allocation by supplier by market 23th Feb_Sby &amp; Bpn_Sheet1" xfId="541"/>
    <cellStyle name="_MESA Grease allocation by supplier by market 23th Feb_Sby &amp; Bpn_WGI to SBY" xfId="542"/>
    <cellStyle name="_MESA Grease allocation by supplier by market 23th Feb_Sheet1" xfId="543"/>
    <cellStyle name="_MESA Grease allocation by supplier by market 23th Feb_Sheet2" xfId="544"/>
    <cellStyle name="_MESA Grease allocation by supplier by market 23th Feb_Sheet3" xfId="545"/>
    <cellStyle name="_MESA Grease allocation by supplier by market 23th Feb_WGI to SBY" xfId="546"/>
    <cellStyle name="_MESA Grease allocation by supplier by market 23th Feb_WGI to SBY_1" xfId="547"/>
    <cellStyle name="_MESA Grease allocation by supplier by market 23th Feb_WGI to SBY_Data" xfId="548"/>
    <cellStyle name="_MESA Grease allocation by supplier by market 23th Feb_WGI to SBY_Plan 08 Nov 2010" xfId="549"/>
    <cellStyle name="_MESA Grease allocation by supplier by market 23th Feb_WGI to SBY_Plan 10 Nov 2010" xfId="550"/>
    <cellStyle name="_MESA Grease allocation by supplier by market 23th Feb_WGI to SBY_Sby &amp; Bpn" xfId="551"/>
    <cellStyle name="_MESA Grease allocation by supplier by market 23th Feb_WGI to SBY_Sheet1" xfId="552"/>
    <cellStyle name="_MESA Grease allocation by supplier by market 23th Feb_WGI to SBY_WGI to SBY" xfId="553"/>
    <cellStyle name="_MESACAS 2006 Forecast less Greases @Feb06" xfId="554"/>
    <cellStyle name="_MESACAS 2006 Forecast less Greases @Feb06 2" xfId="555"/>
    <cellStyle name="_MESACAS 2006 Forecast less Greases @Feb06 3" xfId="556"/>
    <cellStyle name="_MESACAS 2006 Forecast less Greases @Feb06 4" xfId="557"/>
    <cellStyle name="_MESACAS 2006 Forecast less Greases @Feb06 5" xfId="558"/>
    <cellStyle name="_MESACAS 2006 Forecast less Greases @Feb06 6" xfId="559"/>
    <cellStyle name="_MESACAS 2006 Forecast less Greases @Feb06_Booking In Inbound " xfId="560"/>
    <cellStyle name="_MESACAS 2006 Forecast less Greases @Feb06_Booking In Inbound  2" xfId="561"/>
    <cellStyle name="_MESACAS 2006 Forecast less Greases @Feb06_Booking In Inbound _1" xfId="562"/>
    <cellStyle name="_MESACAS 2006 Forecast less Greases @Feb06_Booking In Inbound _1 2" xfId="563"/>
    <cellStyle name="_MESACAS 2006 Forecast less Greases @Feb06_Data" xfId="564"/>
    <cellStyle name="_MESACAS 2006 Forecast less Greases @Feb06_Data_1" xfId="565"/>
    <cellStyle name="_MESACAS 2006 Forecast less Greases @Feb06_Pending" xfId="566"/>
    <cellStyle name="_MESACAS 2006 Forecast less Greases @Feb06_Pending_Plan 08 Nov 2010" xfId="567"/>
    <cellStyle name="_MESACAS 2006 Forecast less Greases @Feb06_Pending_Plan 10 Nov 2010" xfId="568"/>
    <cellStyle name="_MESACAS 2006 Forecast less Greases @Feb06_Pending_Sby &amp; Bpn" xfId="569"/>
    <cellStyle name="_MESACAS 2006 Forecast less Greases @Feb06_Pending_Sheet1" xfId="570"/>
    <cellStyle name="_MESACAS 2006 Forecast less Greases @Feb06_Pending_WGI to SBY" xfId="571"/>
    <cellStyle name="_MESACAS 2006 Forecast less Greases @Feb06_Plan 08 Nov 2010" xfId="572"/>
    <cellStyle name="_MESACAS 2006 Forecast less Greases @Feb06_Plan 10 Nov 2010" xfId="573"/>
    <cellStyle name="_MESACAS 2006 Forecast less Greases @Feb06_Plan 22 Sept 2010" xfId="574"/>
    <cellStyle name="_MESACAS 2006 Forecast less Greases @Feb06_Plan 22 Sept 2010_Data" xfId="575"/>
    <cellStyle name="_MESACAS 2006 Forecast less Greases @Feb06_Plan 22 Sept 2010_Plan 08 Nov 2010" xfId="576"/>
    <cellStyle name="_MESACAS 2006 Forecast less Greases @Feb06_Plan 22 Sept 2010_Plan 10 Nov 2010" xfId="577"/>
    <cellStyle name="_MESACAS 2006 Forecast less Greases @Feb06_Plan 22 Sept 2010_Sby &amp; Bpn" xfId="578"/>
    <cellStyle name="_MESACAS 2006 Forecast less Greases @Feb06_Plan 22 Sept 2010_Sby &amp; Bpn_1" xfId="579"/>
    <cellStyle name="_MESACAS 2006 Forecast less Greases @Feb06_Plan 22 Sept 2010_Sheet1" xfId="580"/>
    <cellStyle name="_MESACAS 2006 Forecast less Greases @Feb06_Plan 22 Sept 2010_WGI to SBY" xfId="581"/>
    <cellStyle name="_MESACAS 2006 Forecast less Greases @Feb06_Plan 23 Sept 2010" xfId="582"/>
    <cellStyle name="_MESACAS 2006 Forecast less Greases @Feb06_receiving data" xfId="583"/>
    <cellStyle name="_MESACAS 2006 Forecast less Greases @Feb06_receiving data 2" xfId="584"/>
    <cellStyle name="_MESACAS 2006 Forecast less Greases @Feb06_receiving data 3" xfId="585"/>
    <cellStyle name="_MESACAS 2006 Forecast less Greases @Feb06_receiving data 4" xfId="586"/>
    <cellStyle name="_MESACAS 2006 Forecast less Greases @Feb06_receiving data 5" xfId="587"/>
    <cellStyle name="_MESACAS 2006 Forecast less Greases @Feb06_receiving data 6" xfId="588"/>
    <cellStyle name="_MESACAS 2006 Forecast less Greases @Feb06_Sby &amp; Bpn" xfId="589"/>
    <cellStyle name="_MESACAS 2006 Forecast less Greases @Feb06_Sby &amp; Bpn_1" xfId="590"/>
    <cellStyle name="_MESACAS 2006 Forecast less Greases @Feb06_Sby &amp; Bpn_Data" xfId="591"/>
    <cellStyle name="_MESACAS 2006 Forecast less Greases @Feb06_Sby &amp; Bpn_Plan 08 Nov 2010" xfId="592"/>
    <cellStyle name="_MESACAS 2006 Forecast less Greases @Feb06_Sby &amp; Bpn_Plan 10 Nov 2010" xfId="593"/>
    <cellStyle name="_MESACAS 2006 Forecast less Greases @Feb06_Sby &amp; Bpn_Sby &amp; Bpn" xfId="594"/>
    <cellStyle name="_MESACAS 2006 Forecast less Greases @Feb06_Sby &amp; Bpn_Sheet1" xfId="595"/>
    <cellStyle name="_MESACAS 2006 Forecast less Greases @Feb06_Sby &amp; Bpn_WGI to SBY" xfId="596"/>
    <cellStyle name="_MESACAS 2006 Forecast less Greases @Feb06_Sheet1" xfId="597"/>
    <cellStyle name="_MESACAS 2006 Forecast less Greases @Feb06_Sheet2" xfId="598"/>
    <cellStyle name="_MESACAS 2006 Forecast less Greases @Feb06_Sheet3" xfId="599"/>
    <cellStyle name="_MESACAS 2006 Forecast less Greases @Feb06_WGI to SBY" xfId="600"/>
    <cellStyle name="_MESACAS 2006 Forecast less Greases @Feb06_WGI to SBY_1" xfId="601"/>
    <cellStyle name="_MESACAS 2006 Forecast less Greases @Feb06_WGI to SBY_Data" xfId="602"/>
    <cellStyle name="_MESACAS 2006 Forecast less Greases @Feb06_WGI to SBY_Plan 08 Nov 2010" xfId="603"/>
    <cellStyle name="_MESACAS 2006 Forecast less Greases @Feb06_WGI to SBY_Plan 10 Nov 2010" xfId="604"/>
    <cellStyle name="_MESACAS 2006 Forecast less Greases @Feb06_WGI to SBY_Sby &amp; Bpn" xfId="605"/>
    <cellStyle name="_MESACAS 2006 Forecast less Greases @Feb06_WGI to SBY_Sheet1" xfId="606"/>
    <cellStyle name="_MESACAS 2006 Forecast less Greases @Feb06_WGI to SBY_WGI to SBY" xfId="607"/>
    <cellStyle name="_MESACAS 2006 Forecast less Greases @Mar06" xfId="608"/>
    <cellStyle name="_MESACAS 2006 Forecast less Greases @Mar06 2" xfId="609"/>
    <cellStyle name="_MESACAS 2006 Forecast less Greases @Mar06 3" xfId="610"/>
    <cellStyle name="_MESACAS 2006 Forecast less Greases @Mar06 4" xfId="611"/>
    <cellStyle name="_MESACAS 2006 Forecast less Greases @Mar06 5" xfId="612"/>
    <cellStyle name="_MESACAS 2006 Forecast less Greases @Mar06 6" xfId="613"/>
    <cellStyle name="_MESACAS 2006 Forecast less Greases @Mar06_Booking In Inbound " xfId="614"/>
    <cellStyle name="_MESACAS 2006 Forecast less Greases @Mar06_Booking In Inbound  2" xfId="615"/>
    <cellStyle name="_MESACAS 2006 Forecast less Greases @Mar06_Booking In Inbound _1" xfId="616"/>
    <cellStyle name="_MESACAS 2006 Forecast less Greases @Mar06_Booking In Inbound _1 2" xfId="617"/>
    <cellStyle name="_MESACAS 2006 Forecast less Greases @Mar06_Data" xfId="618"/>
    <cellStyle name="_MESACAS 2006 Forecast less Greases @Mar06_Data_1" xfId="619"/>
    <cellStyle name="_MESACAS 2006 Forecast less Greases @Mar06_Pending" xfId="620"/>
    <cellStyle name="_MESACAS 2006 Forecast less Greases @Mar06_Pending_Plan 08 Nov 2010" xfId="621"/>
    <cellStyle name="_MESACAS 2006 Forecast less Greases @Mar06_Pending_Plan 10 Nov 2010" xfId="622"/>
    <cellStyle name="_MESACAS 2006 Forecast less Greases @Mar06_Pending_Sby &amp; Bpn" xfId="623"/>
    <cellStyle name="_MESACAS 2006 Forecast less Greases @Mar06_Pending_Sheet1" xfId="624"/>
    <cellStyle name="_MESACAS 2006 Forecast less Greases @Mar06_Pending_WGI to SBY" xfId="625"/>
    <cellStyle name="_MESACAS 2006 Forecast less Greases @Mar06_Plan 08 Nov 2010" xfId="626"/>
    <cellStyle name="_MESACAS 2006 Forecast less Greases @Mar06_Plan 10 Nov 2010" xfId="627"/>
    <cellStyle name="_MESACAS 2006 Forecast less Greases @Mar06_Plan 22 Sept 2010" xfId="628"/>
    <cellStyle name="_MESACAS 2006 Forecast less Greases @Mar06_Plan 22 Sept 2010_Data" xfId="629"/>
    <cellStyle name="_MESACAS 2006 Forecast less Greases @Mar06_Plan 22 Sept 2010_Plan 08 Nov 2010" xfId="630"/>
    <cellStyle name="_MESACAS 2006 Forecast less Greases @Mar06_Plan 22 Sept 2010_Plan 10 Nov 2010" xfId="631"/>
    <cellStyle name="_MESACAS 2006 Forecast less Greases @Mar06_Plan 22 Sept 2010_Sby &amp; Bpn" xfId="632"/>
    <cellStyle name="_MESACAS 2006 Forecast less Greases @Mar06_Plan 22 Sept 2010_Sby &amp; Bpn_1" xfId="633"/>
    <cellStyle name="_MESACAS 2006 Forecast less Greases @Mar06_Plan 22 Sept 2010_Sheet1" xfId="634"/>
    <cellStyle name="_MESACAS 2006 Forecast less Greases @Mar06_Plan 22 Sept 2010_WGI to SBY" xfId="635"/>
    <cellStyle name="_MESACAS 2006 Forecast less Greases @Mar06_Plan 23 Sept 2010" xfId="636"/>
    <cellStyle name="_MESACAS 2006 Forecast less Greases @Mar06_receiving data" xfId="637"/>
    <cellStyle name="_MESACAS 2006 Forecast less Greases @Mar06_receiving data 2" xfId="638"/>
    <cellStyle name="_MESACAS 2006 Forecast less Greases @Mar06_receiving data 3" xfId="639"/>
    <cellStyle name="_MESACAS 2006 Forecast less Greases @Mar06_receiving data 4" xfId="640"/>
    <cellStyle name="_MESACAS 2006 Forecast less Greases @Mar06_receiving data 5" xfId="641"/>
    <cellStyle name="_MESACAS 2006 Forecast less Greases @Mar06_receiving data 6" xfId="642"/>
    <cellStyle name="_MESACAS 2006 Forecast less Greases @Mar06_Sby &amp; Bpn" xfId="643"/>
    <cellStyle name="_MESACAS 2006 Forecast less Greases @Mar06_Sby &amp; Bpn_1" xfId="644"/>
    <cellStyle name="_MESACAS 2006 Forecast less Greases @Mar06_Sby &amp; Bpn_Data" xfId="645"/>
    <cellStyle name="_MESACAS 2006 Forecast less Greases @Mar06_Sby &amp; Bpn_Plan 08 Nov 2010" xfId="646"/>
    <cellStyle name="_MESACAS 2006 Forecast less Greases @Mar06_Sby &amp; Bpn_Plan 10 Nov 2010" xfId="647"/>
    <cellStyle name="_MESACAS 2006 Forecast less Greases @Mar06_Sby &amp; Bpn_Sby &amp; Bpn" xfId="648"/>
    <cellStyle name="_MESACAS 2006 Forecast less Greases @Mar06_Sby &amp; Bpn_Sheet1" xfId="649"/>
    <cellStyle name="_MESACAS 2006 Forecast less Greases @Mar06_Sby &amp; Bpn_WGI to SBY" xfId="650"/>
    <cellStyle name="_MESACAS 2006 Forecast less Greases @Mar06_Sheet1" xfId="651"/>
    <cellStyle name="_MESACAS 2006 Forecast less Greases @Mar06_Sheet2" xfId="652"/>
    <cellStyle name="_MESACAS 2006 Forecast less Greases @Mar06_Sheet3" xfId="653"/>
    <cellStyle name="_MESACAS 2006 Forecast less Greases @Mar06_WGI to SBY" xfId="654"/>
    <cellStyle name="_MESACAS 2006 Forecast less Greases @Mar06_WGI to SBY_1" xfId="655"/>
    <cellStyle name="_MESACAS 2006 Forecast less Greases @Mar06_WGI to SBY_Data" xfId="656"/>
    <cellStyle name="_MESACAS 2006 Forecast less Greases @Mar06_WGI to SBY_Plan 08 Nov 2010" xfId="657"/>
    <cellStyle name="_MESACAS 2006 Forecast less Greases @Mar06_WGI to SBY_Plan 10 Nov 2010" xfId="658"/>
    <cellStyle name="_MESACAS 2006 Forecast less Greases @Mar06_WGI to SBY_Sby &amp; Bpn" xfId="659"/>
    <cellStyle name="_MESACAS 2006 Forecast less Greases @Mar06_WGI to SBY_Sheet1" xfId="660"/>
    <cellStyle name="_MESACAS 2006 Forecast less Greases @Mar06_WGI to SBY_WGI to SBY" xfId="661"/>
    <cellStyle name="_MY data Oct YTD workfile v2" xfId="662"/>
    <cellStyle name="_MY data Oct YTD workfile v2_RT_Kamadjaja" xfId="663"/>
    <cellStyle name="_MY data Oct YTD workfile v2_Worksheet in ID_RFP - bundling Warehousing and Road transport service-Clean(Pandusiwi-sub)2" xfId="664"/>
    <cellStyle name="_Network Forecast - 2006_July AF, MESA, NEA" xfId="665"/>
    <cellStyle name="_Network Forecast - 2006_July AF, MESA, NEA_Data" xfId="666"/>
    <cellStyle name="_Network Forecast - 2006_July AF, MESA, NEA_Plan 08 Nov 2010" xfId="667"/>
    <cellStyle name="_Network Forecast - 2006_July AF, MESA, NEA_Plan 10 Nov 2010" xfId="668"/>
    <cellStyle name="_Network Forecast - 2006_July AF, MESA, NEA_Sby &amp; Bpn" xfId="669"/>
    <cellStyle name="_Network Forecast - 2006_July AF, MESA, NEA_Sheet1" xfId="670"/>
    <cellStyle name="_Network Forecast - 2006_July AF, MESA, NEA_Sheet2" xfId="671"/>
    <cellStyle name="_Network Forecast - 2006_July AF, MESA, NEA_Sheet3" xfId="672"/>
    <cellStyle name="_Network Forecast - 2006_July AF, MESA, NEA_WGI to SBY" xfId="673"/>
    <cellStyle name="_Payment Terms_Export Lubes_P94 cust no" xfId="674"/>
    <cellStyle name="_Payment Terms_Export Lubes_P94 cust no_Booking In Inbound " xfId="675"/>
    <cellStyle name="_Payment Terms_Export Lubes_P94 cust no_Booking In Inbound  2" xfId="676"/>
    <cellStyle name="_Payment Terms_Export Lubes_P94 cust no_Data" xfId="677"/>
    <cellStyle name="_Payment Terms_Export Lubes_P94 cust no_Pending" xfId="678"/>
    <cellStyle name="_Payment Terms_Export Lubes_P94 cust no_Pending_Plan 08 Nov 2010" xfId="679"/>
    <cellStyle name="_Payment Terms_Export Lubes_P94 cust no_Pending_Plan 10 Nov 2010" xfId="680"/>
    <cellStyle name="_Payment Terms_Export Lubes_P94 cust no_Pending_Plan 18 Octo 2010" xfId="681"/>
    <cellStyle name="_Payment Terms_Export Lubes_P94 cust no_Pending_Sby &amp; Bpn" xfId="682"/>
    <cellStyle name="_Payment Terms_Export Lubes_P94 cust no_Pending_Sheet1" xfId="683"/>
    <cellStyle name="_Payment Terms_Export Lubes_P94 cust no_Pending_Sheet1_1" xfId="684"/>
    <cellStyle name="_Payment Terms_Export Lubes_P94 cust no_Pending_Sheet1_2" xfId="685"/>
    <cellStyle name="_Payment Terms_Export Lubes_P94 cust no_Pending_WGI to SBY" xfId="686"/>
    <cellStyle name="_Payment Terms_Export Lubes_P94 cust no_Plan 08 Nov 2010" xfId="687"/>
    <cellStyle name="_Payment Terms_Export Lubes_P94 cust no_Plan 10 Nov 2010" xfId="688"/>
    <cellStyle name="_Payment Terms_Export Lubes_P94 cust no_Plan 22 Sept 2010" xfId="689"/>
    <cellStyle name="_Payment Terms_Export Lubes_P94 cust no_Plan 22 Sept 2010_Data" xfId="690"/>
    <cellStyle name="_Payment Terms_Export Lubes_P94 cust no_Plan 22 Sept 2010_Plan 08 Nov 2010" xfId="691"/>
    <cellStyle name="_Payment Terms_Export Lubes_P94 cust no_Plan 22 Sept 2010_Plan 10 Nov 2010" xfId="692"/>
    <cellStyle name="_Payment Terms_Export Lubes_P94 cust no_Plan 22 Sept 2010_Plan 18 Octo 2010" xfId="693"/>
    <cellStyle name="_Payment Terms_Export Lubes_P94 cust no_Plan 22 Sept 2010_Sby &amp; Bpn" xfId="694"/>
    <cellStyle name="_Payment Terms_Export Lubes_P94 cust no_Plan 22 Sept 2010_Sheet1" xfId="695"/>
    <cellStyle name="_Payment Terms_Export Lubes_P94 cust no_Plan 22 Sept 2010_Sheet1_1" xfId="696"/>
    <cellStyle name="_Payment Terms_Export Lubes_P94 cust no_Plan 22 Sept 2010_Sheet1_2" xfId="697"/>
    <cellStyle name="_Payment Terms_Export Lubes_P94 cust no_Plan 22 Sept 2010_WGI to SBY" xfId="698"/>
    <cellStyle name="_Payment Terms_Export Lubes_P94 cust no_Plan 23 Sept 2010" xfId="699"/>
    <cellStyle name="_Payment Terms_Export Lubes_P94 cust no_Sby &amp; Bpn" xfId="700"/>
    <cellStyle name="_Payment Terms_Export Lubes_P94 cust no_Sheet1" xfId="701"/>
    <cellStyle name="_Payment Terms_Export Lubes_P94 cust no_Sheet2" xfId="702"/>
    <cellStyle name="_Payment Terms_Export Lubes_P94 cust no_Sheet3" xfId="703"/>
    <cellStyle name="_Payment Terms_Export Lubes_P94 cust no_WGI to SBY" xfId="704"/>
    <cellStyle name="_Product" xfId="705"/>
    <cellStyle name="_Product " xfId="706"/>
    <cellStyle name="_Product  2" xfId="707"/>
    <cellStyle name="_Product 10" xfId="708"/>
    <cellStyle name="_Product 11" xfId="709"/>
    <cellStyle name="_Product 12" xfId="710"/>
    <cellStyle name="_Product 13" xfId="711"/>
    <cellStyle name="_Product 14" xfId="712"/>
    <cellStyle name="_Product 15" xfId="713"/>
    <cellStyle name="_Product 16" xfId="714"/>
    <cellStyle name="_Product 17" xfId="715"/>
    <cellStyle name="_Product 18" xfId="716"/>
    <cellStyle name="_Product 19" xfId="717"/>
    <cellStyle name="_Product 2" xfId="718"/>
    <cellStyle name="_Product 20" xfId="719"/>
    <cellStyle name="_Product 21" xfId="720"/>
    <cellStyle name="_Product 22" xfId="721"/>
    <cellStyle name="_Product 23" xfId="722"/>
    <cellStyle name="_Product 24" xfId="723"/>
    <cellStyle name="_Product 25" xfId="724"/>
    <cellStyle name="_Product 26" xfId="725"/>
    <cellStyle name="_Product 27" xfId="726"/>
    <cellStyle name="_Product 3" xfId="727"/>
    <cellStyle name="_Product 4" xfId="728"/>
    <cellStyle name="_Product 5" xfId="729"/>
    <cellStyle name="_Product 6" xfId="730"/>
    <cellStyle name="_Product 7" xfId="731"/>
    <cellStyle name="_Product 8" xfId="732"/>
    <cellStyle name="_Product 9" xfId="733"/>
    <cellStyle name="_PT SHELL Daily Report From Schenker 07 May 2009" xfId="734"/>
    <cellStyle name="_PT SHELL Daily Report From Schenker 07 May 2009 2" xfId="735"/>
    <cellStyle name="_PT SHELL Daily Report From Schenker 07 May 2009 3" xfId="736"/>
    <cellStyle name="_PT SHELL Daily Report From Schenker 07 May 2009 4" xfId="737"/>
    <cellStyle name="_PT SHELL Daily Report From Schenker 07 May 2009 5" xfId="738"/>
    <cellStyle name="_PT SHELL Daily Report From Schenker 07 May 2009 6" xfId="739"/>
    <cellStyle name="_PT SHELL Daily Report From Schenker 07 May 2009_Data" xfId="740"/>
    <cellStyle name="_PT SHELL Daily Report From Schenker 07 May 2009_Data_1" xfId="741"/>
    <cellStyle name="_PT SHELL Daily Report From Schenker 07 May 2009_Pending" xfId="742"/>
    <cellStyle name="_PT SHELL Daily Report From Schenker 07 May 2009_Pending_Plan 08 Nov 2010" xfId="743"/>
    <cellStyle name="_PT SHELL Daily Report From Schenker 07 May 2009_Pending_Plan 10 Nov 2010" xfId="744"/>
    <cellStyle name="_PT SHELL Daily Report From Schenker 07 May 2009_Pending_Sby &amp; Bpn" xfId="745"/>
    <cellStyle name="_PT SHELL Daily Report From Schenker 07 May 2009_Pending_Sheet1" xfId="746"/>
    <cellStyle name="_PT SHELL Daily Report From Schenker 07 May 2009_Pending_WGI to SBY" xfId="747"/>
    <cellStyle name="_PT SHELL Daily Report From Schenker 07 May 2009_Plan 08 Nov 2010" xfId="748"/>
    <cellStyle name="_PT SHELL Daily Report From Schenker 07 May 2009_Plan 10 Nov 2010" xfId="749"/>
    <cellStyle name="_PT SHELL Daily Report From Schenker 07 May 2009_Plan 22 Sept 2010" xfId="750"/>
    <cellStyle name="_PT SHELL Daily Report From Schenker 07 May 2009_Plan 22 Sept 2010_Data" xfId="751"/>
    <cellStyle name="_PT SHELL Daily Report From Schenker 07 May 2009_Plan 22 Sept 2010_Plan 08 Nov 2010" xfId="752"/>
    <cellStyle name="_PT SHELL Daily Report From Schenker 07 May 2009_Plan 22 Sept 2010_Plan 10 Nov 2010" xfId="753"/>
    <cellStyle name="_PT SHELL Daily Report From Schenker 07 May 2009_Plan 22 Sept 2010_Sby &amp; Bpn" xfId="754"/>
    <cellStyle name="_PT SHELL Daily Report From Schenker 07 May 2009_Plan 22 Sept 2010_Sby &amp; Bpn_1" xfId="755"/>
    <cellStyle name="_PT SHELL Daily Report From Schenker 07 May 2009_Plan 22 Sept 2010_Sheet1" xfId="756"/>
    <cellStyle name="_PT SHELL Daily Report From Schenker 07 May 2009_Plan 22 Sept 2010_WGI to SBY" xfId="757"/>
    <cellStyle name="_PT SHELL Daily Report From Schenker 07 May 2009_Plan 23 Sept 2010" xfId="758"/>
    <cellStyle name="_PT SHELL Daily Report From Schenker 07 May 2009_Sby &amp; Bpn" xfId="759"/>
    <cellStyle name="_PT SHELL Daily Report From Schenker 07 May 2009_Sby &amp; Bpn_1" xfId="760"/>
    <cellStyle name="_PT SHELL Daily Report From Schenker 07 May 2009_Sby &amp; Bpn_Data" xfId="761"/>
    <cellStyle name="_PT SHELL Daily Report From Schenker 07 May 2009_Sby &amp; Bpn_Plan 08 Nov 2010" xfId="762"/>
    <cellStyle name="_PT SHELL Daily Report From Schenker 07 May 2009_Sby &amp; Bpn_Plan 10 Nov 2010" xfId="763"/>
    <cellStyle name="_PT SHELL Daily Report From Schenker 07 May 2009_Sby &amp; Bpn_Sby &amp; Bpn" xfId="764"/>
    <cellStyle name="_PT SHELL Daily Report From Schenker 07 May 2009_Sby &amp; Bpn_Sheet1" xfId="765"/>
    <cellStyle name="_PT SHELL Daily Report From Schenker 07 May 2009_Sby &amp; Bpn_WGI to SBY" xfId="766"/>
    <cellStyle name="_PT SHELL Daily Report From Schenker 07 May 2009_Sheet1" xfId="767"/>
    <cellStyle name="_PT SHELL Daily Report From Schenker 07 May 2009_Sheet2" xfId="768"/>
    <cellStyle name="_PT SHELL Daily Report From Schenker 07 May 2009_Sheet3" xfId="769"/>
    <cellStyle name="_PT SHELL Daily Report From Schenker 07 May 2009_WGI to SBY" xfId="770"/>
    <cellStyle name="_PT SHELL Daily Report From Schenker 07 May 2009_WGI to SBY_1" xfId="771"/>
    <cellStyle name="_PT SHELL Daily Report From Schenker 07 May 2009_WGI to SBY_Data" xfId="772"/>
    <cellStyle name="_PT SHELL Daily Report From Schenker 07 May 2009_WGI to SBY_Plan 08 Nov 2010" xfId="773"/>
    <cellStyle name="_PT SHELL Daily Report From Schenker 07 May 2009_WGI to SBY_Plan 10 Nov 2010" xfId="774"/>
    <cellStyle name="_PT SHELL Daily Report From Schenker 07 May 2009_WGI to SBY_Sby &amp; Bpn" xfId="775"/>
    <cellStyle name="_PT SHELL Daily Report From Schenker 07 May 2009_WGI to SBY_Sheet1" xfId="776"/>
    <cellStyle name="_PT SHELL Daily Report From Schenker 07 May 2009_WGI to SBY_WGI to SBY" xfId="777"/>
    <cellStyle name="_PT SHELL Daily Report From Schenker 07 May 20092" xfId="778"/>
    <cellStyle name="_PT SHELL Daily Report From Schenker 07 May 20092 2" xfId="779"/>
    <cellStyle name="_PT SHELL Daily Report From Schenker 07 May 20092 3" xfId="780"/>
    <cellStyle name="_PT SHELL Daily Report From Schenker 07 May 20092 4" xfId="781"/>
    <cellStyle name="_PT SHELL Daily Report From Schenker 07 May 20092 5" xfId="782"/>
    <cellStyle name="_PT SHELL Daily Report From Schenker 07 May 20092 6" xfId="783"/>
    <cellStyle name="_PT SHELL Daily Report From Schenker 07 May 20092_Data" xfId="784"/>
    <cellStyle name="_PT SHELL Daily Report From Schenker 07 May 20092_Data_1" xfId="785"/>
    <cellStyle name="_PT SHELL Daily Report From Schenker 07 May 20092_Pending" xfId="786"/>
    <cellStyle name="_PT SHELL Daily Report From Schenker 07 May 20092_Pending_Plan 08 Nov 2010" xfId="787"/>
    <cellStyle name="_PT SHELL Daily Report From Schenker 07 May 20092_Pending_Plan 10 Nov 2010" xfId="788"/>
    <cellStyle name="_PT SHELL Daily Report From Schenker 07 May 20092_Pending_Sby &amp; Bpn" xfId="789"/>
    <cellStyle name="_PT SHELL Daily Report From Schenker 07 May 20092_Pending_Sheet1" xfId="790"/>
    <cellStyle name="_PT SHELL Daily Report From Schenker 07 May 20092_Pending_WGI to SBY" xfId="791"/>
    <cellStyle name="_PT SHELL Daily Report From Schenker 07 May 20092_Plan 08 Nov 2010" xfId="792"/>
    <cellStyle name="_PT SHELL Daily Report From Schenker 07 May 20092_Plan 10 Nov 2010" xfId="793"/>
    <cellStyle name="_PT SHELL Daily Report From Schenker 07 May 20092_Plan 22 Sept 2010" xfId="794"/>
    <cellStyle name="_PT SHELL Daily Report From Schenker 07 May 20092_Plan 22 Sept 2010_Data" xfId="795"/>
    <cellStyle name="_PT SHELL Daily Report From Schenker 07 May 20092_Plan 22 Sept 2010_Plan 08 Nov 2010" xfId="796"/>
    <cellStyle name="_PT SHELL Daily Report From Schenker 07 May 20092_Plan 22 Sept 2010_Plan 10 Nov 2010" xfId="797"/>
    <cellStyle name="_PT SHELL Daily Report From Schenker 07 May 20092_Plan 22 Sept 2010_Sby &amp; Bpn" xfId="798"/>
    <cellStyle name="_PT SHELL Daily Report From Schenker 07 May 20092_Plan 22 Sept 2010_Sby &amp; Bpn_1" xfId="799"/>
    <cellStyle name="_PT SHELL Daily Report From Schenker 07 May 20092_Plan 22 Sept 2010_Sheet1" xfId="800"/>
    <cellStyle name="_PT SHELL Daily Report From Schenker 07 May 20092_Plan 22 Sept 2010_WGI to SBY" xfId="801"/>
    <cellStyle name="_PT SHELL Daily Report From Schenker 07 May 20092_Plan 23 Sept 2010" xfId="802"/>
    <cellStyle name="_PT SHELL Daily Report From Schenker 07 May 20092_Sby &amp; Bpn" xfId="803"/>
    <cellStyle name="_PT SHELL Daily Report From Schenker 07 May 20092_Sby &amp; Bpn_1" xfId="804"/>
    <cellStyle name="_PT SHELL Daily Report From Schenker 07 May 20092_Sby &amp; Bpn_Data" xfId="805"/>
    <cellStyle name="_PT SHELL Daily Report From Schenker 07 May 20092_Sby &amp; Bpn_Plan 08 Nov 2010" xfId="806"/>
    <cellStyle name="_PT SHELL Daily Report From Schenker 07 May 20092_Sby &amp; Bpn_Plan 10 Nov 2010" xfId="807"/>
    <cellStyle name="_PT SHELL Daily Report From Schenker 07 May 20092_Sby &amp; Bpn_Sby &amp; Bpn" xfId="808"/>
    <cellStyle name="_PT SHELL Daily Report From Schenker 07 May 20092_Sby &amp; Bpn_Sheet1" xfId="809"/>
    <cellStyle name="_PT SHELL Daily Report From Schenker 07 May 20092_Sby &amp; Bpn_WGI to SBY" xfId="810"/>
    <cellStyle name="_PT SHELL Daily Report From Schenker 07 May 20092_Sheet1" xfId="811"/>
    <cellStyle name="_PT SHELL Daily Report From Schenker 07 May 20092_Sheet2" xfId="812"/>
    <cellStyle name="_PT SHELL Daily Report From Schenker 07 May 20092_Sheet3" xfId="813"/>
    <cellStyle name="_PT SHELL Daily Report From Schenker 07 May 20092_WGI to SBY" xfId="814"/>
    <cellStyle name="_PT SHELL Daily Report From Schenker 07 May 20092_WGI to SBY_1" xfId="815"/>
    <cellStyle name="_PT SHELL Daily Report From Schenker 07 May 20092_WGI to SBY_Data" xfId="816"/>
    <cellStyle name="_PT SHELL Daily Report From Schenker 07 May 20092_WGI to SBY_Plan 08 Nov 2010" xfId="817"/>
    <cellStyle name="_PT SHELL Daily Report From Schenker 07 May 20092_WGI to SBY_Plan 10 Nov 2010" xfId="818"/>
    <cellStyle name="_PT SHELL Daily Report From Schenker 07 May 20092_WGI to SBY_Sby &amp; Bpn" xfId="819"/>
    <cellStyle name="_PT SHELL Daily Report From Schenker 07 May 20092_WGI to SBY_Sheet1" xfId="820"/>
    <cellStyle name="_PT SHELL Daily Report From Schenker 07 May 20092_WGI to SBY_WGI to SBY" xfId="821"/>
    <cellStyle name="_Rekap Trans-Sarpen Dec 2007" xfId="822"/>
    <cellStyle name="_Rekap Trans-Sarpen Sep 2007" xfId="823"/>
    <cellStyle name="_Road Transport volume and Spent" xfId="824"/>
    <cellStyle name="_Sales_Whole_Year.xls Chart 1" xfId="825"/>
    <cellStyle name="_Sales_Whole_Year.xls Chart 1-1" xfId="826"/>
    <cellStyle name="_Sales_Whole_Year.xls Chart 2" xfId="827"/>
    <cellStyle name="_Sales_Whole_Year.xls Chart 2-1" xfId="828"/>
    <cellStyle name="_Sales_Year" xfId="829"/>
    <cellStyle name="_SE Log" xfId="830"/>
    <cellStyle name="_SE Log_Booking In Inbound " xfId="831"/>
    <cellStyle name="_SE Log_Booking In Inbound  2" xfId="832"/>
    <cellStyle name="_SE Log_Data" xfId="833"/>
    <cellStyle name="_SE Log_Pending" xfId="834"/>
    <cellStyle name="_SE Log_Pending_Plan 08 Nov 2010" xfId="835"/>
    <cellStyle name="_SE Log_Pending_Plan 10 Nov 2010" xfId="836"/>
    <cellStyle name="_SE Log_Pending_Plan 18 Octo 2010" xfId="837"/>
    <cellStyle name="_SE Log_Pending_Sby &amp; Bpn" xfId="838"/>
    <cellStyle name="_SE Log_Pending_Sheet1" xfId="839"/>
    <cellStyle name="_SE Log_Pending_Sheet1_1" xfId="840"/>
    <cellStyle name="_SE Log_Pending_Sheet1_2" xfId="841"/>
    <cellStyle name="_SE Log_Pending_WGI to SBY" xfId="842"/>
    <cellStyle name="_SE Log_Plan 08 Nov 2010" xfId="843"/>
    <cellStyle name="_SE Log_Plan 10 Nov 2010" xfId="844"/>
    <cellStyle name="_SE Log_Plan 22 Sept 2010" xfId="845"/>
    <cellStyle name="_SE Log_Plan 22 Sept 2010_Data" xfId="846"/>
    <cellStyle name="_SE Log_Plan 22 Sept 2010_Plan 08 Nov 2010" xfId="847"/>
    <cellStyle name="_SE Log_Plan 22 Sept 2010_Plan 10 Nov 2010" xfId="848"/>
    <cellStyle name="_SE Log_Plan 22 Sept 2010_Plan 18 Octo 2010" xfId="849"/>
    <cellStyle name="_SE Log_Plan 22 Sept 2010_Sby &amp; Bpn" xfId="850"/>
    <cellStyle name="_SE Log_Plan 22 Sept 2010_Sheet1" xfId="851"/>
    <cellStyle name="_SE Log_Plan 22 Sept 2010_Sheet1_1" xfId="852"/>
    <cellStyle name="_SE Log_Plan 22 Sept 2010_Sheet1_2" xfId="853"/>
    <cellStyle name="_SE Log_Plan 22 Sept 2010_WGI to SBY" xfId="854"/>
    <cellStyle name="_SE Log_Plan 23 Sept 2010" xfId="855"/>
    <cellStyle name="_SE Log_Sby &amp; Bpn" xfId="856"/>
    <cellStyle name="_SE Log_Sheet1" xfId="857"/>
    <cellStyle name="_SE Log_Sheet2" xfId="858"/>
    <cellStyle name="_SE Log_Sheet3" xfId="859"/>
    <cellStyle name="_SE Log_WGI to SBY" xfId="860"/>
    <cellStyle name="_SETL- Imported Small Packs Price List Aug 06" xfId="861"/>
    <cellStyle name="_SETL- Imported Small Packs Price List Aug 06 2" xfId="862"/>
    <cellStyle name="_SETL- Imported Small Packs Price List Aug 06 3" xfId="863"/>
    <cellStyle name="_SETL- Imported Small Packs Price List Aug 06 4" xfId="864"/>
    <cellStyle name="_SETL- Imported Small Packs Price List Aug 06 5" xfId="865"/>
    <cellStyle name="_SETL- Imported Small Packs Price List Aug 06 6" xfId="866"/>
    <cellStyle name="_SETL- Imported Small Packs Price List Aug 06_Booking In Inbound " xfId="867"/>
    <cellStyle name="_SETL- Imported Small Packs Price List Aug 06_Booking In Inbound  2" xfId="868"/>
    <cellStyle name="_SETL- Imported Small Packs Price List Aug 06_Booking In Inbound _1" xfId="869"/>
    <cellStyle name="_SETL- Imported Small Packs Price List Aug 06_Booking In Inbound _1 2" xfId="870"/>
    <cellStyle name="_SETL- Imported Small Packs Price List Aug 06_Data" xfId="871"/>
    <cellStyle name="_SETL- Imported Small Packs Price List Aug 06_Data_1" xfId="872"/>
    <cellStyle name="_SETL- Imported Small Packs Price List Aug 06_Pending" xfId="873"/>
    <cellStyle name="_SETL- Imported Small Packs Price List Aug 06_Pending_Plan 08 Nov 2010" xfId="874"/>
    <cellStyle name="_SETL- Imported Small Packs Price List Aug 06_Pending_Plan 10 Nov 2010" xfId="875"/>
    <cellStyle name="_SETL- Imported Small Packs Price List Aug 06_Pending_Sby &amp; Bpn" xfId="876"/>
    <cellStyle name="_SETL- Imported Small Packs Price List Aug 06_Pending_Sheet1" xfId="877"/>
    <cellStyle name="_SETL- Imported Small Packs Price List Aug 06_Pending_WGI to SBY" xfId="878"/>
    <cellStyle name="_SETL- Imported Small Packs Price List Aug 06_Plan 08 Nov 2010" xfId="879"/>
    <cellStyle name="_SETL- Imported Small Packs Price List Aug 06_Plan 10 Nov 2010" xfId="880"/>
    <cellStyle name="_SETL- Imported Small Packs Price List Aug 06_Plan 22 Sept 2010" xfId="881"/>
    <cellStyle name="_SETL- Imported Small Packs Price List Aug 06_Plan 22 Sept 2010_Data" xfId="882"/>
    <cellStyle name="_SETL- Imported Small Packs Price List Aug 06_Plan 22 Sept 2010_Plan 08 Nov 2010" xfId="883"/>
    <cellStyle name="_SETL- Imported Small Packs Price List Aug 06_Plan 22 Sept 2010_Plan 10 Nov 2010" xfId="884"/>
    <cellStyle name="_SETL- Imported Small Packs Price List Aug 06_Plan 22 Sept 2010_Sby &amp; Bpn" xfId="885"/>
    <cellStyle name="_SETL- Imported Small Packs Price List Aug 06_Plan 22 Sept 2010_Sby &amp; Bpn_1" xfId="886"/>
    <cellStyle name="_SETL- Imported Small Packs Price List Aug 06_Plan 22 Sept 2010_Sheet1" xfId="887"/>
    <cellStyle name="_SETL- Imported Small Packs Price List Aug 06_Plan 22 Sept 2010_WGI to SBY" xfId="888"/>
    <cellStyle name="_SETL- Imported Small Packs Price List Aug 06_Plan 23 Sept 2010" xfId="889"/>
    <cellStyle name="_SETL- Imported Small Packs Price List Aug 06_receiving data" xfId="890"/>
    <cellStyle name="_SETL- Imported Small Packs Price List Aug 06_receiving data 2" xfId="891"/>
    <cellStyle name="_SETL- Imported Small Packs Price List Aug 06_receiving data 3" xfId="892"/>
    <cellStyle name="_SETL- Imported Small Packs Price List Aug 06_receiving data 4" xfId="893"/>
    <cellStyle name="_SETL- Imported Small Packs Price List Aug 06_receiving data 5" xfId="894"/>
    <cellStyle name="_SETL- Imported Small Packs Price List Aug 06_receiving data 6" xfId="895"/>
    <cellStyle name="_SETL- Imported Small Packs Price List Aug 06_Sby &amp; Bpn" xfId="896"/>
    <cellStyle name="_SETL- Imported Small Packs Price List Aug 06_Sby &amp; Bpn_1" xfId="897"/>
    <cellStyle name="_SETL- Imported Small Packs Price List Aug 06_Sby &amp; Bpn_Data" xfId="898"/>
    <cellStyle name="_SETL- Imported Small Packs Price List Aug 06_Sby &amp; Bpn_Plan 08 Nov 2010" xfId="899"/>
    <cellStyle name="_SETL- Imported Small Packs Price List Aug 06_Sby &amp; Bpn_Plan 10 Nov 2010" xfId="900"/>
    <cellStyle name="_SETL- Imported Small Packs Price List Aug 06_Sby &amp; Bpn_Sby &amp; Bpn" xfId="901"/>
    <cellStyle name="_SETL- Imported Small Packs Price List Aug 06_Sby &amp; Bpn_Sheet1" xfId="902"/>
    <cellStyle name="_SETL- Imported Small Packs Price List Aug 06_Sby &amp; Bpn_WGI to SBY" xfId="903"/>
    <cellStyle name="_SETL- Imported Small Packs Price List Aug 06_Sheet1" xfId="904"/>
    <cellStyle name="_SETL- Imported Small Packs Price List Aug 06_Sheet2" xfId="905"/>
    <cellStyle name="_SETL- Imported Small Packs Price List Aug 06_Sheet3" xfId="906"/>
    <cellStyle name="_SETL- Imported Small Packs Price List Aug 06_WGI to SBY" xfId="907"/>
    <cellStyle name="_SETL- Imported Small Packs Price List Aug 06_WGI to SBY_1" xfId="908"/>
    <cellStyle name="_SETL- Imported Small Packs Price List Aug 06_WGI to SBY_Data" xfId="909"/>
    <cellStyle name="_SETL- Imported Small Packs Price List Aug 06_WGI to SBY_Plan 08 Nov 2010" xfId="910"/>
    <cellStyle name="_SETL- Imported Small Packs Price List Aug 06_WGI to SBY_Plan 10 Nov 2010" xfId="911"/>
    <cellStyle name="_SETL- Imported Small Packs Price List Aug 06_WGI to SBY_Sby &amp; Bpn" xfId="912"/>
    <cellStyle name="_SETL- Imported Small Packs Price List Aug 06_WGI to SBY_Sheet1" xfId="913"/>
    <cellStyle name="_SETL- Imported Small Packs Price List Aug 06_WGI to SBY_WGI to SBY" xfId="914"/>
    <cellStyle name="_SETL-Local Products Price List Aug 06" xfId="915"/>
    <cellStyle name="_SETL-Local Products Price List Aug 06 2" xfId="916"/>
    <cellStyle name="_SETL-Local Products Price List Aug 06 3" xfId="917"/>
    <cellStyle name="_SETL-Local Products Price List Aug 06 4" xfId="918"/>
    <cellStyle name="_SETL-Local Products Price List Aug 06 5" xfId="919"/>
    <cellStyle name="_SETL-Local Products Price List Aug 06 6" xfId="920"/>
    <cellStyle name="_SETL-Local Products Price List Aug 06_Booking In Inbound " xfId="921"/>
    <cellStyle name="_SETL-Local Products Price List Aug 06_Booking In Inbound  2" xfId="922"/>
    <cellStyle name="_SETL-Local Products Price List Aug 06_Booking In Inbound _1" xfId="923"/>
    <cellStyle name="_SETL-Local Products Price List Aug 06_Booking In Inbound _1 2" xfId="924"/>
    <cellStyle name="_SETL-Local Products Price List Aug 06_Data" xfId="925"/>
    <cellStyle name="_SETL-Local Products Price List Aug 06_Data_1" xfId="926"/>
    <cellStyle name="_SETL-Local Products Price List Aug 06_Pending" xfId="927"/>
    <cellStyle name="_SETL-Local Products Price List Aug 06_Pending_Plan 08 Nov 2010" xfId="928"/>
    <cellStyle name="_SETL-Local Products Price List Aug 06_Pending_Plan 10 Nov 2010" xfId="929"/>
    <cellStyle name="_SETL-Local Products Price List Aug 06_Pending_Sby &amp; Bpn" xfId="930"/>
    <cellStyle name="_SETL-Local Products Price List Aug 06_Pending_Sheet1" xfId="931"/>
    <cellStyle name="_SETL-Local Products Price List Aug 06_Pending_WGI to SBY" xfId="932"/>
    <cellStyle name="_SETL-Local Products Price List Aug 06_Plan 08 Nov 2010" xfId="933"/>
    <cellStyle name="_SETL-Local Products Price List Aug 06_Plan 10 Nov 2010" xfId="934"/>
    <cellStyle name="_SETL-Local Products Price List Aug 06_Plan 22 Sept 2010" xfId="935"/>
    <cellStyle name="_SETL-Local Products Price List Aug 06_Plan 22 Sept 2010_Data" xfId="936"/>
    <cellStyle name="_SETL-Local Products Price List Aug 06_Plan 22 Sept 2010_Plan 08 Nov 2010" xfId="937"/>
    <cellStyle name="_SETL-Local Products Price List Aug 06_Plan 22 Sept 2010_Plan 10 Nov 2010" xfId="938"/>
    <cellStyle name="_SETL-Local Products Price List Aug 06_Plan 22 Sept 2010_Sby &amp; Bpn" xfId="939"/>
    <cellStyle name="_SETL-Local Products Price List Aug 06_Plan 22 Sept 2010_Sby &amp; Bpn_1" xfId="940"/>
    <cellStyle name="_SETL-Local Products Price List Aug 06_Plan 22 Sept 2010_Sheet1" xfId="941"/>
    <cellStyle name="_SETL-Local Products Price List Aug 06_Plan 22 Sept 2010_WGI to SBY" xfId="942"/>
    <cellStyle name="_SETL-Local Products Price List Aug 06_Plan 23 Sept 2010" xfId="943"/>
    <cellStyle name="_SETL-Local Products Price List Aug 06_receiving data" xfId="944"/>
    <cellStyle name="_SETL-Local Products Price List Aug 06_receiving data 2" xfId="945"/>
    <cellStyle name="_SETL-Local Products Price List Aug 06_receiving data 3" xfId="946"/>
    <cellStyle name="_SETL-Local Products Price List Aug 06_receiving data 4" xfId="947"/>
    <cellStyle name="_SETL-Local Products Price List Aug 06_receiving data 5" xfId="948"/>
    <cellStyle name="_SETL-Local Products Price List Aug 06_receiving data 6" xfId="949"/>
    <cellStyle name="_SETL-Local Products Price List Aug 06_Sby &amp; Bpn" xfId="950"/>
    <cellStyle name="_SETL-Local Products Price List Aug 06_Sby &amp; Bpn_1" xfId="951"/>
    <cellStyle name="_SETL-Local Products Price List Aug 06_Sby &amp; Bpn_Data" xfId="952"/>
    <cellStyle name="_SETL-Local Products Price List Aug 06_Sby &amp; Bpn_Plan 08 Nov 2010" xfId="953"/>
    <cellStyle name="_SETL-Local Products Price List Aug 06_Sby &amp; Bpn_Plan 10 Nov 2010" xfId="954"/>
    <cellStyle name="_SETL-Local Products Price List Aug 06_Sby &amp; Bpn_Sby &amp; Bpn" xfId="955"/>
    <cellStyle name="_SETL-Local Products Price List Aug 06_Sby &amp; Bpn_Sheet1" xfId="956"/>
    <cellStyle name="_SETL-Local Products Price List Aug 06_Sby &amp; Bpn_WGI to SBY" xfId="957"/>
    <cellStyle name="_SETL-Local Products Price List Aug 06_Sheet1" xfId="958"/>
    <cellStyle name="_SETL-Local Products Price List Aug 06_Sheet2" xfId="959"/>
    <cellStyle name="_SETL-Local Products Price List Aug 06_Sheet3" xfId="960"/>
    <cellStyle name="_SETL-Local Products Price List Aug 06_WGI to SBY" xfId="961"/>
    <cellStyle name="_SETL-Local Products Price List Aug 06_WGI to SBY_1" xfId="962"/>
    <cellStyle name="_SETL-Local Products Price List Aug 06_WGI to SBY_Data" xfId="963"/>
    <cellStyle name="_SETL-Local Products Price List Aug 06_WGI to SBY_Plan 08 Nov 2010" xfId="964"/>
    <cellStyle name="_SETL-Local Products Price List Aug 06_WGI to SBY_Plan 10 Nov 2010" xfId="965"/>
    <cellStyle name="_SETL-Local Products Price List Aug 06_WGI to SBY_Sby &amp; Bpn" xfId="966"/>
    <cellStyle name="_SETL-Local Products Price List Aug 06_WGI to SBY_Sheet1" xfId="967"/>
    <cellStyle name="_SETL-Local Products Price List Aug 06_WGI to SBY_WGI to SBY" xfId="968"/>
    <cellStyle name="_Sheet1" xfId="58353"/>
    <cellStyle name="_Summary  Back Order  Stock  (4 May 2009)1" xfId="969"/>
    <cellStyle name="_Summary  Back Order  Stock  (4 May 2009)1 2" xfId="970"/>
    <cellStyle name="_Summary  Back Order  Stock  (4 May 2009)1 3" xfId="971"/>
    <cellStyle name="_Summary  Back Order  Stock  (4 May 2009)1 4" xfId="972"/>
    <cellStyle name="_Summary  Back Order  Stock  (4 May 2009)1 5" xfId="973"/>
    <cellStyle name="_Summary  Back Order  Stock  (4 May 2009)1 6" xfId="974"/>
    <cellStyle name="_Summary  Back Order  Stock  (4 May 2009)1_Data" xfId="975"/>
    <cellStyle name="_Summary  Back Order  Stock  (4 May 2009)1_Data_1" xfId="976"/>
    <cellStyle name="_Summary  Back Order  Stock  (4 May 2009)1_Pending" xfId="977"/>
    <cellStyle name="_Summary  Back Order  Stock  (4 May 2009)1_Pending_Plan 08 Nov 2010" xfId="978"/>
    <cellStyle name="_Summary  Back Order  Stock  (4 May 2009)1_Pending_Plan 10 Nov 2010" xfId="979"/>
    <cellStyle name="_Summary  Back Order  Stock  (4 May 2009)1_Pending_Sby &amp; Bpn" xfId="980"/>
    <cellStyle name="_Summary  Back Order  Stock  (4 May 2009)1_Pending_Sheet1" xfId="981"/>
    <cellStyle name="_Summary  Back Order  Stock  (4 May 2009)1_Pending_WGI to SBY" xfId="982"/>
    <cellStyle name="_Summary  Back Order  Stock  (4 May 2009)1_Plan 08 Nov 2010" xfId="983"/>
    <cellStyle name="_Summary  Back Order  Stock  (4 May 2009)1_Plan 10 Nov 2010" xfId="984"/>
    <cellStyle name="_Summary  Back Order  Stock  (4 May 2009)1_Plan 22 Sept 2010" xfId="985"/>
    <cellStyle name="_Summary  Back Order  Stock  (4 May 2009)1_Plan 22 Sept 2010_Data" xfId="986"/>
    <cellStyle name="_Summary  Back Order  Stock  (4 May 2009)1_Plan 22 Sept 2010_Plan 08 Nov 2010" xfId="987"/>
    <cellStyle name="_Summary  Back Order  Stock  (4 May 2009)1_Plan 22 Sept 2010_Plan 10 Nov 2010" xfId="988"/>
    <cellStyle name="_Summary  Back Order  Stock  (4 May 2009)1_Plan 22 Sept 2010_Sby &amp; Bpn" xfId="989"/>
    <cellStyle name="_Summary  Back Order  Stock  (4 May 2009)1_Plan 22 Sept 2010_Sby &amp; Bpn_1" xfId="990"/>
    <cellStyle name="_Summary  Back Order  Stock  (4 May 2009)1_Plan 22 Sept 2010_Sheet1" xfId="991"/>
    <cellStyle name="_Summary  Back Order  Stock  (4 May 2009)1_Plan 22 Sept 2010_WGI to SBY" xfId="992"/>
    <cellStyle name="_Summary  Back Order  Stock  (4 May 2009)1_Plan 23 Sept 2010" xfId="993"/>
    <cellStyle name="_Summary  Back Order  Stock  (4 May 2009)1_Sby &amp; Bpn" xfId="994"/>
    <cellStyle name="_Summary  Back Order  Stock  (4 May 2009)1_Sby &amp; Bpn_1" xfId="995"/>
    <cellStyle name="_Summary  Back Order  Stock  (4 May 2009)1_Sby &amp; Bpn_Data" xfId="996"/>
    <cellStyle name="_Summary  Back Order  Stock  (4 May 2009)1_Sby &amp; Bpn_Plan 08 Nov 2010" xfId="997"/>
    <cellStyle name="_Summary  Back Order  Stock  (4 May 2009)1_Sby &amp; Bpn_Plan 10 Nov 2010" xfId="998"/>
    <cellStyle name="_Summary  Back Order  Stock  (4 May 2009)1_Sby &amp; Bpn_Sby &amp; Bpn" xfId="999"/>
    <cellStyle name="_Summary  Back Order  Stock  (4 May 2009)1_Sby &amp; Bpn_Sheet1" xfId="1000"/>
    <cellStyle name="_Summary  Back Order  Stock  (4 May 2009)1_Sby &amp; Bpn_WGI to SBY" xfId="1001"/>
    <cellStyle name="_Summary  Back Order  Stock  (4 May 2009)1_Sheet1" xfId="1002"/>
    <cellStyle name="_Summary  Back Order  Stock  (4 May 2009)1_Sheet2" xfId="1003"/>
    <cellStyle name="_Summary  Back Order  Stock  (4 May 2009)1_Sheet3" xfId="1004"/>
    <cellStyle name="_Summary  Back Order  Stock  (4 May 2009)1_WGI to SBY" xfId="1005"/>
    <cellStyle name="_Summary  Back Order  Stock  (4 May 2009)1_WGI to SBY_1" xfId="1006"/>
    <cellStyle name="_Summary  Back Order  Stock  (4 May 2009)1_WGI to SBY_Data" xfId="1007"/>
    <cellStyle name="_Summary  Back Order  Stock  (4 May 2009)1_WGI to SBY_Plan 08 Nov 2010" xfId="1008"/>
    <cellStyle name="_Summary  Back Order  Stock  (4 May 2009)1_WGI to SBY_Plan 10 Nov 2010" xfId="1009"/>
    <cellStyle name="_Summary  Back Order  Stock  (4 May 2009)1_WGI to SBY_Sby &amp; Bpn" xfId="1010"/>
    <cellStyle name="_Summary  Back Order  Stock  (4 May 2009)1_WGI to SBY_Sheet1" xfId="1011"/>
    <cellStyle name="_Summary  Back Order  Stock  (4 May 2009)1_WGI to SBY_WGI to SBY" xfId="1012"/>
    <cellStyle name="_TPL DEC06" xfId="1013"/>
    <cellStyle name="_TPL DEC06 2" xfId="1014"/>
    <cellStyle name="_Unilever Cost_Beijing_0817_Reconciliation v4 26 Oct" xfId="1015"/>
    <cellStyle name="_Update Data Truck Puninar 2013_Rev" xfId="1016"/>
    <cellStyle name="_Update Data Truck Puninar 2013_Rev 2" xfId="1017"/>
    <cellStyle name="_US" xfId="58354"/>
    <cellStyle name="_Who is Who 2008-05-071" xfId="1018"/>
    <cellStyle name="_Who is Who 2008-05-071_Data" xfId="1019"/>
    <cellStyle name="_Who is Who 2008-05-071_Plan 08 Nov 2010" xfId="1020"/>
    <cellStyle name="_Who is Who 2008-05-071_Plan 10 Nov 2010" xfId="1021"/>
    <cellStyle name="_Who is Who 2008-05-071_Sby &amp; Bpn" xfId="1022"/>
    <cellStyle name="_Who is Who 2008-05-071_Sheet1" xfId="1023"/>
    <cellStyle name="_Who is Who 2008-05-071_Sheet2" xfId="1024"/>
    <cellStyle name="_Who is Who 2008-05-071_Sheet3" xfId="1025"/>
    <cellStyle name="_Who is Who 2008-05-071_WGI to SBY" xfId="1026"/>
    <cellStyle name="_Worksheet in C: Documents and Settings Dewi.Aviany Local Settings Temp GCB10003 Indonesia logistics and warehousing service Final Strategy" xfId="1027"/>
    <cellStyle name="’Ê‰Ý [0.00]_TMCA Spreadsheet(body)" xfId="1028"/>
    <cellStyle name="’Ê‰Ý_TMCA Spreadsheet(body)" xfId="1029"/>
    <cellStyle name="=C:\WINDOWS\SYSTEM32\COMMAND.COM" xfId="1030"/>
    <cellStyle name="‡" xfId="1031"/>
    <cellStyle name="‡ 2" xfId="57468"/>
    <cellStyle name="‡_Analisa Investasi Card Micropayment(AFA)" xfId="1032"/>
    <cellStyle name="‡_BOOK1" xfId="1033"/>
    <cellStyle name="‡_Business Case JakCard_v08" xfId="1034"/>
    <cellStyle name="‡_Capital Lease Disclosure Telkomsel" xfId="1035"/>
    <cellStyle name="‡_Catatan atas laporan keuangan SGU FINNET (2)" xfId="1036"/>
    <cellStyle name="‡_F-10-1" xfId="1037"/>
    <cellStyle name="‡_Hauiing Production Period II March 08" xfId="1038"/>
    <cellStyle name="‡_Hauling Production Period I Feb 08" xfId="1039"/>
    <cellStyle name="‡_Hauling Production Period I Mach 08" xfId="1040"/>
    <cellStyle name="‡_Hauling Production Period II Feb 08" xfId="1041"/>
    <cellStyle name="‡_KKP 2008-06 7001 Stlh Rekon 1" xfId="1042"/>
    <cellStyle name="‡_P_31 Dec 2008_CO_ Accrued Liabilities &amp; Deferred Income" xfId="1043"/>
    <cellStyle name="‡_Production Hauling May 2008 Periode I ( Per Hauler )" xfId="1044"/>
    <cellStyle name="‡_Proposal Progress Tracking" xfId="1045"/>
    <cellStyle name="‡_STA-DRP" xfId="1046"/>
    <cellStyle name="‡_STA-DRP 2" xfId="57469"/>
    <cellStyle name="‡_STA-DRP_Analisa Investasi Card Micropayment(AFA)" xfId="1047"/>
    <cellStyle name="‡_STA-DRP_BOOK1" xfId="1048"/>
    <cellStyle name="‡_STA-DRP_Business Case JakCard_v08" xfId="1049"/>
    <cellStyle name="‡_STA-DRP_Capital Lease Disclosure Telkomsel" xfId="1050"/>
    <cellStyle name="‡_STA-DRP_Catatan atas laporan keuangan SGU FINNET (2)" xfId="1051"/>
    <cellStyle name="‡_STA-DRP_F-10-1" xfId="1052"/>
    <cellStyle name="‡_STA-DRP_Hauiing Production Period II March 08" xfId="1053"/>
    <cellStyle name="‡_STA-DRP_Hauling Production Period I Feb 08" xfId="1054"/>
    <cellStyle name="‡_STA-DRP_Hauling Production Period I Mach 08" xfId="1055"/>
    <cellStyle name="‡_STA-DRP_Hauling Production Period II Feb 08" xfId="1056"/>
    <cellStyle name="‡_STA-DRP_KKP 2008-06 7001 Stlh Rekon 1" xfId="1057"/>
    <cellStyle name="‡_STA-DRP_Production Hauling May 2008 Periode I ( Per Hauler )" xfId="1058"/>
    <cellStyle name="‡_STA-DRP_Proposal Progress Tracking" xfId="1059"/>
    <cellStyle name="‡_STA-DRP_Tgk-Per30Jun00(MSISDN)" xfId="1060"/>
    <cellStyle name="‡_STA-DRP_Tgk-Per30Jun00(MSISDN)_Book1" xfId="1061"/>
    <cellStyle name="‡_STA-DRP_Tgk-Per30Jun00(MSISDN)_F-10-1" xfId="1062"/>
    <cellStyle name="‡_STA-DRP_Tgk-Per30Jun00(MSISDN)_F-10-1_Book1" xfId="1063"/>
    <cellStyle name="‡_STA-DRP_Tgk-Per30Jun00(MSISDN)_F-10-1_Worksheet ACM konsol 2008_Final number-Update 16 March'09" xfId="1064"/>
    <cellStyle name="‡_STA-DRP_Tgk-Per30Jun00(MSISDN)_Worksheet ACM konsol 2008_Final number-Update 16 March'09" xfId="1065"/>
    <cellStyle name="‡_Tgk-Per30Jun00(MSISDN)" xfId="1066"/>
    <cellStyle name="‡_Tgk-Per30Jun00(MSISDN)_Book1" xfId="1067"/>
    <cellStyle name="‡_Tgk-Per30Jun00(MSISDN)_F-10-1" xfId="1068"/>
    <cellStyle name="‡_Tgk-Per30Jun00(MSISDN)_F-10-1_Book1" xfId="1069"/>
    <cellStyle name="‡_Tgk-Per30Jun00(MSISDN)_F-10-1_Worksheet ACM konsol 2008_Final number-Update 16 March'09" xfId="1070"/>
    <cellStyle name="‡_Tgk-Per30Jun00(MSISDN)_Worksheet ACM konsol 2008_Final number-Update 16 March'09" xfId="1071"/>
    <cellStyle name="•W_d620mg" xfId="1072"/>
    <cellStyle name="æØè [0.00]_PERSONAL" xfId="1073"/>
    <cellStyle name="æØè_PERSONAL" xfId="1074"/>
    <cellStyle name="ÊÝ [0.00]_PERSONAL" xfId="1075"/>
    <cellStyle name="ÊÝ_PERSONAL" xfId="1076"/>
    <cellStyle name="W_PERSONAL" xfId="1077"/>
    <cellStyle name="0" xfId="1078"/>
    <cellStyle name="0,0_x000d__x000a_NA_x000d__x000a_" xfId="1079"/>
    <cellStyle name="0,0_x000d__x000a_NA_x000d__x000a_ 2" xfId="1080"/>
    <cellStyle name="0,0_x000d__x000a_NA_x000d__x000a_ 2 2" xfId="1081"/>
    <cellStyle name="0,0_x000d__x000a_NA_x000d__x000a_ 3" xfId="1082"/>
    <cellStyle name="0,0_x000d__x000a_NA_x000d__x000a_ 3 2" xfId="1083"/>
    <cellStyle name="0,0_x000d__x000a_NA_x000d__x000a_ 4" xfId="1084"/>
    <cellStyle name="0,0_x000d__x000a_NA_x000d__x000a_ 5" xfId="1085"/>
    <cellStyle name="0,0_x000d__x000a_NA_x000d__x000a__FI-BS-SPGL-Cust(SECDEP DRIVER)" xfId="1086"/>
    <cellStyle name="0_!!!GO" xfId="1087"/>
    <cellStyle name="0_!!!GO_FS-Coal Transport (Sumatera) #2" xfId="1088"/>
    <cellStyle name="0_ADK labor" xfId="1089"/>
    <cellStyle name="0_ADK labor_PJ JO Direct PL " xfId="1090"/>
    <cellStyle name="0_ADK labor_PJ JO Direct PL _FS-Coal Transport (Sumatera) #2" xfId="1091"/>
    <cellStyle name="0_Calc for JO" xfId="1092"/>
    <cellStyle name="0_Calc for JO_FS-Coal Transport (Sumatera) #2" xfId="1093"/>
    <cellStyle name="0_PJ JO Direct PL " xfId="1094"/>
    <cellStyle name="0_PJ JO Direct PL _FS-Coal Transport (Sumatera) #2" xfId="1095"/>
    <cellStyle name="0_Rev ADK Labor" xfId="1096"/>
    <cellStyle name="0_Rev ADK Labor_FS-Coal Transport (Sumatera) #2" xfId="1097"/>
    <cellStyle name="0_SGV" xfId="1098"/>
    <cellStyle name="0_SGV_FS-Coal Transport (Sumatera) #2" xfId="1099"/>
    <cellStyle name="0_Tariff for JO" xfId="1100"/>
    <cellStyle name="0_Tariff for JO_PJ JO Direct PL " xfId="1101"/>
    <cellStyle name="0_Tariff for JO_PJ JO Direct PL _FS-Coal Transport (Sumatera) #2" xfId="1102"/>
    <cellStyle name="1" xfId="58355"/>
    <cellStyle name="1 000 Kc_laroux" xfId="1103"/>
    <cellStyle name="1 000 Ke_laroux" xfId="1104"/>
    <cellStyle name="1_R1&amp; R2-" xfId="58356"/>
    <cellStyle name="1_R1(ex)" xfId="58357"/>
    <cellStyle name="¹éºÐÀ²_±âÅ¸" xfId="1105"/>
    <cellStyle name="2," xfId="1106"/>
    <cellStyle name="2, 2" xfId="57471"/>
    <cellStyle name="2, 3" xfId="57470"/>
    <cellStyle name="20% - Accent1 10" xfId="1107"/>
    <cellStyle name="20% - Accent1 10 2" xfId="1108"/>
    <cellStyle name="20% - Accent1 10 2 10" xfId="1109"/>
    <cellStyle name="20% - Accent1 10 2 11" xfId="1110"/>
    <cellStyle name="20% - Accent1 10 2 12" xfId="1111"/>
    <cellStyle name="20% - Accent1 10 2 13" xfId="1112"/>
    <cellStyle name="20% - Accent1 10 2 14" xfId="1113"/>
    <cellStyle name="20% - Accent1 10 2 15" xfId="1114"/>
    <cellStyle name="20% - Accent1 10 2 16" xfId="1115"/>
    <cellStyle name="20% - Accent1 10 2 17" xfId="1116"/>
    <cellStyle name="20% - Accent1 10 2 18" xfId="1117"/>
    <cellStyle name="20% - Accent1 10 2 19" xfId="1118"/>
    <cellStyle name="20% - Accent1 10 2 2" xfId="1119"/>
    <cellStyle name="20% - Accent1 10 2 2 2" xfId="1120"/>
    <cellStyle name="20% - Accent1 10 2 20" xfId="1121"/>
    <cellStyle name="20% - Accent1 10 2 21" xfId="1122"/>
    <cellStyle name="20% - Accent1 10 2 22" xfId="1123"/>
    <cellStyle name="20% - Accent1 10 2 23" xfId="1124"/>
    <cellStyle name="20% - Accent1 10 2 24" xfId="1125"/>
    <cellStyle name="20% - Accent1 10 2 25" xfId="1126"/>
    <cellStyle name="20% - Accent1 10 2 26" xfId="1127"/>
    <cellStyle name="20% - Accent1 10 2 27" xfId="1128"/>
    <cellStyle name="20% - Accent1 10 2 28" xfId="1129"/>
    <cellStyle name="20% - Accent1 10 2 29" xfId="1130"/>
    <cellStyle name="20% - Accent1 10 2 3" xfId="1131"/>
    <cellStyle name="20% - Accent1 10 2 30" xfId="1132"/>
    <cellStyle name="20% - Accent1 10 2 31" xfId="1133"/>
    <cellStyle name="20% - Accent1 10 2 32" xfId="1134"/>
    <cellStyle name="20% - Accent1 10 2 33" xfId="1135"/>
    <cellStyle name="20% - Accent1 10 2 34" xfId="1136"/>
    <cellStyle name="20% - Accent1 10 2 35" xfId="1137"/>
    <cellStyle name="20% - Accent1 10 2 36" xfId="1138"/>
    <cellStyle name="20% - Accent1 10 2 37" xfId="1139"/>
    <cellStyle name="20% - Accent1 10 2 38" xfId="1140"/>
    <cellStyle name="20% - Accent1 10 2 39" xfId="1141"/>
    <cellStyle name="20% - Accent1 10 2 4" xfId="1142"/>
    <cellStyle name="20% - Accent1 10 2 40" xfId="1143"/>
    <cellStyle name="20% - Accent1 10 2 41" xfId="1144"/>
    <cellStyle name="20% - Accent1 10 2 42" xfId="1145"/>
    <cellStyle name="20% - Accent1 10 2 43" xfId="1146"/>
    <cellStyle name="20% - Accent1 10 2 44" xfId="1147"/>
    <cellStyle name="20% - Accent1 10 2 45" xfId="1148"/>
    <cellStyle name="20% - Accent1 10 2 46" xfId="1149"/>
    <cellStyle name="20% - Accent1 10 2 47" xfId="1150"/>
    <cellStyle name="20% - Accent1 10 2 48" xfId="1151"/>
    <cellStyle name="20% - Accent1 10 2 49" xfId="1152"/>
    <cellStyle name="20% - Accent1 10 2 5" xfId="1153"/>
    <cellStyle name="20% - Accent1 10 2 50" xfId="1154"/>
    <cellStyle name="20% - Accent1 10 2 51" xfId="1155"/>
    <cellStyle name="20% - Accent1 10 2 52" xfId="1156"/>
    <cellStyle name="20% - Accent1 10 2 53" xfId="1157"/>
    <cellStyle name="20% - Accent1 10 2 54" xfId="1158"/>
    <cellStyle name="20% - Accent1 10 2 55" xfId="1159"/>
    <cellStyle name="20% - Accent1 10 2 6" xfId="1160"/>
    <cellStyle name="20% - Accent1 10 2 7" xfId="1161"/>
    <cellStyle name="20% - Accent1 10 2 8" xfId="1162"/>
    <cellStyle name="20% - Accent1 10 2 9" xfId="1163"/>
    <cellStyle name="20% - Accent1 10 3" xfId="1164"/>
    <cellStyle name="20% - Accent1 10 3 10" xfId="1165"/>
    <cellStyle name="20% - Accent1 10 3 11" xfId="1166"/>
    <cellStyle name="20% - Accent1 10 3 12" xfId="1167"/>
    <cellStyle name="20% - Accent1 10 3 13" xfId="1168"/>
    <cellStyle name="20% - Accent1 10 3 14" xfId="1169"/>
    <cellStyle name="20% - Accent1 10 3 15" xfId="1170"/>
    <cellStyle name="20% - Accent1 10 3 16" xfId="1171"/>
    <cellStyle name="20% - Accent1 10 3 17" xfId="1172"/>
    <cellStyle name="20% - Accent1 10 3 18" xfId="1173"/>
    <cellStyle name="20% - Accent1 10 3 19" xfId="1174"/>
    <cellStyle name="20% - Accent1 10 3 2" xfId="1175"/>
    <cellStyle name="20% - Accent1 10 3 2 2" xfId="1176"/>
    <cellStyle name="20% - Accent1 10 3 20" xfId="1177"/>
    <cellStyle name="20% - Accent1 10 3 21" xfId="1178"/>
    <cellStyle name="20% - Accent1 10 3 22" xfId="1179"/>
    <cellStyle name="20% - Accent1 10 3 23" xfId="1180"/>
    <cellStyle name="20% - Accent1 10 3 24" xfId="1181"/>
    <cellStyle name="20% - Accent1 10 3 25" xfId="1182"/>
    <cellStyle name="20% - Accent1 10 3 26" xfId="1183"/>
    <cellStyle name="20% - Accent1 10 3 27" xfId="1184"/>
    <cellStyle name="20% - Accent1 10 3 28" xfId="1185"/>
    <cellStyle name="20% - Accent1 10 3 29" xfId="1186"/>
    <cellStyle name="20% - Accent1 10 3 3" xfId="1187"/>
    <cellStyle name="20% - Accent1 10 3 30" xfId="1188"/>
    <cellStyle name="20% - Accent1 10 3 31" xfId="1189"/>
    <cellStyle name="20% - Accent1 10 3 32" xfId="1190"/>
    <cellStyle name="20% - Accent1 10 3 33" xfId="1191"/>
    <cellStyle name="20% - Accent1 10 3 34" xfId="1192"/>
    <cellStyle name="20% - Accent1 10 3 35" xfId="1193"/>
    <cellStyle name="20% - Accent1 10 3 36" xfId="1194"/>
    <cellStyle name="20% - Accent1 10 3 37" xfId="1195"/>
    <cellStyle name="20% - Accent1 10 3 38" xfId="1196"/>
    <cellStyle name="20% - Accent1 10 3 39" xfId="1197"/>
    <cellStyle name="20% - Accent1 10 3 4" xfId="1198"/>
    <cellStyle name="20% - Accent1 10 3 40" xfId="1199"/>
    <cellStyle name="20% - Accent1 10 3 41" xfId="1200"/>
    <cellStyle name="20% - Accent1 10 3 42" xfId="1201"/>
    <cellStyle name="20% - Accent1 10 3 43" xfId="1202"/>
    <cellStyle name="20% - Accent1 10 3 44" xfId="1203"/>
    <cellStyle name="20% - Accent1 10 3 45" xfId="1204"/>
    <cellStyle name="20% - Accent1 10 3 46" xfId="1205"/>
    <cellStyle name="20% - Accent1 10 3 47" xfId="1206"/>
    <cellStyle name="20% - Accent1 10 3 48" xfId="1207"/>
    <cellStyle name="20% - Accent1 10 3 49" xfId="1208"/>
    <cellStyle name="20% - Accent1 10 3 5" xfId="1209"/>
    <cellStyle name="20% - Accent1 10 3 50" xfId="1210"/>
    <cellStyle name="20% - Accent1 10 3 51" xfId="1211"/>
    <cellStyle name="20% - Accent1 10 3 52" xfId="1212"/>
    <cellStyle name="20% - Accent1 10 3 53" xfId="1213"/>
    <cellStyle name="20% - Accent1 10 3 54" xfId="1214"/>
    <cellStyle name="20% - Accent1 10 3 55" xfId="1215"/>
    <cellStyle name="20% - Accent1 10 3 6" xfId="1216"/>
    <cellStyle name="20% - Accent1 10 3 7" xfId="1217"/>
    <cellStyle name="20% - Accent1 10 3 8" xfId="1218"/>
    <cellStyle name="20% - Accent1 10 3 9" xfId="1219"/>
    <cellStyle name="20% - Accent1 11" xfId="1220"/>
    <cellStyle name="20% - Accent1 11 2" xfId="1221"/>
    <cellStyle name="20% - Accent1 11 2 10" xfId="1222"/>
    <cellStyle name="20% - Accent1 11 2 11" xfId="1223"/>
    <cellStyle name="20% - Accent1 11 2 12" xfId="1224"/>
    <cellStyle name="20% - Accent1 11 2 13" xfId="1225"/>
    <cellStyle name="20% - Accent1 11 2 14" xfId="1226"/>
    <cellStyle name="20% - Accent1 11 2 15" xfId="1227"/>
    <cellStyle name="20% - Accent1 11 2 16" xfId="1228"/>
    <cellStyle name="20% - Accent1 11 2 17" xfId="1229"/>
    <cellStyle name="20% - Accent1 11 2 18" xfId="1230"/>
    <cellStyle name="20% - Accent1 11 2 19" xfId="1231"/>
    <cellStyle name="20% - Accent1 11 2 2" xfId="1232"/>
    <cellStyle name="20% - Accent1 11 2 2 2" xfId="1233"/>
    <cellStyle name="20% - Accent1 11 2 20" xfId="1234"/>
    <cellStyle name="20% - Accent1 11 2 21" xfId="1235"/>
    <cellStyle name="20% - Accent1 11 2 22" xfId="1236"/>
    <cellStyle name="20% - Accent1 11 2 23" xfId="1237"/>
    <cellStyle name="20% - Accent1 11 2 24" xfId="1238"/>
    <cellStyle name="20% - Accent1 11 2 25" xfId="1239"/>
    <cellStyle name="20% - Accent1 11 2 26" xfId="1240"/>
    <cellStyle name="20% - Accent1 11 2 27" xfId="1241"/>
    <cellStyle name="20% - Accent1 11 2 28" xfId="1242"/>
    <cellStyle name="20% - Accent1 11 2 29" xfId="1243"/>
    <cellStyle name="20% - Accent1 11 2 3" xfId="1244"/>
    <cellStyle name="20% - Accent1 11 2 30" xfId="1245"/>
    <cellStyle name="20% - Accent1 11 2 31" xfId="1246"/>
    <cellStyle name="20% - Accent1 11 2 32" xfId="1247"/>
    <cellStyle name="20% - Accent1 11 2 33" xfId="1248"/>
    <cellStyle name="20% - Accent1 11 2 34" xfId="1249"/>
    <cellStyle name="20% - Accent1 11 2 35" xfId="1250"/>
    <cellStyle name="20% - Accent1 11 2 36" xfId="1251"/>
    <cellStyle name="20% - Accent1 11 2 37" xfId="1252"/>
    <cellStyle name="20% - Accent1 11 2 38" xfId="1253"/>
    <cellStyle name="20% - Accent1 11 2 39" xfId="1254"/>
    <cellStyle name="20% - Accent1 11 2 4" xfId="1255"/>
    <cellStyle name="20% - Accent1 11 2 40" xfId="1256"/>
    <cellStyle name="20% - Accent1 11 2 41" xfId="1257"/>
    <cellStyle name="20% - Accent1 11 2 42" xfId="1258"/>
    <cellStyle name="20% - Accent1 11 2 43" xfId="1259"/>
    <cellStyle name="20% - Accent1 11 2 44" xfId="1260"/>
    <cellStyle name="20% - Accent1 11 2 45" xfId="1261"/>
    <cellStyle name="20% - Accent1 11 2 46" xfId="1262"/>
    <cellStyle name="20% - Accent1 11 2 47" xfId="1263"/>
    <cellStyle name="20% - Accent1 11 2 48" xfId="1264"/>
    <cellStyle name="20% - Accent1 11 2 49" xfId="1265"/>
    <cellStyle name="20% - Accent1 11 2 5" xfId="1266"/>
    <cellStyle name="20% - Accent1 11 2 50" xfId="1267"/>
    <cellStyle name="20% - Accent1 11 2 51" xfId="1268"/>
    <cellStyle name="20% - Accent1 11 2 52" xfId="1269"/>
    <cellStyle name="20% - Accent1 11 2 53" xfId="1270"/>
    <cellStyle name="20% - Accent1 11 2 54" xfId="1271"/>
    <cellStyle name="20% - Accent1 11 2 55" xfId="1272"/>
    <cellStyle name="20% - Accent1 11 2 6" xfId="1273"/>
    <cellStyle name="20% - Accent1 11 2 7" xfId="1274"/>
    <cellStyle name="20% - Accent1 11 2 8" xfId="1275"/>
    <cellStyle name="20% - Accent1 11 2 9" xfId="1276"/>
    <cellStyle name="20% - Accent1 11 3" xfId="1277"/>
    <cellStyle name="20% - Accent1 11 3 10" xfId="1278"/>
    <cellStyle name="20% - Accent1 11 3 11" xfId="1279"/>
    <cellStyle name="20% - Accent1 11 3 12" xfId="1280"/>
    <cellStyle name="20% - Accent1 11 3 13" xfId="1281"/>
    <cellStyle name="20% - Accent1 11 3 14" xfId="1282"/>
    <cellStyle name="20% - Accent1 11 3 15" xfId="1283"/>
    <cellStyle name="20% - Accent1 11 3 16" xfId="1284"/>
    <cellStyle name="20% - Accent1 11 3 17" xfId="1285"/>
    <cellStyle name="20% - Accent1 11 3 18" xfId="1286"/>
    <cellStyle name="20% - Accent1 11 3 19" xfId="1287"/>
    <cellStyle name="20% - Accent1 11 3 2" xfId="1288"/>
    <cellStyle name="20% - Accent1 11 3 2 2" xfId="1289"/>
    <cellStyle name="20% - Accent1 11 3 20" xfId="1290"/>
    <cellStyle name="20% - Accent1 11 3 21" xfId="1291"/>
    <cellStyle name="20% - Accent1 11 3 22" xfId="1292"/>
    <cellStyle name="20% - Accent1 11 3 23" xfId="1293"/>
    <cellStyle name="20% - Accent1 11 3 24" xfId="1294"/>
    <cellStyle name="20% - Accent1 11 3 25" xfId="1295"/>
    <cellStyle name="20% - Accent1 11 3 26" xfId="1296"/>
    <cellStyle name="20% - Accent1 11 3 27" xfId="1297"/>
    <cellStyle name="20% - Accent1 11 3 28" xfId="1298"/>
    <cellStyle name="20% - Accent1 11 3 29" xfId="1299"/>
    <cellStyle name="20% - Accent1 11 3 3" xfId="1300"/>
    <cellStyle name="20% - Accent1 11 3 30" xfId="1301"/>
    <cellStyle name="20% - Accent1 11 3 31" xfId="1302"/>
    <cellStyle name="20% - Accent1 11 3 32" xfId="1303"/>
    <cellStyle name="20% - Accent1 11 3 33" xfId="1304"/>
    <cellStyle name="20% - Accent1 11 3 34" xfId="1305"/>
    <cellStyle name="20% - Accent1 11 3 35" xfId="1306"/>
    <cellStyle name="20% - Accent1 11 3 36" xfId="1307"/>
    <cellStyle name="20% - Accent1 11 3 37" xfId="1308"/>
    <cellStyle name="20% - Accent1 11 3 38" xfId="1309"/>
    <cellStyle name="20% - Accent1 11 3 39" xfId="1310"/>
    <cellStyle name="20% - Accent1 11 3 4" xfId="1311"/>
    <cellStyle name="20% - Accent1 11 3 40" xfId="1312"/>
    <cellStyle name="20% - Accent1 11 3 41" xfId="1313"/>
    <cellStyle name="20% - Accent1 11 3 42" xfId="1314"/>
    <cellStyle name="20% - Accent1 11 3 43" xfId="1315"/>
    <cellStyle name="20% - Accent1 11 3 44" xfId="1316"/>
    <cellStyle name="20% - Accent1 11 3 45" xfId="1317"/>
    <cellStyle name="20% - Accent1 11 3 46" xfId="1318"/>
    <cellStyle name="20% - Accent1 11 3 47" xfId="1319"/>
    <cellStyle name="20% - Accent1 11 3 48" xfId="1320"/>
    <cellStyle name="20% - Accent1 11 3 49" xfId="1321"/>
    <cellStyle name="20% - Accent1 11 3 5" xfId="1322"/>
    <cellStyle name="20% - Accent1 11 3 50" xfId="1323"/>
    <cellStyle name="20% - Accent1 11 3 51" xfId="1324"/>
    <cellStyle name="20% - Accent1 11 3 52" xfId="1325"/>
    <cellStyle name="20% - Accent1 11 3 53" xfId="1326"/>
    <cellStyle name="20% - Accent1 11 3 54" xfId="1327"/>
    <cellStyle name="20% - Accent1 11 3 55" xfId="1328"/>
    <cellStyle name="20% - Accent1 11 3 6" xfId="1329"/>
    <cellStyle name="20% - Accent1 11 3 7" xfId="1330"/>
    <cellStyle name="20% - Accent1 11 3 8" xfId="1331"/>
    <cellStyle name="20% - Accent1 11 3 9" xfId="1332"/>
    <cellStyle name="20% - Accent1 12" xfId="1333"/>
    <cellStyle name="20% - Accent1 12 2" xfId="1334"/>
    <cellStyle name="20% - Accent1 12 2 10" xfId="1335"/>
    <cellStyle name="20% - Accent1 12 2 11" xfId="1336"/>
    <cellStyle name="20% - Accent1 12 2 12" xfId="1337"/>
    <cellStyle name="20% - Accent1 12 2 13" xfId="1338"/>
    <cellStyle name="20% - Accent1 12 2 14" xfId="1339"/>
    <cellStyle name="20% - Accent1 12 2 15" xfId="1340"/>
    <cellStyle name="20% - Accent1 12 2 16" xfId="1341"/>
    <cellStyle name="20% - Accent1 12 2 17" xfId="1342"/>
    <cellStyle name="20% - Accent1 12 2 18" xfId="1343"/>
    <cellStyle name="20% - Accent1 12 2 19" xfId="1344"/>
    <cellStyle name="20% - Accent1 12 2 2" xfId="1345"/>
    <cellStyle name="20% - Accent1 12 2 2 2" xfId="1346"/>
    <cellStyle name="20% - Accent1 12 2 20" xfId="1347"/>
    <cellStyle name="20% - Accent1 12 2 21" xfId="1348"/>
    <cellStyle name="20% - Accent1 12 2 22" xfId="1349"/>
    <cellStyle name="20% - Accent1 12 2 23" xfId="1350"/>
    <cellStyle name="20% - Accent1 12 2 24" xfId="1351"/>
    <cellStyle name="20% - Accent1 12 2 25" xfId="1352"/>
    <cellStyle name="20% - Accent1 12 2 26" xfId="1353"/>
    <cellStyle name="20% - Accent1 12 2 27" xfId="1354"/>
    <cellStyle name="20% - Accent1 12 2 28" xfId="1355"/>
    <cellStyle name="20% - Accent1 12 2 29" xfId="1356"/>
    <cellStyle name="20% - Accent1 12 2 3" xfId="1357"/>
    <cellStyle name="20% - Accent1 12 2 30" xfId="1358"/>
    <cellStyle name="20% - Accent1 12 2 31" xfId="1359"/>
    <cellStyle name="20% - Accent1 12 2 32" xfId="1360"/>
    <cellStyle name="20% - Accent1 12 2 33" xfId="1361"/>
    <cellStyle name="20% - Accent1 12 2 34" xfId="1362"/>
    <cellStyle name="20% - Accent1 12 2 35" xfId="1363"/>
    <cellStyle name="20% - Accent1 12 2 36" xfId="1364"/>
    <cellStyle name="20% - Accent1 12 2 37" xfId="1365"/>
    <cellStyle name="20% - Accent1 12 2 38" xfId="1366"/>
    <cellStyle name="20% - Accent1 12 2 39" xfId="1367"/>
    <cellStyle name="20% - Accent1 12 2 4" xfId="1368"/>
    <cellStyle name="20% - Accent1 12 2 40" xfId="1369"/>
    <cellStyle name="20% - Accent1 12 2 41" xfId="1370"/>
    <cellStyle name="20% - Accent1 12 2 42" xfId="1371"/>
    <cellStyle name="20% - Accent1 12 2 43" xfId="1372"/>
    <cellStyle name="20% - Accent1 12 2 44" xfId="1373"/>
    <cellStyle name="20% - Accent1 12 2 45" xfId="1374"/>
    <cellStyle name="20% - Accent1 12 2 46" xfId="1375"/>
    <cellStyle name="20% - Accent1 12 2 47" xfId="1376"/>
    <cellStyle name="20% - Accent1 12 2 48" xfId="1377"/>
    <cellStyle name="20% - Accent1 12 2 49" xfId="1378"/>
    <cellStyle name="20% - Accent1 12 2 5" xfId="1379"/>
    <cellStyle name="20% - Accent1 12 2 50" xfId="1380"/>
    <cellStyle name="20% - Accent1 12 2 51" xfId="1381"/>
    <cellStyle name="20% - Accent1 12 2 52" xfId="1382"/>
    <cellStyle name="20% - Accent1 12 2 53" xfId="1383"/>
    <cellStyle name="20% - Accent1 12 2 54" xfId="1384"/>
    <cellStyle name="20% - Accent1 12 2 55" xfId="1385"/>
    <cellStyle name="20% - Accent1 12 2 6" xfId="1386"/>
    <cellStyle name="20% - Accent1 12 2 7" xfId="1387"/>
    <cellStyle name="20% - Accent1 12 2 8" xfId="1388"/>
    <cellStyle name="20% - Accent1 12 2 9" xfId="1389"/>
    <cellStyle name="20% - Accent1 12 3" xfId="1390"/>
    <cellStyle name="20% - Accent1 12 3 10" xfId="1391"/>
    <cellStyle name="20% - Accent1 12 3 11" xfId="1392"/>
    <cellStyle name="20% - Accent1 12 3 12" xfId="1393"/>
    <cellStyle name="20% - Accent1 12 3 13" xfId="1394"/>
    <cellStyle name="20% - Accent1 12 3 14" xfId="1395"/>
    <cellStyle name="20% - Accent1 12 3 15" xfId="1396"/>
    <cellStyle name="20% - Accent1 12 3 16" xfId="1397"/>
    <cellStyle name="20% - Accent1 12 3 17" xfId="1398"/>
    <cellStyle name="20% - Accent1 12 3 18" xfId="1399"/>
    <cellStyle name="20% - Accent1 12 3 19" xfId="1400"/>
    <cellStyle name="20% - Accent1 12 3 2" xfId="1401"/>
    <cellStyle name="20% - Accent1 12 3 2 2" xfId="1402"/>
    <cellStyle name="20% - Accent1 12 3 20" xfId="1403"/>
    <cellStyle name="20% - Accent1 12 3 21" xfId="1404"/>
    <cellStyle name="20% - Accent1 12 3 22" xfId="1405"/>
    <cellStyle name="20% - Accent1 12 3 23" xfId="1406"/>
    <cellStyle name="20% - Accent1 12 3 24" xfId="1407"/>
    <cellStyle name="20% - Accent1 12 3 25" xfId="1408"/>
    <cellStyle name="20% - Accent1 12 3 26" xfId="1409"/>
    <cellStyle name="20% - Accent1 12 3 27" xfId="1410"/>
    <cellStyle name="20% - Accent1 12 3 28" xfId="1411"/>
    <cellStyle name="20% - Accent1 12 3 29" xfId="1412"/>
    <cellStyle name="20% - Accent1 12 3 3" xfId="1413"/>
    <cellStyle name="20% - Accent1 12 3 30" xfId="1414"/>
    <cellStyle name="20% - Accent1 12 3 31" xfId="1415"/>
    <cellStyle name="20% - Accent1 12 3 32" xfId="1416"/>
    <cellStyle name="20% - Accent1 12 3 33" xfId="1417"/>
    <cellStyle name="20% - Accent1 12 3 34" xfId="1418"/>
    <cellStyle name="20% - Accent1 12 3 35" xfId="1419"/>
    <cellStyle name="20% - Accent1 12 3 36" xfId="1420"/>
    <cellStyle name="20% - Accent1 12 3 37" xfId="1421"/>
    <cellStyle name="20% - Accent1 12 3 38" xfId="1422"/>
    <cellStyle name="20% - Accent1 12 3 39" xfId="1423"/>
    <cellStyle name="20% - Accent1 12 3 4" xfId="1424"/>
    <cellStyle name="20% - Accent1 12 3 40" xfId="1425"/>
    <cellStyle name="20% - Accent1 12 3 41" xfId="1426"/>
    <cellStyle name="20% - Accent1 12 3 42" xfId="1427"/>
    <cellStyle name="20% - Accent1 12 3 43" xfId="1428"/>
    <cellStyle name="20% - Accent1 12 3 44" xfId="1429"/>
    <cellStyle name="20% - Accent1 12 3 45" xfId="1430"/>
    <cellStyle name="20% - Accent1 12 3 46" xfId="1431"/>
    <cellStyle name="20% - Accent1 12 3 47" xfId="1432"/>
    <cellStyle name="20% - Accent1 12 3 48" xfId="1433"/>
    <cellStyle name="20% - Accent1 12 3 49" xfId="1434"/>
    <cellStyle name="20% - Accent1 12 3 5" xfId="1435"/>
    <cellStyle name="20% - Accent1 12 3 50" xfId="1436"/>
    <cellStyle name="20% - Accent1 12 3 51" xfId="1437"/>
    <cellStyle name="20% - Accent1 12 3 52" xfId="1438"/>
    <cellStyle name="20% - Accent1 12 3 53" xfId="1439"/>
    <cellStyle name="20% - Accent1 12 3 54" xfId="1440"/>
    <cellStyle name="20% - Accent1 12 3 55" xfId="1441"/>
    <cellStyle name="20% - Accent1 12 3 6" xfId="1442"/>
    <cellStyle name="20% - Accent1 12 3 7" xfId="1443"/>
    <cellStyle name="20% - Accent1 12 3 8" xfId="1444"/>
    <cellStyle name="20% - Accent1 12 3 9" xfId="1445"/>
    <cellStyle name="20% - Accent1 13" xfId="1446"/>
    <cellStyle name="20% - Accent1 13 2" xfId="1447"/>
    <cellStyle name="20% - Accent1 13 2 10" xfId="1448"/>
    <cellStyle name="20% - Accent1 13 2 11" xfId="1449"/>
    <cellStyle name="20% - Accent1 13 2 12" xfId="1450"/>
    <cellStyle name="20% - Accent1 13 2 13" xfId="1451"/>
    <cellStyle name="20% - Accent1 13 2 14" xfId="1452"/>
    <cellStyle name="20% - Accent1 13 2 15" xfId="1453"/>
    <cellStyle name="20% - Accent1 13 2 16" xfId="1454"/>
    <cellStyle name="20% - Accent1 13 2 17" xfId="1455"/>
    <cellStyle name="20% - Accent1 13 2 18" xfId="1456"/>
    <cellStyle name="20% - Accent1 13 2 19" xfId="1457"/>
    <cellStyle name="20% - Accent1 13 2 2" xfId="1458"/>
    <cellStyle name="20% - Accent1 13 2 2 2" xfId="1459"/>
    <cellStyle name="20% - Accent1 13 2 20" xfId="1460"/>
    <cellStyle name="20% - Accent1 13 2 21" xfId="1461"/>
    <cellStyle name="20% - Accent1 13 2 22" xfId="1462"/>
    <cellStyle name="20% - Accent1 13 2 23" xfId="1463"/>
    <cellStyle name="20% - Accent1 13 2 24" xfId="1464"/>
    <cellStyle name="20% - Accent1 13 2 25" xfId="1465"/>
    <cellStyle name="20% - Accent1 13 2 26" xfId="1466"/>
    <cellStyle name="20% - Accent1 13 2 27" xfId="1467"/>
    <cellStyle name="20% - Accent1 13 2 28" xfId="1468"/>
    <cellStyle name="20% - Accent1 13 2 29" xfId="1469"/>
    <cellStyle name="20% - Accent1 13 2 3" xfId="1470"/>
    <cellStyle name="20% - Accent1 13 2 30" xfId="1471"/>
    <cellStyle name="20% - Accent1 13 2 31" xfId="1472"/>
    <cellStyle name="20% - Accent1 13 2 32" xfId="1473"/>
    <cellStyle name="20% - Accent1 13 2 33" xfId="1474"/>
    <cellStyle name="20% - Accent1 13 2 34" xfId="1475"/>
    <cellStyle name="20% - Accent1 13 2 35" xfId="1476"/>
    <cellStyle name="20% - Accent1 13 2 36" xfId="1477"/>
    <cellStyle name="20% - Accent1 13 2 37" xfId="1478"/>
    <cellStyle name="20% - Accent1 13 2 38" xfId="1479"/>
    <cellStyle name="20% - Accent1 13 2 39" xfId="1480"/>
    <cellStyle name="20% - Accent1 13 2 4" xfId="1481"/>
    <cellStyle name="20% - Accent1 13 2 40" xfId="1482"/>
    <cellStyle name="20% - Accent1 13 2 41" xfId="1483"/>
    <cellStyle name="20% - Accent1 13 2 42" xfId="1484"/>
    <cellStyle name="20% - Accent1 13 2 43" xfId="1485"/>
    <cellStyle name="20% - Accent1 13 2 44" xfId="1486"/>
    <cellStyle name="20% - Accent1 13 2 45" xfId="1487"/>
    <cellStyle name="20% - Accent1 13 2 46" xfId="1488"/>
    <cellStyle name="20% - Accent1 13 2 47" xfId="1489"/>
    <cellStyle name="20% - Accent1 13 2 48" xfId="1490"/>
    <cellStyle name="20% - Accent1 13 2 49" xfId="1491"/>
    <cellStyle name="20% - Accent1 13 2 5" xfId="1492"/>
    <cellStyle name="20% - Accent1 13 2 50" xfId="1493"/>
    <cellStyle name="20% - Accent1 13 2 51" xfId="1494"/>
    <cellStyle name="20% - Accent1 13 2 52" xfId="1495"/>
    <cellStyle name="20% - Accent1 13 2 53" xfId="1496"/>
    <cellStyle name="20% - Accent1 13 2 54" xfId="1497"/>
    <cellStyle name="20% - Accent1 13 2 55" xfId="1498"/>
    <cellStyle name="20% - Accent1 13 2 6" xfId="1499"/>
    <cellStyle name="20% - Accent1 13 2 7" xfId="1500"/>
    <cellStyle name="20% - Accent1 13 2 8" xfId="1501"/>
    <cellStyle name="20% - Accent1 13 2 9" xfId="1502"/>
    <cellStyle name="20% - Accent1 13 3" xfId="1503"/>
    <cellStyle name="20% - Accent1 13 3 10" xfId="1504"/>
    <cellStyle name="20% - Accent1 13 3 11" xfId="1505"/>
    <cellStyle name="20% - Accent1 13 3 12" xfId="1506"/>
    <cellStyle name="20% - Accent1 13 3 13" xfId="1507"/>
    <cellStyle name="20% - Accent1 13 3 14" xfId="1508"/>
    <cellStyle name="20% - Accent1 13 3 15" xfId="1509"/>
    <cellStyle name="20% - Accent1 13 3 16" xfId="1510"/>
    <cellStyle name="20% - Accent1 13 3 17" xfId="1511"/>
    <cellStyle name="20% - Accent1 13 3 18" xfId="1512"/>
    <cellStyle name="20% - Accent1 13 3 19" xfId="1513"/>
    <cellStyle name="20% - Accent1 13 3 2" xfId="1514"/>
    <cellStyle name="20% - Accent1 13 3 2 2" xfId="1515"/>
    <cellStyle name="20% - Accent1 13 3 20" xfId="1516"/>
    <cellStyle name="20% - Accent1 13 3 21" xfId="1517"/>
    <cellStyle name="20% - Accent1 13 3 22" xfId="1518"/>
    <cellStyle name="20% - Accent1 13 3 23" xfId="1519"/>
    <cellStyle name="20% - Accent1 13 3 24" xfId="1520"/>
    <cellStyle name="20% - Accent1 13 3 25" xfId="1521"/>
    <cellStyle name="20% - Accent1 13 3 26" xfId="1522"/>
    <cellStyle name="20% - Accent1 13 3 27" xfId="1523"/>
    <cellStyle name="20% - Accent1 13 3 28" xfId="1524"/>
    <cellStyle name="20% - Accent1 13 3 29" xfId="1525"/>
    <cellStyle name="20% - Accent1 13 3 3" xfId="1526"/>
    <cellStyle name="20% - Accent1 13 3 30" xfId="1527"/>
    <cellStyle name="20% - Accent1 13 3 31" xfId="1528"/>
    <cellStyle name="20% - Accent1 13 3 32" xfId="1529"/>
    <cellStyle name="20% - Accent1 13 3 33" xfId="1530"/>
    <cellStyle name="20% - Accent1 13 3 34" xfId="1531"/>
    <cellStyle name="20% - Accent1 13 3 35" xfId="1532"/>
    <cellStyle name="20% - Accent1 13 3 36" xfId="1533"/>
    <cellStyle name="20% - Accent1 13 3 37" xfId="1534"/>
    <cellStyle name="20% - Accent1 13 3 38" xfId="1535"/>
    <cellStyle name="20% - Accent1 13 3 39" xfId="1536"/>
    <cellStyle name="20% - Accent1 13 3 4" xfId="1537"/>
    <cellStyle name="20% - Accent1 13 3 40" xfId="1538"/>
    <cellStyle name="20% - Accent1 13 3 41" xfId="1539"/>
    <cellStyle name="20% - Accent1 13 3 42" xfId="1540"/>
    <cellStyle name="20% - Accent1 13 3 43" xfId="1541"/>
    <cellStyle name="20% - Accent1 13 3 44" xfId="1542"/>
    <cellStyle name="20% - Accent1 13 3 45" xfId="1543"/>
    <cellStyle name="20% - Accent1 13 3 46" xfId="1544"/>
    <cellStyle name="20% - Accent1 13 3 47" xfId="1545"/>
    <cellStyle name="20% - Accent1 13 3 48" xfId="1546"/>
    <cellStyle name="20% - Accent1 13 3 49" xfId="1547"/>
    <cellStyle name="20% - Accent1 13 3 5" xfId="1548"/>
    <cellStyle name="20% - Accent1 13 3 50" xfId="1549"/>
    <cellStyle name="20% - Accent1 13 3 51" xfId="1550"/>
    <cellStyle name="20% - Accent1 13 3 52" xfId="1551"/>
    <cellStyle name="20% - Accent1 13 3 53" xfId="1552"/>
    <cellStyle name="20% - Accent1 13 3 54" xfId="1553"/>
    <cellStyle name="20% - Accent1 13 3 55" xfId="1554"/>
    <cellStyle name="20% - Accent1 13 3 6" xfId="1555"/>
    <cellStyle name="20% - Accent1 13 3 7" xfId="1556"/>
    <cellStyle name="20% - Accent1 13 3 8" xfId="1557"/>
    <cellStyle name="20% - Accent1 13 3 9" xfId="1558"/>
    <cellStyle name="20% - Accent1 14" xfId="1559"/>
    <cellStyle name="20% - Accent1 14 2" xfId="1560"/>
    <cellStyle name="20% - Accent1 14 2 10" xfId="1561"/>
    <cellStyle name="20% - Accent1 14 2 11" xfId="1562"/>
    <cellStyle name="20% - Accent1 14 2 12" xfId="1563"/>
    <cellStyle name="20% - Accent1 14 2 13" xfId="1564"/>
    <cellStyle name="20% - Accent1 14 2 14" xfId="1565"/>
    <cellStyle name="20% - Accent1 14 2 15" xfId="1566"/>
    <cellStyle name="20% - Accent1 14 2 16" xfId="1567"/>
    <cellStyle name="20% - Accent1 14 2 17" xfId="1568"/>
    <cellStyle name="20% - Accent1 14 2 18" xfId="1569"/>
    <cellStyle name="20% - Accent1 14 2 19" xfId="1570"/>
    <cellStyle name="20% - Accent1 14 2 2" xfId="1571"/>
    <cellStyle name="20% - Accent1 14 2 2 2" xfId="1572"/>
    <cellStyle name="20% - Accent1 14 2 20" xfId="1573"/>
    <cellStyle name="20% - Accent1 14 2 21" xfId="1574"/>
    <cellStyle name="20% - Accent1 14 2 22" xfId="1575"/>
    <cellStyle name="20% - Accent1 14 2 23" xfId="1576"/>
    <cellStyle name="20% - Accent1 14 2 24" xfId="1577"/>
    <cellStyle name="20% - Accent1 14 2 25" xfId="1578"/>
    <cellStyle name="20% - Accent1 14 2 26" xfId="1579"/>
    <cellStyle name="20% - Accent1 14 2 27" xfId="1580"/>
    <cellStyle name="20% - Accent1 14 2 28" xfId="1581"/>
    <cellStyle name="20% - Accent1 14 2 29" xfId="1582"/>
    <cellStyle name="20% - Accent1 14 2 3" xfId="1583"/>
    <cellStyle name="20% - Accent1 14 2 30" xfId="1584"/>
    <cellStyle name="20% - Accent1 14 2 31" xfId="1585"/>
    <cellStyle name="20% - Accent1 14 2 32" xfId="1586"/>
    <cellStyle name="20% - Accent1 14 2 33" xfId="1587"/>
    <cellStyle name="20% - Accent1 14 2 34" xfId="1588"/>
    <cellStyle name="20% - Accent1 14 2 35" xfId="1589"/>
    <cellStyle name="20% - Accent1 14 2 36" xfId="1590"/>
    <cellStyle name="20% - Accent1 14 2 37" xfId="1591"/>
    <cellStyle name="20% - Accent1 14 2 38" xfId="1592"/>
    <cellStyle name="20% - Accent1 14 2 39" xfId="1593"/>
    <cellStyle name="20% - Accent1 14 2 4" xfId="1594"/>
    <cellStyle name="20% - Accent1 14 2 40" xfId="1595"/>
    <cellStyle name="20% - Accent1 14 2 41" xfId="1596"/>
    <cellStyle name="20% - Accent1 14 2 42" xfId="1597"/>
    <cellStyle name="20% - Accent1 14 2 43" xfId="1598"/>
    <cellStyle name="20% - Accent1 14 2 44" xfId="1599"/>
    <cellStyle name="20% - Accent1 14 2 45" xfId="1600"/>
    <cellStyle name="20% - Accent1 14 2 46" xfId="1601"/>
    <cellStyle name="20% - Accent1 14 2 47" xfId="1602"/>
    <cellStyle name="20% - Accent1 14 2 48" xfId="1603"/>
    <cellStyle name="20% - Accent1 14 2 49" xfId="1604"/>
    <cellStyle name="20% - Accent1 14 2 5" xfId="1605"/>
    <cellStyle name="20% - Accent1 14 2 50" xfId="1606"/>
    <cellStyle name="20% - Accent1 14 2 51" xfId="1607"/>
    <cellStyle name="20% - Accent1 14 2 52" xfId="1608"/>
    <cellStyle name="20% - Accent1 14 2 53" xfId="1609"/>
    <cellStyle name="20% - Accent1 14 2 54" xfId="1610"/>
    <cellStyle name="20% - Accent1 14 2 55" xfId="1611"/>
    <cellStyle name="20% - Accent1 14 2 6" xfId="1612"/>
    <cellStyle name="20% - Accent1 14 2 7" xfId="1613"/>
    <cellStyle name="20% - Accent1 14 2 8" xfId="1614"/>
    <cellStyle name="20% - Accent1 14 2 9" xfId="1615"/>
    <cellStyle name="20% - Accent1 14 3" xfId="1616"/>
    <cellStyle name="20% - Accent1 14 3 10" xfId="1617"/>
    <cellStyle name="20% - Accent1 14 3 11" xfId="1618"/>
    <cellStyle name="20% - Accent1 14 3 12" xfId="1619"/>
    <cellStyle name="20% - Accent1 14 3 13" xfId="1620"/>
    <cellStyle name="20% - Accent1 14 3 14" xfId="1621"/>
    <cellStyle name="20% - Accent1 14 3 15" xfId="1622"/>
    <cellStyle name="20% - Accent1 14 3 16" xfId="1623"/>
    <cellStyle name="20% - Accent1 14 3 17" xfId="1624"/>
    <cellStyle name="20% - Accent1 14 3 18" xfId="1625"/>
    <cellStyle name="20% - Accent1 14 3 19" xfId="1626"/>
    <cellStyle name="20% - Accent1 14 3 2" xfId="1627"/>
    <cellStyle name="20% - Accent1 14 3 2 2" xfId="1628"/>
    <cellStyle name="20% - Accent1 14 3 20" xfId="1629"/>
    <cellStyle name="20% - Accent1 14 3 21" xfId="1630"/>
    <cellStyle name="20% - Accent1 14 3 22" xfId="1631"/>
    <cellStyle name="20% - Accent1 14 3 23" xfId="1632"/>
    <cellStyle name="20% - Accent1 14 3 24" xfId="1633"/>
    <cellStyle name="20% - Accent1 14 3 25" xfId="1634"/>
    <cellStyle name="20% - Accent1 14 3 26" xfId="1635"/>
    <cellStyle name="20% - Accent1 14 3 27" xfId="1636"/>
    <cellStyle name="20% - Accent1 14 3 28" xfId="1637"/>
    <cellStyle name="20% - Accent1 14 3 29" xfId="1638"/>
    <cellStyle name="20% - Accent1 14 3 3" xfId="1639"/>
    <cellStyle name="20% - Accent1 14 3 30" xfId="1640"/>
    <cellStyle name="20% - Accent1 14 3 31" xfId="1641"/>
    <cellStyle name="20% - Accent1 14 3 32" xfId="1642"/>
    <cellStyle name="20% - Accent1 14 3 33" xfId="1643"/>
    <cellStyle name="20% - Accent1 14 3 34" xfId="1644"/>
    <cellStyle name="20% - Accent1 14 3 35" xfId="1645"/>
    <cellStyle name="20% - Accent1 14 3 36" xfId="1646"/>
    <cellStyle name="20% - Accent1 14 3 37" xfId="1647"/>
    <cellStyle name="20% - Accent1 14 3 38" xfId="1648"/>
    <cellStyle name="20% - Accent1 14 3 39" xfId="1649"/>
    <cellStyle name="20% - Accent1 14 3 4" xfId="1650"/>
    <cellStyle name="20% - Accent1 14 3 40" xfId="1651"/>
    <cellStyle name="20% - Accent1 14 3 41" xfId="1652"/>
    <cellStyle name="20% - Accent1 14 3 42" xfId="1653"/>
    <cellStyle name="20% - Accent1 14 3 43" xfId="1654"/>
    <cellStyle name="20% - Accent1 14 3 44" xfId="1655"/>
    <cellStyle name="20% - Accent1 14 3 45" xfId="1656"/>
    <cellStyle name="20% - Accent1 14 3 46" xfId="1657"/>
    <cellStyle name="20% - Accent1 14 3 47" xfId="1658"/>
    <cellStyle name="20% - Accent1 14 3 48" xfId="1659"/>
    <cellStyle name="20% - Accent1 14 3 49" xfId="1660"/>
    <cellStyle name="20% - Accent1 14 3 5" xfId="1661"/>
    <cellStyle name="20% - Accent1 14 3 50" xfId="1662"/>
    <cellStyle name="20% - Accent1 14 3 51" xfId="1663"/>
    <cellStyle name="20% - Accent1 14 3 52" xfId="1664"/>
    <cellStyle name="20% - Accent1 14 3 53" xfId="1665"/>
    <cellStyle name="20% - Accent1 14 3 54" xfId="1666"/>
    <cellStyle name="20% - Accent1 14 3 55" xfId="1667"/>
    <cellStyle name="20% - Accent1 14 3 6" xfId="1668"/>
    <cellStyle name="20% - Accent1 14 3 7" xfId="1669"/>
    <cellStyle name="20% - Accent1 14 3 8" xfId="1670"/>
    <cellStyle name="20% - Accent1 14 3 9" xfId="1671"/>
    <cellStyle name="20% - Accent1 15" xfId="1672"/>
    <cellStyle name="20% - Accent1 15 2" xfId="1673"/>
    <cellStyle name="20% - Accent1 15 2 10" xfId="1674"/>
    <cellStyle name="20% - Accent1 15 2 11" xfId="1675"/>
    <cellStyle name="20% - Accent1 15 2 12" xfId="1676"/>
    <cellStyle name="20% - Accent1 15 2 13" xfId="1677"/>
    <cellStyle name="20% - Accent1 15 2 14" xfId="1678"/>
    <cellStyle name="20% - Accent1 15 2 15" xfId="1679"/>
    <cellStyle name="20% - Accent1 15 2 16" xfId="1680"/>
    <cellStyle name="20% - Accent1 15 2 17" xfId="1681"/>
    <cellStyle name="20% - Accent1 15 2 18" xfId="1682"/>
    <cellStyle name="20% - Accent1 15 2 19" xfId="1683"/>
    <cellStyle name="20% - Accent1 15 2 2" xfId="1684"/>
    <cellStyle name="20% - Accent1 15 2 2 2" xfId="1685"/>
    <cellStyle name="20% - Accent1 15 2 20" xfId="1686"/>
    <cellStyle name="20% - Accent1 15 2 21" xfId="1687"/>
    <cellStyle name="20% - Accent1 15 2 22" xfId="1688"/>
    <cellStyle name="20% - Accent1 15 2 23" xfId="1689"/>
    <cellStyle name="20% - Accent1 15 2 24" xfId="1690"/>
    <cellStyle name="20% - Accent1 15 2 25" xfId="1691"/>
    <cellStyle name="20% - Accent1 15 2 26" xfId="1692"/>
    <cellStyle name="20% - Accent1 15 2 27" xfId="1693"/>
    <cellStyle name="20% - Accent1 15 2 28" xfId="1694"/>
    <cellStyle name="20% - Accent1 15 2 29" xfId="1695"/>
    <cellStyle name="20% - Accent1 15 2 3" xfId="1696"/>
    <cellStyle name="20% - Accent1 15 2 30" xfId="1697"/>
    <cellStyle name="20% - Accent1 15 2 31" xfId="1698"/>
    <cellStyle name="20% - Accent1 15 2 32" xfId="1699"/>
    <cellStyle name="20% - Accent1 15 2 33" xfId="1700"/>
    <cellStyle name="20% - Accent1 15 2 34" xfId="1701"/>
    <cellStyle name="20% - Accent1 15 2 35" xfId="1702"/>
    <cellStyle name="20% - Accent1 15 2 36" xfId="1703"/>
    <cellStyle name="20% - Accent1 15 2 37" xfId="1704"/>
    <cellStyle name="20% - Accent1 15 2 38" xfId="1705"/>
    <cellStyle name="20% - Accent1 15 2 39" xfId="1706"/>
    <cellStyle name="20% - Accent1 15 2 4" xfId="1707"/>
    <cellStyle name="20% - Accent1 15 2 40" xfId="1708"/>
    <cellStyle name="20% - Accent1 15 2 41" xfId="1709"/>
    <cellStyle name="20% - Accent1 15 2 42" xfId="1710"/>
    <cellStyle name="20% - Accent1 15 2 43" xfId="1711"/>
    <cellStyle name="20% - Accent1 15 2 44" xfId="1712"/>
    <cellStyle name="20% - Accent1 15 2 45" xfId="1713"/>
    <cellStyle name="20% - Accent1 15 2 46" xfId="1714"/>
    <cellStyle name="20% - Accent1 15 2 47" xfId="1715"/>
    <cellStyle name="20% - Accent1 15 2 48" xfId="1716"/>
    <cellStyle name="20% - Accent1 15 2 49" xfId="1717"/>
    <cellStyle name="20% - Accent1 15 2 5" xfId="1718"/>
    <cellStyle name="20% - Accent1 15 2 50" xfId="1719"/>
    <cellStyle name="20% - Accent1 15 2 51" xfId="1720"/>
    <cellStyle name="20% - Accent1 15 2 52" xfId="1721"/>
    <cellStyle name="20% - Accent1 15 2 53" xfId="1722"/>
    <cellStyle name="20% - Accent1 15 2 54" xfId="1723"/>
    <cellStyle name="20% - Accent1 15 2 55" xfId="1724"/>
    <cellStyle name="20% - Accent1 15 2 6" xfId="1725"/>
    <cellStyle name="20% - Accent1 15 2 7" xfId="1726"/>
    <cellStyle name="20% - Accent1 15 2 8" xfId="1727"/>
    <cellStyle name="20% - Accent1 15 2 9" xfId="1728"/>
    <cellStyle name="20% - Accent1 15 3" xfId="1729"/>
    <cellStyle name="20% - Accent1 15 3 10" xfId="1730"/>
    <cellStyle name="20% - Accent1 15 3 11" xfId="1731"/>
    <cellStyle name="20% - Accent1 15 3 12" xfId="1732"/>
    <cellStyle name="20% - Accent1 15 3 13" xfId="1733"/>
    <cellStyle name="20% - Accent1 15 3 14" xfId="1734"/>
    <cellStyle name="20% - Accent1 15 3 15" xfId="1735"/>
    <cellStyle name="20% - Accent1 15 3 16" xfId="1736"/>
    <cellStyle name="20% - Accent1 15 3 17" xfId="1737"/>
    <cellStyle name="20% - Accent1 15 3 18" xfId="1738"/>
    <cellStyle name="20% - Accent1 15 3 19" xfId="1739"/>
    <cellStyle name="20% - Accent1 15 3 2" xfId="1740"/>
    <cellStyle name="20% - Accent1 15 3 2 2" xfId="1741"/>
    <cellStyle name="20% - Accent1 15 3 20" xfId="1742"/>
    <cellStyle name="20% - Accent1 15 3 21" xfId="1743"/>
    <cellStyle name="20% - Accent1 15 3 22" xfId="1744"/>
    <cellStyle name="20% - Accent1 15 3 23" xfId="1745"/>
    <cellStyle name="20% - Accent1 15 3 24" xfId="1746"/>
    <cellStyle name="20% - Accent1 15 3 25" xfId="1747"/>
    <cellStyle name="20% - Accent1 15 3 26" xfId="1748"/>
    <cellStyle name="20% - Accent1 15 3 27" xfId="1749"/>
    <cellStyle name="20% - Accent1 15 3 28" xfId="1750"/>
    <cellStyle name="20% - Accent1 15 3 29" xfId="1751"/>
    <cellStyle name="20% - Accent1 15 3 3" xfId="1752"/>
    <cellStyle name="20% - Accent1 15 3 30" xfId="1753"/>
    <cellStyle name="20% - Accent1 15 3 31" xfId="1754"/>
    <cellStyle name="20% - Accent1 15 3 32" xfId="1755"/>
    <cellStyle name="20% - Accent1 15 3 33" xfId="1756"/>
    <cellStyle name="20% - Accent1 15 3 34" xfId="1757"/>
    <cellStyle name="20% - Accent1 15 3 35" xfId="1758"/>
    <cellStyle name="20% - Accent1 15 3 36" xfId="1759"/>
    <cellStyle name="20% - Accent1 15 3 37" xfId="1760"/>
    <cellStyle name="20% - Accent1 15 3 38" xfId="1761"/>
    <cellStyle name="20% - Accent1 15 3 39" xfId="1762"/>
    <cellStyle name="20% - Accent1 15 3 4" xfId="1763"/>
    <cellStyle name="20% - Accent1 15 3 40" xfId="1764"/>
    <cellStyle name="20% - Accent1 15 3 41" xfId="1765"/>
    <cellStyle name="20% - Accent1 15 3 42" xfId="1766"/>
    <cellStyle name="20% - Accent1 15 3 43" xfId="1767"/>
    <cellStyle name="20% - Accent1 15 3 44" xfId="1768"/>
    <cellStyle name="20% - Accent1 15 3 45" xfId="1769"/>
    <cellStyle name="20% - Accent1 15 3 46" xfId="1770"/>
    <cellStyle name="20% - Accent1 15 3 47" xfId="1771"/>
    <cellStyle name="20% - Accent1 15 3 48" xfId="1772"/>
    <cellStyle name="20% - Accent1 15 3 49" xfId="1773"/>
    <cellStyle name="20% - Accent1 15 3 5" xfId="1774"/>
    <cellStyle name="20% - Accent1 15 3 50" xfId="1775"/>
    <cellStyle name="20% - Accent1 15 3 51" xfId="1776"/>
    <cellStyle name="20% - Accent1 15 3 52" xfId="1777"/>
    <cellStyle name="20% - Accent1 15 3 53" xfId="1778"/>
    <cellStyle name="20% - Accent1 15 3 54" xfId="1779"/>
    <cellStyle name="20% - Accent1 15 3 55" xfId="1780"/>
    <cellStyle name="20% - Accent1 15 3 6" xfId="1781"/>
    <cellStyle name="20% - Accent1 15 3 7" xfId="1782"/>
    <cellStyle name="20% - Accent1 15 3 8" xfId="1783"/>
    <cellStyle name="20% - Accent1 15 3 9" xfId="1784"/>
    <cellStyle name="20% - Accent1 16" xfId="1785"/>
    <cellStyle name="20% - Accent1 16 2" xfId="1786"/>
    <cellStyle name="20% - Accent1 16 2 10" xfId="1787"/>
    <cellStyle name="20% - Accent1 16 2 11" xfId="1788"/>
    <cellStyle name="20% - Accent1 16 2 12" xfId="1789"/>
    <cellStyle name="20% - Accent1 16 2 13" xfId="1790"/>
    <cellStyle name="20% - Accent1 16 2 14" xfId="1791"/>
    <cellStyle name="20% - Accent1 16 2 15" xfId="1792"/>
    <cellStyle name="20% - Accent1 16 2 16" xfId="1793"/>
    <cellStyle name="20% - Accent1 16 2 17" xfId="1794"/>
    <cellStyle name="20% - Accent1 16 2 18" xfId="1795"/>
    <cellStyle name="20% - Accent1 16 2 19" xfId="1796"/>
    <cellStyle name="20% - Accent1 16 2 2" xfId="1797"/>
    <cellStyle name="20% - Accent1 16 2 2 2" xfId="1798"/>
    <cellStyle name="20% - Accent1 16 2 20" xfId="1799"/>
    <cellStyle name="20% - Accent1 16 2 21" xfId="1800"/>
    <cellStyle name="20% - Accent1 16 2 22" xfId="1801"/>
    <cellStyle name="20% - Accent1 16 2 23" xfId="1802"/>
    <cellStyle name="20% - Accent1 16 2 24" xfId="1803"/>
    <cellStyle name="20% - Accent1 16 2 25" xfId="1804"/>
    <cellStyle name="20% - Accent1 16 2 26" xfId="1805"/>
    <cellStyle name="20% - Accent1 16 2 27" xfId="1806"/>
    <cellStyle name="20% - Accent1 16 2 28" xfId="1807"/>
    <cellStyle name="20% - Accent1 16 2 29" xfId="1808"/>
    <cellStyle name="20% - Accent1 16 2 3" xfId="1809"/>
    <cellStyle name="20% - Accent1 16 2 30" xfId="1810"/>
    <cellStyle name="20% - Accent1 16 2 31" xfId="1811"/>
    <cellStyle name="20% - Accent1 16 2 32" xfId="1812"/>
    <cellStyle name="20% - Accent1 16 2 33" xfId="1813"/>
    <cellStyle name="20% - Accent1 16 2 34" xfId="1814"/>
    <cellStyle name="20% - Accent1 16 2 35" xfId="1815"/>
    <cellStyle name="20% - Accent1 16 2 36" xfId="1816"/>
    <cellStyle name="20% - Accent1 16 2 37" xfId="1817"/>
    <cellStyle name="20% - Accent1 16 2 38" xfId="1818"/>
    <cellStyle name="20% - Accent1 16 2 39" xfId="1819"/>
    <cellStyle name="20% - Accent1 16 2 4" xfId="1820"/>
    <cellStyle name="20% - Accent1 16 2 40" xfId="1821"/>
    <cellStyle name="20% - Accent1 16 2 41" xfId="1822"/>
    <cellStyle name="20% - Accent1 16 2 42" xfId="1823"/>
    <cellStyle name="20% - Accent1 16 2 43" xfId="1824"/>
    <cellStyle name="20% - Accent1 16 2 44" xfId="1825"/>
    <cellStyle name="20% - Accent1 16 2 45" xfId="1826"/>
    <cellStyle name="20% - Accent1 16 2 46" xfId="1827"/>
    <cellStyle name="20% - Accent1 16 2 47" xfId="1828"/>
    <cellStyle name="20% - Accent1 16 2 48" xfId="1829"/>
    <cellStyle name="20% - Accent1 16 2 49" xfId="1830"/>
    <cellStyle name="20% - Accent1 16 2 5" xfId="1831"/>
    <cellStyle name="20% - Accent1 16 2 50" xfId="1832"/>
    <cellStyle name="20% - Accent1 16 2 51" xfId="1833"/>
    <cellStyle name="20% - Accent1 16 2 52" xfId="1834"/>
    <cellStyle name="20% - Accent1 16 2 53" xfId="1835"/>
    <cellStyle name="20% - Accent1 16 2 54" xfId="1836"/>
    <cellStyle name="20% - Accent1 16 2 55" xfId="1837"/>
    <cellStyle name="20% - Accent1 16 2 6" xfId="1838"/>
    <cellStyle name="20% - Accent1 16 2 7" xfId="1839"/>
    <cellStyle name="20% - Accent1 16 2 8" xfId="1840"/>
    <cellStyle name="20% - Accent1 16 2 9" xfId="1841"/>
    <cellStyle name="20% - Accent1 16 3" xfId="1842"/>
    <cellStyle name="20% - Accent1 16 3 10" xfId="1843"/>
    <cellStyle name="20% - Accent1 16 3 11" xfId="1844"/>
    <cellStyle name="20% - Accent1 16 3 12" xfId="1845"/>
    <cellStyle name="20% - Accent1 16 3 13" xfId="1846"/>
    <cellStyle name="20% - Accent1 16 3 14" xfId="1847"/>
    <cellStyle name="20% - Accent1 16 3 15" xfId="1848"/>
    <cellStyle name="20% - Accent1 16 3 16" xfId="1849"/>
    <cellStyle name="20% - Accent1 16 3 17" xfId="1850"/>
    <cellStyle name="20% - Accent1 16 3 18" xfId="1851"/>
    <cellStyle name="20% - Accent1 16 3 19" xfId="1852"/>
    <cellStyle name="20% - Accent1 16 3 2" xfId="1853"/>
    <cellStyle name="20% - Accent1 16 3 2 2" xfId="1854"/>
    <cellStyle name="20% - Accent1 16 3 20" xfId="1855"/>
    <cellStyle name="20% - Accent1 16 3 21" xfId="1856"/>
    <cellStyle name="20% - Accent1 16 3 22" xfId="1857"/>
    <cellStyle name="20% - Accent1 16 3 23" xfId="1858"/>
    <cellStyle name="20% - Accent1 16 3 24" xfId="1859"/>
    <cellStyle name="20% - Accent1 16 3 25" xfId="1860"/>
    <cellStyle name="20% - Accent1 16 3 26" xfId="1861"/>
    <cellStyle name="20% - Accent1 16 3 27" xfId="1862"/>
    <cellStyle name="20% - Accent1 16 3 28" xfId="1863"/>
    <cellStyle name="20% - Accent1 16 3 29" xfId="1864"/>
    <cellStyle name="20% - Accent1 16 3 3" xfId="1865"/>
    <cellStyle name="20% - Accent1 16 3 30" xfId="1866"/>
    <cellStyle name="20% - Accent1 16 3 31" xfId="1867"/>
    <cellStyle name="20% - Accent1 16 3 32" xfId="1868"/>
    <cellStyle name="20% - Accent1 16 3 33" xfId="1869"/>
    <cellStyle name="20% - Accent1 16 3 34" xfId="1870"/>
    <cellStyle name="20% - Accent1 16 3 35" xfId="1871"/>
    <cellStyle name="20% - Accent1 16 3 36" xfId="1872"/>
    <cellStyle name="20% - Accent1 16 3 37" xfId="1873"/>
    <cellStyle name="20% - Accent1 16 3 38" xfId="1874"/>
    <cellStyle name="20% - Accent1 16 3 39" xfId="1875"/>
    <cellStyle name="20% - Accent1 16 3 4" xfId="1876"/>
    <cellStyle name="20% - Accent1 16 3 40" xfId="1877"/>
    <cellStyle name="20% - Accent1 16 3 41" xfId="1878"/>
    <cellStyle name="20% - Accent1 16 3 42" xfId="1879"/>
    <cellStyle name="20% - Accent1 16 3 43" xfId="1880"/>
    <cellStyle name="20% - Accent1 16 3 44" xfId="1881"/>
    <cellStyle name="20% - Accent1 16 3 45" xfId="1882"/>
    <cellStyle name="20% - Accent1 16 3 46" xfId="1883"/>
    <cellStyle name="20% - Accent1 16 3 47" xfId="1884"/>
    <cellStyle name="20% - Accent1 16 3 48" xfId="1885"/>
    <cellStyle name="20% - Accent1 16 3 49" xfId="1886"/>
    <cellStyle name="20% - Accent1 16 3 5" xfId="1887"/>
    <cellStyle name="20% - Accent1 16 3 50" xfId="1888"/>
    <cellStyle name="20% - Accent1 16 3 51" xfId="1889"/>
    <cellStyle name="20% - Accent1 16 3 52" xfId="1890"/>
    <cellStyle name="20% - Accent1 16 3 53" xfId="1891"/>
    <cellStyle name="20% - Accent1 16 3 54" xfId="1892"/>
    <cellStyle name="20% - Accent1 16 3 55" xfId="1893"/>
    <cellStyle name="20% - Accent1 16 3 6" xfId="1894"/>
    <cellStyle name="20% - Accent1 16 3 7" xfId="1895"/>
    <cellStyle name="20% - Accent1 16 3 8" xfId="1896"/>
    <cellStyle name="20% - Accent1 16 3 9" xfId="1897"/>
    <cellStyle name="20% - Accent1 17" xfId="1898"/>
    <cellStyle name="20% - Accent1 17 2" xfId="1899"/>
    <cellStyle name="20% - Accent1 17 2 10" xfId="1900"/>
    <cellStyle name="20% - Accent1 17 2 11" xfId="1901"/>
    <cellStyle name="20% - Accent1 17 2 12" xfId="1902"/>
    <cellStyle name="20% - Accent1 17 2 13" xfId="1903"/>
    <cellStyle name="20% - Accent1 17 2 14" xfId="1904"/>
    <cellStyle name="20% - Accent1 17 2 15" xfId="1905"/>
    <cellStyle name="20% - Accent1 17 2 16" xfId="1906"/>
    <cellStyle name="20% - Accent1 17 2 17" xfId="1907"/>
    <cellStyle name="20% - Accent1 17 2 18" xfId="1908"/>
    <cellStyle name="20% - Accent1 17 2 19" xfId="1909"/>
    <cellStyle name="20% - Accent1 17 2 2" xfId="1910"/>
    <cellStyle name="20% - Accent1 17 2 2 2" xfId="1911"/>
    <cellStyle name="20% - Accent1 17 2 20" xfId="1912"/>
    <cellStyle name="20% - Accent1 17 2 21" xfId="1913"/>
    <cellStyle name="20% - Accent1 17 2 22" xfId="1914"/>
    <cellStyle name="20% - Accent1 17 2 23" xfId="1915"/>
    <cellStyle name="20% - Accent1 17 2 24" xfId="1916"/>
    <cellStyle name="20% - Accent1 17 2 25" xfId="1917"/>
    <cellStyle name="20% - Accent1 17 2 26" xfId="1918"/>
    <cellStyle name="20% - Accent1 17 2 27" xfId="1919"/>
    <cellStyle name="20% - Accent1 17 2 28" xfId="1920"/>
    <cellStyle name="20% - Accent1 17 2 29" xfId="1921"/>
    <cellStyle name="20% - Accent1 17 2 3" xfId="1922"/>
    <cellStyle name="20% - Accent1 17 2 30" xfId="1923"/>
    <cellStyle name="20% - Accent1 17 2 31" xfId="1924"/>
    <cellStyle name="20% - Accent1 17 2 32" xfId="1925"/>
    <cellStyle name="20% - Accent1 17 2 33" xfId="1926"/>
    <cellStyle name="20% - Accent1 17 2 34" xfId="1927"/>
    <cellStyle name="20% - Accent1 17 2 35" xfId="1928"/>
    <cellStyle name="20% - Accent1 17 2 36" xfId="1929"/>
    <cellStyle name="20% - Accent1 17 2 37" xfId="1930"/>
    <cellStyle name="20% - Accent1 17 2 38" xfId="1931"/>
    <cellStyle name="20% - Accent1 17 2 39" xfId="1932"/>
    <cellStyle name="20% - Accent1 17 2 4" xfId="1933"/>
    <cellStyle name="20% - Accent1 17 2 40" xfId="1934"/>
    <cellStyle name="20% - Accent1 17 2 41" xfId="1935"/>
    <cellStyle name="20% - Accent1 17 2 42" xfId="1936"/>
    <cellStyle name="20% - Accent1 17 2 43" xfId="1937"/>
    <cellStyle name="20% - Accent1 17 2 44" xfId="1938"/>
    <cellStyle name="20% - Accent1 17 2 45" xfId="1939"/>
    <cellStyle name="20% - Accent1 17 2 46" xfId="1940"/>
    <cellStyle name="20% - Accent1 17 2 47" xfId="1941"/>
    <cellStyle name="20% - Accent1 17 2 48" xfId="1942"/>
    <cellStyle name="20% - Accent1 17 2 49" xfId="1943"/>
    <cellStyle name="20% - Accent1 17 2 5" xfId="1944"/>
    <cellStyle name="20% - Accent1 17 2 50" xfId="1945"/>
    <cellStyle name="20% - Accent1 17 2 51" xfId="1946"/>
    <cellStyle name="20% - Accent1 17 2 52" xfId="1947"/>
    <cellStyle name="20% - Accent1 17 2 53" xfId="1948"/>
    <cellStyle name="20% - Accent1 17 2 54" xfId="1949"/>
    <cellStyle name="20% - Accent1 17 2 55" xfId="1950"/>
    <cellStyle name="20% - Accent1 17 2 6" xfId="1951"/>
    <cellStyle name="20% - Accent1 17 2 7" xfId="1952"/>
    <cellStyle name="20% - Accent1 17 2 8" xfId="1953"/>
    <cellStyle name="20% - Accent1 17 2 9" xfId="1954"/>
    <cellStyle name="20% - Accent1 17 3" xfId="1955"/>
    <cellStyle name="20% - Accent1 17 3 10" xfId="1956"/>
    <cellStyle name="20% - Accent1 17 3 11" xfId="1957"/>
    <cellStyle name="20% - Accent1 17 3 12" xfId="1958"/>
    <cellStyle name="20% - Accent1 17 3 13" xfId="1959"/>
    <cellStyle name="20% - Accent1 17 3 14" xfId="1960"/>
    <cellStyle name="20% - Accent1 17 3 15" xfId="1961"/>
    <cellStyle name="20% - Accent1 17 3 16" xfId="1962"/>
    <cellStyle name="20% - Accent1 17 3 17" xfId="1963"/>
    <cellStyle name="20% - Accent1 17 3 18" xfId="1964"/>
    <cellStyle name="20% - Accent1 17 3 19" xfId="1965"/>
    <cellStyle name="20% - Accent1 17 3 2" xfId="1966"/>
    <cellStyle name="20% - Accent1 17 3 2 2" xfId="1967"/>
    <cellStyle name="20% - Accent1 17 3 20" xfId="1968"/>
    <cellStyle name="20% - Accent1 17 3 21" xfId="1969"/>
    <cellStyle name="20% - Accent1 17 3 22" xfId="1970"/>
    <cellStyle name="20% - Accent1 17 3 23" xfId="1971"/>
    <cellStyle name="20% - Accent1 17 3 24" xfId="1972"/>
    <cellStyle name="20% - Accent1 17 3 25" xfId="1973"/>
    <cellStyle name="20% - Accent1 17 3 26" xfId="1974"/>
    <cellStyle name="20% - Accent1 17 3 27" xfId="1975"/>
    <cellStyle name="20% - Accent1 17 3 28" xfId="1976"/>
    <cellStyle name="20% - Accent1 17 3 29" xfId="1977"/>
    <cellStyle name="20% - Accent1 17 3 3" xfId="1978"/>
    <cellStyle name="20% - Accent1 17 3 30" xfId="1979"/>
    <cellStyle name="20% - Accent1 17 3 31" xfId="1980"/>
    <cellStyle name="20% - Accent1 17 3 32" xfId="1981"/>
    <cellStyle name="20% - Accent1 17 3 33" xfId="1982"/>
    <cellStyle name="20% - Accent1 17 3 34" xfId="1983"/>
    <cellStyle name="20% - Accent1 17 3 35" xfId="1984"/>
    <cellStyle name="20% - Accent1 17 3 36" xfId="1985"/>
    <cellStyle name="20% - Accent1 17 3 37" xfId="1986"/>
    <cellStyle name="20% - Accent1 17 3 38" xfId="1987"/>
    <cellStyle name="20% - Accent1 17 3 39" xfId="1988"/>
    <cellStyle name="20% - Accent1 17 3 4" xfId="1989"/>
    <cellStyle name="20% - Accent1 17 3 40" xfId="1990"/>
    <cellStyle name="20% - Accent1 17 3 41" xfId="1991"/>
    <cellStyle name="20% - Accent1 17 3 42" xfId="1992"/>
    <cellStyle name="20% - Accent1 17 3 43" xfId="1993"/>
    <cellStyle name="20% - Accent1 17 3 44" xfId="1994"/>
    <cellStyle name="20% - Accent1 17 3 45" xfId="1995"/>
    <cellStyle name="20% - Accent1 17 3 46" xfId="1996"/>
    <cellStyle name="20% - Accent1 17 3 47" xfId="1997"/>
    <cellStyle name="20% - Accent1 17 3 48" xfId="1998"/>
    <cellStyle name="20% - Accent1 17 3 49" xfId="1999"/>
    <cellStyle name="20% - Accent1 17 3 5" xfId="2000"/>
    <cellStyle name="20% - Accent1 17 3 50" xfId="2001"/>
    <cellStyle name="20% - Accent1 17 3 51" xfId="2002"/>
    <cellStyle name="20% - Accent1 17 3 52" xfId="2003"/>
    <cellStyle name="20% - Accent1 17 3 53" xfId="2004"/>
    <cellStyle name="20% - Accent1 17 3 54" xfId="2005"/>
    <cellStyle name="20% - Accent1 17 3 55" xfId="2006"/>
    <cellStyle name="20% - Accent1 17 3 6" xfId="2007"/>
    <cellStyle name="20% - Accent1 17 3 7" xfId="2008"/>
    <cellStyle name="20% - Accent1 17 3 8" xfId="2009"/>
    <cellStyle name="20% - Accent1 17 3 9" xfId="2010"/>
    <cellStyle name="20% - Accent1 18" xfId="2011"/>
    <cellStyle name="20% - Accent1 18 2" xfId="2012"/>
    <cellStyle name="20% - Accent1 18 2 10" xfId="2013"/>
    <cellStyle name="20% - Accent1 18 2 11" xfId="2014"/>
    <cellStyle name="20% - Accent1 18 2 12" xfId="2015"/>
    <cellStyle name="20% - Accent1 18 2 13" xfId="2016"/>
    <cellStyle name="20% - Accent1 18 2 14" xfId="2017"/>
    <cellStyle name="20% - Accent1 18 2 15" xfId="2018"/>
    <cellStyle name="20% - Accent1 18 2 16" xfId="2019"/>
    <cellStyle name="20% - Accent1 18 2 17" xfId="2020"/>
    <cellStyle name="20% - Accent1 18 2 18" xfId="2021"/>
    <cellStyle name="20% - Accent1 18 2 19" xfId="2022"/>
    <cellStyle name="20% - Accent1 18 2 2" xfId="2023"/>
    <cellStyle name="20% - Accent1 18 2 2 2" xfId="2024"/>
    <cellStyle name="20% - Accent1 18 2 20" xfId="2025"/>
    <cellStyle name="20% - Accent1 18 2 21" xfId="2026"/>
    <cellStyle name="20% - Accent1 18 2 22" xfId="2027"/>
    <cellStyle name="20% - Accent1 18 2 23" xfId="2028"/>
    <cellStyle name="20% - Accent1 18 2 24" xfId="2029"/>
    <cellStyle name="20% - Accent1 18 2 25" xfId="2030"/>
    <cellStyle name="20% - Accent1 18 2 26" xfId="2031"/>
    <cellStyle name="20% - Accent1 18 2 27" xfId="2032"/>
    <cellStyle name="20% - Accent1 18 2 28" xfId="2033"/>
    <cellStyle name="20% - Accent1 18 2 29" xfId="2034"/>
    <cellStyle name="20% - Accent1 18 2 3" xfId="2035"/>
    <cellStyle name="20% - Accent1 18 2 30" xfId="2036"/>
    <cellStyle name="20% - Accent1 18 2 31" xfId="2037"/>
    <cellStyle name="20% - Accent1 18 2 32" xfId="2038"/>
    <cellStyle name="20% - Accent1 18 2 33" xfId="2039"/>
    <cellStyle name="20% - Accent1 18 2 34" xfId="2040"/>
    <cellStyle name="20% - Accent1 18 2 35" xfId="2041"/>
    <cellStyle name="20% - Accent1 18 2 36" xfId="2042"/>
    <cellStyle name="20% - Accent1 18 2 37" xfId="2043"/>
    <cellStyle name="20% - Accent1 18 2 38" xfId="2044"/>
    <cellStyle name="20% - Accent1 18 2 39" xfId="2045"/>
    <cellStyle name="20% - Accent1 18 2 4" xfId="2046"/>
    <cellStyle name="20% - Accent1 18 2 40" xfId="2047"/>
    <cellStyle name="20% - Accent1 18 2 41" xfId="2048"/>
    <cellStyle name="20% - Accent1 18 2 42" xfId="2049"/>
    <cellStyle name="20% - Accent1 18 2 43" xfId="2050"/>
    <cellStyle name="20% - Accent1 18 2 44" xfId="2051"/>
    <cellStyle name="20% - Accent1 18 2 45" xfId="2052"/>
    <cellStyle name="20% - Accent1 18 2 46" xfId="2053"/>
    <cellStyle name="20% - Accent1 18 2 47" xfId="2054"/>
    <cellStyle name="20% - Accent1 18 2 48" xfId="2055"/>
    <cellStyle name="20% - Accent1 18 2 49" xfId="2056"/>
    <cellStyle name="20% - Accent1 18 2 5" xfId="2057"/>
    <cellStyle name="20% - Accent1 18 2 50" xfId="2058"/>
    <cellStyle name="20% - Accent1 18 2 51" xfId="2059"/>
    <cellStyle name="20% - Accent1 18 2 52" xfId="2060"/>
    <cellStyle name="20% - Accent1 18 2 53" xfId="2061"/>
    <cellStyle name="20% - Accent1 18 2 54" xfId="2062"/>
    <cellStyle name="20% - Accent1 18 2 55" xfId="2063"/>
    <cellStyle name="20% - Accent1 18 2 6" xfId="2064"/>
    <cellStyle name="20% - Accent1 18 2 7" xfId="2065"/>
    <cellStyle name="20% - Accent1 18 2 8" xfId="2066"/>
    <cellStyle name="20% - Accent1 18 2 9" xfId="2067"/>
    <cellStyle name="20% - Accent1 18 3" xfId="2068"/>
    <cellStyle name="20% - Accent1 18 3 10" xfId="2069"/>
    <cellStyle name="20% - Accent1 18 3 11" xfId="2070"/>
    <cellStyle name="20% - Accent1 18 3 12" xfId="2071"/>
    <cellStyle name="20% - Accent1 18 3 13" xfId="2072"/>
    <cellStyle name="20% - Accent1 18 3 14" xfId="2073"/>
    <cellStyle name="20% - Accent1 18 3 15" xfId="2074"/>
    <cellStyle name="20% - Accent1 18 3 16" xfId="2075"/>
    <cellStyle name="20% - Accent1 18 3 17" xfId="2076"/>
    <cellStyle name="20% - Accent1 18 3 18" xfId="2077"/>
    <cellStyle name="20% - Accent1 18 3 19" xfId="2078"/>
    <cellStyle name="20% - Accent1 18 3 2" xfId="2079"/>
    <cellStyle name="20% - Accent1 18 3 2 2" xfId="2080"/>
    <cellStyle name="20% - Accent1 18 3 20" xfId="2081"/>
    <cellStyle name="20% - Accent1 18 3 21" xfId="2082"/>
    <cellStyle name="20% - Accent1 18 3 22" xfId="2083"/>
    <cellStyle name="20% - Accent1 18 3 23" xfId="2084"/>
    <cellStyle name="20% - Accent1 18 3 24" xfId="2085"/>
    <cellStyle name="20% - Accent1 18 3 25" xfId="2086"/>
    <cellStyle name="20% - Accent1 18 3 26" xfId="2087"/>
    <cellStyle name="20% - Accent1 18 3 27" xfId="2088"/>
    <cellStyle name="20% - Accent1 18 3 28" xfId="2089"/>
    <cellStyle name="20% - Accent1 18 3 29" xfId="2090"/>
    <cellStyle name="20% - Accent1 18 3 3" xfId="2091"/>
    <cellStyle name="20% - Accent1 18 3 30" xfId="2092"/>
    <cellStyle name="20% - Accent1 18 3 31" xfId="2093"/>
    <cellStyle name="20% - Accent1 18 3 32" xfId="2094"/>
    <cellStyle name="20% - Accent1 18 3 33" xfId="2095"/>
    <cellStyle name="20% - Accent1 18 3 34" xfId="2096"/>
    <cellStyle name="20% - Accent1 18 3 35" xfId="2097"/>
    <cellStyle name="20% - Accent1 18 3 36" xfId="2098"/>
    <cellStyle name="20% - Accent1 18 3 37" xfId="2099"/>
    <cellStyle name="20% - Accent1 18 3 38" xfId="2100"/>
    <cellStyle name="20% - Accent1 18 3 39" xfId="2101"/>
    <cellStyle name="20% - Accent1 18 3 4" xfId="2102"/>
    <cellStyle name="20% - Accent1 18 3 40" xfId="2103"/>
    <cellStyle name="20% - Accent1 18 3 41" xfId="2104"/>
    <cellStyle name="20% - Accent1 18 3 42" xfId="2105"/>
    <cellStyle name="20% - Accent1 18 3 43" xfId="2106"/>
    <cellStyle name="20% - Accent1 18 3 44" xfId="2107"/>
    <cellStyle name="20% - Accent1 18 3 45" xfId="2108"/>
    <cellStyle name="20% - Accent1 18 3 46" xfId="2109"/>
    <cellStyle name="20% - Accent1 18 3 47" xfId="2110"/>
    <cellStyle name="20% - Accent1 18 3 48" xfId="2111"/>
    <cellStyle name="20% - Accent1 18 3 49" xfId="2112"/>
    <cellStyle name="20% - Accent1 18 3 5" xfId="2113"/>
    <cellStyle name="20% - Accent1 18 3 50" xfId="2114"/>
    <cellStyle name="20% - Accent1 18 3 51" xfId="2115"/>
    <cellStyle name="20% - Accent1 18 3 52" xfId="2116"/>
    <cellStyle name="20% - Accent1 18 3 53" xfId="2117"/>
    <cellStyle name="20% - Accent1 18 3 54" xfId="2118"/>
    <cellStyle name="20% - Accent1 18 3 55" xfId="2119"/>
    <cellStyle name="20% - Accent1 18 3 6" xfId="2120"/>
    <cellStyle name="20% - Accent1 18 3 7" xfId="2121"/>
    <cellStyle name="20% - Accent1 18 3 8" xfId="2122"/>
    <cellStyle name="20% - Accent1 18 3 9" xfId="2123"/>
    <cellStyle name="20% - Accent1 19" xfId="2124"/>
    <cellStyle name="20% - Accent1 2" xfId="2125"/>
    <cellStyle name="20% - Accent1 2 2" xfId="2126"/>
    <cellStyle name="20% - Accent1 2 2 2" xfId="2127"/>
    <cellStyle name="20% - Accent1 2 2 2 10" xfId="2128"/>
    <cellStyle name="20% - Accent1 2 2 2 11" xfId="2129"/>
    <cellStyle name="20% - Accent1 2 2 2 12" xfId="2130"/>
    <cellStyle name="20% - Accent1 2 2 2 13" xfId="2131"/>
    <cellStyle name="20% - Accent1 2 2 2 14" xfId="2132"/>
    <cellStyle name="20% - Accent1 2 2 2 15" xfId="2133"/>
    <cellStyle name="20% - Accent1 2 2 2 16" xfId="2134"/>
    <cellStyle name="20% - Accent1 2 2 2 17" xfId="2135"/>
    <cellStyle name="20% - Accent1 2 2 2 18" xfId="2136"/>
    <cellStyle name="20% - Accent1 2 2 2 19" xfId="2137"/>
    <cellStyle name="20% - Accent1 2 2 2 2" xfId="2138"/>
    <cellStyle name="20% - Accent1 2 2 2 2 2" xfId="2139"/>
    <cellStyle name="20% - Accent1 2 2 2 20" xfId="2140"/>
    <cellStyle name="20% - Accent1 2 2 2 21" xfId="2141"/>
    <cellStyle name="20% - Accent1 2 2 2 22" xfId="2142"/>
    <cellStyle name="20% - Accent1 2 2 2 23" xfId="2143"/>
    <cellStyle name="20% - Accent1 2 2 2 24" xfId="2144"/>
    <cellStyle name="20% - Accent1 2 2 2 25" xfId="2145"/>
    <cellStyle name="20% - Accent1 2 2 2 26" xfId="2146"/>
    <cellStyle name="20% - Accent1 2 2 2 27" xfId="2147"/>
    <cellStyle name="20% - Accent1 2 2 2 28" xfId="2148"/>
    <cellStyle name="20% - Accent1 2 2 2 29" xfId="2149"/>
    <cellStyle name="20% - Accent1 2 2 2 3" xfId="2150"/>
    <cellStyle name="20% - Accent1 2 2 2 30" xfId="2151"/>
    <cellStyle name="20% - Accent1 2 2 2 31" xfId="2152"/>
    <cellStyle name="20% - Accent1 2 2 2 32" xfId="2153"/>
    <cellStyle name="20% - Accent1 2 2 2 33" xfId="2154"/>
    <cellStyle name="20% - Accent1 2 2 2 34" xfId="2155"/>
    <cellStyle name="20% - Accent1 2 2 2 35" xfId="2156"/>
    <cellStyle name="20% - Accent1 2 2 2 36" xfId="2157"/>
    <cellStyle name="20% - Accent1 2 2 2 37" xfId="2158"/>
    <cellStyle name="20% - Accent1 2 2 2 38" xfId="2159"/>
    <cellStyle name="20% - Accent1 2 2 2 39" xfId="2160"/>
    <cellStyle name="20% - Accent1 2 2 2 4" xfId="2161"/>
    <cellStyle name="20% - Accent1 2 2 2 40" xfId="2162"/>
    <cellStyle name="20% - Accent1 2 2 2 41" xfId="2163"/>
    <cellStyle name="20% - Accent1 2 2 2 42" xfId="2164"/>
    <cellStyle name="20% - Accent1 2 2 2 43" xfId="2165"/>
    <cellStyle name="20% - Accent1 2 2 2 44" xfId="2166"/>
    <cellStyle name="20% - Accent1 2 2 2 45" xfId="2167"/>
    <cellStyle name="20% - Accent1 2 2 2 46" xfId="2168"/>
    <cellStyle name="20% - Accent1 2 2 2 47" xfId="2169"/>
    <cellStyle name="20% - Accent1 2 2 2 48" xfId="2170"/>
    <cellStyle name="20% - Accent1 2 2 2 49" xfId="2171"/>
    <cellStyle name="20% - Accent1 2 2 2 5" xfId="2172"/>
    <cellStyle name="20% - Accent1 2 2 2 50" xfId="2173"/>
    <cellStyle name="20% - Accent1 2 2 2 51" xfId="2174"/>
    <cellStyle name="20% - Accent1 2 2 2 52" xfId="2175"/>
    <cellStyle name="20% - Accent1 2 2 2 53" xfId="2176"/>
    <cellStyle name="20% - Accent1 2 2 2 54" xfId="2177"/>
    <cellStyle name="20% - Accent1 2 2 2 55" xfId="2178"/>
    <cellStyle name="20% - Accent1 2 2 2 6" xfId="2179"/>
    <cellStyle name="20% - Accent1 2 2 2 7" xfId="2180"/>
    <cellStyle name="20% - Accent1 2 2 2 8" xfId="2181"/>
    <cellStyle name="20% - Accent1 2 2 2 9" xfId="2182"/>
    <cellStyle name="20% - Accent1 2 2 2_PM Okt 2014 Plan VS Actual Planning Workshop" xfId="2183"/>
    <cellStyle name="20% - Accent1 2 2 3" xfId="2184"/>
    <cellStyle name="20% - Accent1 2 2 3 10" xfId="2185"/>
    <cellStyle name="20% - Accent1 2 2 3 11" xfId="2186"/>
    <cellStyle name="20% - Accent1 2 2 3 12" xfId="2187"/>
    <cellStyle name="20% - Accent1 2 2 3 13" xfId="2188"/>
    <cellStyle name="20% - Accent1 2 2 3 14" xfId="2189"/>
    <cellStyle name="20% - Accent1 2 2 3 15" xfId="2190"/>
    <cellStyle name="20% - Accent1 2 2 3 16" xfId="2191"/>
    <cellStyle name="20% - Accent1 2 2 3 17" xfId="2192"/>
    <cellStyle name="20% - Accent1 2 2 3 18" xfId="2193"/>
    <cellStyle name="20% - Accent1 2 2 3 19" xfId="2194"/>
    <cellStyle name="20% - Accent1 2 2 3 2" xfId="2195"/>
    <cellStyle name="20% - Accent1 2 2 3 2 2" xfId="2196"/>
    <cellStyle name="20% - Accent1 2 2 3 20" xfId="2197"/>
    <cellStyle name="20% - Accent1 2 2 3 21" xfId="2198"/>
    <cellStyle name="20% - Accent1 2 2 3 22" xfId="2199"/>
    <cellStyle name="20% - Accent1 2 2 3 23" xfId="2200"/>
    <cellStyle name="20% - Accent1 2 2 3 24" xfId="2201"/>
    <cellStyle name="20% - Accent1 2 2 3 25" xfId="2202"/>
    <cellStyle name="20% - Accent1 2 2 3 26" xfId="2203"/>
    <cellStyle name="20% - Accent1 2 2 3 27" xfId="2204"/>
    <cellStyle name="20% - Accent1 2 2 3 28" xfId="2205"/>
    <cellStyle name="20% - Accent1 2 2 3 29" xfId="2206"/>
    <cellStyle name="20% - Accent1 2 2 3 3" xfId="2207"/>
    <cellStyle name="20% - Accent1 2 2 3 30" xfId="2208"/>
    <cellStyle name="20% - Accent1 2 2 3 31" xfId="2209"/>
    <cellStyle name="20% - Accent1 2 2 3 32" xfId="2210"/>
    <cellStyle name="20% - Accent1 2 2 3 33" xfId="2211"/>
    <cellStyle name="20% - Accent1 2 2 3 34" xfId="2212"/>
    <cellStyle name="20% - Accent1 2 2 3 35" xfId="2213"/>
    <cellStyle name="20% - Accent1 2 2 3 36" xfId="2214"/>
    <cellStyle name="20% - Accent1 2 2 3 37" xfId="2215"/>
    <cellStyle name="20% - Accent1 2 2 3 38" xfId="2216"/>
    <cellStyle name="20% - Accent1 2 2 3 39" xfId="2217"/>
    <cellStyle name="20% - Accent1 2 2 3 4" xfId="2218"/>
    <cellStyle name="20% - Accent1 2 2 3 40" xfId="2219"/>
    <cellStyle name="20% - Accent1 2 2 3 41" xfId="2220"/>
    <cellStyle name="20% - Accent1 2 2 3 42" xfId="2221"/>
    <cellStyle name="20% - Accent1 2 2 3 43" xfId="2222"/>
    <cellStyle name="20% - Accent1 2 2 3 44" xfId="2223"/>
    <cellStyle name="20% - Accent1 2 2 3 45" xfId="2224"/>
    <cellStyle name="20% - Accent1 2 2 3 46" xfId="2225"/>
    <cellStyle name="20% - Accent1 2 2 3 47" xfId="2226"/>
    <cellStyle name="20% - Accent1 2 2 3 48" xfId="2227"/>
    <cellStyle name="20% - Accent1 2 2 3 49" xfId="2228"/>
    <cellStyle name="20% - Accent1 2 2 3 5" xfId="2229"/>
    <cellStyle name="20% - Accent1 2 2 3 50" xfId="2230"/>
    <cellStyle name="20% - Accent1 2 2 3 51" xfId="2231"/>
    <cellStyle name="20% - Accent1 2 2 3 52" xfId="2232"/>
    <cellStyle name="20% - Accent1 2 2 3 53" xfId="2233"/>
    <cellStyle name="20% - Accent1 2 2 3 54" xfId="2234"/>
    <cellStyle name="20% - Accent1 2 2 3 55" xfId="2235"/>
    <cellStyle name="20% - Accent1 2 2 3 6" xfId="2236"/>
    <cellStyle name="20% - Accent1 2 2 3 7" xfId="2237"/>
    <cellStyle name="20% - Accent1 2 2 3 8" xfId="2238"/>
    <cellStyle name="20% - Accent1 2 2 3 9" xfId="2239"/>
    <cellStyle name="20% - Accent1 2 3" xfId="2240"/>
    <cellStyle name="20% - Accent1 2 3 10" xfId="2241"/>
    <cellStyle name="20% - Accent1 2 3 11" xfId="2242"/>
    <cellStyle name="20% - Accent1 2 3 12" xfId="2243"/>
    <cellStyle name="20% - Accent1 2 3 13" xfId="2244"/>
    <cellStyle name="20% - Accent1 2 3 14" xfId="2245"/>
    <cellStyle name="20% - Accent1 2 3 15" xfId="2246"/>
    <cellStyle name="20% - Accent1 2 3 16" xfId="2247"/>
    <cellStyle name="20% - Accent1 2 3 17" xfId="2248"/>
    <cellStyle name="20% - Accent1 2 3 18" xfId="2249"/>
    <cellStyle name="20% - Accent1 2 3 19" xfId="2250"/>
    <cellStyle name="20% - Accent1 2 3 2" xfId="2251"/>
    <cellStyle name="20% - Accent1 2 3 2 2" xfId="2252"/>
    <cellStyle name="20% - Accent1 2 3 2_PM Okt 2014 Plan VS Actual Planning Workshop" xfId="2253"/>
    <cellStyle name="20% - Accent1 2 3 20" xfId="2254"/>
    <cellStyle name="20% - Accent1 2 3 21" xfId="2255"/>
    <cellStyle name="20% - Accent1 2 3 22" xfId="2256"/>
    <cellStyle name="20% - Accent1 2 3 23" xfId="2257"/>
    <cellStyle name="20% - Accent1 2 3 24" xfId="2258"/>
    <cellStyle name="20% - Accent1 2 3 25" xfId="2259"/>
    <cellStyle name="20% - Accent1 2 3 26" xfId="2260"/>
    <cellStyle name="20% - Accent1 2 3 27" xfId="2261"/>
    <cellStyle name="20% - Accent1 2 3 28" xfId="2262"/>
    <cellStyle name="20% - Accent1 2 3 29" xfId="2263"/>
    <cellStyle name="20% - Accent1 2 3 3" xfId="2264"/>
    <cellStyle name="20% - Accent1 2 3 30" xfId="2265"/>
    <cellStyle name="20% - Accent1 2 3 31" xfId="2266"/>
    <cellStyle name="20% - Accent1 2 3 32" xfId="2267"/>
    <cellStyle name="20% - Accent1 2 3 33" xfId="2268"/>
    <cellStyle name="20% - Accent1 2 3 34" xfId="2269"/>
    <cellStyle name="20% - Accent1 2 3 35" xfId="2270"/>
    <cellStyle name="20% - Accent1 2 3 36" xfId="2271"/>
    <cellStyle name="20% - Accent1 2 3 37" xfId="2272"/>
    <cellStyle name="20% - Accent1 2 3 38" xfId="2273"/>
    <cellStyle name="20% - Accent1 2 3 39" xfId="2274"/>
    <cellStyle name="20% - Accent1 2 3 4" xfId="2275"/>
    <cellStyle name="20% - Accent1 2 3 40" xfId="2276"/>
    <cellStyle name="20% - Accent1 2 3 41" xfId="2277"/>
    <cellStyle name="20% - Accent1 2 3 42" xfId="2278"/>
    <cellStyle name="20% - Accent1 2 3 43" xfId="2279"/>
    <cellStyle name="20% - Accent1 2 3 44" xfId="2280"/>
    <cellStyle name="20% - Accent1 2 3 45" xfId="2281"/>
    <cellStyle name="20% - Accent1 2 3 46" xfId="2282"/>
    <cellStyle name="20% - Accent1 2 3 47" xfId="2283"/>
    <cellStyle name="20% - Accent1 2 3 48" xfId="2284"/>
    <cellStyle name="20% - Accent1 2 3 49" xfId="2285"/>
    <cellStyle name="20% - Accent1 2 3 5" xfId="2286"/>
    <cellStyle name="20% - Accent1 2 3 50" xfId="2287"/>
    <cellStyle name="20% - Accent1 2 3 51" xfId="2288"/>
    <cellStyle name="20% - Accent1 2 3 52" xfId="2289"/>
    <cellStyle name="20% - Accent1 2 3 53" xfId="2290"/>
    <cellStyle name="20% - Accent1 2 3 54" xfId="2291"/>
    <cellStyle name="20% - Accent1 2 3 55" xfId="2292"/>
    <cellStyle name="20% - Accent1 2 3 6" xfId="2293"/>
    <cellStyle name="20% - Accent1 2 3 7" xfId="2294"/>
    <cellStyle name="20% - Accent1 2 3 8" xfId="2295"/>
    <cellStyle name="20% - Accent1 2 3 9" xfId="2296"/>
    <cellStyle name="20% - Accent1 2 4" xfId="2297"/>
    <cellStyle name="20% - Accent1 2 4 2" xfId="2298"/>
    <cellStyle name="20% - Accent1 2 5" xfId="2299"/>
    <cellStyle name="20% - Accent1 2_Asset monitoring board" xfId="2300"/>
    <cellStyle name="20% - Accent1 3" xfId="2301"/>
    <cellStyle name="20% - Accent1 3 2" xfId="2302"/>
    <cellStyle name="20% - Accent1 3 2 10" xfId="2303"/>
    <cellStyle name="20% - Accent1 3 2 11" xfId="2304"/>
    <cellStyle name="20% - Accent1 3 2 12" xfId="2305"/>
    <cellStyle name="20% - Accent1 3 2 13" xfId="2306"/>
    <cellStyle name="20% - Accent1 3 2 14" xfId="2307"/>
    <cellStyle name="20% - Accent1 3 2 15" xfId="2308"/>
    <cellStyle name="20% - Accent1 3 2 16" xfId="2309"/>
    <cellStyle name="20% - Accent1 3 2 17" xfId="2310"/>
    <cellStyle name="20% - Accent1 3 2 18" xfId="2311"/>
    <cellStyle name="20% - Accent1 3 2 19" xfId="2312"/>
    <cellStyle name="20% - Accent1 3 2 2" xfId="2313"/>
    <cellStyle name="20% - Accent1 3 2 2 2" xfId="2314"/>
    <cellStyle name="20% - Accent1 3 2 20" xfId="2315"/>
    <cellStyle name="20% - Accent1 3 2 21" xfId="2316"/>
    <cellStyle name="20% - Accent1 3 2 22" xfId="2317"/>
    <cellStyle name="20% - Accent1 3 2 23" xfId="2318"/>
    <cellStyle name="20% - Accent1 3 2 24" xfId="2319"/>
    <cellStyle name="20% - Accent1 3 2 25" xfId="2320"/>
    <cellStyle name="20% - Accent1 3 2 26" xfId="2321"/>
    <cellStyle name="20% - Accent1 3 2 27" xfId="2322"/>
    <cellStyle name="20% - Accent1 3 2 28" xfId="2323"/>
    <cellStyle name="20% - Accent1 3 2 29" xfId="2324"/>
    <cellStyle name="20% - Accent1 3 2 3" xfId="2325"/>
    <cellStyle name="20% - Accent1 3 2 30" xfId="2326"/>
    <cellStyle name="20% - Accent1 3 2 31" xfId="2327"/>
    <cellStyle name="20% - Accent1 3 2 32" xfId="2328"/>
    <cellStyle name="20% - Accent1 3 2 33" xfId="2329"/>
    <cellStyle name="20% - Accent1 3 2 34" xfId="2330"/>
    <cellStyle name="20% - Accent1 3 2 35" xfId="2331"/>
    <cellStyle name="20% - Accent1 3 2 36" xfId="2332"/>
    <cellStyle name="20% - Accent1 3 2 37" xfId="2333"/>
    <cellStyle name="20% - Accent1 3 2 38" xfId="2334"/>
    <cellStyle name="20% - Accent1 3 2 39" xfId="2335"/>
    <cellStyle name="20% - Accent1 3 2 4" xfId="2336"/>
    <cellStyle name="20% - Accent1 3 2 40" xfId="2337"/>
    <cellStyle name="20% - Accent1 3 2 41" xfId="2338"/>
    <cellStyle name="20% - Accent1 3 2 42" xfId="2339"/>
    <cellStyle name="20% - Accent1 3 2 43" xfId="2340"/>
    <cellStyle name="20% - Accent1 3 2 44" xfId="2341"/>
    <cellStyle name="20% - Accent1 3 2 45" xfId="2342"/>
    <cellStyle name="20% - Accent1 3 2 46" xfId="2343"/>
    <cellStyle name="20% - Accent1 3 2 47" xfId="2344"/>
    <cellStyle name="20% - Accent1 3 2 48" xfId="2345"/>
    <cellStyle name="20% - Accent1 3 2 49" xfId="2346"/>
    <cellStyle name="20% - Accent1 3 2 5" xfId="2347"/>
    <cellStyle name="20% - Accent1 3 2 50" xfId="2348"/>
    <cellStyle name="20% - Accent1 3 2 51" xfId="2349"/>
    <cellStyle name="20% - Accent1 3 2 52" xfId="2350"/>
    <cellStyle name="20% - Accent1 3 2 53" xfId="2351"/>
    <cellStyle name="20% - Accent1 3 2 54" xfId="2352"/>
    <cellStyle name="20% - Accent1 3 2 55" xfId="2353"/>
    <cellStyle name="20% - Accent1 3 2 6" xfId="2354"/>
    <cellStyle name="20% - Accent1 3 2 7" xfId="2355"/>
    <cellStyle name="20% - Accent1 3 2 8" xfId="2356"/>
    <cellStyle name="20% - Accent1 3 2 9" xfId="2357"/>
    <cellStyle name="20% - Accent1 3 3" xfId="2358"/>
    <cellStyle name="20% - Accent1 3 3 10" xfId="2359"/>
    <cellStyle name="20% - Accent1 3 3 11" xfId="2360"/>
    <cellStyle name="20% - Accent1 3 3 12" xfId="2361"/>
    <cellStyle name="20% - Accent1 3 3 13" xfId="2362"/>
    <cellStyle name="20% - Accent1 3 3 14" xfId="2363"/>
    <cellStyle name="20% - Accent1 3 3 15" xfId="2364"/>
    <cellStyle name="20% - Accent1 3 3 16" xfId="2365"/>
    <cellStyle name="20% - Accent1 3 3 17" xfId="2366"/>
    <cellStyle name="20% - Accent1 3 3 18" xfId="2367"/>
    <cellStyle name="20% - Accent1 3 3 19" xfId="2368"/>
    <cellStyle name="20% - Accent1 3 3 2" xfId="2369"/>
    <cellStyle name="20% - Accent1 3 3 2 2" xfId="2370"/>
    <cellStyle name="20% - Accent1 3 3 20" xfId="2371"/>
    <cellStyle name="20% - Accent1 3 3 21" xfId="2372"/>
    <cellStyle name="20% - Accent1 3 3 22" xfId="2373"/>
    <cellStyle name="20% - Accent1 3 3 23" xfId="2374"/>
    <cellStyle name="20% - Accent1 3 3 24" xfId="2375"/>
    <cellStyle name="20% - Accent1 3 3 25" xfId="2376"/>
    <cellStyle name="20% - Accent1 3 3 26" xfId="2377"/>
    <cellStyle name="20% - Accent1 3 3 27" xfId="2378"/>
    <cellStyle name="20% - Accent1 3 3 28" xfId="2379"/>
    <cellStyle name="20% - Accent1 3 3 29" xfId="2380"/>
    <cellStyle name="20% - Accent1 3 3 3" xfId="2381"/>
    <cellStyle name="20% - Accent1 3 3 30" xfId="2382"/>
    <cellStyle name="20% - Accent1 3 3 31" xfId="2383"/>
    <cellStyle name="20% - Accent1 3 3 32" xfId="2384"/>
    <cellStyle name="20% - Accent1 3 3 33" xfId="2385"/>
    <cellStyle name="20% - Accent1 3 3 34" xfId="2386"/>
    <cellStyle name="20% - Accent1 3 3 35" xfId="2387"/>
    <cellStyle name="20% - Accent1 3 3 36" xfId="2388"/>
    <cellStyle name="20% - Accent1 3 3 37" xfId="2389"/>
    <cellStyle name="20% - Accent1 3 3 38" xfId="2390"/>
    <cellStyle name="20% - Accent1 3 3 39" xfId="2391"/>
    <cellStyle name="20% - Accent1 3 3 4" xfId="2392"/>
    <cellStyle name="20% - Accent1 3 3 40" xfId="2393"/>
    <cellStyle name="20% - Accent1 3 3 41" xfId="2394"/>
    <cellStyle name="20% - Accent1 3 3 42" xfId="2395"/>
    <cellStyle name="20% - Accent1 3 3 43" xfId="2396"/>
    <cellStyle name="20% - Accent1 3 3 44" xfId="2397"/>
    <cellStyle name="20% - Accent1 3 3 45" xfId="2398"/>
    <cellStyle name="20% - Accent1 3 3 46" xfId="2399"/>
    <cellStyle name="20% - Accent1 3 3 47" xfId="2400"/>
    <cellStyle name="20% - Accent1 3 3 48" xfId="2401"/>
    <cellStyle name="20% - Accent1 3 3 49" xfId="2402"/>
    <cellStyle name="20% - Accent1 3 3 5" xfId="2403"/>
    <cellStyle name="20% - Accent1 3 3 50" xfId="2404"/>
    <cellStyle name="20% - Accent1 3 3 51" xfId="2405"/>
    <cellStyle name="20% - Accent1 3 3 52" xfId="2406"/>
    <cellStyle name="20% - Accent1 3 3 53" xfId="2407"/>
    <cellStyle name="20% - Accent1 3 3 54" xfId="2408"/>
    <cellStyle name="20% - Accent1 3 3 55" xfId="2409"/>
    <cellStyle name="20% - Accent1 3 3 6" xfId="2410"/>
    <cellStyle name="20% - Accent1 3 3 7" xfId="2411"/>
    <cellStyle name="20% - Accent1 3 3 8" xfId="2412"/>
    <cellStyle name="20% - Accent1 3 3 9" xfId="2413"/>
    <cellStyle name="20% - Accent1 4" xfId="2414"/>
    <cellStyle name="20% - Accent1 4 2" xfId="2415"/>
    <cellStyle name="20% - Accent1 4 2 10" xfId="2416"/>
    <cellStyle name="20% - Accent1 4 2 11" xfId="2417"/>
    <cellStyle name="20% - Accent1 4 2 12" xfId="2418"/>
    <cellStyle name="20% - Accent1 4 2 13" xfId="2419"/>
    <cellStyle name="20% - Accent1 4 2 14" xfId="2420"/>
    <cellStyle name="20% - Accent1 4 2 15" xfId="2421"/>
    <cellStyle name="20% - Accent1 4 2 16" xfId="2422"/>
    <cellStyle name="20% - Accent1 4 2 17" xfId="2423"/>
    <cellStyle name="20% - Accent1 4 2 18" xfId="2424"/>
    <cellStyle name="20% - Accent1 4 2 19" xfId="2425"/>
    <cellStyle name="20% - Accent1 4 2 2" xfId="2426"/>
    <cellStyle name="20% - Accent1 4 2 2 2" xfId="2427"/>
    <cellStyle name="20% - Accent1 4 2 20" xfId="2428"/>
    <cellStyle name="20% - Accent1 4 2 21" xfId="2429"/>
    <cellStyle name="20% - Accent1 4 2 22" xfId="2430"/>
    <cellStyle name="20% - Accent1 4 2 23" xfId="2431"/>
    <cellStyle name="20% - Accent1 4 2 24" xfId="2432"/>
    <cellStyle name="20% - Accent1 4 2 25" xfId="2433"/>
    <cellStyle name="20% - Accent1 4 2 26" xfId="2434"/>
    <cellStyle name="20% - Accent1 4 2 27" xfId="2435"/>
    <cellStyle name="20% - Accent1 4 2 28" xfId="2436"/>
    <cellStyle name="20% - Accent1 4 2 29" xfId="2437"/>
    <cellStyle name="20% - Accent1 4 2 3" xfId="2438"/>
    <cellStyle name="20% - Accent1 4 2 30" xfId="2439"/>
    <cellStyle name="20% - Accent1 4 2 31" xfId="2440"/>
    <cellStyle name="20% - Accent1 4 2 32" xfId="2441"/>
    <cellStyle name="20% - Accent1 4 2 33" xfId="2442"/>
    <cellStyle name="20% - Accent1 4 2 34" xfId="2443"/>
    <cellStyle name="20% - Accent1 4 2 35" xfId="2444"/>
    <cellStyle name="20% - Accent1 4 2 36" xfId="2445"/>
    <cellStyle name="20% - Accent1 4 2 37" xfId="2446"/>
    <cellStyle name="20% - Accent1 4 2 38" xfId="2447"/>
    <cellStyle name="20% - Accent1 4 2 39" xfId="2448"/>
    <cellStyle name="20% - Accent1 4 2 4" xfId="2449"/>
    <cellStyle name="20% - Accent1 4 2 40" xfId="2450"/>
    <cellStyle name="20% - Accent1 4 2 41" xfId="2451"/>
    <cellStyle name="20% - Accent1 4 2 42" xfId="2452"/>
    <cellStyle name="20% - Accent1 4 2 43" xfId="2453"/>
    <cellStyle name="20% - Accent1 4 2 44" xfId="2454"/>
    <cellStyle name="20% - Accent1 4 2 45" xfId="2455"/>
    <cellStyle name="20% - Accent1 4 2 46" xfId="2456"/>
    <cellStyle name="20% - Accent1 4 2 47" xfId="2457"/>
    <cellStyle name="20% - Accent1 4 2 48" xfId="2458"/>
    <cellStyle name="20% - Accent1 4 2 49" xfId="2459"/>
    <cellStyle name="20% - Accent1 4 2 5" xfId="2460"/>
    <cellStyle name="20% - Accent1 4 2 50" xfId="2461"/>
    <cellStyle name="20% - Accent1 4 2 51" xfId="2462"/>
    <cellStyle name="20% - Accent1 4 2 52" xfId="2463"/>
    <cellStyle name="20% - Accent1 4 2 53" xfId="2464"/>
    <cellStyle name="20% - Accent1 4 2 54" xfId="2465"/>
    <cellStyle name="20% - Accent1 4 2 55" xfId="2466"/>
    <cellStyle name="20% - Accent1 4 2 6" xfId="2467"/>
    <cellStyle name="20% - Accent1 4 2 7" xfId="2468"/>
    <cellStyle name="20% - Accent1 4 2 8" xfId="2469"/>
    <cellStyle name="20% - Accent1 4 2 9" xfId="2470"/>
    <cellStyle name="20% - Accent1 4 3" xfId="2471"/>
    <cellStyle name="20% - Accent1 4 3 10" xfId="2472"/>
    <cellStyle name="20% - Accent1 4 3 11" xfId="2473"/>
    <cellStyle name="20% - Accent1 4 3 12" xfId="2474"/>
    <cellStyle name="20% - Accent1 4 3 13" xfId="2475"/>
    <cellStyle name="20% - Accent1 4 3 14" xfId="2476"/>
    <cellStyle name="20% - Accent1 4 3 15" xfId="2477"/>
    <cellStyle name="20% - Accent1 4 3 16" xfId="2478"/>
    <cellStyle name="20% - Accent1 4 3 17" xfId="2479"/>
    <cellStyle name="20% - Accent1 4 3 18" xfId="2480"/>
    <cellStyle name="20% - Accent1 4 3 19" xfId="2481"/>
    <cellStyle name="20% - Accent1 4 3 2" xfId="2482"/>
    <cellStyle name="20% - Accent1 4 3 2 2" xfId="2483"/>
    <cellStyle name="20% - Accent1 4 3 20" xfId="2484"/>
    <cellStyle name="20% - Accent1 4 3 21" xfId="2485"/>
    <cellStyle name="20% - Accent1 4 3 22" xfId="2486"/>
    <cellStyle name="20% - Accent1 4 3 23" xfId="2487"/>
    <cellStyle name="20% - Accent1 4 3 24" xfId="2488"/>
    <cellStyle name="20% - Accent1 4 3 25" xfId="2489"/>
    <cellStyle name="20% - Accent1 4 3 26" xfId="2490"/>
    <cellStyle name="20% - Accent1 4 3 27" xfId="2491"/>
    <cellStyle name="20% - Accent1 4 3 28" xfId="2492"/>
    <cellStyle name="20% - Accent1 4 3 29" xfId="2493"/>
    <cellStyle name="20% - Accent1 4 3 3" xfId="2494"/>
    <cellStyle name="20% - Accent1 4 3 30" xfId="2495"/>
    <cellStyle name="20% - Accent1 4 3 31" xfId="2496"/>
    <cellStyle name="20% - Accent1 4 3 32" xfId="2497"/>
    <cellStyle name="20% - Accent1 4 3 33" xfId="2498"/>
    <cellStyle name="20% - Accent1 4 3 34" xfId="2499"/>
    <cellStyle name="20% - Accent1 4 3 35" xfId="2500"/>
    <cellStyle name="20% - Accent1 4 3 36" xfId="2501"/>
    <cellStyle name="20% - Accent1 4 3 37" xfId="2502"/>
    <cellStyle name="20% - Accent1 4 3 38" xfId="2503"/>
    <cellStyle name="20% - Accent1 4 3 39" xfId="2504"/>
    <cellStyle name="20% - Accent1 4 3 4" xfId="2505"/>
    <cellStyle name="20% - Accent1 4 3 40" xfId="2506"/>
    <cellStyle name="20% - Accent1 4 3 41" xfId="2507"/>
    <cellStyle name="20% - Accent1 4 3 42" xfId="2508"/>
    <cellStyle name="20% - Accent1 4 3 43" xfId="2509"/>
    <cellStyle name="20% - Accent1 4 3 44" xfId="2510"/>
    <cellStyle name="20% - Accent1 4 3 45" xfId="2511"/>
    <cellStyle name="20% - Accent1 4 3 46" xfId="2512"/>
    <cellStyle name="20% - Accent1 4 3 47" xfId="2513"/>
    <cellStyle name="20% - Accent1 4 3 48" xfId="2514"/>
    <cellStyle name="20% - Accent1 4 3 49" xfId="2515"/>
    <cellStyle name="20% - Accent1 4 3 5" xfId="2516"/>
    <cellStyle name="20% - Accent1 4 3 50" xfId="2517"/>
    <cellStyle name="20% - Accent1 4 3 51" xfId="2518"/>
    <cellStyle name="20% - Accent1 4 3 52" xfId="2519"/>
    <cellStyle name="20% - Accent1 4 3 53" xfId="2520"/>
    <cellStyle name="20% - Accent1 4 3 54" xfId="2521"/>
    <cellStyle name="20% - Accent1 4 3 55" xfId="2522"/>
    <cellStyle name="20% - Accent1 4 3 6" xfId="2523"/>
    <cellStyle name="20% - Accent1 4 3 7" xfId="2524"/>
    <cellStyle name="20% - Accent1 4 3 8" xfId="2525"/>
    <cellStyle name="20% - Accent1 4 3 9" xfId="2526"/>
    <cellStyle name="20% - Accent1 4 4" xfId="58358"/>
    <cellStyle name="20% - Accent1 5" xfId="2527"/>
    <cellStyle name="20% - Accent1 5 2" xfId="2528"/>
    <cellStyle name="20% - Accent1 5 2 10" xfId="2529"/>
    <cellStyle name="20% - Accent1 5 2 11" xfId="2530"/>
    <cellStyle name="20% - Accent1 5 2 12" xfId="2531"/>
    <cellStyle name="20% - Accent1 5 2 13" xfId="2532"/>
    <cellStyle name="20% - Accent1 5 2 14" xfId="2533"/>
    <cellStyle name="20% - Accent1 5 2 15" xfId="2534"/>
    <cellStyle name="20% - Accent1 5 2 16" xfId="2535"/>
    <cellStyle name="20% - Accent1 5 2 17" xfId="2536"/>
    <cellStyle name="20% - Accent1 5 2 18" xfId="2537"/>
    <cellStyle name="20% - Accent1 5 2 19" xfId="2538"/>
    <cellStyle name="20% - Accent1 5 2 2" xfId="2539"/>
    <cellStyle name="20% - Accent1 5 2 2 2" xfId="2540"/>
    <cellStyle name="20% - Accent1 5 2 20" xfId="2541"/>
    <cellStyle name="20% - Accent1 5 2 21" xfId="2542"/>
    <cellStyle name="20% - Accent1 5 2 22" xfId="2543"/>
    <cellStyle name="20% - Accent1 5 2 23" xfId="2544"/>
    <cellStyle name="20% - Accent1 5 2 24" xfId="2545"/>
    <cellStyle name="20% - Accent1 5 2 25" xfId="2546"/>
    <cellStyle name="20% - Accent1 5 2 26" xfId="2547"/>
    <cellStyle name="20% - Accent1 5 2 27" xfId="2548"/>
    <cellStyle name="20% - Accent1 5 2 28" xfId="2549"/>
    <cellStyle name="20% - Accent1 5 2 29" xfId="2550"/>
    <cellStyle name="20% - Accent1 5 2 3" xfId="2551"/>
    <cellStyle name="20% - Accent1 5 2 30" xfId="2552"/>
    <cellStyle name="20% - Accent1 5 2 31" xfId="2553"/>
    <cellStyle name="20% - Accent1 5 2 32" xfId="2554"/>
    <cellStyle name="20% - Accent1 5 2 33" xfId="2555"/>
    <cellStyle name="20% - Accent1 5 2 34" xfId="2556"/>
    <cellStyle name="20% - Accent1 5 2 35" xfId="2557"/>
    <cellStyle name="20% - Accent1 5 2 36" xfId="2558"/>
    <cellStyle name="20% - Accent1 5 2 37" xfId="2559"/>
    <cellStyle name="20% - Accent1 5 2 38" xfId="2560"/>
    <cellStyle name="20% - Accent1 5 2 39" xfId="2561"/>
    <cellStyle name="20% - Accent1 5 2 4" xfId="2562"/>
    <cellStyle name="20% - Accent1 5 2 40" xfId="2563"/>
    <cellStyle name="20% - Accent1 5 2 41" xfId="2564"/>
    <cellStyle name="20% - Accent1 5 2 42" xfId="2565"/>
    <cellStyle name="20% - Accent1 5 2 43" xfId="2566"/>
    <cellStyle name="20% - Accent1 5 2 44" xfId="2567"/>
    <cellStyle name="20% - Accent1 5 2 45" xfId="2568"/>
    <cellStyle name="20% - Accent1 5 2 46" xfId="2569"/>
    <cellStyle name="20% - Accent1 5 2 47" xfId="2570"/>
    <cellStyle name="20% - Accent1 5 2 48" xfId="2571"/>
    <cellStyle name="20% - Accent1 5 2 49" xfId="2572"/>
    <cellStyle name="20% - Accent1 5 2 5" xfId="2573"/>
    <cellStyle name="20% - Accent1 5 2 50" xfId="2574"/>
    <cellStyle name="20% - Accent1 5 2 51" xfId="2575"/>
    <cellStyle name="20% - Accent1 5 2 52" xfId="2576"/>
    <cellStyle name="20% - Accent1 5 2 53" xfId="2577"/>
    <cellStyle name="20% - Accent1 5 2 54" xfId="2578"/>
    <cellStyle name="20% - Accent1 5 2 55" xfId="2579"/>
    <cellStyle name="20% - Accent1 5 2 6" xfId="2580"/>
    <cellStyle name="20% - Accent1 5 2 7" xfId="2581"/>
    <cellStyle name="20% - Accent1 5 2 8" xfId="2582"/>
    <cellStyle name="20% - Accent1 5 2 9" xfId="2583"/>
    <cellStyle name="20% - Accent1 5 3" xfId="2584"/>
    <cellStyle name="20% - Accent1 5 3 10" xfId="2585"/>
    <cellStyle name="20% - Accent1 5 3 11" xfId="2586"/>
    <cellStyle name="20% - Accent1 5 3 12" xfId="2587"/>
    <cellStyle name="20% - Accent1 5 3 13" xfId="2588"/>
    <cellStyle name="20% - Accent1 5 3 14" xfId="2589"/>
    <cellStyle name="20% - Accent1 5 3 15" xfId="2590"/>
    <cellStyle name="20% - Accent1 5 3 16" xfId="2591"/>
    <cellStyle name="20% - Accent1 5 3 17" xfId="2592"/>
    <cellStyle name="20% - Accent1 5 3 18" xfId="2593"/>
    <cellStyle name="20% - Accent1 5 3 19" xfId="2594"/>
    <cellStyle name="20% - Accent1 5 3 2" xfId="2595"/>
    <cellStyle name="20% - Accent1 5 3 2 2" xfId="2596"/>
    <cellStyle name="20% - Accent1 5 3 20" xfId="2597"/>
    <cellStyle name="20% - Accent1 5 3 21" xfId="2598"/>
    <cellStyle name="20% - Accent1 5 3 22" xfId="2599"/>
    <cellStyle name="20% - Accent1 5 3 23" xfId="2600"/>
    <cellStyle name="20% - Accent1 5 3 24" xfId="2601"/>
    <cellStyle name="20% - Accent1 5 3 25" xfId="2602"/>
    <cellStyle name="20% - Accent1 5 3 26" xfId="2603"/>
    <cellStyle name="20% - Accent1 5 3 27" xfId="2604"/>
    <cellStyle name="20% - Accent1 5 3 28" xfId="2605"/>
    <cellStyle name="20% - Accent1 5 3 29" xfId="2606"/>
    <cellStyle name="20% - Accent1 5 3 3" xfId="2607"/>
    <cellStyle name="20% - Accent1 5 3 30" xfId="2608"/>
    <cellStyle name="20% - Accent1 5 3 31" xfId="2609"/>
    <cellStyle name="20% - Accent1 5 3 32" xfId="2610"/>
    <cellStyle name="20% - Accent1 5 3 33" xfId="2611"/>
    <cellStyle name="20% - Accent1 5 3 34" xfId="2612"/>
    <cellStyle name="20% - Accent1 5 3 35" xfId="2613"/>
    <cellStyle name="20% - Accent1 5 3 36" xfId="2614"/>
    <cellStyle name="20% - Accent1 5 3 37" xfId="2615"/>
    <cellStyle name="20% - Accent1 5 3 38" xfId="2616"/>
    <cellStyle name="20% - Accent1 5 3 39" xfId="2617"/>
    <cellStyle name="20% - Accent1 5 3 4" xfId="2618"/>
    <cellStyle name="20% - Accent1 5 3 40" xfId="2619"/>
    <cellStyle name="20% - Accent1 5 3 41" xfId="2620"/>
    <cellStyle name="20% - Accent1 5 3 42" xfId="2621"/>
    <cellStyle name="20% - Accent1 5 3 43" xfId="2622"/>
    <cellStyle name="20% - Accent1 5 3 44" xfId="2623"/>
    <cellStyle name="20% - Accent1 5 3 45" xfId="2624"/>
    <cellStyle name="20% - Accent1 5 3 46" xfId="2625"/>
    <cellStyle name="20% - Accent1 5 3 47" xfId="2626"/>
    <cellStyle name="20% - Accent1 5 3 48" xfId="2627"/>
    <cellStyle name="20% - Accent1 5 3 49" xfId="2628"/>
    <cellStyle name="20% - Accent1 5 3 5" xfId="2629"/>
    <cellStyle name="20% - Accent1 5 3 50" xfId="2630"/>
    <cellStyle name="20% - Accent1 5 3 51" xfId="2631"/>
    <cellStyle name="20% - Accent1 5 3 52" xfId="2632"/>
    <cellStyle name="20% - Accent1 5 3 53" xfId="2633"/>
    <cellStyle name="20% - Accent1 5 3 54" xfId="2634"/>
    <cellStyle name="20% - Accent1 5 3 55" xfId="2635"/>
    <cellStyle name="20% - Accent1 5 3 6" xfId="2636"/>
    <cellStyle name="20% - Accent1 5 3 7" xfId="2637"/>
    <cellStyle name="20% - Accent1 5 3 8" xfId="2638"/>
    <cellStyle name="20% - Accent1 5 3 9" xfId="2639"/>
    <cellStyle name="20% - Accent1 6" xfId="2640"/>
    <cellStyle name="20% - Accent1 6 2" xfId="2641"/>
    <cellStyle name="20% - Accent1 6 2 10" xfId="2642"/>
    <cellStyle name="20% - Accent1 6 2 11" xfId="2643"/>
    <cellStyle name="20% - Accent1 6 2 12" xfId="2644"/>
    <cellStyle name="20% - Accent1 6 2 13" xfId="2645"/>
    <cellStyle name="20% - Accent1 6 2 14" xfId="2646"/>
    <cellStyle name="20% - Accent1 6 2 15" xfId="2647"/>
    <cellStyle name="20% - Accent1 6 2 16" xfId="2648"/>
    <cellStyle name="20% - Accent1 6 2 17" xfId="2649"/>
    <cellStyle name="20% - Accent1 6 2 18" xfId="2650"/>
    <cellStyle name="20% - Accent1 6 2 19" xfId="2651"/>
    <cellStyle name="20% - Accent1 6 2 2" xfId="2652"/>
    <cellStyle name="20% - Accent1 6 2 2 2" xfId="2653"/>
    <cellStyle name="20% - Accent1 6 2 20" xfId="2654"/>
    <cellStyle name="20% - Accent1 6 2 21" xfId="2655"/>
    <cellStyle name="20% - Accent1 6 2 22" xfId="2656"/>
    <cellStyle name="20% - Accent1 6 2 23" xfId="2657"/>
    <cellStyle name="20% - Accent1 6 2 24" xfId="2658"/>
    <cellStyle name="20% - Accent1 6 2 25" xfId="2659"/>
    <cellStyle name="20% - Accent1 6 2 26" xfId="2660"/>
    <cellStyle name="20% - Accent1 6 2 27" xfId="2661"/>
    <cellStyle name="20% - Accent1 6 2 28" xfId="2662"/>
    <cellStyle name="20% - Accent1 6 2 29" xfId="2663"/>
    <cellStyle name="20% - Accent1 6 2 3" xfId="2664"/>
    <cellStyle name="20% - Accent1 6 2 30" xfId="2665"/>
    <cellStyle name="20% - Accent1 6 2 31" xfId="2666"/>
    <cellStyle name="20% - Accent1 6 2 32" xfId="2667"/>
    <cellStyle name="20% - Accent1 6 2 33" xfId="2668"/>
    <cellStyle name="20% - Accent1 6 2 34" xfId="2669"/>
    <cellStyle name="20% - Accent1 6 2 35" xfId="2670"/>
    <cellStyle name="20% - Accent1 6 2 36" xfId="2671"/>
    <cellStyle name="20% - Accent1 6 2 37" xfId="2672"/>
    <cellStyle name="20% - Accent1 6 2 38" xfId="2673"/>
    <cellStyle name="20% - Accent1 6 2 39" xfId="2674"/>
    <cellStyle name="20% - Accent1 6 2 4" xfId="2675"/>
    <cellStyle name="20% - Accent1 6 2 40" xfId="2676"/>
    <cellStyle name="20% - Accent1 6 2 41" xfId="2677"/>
    <cellStyle name="20% - Accent1 6 2 42" xfId="2678"/>
    <cellStyle name="20% - Accent1 6 2 43" xfId="2679"/>
    <cellStyle name="20% - Accent1 6 2 44" xfId="2680"/>
    <cellStyle name="20% - Accent1 6 2 45" xfId="2681"/>
    <cellStyle name="20% - Accent1 6 2 46" xfId="2682"/>
    <cellStyle name="20% - Accent1 6 2 47" xfId="2683"/>
    <cellStyle name="20% - Accent1 6 2 48" xfId="2684"/>
    <cellStyle name="20% - Accent1 6 2 49" xfId="2685"/>
    <cellStyle name="20% - Accent1 6 2 5" xfId="2686"/>
    <cellStyle name="20% - Accent1 6 2 50" xfId="2687"/>
    <cellStyle name="20% - Accent1 6 2 51" xfId="2688"/>
    <cellStyle name="20% - Accent1 6 2 52" xfId="2689"/>
    <cellStyle name="20% - Accent1 6 2 53" xfId="2690"/>
    <cellStyle name="20% - Accent1 6 2 54" xfId="2691"/>
    <cellStyle name="20% - Accent1 6 2 55" xfId="2692"/>
    <cellStyle name="20% - Accent1 6 2 6" xfId="2693"/>
    <cellStyle name="20% - Accent1 6 2 7" xfId="2694"/>
    <cellStyle name="20% - Accent1 6 2 8" xfId="2695"/>
    <cellStyle name="20% - Accent1 6 2 9" xfId="2696"/>
    <cellStyle name="20% - Accent1 6 3" xfId="2697"/>
    <cellStyle name="20% - Accent1 6 3 10" xfId="2698"/>
    <cellStyle name="20% - Accent1 6 3 11" xfId="2699"/>
    <cellStyle name="20% - Accent1 6 3 12" xfId="2700"/>
    <cellStyle name="20% - Accent1 6 3 13" xfId="2701"/>
    <cellStyle name="20% - Accent1 6 3 14" xfId="2702"/>
    <cellStyle name="20% - Accent1 6 3 15" xfId="2703"/>
    <cellStyle name="20% - Accent1 6 3 16" xfId="2704"/>
    <cellStyle name="20% - Accent1 6 3 17" xfId="2705"/>
    <cellStyle name="20% - Accent1 6 3 18" xfId="2706"/>
    <cellStyle name="20% - Accent1 6 3 19" xfId="2707"/>
    <cellStyle name="20% - Accent1 6 3 2" xfId="2708"/>
    <cellStyle name="20% - Accent1 6 3 2 2" xfId="2709"/>
    <cellStyle name="20% - Accent1 6 3 20" xfId="2710"/>
    <cellStyle name="20% - Accent1 6 3 21" xfId="2711"/>
    <cellStyle name="20% - Accent1 6 3 22" xfId="2712"/>
    <cellStyle name="20% - Accent1 6 3 23" xfId="2713"/>
    <cellStyle name="20% - Accent1 6 3 24" xfId="2714"/>
    <cellStyle name="20% - Accent1 6 3 25" xfId="2715"/>
    <cellStyle name="20% - Accent1 6 3 26" xfId="2716"/>
    <cellStyle name="20% - Accent1 6 3 27" xfId="2717"/>
    <cellStyle name="20% - Accent1 6 3 28" xfId="2718"/>
    <cellStyle name="20% - Accent1 6 3 29" xfId="2719"/>
    <cellStyle name="20% - Accent1 6 3 3" xfId="2720"/>
    <cellStyle name="20% - Accent1 6 3 30" xfId="2721"/>
    <cellStyle name="20% - Accent1 6 3 31" xfId="2722"/>
    <cellStyle name="20% - Accent1 6 3 32" xfId="2723"/>
    <cellStyle name="20% - Accent1 6 3 33" xfId="2724"/>
    <cellStyle name="20% - Accent1 6 3 34" xfId="2725"/>
    <cellStyle name="20% - Accent1 6 3 35" xfId="2726"/>
    <cellStyle name="20% - Accent1 6 3 36" xfId="2727"/>
    <cellStyle name="20% - Accent1 6 3 37" xfId="2728"/>
    <cellStyle name="20% - Accent1 6 3 38" xfId="2729"/>
    <cellStyle name="20% - Accent1 6 3 39" xfId="2730"/>
    <cellStyle name="20% - Accent1 6 3 4" xfId="2731"/>
    <cellStyle name="20% - Accent1 6 3 40" xfId="2732"/>
    <cellStyle name="20% - Accent1 6 3 41" xfId="2733"/>
    <cellStyle name="20% - Accent1 6 3 42" xfId="2734"/>
    <cellStyle name="20% - Accent1 6 3 43" xfId="2735"/>
    <cellStyle name="20% - Accent1 6 3 44" xfId="2736"/>
    <cellStyle name="20% - Accent1 6 3 45" xfId="2737"/>
    <cellStyle name="20% - Accent1 6 3 46" xfId="2738"/>
    <cellStyle name="20% - Accent1 6 3 47" xfId="2739"/>
    <cellStyle name="20% - Accent1 6 3 48" xfId="2740"/>
    <cellStyle name="20% - Accent1 6 3 49" xfId="2741"/>
    <cellStyle name="20% - Accent1 6 3 5" xfId="2742"/>
    <cellStyle name="20% - Accent1 6 3 50" xfId="2743"/>
    <cellStyle name="20% - Accent1 6 3 51" xfId="2744"/>
    <cellStyle name="20% - Accent1 6 3 52" xfId="2745"/>
    <cellStyle name="20% - Accent1 6 3 53" xfId="2746"/>
    <cellStyle name="20% - Accent1 6 3 54" xfId="2747"/>
    <cellStyle name="20% - Accent1 6 3 55" xfId="2748"/>
    <cellStyle name="20% - Accent1 6 3 6" xfId="2749"/>
    <cellStyle name="20% - Accent1 6 3 7" xfId="2750"/>
    <cellStyle name="20% - Accent1 6 3 8" xfId="2751"/>
    <cellStyle name="20% - Accent1 6 3 9" xfId="2752"/>
    <cellStyle name="20% - Accent1 7" xfId="2753"/>
    <cellStyle name="20% - Accent1 7 2" xfId="2754"/>
    <cellStyle name="20% - Accent1 7 2 10" xfId="2755"/>
    <cellStyle name="20% - Accent1 7 2 11" xfId="2756"/>
    <cellStyle name="20% - Accent1 7 2 12" xfId="2757"/>
    <cellStyle name="20% - Accent1 7 2 13" xfId="2758"/>
    <cellStyle name="20% - Accent1 7 2 14" xfId="2759"/>
    <cellStyle name="20% - Accent1 7 2 15" xfId="2760"/>
    <cellStyle name="20% - Accent1 7 2 16" xfId="2761"/>
    <cellStyle name="20% - Accent1 7 2 17" xfId="2762"/>
    <cellStyle name="20% - Accent1 7 2 18" xfId="2763"/>
    <cellStyle name="20% - Accent1 7 2 19" xfId="2764"/>
    <cellStyle name="20% - Accent1 7 2 2" xfId="2765"/>
    <cellStyle name="20% - Accent1 7 2 2 2" xfId="2766"/>
    <cellStyle name="20% - Accent1 7 2 20" xfId="2767"/>
    <cellStyle name="20% - Accent1 7 2 21" xfId="2768"/>
    <cellStyle name="20% - Accent1 7 2 22" xfId="2769"/>
    <cellStyle name="20% - Accent1 7 2 23" xfId="2770"/>
    <cellStyle name="20% - Accent1 7 2 24" xfId="2771"/>
    <cellStyle name="20% - Accent1 7 2 25" xfId="2772"/>
    <cellStyle name="20% - Accent1 7 2 26" xfId="2773"/>
    <cellStyle name="20% - Accent1 7 2 27" xfId="2774"/>
    <cellStyle name="20% - Accent1 7 2 28" xfId="2775"/>
    <cellStyle name="20% - Accent1 7 2 29" xfId="2776"/>
    <cellStyle name="20% - Accent1 7 2 3" xfId="2777"/>
    <cellStyle name="20% - Accent1 7 2 30" xfId="2778"/>
    <cellStyle name="20% - Accent1 7 2 31" xfId="2779"/>
    <cellStyle name="20% - Accent1 7 2 32" xfId="2780"/>
    <cellStyle name="20% - Accent1 7 2 33" xfId="2781"/>
    <cellStyle name="20% - Accent1 7 2 34" xfId="2782"/>
    <cellStyle name="20% - Accent1 7 2 35" xfId="2783"/>
    <cellStyle name="20% - Accent1 7 2 36" xfId="2784"/>
    <cellStyle name="20% - Accent1 7 2 37" xfId="2785"/>
    <cellStyle name="20% - Accent1 7 2 38" xfId="2786"/>
    <cellStyle name="20% - Accent1 7 2 39" xfId="2787"/>
    <cellStyle name="20% - Accent1 7 2 4" xfId="2788"/>
    <cellStyle name="20% - Accent1 7 2 40" xfId="2789"/>
    <cellStyle name="20% - Accent1 7 2 41" xfId="2790"/>
    <cellStyle name="20% - Accent1 7 2 42" xfId="2791"/>
    <cellStyle name="20% - Accent1 7 2 43" xfId="2792"/>
    <cellStyle name="20% - Accent1 7 2 44" xfId="2793"/>
    <cellStyle name="20% - Accent1 7 2 45" xfId="2794"/>
    <cellStyle name="20% - Accent1 7 2 46" xfId="2795"/>
    <cellStyle name="20% - Accent1 7 2 47" xfId="2796"/>
    <cellStyle name="20% - Accent1 7 2 48" xfId="2797"/>
    <cellStyle name="20% - Accent1 7 2 49" xfId="2798"/>
    <cellStyle name="20% - Accent1 7 2 5" xfId="2799"/>
    <cellStyle name="20% - Accent1 7 2 50" xfId="2800"/>
    <cellStyle name="20% - Accent1 7 2 51" xfId="2801"/>
    <cellStyle name="20% - Accent1 7 2 52" xfId="2802"/>
    <cellStyle name="20% - Accent1 7 2 53" xfId="2803"/>
    <cellStyle name="20% - Accent1 7 2 54" xfId="2804"/>
    <cellStyle name="20% - Accent1 7 2 55" xfId="2805"/>
    <cellStyle name="20% - Accent1 7 2 6" xfId="2806"/>
    <cellStyle name="20% - Accent1 7 2 7" xfId="2807"/>
    <cellStyle name="20% - Accent1 7 2 8" xfId="2808"/>
    <cellStyle name="20% - Accent1 7 2 9" xfId="2809"/>
    <cellStyle name="20% - Accent1 7 3" xfId="2810"/>
    <cellStyle name="20% - Accent1 7 3 10" xfId="2811"/>
    <cellStyle name="20% - Accent1 7 3 11" xfId="2812"/>
    <cellStyle name="20% - Accent1 7 3 12" xfId="2813"/>
    <cellStyle name="20% - Accent1 7 3 13" xfId="2814"/>
    <cellStyle name="20% - Accent1 7 3 14" xfId="2815"/>
    <cellStyle name="20% - Accent1 7 3 15" xfId="2816"/>
    <cellStyle name="20% - Accent1 7 3 16" xfId="2817"/>
    <cellStyle name="20% - Accent1 7 3 17" xfId="2818"/>
    <cellStyle name="20% - Accent1 7 3 18" xfId="2819"/>
    <cellStyle name="20% - Accent1 7 3 19" xfId="2820"/>
    <cellStyle name="20% - Accent1 7 3 2" xfId="2821"/>
    <cellStyle name="20% - Accent1 7 3 2 2" xfId="2822"/>
    <cellStyle name="20% - Accent1 7 3 20" xfId="2823"/>
    <cellStyle name="20% - Accent1 7 3 21" xfId="2824"/>
    <cellStyle name="20% - Accent1 7 3 22" xfId="2825"/>
    <cellStyle name="20% - Accent1 7 3 23" xfId="2826"/>
    <cellStyle name="20% - Accent1 7 3 24" xfId="2827"/>
    <cellStyle name="20% - Accent1 7 3 25" xfId="2828"/>
    <cellStyle name="20% - Accent1 7 3 26" xfId="2829"/>
    <cellStyle name="20% - Accent1 7 3 27" xfId="2830"/>
    <cellStyle name="20% - Accent1 7 3 28" xfId="2831"/>
    <cellStyle name="20% - Accent1 7 3 29" xfId="2832"/>
    <cellStyle name="20% - Accent1 7 3 3" xfId="2833"/>
    <cellStyle name="20% - Accent1 7 3 30" xfId="2834"/>
    <cellStyle name="20% - Accent1 7 3 31" xfId="2835"/>
    <cellStyle name="20% - Accent1 7 3 32" xfId="2836"/>
    <cellStyle name="20% - Accent1 7 3 33" xfId="2837"/>
    <cellStyle name="20% - Accent1 7 3 34" xfId="2838"/>
    <cellStyle name="20% - Accent1 7 3 35" xfId="2839"/>
    <cellStyle name="20% - Accent1 7 3 36" xfId="2840"/>
    <cellStyle name="20% - Accent1 7 3 37" xfId="2841"/>
    <cellStyle name="20% - Accent1 7 3 38" xfId="2842"/>
    <cellStyle name="20% - Accent1 7 3 39" xfId="2843"/>
    <cellStyle name="20% - Accent1 7 3 4" xfId="2844"/>
    <cellStyle name="20% - Accent1 7 3 40" xfId="2845"/>
    <cellStyle name="20% - Accent1 7 3 41" xfId="2846"/>
    <cellStyle name="20% - Accent1 7 3 42" xfId="2847"/>
    <cellStyle name="20% - Accent1 7 3 43" xfId="2848"/>
    <cellStyle name="20% - Accent1 7 3 44" xfId="2849"/>
    <cellStyle name="20% - Accent1 7 3 45" xfId="2850"/>
    <cellStyle name="20% - Accent1 7 3 46" xfId="2851"/>
    <cellStyle name="20% - Accent1 7 3 47" xfId="2852"/>
    <cellStyle name="20% - Accent1 7 3 48" xfId="2853"/>
    <cellStyle name="20% - Accent1 7 3 49" xfId="2854"/>
    <cellStyle name="20% - Accent1 7 3 5" xfId="2855"/>
    <cellStyle name="20% - Accent1 7 3 50" xfId="2856"/>
    <cellStyle name="20% - Accent1 7 3 51" xfId="2857"/>
    <cellStyle name="20% - Accent1 7 3 52" xfId="2858"/>
    <cellStyle name="20% - Accent1 7 3 53" xfId="2859"/>
    <cellStyle name="20% - Accent1 7 3 54" xfId="2860"/>
    <cellStyle name="20% - Accent1 7 3 55" xfId="2861"/>
    <cellStyle name="20% - Accent1 7 3 6" xfId="2862"/>
    <cellStyle name="20% - Accent1 7 3 7" xfId="2863"/>
    <cellStyle name="20% - Accent1 7 3 8" xfId="2864"/>
    <cellStyle name="20% - Accent1 7 3 9" xfId="2865"/>
    <cellStyle name="20% - Accent1 8" xfId="2866"/>
    <cellStyle name="20% - Accent1 8 2" xfId="2867"/>
    <cellStyle name="20% - Accent1 8 2 10" xfId="2868"/>
    <cellStyle name="20% - Accent1 8 2 11" xfId="2869"/>
    <cellStyle name="20% - Accent1 8 2 12" xfId="2870"/>
    <cellStyle name="20% - Accent1 8 2 13" xfId="2871"/>
    <cellStyle name="20% - Accent1 8 2 14" xfId="2872"/>
    <cellStyle name="20% - Accent1 8 2 15" xfId="2873"/>
    <cellStyle name="20% - Accent1 8 2 16" xfId="2874"/>
    <cellStyle name="20% - Accent1 8 2 17" xfId="2875"/>
    <cellStyle name="20% - Accent1 8 2 18" xfId="2876"/>
    <cellStyle name="20% - Accent1 8 2 19" xfId="2877"/>
    <cellStyle name="20% - Accent1 8 2 2" xfId="2878"/>
    <cellStyle name="20% - Accent1 8 2 2 2" xfId="2879"/>
    <cellStyle name="20% - Accent1 8 2 20" xfId="2880"/>
    <cellStyle name="20% - Accent1 8 2 21" xfId="2881"/>
    <cellStyle name="20% - Accent1 8 2 22" xfId="2882"/>
    <cellStyle name="20% - Accent1 8 2 23" xfId="2883"/>
    <cellStyle name="20% - Accent1 8 2 24" xfId="2884"/>
    <cellStyle name="20% - Accent1 8 2 25" xfId="2885"/>
    <cellStyle name="20% - Accent1 8 2 26" xfId="2886"/>
    <cellStyle name="20% - Accent1 8 2 27" xfId="2887"/>
    <cellStyle name="20% - Accent1 8 2 28" xfId="2888"/>
    <cellStyle name="20% - Accent1 8 2 29" xfId="2889"/>
    <cellStyle name="20% - Accent1 8 2 3" xfId="2890"/>
    <cellStyle name="20% - Accent1 8 2 30" xfId="2891"/>
    <cellStyle name="20% - Accent1 8 2 31" xfId="2892"/>
    <cellStyle name="20% - Accent1 8 2 32" xfId="2893"/>
    <cellStyle name="20% - Accent1 8 2 33" xfId="2894"/>
    <cellStyle name="20% - Accent1 8 2 34" xfId="2895"/>
    <cellStyle name="20% - Accent1 8 2 35" xfId="2896"/>
    <cellStyle name="20% - Accent1 8 2 36" xfId="2897"/>
    <cellStyle name="20% - Accent1 8 2 37" xfId="2898"/>
    <cellStyle name="20% - Accent1 8 2 38" xfId="2899"/>
    <cellStyle name="20% - Accent1 8 2 39" xfId="2900"/>
    <cellStyle name="20% - Accent1 8 2 4" xfId="2901"/>
    <cellStyle name="20% - Accent1 8 2 40" xfId="2902"/>
    <cellStyle name="20% - Accent1 8 2 41" xfId="2903"/>
    <cellStyle name="20% - Accent1 8 2 42" xfId="2904"/>
    <cellStyle name="20% - Accent1 8 2 43" xfId="2905"/>
    <cellStyle name="20% - Accent1 8 2 44" xfId="2906"/>
    <cellStyle name="20% - Accent1 8 2 45" xfId="2907"/>
    <cellStyle name="20% - Accent1 8 2 46" xfId="2908"/>
    <cellStyle name="20% - Accent1 8 2 47" xfId="2909"/>
    <cellStyle name="20% - Accent1 8 2 48" xfId="2910"/>
    <cellStyle name="20% - Accent1 8 2 49" xfId="2911"/>
    <cellStyle name="20% - Accent1 8 2 5" xfId="2912"/>
    <cellStyle name="20% - Accent1 8 2 50" xfId="2913"/>
    <cellStyle name="20% - Accent1 8 2 51" xfId="2914"/>
    <cellStyle name="20% - Accent1 8 2 52" xfId="2915"/>
    <cellStyle name="20% - Accent1 8 2 53" xfId="2916"/>
    <cellStyle name="20% - Accent1 8 2 54" xfId="2917"/>
    <cellStyle name="20% - Accent1 8 2 55" xfId="2918"/>
    <cellStyle name="20% - Accent1 8 2 6" xfId="2919"/>
    <cellStyle name="20% - Accent1 8 2 7" xfId="2920"/>
    <cellStyle name="20% - Accent1 8 2 8" xfId="2921"/>
    <cellStyle name="20% - Accent1 8 2 9" xfId="2922"/>
    <cellStyle name="20% - Accent1 8 3" xfId="2923"/>
    <cellStyle name="20% - Accent1 8 3 10" xfId="2924"/>
    <cellStyle name="20% - Accent1 8 3 11" xfId="2925"/>
    <cellStyle name="20% - Accent1 8 3 12" xfId="2926"/>
    <cellStyle name="20% - Accent1 8 3 13" xfId="2927"/>
    <cellStyle name="20% - Accent1 8 3 14" xfId="2928"/>
    <cellStyle name="20% - Accent1 8 3 15" xfId="2929"/>
    <cellStyle name="20% - Accent1 8 3 16" xfId="2930"/>
    <cellStyle name="20% - Accent1 8 3 17" xfId="2931"/>
    <cellStyle name="20% - Accent1 8 3 18" xfId="2932"/>
    <cellStyle name="20% - Accent1 8 3 19" xfId="2933"/>
    <cellStyle name="20% - Accent1 8 3 2" xfId="2934"/>
    <cellStyle name="20% - Accent1 8 3 2 2" xfId="2935"/>
    <cellStyle name="20% - Accent1 8 3 20" xfId="2936"/>
    <cellStyle name="20% - Accent1 8 3 21" xfId="2937"/>
    <cellStyle name="20% - Accent1 8 3 22" xfId="2938"/>
    <cellStyle name="20% - Accent1 8 3 23" xfId="2939"/>
    <cellStyle name="20% - Accent1 8 3 24" xfId="2940"/>
    <cellStyle name="20% - Accent1 8 3 25" xfId="2941"/>
    <cellStyle name="20% - Accent1 8 3 26" xfId="2942"/>
    <cellStyle name="20% - Accent1 8 3 27" xfId="2943"/>
    <cellStyle name="20% - Accent1 8 3 28" xfId="2944"/>
    <cellStyle name="20% - Accent1 8 3 29" xfId="2945"/>
    <cellStyle name="20% - Accent1 8 3 3" xfId="2946"/>
    <cellStyle name="20% - Accent1 8 3 30" xfId="2947"/>
    <cellStyle name="20% - Accent1 8 3 31" xfId="2948"/>
    <cellStyle name="20% - Accent1 8 3 32" xfId="2949"/>
    <cellStyle name="20% - Accent1 8 3 33" xfId="2950"/>
    <cellStyle name="20% - Accent1 8 3 34" xfId="2951"/>
    <cellStyle name="20% - Accent1 8 3 35" xfId="2952"/>
    <cellStyle name="20% - Accent1 8 3 36" xfId="2953"/>
    <cellStyle name="20% - Accent1 8 3 37" xfId="2954"/>
    <cellStyle name="20% - Accent1 8 3 38" xfId="2955"/>
    <cellStyle name="20% - Accent1 8 3 39" xfId="2956"/>
    <cellStyle name="20% - Accent1 8 3 4" xfId="2957"/>
    <cellStyle name="20% - Accent1 8 3 40" xfId="2958"/>
    <cellStyle name="20% - Accent1 8 3 41" xfId="2959"/>
    <cellStyle name="20% - Accent1 8 3 42" xfId="2960"/>
    <cellStyle name="20% - Accent1 8 3 43" xfId="2961"/>
    <cellStyle name="20% - Accent1 8 3 44" xfId="2962"/>
    <cellStyle name="20% - Accent1 8 3 45" xfId="2963"/>
    <cellStyle name="20% - Accent1 8 3 46" xfId="2964"/>
    <cellStyle name="20% - Accent1 8 3 47" xfId="2965"/>
    <cellStyle name="20% - Accent1 8 3 48" xfId="2966"/>
    <cellStyle name="20% - Accent1 8 3 49" xfId="2967"/>
    <cellStyle name="20% - Accent1 8 3 5" xfId="2968"/>
    <cellStyle name="20% - Accent1 8 3 50" xfId="2969"/>
    <cellStyle name="20% - Accent1 8 3 51" xfId="2970"/>
    <cellStyle name="20% - Accent1 8 3 52" xfId="2971"/>
    <cellStyle name="20% - Accent1 8 3 53" xfId="2972"/>
    <cellStyle name="20% - Accent1 8 3 54" xfId="2973"/>
    <cellStyle name="20% - Accent1 8 3 55" xfId="2974"/>
    <cellStyle name="20% - Accent1 8 3 6" xfId="2975"/>
    <cellStyle name="20% - Accent1 8 3 7" xfId="2976"/>
    <cellStyle name="20% - Accent1 8 3 8" xfId="2977"/>
    <cellStyle name="20% - Accent1 8 3 9" xfId="2978"/>
    <cellStyle name="20% - Accent1 9" xfId="2979"/>
    <cellStyle name="20% - Accent1 9 2" xfId="2980"/>
    <cellStyle name="20% - Accent1 9 2 10" xfId="2981"/>
    <cellStyle name="20% - Accent1 9 2 11" xfId="2982"/>
    <cellStyle name="20% - Accent1 9 2 12" xfId="2983"/>
    <cellStyle name="20% - Accent1 9 2 13" xfId="2984"/>
    <cellStyle name="20% - Accent1 9 2 14" xfId="2985"/>
    <cellStyle name="20% - Accent1 9 2 15" xfId="2986"/>
    <cellStyle name="20% - Accent1 9 2 16" xfId="2987"/>
    <cellStyle name="20% - Accent1 9 2 17" xfId="2988"/>
    <cellStyle name="20% - Accent1 9 2 18" xfId="2989"/>
    <cellStyle name="20% - Accent1 9 2 19" xfId="2990"/>
    <cellStyle name="20% - Accent1 9 2 2" xfId="2991"/>
    <cellStyle name="20% - Accent1 9 2 2 2" xfId="2992"/>
    <cellStyle name="20% - Accent1 9 2 20" xfId="2993"/>
    <cellStyle name="20% - Accent1 9 2 21" xfId="2994"/>
    <cellStyle name="20% - Accent1 9 2 22" xfId="2995"/>
    <cellStyle name="20% - Accent1 9 2 23" xfId="2996"/>
    <cellStyle name="20% - Accent1 9 2 24" xfId="2997"/>
    <cellStyle name="20% - Accent1 9 2 25" xfId="2998"/>
    <cellStyle name="20% - Accent1 9 2 26" xfId="2999"/>
    <cellStyle name="20% - Accent1 9 2 27" xfId="3000"/>
    <cellStyle name="20% - Accent1 9 2 28" xfId="3001"/>
    <cellStyle name="20% - Accent1 9 2 29" xfId="3002"/>
    <cellStyle name="20% - Accent1 9 2 3" xfId="3003"/>
    <cellStyle name="20% - Accent1 9 2 30" xfId="3004"/>
    <cellStyle name="20% - Accent1 9 2 31" xfId="3005"/>
    <cellStyle name="20% - Accent1 9 2 32" xfId="3006"/>
    <cellStyle name="20% - Accent1 9 2 33" xfId="3007"/>
    <cellStyle name="20% - Accent1 9 2 34" xfId="3008"/>
    <cellStyle name="20% - Accent1 9 2 35" xfId="3009"/>
    <cellStyle name="20% - Accent1 9 2 36" xfId="3010"/>
    <cellStyle name="20% - Accent1 9 2 37" xfId="3011"/>
    <cellStyle name="20% - Accent1 9 2 38" xfId="3012"/>
    <cellStyle name="20% - Accent1 9 2 39" xfId="3013"/>
    <cellStyle name="20% - Accent1 9 2 4" xfId="3014"/>
    <cellStyle name="20% - Accent1 9 2 40" xfId="3015"/>
    <cellStyle name="20% - Accent1 9 2 41" xfId="3016"/>
    <cellStyle name="20% - Accent1 9 2 42" xfId="3017"/>
    <cellStyle name="20% - Accent1 9 2 43" xfId="3018"/>
    <cellStyle name="20% - Accent1 9 2 44" xfId="3019"/>
    <cellStyle name="20% - Accent1 9 2 45" xfId="3020"/>
    <cellStyle name="20% - Accent1 9 2 46" xfId="3021"/>
    <cellStyle name="20% - Accent1 9 2 47" xfId="3022"/>
    <cellStyle name="20% - Accent1 9 2 48" xfId="3023"/>
    <cellStyle name="20% - Accent1 9 2 49" xfId="3024"/>
    <cellStyle name="20% - Accent1 9 2 5" xfId="3025"/>
    <cellStyle name="20% - Accent1 9 2 50" xfId="3026"/>
    <cellStyle name="20% - Accent1 9 2 51" xfId="3027"/>
    <cellStyle name="20% - Accent1 9 2 52" xfId="3028"/>
    <cellStyle name="20% - Accent1 9 2 53" xfId="3029"/>
    <cellStyle name="20% - Accent1 9 2 54" xfId="3030"/>
    <cellStyle name="20% - Accent1 9 2 55" xfId="3031"/>
    <cellStyle name="20% - Accent1 9 2 6" xfId="3032"/>
    <cellStyle name="20% - Accent1 9 2 7" xfId="3033"/>
    <cellStyle name="20% - Accent1 9 2 8" xfId="3034"/>
    <cellStyle name="20% - Accent1 9 2 9" xfId="3035"/>
    <cellStyle name="20% - Accent1 9 3" xfId="3036"/>
    <cellStyle name="20% - Accent1 9 3 10" xfId="3037"/>
    <cellStyle name="20% - Accent1 9 3 11" xfId="3038"/>
    <cellStyle name="20% - Accent1 9 3 12" xfId="3039"/>
    <cellStyle name="20% - Accent1 9 3 13" xfId="3040"/>
    <cellStyle name="20% - Accent1 9 3 14" xfId="3041"/>
    <cellStyle name="20% - Accent1 9 3 15" xfId="3042"/>
    <cellStyle name="20% - Accent1 9 3 16" xfId="3043"/>
    <cellStyle name="20% - Accent1 9 3 17" xfId="3044"/>
    <cellStyle name="20% - Accent1 9 3 18" xfId="3045"/>
    <cellStyle name="20% - Accent1 9 3 19" xfId="3046"/>
    <cellStyle name="20% - Accent1 9 3 2" xfId="3047"/>
    <cellStyle name="20% - Accent1 9 3 2 2" xfId="3048"/>
    <cellStyle name="20% - Accent1 9 3 20" xfId="3049"/>
    <cellStyle name="20% - Accent1 9 3 21" xfId="3050"/>
    <cellStyle name="20% - Accent1 9 3 22" xfId="3051"/>
    <cellStyle name="20% - Accent1 9 3 23" xfId="3052"/>
    <cellStyle name="20% - Accent1 9 3 24" xfId="3053"/>
    <cellStyle name="20% - Accent1 9 3 25" xfId="3054"/>
    <cellStyle name="20% - Accent1 9 3 26" xfId="3055"/>
    <cellStyle name="20% - Accent1 9 3 27" xfId="3056"/>
    <cellStyle name="20% - Accent1 9 3 28" xfId="3057"/>
    <cellStyle name="20% - Accent1 9 3 29" xfId="3058"/>
    <cellStyle name="20% - Accent1 9 3 3" xfId="3059"/>
    <cellStyle name="20% - Accent1 9 3 30" xfId="3060"/>
    <cellStyle name="20% - Accent1 9 3 31" xfId="3061"/>
    <cellStyle name="20% - Accent1 9 3 32" xfId="3062"/>
    <cellStyle name="20% - Accent1 9 3 33" xfId="3063"/>
    <cellStyle name="20% - Accent1 9 3 34" xfId="3064"/>
    <cellStyle name="20% - Accent1 9 3 35" xfId="3065"/>
    <cellStyle name="20% - Accent1 9 3 36" xfId="3066"/>
    <cellStyle name="20% - Accent1 9 3 37" xfId="3067"/>
    <cellStyle name="20% - Accent1 9 3 38" xfId="3068"/>
    <cellStyle name="20% - Accent1 9 3 39" xfId="3069"/>
    <cellStyle name="20% - Accent1 9 3 4" xfId="3070"/>
    <cellStyle name="20% - Accent1 9 3 40" xfId="3071"/>
    <cellStyle name="20% - Accent1 9 3 41" xfId="3072"/>
    <cellStyle name="20% - Accent1 9 3 42" xfId="3073"/>
    <cellStyle name="20% - Accent1 9 3 43" xfId="3074"/>
    <cellStyle name="20% - Accent1 9 3 44" xfId="3075"/>
    <cellStyle name="20% - Accent1 9 3 45" xfId="3076"/>
    <cellStyle name="20% - Accent1 9 3 46" xfId="3077"/>
    <cellStyle name="20% - Accent1 9 3 47" xfId="3078"/>
    <cellStyle name="20% - Accent1 9 3 48" xfId="3079"/>
    <cellStyle name="20% - Accent1 9 3 49" xfId="3080"/>
    <cellStyle name="20% - Accent1 9 3 5" xfId="3081"/>
    <cellStyle name="20% - Accent1 9 3 50" xfId="3082"/>
    <cellStyle name="20% - Accent1 9 3 51" xfId="3083"/>
    <cellStyle name="20% - Accent1 9 3 52" xfId="3084"/>
    <cellStyle name="20% - Accent1 9 3 53" xfId="3085"/>
    <cellStyle name="20% - Accent1 9 3 54" xfId="3086"/>
    <cellStyle name="20% - Accent1 9 3 55" xfId="3087"/>
    <cellStyle name="20% - Accent1 9 3 6" xfId="3088"/>
    <cellStyle name="20% - Accent1 9 3 7" xfId="3089"/>
    <cellStyle name="20% - Accent1 9 3 8" xfId="3090"/>
    <cellStyle name="20% - Accent1 9 3 9" xfId="3091"/>
    <cellStyle name="20% - Accent2 10" xfId="3092"/>
    <cellStyle name="20% - Accent2 10 2" xfId="3093"/>
    <cellStyle name="20% - Accent2 10 2 10" xfId="3094"/>
    <cellStyle name="20% - Accent2 10 2 11" xfId="3095"/>
    <cellStyle name="20% - Accent2 10 2 12" xfId="3096"/>
    <cellStyle name="20% - Accent2 10 2 13" xfId="3097"/>
    <cellStyle name="20% - Accent2 10 2 14" xfId="3098"/>
    <cellStyle name="20% - Accent2 10 2 15" xfId="3099"/>
    <cellStyle name="20% - Accent2 10 2 16" xfId="3100"/>
    <cellStyle name="20% - Accent2 10 2 17" xfId="3101"/>
    <cellStyle name="20% - Accent2 10 2 18" xfId="3102"/>
    <cellStyle name="20% - Accent2 10 2 19" xfId="3103"/>
    <cellStyle name="20% - Accent2 10 2 2" xfId="3104"/>
    <cellStyle name="20% - Accent2 10 2 2 2" xfId="3105"/>
    <cellStyle name="20% - Accent2 10 2 20" xfId="3106"/>
    <cellStyle name="20% - Accent2 10 2 21" xfId="3107"/>
    <cellStyle name="20% - Accent2 10 2 22" xfId="3108"/>
    <cellStyle name="20% - Accent2 10 2 23" xfId="3109"/>
    <cellStyle name="20% - Accent2 10 2 24" xfId="3110"/>
    <cellStyle name="20% - Accent2 10 2 25" xfId="3111"/>
    <cellStyle name="20% - Accent2 10 2 26" xfId="3112"/>
    <cellStyle name="20% - Accent2 10 2 27" xfId="3113"/>
    <cellStyle name="20% - Accent2 10 2 28" xfId="3114"/>
    <cellStyle name="20% - Accent2 10 2 29" xfId="3115"/>
    <cellStyle name="20% - Accent2 10 2 3" xfId="3116"/>
    <cellStyle name="20% - Accent2 10 2 30" xfId="3117"/>
    <cellStyle name="20% - Accent2 10 2 31" xfId="3118"/>
    <cellStyle name="20% - Accent2 10 2 32" xfId="3119"/>
    <cellStyle name="20% - Accent2 10 2 33" xfId="3120"/>
    <cellStyle name="20% - Accent2 10 2 34" xfId="3121"/>
    <cellStyle name="20% - Accent2 10 2 35" xfId="3122"/>
    <cellStyle name="20% - Accent2 10 2 36" xfId="3123"/>
    <cellStyle name="20% - Accent2 10 2 37" xfId="3124"/>
    <cellStyle name="20% - Accent2 10 2 38" xfId="3125"/>
    <cellStyle name="20% - Accent2 10 2 39" xfId="3126"/>
    <cellStyle name="20% - Accent2 10 2 4" xfId="3127"/>
    <cellStyle name="20% - Accent2 10 2 40" xfId="3128"/>
    <cellStyle name="20% - Accent2 10 2 41" xfId="3129"/>
    <cellStyle name="20% - Accent2 10 2 42" xfId="3130"/>
    <cellStyle name="20% - Accent2 10 2 43" xfId="3131"/>
    <cellStyle name="20% - Accent2 10 2 44" xfId="3132"/>
    <cellStyle name="20% - Accent2 10 2 45" xfId="3133"/>
    <cellStyle name="20% - Accent2 10 2 46" xfId="3134"/>
    <cellStyle name="20% - Accent2 10 2 47" xfId="3135"/>
    <cellStyle name="20% - Accent2 10 2 48" xfId="3136"/>
    <cellStyle name="20% - Accent2 10 2 49" xfId="3137"/>
    <cellStyle name="20% - Accent2 10 2 5" xfId="3138"/>
    <cellStyle name="20% - Accent2 10 2 50" xfId="3139"/>
    <cellStyle name="20% - Accent2 10 2 51" xfId="3140"/>
    <cellStyle name="20% - Accent2 10 2 52" xfId="3141"/>
    <cellStyle name="20% - Accent2 10 2 53" xfId="3142"/>
    <cellStyle name="20% - Accent2 10 2 54" xfId="3143"/>
    <cellStyle name="20% - Accent2 10 2 55" xfId="3144"/>
    <cellStyle name="20% - Accent2 10 2 6" xfId="3145"/>
    <cellStyle name="20% - Accent2 10 2 7" xfId="3146"/>
    <cellStyle name="20% - Accent2 10 2 8" xfId="3147"/>
    <cellStyle name="20% - Accent2 10 2 9" xfId="3148"/>
    <cellStyle name="20% - Accent2 10 3" xfId="3149"/>
    <cellStyle name="20% - Accent2 10 3 10" xfId="3150"/>
    <cellStyle name="20% - Accent2 10 3 11" xfId="3151"/>
    <cellStyle name="20% - Accent2 10 3 12" xfId="3152"/>
    <cellStyle name="20% - Accent2 10 3 13" xfId="3153"/>
    <cellStyle name="20% - Accent2 10 3 14" xfId="3154"/>
    <cellStyle name="20% - Accent2 10 3 15" xfId="3155"/>
    <cellStyle name="20% - Accent2 10 3 16" xfId="3156"/>
    <cellStyle name="20% - Accent2 10 3 17" xfId="3157"/>
    <cellStyle name="20% - Accent2 10 3 18" xfId="3158"/>
    <cellStyle name="20% - Accent2 10 3 19" xfId="3159"/>
    <cellStyle name="20% - Accent2 10 3 2" xfId="3160"/>
    <cellStyle name="20% - Accent2 10 3 2 2" xfId="3161"/>
    <cellStyle name="20% - Accent2 10 3 20" xfId="3162"/>
    <cellStyle name="20% - Accent2 10 3 21" xfId="3163"/>
    <cellStyle name="20% - Accent2 10 3 22" xfId="3164"/>
    <cellStyle name="20% - Accent2 10 3 23" xfId="3165"/>
    <cellStyle name="20% - Accent2 10 3 24" xfId="3166"/>
    <cellStyle name="20% - Accent2 10 3 25" xfId="3167"/>
    <cellStyle name="20% - Accent2 10 3 26" xfId="3168"/>
    <cellStyle name="20% - Accent2 10 3 27" xfId="3169"/>
    <cellStyle name="20% - Accent2 10 3 28" xfId="3170"/>
    <cellStyle name="20% - Accent2 10 3 29" xfId="3171"/>
    <cellStyle name="20% - Accent2 10 3 3" xfId="3172"/>
    <cellStyle name="20% - Accent2 10 3 30" xfId="3173"/>
    <cellStyle name="20% - Accent2 10 3 31" xfId="3174"/>
    <cellStyle name="20% - Accent2 10 3 32" xfId="3175"/>
    <cellStyle name="20% - Accent2 10 3 33" xfId="3176"/>
    <cellStyle name="20% - Accent2 10 3 34" xfId="3177"/>
    <cellStyle name="20% - Accent2 10 3 35" xfId="3178"/>
    <cellStyle name="20% - Accent2 10 3 36" xfId="3179"/>
    <cellStyle name="20% - Accent2 10 3 37" xfId="3180"/>
    <cellStyle name="20% - Accent2 10 3 38" xfId="3181"/>
    <cellStyle name="20% - Accent2 10 3 39" xfId="3182"/>
    <cellStyle name="20% - Accent2 10 3 4" xfId="3183"/>
    <cellStyle name="20% - Accent2 10 3 40" xfId="3184"/>
    <cellStyle name="20% - Accent2 10 3 41" xfId="3185"/>
    <cellStyle name="20% - Accent2 10 3 42" xfId="3186"/>
    <cellStyle name="20% - Accent2 10 3 43" xfId="3187"/>
    <cellStyle name="20% - Accent2 10 3 44" xfId="3188"/>
    <cellStyle name="20% - Accent2 10 3 45" xfId="3189"/>
    <cellStyle name="20% - Accent2 10 3 46" xfId="3190"/>
    <cellStyle name="20% - Accent2 10 3 47" xfId="3191"/>
    <cellStyle name="20% - Accent2 10 3 48" xfId="3192"/>
    <cellStyle name="20% - Accent2 10 3 49" xfId="3193"/>
    <cellStyle name="20% - Accent2 10 3 5" xfId="3194"/>
    <cellStyle name="20% - Accent2 10 3 50" xfId="3195"/>
    <cellStyle name="20% - Accent2 10 3 51" xfId="3196"/>
    <cellStyle name="20% - Accent2 10 3 52" xfId="3197"/>
    <cellStyle name="20% - Accent2 10 3 53" xfId="3198"/>
    <cellStyle name="20% - Accent2 10 3 54" xfId="3199"/>
    <cellStyle name="20% - Accent2 10 3 55" xfId="3200"/>
    <cellStyle name="20% - Accent2 10 3 6" xfId="3201"/>
    <cellStyle name="20% - Accent2 10 3 7" xfId="3202"/>
    <cellStyle name="20% - Accent2 10 3 8" xfId="3203"/>
    <cellStyle name="20% - Accent2 10 3 9" xfId="3204"/>
    <cellStyle name="20% - Accent2 11" xfId="3205"/>
    <cellStyle name="20% - Accent2 11 2" xfId="3206"/>
    <cellStyle name="20% - Accent2 11 2 10" xfId="3207"/>
    <cellStyle name="20% - Accent2 11 2 11" xfId="3208"/>
    <cellStyle name="20% - Accent2 11 2 12" xfId="3209"/>
    <cellStyle name="20% - Accent2 11 2 13" xfId="3210"/>
    <cellStyle name="20% - Accent2 11 2 14" xfId="3211"/>
    <cellStyle name="20% - Accent2 11 2 15" xfId="3212"/>
    <cellStyle name="20% - Accent2 11 2 16" xfId="3213"/>
    <cellStyle name="20% - Accent2 11 2 17" xfId="3214"/>
    <cellStyle name="20% - Accent2 11 2 18" xfId="3215"/>
    <cellStyle name="20% - Accent2 11 2 19" xfId="3216"/>
    <cellStyle name="20% - Accent2 11 2 2" xfId="3217"/>
    <cellStyle name="20% - Accent2 11 2 2 2" xfId="3218"/>
    <cellStyle name="20% - Accent2 11 2 20" xfId="3219"/>
    <cellStyle name="20% - Accent2 11 2 21" xfId="3220"/>
    <cellStyle name="20% - Accent2 11 2 22" xfId="3221"/>
    <cellStyle name="20% - Accent2 11 2 23" xfId="3222"/>
    <cellStyle name="20% - Accent2 11 2 24" xfId="3223"/>
    <cellStyle name="20% - Accent2 11 2 25" xfId="3224"/>
    <cellStyle name="20% - Accent2 11 2 26" xfId="3225"/>
    <cellStyle name="20% - Accent2 11 2 27" xfId="3226"/>
    <cellStyle name="20% - Accent2 11 2 28" xfId="3227"/>
    <cellStyle name="20% - Accent2 11 2 29" xfId="3228"/>
    <cellStyle name="20% - Accent2 11 2 3" xfId="3229"/>
    <cellStyle name="20% - Accent2 11 2 30" xfId="3230"/>
    <cellStyle name="20% - Accent2 11 2 31" xfId="3231"/>
    <cellStyle name="20% - Accent2 11 2 32" xfId="3232"/>
    <cellStyle name="20% - Accent2 11 2 33" xfId="3233"/>
    <cellStyle name="20% - Accent2 11 2 34" xfId="3234"/>
    <cellStyle name="20% - Accent2 11 2 35" xfId="3235"/>
    <cellStyle name="20% - Accent2 11 2 36" xfId="3236"/>
    <cellStyle name="20% - Accent2 11 2 37" xfId="3237"/>
    <cellStyle name="20% - Accent2 11 2 38" xfId="3238"/>
    <cellStyle name="20% - Accent2 11 2 39" xfId="3239"/>
    <cellStyle name="20% - Accent2 11 2 4" xfId="3240"/>
    <cellStyle name="20% - Accent2 11 2 40" xfId="3241"/>
    <cellStyle name="20% - Accent2 11 2 41" xfId="3242"/>
    <cellStyle name="20% - Accent2 11 2 42" xfId="3243"/>
    <cellStyle name="20% - Accent2 11 2 43" xfId="3244"/>
    <cellStyle name="20% - Accent2 11 2 44" xfId="3245"/>
    <cellStyle name="20% - Accent2 11 2 45" xfId="3246"/>
    <cellStyle name="20% - Accent2 11 2 46" xfId="3247"/>
    <cellStyle name="20% - Accent2 11 2 47" xfId="3248"/>
    <cellStyle name="20% - Accent2 11 2 48" xfId="3249"/>
    <cellStyle name="20% - Accent2 11 2 49" xfId="3250"/>
    <cellStyle name="20% - Accent2 11 2 5" xfId="3251"/>
    <cellStyle name="20% - Accent2 11 2 50" xfId="3252"/>
    <cellStyle name="20% - Accent2 11 2 51" xfId="3253"/>
    <cellStyle name="20% - Accent2 11 2 52" xfId="3254"/>
    <cellStyle name="20% - Accent2 11 2 53" xfId="3255"/>
    <cellStyle name="20% - Accent2 11 2 54" xfId="3256"/>
    <cellStyle name="20% - Accent2 11 2 55" xfId="3257"/>
    <cellStyle name="20% - Accent2 11 2 6" xfId="3258"/>
    <cellStyle name="20% - Accent2 11 2 7" xfId="3259"/>
    <cellStyle name="20% - Accent2 11 2 8" xfId="3260"/>
    <cellStyle name="20% - Accent2 11 2 9" xfId="3261"/>
    <cellStyle name="20% - Accent2 11 3" xfId="3262"/>
    <cellStyle name="20% - Accent2 11 3 10" xfId="3263"/>
    <cellStyle name="20% - Accent2 11 3 11" xfId="3264"/>
    <cellStyle name="20% - Accent2 11 3 12" xfId="3265"/>
    <cellStyle name="20% - Accent2 11 3 13" xfId="3266"/>
    <cellStyle name="20% - Accent2 11 3 14" xfId="3267"/>
    <cellStyle name="20% - Accent2 11 3 15" xfId="3268"/>
    <cellStyle name="20% - Accent2 11 3 16" xfId="3269"/>
    <cellStyle name="20% - Accent2 11 3 17" xfId="3270"/>
    <cellStyle name="20% - Accent2 11 3 18" xfId="3271"/>
    <cellStyle name="20% - Accent2 11 3 19" xfId="3272"/>
    <cellStyle name="20% - Accent2 11 3 2" xfId="3273"/>
    <cellStyle name="20% - Accent2 11 3 2 2" xfId="3274"/>
    <cellStyle name="20% - Accent2 11 3 20" xfId="3275"/>
    <cellStyle name="20% - Accent2 11 3 21" xfId="3276"/>
    <cellStyle name="20% - Accent2 11 3 22" xfId="3277"/>
    <cellStyle name="20% - Accent2 11 3 23" xfId="3278"/>
    <cellStyle name="20% - Accent2 11 3 24" xfId="3279"/>
    <cellStyle name="20% - Accent2 11 3 25" xfId="3280"/>
    <cellStyle name="20% - Accent2 11 3 26" xfId="3281"/>
    <cellStyle name="20% - Accent2 11 3 27" xfId="3282"/>
    <cellStyle name="20% - Accent2 11 3 28" xfId="3283"/>
    <cellStyle name="20% - Accent2 11 3 29" xfId="3284"/>
    <cellStyle name="20% - Accent2 11 3 3" xfId="3285"/>
    <cellStyle name="20% - Accent2 11 3 30" xfId="3286"/>
    <cellStyle name="20% - Accent2 11 3 31" xfId="3287"/>
    <cellStyle name="20% - Accent2 11 3 32" xfId="3288"/>
    <cellStyle name="20% - Accent2 11 3 33" xfId="3289"/>
    <cellStyle name="20% - Accent2 11 3 34" xfId="3290"/>
    <cellStyle name="20% - Accent2 11 3 35" xfId="3291"/>
    <cellStyle name="20% - Accent2 11 3 36" xfId="3292"/>
    <cellStyle name="20% - Accent2 11 3 37" xfId="3293"/>
    <cellStyle name="20% - Accent2 11 3 38" xfId="3294"/>
    <cellStyle name="20% - Accent2 11 3 39" xfId="3295"/>
    <cellStyle name="20% - Accent2 11 3 4" xfId="3296"/>
    <cellStyle name="20% - Accent2 11 3 40" xfId="3297"/>
    <cellStyle name="20% - Accent2 11 3 41" xfId="3298"/>
    <cellStyle name="20% - Accent2 11 3 42" xfId="3299"/>
    <cellStyle name="20% - Accent2 11 3 43" xfId="3300"/>
    <cellStyle name="20% - Accent2 11 3 44" xfId="3301"/>
    <cellStyle name="20% - Accent2 11 3 45" xfId="3302"/>
    <cellStyle name="20% - Accent2 11 3 46" xfId="3303"/>
    <cellStyle name="20% - Accent2 11 3 47" xfId="3304"/>
    <cellStyle name="20% - Accent2 11 3 48" xfId="3305"/>
    <cellStyle name="20% - Accent2 11 3 49" xfId="3306"/>
    <cellStyle name="20% - Accent2 11 3 5" xfId="3307"/>
    <cellStyle name="20% - Accent2 11 3 50" xfId="3308"/>
    <cellStyle name="20% - Accent2 11 3 51" xfId="3309"/>
    <cellStyle name="20% - Accent2 11 3 52" xfId="3310"/>
    <cellStyle name="20% - Accent2 11 3 53" xfId="3311"/>
    <cellStyle name="20% - Accent2 11 3 54" xfId="3312"/>
    <cellStyle name="20% - Accent2 11 3 55" xfId="3313"/>
    <cellStyle name="20% - Accent2 11 3 6" xfId="3314"/>
    <cellStyle name="20% - Accent2 11 3 7" xfId="3315"/>
    <cellStyle name="20% - Accent2 11 3 8" xfId="3316"/>
    <cellStyle name="20% - Accent2 11 3 9" xfId="3317"/>
    <cellStyle name="20% - Accent2 12" xfId="3318"/>
    <cellStyle name="20% - Accent2 12 2" xfId="3319"/>
    <cellStyle name="20% - Accent2 12 2 10" xfId="3320"/>
    <cellStyle name="20% - Accent2 12 2 11" xfId="3321"/>
    <cellStyle name="20% - Accent2 12 2 12" xfId="3322"/>
    <cellStyle name="20% - Accent2 12 2 13" xfId="3323"/>
    <cellStyle name="20% - Accent2 12 2 14" xfId="3324"/>
    <cellStyle name="20% - Accent2 12 2 15" xfId="3325"/>
    <cellStyle name="20% - Accent2 12 2 16" xfId="3326"/>
    <cellStyle name="20% - Accent2 12 2 17" xfId="3327"/>
    <cellStyle name="20% - Accent2 12 2 18" xfId="3328"/>
    <cellStyle name="20% - Accent2 12 2 19" xfId="3329"/>
    <cellStyle name="20% - Accent2 12 2 2" xfId="3330"/>
    <cellStyle name="20% - Accent2 12 2 2 2" xfId="3331"/>
    <cellStyle name="20% - Accent2 12 2 20" xfId="3332"/>
    <cellStyle name="20% - Accent2 12 2 21" xfId="3333"/>
    <cellStyle name="20% - Accent2 12 2 22" xfId="3334"/>
    <cellStyle name="20% - Accent2 12 2 23" xfId="3335"/>
    <cellStyle name="20% - Accent2 12 2 24" xfId="3336"/>
    <cellStyle name="20% - Accent2 12 2 25" xfId="3337"/>
    <cellStyle name="20% - Accent2 12 2 26" xfId="3338"/>
    <cellStyle name="20% - Accent2 12 2 27" xfId="3339"/>
    <cellStyle name="20% - Accent2 12 2 28" xfId="3340"/>
    <cellStyle name="20% - Accent2 12 2 29" xfId="3341"/>
    <cellStyle name="20% - Accent2 12 2 3" xfId="3342"/>
    <cellStyle name="20% - Accent2 12 2 30" xfId="3343"/>
    <cellStyle name="20% - Accent2 12 2 31" xfId="3344"/>
    <cellStyle name="20% - Accent2 12 2 32" xfId="3345"/>
    <cellStyle name="20% - Accent2 12 2 33" xfId="3346"/>
    <cellStyle name="20% - Accent2 12 2 34" xfId="3347"/>
    <cellStyle name="20% - Accent2 12 2 35" xfId="3348"/>
    <cellStyle name="20% - Accent2 12 2 36" xfId="3349"/>
    <cellStyle name="20% - Accent2 12 2 37" xfId="3350"/>
    <cellStyle name="20% - Accent2 12 2 38" xfId="3351"/>
    <cellStyle name="20% - Accent2 12 2 39" xfId="3352"/>
    <cellStyle name="20% - Accent2 12 2 4" xfId="3353"/>
    <cellStyle name="20% - Accent2 12 2 40" xfId="3354"/>
    <cellStyle name="20% - Accent2 12 2 41" xfId="3355"/>
    <cellStyle name="20% - Accent2 12 2 42" xfId="3356"/>
    <cellStyle name="20% - Accent2 12 2 43" xfId="3357"/>
    <cellStyle name="20% - Accent2 12 2 44" xfId="3358"/>
    <cellStyle name="20% - Accent2 12 2 45" xfId="3359"/>
    <cellStyle name="20% - Accent2 12 2 46" xfId="3360"/>
    <cellStyle name="20% - Accent2 12 2 47" xfId="3361"/>
    <cellStyle name="20% - Accent2 12 2 48" xfId="3362"/>
    <cellStyle name="20% - Accent2 12 2 49" xfId="3363"/>
    <cellStyle name="20% - Accent2 12 2 5" xfId="3364"/>
    <cellStyle name="20% - Accent2 12 2 50" xfId="3365"/>
    <cellStyle name="20% - Accent2 12 2 51" xfId="3366"/>
    <cellStyle name="20% - Accent2 12 2 52" xfId="3367"/>
    <cellStyle name="20% - Accent2 12 2 53" xfId="3368"/>
    <cellStyle name="20% - Accent2 12 2 54" xfId="3369"/>
    <cellStyle name="20% - Accent2 12 2 55" xfId="3370"/>
    <cellStyle name="20% - Accent2 12 2 6" xfId="3371"/>
    <cellStyle name="20% - Accent2 12 2 7" xfId="3372"/>
    <cellStyle name="20% - Accent2 12 2 8" xfId="3373"/>
    <cellStyle name="20% - Accent2 12 2 9" xfId="3374"/>
    <cellStyle name="20% - Accent2 12 3" xfId="3375"/>
    <cellStyle name="20% - Accent2 12 3 10" xfId="3376"/>
    <cellStyle name="20% - Accent2 12 3 11" xfId="3377"/>
    <cellStyle name="20% - Accent2 12 3 12" xfId="3378"/>
    <cellStyle name="20% - Accent2 12 3 13" xfId="3379"/>
    <cellStyle name="20% - Accent2 12 3 14" xfId="3380"/>
    <cellStyle name="20% - Accent2 12 3 15" xfId="3381"/>
    <cellStyle name="20% - Accent2 12 3 16" xfId="3382"/>
    <cellStyle name="20% - Accent2 12 3 17" xfId="3383"/>
    <cellStyle name="20% - Accent2 12 3 18" xfId="3384"/>
    <cellStyle name="20% - Accent2 12 3 19" xfId="3385"/>
    <cellStyle name="20% - Accent2 12 3 2" xfId="3386"/>
    <cellStyle name="20% - Accent2 12 3 2 2" xfId="3387"/>
    <cellStyle name="20% - Accent2 12 3 20" xfId="3388"/>
    <cellStyle name="20% - Accent2 12 3 21" xfId="3389"/>
    <cellStyle name="20% - Accent2 12 3 22" xfId="3390"/>
    <cellStyle name="20% - Accent2 12 3 23" xfId="3391"/>
    <cellStyle name="20% - Accent2 12 3 24" xfId="3392"/>
    <cellStyle name="20% - Accent2 12 3 25" xfId="3393"/>
    <cellStyle name="20% - Accent2 12 3 26" xfId="3394"/>
    <cellStyle name="20% - Accent2 12 3 27" xfId="3395"/>
    <cellStyle name="20% - Accent2 12 3 28" xfId="3396"/>
    <cellStyle name="20% - Accent2 12 3 29" xfId="3397"/>
    <cellStyle name="20% - Accent2 12 3 3" xfId="3398"/>
    <cellStyle name="20% - Accent2 12 3 30" xfId="3399"/>
    <cellStyle name="20% - Accent2 12 3 31" xfId="3400"/>
    <cellStyle name="20% - Accent2 12 3 32" xfId="3401"/>
    <cellStyle name="20% - Accent2 12 3 33" xfId="3402"/>
    <cellStyle name="20% - Accent2 12 3 34" xfId="3403"/>
    <cellStyle name="20% - Accent2 12 3 35" xfId="3404"/>
    <cellStyle name="20% - Accent2 12 3 36" xfId="3405"/>
    <cellStyle name="20% - Accent2 12 3 37" xfId="3406"/>
    <cellStyle name="20% - Accent2 12 3 38" xfId="3407"/>
    <cellStyle name="20% - Accent2 12 3 39" xfId="3408"/>
    <cellStyle name="20% - Accent2 12 3 4" xfId="3409"/>
    <cellStyle name="20% - Accent2 12 3 40" xfId="3410"/>
    <cellStyle name="20% - Accent2 12 3 41" xfId="3411"/>
    <cellStyle name="20% - Accent2 12 3 42" xfId="3412"/>
    <cellStyle name="20% - Accent2 12 3 43" xfId="3413"/>
    <cellStyle name="20% - Accent2 12 3 44" xfId="3414"/>
    <cellStyle name="20% - Accent2 12 3 45" xfId="3415"/>
    <cellStyle name="20% - Accent2 12 3 46" xfId="3416"/>
    <cellStyle name="20% - Accent2 12 3 47" xfId="3417"/>
    <cellStyle name="20% - Accent2 12 3 48" xfId="3418"/>
    <cellStyle name="20% - Accent2 12 3 49" xfId="3419"/>
    <cellStyle name="20% - Accent2 12 3 5" xfId="3420"/>
    <cellStyle name="20% - Accent2 12 3 50" xfId="3421"/>
    <cellStyle name="20% - Accent2 12 3 51" xfId="3422"/>
    <cellStyle name="20% - Accent2 12 3 52" xfId="3423"/>
    <cellStyle name="20% - Accent2 12 3 53" xfId="3424"/>
    <cellStyle name="20% - Accent2 12 3 54" xfId="3425"/>
    <cellStyle name="20% - Accent2 12 3 55" xfId="3426"/>
    <cellStyle name="20% - Accent2 12 3 6" xfId="3427"/>
    <cellStyle name="20% - Accent2 12 3 7" xfId="3428"/>
    <cellStyle name="20% - Accent2 12 3 8" xfId="3429"/>
    <cellStyle name="20% - Accent2 12 3 9" xfId="3430"/>
    <cellStyle name="20% - Accent2 13" xfId="3431"/>
    <cellStyle name="20% - Accent2 13 2" xfId="3432"/>
    <cellStyle name="20% - Accent2 13 2 10" xfId="3433"/>
    <cellStyle name="20% - Accent2 13 2 11" xfId="3434"/>
    <cellStyle name="20% - Accent2 13 2 12" xfId="3435"/>
    <cellStyle name="20% - Accent2 13 2 13" xfId="3436"/>
    <cellStyle name="20% - Accent2 13 2 14" xfId="3437"/>
    <cellStyle name="20% - Accent2 13 2 15" xfId="3438"/>
    <cellStyle name="20% - Accent2 13 2 16" xfId="3439"/>
    <cellStyle name="20% - Accent2 13 2 17" xfId="3440"/>
    <cellStyle name="20% - Accent2 13 2 18" xfId="3441"/>
    <cellStyle name="20% - Accent2 13 2 19" xfId="3442"/>
    <cellStyle name="20% - Accent2 13 2 2" xfId="3443"/>
    <cellStyle name="20% - Accent2 13 2 2 2" xfId="3444"/>
    <cellStyle name="20% - Accent2 13 2 20" xfId="3445"/>
    <cellStyle name="20% - Accent2 13 2 21" xfId="3446"/>
    <cellStyle name="20% - Accent2 13 2 22" xfId="3447"/>
    <cellStyle name="20% - Accent2 13 2 23" xfId="3448"/>
    <cellStyle name="20% - Accent2 13 2 24" xfId="3449"/>
    <cellStyle name="20% - Accent2 13 2 25" xfId="3450"/>
    <cellStyle name="20% - Accent2 13 2 26" xfId="3451"/>
    <cellStyle name="20% - Accent2 13 2 27" xfId="3452"/>
    <cellStyle name="20% - Accent2 13 2 28" xfId="3453"/>
    <cellStyle name="20% - Accent2 13 2 29" xfId="3454"/>
    <cellStyle name="20% - Accent2 13 2 3" xfId="3455"/>
    <cellStyle name="20% - Accent2 13 2 30" xfId="3456"/>
    <cellStyle name="20% - Accent2 13 2 31" xfId="3457"/>
    <cellStyle name="20% - Accent2 13 2 32" xfId="3458"/>
    <cellStyle name="20% - Accent2 13 2 33" xfId="3459"/>
    <cellStyle name="20% - Accent2 13 2 34" xfId="3460"/>
    <cellStyle name="20% - Accent2 13 2 35" xfId="3461"/>
    <cellStyle name="20% - Accent2 13 2 36" xfId="3462"/>
    <cellStyle name="20% - Accent2 13 2 37" xfId="3463"/>
    <cellStyle name="20% - Accent2 13 2 38" xfId="3464"/>
    <cellStyle name="20% - Accent2 13 2 39" xfId="3465"/>
    <cellStyle name="20% - Accent2 13 2 4" xfId="3466"/>
    <cellStyle name="20% - Accent2 13 2 40" xfId="3467"/>
    <cellStyle name="20% - Accent2 13 2 41" xfId="3468"/>
    <cellStyle name="20% - Accent2 13 2 42" xfId="3469"/>
    <cellStyle name="20% - Accent2 13 2 43" xfId="3470"/>
    <cellStyle name="20% - Accent2 13 2 44" xfId="3471"/>
    <cellStyle name="20% - Accent2 13 2 45" xfId="3472"/>
    <cellStyle name="20% - Accent2 13 2 46" xfId="3473"/>
    <cellStyle name="20% - Accent2 13 2 47" xfId="3474"/>
    <cellStyle name="20% - Accent2 13 2 48" xfId="3475"/>
    <cellStyle name="20% - Accent2 13 2 49" xfId="3476"/>
    <cellStyle name="20% - Accent2 13 2 5" xfId="3477"/>
    <cellStyle name="20% - Accent2 13 2 50" xfId="3478"/>
    <cellStyle name="20% - Accent2 13 2 51" xfId="3479"/>
    <cellStyle name="20% - Accent2 13 2 52" xfId="3480"/>
    <cellStyle name="20% - Accent2 13 2 53" xfId="3481"/>
    <cellStyle name="20% - Accent2 13 2 54" xfId="3482"/>
    <cellStyle name="20% - Accent2 13 2 55" xfId="3483"/>
    <cellStyle name="20% - Accent2 13 2 6" xfId="3484"/>
    <cellStyle name="20% - Accent2 13 2 7" xfId="3485"/>
    <cellStyle name="20% - Accent2 13 2 8" xfId="3486"/>
    <cellStyle name="20% - Accent2 13 2 9" xfId="3487"/>
    <cellStyle name="20% - Accent2 13 3" xfId="3488"/>
    <cellStyle name="20% - Accent2 13 3 10" xfId="3489"/>
    <cellStyle name="20% - Accent2 13 3 11" xfId="3490"/>
    <cellStyle name="20% - Accent2 13 3 12" xfId="3491"/>
    <cellStyle name="20% - Accent2 13 3 13" xfId="3492"/>
    <cellStyle name="20% - Accent2 13 3 14" xfId="3493"/>
    <cellStyle name="20% - Accent2 13 3 15" xfId="3494"/>
    <cellStyle name="20% - Accent2 13 3 16" xfId="3495"/>
    <cellStyle name="20% - Accent2 13 3 17" xfId="3496"/>
    <cellStyle name="20% - Accent2 13 3 18" xfId="3497"/>
    <cellStyle name="20% - Accent2 13 3 19" xfId="3498"/>
    <cellStyle name="20% - Accent2 13 3 2" xfId="3499"/>
    <cellStyle name="20% - Accent2 13 3 2 2" xfId="3500"/>
    <cellStyle name="20% - Accent2 13 3 20" xfId="3501"/>
    <cellStyle name="20% - Accent2 13 3 21" xfId="3502"/>
    <cellStyle name="20% - Accent2 13 3 22" xfId="3503"/>
    <cellStyle name="20% - Accent2 13 3 23" xfId="3504"/>
    <cellStyle name="20% - Accent2 13 3 24" xfId="3505"/>
    <cellStyle name="20% - Accent2 13 3 25" xfId="3506"/>
    <cellStyle name="20% - Accent2 13 3 26" xfId="3507"/>
    <cellStyle name="20% - Accent2 13 3 27" xfId="3508"/>
    <cellStyle name="20% - Accent2 13 3 28" xfId="3509"/>
    <cellStyle name="20% - Accent2 13 3 29" xfId="3510"/>
    <cellStyle name="20% - Accent2 13 3 3" xfId="3511"/>
    <cellStyle name="20% - Accent2 13 3 30" xfId="3512"/>
    <cellStyle name="20% - Accent2 13 3 31" xfId="3513"/>
    <cellStyle name="20% - Accent2 13 3 32" xfId="3514"/>
    <cellStyle name="20% - Accent2 13 3 33" xfId="3515"/>
    <cellStyle name="20% - Accent2 13 3 34" xfId="3516"/>
    <cellStyle name="20% - Accent2 13 3 35" xfId="3517"/>
    <cellStyle name="20% - Accent2 13 3 36" xfId="3518"/>
    <cellStyle name="20% - Accent2 13 3 37" xfId="3519"/>
    <cellStyle name="20% - Accent2 13 3 38" xfId="3520"/>
    <cellStyle name="20% - Accent2 13 3 39" xfId="3521"/>
    <cellStyle name="20% - Accent2 13 3 4" xfId="3522"/>
    <cellStyle name="20% - Accent2 13 3 40" xfId="3523"/>
    <cellStyle name="20% - Accent2 13 3 41" xfId="3524"/>
    <cellStyle name="20% - Accent2 13 3 42" xfId="3525"/>
    <cellStyle name="20% - Accent2 13 3 43" xfId="3526"/>
    <cellStyle name="20% - Accent2 13 3 44" xfId="3527"/>
    <cellStyle name="20% - Accent2 13 3 45" xfId="3528"/>
    <cellStyle name="20% - Accent2 13 3 46" xfId="3529"/>
    <cellStyle name="20% - Accent2 13 3 47" xfId="3530"/>
    <cellStyle name="20% - Accent2 13 3 48" xfId="3531"/>
    <cellStyle name="20% - Accent2 13 3 49" xfId="3532"/>
    <cellStyle name="20% - Accent2 13 3 5" xfId="3533"/>
    <cellStyle name="20% - Accent2 13 3 50" xfId="3534"/>
    <cellStyle name="20% - Accent2 13 3 51" xfId="3535"/>
    <cellStyle name="20% - Accent2 13 3 52" xfId="3536"/>
    <cellStyle name="20% - Accent2 13 3 53" xfId="3537"/>
    <cellStyle name="20% - Accent2 13 3 54" xfId="3538"/>
    <cellStyle name="20% - Accent2 13 3 55" xfId="3539"/>
    <cellStyle name="20% - Accent2 13 3 6" xfId="3540"/>
    <cellStyle name="20% - Accent2 13 3 7" xfId="3541"/>
    <cellStyle name="20% - Accent2 13 3 8" xfId="3542"/>
    <cellStyle name="20% - Accent2 13 3 9" xfId="3543"/>
    <cellStyle name="20% - Accent2 14" xfId="3544"/>
    <cellStyle name="20% - Accent2 14 2" xfId="3545"/>
    <cellStyle name="20% - Accent2 14 2 10" xfId="3546"/>
    <cellStyle name="20% - Accent2 14 2 11" xfId="3547"/>
    <cellStyle name="20% - Accent2 14 2 12" xfId="3548"/>
    <cellStyle name="20% - Accent2 14 2 13" xfId="3549"/>
    <cellStyle name="20% - Accent2 14 2 14" xfId="3550"/>
    <cellStyle name="20% - Accent2 14 2 15" xfId="3551"/>
    <cellStyle name="20% - Accent2 14 2 16" xfId="3552"/>
    <cellStyle name="20% - Accent2 14 2 17" xfId="3553"/>
    <cellStyle name="20% - Accent2 14 2 18" xfId="3554"/>
    <cellStyle name="20% - Accent2 14 2 19" xfId="3555"/>
    <cellStyle name="20% - Accent2 14 2 2" xfId="3556"/>
    <cellStyle name="20% - Accent2 14 2 2 2" xfId="3557"/>
    <cellStyle name="20% - Accent2 14 2 20" xfId="3558"/>
    <cellStyle name="20% - Accent2 14 2 21" xfId="3559"/>
    <cellStyle name="20% - Accent2 14 2 22" xfId="3560"/>
    <cellStyle name="20% - Accent2 14 2 23" xfId="3561"/>
    <cellStyle name="20% - Accent2 14 2 24" xfId="3562"/>
    <cellStyle name="20% - Accent2 14 2 25" xfId="3563"/>
    <cellStyle name="20% - Accent2 14 2 26" xfId="3564"/>
    <cellStyle name="20% - Accent2 14 2 27" xfId="3565"/>
    <cellStyle name="20% - Accent2 14 2 28" xfId="3566"/>
    <cellStyle name="20% - Accent2 14 2 29" xfId="3567"/>
    <cellStyle name="20% - Accent2 14 2 3" xfId="3568"/>
    <cellStyle name="20% - Accent2 14 2 30" xfId="3569"/>
    <cellStyle name="20% - Accent2 14 2 31" xfId="3570"/>
    <cellStyle name="20% - Accent2 14 2 32" xfId="3571"/>
    <cellStyle name="20% - Accent2 14 2 33" xfId="3572"/>
    <cellStyle name="20% - Accent2 14 2 34" xfId="3573"/>
    <cellStyle name="20% - Accent2 14 2 35" xfId="3574"/>
    <cellStyle name="20% - Accent2 14 2 36" xfId="3575"/>
    <cellStyle name="20% - Accent2 14 2 37" xfId="3576"/>
    <cellStyle name="20% - Accent2 14 2 38" xfId="3577"/>
    <cellStyle name="20% - Accent2 14 2 39" xfId="3578"/>
    <cellStyle name="20% - Accent2 14 2 4" xfId="3579"/>
    <cellStyle name="20% - Accent2 14 2 40" xfId="3580"/>
    <cellStyle name="20% - Accent2 14 2 41" xfId="3581"/>
    <cellStyle name="20% - Accent2 14 2 42" xfId="3582"/>
    <cellStyle name="20% - Accent2 14 2 43" xfId="3583"/>
    <cellStyle name="20% - Accent2 14 2 44" xfId="3584"/>
    <cellStyle name="20% - Accent2 14 2 45" xfId="3585"/>
    <cellStyle name="20% - Accent2 14 2 46" xfId="3586"/>
    <cellStyle name="20% - Accent2 14 2 47" xfId="3587"/>
    <cellStyle name="20% - Accent2 14 2 48" xfId="3588"/>
    <cellStyle name="20% - Accent2 14 2 49" xfId="3589"/>
    <cellStyle name="20% - Accent2 14 2 5" xfId="3590"/>
    <cellStyle name="20% - Accent2 14 2 50" xfId="3591"/>
    <cellStyle name="20% - Accent2 14 2 51" xfId="3592"/>
    <cellStyle name="20% - Accent2 14 2 52" xfId="3593"/>
    <cellStyle name="20% - Accent2 14 2 53" xfId="3594"/>
    <cellStyle name="20% - Accent2 14 2 54" xfId="3595"/>
    <cellStyle name="20% - Accent2 14 2 55" xfId="3596"/>
    <cellStyle name="20% - Accent2 14 2 6" xfId="3597"/>
    <cellStyle name="20% - Accent2 14 2 7" xfId="3598"/>
    <cellStyle name="20% - Accent2 14 2 8" xfId="3599"/>
    <cellStyle name="20% - Accent2 14 2 9" xfId="3600"/>
    <cellStyle name="20% - Accent2 14 3" xfId="3601"/>
    <cellStyle name="20% - Accent2 14 3 10" xfId="3602"/>
    <cellStyle name="20% - Accent2 14 3 11" xfId="3603"/>
    <cellStyle name="20% - Accent2 14 3 12" xfId="3604"/>
    <cellStyle name="20% - Accent2 14 3 13" xfId="3605"/>
    <cellStyle name="20% - Accent2 14 3 14" xfId="3606"/>
    <cellStyle name="20% - Accent2 14 3 15" xfId="3607"/>
    <cellStyle name="20% - Accent2 14 3 16" xfId="3608"/>
    <cellStyle name="20% - Accent2 14 3 17" xfId="3609"/>
    <cellStyle name="20% - Accent2 14 3 18" xfId="3610"/>
    <cellStyle name="20% - Accent2 14 3 19" xfId="3611"/>
    <cellStyle name="20% - Accent2 14 3 2" xfId="3612"/>
    <cellStyle name="20% - Accent2 14 3 2 2" xfId="3613"/>
    <cellStyle name="20% - Accent2 14 3 20" xfId="3614"/>
    <cellStyle name="20% - Accent2 14 3 21" xfId="3615"/>
    <cellStyle name="20% - Accent2 14 3 22" xfId="3616"/>
    <cellStyle name="20% - Accent2 14 3 23" xfId="3617"/>
    <cellStyle name="20% - Accent2 14 3 24" xfId="3618"/>
    <cellStyle name="20% - Accent2 14 3 25" xfId="3619"/>
    <cellStyle name="20% - Accent2 14 3 26" xfId="3620"/>
    <cellStyle name="20% - Accent2 14 3 27" xfId="3621"/>
    <cellStyle name="20% - Accent2 14 3 28" xfId="3622"/>
    <cellStyle name="20% - Accent2 14 3 29" xfId="3623"/>
    <cellStyle name="20% - Accent2 14 3 3" xfId="3624"/>
    <cellStyle name="20% - Accent2 14 3 30" xfId="3625"/>
    <cellStyle name="20% - Accent2 14 3 31" xfId="3626"/>
    <cellStyle name="20% - Accent2 14 3 32" xfId="3627"/>
    <cellStyle name="20% - Accent2 14 3 33" xfId="3628"/>
    <cellStyle name="20% - Accent2 14 3 34" xfId="3629"/>
    <cellStyle name="20% - Accent2 14 3 35" xfId="3630"/>
    <cellStyle name="20% - Accent2 14 3 36" xfId="3631"/>
    <cellStyle name="20% - Accent2 14 3 37" xfId="3632"/>
    <cellStyle name="20% - Accent2 14 3 38" xfId="3633"/>
    <cellStyle name="20% - Accent2 14 3 39" xfId="3634"/>
    <cellStyle name="20% - Accent2 14 3 4" xfId="3635"/>
    <cellStyle name="20% - Accent2 14 3 40" xfId="3636"/>
    <cellStyle name="20% - Accent2 14 3 41" xfId="3637"/>
    <cellStyle name="20% - Accent2 14 3 42" xfId="3638"/>
    <cellStyle name="20% - Accent2 14 3 43" xfId="3639"/>
    <cellStyle name="20% - Accent2 14 3 44" xfId="3640"/>
    <cellStyle name="20% - Accent2 14 3 45" xfId="3641"/>
    <cellStyle name="20% - Accent2 14 3 46" xfId="3642"/>
    <cellStyle name="20% - Accent2 14 3 47" xfId="3643"/>
    <cellStyle name="20% - Accent2 14 3 48" xfId="3644"/>
    <cellStyle name="20% - Accent2 14 3 49" xfId="3645"/>
    <cellStyle name="20% - Accent2 14 3 5" xfId="3646"/>
    <cellStyle name="20% - Accent2 14 3 50" xfId="3647"/>
    <cellStyle name="20% - Accent2 14 3 51" xfId="3648"/>
    <cellStyle name="20% - Accent2 14 3 52" xfId="3649"/>
    <cellStyle name="20% - Accent2 14 3 53" xfId="3650"/>
    <cellStyle name="20% - Accent2 14 3 54" xfId="3651"/>
    <cellStyle name="20% - Accent2 14 3 55" xfId="3652"/>
    <cellStyle name="20% - Accent2 14 3 6" xfId="3653"/>
    <cellStyle name="20% - Accent2 14 3 7" xfId="3654"/>
    <cellStyle name="20% - Accent2 14 3 8" xfId="3655"/>
    <cellStyle name="20% - Accent2 14 3 9" xfId="3656"/>
    <cellStyle name="20% - Accent2 15" xfId="3657"/>
    <cellStyle name="20% - Accent2 15 2" xfId="3658"/>
    <cellStyle name="20% - Accent2 15 2 10" xfId="3659"/>
    <cellStyle name="20% - Accent2 15 2 11" xfId="3660"/>
    <cellStyle name="20% - Accent2 15 2 12" xfId="3661"/>
    <cellStyle name="20% - Accent2 15 2 13" xfId="3662"/>
    <cellStyle name="20% - Accent2 15 2 14" xfId="3663"/>
    <cellStyle name="20% - Accent2 15 2 15" xfId="3664"/>
    <cellStyle name="20% - Accent2 15 2 16" xfId="3665"/>
    <cellStyle name="20% - Accent2 15 2 17" xfId="3666"/>
    <cellStyle name="20% - Accent2 15 2 18" xfId="3667"/>
    <cellStyle name="20% - Accent2 15 2 19" xfId="3668"/>
    <cellStyle name="20% - Accent2 15 2 2" xfId="3669"/>
    <cellStyle name="20% - Accent2 15 2 2 2" xfId="3670"/>
    <cellStyle name="20% - Accent2 15 2 20" xfId="3671"/>
    <cellStyle name="20% - Accent2 15 2 21" xfId="3672"/>
    <cellStyle name="20% - Accent2 15 2 22" xfId="3673"/>
    <cellStyle name="20% - Accent2 15 2 23" xfId="3674"/>
    <cellStyle name="20% - Accent2 15 2 24" xfId="3675"/>
    <cellStyle name="20% - Accent2 15 2 25" xfId="3676"/>
    <cellStyle name="20% - Accent2 15 2 26" xfId="3677"/>
    <cellStyle name="20% - Accent2 15 2 27" xfId="3678"/>
    <cellStyle name="20% - Accent2 15 2 28" xfId="3679"/>
    <cellStyle name="20% - Accent2 15 2 29" xfId="3680"/>
    <cellStyle name="20% - Accent2 15 2 3" xfId="3681"/>
    <cellStyle name="20% - Accent2 15 2 30" xfId="3682"/>
    <cellStyle name="20% - Accent2 15 2 31" xfId="3683"/>
    <cellStyle name="20% - Accent2 15 2 32" xfId="3684"/>
    <cellStyle name="20% - Accent2 15 2 33" xfId="3685"/>
    <cellStyle name="20% - Accent2 15 2 34" xfId="3686"/>
    <cellStyle name="20% - Accent2 15 2 35" xfId="3687"/>
    <cellStyle name="20% - Accent2 15 2 36" xfId="3688"/>
    <cellStyle name="20% - Accent2 15 2 37" xfId="3689"/>
    <cellStyle name="20% - Accent2 15 2 38" xfId="3690"/>
    <cellStyle name="20% - Accent2 15 2 39" xfId="3691"/>
    <cellStyle name="20% - Accent2 15 2 4" xfId="3692"/>
    <cellStyle name="20% - Accent2 15 2 40" xfId="3693"/>
    <cellStyle name="20% - Accent2 15 2 41" xfId="3694"/>
    <cellStyle name="20% - Accent2 15 2 42" xfId="3695"/>
    <cellStyle name="20% - Accent2 15 2 43" xfId="3696"/>
    <cellStyle name="20% - Accent2 15 2 44" xfId="3697"/>
    <cellStyle name="20% - Accent2 15 2 45" xfId="3698"/>
    <cellStyle name="20% - Accent2 15 2 46" xfId="3699"/>
    <cellStyle name="20% - Accent2 15 2 47" xfId="3700"/>
    <cellStyle name="20% - Accent2 15 2 48" xfId="3701"/>
    <cellStyle name="20% - Accent2 15 2 49" xfId="3702"/>
    <cellStyle name="20% - Accent2 15 2 5" xfId="3703"/>
    <cellStyle name="20% - Accent2 15 2 50" xfId="3704"/>
    <cellStyle name="20% - Accent2 15 2 51" xfId="3705"/>
    <cellStyle name="20% - Accent2 15 2 52" xfId="3706"/>
    <cellStyle name="20% - Accent2 15 2 53" xfId="3707"/>
    <cellStyle name="20% - Accent2 15 2 54" xfId="3708"/>
    <cellStyle name="20% - Accent2 15 2 55" xfId="3709"/>
    <cellStyle name="20% - Accent2 15 2 6" xfId="3710"/>
    <cellStyle name="20% - Accent2 15 2 7" xfId="3711"/>
    <cellStyle name="20% - Accent2 15 2 8" xfId="3712"/>
    <cellStyle name="20% - Accent2 15 2 9" xfId="3713"/>
    <cellStyle name="20% - Accent2 15 3" xfId="3714"/>
    <cellStyle name="20% - Accent2 15 3 10" xfId="3715"/>
    <cellStyle name="20% - Accent2 15 3 11" xfId="3716"/>
    <cellStyle name="20% - Accent2 15 3 12" xfId="3717"/>
    <cellStyle name="20% - Accent2 15 3 13" xfId="3718"/>
    <cellStyle name="20% - Accent2 15 3 14" xfId="3719"/>
    <cellStyle name="20% - Accent2 15 3 15" xfId="3720"/>
    <cellStyle name="20% - Accent2 15 3 16" xfId="3721"/>
    <cellStyle name="20% - Accent2 15 3 17" xfId="3722"/>
    <cellStyle name="20% - Accent2 15 3 18" xfId="3723"/>
    <cellStyle name="20% - Accent2 15 3 19" xfId="3724"/>
    <cellStyle name="20% - Accent2 15 3 2" xfId="3725"/>
    <cellStyle name="20% - Accent2 15 3 2 2" xfId="3726"/>
    <cellStyle name="20% - Accent2 15 3 20" xfId="3727"/>
    <cellStyle name="20% - Accent2 15 3 21" xfId="3728"/>
    <cellStyle name="20% - Accent2 15 3 22" xfId="3729"/>
    <cellStyle name="20% - Accent2 15 3 23" xfId="3730"/>
    <cellStyle name="20% - Accent2 15 3 24" xfId="3731"/>
    <cellStyle name="20% - Accent2 15 3 25" xfId="3732"/>
    <cellStyle name="20% - Accent2 15 3 26" xfId="3733"/>
    <cellStyle name="20% - Accent2 15 3 27" xfId="3734"/>
    <cellStyle name="20% - Accent2 15 3 28" xfId="3735"/>
    <cellStyle name="20% - Accent2 15 3 29" xfId="3736"/>
    <cellStyle name="20% - Accent2 15 3 3" xfId="3737"/>
    <cellStyle name="20% - Accent2 15 3 30" xfId="3738"/>
    <cellStyle name="20% - Accent2 15 3 31" xfId="3739"/>
    <cellStyle name="20% - Accent2 15 3 32" xfId="3740"/>
    <cellStyle name="20% - Accent2 15 3 33" xfId="3741"/>
    <cellStyle name="20% - Accent2 15 3 34" xfId="3742"/>
    <cellStyle name="20% - Accent2 15 3 35" xfId="3743"/>
    <cellStyle name="20% - Accent2 15 3 36" xfId="3744"/>
    <cellStyle name="20% - Accent2 15 3 37" xfId="3745"/>
    <cellStyle name="20% - Accent2 15 3 38" xfId="3746"/>
    <cellStyle name="20% - Accent2 15 3 39" xfId="3747"/>
    <cellStyle name="20% - Accent2 15 3 4" xfId="3748"/>
    <cellStyle name="20% - Accent2 15 3 40" xfId="3749"/>
    <cellStyle name="20% - Accent2 15 3 41" xfId="3750"/>
    <cellStyle name="20% - Accent2 15 3 42" xfId="3751"/>
    <cellStyle name="20% - Accent2 15 3 43" xfId="3752"/>
    <cellStyle name="20% - Accent2 15 3 44" xfId="3753"/>
    <cellStyle name="20% - Accent2 15 3 45" xfId="3754"/>
    <cellStyle name="20% - Accent2 15 3 46" xfId="3755"/>
    <cellStyle name="20% - Accent2 15 3 47" xfId="3756"/>
    <cellStyle name="20% - Accent2 15 3 48" xfId="3757"/>
    <cellStyle name="20% - Accent2 15 3 49" xfId="3758"/>
    <cellStyle name="20% - Accent2 15 3 5" xfId="3759"/>
    <cellStyle name="20% - Accent2 15 3 50" xfId="3760"/>
    <cellStyle name="20% - Accent2 15 3 51" xfId="3761"/>
    <cellStyle name="20% - Accent2 15 3 52" xfId="3762"/>
    <cellStyle name="20% - Accent2 15 3 53" xfId="3763"/>
    <cellStyle name="20% - Accent2 15 3 54" xfId="3764"/>
    <cellStyle name="20% - Accent2 15 3 55" xfId="3765"/>
    <cellStyle name="20% - Accent2 15 3 6" xfId="3766"/>
    <cellStyle name="20% - Accent2 15 3 7" xfId="3767"/>
    <cellStyle name="20% - Accent2 15 3 8" xfId="3768"/>
    <cellStyle name="20% - Accent2 15 3 9" xfId="3769"/>
    <cellStyle name="20% - Accent2 16" xfId="3770"/>
    <cellStyle name="20% - Accent2 16 2" xfId="3771"/>
    <cellStyle name="20% - Accent2 16 2 10" xfId="3772"/>
    <cellStyle name="20% - Accent2 16 2 11" xfId="3773"/>
    <cellStyle name="20% - Accent2 16 2 12" xfId="3774"/>
    <cellStyle name="20% - Accent2 16 2 13" xfId="3775"/>
    <cellStyle name="20% - Accent2 16 2 14" xfId="3776"/>
    <cellStyle name="20% - Accent2 16 2 15" xfId="3777"/>
    <cellStyle name="20% - Accent2 16 2 16" xfId="3778"/>
    <cellStyle name="20% - Accent2 16 2 17" xfId="3779"/>
    <cellStyle name="20% - Accent2 16 2 18" xfId="3780"/>
    <cellStyle name="20% - Accent2 16 2 19" xfId="3781"/>
    <cellStyle name="20% - Accent2 16 2 2" xfId="3782"/>
    <cellStyle name="20% - Accent2 16 2 2 2" xfId="3783"/>
    <cellStyle name="20% - Accent2 16 2 20" xfId="3784"/>
    <cellStyle name="20% - Accent2 16 2 21" xfId="3785"/>
    <cellStyle name="20% - Accent2 16 2 22" xfId="3786"/>
    <cellStyle name="20% - Accent2 16 2 23" xfId="3787"/>
    <cellStyle name="20% - Accent2 16 2 24" xfId="3788"/>
    <cellStyle name="20% - Accent2 16 2 25" xfId="3789"/>
    <cellStyle name="20% - Accent2 16 2 26" xfId="3790"/>
    <cellStyle name="20% - Accent2 16 2 27" xfId="3791"/>
    <cellStyle name="20% - Accent2 16 2 28" xfId="3792"/>
    <cellStyle name="20% - Accent2 16 2 29" xfId="3793"/>
    <cellStyle name="20% - Accent2 16 2 3" xfId="3794"/>
    <cellStyle name="20% - Accent2 16 2 30" xfId="3795"/>
    <cellStyle name="20% - Accent2 16 2 31" xfId="3796"/>
    <cellStyle name="20% - Accent2 16 2 32" xfId="3797"/>
    <cellStyle name="20% - Accent2 16 2 33" xfId="3798"/>
    <cellStyle name="20% - Accent2 16 2 34" xfId="3799"/>
    <cellStyle name="20% - Accent2 16 2 35" xfId="3800"/>
    <cellStyle name="20% - Accent2 16 2 36" xfId="3801"/>
    <cellStyle name="20% - Accent2 16 2 37" xfId="3802"/>
    <cellStyle name="20% - Accent2 16 2 38" xfId="3803"/>
    <cellStyle name="20% - Accent2 16 2 39" xfId="3804"/>
    <cellStyle name="20% - Accent2 16 2 4" xfId="3805"/>
    <cellStyle name="20% - Accent2 16 2 40" xfId="3806"/>
    <cellStyle name="20% - Accent2 16 2 41" xfId="3807"/>
    <cellStyle name="20% - Accent2 16 2 42" xfId="3808"/>
    <cellStyle name="20% - Accent2 16 2 43" xfId="3809"/>
    <cellStyle name="20% - Accent2 16 2 44" xfId="3810"/>
    <cellStyle name="20% - Accent2 16 2 45" xfId="3811"/>
    <cellStyle name="20% - Accent2 16 2 46" xfId="3812"/>
    <cellStyle name="20% - Accent2 16 2 47" xfId="3813"/>
    <cellStyle name="20% - Accent2 16 2 48" xfId="3814"/>
    <cellStyle name="20% - Accent2 16 2 49" xfId="3815"/>
    <cellStyle name="20% - Accent2 16 2 5" xfId="3816"/>
    <cellStyle name="20% - Accent2 16 2 50" xfId="3817"/>
    <cellStyle name="20% - Accent2 16 2 51" xfId="3818"/>
    <cellStyle name="20% - Accent2 16 2 52" xfId="3819"/>
    <cellStyle name="20% - Accent2 16 2 53" xfId="3820"/>
    <cellStyle name="20% - Accent2 16 2 54" xfId="3821"/>
    <cellStyle name="20% - Accent2 16 2 55" xfId="3822"/>
    <cellStyle name="20% - Accent2 16 2 6" xfId="3823"/>
    <cellStyle name="20% - Accent2 16 2 7" xfId="3824"/>
    <cellStyle name="20% - Accent2 16 2 8" xfId="3825"/>
    <cellStyle name="20% - Accent2 16 2 9" xfId="3826"/>
    <cellStyle name="20% - Accent2 16 3" xfId="3827"/>
    <cellStyle name="20% - Accent2 16 3 10" xfId="3828"/>
    <cellStyle name="20% - Accent2 16 3 11" xfId="3829"/>
    <cellStyle name="20% - Accent2 16 3 12" xfId="3830"/>
    <cellStyle name="20% - Accent2 16 3 13" xfId="3831"/>
    <cellStyle name="20% - Accent2 16 3 14" xfId="3832"/>
    <cellStyle name="20% - Accent2 16 3 15" xfId="3833"/>
    <cellStyle name="20% - Accent2 16 3 16" xfId="3834"/>
    <cellStyle name="20% - Accent2 16 3 17" xfId="3835"/>
    <cellStyle name="20% - Accent2 16 3 18" xfId="3836"/>
    <cellStyle name="20% - Accent2 16 3 19" xfId="3837"/>
    <cellStyle name="20% - Accent2 16 3 2" xfId="3838"/>
    <cellStyle name="20% - Accent2 16 3 2 2" xfId="3839"/>
    <cellStyle name="20% - Accent2 16 3 20" xfId="3840"/>
    <cellStyle name="20% - Accent2 16 3 21" xfId="3841"/>
    <cellStyle name="20% - Accent2 16 3 22" xfId="3842"/>
    <cellStyle name="20% - Accent2 16 3 23" xfId="3843"/>
    <cellStyle name="20% - Accent2 16 3 24" xfId="3844"/>
    <cellStyle name="20% - Accent2 16 3 25" xfId="3845"/>
    <cellStyle name="20% - Accent2 16 3 26" xfId="3846"/>
    <cellStyle name="20% - Accent2 16 3 27" xfId="3847"/>
    <cellStyle name="20% - Accent2 16 3 28" xfId="3848"/>
    <cellStyle name="20% - Accent2 16 3 29" xfId="3849"/>
    <cellStyle name="20% - Accent2 16 3 3" xfId="3850"/>
    <cellStyle name="20% - Accent2 16 3 30" xfId="3851"/>
    <cellStyle name="20% - Accent2 16 3 31" xfId="3852"/>
    <cellStyle name="20% - Accent2 16 3 32" xfId="3853"/>
    <cellStyle name="20% - Accent2 16 3 33" xfId="3854"/>
    <cellStyle name="20% - Accent2 16 3 34" xfId="3855"/>
    <cellStyle name="20% - Accent2 16 3 35" xfId="3856"/>
    <cellStyle name="20% - Accent2 16 3 36" xfId="3857"/>
    <cellStyle name="20% - Accent2 16 3 37" xfId="3858"/>
    <cellStyle name="20% - Accent2 16 3 38" xfId="3859"/>
    <cellStyle name="20% - Accent2 16 3 39" xfId="3860"/>
    <cellStyle name="20% - Accent2 16 3 4" xfId="3861"/>
    <cellStyle name="20% - Accent2 16 3 40" xfId="3862"/>
    <cellStyle name="20% - Accent2 16 3 41" xfId="3863"/>
    <cellStyle name="20% - Accent2 16 3 42" xfId="3864"/>
    <cellStyle name="20% - Accent2 16 3 43" xfId="3865"/>
    <cellStyle name="20% - Accent2 16 3 44" xfId="3866"/>
    <cellStyle name="20% - Accent2 16 3 45" xfId="3867"/>
    <cellStyle name="20% - Accent2 16 3 46" xfId="3868"/>
    <cellStyle name="20% - Accent2 16 3 47" xfId="3869"/>
    <cellStyle name="20% - Accent2 16 3 48" xfId="3870"/>
    <cellStyle name="20% - Accent2 16 3 49" xfId="3871"/>
    <cellStyle name="20% - Accent2 16 3 5" xfId="3872"/>
    <cellStyle name="20% - Accent2 16 3 50" xfId="3873"/>
    <cellStyle name="20% - Accent2 16 3 51" xfId="3874"/>
    <cellStyle name="20% - Accent2 16 3 52" xfId="3875"/>
    <cellStyle name="20% - Accent2 16 3 53" xfId="3876"/>
    <cellStyle name="20% - Accent2 16 3 54" xfId="3877"/>
    <cellStyle name="20% - Accent2 16 3 55" xfId="3878"/>
    <cellStyle name="20% - Accent2 16 3 6" xfId="3879"/>
    <cellStyle name="20% - Accent2 16 3 7" xfId="3880"/>
    <cellStyle name="20% - Accent2 16 3 8" xfId="3881"/>
    <cellStyle name="20% - Accent2 16 3 9" xfId="3882"/>
    <cellStyle name="20% - Accent2 17" xfId="3883"/>
    <cellStyle name="20% - Accent2 17 2" xfId="3884"/>
    <cellStyle name="20% - Accent2 17 2 10" xfId="3885"/>
    <cellStyle name="20% - Accent2 17 2 11" xfId="3886"/>
    <cellStyle name="20% - Accent2 17 2 12" xfId="3887"/>
    <cellStyle name="20% - Accent2 17 2 13" xfId="3888"/>
    <cellStyle name="20% - Accent2 17 2 14" xfId="3889"/>
    <cellStyle name="20% - Accent2 17 2 15" xfId="3890"/>
    <cellStyle name="20% - Accent2 17 2 16" xfId="3891"/>
    <cellStyle name="20% - Accent2 17 2 17" xfId="3892"/>
    <cellStyle name="20% - Accent2 17 2 18" xfId="3893"/>
    <cellStyle name="20% - Accent2 17 2 19" xfId="3894"/>
    <cellStyle name="20% - Accent2 17 2 2" xfId="3895"/>
    <cellStyle name="20% - Accent2 17 2 2 2" xfId="3896"/>
    <cellStyle name="20% - Accent2 17 2 20" xfId="3897"/>
    <cellStyle name="20% - Accent2 17 2 21" xfId="3898"/>
    <cellStyle name="20% - Accent2 17 2 22" xfId="3899"/>
    <cellStyle name="20% - Accent2 17 2 23" xfId="3900"/>
    <cellStyle name="20% - Accent2 17 2 24" xfId="3901"/>
    <cellStyle name="20% - Accent2 17 2 25" xfId="3902"/>
    <cellStyle name="20% - Accent2 17 2 26" xfId="3903"/>
    <cellStyle name="20% - Accent2 17 2 27" xfId="3904"/>
    <cellStyle name="20% - Accent2 17 2 28" xfId="3905"/>
    <cellStyle name="20% - Accent2 17 2 29" xfId="3906"/>
    <cellStyle name="20% - Accent2 17 2 3" xfId="3907"/>
    <cellStyle name="20% - Accent2 17 2 30" xfId="3908"/>
    <cellStyle name="20% - Accent2 17 2 31" xfId="3909"/>
    <cellStyle name="20% - Accent2 17 2 32" xfId="3910"/>
    <cellStyle name="20% - Accent2 17 2 33" xfId="3911"/>
    <cellStyle name="20% - Accent2 17 2 34" xfId="3912"/>
    <cellStyle name="20% - Accent2 17 2 35" xfId="3913"/>
    <cellStyle name="20% - Accent2 17 2 36" xfId="3914"/>
    <cellStyle name="20% - Accent2 17 2 37" xfId="3915"/>
    <cellStyle name="20% - Accent2 17 2 38" xfId="3916"/>
    <cellStyle name="20% - Accent2 17 2 39" xfId="3917"/>
    <cellStyle name="20% - Accent2 17 2 4" xfId="3918"/>
    <cellStyle name="20% - Accent2 17 2 40" xfId="3919"/>
    <cellStyle name="20% - Accent2 17 2 41" xfId="3920"/>
    <cellStyle name="20% - Accent2 17 2 42" xfId="3921"/>
    <cellStyle name="20% - Accent2 17 2 43" xfId="3922"/>
    <cellStyle name="20% - Accent2 17 2 44" xfId="3923"/>
    <cellStyle name="20% - Accent2 17 2 45" xfId="3924"/>
    <cellStyle name="20% - Accent2 17 2 46" xfId="3925"/>
    <cellStyle name="20% - Accent2 17 2 47" xfId="3926"/>
    <cellStyle name="20% - Accent2 17 2 48" xfId="3927"/>
    <cellStyle name="20% - Accent2 17 2 49" xfId="3928"/>
    <cellStyle name="20% - Accent2 17 2 5" xfId="3929"/>
    <cellStyle name="20% - Accent2 17 2 50" xfId="3930"/>
    <cellStyle name="20% - Accent2 17 2 51" xfId="3931"/>
    <cellStyle name="20% - Accent2 17 2 52" xfId="3932"/>
    <cellStyle name="20% - Accent2 17 2 53" xfId="3933"/>
    <cellStyle name="20% - Accent2 17 2 54" xfId="3934"/>
    <cellStyle name="20% - Accent2 17 2 55" xfId="3935"/>
    <cellStyle name="20% - Accent2 17 2 6" xfId="3936"/>
    <cellStyle name="20% - Accent2 17 2 7" xfId="3937"/>
    <cellStyle name="20% - Accent2 17 2 8" xfId="3938"/>
    <cellStyle name="20% - Accent2 17 2 9" xfId="3939"/>
    <cellStyle name="20% - Accent2 17 3" xfId="3940"/>
    <cellStyle name="20% - Accent2 17 3 10" xfId="3941"/>
    <cellStyle name="20% - Accent2 17 3 11" xfId="3942"/>
    <cellStyle name="20% - Accent2 17 3 12" xfId="3943"/>
    <cellStyle name="20% - Accent2 17 3 13" xfId="3944"/>
    <cellStyle name="20% - Accent2 17 3 14" xfId="3945"/>
    <cellStyle name="20% - Accent2 17 3 15" xfId="3946"/>
    <cellStyle name="20% - Accent2 17 3 16" xfId="3947"/>
    <cellStyle name="20% - Accent2 17 3 17" xfId="3948"/>
    <cellStyle name="20% - Accent2 17 3 18" xfId="3949"/>
    <cellStyle name="20% - Accent2 17 3 19" xfId="3950"/>
    <cellStyle name="20% - Accent2 17 3 2" xfId="3951"/>
    <cellStyle name="20% - Accent2 17 3 2 2" xfId="3952"/>
    <cellStyle name="20% - Accent2 17 3 20" xfId="3953"/>
    <cellStyle name="20% - Accent2 17 3 21" xfId="3954"/>
    <cellStyle name="20% - Accent2 17 3 22" xfId="3955"/>
    <cellStyle name="20% - Accent2 17 3 23" xfId="3956"/>
    <cellStyle name="20% - Accent2 17 3 24" xfId="3957"/>
    <cellStyle name="20% - Accent2 17 3 25" xfId="3958"/>
    <cellStyle name="20% - Accent2 17 3 26" xfId="3959"/>
    <cellStyle name="20% - Accent2 17 3 27" xfId="3960"/>
    <cellStyle name="20% - Accent2 17 3 28" xfId="3961"/>
    <cellStyle name="20% - Accent2 17 3 29" xfId="3962"/>
    <cellStyle name="20% - Accent2 17 3 3" xfId="3963"/>
    <cellStyle name="20% - Accent2 17 3 30" xfId="3964"/>
    <cellStyle name="20% - Accent2 17 3 31" xfId="3965"/>
    <cellStyle name="20% - Accent2 17 3 32" xfId="3966"/>
    <cellStyle name="20% - Accent2 17 3 33" xfId="3967"/>
    <cellStyle name="20% - Accent2 17 3 34" xfId="3968"/>
    <cellStyle name="20% - Accent2 17 3 35" xfId="3969"/>
    <cellStyle name="20% - Accent2 17 3 36" xfId="3970"/>
    <cellStyle name="20% - Accent2 17 3 37" xfId="3971"/>
    <cellStyle name="20% - Accent2 17 3 38" xfId="3972"/>
    <cellStyle name="20% - Accent2 17 3 39" xfId="3973"/>
    <cellStyle name="20% - Accent2 17 3 4" xfId="3974"/>
    <cellStyle name="20% - Accent2 17 3 40" xfId="3975"/>
    <cellStyle name="20% - Accent2 17 3 41" xfId="3976"/>
    <cellStyle name="20% - Accent2 17 3 42" xfId="3977"/>
    <cellStyle name="20% - Accent2 17 3 43" xfId="3978"/>
    <cellStyle name="20% - Accent2 17 3 44" xfId="3979"/>
    <cellStyle name="20% - Accent2 17 3 45" xfId="3980"/>
    <cellStyle name="20% - Accent2 17 3 46" xfId="3981"/>
    <cellStyle name="20% - Accent2 17 3 47" xfId="3982"/>
    <cellStyle name="20% - Accent2 17 3 48" xfId="3983"/>
    <cellStyle name="20% - Accent2 17 3 49" xfId="3984"/>
    <cellStyle name="20% - Accent2 17 3 5" xfId="3985"/>
    <cellStyle name="20% - Accent2 17 3 50" xfId="3986"/>
    <cellStyle name="20% - Accent2 17 3 51" xfId="3987"/>
    <cellStyle name="20% - Accent2 17 3 52" xfId="3988"/>
    <cellStyle name="20% - Accent2 17 3 53" xfId="3989"/>
    <cellStyle name="20% - Accent2 17 3 54" xfId="3990"/>
    <cellStyle name="20% - Accent2 17 3 55" xfId="3991"/>
    <cellStyle name="20% - Accent2 17 3 6" xfId="3992"/>
    <cellStyle name="20% - Accent2 17 3 7" xfId="3993"/>
    <cellStyle name="20% - Accent2 17 3 8" xfId="3994"/>
    <cellStyle name="20% - Accent2 17 3 9" xfId="3995"/>
    <cellStyle name="20% - Accent2 18" xfId="3996"/>
    <cellStyle name="20% - Accent2 18 2" xfId="3997"/>
    <cellStyle name="20% - Accent2 18 2 10" xfId="3998"/>
    <cellStyle name="20% - Accent2 18 2 11" xfId="3999"/>
    <cellStyle name="20% - Accent2 18 2 12" xfId="4000"/>
    <cellStyle name="20% - Accent2 18 2 13" xfId="4001"/>
    <cellStyle name="20% - Accent2 18 2 14" xfId="4002"/>
    <cellStyle name="20% - Accent2 18 2 15" xfId="4003"/>
    <cellStyle name="20% - Accent2 18 2 16" xfId="4004"/>
    <cellStyle name="20% - Accent2 18 2 17" xfId="4005"/>
    <cellStyle name="20% - Accent2 18 2 18" xfId="4006"/>
    <cellStyle name="20% - Accent2 18 2 19" xfId="4007"/>
    <cellStyle name="20% - Accent2 18 2 2" xfId="4008"/>
    <cellStyle name="20% - Accent2 18 2 2 2" xfId="4009"/>
    <cellStyle name="20% - Accent2 18 2 20" xfId="4010"/>
    <cellStyle name="20% - Accent2 18 2 21" xfId="4011"/>
    <cellStyle name="20% - Accent2 18 2 22" xfId="4012"/>
    <cellStyle name="20% - Accent2 18 2 23" xfId="4013"/>
    <cellStyle name="20% - Accent2 18 2 24" xfId="4014"/>
    <cellStyle name="20% - Accent2 18 2 25" xfId="4015"/>
    <cellStyle name="20% - Accent2 18 2 26" xfId="4016"/>
    <cellStyle name="20% - Accent2 18 2 27" xfId="4017"/>
    <cellStyle name="20% - Accent2 18 2 28" xfId="4018"/>
    <cellStyle name="20% - Accent2 18 2 29" xfId="4019"/>
    <cellStyle name="20% - Accent2 18 2 3" xfId="4020"/>
    <cellStyle name="20% - Accent2 18 2 30" xfId="4021"/>
    <cellStyle name="20% - Accent2 18 2 31" xfId="4022"/>
    <cellStyle name="20% - Accent2 18 2 32" xfId="4023"/>
    <cellStyle name="20% - Accent2 18 2 33" xfId="4024"/>
    <cellStyle name="20% - Accent2 18 2 34" xfId="4025"/>
    <cellStyle name="20% - Accent2 18 2 35" xfId="4026"/>
    <cellStyle name="20% - Accent2 18 2 36" xfId="4027"/>
    <cellStyle name="20% - Accent2 18 2 37" xfId="4028"/>
    <cellStyle name="20% - Accent2 18 2 38" xfId="4029"/>
    <cellStyle name="20% - Accent2 18 2 39" xfId="4030"/>
    <cellStyle name="20% - Accent2 18 2 4" xfId="4031"/>
    <cellStyle name="20% - Accent2 18 2 40" xfId="4032"/>
    <cellStyle name="20% - Accent2 18 2 41" xfId="4033"/>
    <cellStyle name="20% - Accent2 18 2 42" xfId="4034"/>
    <cellStyle name="20% - Accent2 18 2 43" xfId="4035"/>
    <cellStyle name="20% - Accent2 18 2 44" xfId="4036"/>
    <cellStyle name="20% - Accent2 18 2 45" xfId="4037"/>
    <cellStyle name="20% - Accent2 18 2 46" xfId="4038"/>
    <cellStyle name="20% - Accent2 18 2 47" xfId="4039"/>
    <cellStyle name="20% - Accent2 18 2 48" xfId="4040"/>
    <cellStyle name="20% - Accent2 18 2 49" xfId="4041"/>
    <cellStyle name="20% - Accent2 18 2 5" xfId="4042"/>
    <cellStyle name="20% - Accent2 18 2 50" xfId="4043"/>
    <cellStyle name="20% - Accent2 18 2 51" xfId="4044"/>
    <cellStyle name="20% - Accent2 18 2 52" xfId="4045"/>
    <cellStyle name="20% - Accent2 18 2 53" xfId="4046"/>
    <cellStyle name="20% - Accent2 18 2 54" xfId="4047"/>
    <cellStyle name="20% - Accent2 18 2 55" xfId="4048"/>
    <cellStyle name="20% - Accent2 18 2 6" xfId="4049"/>
    <cellStyle name="20% - Accent2 18 2 7" xfId="4050"/>
    <cellStyle name="20% - Accent2 18 2 8" xfId="4051"/>
    <cellStyle name="20% - Accent2 18 2 9" xfId="4052"/>
    <cellStyle name="20% - Accent2 18 3" xfId="4053"/>
    <cellStyle name="20% - Accent2 18 3 10" xfId="4054"/>
    <cellStyle name="20% - Accent2 18 3 11" xfId="4055"/>
    <cellStyle name="20% - Accent2 18 3 12" xfId="4056"/>
    <cellStyle name="20% - Accent2 18 3 13" xfId="4057"/>
    <cellStyle name="20% - Accent2 18 3 14" xfId="4058"/>
    <cellStyle name="20% - Accent2 18 3 15" xfId="4059"/>
    <cellStyle name="20% - Accent2 18 3 16" xfId="4060"/>
    <cellStyle name="20% - Accent2 18 3 17" xfId="4061"/>
    <cellStyle name="20% - Accent2 18 3 18" xfId="4062"/>
    <cellStyle name="20% - Accent2 18 3 19" xfId="4063"/>
    <cellStyle name="20% - Accent2 18 3 2" xfId="4064"/>
    <cellStyle name="20% - Accent2 18 3 2 2" xfId="4065"/>
    <cellStyle name="20% - Accent2 18 3 20" xfId="4066"/>
    <cellStyle name="20% - Accent2 18 3 21" xfId="4067"/>
    <cellStyle name="20% - Accent2 18 3 22" xfId="4068"/>
    <cellStyle name="20% - Accent2 18 3 23" xfId="4069"/>
    <cellStyle name="20% - Accent2 18 3 24" xfId="4070"/>
    <cellStyle name="20% - Accent2 18 3 25" xfId="4071"/>
    <cellStyle name="20% - Accent2 18 3 26" xfId="4072"/>
    <cellStyle name="20% - Accent2 18 3 27" xfId="4073"/>
    <cellStyle name="20% - Accent2 18 3 28" xfId="4074"/>
    <cellStyle name="20% - Accent2 18 3 29" xfId="4075"/>
    <cellStyle name="20% - Accent2 18 3 3" xfId="4076"/>
    <cellStyle name="20% - Accent2 18 3 30" xfId="4077"/>
    <cellStyle name="20% - Accent2 18 3 31" xfId="4078"/>
    <cellStyle name="20% - Accent2 18 3 32" xfId="4079"/>
    <cellStyle name="20% - Accent2 18 3 33" xfId="4080"/>
    <cellStyle name="20% - Accent2 18 3 34" xfId="4081"/>
    <cellStyle name="20% - Accent2 18 3 35" xfId="4082"/>
    <cellStyle name="20% - Accent2 18 3 36" xfId="4083"/>
    <cellStyle name="20% - Accent2 18 3 37" xfId="4084"/>
    <cellStyle name="20% - Accent2 18 3 38" xfId="4085"/>
    <cellStyle name="20% - Accent2 18 3 39" xfId="4086"/>
    <cellStyle name="20% - Accent2 18 3 4" xfId="4087"/>
    <cellStyle name="20% - Accent2 18 3 40" xfId="4088"/>
    <cellStyle name="20% - Accent2 18 3 41" xfId="4089"/>
    <cellStyle name="20% - Accent2 18 3 42" xfId="4090"/>
    <cellStyle name="20% - Accent2 18 3 43" xfId="4091"/>
    <cellStyle name="20% - Accent2 18 3 44" xfId="4092"/>
    <cellStyle name="20% - Accent2 18 3 45" xfId="4093"/>
    <cellStyle name="20% - Accent2 18 3 46" xfId="4094"/>
    <cellStyle name="20% - Accent2 18 3 47" xfId="4095"/>
    <cellStyle name="20% - Accent2 18 3 48" xfId="4096"/>
    <cellStyle name="20% - Accent2 18 3 49" xfId="4097"/>
    <cellStyle name="20% - Accent2 18 3 5" xfId="4098"/>
    <cellStyle name="20% - Accent2 18 3 50" xfId="4099"/>
    <cellStyle name="20% - Accent2 18 3 51" xfId="4100"/>
    <cellStyle name="20% - Accent2 18 3 52" xfId="4101"/>
    <cellStyle name="20% - Accent2 18 3 53" xfId="4102"/>
    <cellStyle name="20% - Accent2 18 3 54" xfId="4103"/>
    <cellStyle name="20% - Accent2 18 3 55" xfId="4104"/>
    <cellStyle name="20% - Accent2 18 3 6" xfId="4105"/>
    <cellStyle name="20% - Accent2 18 3 7" xfId="4106"/>
    <cellStyle name="20% - Accent2 18 3 8" xfId="4107"/>
    <cellStyle name="20% - Accent2 18 3 9" xfId="4108"/>
    <cellStyle name="20% - Accent2 19" xfId="4109"/>
    <cellStyle name="20% - Accent2 2" xfId="4110"/>
    <cellStyle name="20% - Accent2 2 2" xfId="4111"/>
    <cellStyle name="20% - Accent2 2 2 2" xfId="4112"/>
    <cellStyle name="20% - Accent2 2 2 2 10" xfId="4113"/>
    <cellStyle name="20% - Accent2 2 2 2 11" xfId="4114"/>
    <cellStyle name="20% - Accent2 2 2 2 12" xfId="4115"/>
    <cellStyle name="20% - Accent2 2 2 2 13" xfId="4116"/>
    <cellStyle name="20% - Accent2 2 2 2 14" xfId="4117"/>
    <cellStyle name="20% - Accent2 2 2 2 15" xfId="4118"/>
    <cellStyle name="20% - Accent2 2 2 2 16" xfId="4119"/>
    <cellStyle name="20% - Accent2 2 2 2 17" xfId="4120"/>
    <cellStyle name="20% - Accent2 2 2 2 18" xfId="4121"/>
    <cellStyle name="20% - Accent2 2 2 2 19" xfId="4122"/>
    <cellStyle name="20% - Accent2 2 2 2 2" xfId="4123"/>
    <cellStyle name="20% - Accent2 2 2 2 2 2" xfId="4124"/>
    <cellStyle name="20% - Accent2 2 2 2 20" xfId="4125"/>
    <cellStyle name="20% - Accent2 2 2 2 21" xfId="4126"/>
    <cellStyle name="20% - Accent2 2 2 2 22" xfId="4127"/>
    <cellStyle name="20% - Accent2 2 2 2 23" xfId="4128"/>
    <cellStyle name="20% - Accent2 2 2 2 24" xfId="4129"/>
    <cellStyle name="20% - Accent2 2 2 2 25" xfId="4130"/>
    <cellStyle name="20% - Accent2 2 2 2 26" xfId="4131"/>
    <cellStyle name="20% - Accent2 2 2 2 27" xfId="4132"/>
    <cellStyle name="20% - Accent2 2 2 2 28" xfId="4133"/>
    <cellStyle name="20% - Accent2 2 2 2 29" xfId="4134"/>
    <cellStyle name="20% - Accent2 2 2 2 3" xfId="4135"/>
    <cellStyle name="20% - Accent2 2 2 2 30" xfId="4136"/>
    <cellStyle name="20% - Accent2 2 2 2 31" xfId="4137"/>
    <cellStyle name="20% - Accent2 2 2 2 32" xfId="4138"/>
    <cellStyle name="20% - Accent2 2 2 2 33" xfId="4139"/>
    <cellStyle name="20% - Accent2 2 2 2 34" xfId="4140"/>
    <cellStyle name="20% - Accent2 2 2 2 35" xfId="4141"/>
    <cellStyle name="20% - Accent2 2 2 2 36" xfId="4142"/>
    <cellStyle name="20% - Accent2 2 2 2 37" xfId="4143"/>
    <cellStyle name="20% - Accent2 2 2 2 38" xfId="4144"/>
    <cellStyle name="20% - Accent2 2 2 2 39" xfId="4145"/>
    <cellStyle name="20% - Accent2 2 2 2 4" xfId="4146"/>
    <cellStyle name="20% - Accent2 2 2 2 40" xfId="4147"/>
    <cellStyle name="20% - Accent2 2 2 2 41" xfId="4148"/>
    <cellStyle name="20% - Accent2 2 2 2 42" xfId="4149"/>
    <cellStyle name="20% - Accent2 2 2 2 43" xfId="4150"/>
    <cellStyle name="20% - Accent2 2 2 2 44" xfId="4151"/>
    <cellStyle name="20% - Accent2 2 2 2 45" xfId="4152"/>
    <cellStyle name="20% - Accent2 2 2 2 46" xfId="4153"/>
    <cellStyle name="20% - Accent2 2 2 2 47" xfId="4154"/>
    <cellStyle name="20% - Accent2 2 2 2 48" xfId="4155"/>
    <cellStyle name="20% - Accent2 2 2 2 49" xfId="4156"/>
    <cellStyle name="20% - Accent2 2 2 2 5" xfId="4157"/>
    <cellStyle name="20% - Accent2 2 2 2 50" xfId="4158"/>
    <cellStyle name="20% - Accent2 2 2 2 51" xfId="4159"/>
    <cellStyle name="20% - Accent2 2 2 2 52" xfId="4160"/>
    <cellStyle name="20% - Accent2 2 2 2 53" xfId="4161"/>
    <cellStyle name="20% - Accent2 2 2 2 54" xfId="4162"/>
    <cellStyle name="20% - Accent2 2 2 2 55" xfId="4163"/>
    <cellStyle name="20% - Accent2 2 2 2 6" xfId="4164"/>
    <cellStyle name="20% - Accent2 2 2 2 7" xfId="4165"/>
    <cellStyle name="20% - Accent2 2 2 2 8" xfId="4166"/>
    <cellStyle name="20% - Accent2 2 2 2 9" xfId="4167"/>
    <cellStyle name="20% - Accent2 2 2 2_PM Okt 2014 Plan VS Actual Planning Workshop" xfId="4168"/>
    <cellStyle name="20% - Accent2 2 2 3" xfId="4169"/>
    <cellStyle name="20% - Accent2 2 2 3 10" xfId="4170"/>
    <cellStyle name="20% - Accent2 2 2 3 11" xfId="4171"/>
    <cellStyle name="20% - Accent2 2 2 3 12" xfId="4172"/>
    <cellStyle name="20% - Accent2 2 2 3 13" xfId="4173"/>
    <cellStyle name="20% - Accent2 2 2 3 14" xfId="4174"/>
    <cellStyle name="20% - Accent2 2 2 3 15" xfId="4175"/>
    <cellStyle name="20% - Accent2 2 2 3 16" xfId="4176"/>
    <cellStyle name="20% - Accent2 2 2 3 17" xfId="4177"/>
    <cellStyle name="20% - Accent2 2 2 3 18" xfId="4178"/>
    <cellStyle name="20% - Accent2 2 2 3 19" xfId="4179"/>
    <cellStyle name="20% - Accent2 2 2 3 2" xfId="4180"/>
    <cellStyle name="20% - Accent2 2 2 3 2 2" xfId="4181"/>
    <cellStyle name="20% - Accent2 2 2 3 20" xfId="4182"/>
    <cellStyle name="20% - Accent2 2 2 3 21" xfId="4183"/>
    <cellStyle name="20% - Accent2 2 2 3 22" xfId="4184"/>
    <cellStyle name="20% - Accent2 2 2 3 23" xfId="4185"/>
    <cellStyle name="20% - Accent2 2 2 3 24" xfId="4186"/>
    <cellStyle name="20% - Accent2 2 2 3 25" xfId="4187"/>
    <cellStyle name="20% - Accent2 2 2 3 26" xfId="4188"/>
    <cellStyle name="20% - Accent2 2 2 3 27" xfId="4189"/>
    <cellStyle name="20% - Accent2 2 2 3 28" xfId="4190"/>
    <cellStyle name="20% - Accent2 2 2 3 29" xfId="4191"/>
    <cellStyle name="20% - Accent2 2 2 3 3" xfId="4192"/>
    <cellStyle name="20% - Accent2 2 2 3 30" xfId="4193"/>
    <cellStyle name="20% - Accent2 2 2 3 31" xfId="4194"/>
    <cellStyle name="20% - Accent2 2 2 3 32" xfId="4195"/>
    <cellStyle name="20% - Accent2 2 2 3 33" xfId="4196"/>
    <cellStyle name="20% - Accent2 2 2 3 34" xfId="4197"/>
    <cellStyle name="20% - Accent2 2 2 3 35" xfId="4198"/>
    <cellStyle name="20% - Accent2 2 2 3 36" xfId="4199"/>
    <cellStyle name="20% - Accent2 2 2 3 37" xfId="4200"/>
    <cellStyle name="20% - Accent2 2 2 3 38" xfId="4201"/>
    <cellStyle name="20% - Accent2 2 2 3 39" xfId="4202"/>
    <cellStyle name="20% - Accent2 2 2 3 4" xfId="4203"/>
    <cellStyle name="20% - Accent2 2 2 3 40" xfId="4204"/>
    <cellStyle name="20% - Accent2 2 2 3 41" xfId="4205"/>
    <cellStyle name="20% - Accent2 2 2 3 42" xfId="4206"/>
    <cellStyle name="20% - Accent2 2 2 3 43" xfId="4207"/>
    <cellStyle name="20% - Accent2 2 2 3 44" xfId="4208"/>
    <cellStyle name="20% - Accent2 2 2 3 45" xfId="4209"/>
    <cellStyle name="20% - Accent2 2 2 3 46" xfId="4210"/>
    <cellStyle name="20% - Accent2 2 2 3 47" xfId="4211"/>
    <cellStyle name="20% - Accent2 2 2 3 48" xfId="4212"/>
    <cellStyle name="20% - Accent2 2 2 3 49" xfId="4213"/>
    <cellStyle name="20% - Accent2 2 2 3 5" xfId="4214"/>
    <cellStyle name="20% - Accent2 2 2 3 50" xfId="4215"/>
    <cellStyle name="20% - Accent2 2 2 3 51" xfId="4216"/>
    <cellStyle name="20% - Accent2 2 2 3 52" xfId="4217"/>
    <cellStyle name="20% - Accent2 2 2 3 53" xfId="4218"/>
    <cellStyle name="20% - Accent2 2 2 3 54" xfId="4219"/>
    <cellStyle name="20% - Accent2 2 2 3 55" xfId="4220"/>
    <cellStyle name="20% - Accent2 2 2 3 6" xfId="4221"/>
    <cellStyle name="20% - Accent2 2 2 3 7" xfId="4222"/>
    <cellStyle name="20% - Accent2 2 2 3 8" xfId="4223"/>
    <cellStyle name="20% - Accent2 2 2 3 9" xfId="4224"/>
    <cellStyle name="20% - Accent2 2 3" xfId="4225"/>
    <cellStyle name="20% - Accent2 2 3 10" xfId="4226"/>
    <cellStyle name="20% - Accent2 2 3 11" xfId="4227"/>
    <cellStyle name="20% - Accent2 2 3 12" xfId="4228"/>
    <cellStyle name="20% - Accent2 2 3 13" xfId="4229"/>
    <cellStyle name="20% - Accent2 2 3 14" xfId="4230"/>
    <cellStyle name="20% - Accent2 2 3 15" xfId="4231"/>
    <cellStyle name="20% - Accent2 2 3 16" xfId="4232"/>
    <cellStyle name="20% - Accent2 2 3 17" xfId="4233"/>
    <cellStyle name="20% - Accent2 2 3 18" xfId="4234"/>
    <cellStyle name="20% - Accent2 2 3 19" xfId="4235"/>
    <cellStyle name="20% - Accent2 2 3 2" xfId="4236"/>
    <cellStyle name="20% - Accent2 2 3 2 2" xfId="4237"/>
    <cellStyle name="20% - Accent2 2 3 2_PM Okt 2014 Plan VS Actual Planning Workshop" xfId="4238"/>
    <cellStyle name="20% - Accent2 2 3 20" xfId="4239"/>
    <cellStyle name="20% - Accent2 2 3 21" xfId="4240"/>
    <cellStyle name="20% - Accent2 2 3 22" xfId="4241"/>
    <cellStyle name="20% - Accent2 2 3 23" xfId="4242"/>
    <cellStyle name="20% - Accent2 2 3 24" xfId="4243"/>
    <cellStyle name="20% - Accent2 2 3 25" xfId="4244"/>
    <cellStyle name="20% - Accent2 2 3 26" xfId="4245"/>
    <cellStyle name="20% - Accent2 2 3 27" xfId="4246"/>
    <cellStyle name="20% - Accent2 2 3 28" xfId="4247"/>
    <cellStyle name="20% - Accent2 2 3 29" xfId="4248"/>
    <cellStyle name="20% - Accent2 2 3 3" xfId="4249"/>
    <cellStyle name="20% - Accent2 2 3 30" xfId="4250"/>
    <cellStyle name="20% - Accent2 2 3 31" xfId="4251"/>
    <cellStyle name="20% - Accent2 2 3 32" xfId="4252"/>
    <cellStyle name="20% - Accent2 2 3 33" xfId="4253"/>
    <cellStyle name="20% - Accent2 2 3 34" xfId="4254"/>
    <cellStyle name="20% - Accent2 2 3 35" xfId="4255"/>
    <cellStyle name="20% - Accent2 2 3 36" xfId="4256"/>
    <cellStyle name="20% - Accent2 2 3 37" xfId="4257"/>
    <cellStyle name="20% - Accent2 2 3 38" xfId="4258"/>
    <cellStyle name="20% - Accent2 2 3 39" xfId="4259"/>
    <cellStyle name="20% - Accent2 2 3 4" xfId="4260"/>
    <cellStyle name="20% - Accent2 2 3 40" xfId="4261"/>
    <cellStyle name="20% - Accent2 2 3 41" xfId="4262"/>
    <cellStyle name="20% - Accent2 2 3 42" xfId="4263"/>
    <cellStyle name="20% - Accent2 2 3 43" xfId="4264"/>
    <cellStyle name="20% - Accent2 2 3 44" xfId="4265"/>
    <cellStyle name="20% - Accent2 2 3 45" xfId="4266"/>
    <cellStyle name="20% - Accent2 2 3 46" xfId="4267"/>
    <cellStyle name="20% - Accent2 2 3 47" xfId="4268"/>
    <cellStyle name="20% - Accent2 2 3 48" xfId="4269"/>
    <cellStyle name="20% - Accent2 2 3 49" xfId="4270"/>
    <cellStyle name="20% - Accent2 2 3 5" xfId="4271"/>
    <cellStyle name="20% - Accent2 2 3 50" xfId="4272"/>
    <cellStyle name="20% - Accent2 2 3 51" xfId="4273"/>
    <cellStyle name="20% - Accent2 2 3 52" xfId="4274"/>
    <cellStyle name="20% - Accent2 2 3 53" xfId="4275"/>
    <cellStyle name="20% - Accent2 2 3 54" xfId="4276"/>
    <cellStyle name="20% - Accent2 2 3 55" xfId="4277"/>
    <cellStyle name="20% - Accent2 2 3 6" xfId="4278"/>
    <cellStyle name="20% - Accent2 2 3 7" xfId="4279"/>
    <cellStyle name="20% - Accent2 2 3 8" xfId="4280"/>
    <cellStyle name="20% - Accent2 2 3 9" xfId="4281"/>
    <cellStyle name="20% - Accent2 2 4" xfId="4282"/>
    <cellStyle name="20% - Accent2 2 4 2" xfId="4283"/>
    <cellStyle name="20% - Accent2 2 5" xfId="4284"/>
    <cellStyle name="20% - Accent2 2_Asset monitoring board" xfId="4285"/>
    <cellStyle name="20% - Accent2 3" xfId="4286"/>
    <cellStyle name="20% - Accent2 3 2" xfId="4287"/>
    <cellStyle name="20% - Accent2 3 2 10" xfId="4288"/>
    <cellStyle name="20% - Accent2 3 2 11" xfId="4289"/>
    <cellStyle name="20% - Accent2 3 2 12" xfId="4290"/>
    <cellStyle name="20% - Accent2 3 2 13" xfId="4291"/>
    <cellStyle name="20% - Accent2 3 2 14" xfId="4292"/>
    <cellStyle name="20% - Accent2 3 2 15" xfId="4293"/>
    <cellStyle name="20% - Accent2 3 2 16" xfId="4294"/>
    <cellStyle name="20% - Accent2 3 2 17" xfId="4295"/>
    <cellStyle name="20% - Accent2 3 2 18" xfId="4296"/>
    <cellStyle name="20% - Accent2 3 2 19" xfId="4297"/>
    <cellStyle name="20% - Accent2 3 2 2" xfId="4298"/>
    <cellStyle name="20% - Accent2 3 2 2 2" xfId="4299"/>
    <cellStyle name="20% - Accent2 3 2 20" xfId="4300"/>
    <cellStyle name="20% - Accent2 3 2 21" xfId="4301"/>
    <cellStyle name="20% - Accent2 3 2 22" xfId="4302"/>
    <cellStyle name="20% - Accent2 3 2 23" xfId="4303"/>
    <cellStyle name="20% - Accent2 3 2 24" xfId="4304"/>
    <cellStyle name="20% - Accent2 3 2 25" xfId="4305"/>
    <cellStyle name="20% - Accent2 3 2 26" xfId="4306"/>
    <cellStyle name="20% - Accent2 3 2 27" xfId="4307"/>
    <cellStyle name="20% - Accent2 3 2 28" xfId="4308"/>
    <cellStyle name="20% - Accent2 3 2 29" xfId="4309"/>
    <cellStyle name="20% - Accent2 3 2 3" xfId="4310"/>
    <cellStyle name="20% - Accent2 3 2 30" xfId="4311"/>
    <cellStyle name="20% - Accent2 3 2 31" xfId="4312"/>
    <cellStyle name="20% - Accent2 3 2 32" xfId="4313"/>
    <cellStyle name="20% - Accent2 3 2 33" xfId="4314"/>
    <cellStyle name="20% - Accent2 3 2 34" xfId="4315"/>
    <cellStyle name="20% - Accent2 3 2 35" xfId="4316"/>
    <cellStyle name="20% - Accent2 3 2 36" xfId="4317"/>
    <cellStyle name="20% - Accent2 3 2 37" xfId="4318"/>
    <cellStyle name="20% - Accent2 3 2 38" xfId="4319"/>
    <cellStyle name="20% - Accent2 3 2 39" xfId="4320"/>
    <cellStyle name="20% - Accent2 3 2 4" xfId="4321"/>
    <cellStyle name="20% - Accent2 3 2 40" xfId="4322"/>
    <cellStyle name="20% - Accent2 3 2 41" xfId="4323"/>
    <cellStyle name="20% - Accent2 3 2 42" xfId="4324"/>
    <cellStyle name="20% - Accent2 3 2 43" xfId="4325"/>
    <cellStyle name="20% - Accent2 3 2 44" xfId="4326"/>
    <cellStyle name="20% - Accent2 3 2 45" xfId="4327"/>
    <cellStyle name="20% - Accent2 3 2 46" xfId="4328"/>
    <cellStyle name="20% - Accent2 3 2 47" xfId="4329"/>
    <cellStyle name="20% - Accent2 3 2 48" xfId="4330"/>
    <cellStyle name="20% - Accent2 3 2 49" xfId="4331"/>
    <cellStyle name="20% - Accent2 3 2 5" xfId="4332"/>
    <cellStyle name="20% - Accent2 3 2 50" xfId="4333"/>
    <cellStyle name="20% - Accent2 3 2 51" xfId="4334"/>
    <cellStyle name="20% - Accent2 3 2 52" xfId="4335"/>
    <cellStyle name="20% - Accent2 3 2 53" xfId="4336"/>
    <cellStyle name="20% - Accent2 3 2 54" xfId="4337"/>
    <cellStyle name="20% - Accent2 3 2 55" xfId="4338"/>
    <cellStyle name="20% - Accent2 3 2 6" xfId="4339"/>
    <cellStyle name="20% - Accent2 3 2 7" xfId="4340"/>
    <cellStyle name="20% - Accent2 3 2 8" xfId="4341"/>
    <cellStyle name="20% - Accent2 3 2 9" xfId="4342"/>
    <cellStyle name="20% - Accent2 3 3" xfId="4343"/>
    <cellStyle name="20% - Accent2 3 3 10" xfId="4344"/>
    <cellStyle name="20% - Accent2 3 3 11" xfId="4345"/>
    <cellStyle name="20% - Accent2 3 3 12" xfId="4346"/>
    <cellStyle name="20% - Accent2 3 3 13" xfId="4347"/>
    <cellStyle name="20% - Accent2 3 3 14" xfId="4348"/>
    <cellStyle name="20% - Accent2 3 3 15" xfId="4349"/>
    <cellStyle name="20% - Accent2 3 3 16" xfId="4350"/>
    <cellStyle name="20% - Accent2 3 3 17" xfId="4351"/>
    <cellStyle name="20% - Accent2 3 3 18" xfId="4352"/>
    <cellStyle name="20% - Accent2 3 3 19" xfId="4353"/>
    <cellStyle name="20% - Accent2 3 3 2" xfId="4354"/>
    <cellStyle name="20% - Accent2 3 3 2 2" xfId="4355"/>
    <cellStyle name="20% - Accent2 3 3 20" xfId="4356"/>
    <cellStyle name="20% - Accent2 3 3 21" xfId="4357"/>
    <cellStyle name="20% - Accent2 3 3 22" xfId="4358"/>
    <cellStyle name="20% - Accent2 3 3 23" xfId="4359"/>
    <cellStyle name="20% - Accent2 3 3 24" xfId="4360"/>
    <cellStyle name="20% - Accent2 3 3 25" xfId="4361"/>
    <cellStyle name="20% - Accent2 3 3 26" xfId="4362"/>
    <cellStyle name="20% - Accent2 3 3 27" xfId="4363"/>
    <cellStyle name="20% - Accent2 3 3 28" xfId="4364"/>
    <cellStyle name="20% - Accent2 3 3 29" xfId="4365"/>
    <cellStyle name="20% - Accent2 3 3 3" xfId="4366"/>
    <cellStyle name="20% - Accent2 3 3 30" xfId="4367"/>
    <cellStyle name="20% - Accent2 3 3 31" xfId="4368"/>
    <cellStyle name="20% - Accent2 3 3 32" xfId="4369"/>
    <cellStyle name="20% - Accent2 3 3 33" xfId="4370"/>
    <cellStyle name="20% - Accent2 3 3 34" xfId="4371"/>
    <cellStyle name="20% - Accent2 3 3 35" xfId="4372"/>
    <cellStyle name="20% - Accent2 3 3 36" xfId="4373"/>
    <cellStyle name="20% - Accent2 3 3 37" xfId="4374"/>
    <cellStyle name="20% - Accent2 3 3 38" xfId="4375"/>
    <cellStyle name="20% - Accent2 3 3 39" xfId="4376"/>
    <cellStyle name="20% - Accent2 3 3 4" xfId="4377"/>
    <cellStyle name="20% - Accent2 3 3 40" xfId="4378"/>
    <cellStyle name="20% - Accent2 3 3 41" xfId="4379"/>
    <cellStyle name="20% - Accent2 3 3 42" xfId="4380"/>
    <cellStyle name="20% - Accent2 3 3 43" xfId="4381"/>
    <cellStyle name="20% - Accent2 3 3 44" xfId="4382"/>
    <cellStyle name="20% - Accent2 3 3 45" xfId="4383"/>
    <cellStyle name="20% - Accent2 3 3 46" xfId="4384"/>
    <cellStyle name="20% - Accent2 3 3 47" xfId="4385"/>
    <cellStyle name="20% - Accent2 3 3 48" xfId="4386"/>
    <cellStyle name="20% - Accent2 3 3 49" xfId="4387"/>
    <cellStyle name="20% - Accent2 3 3 5" xfId="4388"/>
    <cellStyle name="20% - Accent2 3 3 50" xfId="4389"/>
    <cellStyle name="20% - Accent2 3 3 51" xfId="4390"/>
    <cellStyle name="20% - Accent2 3 3 52" xfId="4391"/>
    <cellStyle name="20% - Accent2 3 3 53" xfId="4392"/>
    <cellStyle name="20% - Accent2 3 3 54" xfId="4393"/>
    <cellStyle name="20% - Accent2 3 3 55" xfId="4394"/>
    <cellStyle name="20% - Accent2 3 3 6" xfId="4395"/>
    <cellStyle name="20% - Accent2 3 3 7" xfId="4396"/>
    <cellStyle name="20% - Accent2 3 3 8" xfId="4397"/>
    <cellStyle name="20% - Accent2 3 3 9" xfId="4398"/>
    <cellStyle name="20% - Accent2 4" xfId="4399"/>
    <cellStyle name="20% - Accent2 4 2" xfId="4400"/>
    <cellStyle name="20% - Accent2 4 2 10" xfId="4401"/>
    <cellStyle name="20% - Accent2 4 2 11" xfId="4402"/>
    <cellStyle name="20% - Accent2 4 2 12" xfId="4403"/>
    <cellStyle name="20% - Accent2 4 2 13" xfId="4404"/>
    <cellStyle name="20% - Accent2 4 2 14" xfId="4405"/>
    <cellStyle name="20% - Accent2 4 2 15" xfId="4406"/>
    <cellStyle name="20% - Accent2 4 2 16" xfId="4407"/>
    <cellStyle name="20% - Accent2 4 2 17" xfId="4408"/>
    <cellStyle name="20% - Accent2 4 2 18" xfId="4409"/>
    <cellStyle name="20% - Accent2 4 2 19" xfId="4410"/>
    <cellStyle name="20% - Accent2 4 2 2" xfId="4411"/>
    <cellStyle name="20% - Accent2 4 2 2 2" xfId="4412"/>
    <cellStyle name="20% - Accent2 4 2 20" xfId="4413"/>
    <cellStyle name="20% - Accent2 4 2 21" xfId="4414"/>
    <cellStyle name="20% - Accent2 4 2 22" xfId="4415"/>
    <cellStyle name="20% - Accent2 4 2 23" xfId="4416"/>
    <cellStyle name="20% - Accent2 4 2 24" xfId="4417"/>
    <cellStyle name="20% - Accent2 4 2 25" xfId="4418"/>
    <cellStyle name="20% - Accent2 4 2 26" xfId="4419"/>
    <cellStyle name="20% - Accent2 4 2 27" xfId="4420"/>
    <cellStyle name="20% - Accent2 4 2 28" xfId="4421"/>
    <cellStyle name="20% - Accent2 4 2 29" xfId="4422"/>
    <cellStyle name="20% - Accent2 4 2 3" xfId="4423"/>
    <cellStyle name="20% - Accent2 4 2 30" xfId="4424"/>
    <cellStyle name="20% - Accent2 4 2 31" xfId="4425"/>
    <cellStyle name="20% - Accent2 4 2 32" xfId="4426"/>
    <cellStyle name="20% - Accent2 4 2 33" xfId="4427"/>
    <cellStyle name="20% - Accent2 4 2 34" xfId="4428"/>
    <cellStyle name="20% - Accent2 4 2 35" xfId="4429"/>
    <cellStyle name="20% - Accent2 4 2 36" xfId="4430"/>
    <cellStyle name="20% - Accent2 4 2 37" xfId="4431"/>
    <cellStyle name="20% - Accent2 4 2 38" xfId="4432"/>
    <cellStyle name="20% - Accent2 4 2 39" xfId="4433"/>
    <cellStyle name="20% - Accent2 4 2 4" xfId="4434"/>
    <cellStyle name="20% - Accent2 4 2 40" xfId="4435"/>
    <cellStyle name="20% - Accent2 4 2 41" xfId="4436"/>
    <cellStyle name="20% - Accent2 4 2 42" xfId="4437"/>
    <cellStyle name="20% - Accent2 4 2 43" xfId="4438"/>
    <cellStyle name="20% - Accent2 4 2 44" xfId="4439"/>
    <cellStyle name="20% - Accent2 4 2 45" xfId="4440"/>
    <cellStyle name="20% - Accent2 4 2 46" xfId="4441"/>
    <cellStyle name="20% - Accent2 4 2 47" xfId="4442"/>
    <cellStyle name="20% - Accent2 4 2 48" xfId="4443"/>
    <cellStyle name="20% - Accent2 4 2 49" xfId="4444"/>
    <cellStyle name="20% - Accent2 4 2 5" xfId="4445"/>
    <cellStyle name="20% - Accent2 4 2 50" xfId="4446"/>
    <cellStyle name="20% - Accent2 4 2 51" xfId="4447"/>
    <cellStyle name="20% - Accent2 4 2 52" xfId="4448"/>
    <cellStyle name="20% - Accent2 4 2 53" xfId="4449"/>
    <cellStyle name="20% - Accent2 4 2 54" xfId="4450"/>
    <cellStyle name="20% - Accent2 4 2 55" xfId="4451"/>
    <cellStyle name="20% - Accent2 4 2 6" xfId="4452"/>
    <cellStyle name="20% - Accent2 4 2 7" xfId="4453"/>
    <cellStyle name="20% - Accent2 4 2 8" xfId="4454"/>
    <cellStyle name="20% - Accent2 4 2 9" xfId="4455"/>
    <cellStyle name="20% - Accent2 4 3" xfId="4456"/>
    <cellStyle name="20% - Accent2 4 3 10" xfId="4457"/>
    <cellStyle name="20% - Accent2 4 3 11" xfId="4458"/>
    <cellStyle name="20% - Accent2 4 3 12" xfId="4459"/>
    <cellStyle name="20% - Accent2 4 3 13" xfId="4460"/>
    <cellStyle name="20% - Accent2 4 3 14" xfId="4461"/>
    <cellStyle name="20% - Accent2 4 3 15" xfId="4462"/>
    <cellStyle name="20% - Accent2 4 3 16" xfId="4463"/>
    <cellStyle name="20% - Accent2 4 3 17" xfId="4464"/>
    <cellStyle name="20% - Accent2 4 3 18" xfId="4465"/>
    <cellStyle name="20% - Accent2 4 3 19" xfId="4466"/>
    <cellStyle name="20% - Accent2 4 3 2" xfId="4467"/>
    <cellStyle name="20% - Accent2 4 3 2 2" xfId="4468"/>
    <cellStyle name="20% - Accent2 4 3 20" xfId="4469"/>
    <cellStyle name="20% - Accent2 4 3 21" xfId="4470"/>
    <cellStyle name="20% - Accent2 4 3 22" xfId="4471"/>
    <cellStyle name="20% - Accent2 4 3 23" xfId="4472"/>
    <cellStyle name="20% - Accent2 4 3 24" xfId="4473"/>
    <cellStyle name="20% - Accent2 4 3 25" xfId="4474"/>
    <cellStyle name="20% - Accent2 4 3 26" xfId="4475"/>
    <cellStyle name="20% - Accent2 4 3 27" xfId="4476"/>
    <cellStyle name="20% - Accent2 4 3 28" xfId="4477"/>
    <cellStyle name="20% - Accent2 4 3 29" xfId="4478"/>
    <cellStyle name="20% - Accent2 4 3 3" xfId="4479"/>
    <cellStyle name="20% - Accent2 4 3 30" xfId="4480"/>
    <cellStyle name="20% - Accent2 4 3 31" xfId="4481"/>
    <cellStyle name="20% - Accent2 4 3 32" xfId="4482"/>
    <cellStyle name="20% - Accent2 4 3 33" xfId="4483"/>
    <cellStyle name="20% - Accent2 4 3 34" xfId="4484"/>
    <cellStyle name="20% - Accent2 4 3 35" xfId="4485"/>
    <cellStyle name="20% - Accent2 4 3 36" xfId="4486"/>
    <cellStyle name="20% - Accent2 4 3 37" xfId="4487"/>
    <cellStyle name="20% - Accent2 4 3 38" xfId="4488"/>
    <cellStyle name="20% - Accent2 4 3 39" xfId="4489"/>
    <cellStyle name="20% - Accent2 4 3 4" xfId="4490"/>
    <cellStyle name="20% - Accent2 4 3 40" xfId="4491"/>
    <cellStyle name="20% - Accent2 4 3 41" xfId="4492"/>
    <cellStyle name="20% - Accent2 4 3 42" xfId="4493"/>
    <cellStyle name="20% - Accent2 4 3 43" xfId="4494"/>
    <cellStyle name="20% - Accent2 4 3 44" xfId="4495"/>
    <cellStyle name="20% - Accent2 4 3 45" xfId="4496"/>
    <cellStyle name="20% - Accent2 4 3 46" xfId="4497"/>
    <cellStyle name="20% - Accent2 4 3 47" xfId="4498"/>
    <cellStyle name="20% - Accent2 4 3 48" xfId="4499"/>
    <cellStyle name="20% - Accent2 4 3 49" xfId="4500"/>
    <cellStyle name="20% - Accent2 4 3 5" xfId="4501"/>
    <cellStyle name="20% - Accent2 4 3 50" xfId="4502"/>
    <cellStyle name="20% - Accent2 4 3 51" xfId="4503"/>
    <cellStyle name="20% - Accent2 4 3 52" xfId="4504"/>
    <cellStyle name="20% - Accent2 4 3 53" xfId="4505"/>
    <cellStyle name="20% - Accent2 4 3 54" xfId="4506"/>
    <cellStyle name="20% - Accent2 4 3 55" xfId="4507"/>
    <cellStyle name="20% - Accent2 4 3 6" xfId="4508"/>
    <cellStyle name="20% - Accent2 4 3 7" xfId="4509"/>
    <cellStyle name="20% - Accent2 4 3 8" xfId="4510"/>
    <cellStyle name="20% - Accent2 4 3 9" xfId="4511"/>
    <cellStyle name="20% - Accent2 4 4" xfId="58359"/>
    <cellStyle name="20% - Accent2 5" xfId="4512"/>
    <cellStyle name="20% - Accent2 5 2" xfId="4513"/>
    <cellStyle name="20% - Accent2 5 2 10" xfId="4514"/>
    <cellStyle name="20% - Accent2 5 2 11" xfId="4515"/>
    <cellStyle name="20% - Accent2 5 2 12" xfId="4516"/>
    <cellStyle name="20% - Accent2 5 2 13" xfId="4517"/>
    <cellStyle name="20% - Accent2 5 2 14" xfId="4518"/>
    <cellStyle name="20% - Accent2 5 2 15" xfId="4519"/>
    <cellStyle name="20% - Accent2 5 2 16" xfId="4520"/>
    <cellStyle name="20% - Accent2 5 2 17" xfId="4521"/>
    <cellStyle name="20% - Accent2 5 2 18" xfId="4522"/>
    <cellStyle name="20% - Accent2 5 2 19" xfId="4523"/>
    <cellStyle name="20% - Accent2 5 2 2" xfId="4524"/>
    <cellStyle name="20% - Accent2 5 2 2 2" xfId="4525"/>
    <cellStyle name="20% - Accent2 5 2 20" xfId="4526"/>
    <cellStyle name="20% - Accent2 5 2 21" xfId="4527"/>
    <cellStyle name="20% - Accent2 5 2 22" xfId="4528"/>
    <cellStyle name="20% - Accent2 5 2 23" xfId="4529"/>
    <cellStyle name="20% - Accent2 5 2 24" xfId="4530"/>
    <cellStyle name="20% - Accent2 5 2 25" xfId="4531"/>
    <cellStyle name="20% - Accent2 5 2 26" xfId="4532"/>
    <cellStyle name="20% - Accent2 5 2 27" xfId="4533"/>
    <cellStyle name="20% - Accent2 5 2 28" xfId="4534"/>
    <cellStyle name="20% - Accent2 5 2 29" xfId="4535"/>
    <cellStyle name="20% - Accent2 5 2 3" xfId="4536"/>
    <cellStyle name="20% - Accent2 5 2 30" xfId="4537"/>
    <cellStyle name="20% - Accent2 5 2 31" xfId="4538"/>
    <cellStyle name="20% - Accent2 5 2 32" xfId="4539"/>
    <cellStyle name="20% - Accent2 5 2 33" xfId="4540"/>
    <cellStyle name="20% - Accent2 5 2 34" xfId="4541"/>
    <cellStyle name="20% - Accent2 5 2 35" xfId="4542"/>
    <cellStyle name="20% - Accent2 5 2 36" xfId="4543"/>
    <cellStyle name="20% - Accent2 5 2 37" xfId="4544"/>
    <cellStyle name="20% - Accent2 5 2 38" xfId="4545"/>
    <cellStyle name="20% - Accent2 5 2 39" xfId="4546"/>
    <cellStyle name="20% - Accent2 5 2 4" xfId="4547"/>
    <cellStyle name="20% - Accent2 5 2 40" xfId="4548"/>
    <cellStyle name="20% - Accent2 5 2 41" xfId="4549"/>
    <cellStyle name="20% - Accent2 5 2 42" xfId="4550"/>
    <cellStyle name="20% - Accent2 5 2 43" xfId="4551"/>
    <cellStyle name="20% - Accent2 5 2 44" xfId="4552"/>
    <cellStyle name="20% - Accent2 5 2 45" xfId="4553"/>
    <cellStyle name="20% - Accent2 5 2 46" xfId="4554"/>
    <cellStyle name="20% - Accent2 5 2 47" xfId="4555"/>
    <cellStyle name="20% - Accent2 5 2 48" xfId="4556"/>
    <cellStyle name="20% - Accent2 5 2 49" xfId="4557"/>
    <cellStyle name="20% - Accent2 5 2 5" xfId="4558"/>
    <cellStyle name="20% - Accent2 5 2 50" xfId="4559"/>
    <cellStyle name="20% - Accent2 5 2 51" xfId="4560"/>
    <cellStyle name="20% - Accent2 5 2 52" xfId="4561"/>
    <cellStyle name="20% - Accent2 5 2 53" xfId="4562"/>
    <cellStyle name="20% - Accent2 5 2 54" xfId="4563"/>
    <cellStyle name="20% - Accent2 5 2 55" xfId="4564"/>
    <cellStyle name="20% - Accent2 5 2 6" xfId="4565"/>
    <cellStyle name="20% - Accent2 5 2 7" xfId="4566"/>
    <cellStyle name="20% - Accent2 5 2 8" xfId="4567"/>
    <cellStyle name="20% - Accent2 5 2 9" xfId="4568"/>
    <cellStyle name="20% - Accent2 5 3" xfId="4569"/>
    <cellStyle name="20% - Accent2 5 3 10" xfId="4570"/>
    <cellStyle name="20% - Accent2 5 3 11" xfId="4571"/>
    <cellStyle name="20% - Accent2 5 3 12" xfId="4572"/>
    <cellStyle name="20% - Accent2 5 3 13" xfId="4573"/>
    <cellStyle name="20% - Accent2 5 3 14" xfId="4574"/>
    <cellStyle name="20% - Accent2 5 3 15" xfId="4575"/>
    <cellStyle name="20% - Accent2 5 3 16" xfId="4576"/>
    <cellStyle name="20% - Accent2 5 3 17" xfId="4577"/>
    <cellStyle name="20% - Accent2 5 3 18" xfId="4578"/>
    <cellStyle name="20% - Accent2 5 3 19" xfId="4579"/>
    <cellStyle name="20% - Accent2 5 3 2" xfId="4580"/>
    <cellStyle name="20% - Accent2 5 3 2 2" xfId="4581"/>
    <cellStyle name="20% - Accent2 5 3 20" xfId="4582"/>
    <cellStyle name="20% - Accent2 5 3 21" xfId="4583"/>
    <cellStyle name="20% - Accent2 5 3 22" xfId="4584"/>
    <cellStyle name="20% - Accent2 5 3 23" xfId="4585"/>
    <cellStyle name="20% - Accent2 5 3 24" xfId="4586"/>
    <cellStyle name="20% - Accent2 5 3 25" xfId="4587"/>
    <cellStyle name="20% - Accent2 5 3 26" xfId="4588"/>
    <cellStyle name="20% - Accent2 5 3 27" xfId="4589"/>
    <cellStyle name="20% - Accent2 5 3 28" xfId="4590"/>
    <cellStyle name="20% - Accent2 5 3 29" xfId="4591"/>
    <cellStyle name="20% - Accent2 5 3 3" xfId="4592"/>
    <cellStyle name="20% - Accent2 5 3 30" xfId="4593"/>
    <cellStyle name="20% - Accent2 5 3 31" xfId="4594"/>
    <cellStyle name="20% - Accent2 5 3 32" xfId="4595"/>
    <cellStyle name="20% - Accent2 5 3 33" xfId="4596"/>
    <cellStyle name="20% - Accent2 5 3 34" xfId="4597"/>
    <cellStyle name="20% - Accent2 5 3 35" xfId="4598"/>
    <cellStyle name="20% - Accent2 5 3 36" xfId="4599"/>
    <cellStyle name="20% - Accent2 5 3 37" xfId="4600"/>
    <cellStyle name="20% - Accent2 5 3 38" xfId="4601"/>
    <cellStyle name="20% - Accent2 5 3 39" xfId="4602"/>
    <cellStyle name="20% - Accent2 5 3 4" xfId="4603"/>
    <cellStyle name="20% - Accent2 5 3 40" xfId="4604"/>
    <cellStyle name="20% - Accent2 5 3 41" xfId="4605"/>
    <cellStyle name="20% - Accent2 5 3 42" xfId="4606"/>
    <cellStyle name="20% - Accent2 5 3 43" xfId="4607"/>
    <cellStyle name="20% - Accent2 5 3 44" xfId="4608"/>
    <cellStyle name="20% - Accent2 5 3 45" xfId="4609"/>
    <cellStyle name="20% - Accent2 5 3 46" xfId="4610"/>
    <cellStyle name="20% - Accent2 5 3 47" xfId="4611"/>
    <cellStyle name="20% - Accent2 5 3 48" xfId="4612"/>
    <cellStyle name="20% - Accent2 5 3 49" xfId="4613"/>
    <cellStyle name="20% - Accent2 5 3 5" xfId="4614"/>
    <cellStyle name="20% - Accent2 5 3 50" xfId="4615"/>
    <cellStyle name="20% - Accent2 5 3 51" xfId="4616"/>
    <cellStyle name="20% - Accent2 5 3 52" xfId="4617"/>
    <cellStyle name="20% - Accent2 5 3 53" xfId="4618"/>
    <cellStyle name="20% - Accent2 5 3 54" xfId="4619"/>
    <cellStyle name="20% - Accent2 5 3 55" xfId="4620"/>
    <cellStyle name="20% - Accent2 5 3 6" xfId="4621"/>
    <cellStyle name="20% - Accent2 5 3 7" xfId="4622"/>
    <cellStyle name="20% - Accent2 5 3 8" xfId="4623"/>
    <cellStyle name="20% - Accent2 5 3 9" xfId="4624"/>
    <cellStyle name="20% - Accent2 6" xfId="4625"/>
    <cellStyle name="20% - Accent2 6 2" xfId="4626"/>
    <cellStyle name="20% - Accent2 6 2 10" xfId="4627"/>
    <cellStyle name="20% - Accent2 6 2 11" xfId="4628"/>
    <cellStyle name="20% - Accent2 6 2 12" xfId="4629"/>
    <cellStyle name="20% - Accent2 6 2 13" xfId="4630"/>
    <cellStyle name="20% - Accent2 6 2 14" xfId="4631"/>
    <cellStyle name="20% - Accent2 6 2 15" xfId="4632"/>
    <cellStyle name="20% - Accent2 6 2 16" xfId="4633"/>
    <cellStyle name="20% - Accent2 6 2 17" xfId="4634"/>
    <cellStyle name="20% - Accent2 6 2 18" xfId="4635"/>
    <cellStyle name="20% - Accent2 6 2 19" xfId="4636"/>
    <cellStyle name="20% - Accent2 6 2 2" xfId="4637"/>
    <cellStyle name="20% - Accent2 6 2 2 2" xfId="4638"/>
    <cellStyle name="20% - Accent2 6 2 20" xfId="4639"/>
    <cellStyle name="20% - Accent2 6 2 21" xfId="4640"/>
    <cellStyle name="20% - Accent2 6 2 22" xfId="4641"/>
    <cellStyle name="20% - Accent2 6 2 23" xfId="4642"/>
    <cellStyle name="20% - Accent2 6 2 24" xfId="4643"/>
    <cellStyle name="20% - Accent2 6 2 25" xfId="4644"/>
    <cellStyle name="20% - Accent2 6 2 26" xfId="4645"/>
    <cellStyle name="20% - Accent2 6 2 27" xfId="4646"/>
    <cellStyle name="20% - Accent2 6 2 28" xfId="4647"/>
    <cellStyle name="20% - Accent2 6 2 29" xfId="4648"/>
    <cellStyle name="20% - Accent2 6 2 3" xfId="4649"/>
    <cellStyle name="20% - Accent2 6 2 30" xfId="4650"/>
    <cellStyle name="20% - Accent2 6 2 31" xfId="4651"/>
    <cellStyle name="20% - Accent2 6 2 32" xfId="4652"/>
    <cellStyle name="20% - Accent2 6 2 33" xfId="4653"/>
    <cellStyle name="20% - Accent2 6 2 34" xfId="4654"/>
    <cellStyle name="20% - Accent2 6 2 35" xfId="4655"/>
    <cellStyle name="20% - Accent2 6 2 36" xfId="4656"/>
    <cellStyle name="20% - Accent2 6 2 37" xfId="4657"/>
    <cellStyle name="20% - Accent2 6 2 38" xfId="4658"/>
    <cellStyle name="20% - Accent2 6 2 39" xfId="4659"/>
    <cellStyle name="20% - Accent2 6 2 4" xfId="4660"/>
    <cellStyle name="20% - Accent2 6 2 40" xfId="4661"/>
    <cellStyle name="20% - Accent2 6 2 41" xfId="4662"/>
    <cellStyle name="20% - Accent2 6 2 42" xfId="4663"/>
    <cellStyle name="20% - Accent2 6 2 43" xfId="4664"/>
    <cellStyle name="20% - Accent2 6 2 44" xfId="4665"/>
    <cellStyle name="20% - Accent2 6 2 45" xfId="4666"/>
    <cellStyle name="20% - Accent2 6 2 46" xfId="4667"/>
    <cellStyle name="20% - Accent2 6 2 47" xfId="4668"/>
    <cellStyle name="20% - Accent2 6 2 48" xfId="4669"/>
    <cellStyle name="20% - Accent2 6 2 49" xfId="4670"/>
    <cellStyle name="20% - Accent2 6 2 5" xfId="4671"/>
    <cellStyle name="20% - Accent2 6 2 50" xfId="4672"/>
    <cellStyle name="20% - Accent2 6 2 51" xfId="4673"/>
    <cellStyle name="20% - Accent2 6 2 52" xfId="4674"/>
    <cellStyle name="20% - Accent2 6 2 53" xfId="4675"/>
    <cellStyle name="20% - Accent2 6 2 54" xfId="4676"/>
    <cellStyle name="20% - Accent2 6 2 55" xfId="4677"/>
    <cellStyle name="20% - Accent2 6 2 6" xfId="4678"/>
    <cellStyle name="20% - Accent2 6 2 7" xfId="4679"/>
    <cellStyle name="20% - Accent2 6 2 8" xfId="4680"/>
    <cellStyle name="20% - Accent2 6 2 9" xfId="4681"/>
    <cellStyle name="20% - Accent2 6 3" xfId="4682"/>
    <cellStyle name="20% - Accent2 6 3 10" xfId="4683"/>
    <cellStyle name="20% - Accent2 6 3 11" xfId="4684"/>
    <cellStyle name="20% - Accent2 6 3 12" xfId="4685"/>
    <cellStyle name="20% - Accent2 6 3 13" xfId="4686"/>
    <cellStyle name="20% - Accent2 6 3 14" xfId="4687"/>
    <cellStyle name="20% - Accent2 6 3 15" xfId="4688"/>
    <cellStyle name="20% - Accent2 6 3 16" xfId="4689"/>
    <cellStyle name="20% - Accent2 6 3 17" xfId="4690"/>
    <cellStyle name="20% - Accent2 6 3 18" xfId="4691"/>
    <cellStyle name="20% - Accent2 6 3 19" xfId="4692"/>
    <cellStyle name="20% - Accent2 6 3 2" xfId="4693"/>
    <cellStyle name="20% - Accent2 6 3 2 2" xfId="4694"/>
    <cellStyle name="20% - Accent2 6 3 20" xfId="4695"/>
    <cellStyle name="20% - Accent2 6 3 21" xfId="4696"/>
    <cellStyle name="20% - Accent2 6 3 22" xfId="4697"/>
    <cellStyle name="20% - Accent2 6 3 23" xfId="4698"/>
    <cellStyle name="20% - Accent2 6 3 24" xfId="4699"/>
    <cellStyle name="20% - Accent2 6 3 25" xfId="4700"/>
    <cellStyle name="20% - Accent2 6 3 26" xfId="4701"/>
    <cellStyle name="20% - Accent2 6 3 27" xfId="4702"/>
    <cellStyle name="20% - Accent2 6 3 28" xfId="4703"/>
    <cellStyle name="20% - Accent2 6 3 29" xfId="4704"/>
    <cellStyle name="20% - Accent2 6 3 3" xfId="4705"/>
    <cellStyle name="20% - Accent2 6 3 30" xfId="4706"/>
    <cellStyle name="20% - Accent2 6 3 31" xfId="4707"/>
    <cellStyle name="20% - Accent2 6 3 32" xfId="4708"/>
    <cellStyle name="20% - Accent2 6 3 33" xfId="4709"/>
    <cellStyle name="20% - Accent2 6 3 34" xfId="4710"/>
    <cellStyle name="20% - Accent2 6 3 35" xfId="4711"/>
    <cellStyle name="20% - Accent2 6 3 36" xfId="4712"/>
    <cellStyle name="20% - Accent2 6 3 37" xfId="4713"/>
    <cellStyle name="20% - Accent2 6 3 38" xfId="4714"/>
    <cellStyle name="20% - Accent2 6 3 39" xfId="4715"/>
    <cellStyle name="20% - Accent2 6 3 4" xfId="4716"/>
    <cellStyle name="20% - Accent2 6 3 40" xfId="4717"/>
    <cellStyle name="20% - Accent2 6 3 41" xfId="4718"/>
    <cellStyle name="20% - Accent2 6 3 42" xfId="4719"/>
    <cellStyle name="20% - Accent2 6 3 43" xfId="4720"/>
    <cellStyle name="20% - Accent2 6 3 44" xfId="4721"/>
    <cellStyle name="20% - Accent2 6 3 45" xfId="4722"/>
    <cellStyle name="20% - Accent2 6 3 46" xfId="4723"/>
    <cellStyle name="20% - Accent2 6 3 47" xfId="4724"/>
    <cellStyle name="20% - Accent2 6 3 48" xfId="4725"/>
    <cellStyle name="20% - Accent2 6 3 49" xfId="4726"/>
    <cellStyle name="20% - Accent2 6 3 5" xfId="4727"/>
    <cellStyle name="20% - Accent2 6 3 50" xfId="4728"/>
    <cellStyle name="20% - Accent2 6 3 51" xfId="4729"/>
    <cellStyle name="20% - Accent2 6 3 52" xfId="4730"/>
    <cellStyle name="20% - Accent2 6 3 53" xfId="4731"/>
    <cellStyle name="20% - Accent2 6 3 54" xfId="4732"/>
    <cellStyle name="20% - Accent2 6 3 55" xfId="4733"/>
    <cellStyle name="20% - Accent2 6 3 6" xfId="4734"/>
    <cellStyle name="20% - Accent2 6 3 7" xfId="4735"/>
    <cellStyle name="20% - Accent2 6 3 8" xfId="4736"/>
    <cellStyle name="20% - Accent2 6 3 9" xfId="4737"/>
    <cellStyle name="20% - Accent2 7" xfId="4738"/>
    <cellStyle name="20% - Accent2 7 2" xfId="4739"/>
    <cellStyle name="20% - Accent2 7 2 10" xfId="4740"/>
    <cellStyle name="20% - Accent2 7 2 11" xfId="4741"/>
    <cellStyle name="20% - Accent2 7 2 12" xfId="4742"/>
    <cellStyle name="20% - Accent2 7 2 13" xfId="4743"/>
    <cellStyle name="20% - Accent2 7 2 14" xfId="4744"/>
    <cellStyle name="20% - Accent2 7 2 15" xfId="4745"/>
    <cellStyle name="20% - Accent2 7 2 16" xfId="4746"/>
    <cellStyle name="20% - Accent2 7 2 17" xfId="4747"/>
    <cellStyle name="20% - Accent2 7 2 18" xfId="4748"/>
    <cellStyle name="20% - Accent2 7 2 19" xfId="4749"/>
    <cellStyle name="20% - Accent2 7 2 2" xfId="4750"/>
    <cellStyle name="20% - Accent2 7 2 2 2" xfId="4751"/>
    <cellStyle name="20% - Accent2 7 2 20" xfId="4752"/>
    <cellStyle name="20% - Accent2 7 2 21" xfId="4753"/>
    <cellStyle name="20% - Accent2 7 2 22" xfId="4754"/>
    <cellStyle name="20% - Accent2 7 2 23" xfId="4755"/>
    <cellStyle name="20% - Accent2 7 2 24" xfId="4756"/>
    <cellStyle name="20% - Accent2 7 2 25" xfId="4757"/>
    <cellStyle name="20% - Accent2 7 2 26" xfId="4758"/>
    <cellStyle name="20% - Accent2 7 2 27" xfId="4759"/>
    <cellStyle name="20% - Accent2 7 2 28" xfId="4760"/>
    <cellStyle name="20% - Accent2 7 2 29" xfId="4761"/>
    <cellStyle name="20% - Accent2 7 2 3" xfId="4762"/>
    <cellStyle name="20% - Accent2 7 2 30" xfId="4763"/>
    <cellStyle name="20% - Accent2 7 2 31" xfId="4764"/>
    <cellStyle name="20% - Accent2 7 2 32" xfId="4765"/>
    <cellStyle name="20% - Accent2 7 2 33" xfId="4766"/>
    <cellStyle name="20% - Accent2 7 2 34" xfId="4767"/>
    <cellStyle name="20% - Accent2 7 2 35" xfId="4768"/>
    <cellStyle name="20% - Accent2 7 2 36" xfId="4769"/>
    <cellStyle name="20% - Accent2 7 2 37" xfId="4770"/>
    <cellStyle name="20% - Accent2 7 2 38" xfId="4771"/>
    <cellStyle name="20% - Accent2 7 2 39" xfId="4772"/>
    <cellStyle name="20% - Accent2 7 2 4" xfId="4773"/>
    <cellStyle name="20% - Accent2 7 2 40" xfId="4774"/>
    <cellStyle name="20% - Accent2 7 2 41" xfId="4775"/>
    <cellStyle name="20% - Accent2 7 2 42" xfId="4776"/>
    <cellStyle name="20% - Accent2 7 2 43" xfId="4777"/>
    <cellStyle name="20% - Accent2 7 2 44" xfId="4778"/>
    <cellStyle name="20% - Accent2 7 2 45" xfId="4779"/>
    <cellStyle name="20% - Accent2 7 2 46" xfId="4780"/>
    <cellStyle name="20% - Accent2 7 2 47" xfId="4781"/>
    <cellStyle name="20% - Accent2 7 2 48" xfId="4782"/>
    <cellStyle name="20% - Accent2 7 2 49" xfId="4783"/>
    <cellStyle name="20% - Accent2 7 2 5" xfId="4784"/>
    <cellStyle name="20% - Accent2 7 2 50" xfId="4785"/>
    <cellStyle name="20% - Accent2 7 2 51" xfId="4786"/>
    <cellStyle name="20% - Accent2 7 2 52" xfId="4787"/>
    <cellStyle name="20% - Accent2 7 2 53" xfId="4788"/>
    <cellStyle name="20% - Accent2 7 2 54" xfId="4789"/>
    <cellStyle name="20% - Accent2 7 2 55" xfId="4790"/>
    <cellStyle name="20% - Accent2 7 2 6" xfId="4791"/>
    <cellStyle name="20% - Accent2 7 2 7" xfId="4792"/>
    <cellStyle name="20% - Accent2 7 2 8" xfId="4793"/>
    <cellStyle name="20% - Accent2 7 2 9" xfId="4794"/>
    <cellStyle name="20% - Accent2 7 3" xfId="4795"/>
    <cellStyle name="20% - Accent2 7 3 10" xfId="4796"/>
    <cellStyle name="20% - Accent2 7 3 11" xfId="4797"/>
    <cellStyle name="20% - Accent2 7 3 12" xfId="4798"/>
    <cellStyle name="20% - Accent2 7 3 13" xfId="4799"/>
    <cellStyle name="20% - Accent2 7 3 14" xfId="4800"/>
    <cellStyle name="20% - Accent2 7 3 15" xfId="4801"/>
    <cellStyle name="20% - Accent2 7 3 16" xfId="4802"/>
    <cellStyle name="20% - Accent2 7 3 17" xfId="4803"/>
    <cellStyle name="20% - Accent2 7 3 18" xfId="4804"/>
    <cellStyle name="20% - Accent2 7 3 19" xfId="4805"/>
    <cellStyle name="20% - Accent2 7 3 2" xfId="4806"/>
    <cellStyle name="20% - Accent2 7 3 2 2" xfId="4807"/>
    <cellStyle name="20% - Accent2 7 3 20" xfId="4808"/>
    <cellStyle name="20% - Accent2 7 3 21" xfId="4809"/>
    <cellStyle name="20% - Accent2 7 3 22" xfId="4810"/>
    <cellStyle name="20% - Accent2 7 3 23" xfId="4811"/>
    <cellStyle name="20% - Accent2 7 3 24" xfId="4812"/>
    <cellStyle name="20% - Accent2 7 3 25" xfId="4813"/>
    <cellStyle name="20% - Accent2 7 3 26" xfId="4814"/>
    <cellStyle name="20% - Accent2 7 3 27" xfId="4815"/>
    <cellStyle name="20% - Accent2 7 3 28" xfId="4816"/>
    <cellStyle name="20% - Accent2 7 3 29" xfId="4817"/>
    <cellStyle name="20% - Accent2 7 3 3" xfId="4818"/>
    <cellStyle name="20% - Accent2 7 3 30" xfId="4819"/>
    <cellStyle name="20% - Accent2 7 3 31" xfId="4820"/>
    <cellStyle name="20% - Accent2 7 3 32" xfId="4821"/>
    <cellStyle name="20% - Accent2 7 3 33" xfId="4822"/>
    <cellStyle name="20% - Accent2 7 3 34" xfId="4823"/>
    <cellStyle name="20% - Accent2 7 3 35" xfId="4824"/>
    <cellStyle name="20% - Accent2 7 3 36" xfId="4825"/>
    <cellStyle name="20% - Accent2 7 3 37" xfId="4826"/>
    <cellStyle name="20% - Accent2 7 3 38" xfId="4827"/>
    <cellStyle name="20% - Accent2 7 3 39" xfId="4828"/>
    <cellStyle name="20% - Accent2 7 3 4" xfId="4829"/>
    <cellStyle name="20% - Accent2 7 3 40" xfId="4830"/>
    <cellStyle name="20% - Accent2 7 3 41" xfId="4831"/>
    <cellStyle name="20% - Accent2 7 3 42" xfId="4832"/>
    <cellStyle name="20% - Accent2 7 3 43" xfId="4833"/>
    <cellStyle name="20% - Accent2 7 3 44" xfId="4834"/>
    <cellStyle name="20% - Accent2 7 3 45" xfId="4835"/>
    <cellStyle name="20% - Accent2 7 3 46" xfId="4836"/>
    <cellStyle name="20% - Accent2 7 3 47" xfId="4837"/>
    <cellStyle name="20% - Accent2 7 3 48" xfId="4838"/>
    <cellStyle name="20% - Accent2 7 3 49" xfId="4839"/>
    <cellStyle name="20% - Accent2 7 3 5" xfId="4840"/>
    <cellStyle name="20% - Accent2 7 3 50" xfId="4841"/>
    <cellStyle name="20% - Accent2 7 3 51" xfId="4842"/>
    <cellStyle name="20% - Accent2 7 3 52" xfId="4843"/>
    <cellStyle name="20% - Accent2 7 3 53" xfId="4844"/>
    <cellStyle name="20% - Accent2 7 3 54" xfId="4845"/>
    <cellStyle name="20% - Accent2 7 3 55" xfId="4846"/>
    <cellStyle name="20% - Accent2 7 3 6" xfId="4847"/>
    <cellStyle name="20% - Accent2 7 3 7" xfId="4848"/>
    <cellStyle name="20% - Accent2 7 3 8" xfId="4849"/>
    <cellStyle name="20% - Accent2 7 3 9" xfId="4850"/>
    <cellStyle name="20% - Accent2 8" xfId="4851"/>
    <cellStyle name="20% - Accent2 8 2" xfId="4852"/>
    <cellStyle name="20% - Accent2 8 2 10" xfId="4853"/>
    <cellStyle name="20% - Accent2 8 2 11" xfId="4854"/>
    <cellStyle name="20% - Accent2 8 2 12" xfId="4855"/>
    <cellStyle name="20% - Accent2 8 2 13" xfId="4856"/>
    <cellStyle name="20% - Accent2 8 2 14" xfId="4857"/>
    <cellStyle name="20% - Accent2 8 2 15" xfId="4858"/>
    <cellStyle name="20% - Accent2 8 2 16" xfId="4859"/>
    <cellStyle name="20% - Accent2 8 2 17" xfId="4860"/>
    <cellStyle name="20% - Accent2 8 2 18" xfId="4861"/>
    <cellStyle name="20% - Accent2 8 2 19" xfId="4862"/>
    <cellStyle name="20% - Accent2 8 2 2" xfId="4863"/>
    <cellStyle name="20% - Accent2 8 2 2 2" xfId="4864"/>
    <cellStyle name="20% - Accent2 8 2 20" xfId="4865"/>
    <cellStyle name="20% - Accent2 8 2 21" xfId="4866"/>
    <cellStyle name="20% - Accent2 8 2 22" xfId="4867"/>
    <cellStyle name="20% - Accent2 8 2 23" xfId="4868"/>
    <cellStyle name="20% - Accent2 8 2 24" xfId="4869"/>
    <cellStyle name="20% - Accent2 8 2 25" xfId="4870"/>
    <cellStyle name="20% - Accent2 8 2 26" xfId="4871"/>
    <cellStyle name="20% - Accent2 8 2 27" xfId="4872"/>
    <cellStyle name="20% - Accent2 8 2 28" xfId="4873"/>
    <cellStyle name="20% - Accent2 8 2 29" xfId="4874"/>
    <cellStyle name="20% - Accent2 8 2 3" xfId="4875"/>
    <cellStyle name="20% - Accent2 8 2 30" xfId="4876"/>
    <cellStyle name="20% - Accent2 8 2 31" xfId="4877"/>
    <cellStyle name="20% - Accent2 8 2 32" xfId="4878"/>
    <cellStyle name="20% - Accent2 8 2 33" xfId="4879"/>
    <cellStyle name="20% - Accent2 8 2 34" xfId="4880"/>
    <cellStyle name="20% - Accent2 8 2 35" xfId="4881"/>
    <cellStyle name="20% - Accent2 8 2 36" xfId="4882"/>
    <cellStyle name="20% - Accent2 8 2 37" xfId="4883"/>
    <cellStyle name="20% - Accent2 8 2 38" xfId="4884"/>
    <cellStyle name="20% - Accent2 8 2 39" xfId="4885"/>
    <cellStyle name="20% - Accent2 8 2 4" xfId="4886"/>
    <cellStyle name="20% - Accent2 8 2 40" xfId="4887"/>
    <cellStyle name="20% - Accent2 8 2 41" xfId="4888"/>
    <cellStyle name="20% - Accent2 8 2 42" xfId="4889"/>
    <cellStyle name="20% - Accent2 8 2 43" xfId="4890"/>
    <cellStyle name="20% - Accent2 8 2 44" xfId="4891"/>
    <cellStyle name="20% - Accent2 8 2 45" xfId="4892"/>
    <cellStyle name="20% - Accent2 8 2 46" xfId="4893"/>
    <cellStyle name="20% - Accent2 8 2 47" xfId="4894"/>
    <cellStyle name="20% - Accent2 8 2 48" xfId="4895"/>
    <cellStyle name="20% - Accent2 8 2 49" xfId="4896"/>
    <cellStyle name="20% - Accent2 8 2 5" xfId="4897"/>
    <cellStyle name="20% - Accent2 8 2 50" xfId="4898"/>
    <cellStyle name="20% - Accent2 8 2 51" xfId="4899"/>
    <cellStyle name="20% - Accent2 8 2 52" xfId="4900"/>
    <cellStyle name="20% - Accent2 8 2 53" xfId="4901"/>
    <cellStyle name="20% - Accent2 8 2 54" xfId="4902"/>
    <cellStyle name="20% - Accent2 8 2 55" xfId="4903"/>
    <cellStyle name="20% - Accent2 8 2 6" xfId="4904"/>
    <cellStyle name="20% - Accent2 8 2 7" xfId="4905"/>
    <cellStyle name="20% - Accent2 8 2 8" xfId="4906"/>
    <cellStyle name="20% - Accent2 8 2 9" xfId="4907"/>
    <cellStyle name="20% - Accent2 8 3" xfId="4908"/>
    <cellStyle name="20% - Accent2 8 3 10" xfId="4909"/>
    <cellStyle name="20% - Accent2 8 3 11" xfId="4910"/>
    <cellStyle name="20% - Accent2 8 3 12" xfId="4911"/>
    <cellStyle name="20% - Accent2 8 3 13" xfId="4912"/>
    <cellStyle name="20% - Accent2 8 3 14" xfId="4913"/>
    <cellStyle name="20% - Accent2 8 3 15" xfId="4914"/>
    <cellStyle name="20% - Accent2 8 3 16" xfId="4915"/>
    <cellStyle name="20% - Accent2 8 3 17" xfId="4916"/>
    <cellStyle name="20% - Accent2 8 3 18" xfId="4917"/>
    <cellStyle name="20% - Accent2 8 3 19" xfId="4918"/>
    <cellStyle name="20% - Accent2 8 3 2" xfId="4919"/>
    <cellStyle name="20% - Accent2 8 3 2 2" xfId="4920"/>
    <cellStyle name="20% - Accent2 8 3 20" xfId="4921"/>
    <cellStyle name="20% - Accent2 8 3 21" xfId="4922"/>
    <cellStyle name="20% - Accent2 8 3 22" xfId="4923"/>
    <cellStyle name="20% - Accent2 8 3 23" xfId="4924"/>
    <cellStyle name="20% - Accent2 8 3 24" xfId="4925"/>
    <cellStyle name="20% - Accent2 8 3 25" xfId="4926"/>
    <cellStyle name="20% - Accent2 8 3 26" xfId="4927"/>
    <cellStyle name="20% - Accent2 8 3 27" xfId="4928"/>
    <cellStyle name="20% - Accent2 8 3 28" xfId="4929"/>
    <cellStyle name="20% - Accent2 8 3 29" xfId="4930"/>
    <cellStyle name="20% - Accent2 8 3 3" xfId="4931"/>
    <cellStyle name="20% - Accent2 8 3 30" xfId="4932"/>
    <cellStyle name="20% - Accent2 8 3 31" xfId="4933"/>
    <cellStyle name="20% - Accent2 8 3 32" xfId="4934"/>
    <cellStyle name="20% - Accent2 8 3 33" xfId="4935"/>
    <cellStyle name="20% - Accent2 8 3 34" xfId="4936"/>
    <cellStyle name="20% - Accent2 8 3 35" xfId="4937"/>
    <cellStyle name="20% - Accent2 8 3 36" xfId="4938"/>
    <cellStyle name="20% - Accent2 8 3 37" xfId="4939"/>
    <cellStyle name="20% - Accent2 8 3 38" xfId="4940"/>
    <cellStyle name="20% - Accent2 8 3 39" xfId="4941"/>
    <cellStyle name="20% - Accent2 8 3 4" xfId="4942"/>
    <cellStyle name="20% - Accent2 8 3 40" xfId="4943"/>
    <cellStyle name="20% - Accent2 8 3 41" xfId="4944"/>
    <cellStyle name="20% - Accent2 8 3 42" xfId="4945"/>
    <cellStyle name="20% - Accent2 8 3 43" xfId="4946"/>
    <cellStyle name="20% - Accent2 8 3 44" xfId="4947"/>
    <cellStyle name="20% - Accent2 8 3 45" xfId="4948"/>
    <cellStyle name="20% - Accent2 8 3 46" xfId="4949"/>
    <cellStyle name="20% - Accent2 8 3 47" xfId="4950"/>
    <cellStyle name="20% - Accent2 8 3 48" xfId="4951"/>
    <cellStyle name="20% - Accent2 8 3 49" xfId="4952"/>
    <cellStyle name="20% - Accent2 8 3 5" xfId="4953"/>
    <cellStyle name="20% - Accent2 8 3 50" xfId="4954"/>
    <cellStyle name="20% - Accent2 8 3 51" xfId="4955"/>
    <cellStyle name="20% - Accent2 8 3 52" xfId="4956"/>
    <cellStyle name="20% - Accent2 8 3 53" xfId="4957"/>
    <cellStyle name="20% - Accent2 8 3 54" xfId="4958"/>
    <cellStyle name="20% - Accent2 8 3 55" xfId="4959"/>
    <cellStyle name="20% - Accent2 8 3 6" xfId="4960"/>
    <cellStyle name="20% - Accent2 8 3 7" xfId="4961"/>
    <cellStyle name="20% - Accent2 8 3 8" xfId="4962"/>
    <cellStyle name="20% - Accent2 8 3 9" xfId="4963"/>
    <cellStyle name="20% - Accent2 9" xfId="4964"/>
    <cellStyle name="20% - Accent2 9 2" xfId="4965"/>
    <cellStyle name="20% - Accent2 9 2 10" xfId="4966"/>
    <cellStyle name="20% - Accent2 9 2 11" xfId="4967"/>
    <cellStyle name="20% - Accent2 9 2 12" xfId="4968"/>
    <cellStyle name="20% - Accent2 9 2 13" xfId="4969"/>
    <cellStyle name="20% - Accent2 9 2 14" xfId="4970"/>
    <cellStyle name="20% - Accent2 9 2 15" xfId="4971"/>
    <cellStyle name="20% - Accent2 9 2 16" xfId="4972"/>
    <cellStyle name="20% - Accent2 9 2 17" xfId="4973"/>
    <cellStyle name="20% - Accent2 9 2 18" xfId="4974"/>
    <cellStyle name="20% - Accent2 9 2 19" xfId="4975"/>
    <cellStyle name="20% - Accent2 9 2 2" xfId="4976"/>
    <cellStyle name="20% - Accent2 9 2 2 2" xfId="4977"/>
    <cellStyle name="20% - Accent2 9 2 20" xfId="4978"/>
    <cellStyle name="20% - Accent2 9 2 21" xfId="4979"/>
    <cellStyle name="20% - Accent2 9 2 22" xfId="4980"/>
    <cellStyle name="20% - Accent2 9 2 23" xfId="4981"/>
    <cellStyle name="20% - Accent2 9 2 24" xfId="4982"/>
    <cellStyle name="20% - Accent2 9 2 25" xfId="4983"/>
    <cellStyle name="20% - Accent2 9 2 26" xfId="4984"/>
    <cellStyle name="20% - Accent2 9 2 27" xfId="4985"/>
    <cellStyle name="20% - Accent2 9 2 28" xfId="4986"/>
    <cellStyle name="20% - Accent2 9 2 29" xfId="4987"/>
    <cellStyle name="20% - Accent2 9 2 3" xfId="4988"/>
    <cellStyle name="20% - Accent2 9 2 30" xfId="4989"/>
    <cellStyle name="20% - Accent2 9 2 31" xfId="4990"/>
    <cellStyle name="20% - Accent2 9 2 32" xfId="4991"/>
    <cellStyle name="20% - Accent2 9 2 33" xfId="4992"/>
    <cellStyle name="20% - Accent2 9 2 34" xfId="4993"/>
    <cellStyle name="20% - Accent2 9 2 35" xfId="4994"/>
    <cellStyle name="20% - Accent2 9 2 36" xfId="4995"/>
    <cellStyle name="20% - Accent2 9 2 37" xfId="4996"/>
    <cellStyle name="20% - Accent2 9 2 38" xfId="4997"/>
    <cellStyle name="20% - Accent2 9 2 39" xfId="4998"/>
    <cellStyle name="20% - Accent2 9 2 4" xfId="4999"/>
    <cellStyle name="20% - Accent2 9 2 40" xfId="5000"/>
    <cellStyle name="20% - Accent2 9 2 41" xfId="5001"/>
    <cellStyle name="20% - Accent2 9 2 42" xfId="5002"/>
    <cellStyle name="20% - Accent2 9 2 43" xfId="5003"/>
    <cellStyle name="20% - Accent2 9 2 44" xfId="5004"/>
    <cellStyle name="20% - Accent2 9 2 45" xfId="5005"/>
    <cellStyle name="20% - Accent2 9 2 46" xfId="5006"/>
    <cellStyle name="20% - Accent2 9 2 47" xfId="5007"/>
    <cellStyle name="20% - Accent2 9 2 48" xfId="5008"/>
    <cellStyle name="20% - Accent2 9 2 49" xfId="5009"/>
    <cellStyle name="20% - Accent2 9 2 5" xfId="5010"/>
    <cellStyle name="20% - Accent2 9 2 50" xfId="5011"/>
    <cellStyle name="20% - Accent2 9 2 51" xfId="5012"/>
    <cellStyle name="20% - Accent2 9 2 52" xfId="5013"/>
    <cellStyle name="20% - Accent2 9 2 53" xfId="5014"/>
    <cellStyle name="20% - Accent2 9 2 54" xfId="5015"/>
    <cellStyle name="20% - Accent2 9 2 55" xfId="5016"/>
    <cellStyle name="20% - Accent2 9 2 6" xfId="5017"/>
    <cellStyle name="20% - Accent2 9 2 7" xfId="5018"/>
    <cellStyle name="20% - Accent2 9 2 8" xfId="5019"/>
    <cellStyle name="20% - Accent2 9 2 9" xfId="5020"/>
    <cellStyle name="20% - Accent2 9 3" xfId="5021"/>
    <cellStyle name="20% - Accent2 9 3 10" xfId="5022"/>
    <cellStyle name="20% - Accent2 9 3 11" xfId="5023"/>
    <cellStyle name="20% - Accent2 9 3 12" xfId="5024"/>
    <cellStyle name="20% - Accent2 9 3 13" xfId="5025"/>
    <cellStyle name="20% - Accent2 9 3 14" xfId="5026"/>
    <cellStyle name="20% - Accent2 9 3 15" xfId="5027"/>
    <cellStyle name="20% - Accent2 9 3 16" xfId="5028"/>
    <cellStyle name="20% - Accent2 9 3 17" xfId="5029"/>
    <cellStyle name="20% - Accent2 9 3 18" xfId="5030"/>
    <cellStyle name="20% - Accent2 9 3 19" xfId="5031"/>
    <cellStyle name="20% - Accent2 9 3 2" xfId="5032"/>
    <cellStyle name="20% - Accent2 9 3 2 2" xfId="5033"/>
    <cellStyle name="20% - Accent2 9 3 20" xfId="5034"/>
    <cellStyle name="20% - Accent2 9 3 21" xfId="5035"/>
    <cellStyle name="20% - Accent2 9 3 22" xfId="5036"/>
    <cellStyle name="20% - Accent2 9 3 23" xfId="5037"/>
    <cellStyle name="20% - Accent2 9 3 24" xfId="5038"/>
    <cellStyle name="20% - Accent2 9 3 25" xfId="5039"/>
    <cellStyle name="20% - Accent2 9 3 26" xfId="5040"/>
    <cellStyle name="20% - Accent2 9 3 27" xfId="5041"/>
    <cellStyle name="20% - Accent2 9 3 28" xfId="5042"/>
    <cellStyle name="20% - Accent2 9 3 29" xfId="5043"/>
    <cellStyle name="20% - Accent2 9 3 3" xfId="5044"/>
    <cellStyle name="20% - Accent2 9 3 30" xfId="5045"/>
    <cellStyle name="20% - Accent2 9 3 31" xfId="5046"/>
    <cellStyle name="20% - Accent2 9 3 32" xfId="5047"/>
    <cellStyle name="20% - Accent2 9 3 33" xfId="5048"/>
    <cellStyle name="20% - Accent2 9 3 34" xfId="5049"/>
    <cellStyle name="20% - Accent2 9 3 35" xfId="5050"/>
    <cellStyle name="20% - Accent2 9 3 36" xfId="5051"/>
    <cellStyle name="20% - Accent2 9 3 37" xfId="5052"/>
    <cellStyle name="20% - Accent2 9 3 38" xfId="5053"/>
    <cellStyle name="20% - Accent2 9 3 39" xfId="5054"/>
    <cellStyle name="20% - Accent2 9 3 4" xfId="5055"/>
    <cellStyle name="20% - Accent2 9 3 40" xfId="5056"/>
    <cellStyle name="20% - Accent2 9 3 41" xfId="5057"/>
    <cellStyle name="20% - Accent2 9 3 42" xfId="5058"/>
    <cellStyle name="20% - Accent2 9 3 43" xfId="5059"/>
    <cellStyle name="20% - Accent2 9 3 44" xfId="5060"/>
    <cellStyle name="20% - Accent2 9 3 45" xfId="5061"/>
    <cellStyle name="20% - Accent2 9 3 46" xfId="5062"/>
    <cellStyle name="20% - Accent2 9 3 47" xfId="5063"/>
    <cellStyle name="20% - Accent2 9 3 48" xfId="5064"/>
    <cellStyle name="20% - Accent2 9 3 49" xfId="5065"/>
    <cellStyle name="20% - Accent2 9 3 5" xfId="5066"/>
    <cellStyle name="20% - Accent2 9 3 50" xfId="5067"/>
    <cellStyle name="20% - Accent2 9 3 51" xfId="5068"/>
    <cellStyle name="20% - Accent2 9 3 52" xfId="5069"/>
    <cellStyle name="20% - Accent2 9 3 53" xfId="5070"/>
    <cellStyle name="20% - Accent2 9 3 54" xfId="5071"/>
    <cellStyle name="20% - Accent2 9 3 55" xfId="5072"/>
    <cellStyle name="20% - Accent2 9 3 6" xfId="5073"/>
    <cellStyle name="20% - Accent2 9 3 7" xfId="5074"/>
    <cellStyle name="20% - Accent2 9 3 8" xfId="5075"/>
    <cellStyle name="20% - Accent2 9 3 9" xfId="5076"/>
    <cellStyle name="20% - Accent3 10" xfId="5077"/>
    <cellStyle name="20% - Accent3 10 2" xfId="5078"/>
    <cellStyle name="20% - Accent3 10 2 10" xfId="5079"/>
    <cellStyle name="20% - Accent3 10 2 11" xfId="5080"/>
    <cellStyle name="20% - Accent3 10 2 12" xfId="5081"/>
    <cellStyle name="20% - Accent3 10 2 13" xfId="5082"/>
    <cellStyle name="20% - Accent3 10 2 14" xfId="5083"/>
    <cellStyle name="20% - Accent3 10 2 15" xfId="5084"/>
    <cellStyle name="20% - Accent3 10 2 16" xfId="5085"/>
    <cellStyle name="20% - Accent3 10 2 17" xfId="5086"/>
    <cellStyle name="20% - Accent3 10 2 18" xfId="5087"/>
    <cellStyle name="20% - Accent3 10 2 19" xfId="5088"/>
    <cellStyle name="20% - Accent3 10 2 2" xfId="5089"/>
    <cellStyle name="20% - Accent3 10 2 2 2" xfId="5090"/>
    <cellStyle name="20% - Accent3 10 2 20" xfId="5091"/>
    <cellStyle name="20% - Accent3 10 2 21" xfId="5092"/>
    <cellStyle name="20% - Accent3 10 2 22" xfId="5093"/>
    <cellStyle name="20% - Accent3 10 2 23" xfId="5094"/>
    <cellStyle name="20% - Accent3 10 2 24" xfId="5095"/>
    <cellStyle name="20% - Accent3 10 2 25" xfId="5096"/>
    <cellStyle name="20% - Accent3 10 2 26" xfId="5097"/>
    <cellStyle name="20% - Accent3 10 2 27" xfId="5098"/>
    <cellStyle name="20% - Accent3 10 2 28" xfId="5099"/>
    <cellStyle name="20% - Accent3 10 2 29" xfId="5100"/>
    <cellStyle name="20% - Accent3 10 2 3" xfId="5101"/>
    <cellStyle name="20% - Accent3 10 2 30" xfId="5102"/>
    <cellStyle name="20% - Accent3 10 2 31" xfId="5103"/>
    <cellStyle name="20% - Accent3 10 2 32" xfId="5104"/>
    <cellStyle name="20% - Accent3 10 2 33" xfId="5105"/>
    <cellStyle name="20% - Accent3 10 2 34" xfId="5106"/>
    <cellStyle name="20% - Accent3 10 2 35" xfId="5107"/>
    <cellStyle name="20% - Accent3 10 2 36" xfId="5108"/>
    <cellStyle name="20% - Accent3 10 2 37" xfId="5109"/>
    <cellStyle name="20% - Accent3 10 2 38" xfId="5110"/>
    <cellStyle name="20% - Accent3 10 2 39" xfId="5111"/>
    <cellStyle name="20% - Accent3 10 2 4" xfId="5112"/>
    <cellStyle name="20% - Accent3 10 2 40" xfId="5113"/>
    <cellStyle name="20% - Accent3 10 2 41" xfId="5114"/>
    <cellStyle name="20% - Accent3 10 2 42" xfId="5115"/>
    <cellStyle name="20% - Accent3 10 2 43" xfId="5116"/>
    <cellStyle name="20% - Accent3 10 2 44" xfId="5117"/>
    <cellStyle name="20% - Accent3 10 2 45" xfId="5118"/>
    <cellStyle name="20% - Accent3 10 2 46" xfId="5119"/>
    <cellStyle name="20% - Accent3 10 2 47" xfId="5120"/>
    <cellStyle name="20% - Accent3 10 2 48" xfId="5121"/>
    <cellStyle name="20% - Accent3 10 2 49" xfId="5122"/>
    <cellStyle name="20% - Accent3 10 2 5" xfId="5123"/>
    <cellStyle name="20% - Accent3 10 2 50" xfId="5124"/>
    <cellStyle name="20% - Accent3 10 2 51" xfId="5125"/>
    <cellStyle name="20% - Accent3 10 2 52" xfId="5126"/>
    <cellStyle name="20% - Accent3 10 2 53" xfId="5127"/>
    <cellStyle name="20% - Accent3 10 2 54" xfId="5128"/>
    <cellStyle name="20% - Accent3 10 2 55" xfId="5129"/>
    <cellStyle name="20% - Accent3 10 2 6" xfId="5130"/>
    <cellStyle name="20% - Accent3 10 2 7" xfId="5131"/>
    <cellStyle name="20% - Accent3 10 2 8" xfId="5132"/>
    <cellStyle name="20% - Accent3 10 2 9" xfId="5133"/>
    <cellStyle name="20% - Accent3 10 3" xfId="5134"/>
    <cellStyle name="20% - Accent3 10 3 10" xfId="5135"/>
    <cellStyle name="20% - Accent3 10 3 11" xfId="5136"/>
    <cellStyle name="20% - Accent3 10 3 12" xfId="5137"/>
    <cellStyle name="20% - Accent3 10 3 13" xfId="5138"/>
    <cellStyle name="20% - Accent3 10 3 14" xfId="5139"/>
    <cellStyle name="20% - Accent3 10 3 15" xfId="5140"/>
    <cellStyle name="20% - Accent3 10 3 16" xfId="5141"/>
    <cellStyle name="20% - Accent3 10 3 17" xfId="5142"/>
    <cellStyle name="20% - Accent3 10 3 18" xfId="5143"/>
    <cellStyle name="20% - Accent3 10 3 19" xfId="5144"/>
    <cellStyle name="20% - Accent3 10 3 2" xfId="5145"/>
    <cellStyle name="20% - Accent3 10 3 2 2" xfId="5146"/>
    <cellStyle name="20% - Accent3 10 3 20" xfId="5147"/>
    <cellStyle name="20% - Accent3 10 3 21" xfId="5148"/>
    <cellStyle name="20% - Accent3 10 3 22" xfId="5149"/>
    <cellStyle name="20% - Accent3 10 3 23" xfId="5150"/>
    <cellStyle name="20% - Accent3 10 3 24" xfId="5151"/>
    <cellStyle name="20% - Accent3 10 3 25" xfId="5152"/>
    <cellStyle name="20% - Accent3 10 3 26" xfId="5153"/>
    <cellStyle name="20% - Accent3 10 3 27" xfId="5154"/>
    <cellStyle name="20% - Accent3 10 3 28" xfId="5155"/>
    <cellStyle name="20% - Accent3 10 3 29" xfId="5156"/>
    <cellStyle name="20% - Accent3 10 3 3" xfId="5157"/>
    <cellStyle name="20% - Accent3 10 3 30" xfId="5158"/>
    <cellStyle name="20% - Accent3 10 3 31" xfId="5159"/>
    <cellStyle name="20% - Accent3 10 3 32" xfId="5160"/>
    <cellStyle name="20% - Accent3 10 3 33" xfId="5161"/>
    <cellStyle name="20% - Accent3 10 3 34" xfId="5162"/>
    <cellStyle name="20% - Accent3 10 3 35" xfId="5163"/>
    <cellStyle name="20% - Accent3 10 3 36" xfId="5164"/>
    <cellStyle name="20% - Accent3 10 3 37" xfId="5165"/>
    <cellStyle name="20% - Accent3 10 3 38" xfId="5166"/>
    <cellStyle name="20% - Accent3 10 3 39" xfId="5167"/>
    <cellStyle name="20% - Accent3 10 3 4" xfId="5168"/>
    <cellStyle name="20% - Accent3 10 3 40" xfId="5169"/>
    <cellStyle name="20% - Accent3 10 3 41" xfId="5170"/>
    <cellStyle name="20% - Accent3 10 3 42" xfId="5171"/>
    <cellStyle name="20% - Accent3 10 3 43" xfId="5172"/>
    <cellStyle name="20% - Accent3 10 3 44" xfId="5173"/>
    <cellStyle name="20% - Accent3 10 3 45" xfId="5174"/>
    <cellStyle name="20% - Accent3 10 3 46" xfId="5175"/>
    <cellStyle name="20% - Accent3 10 3 47" xfId="5176"/>
    <cellStyle name="20% - Accent3 10 3 48" xfId="5177"/>
    <cellStyle name="20% - Accent3 10 3 49" xfId="5178"/>
    <cellStyle name="20% - Accent3 10 3 5" xfId="5179"/>
    <cellStyle name="20% - Accent3 10 3 50" xfId="5180"/>
    <cellStyle name="20% - Accent3 10 3 51" xfId="5181"/>
    <cellStyle name="20% - Accent3 10 3 52" xfId="5182"/>
    <cellStyle name="20% - Accent3 10 3 53" xfId="5183"/>
    <cellStyle name="20% - Accent3 10 3 54" xfId="5184"/>
    <cellStyle name="20% - Accent3 10 3 55" xfId="5185"/>
    <cellStyle name="20% - Accent3 10 3 6" xfId="5186"/>
    <cellStyle name="20% - Accent3 10 3 7" xfId="5187"/>
    <cellStyle name="20% - Accent3 10 3 8" xfId="5188"/>
    <cellStyle name="20% - Accent3 10 3 9" xfId="5189"/>
    <cellStyle name="20% - Accent3 11" xfId="5190"/>
    <cellStyle name="20% - Accent3 11 2" xfId="5191"/>
    <cellStyle name="20% - Accent3 11 2 10" xfId="5192"/>
    <cellStyle name="20% - Accent3 11 2 11" xfId="5193"/>
    <cellStyle name="20% - Accent3 11 2 12" xfId="5194"/>
    <cellStyle name="20% - Accent3 11 2 13" xfId="5195"/>
    <cellStyle name="20% - Accent3 11 2 14" xfId="5196"/>
    <cellStyle name="20% - Accent3 11 2 15" xfId="5197"/>
    <cellStyle name="20% - Accent3 11 2 16" xfId="5198"/>
    <cellStyle name="20% - Accent3 11 2 17" xfId="5199"/>
    <cellStyle name="20% - Accent3 11 2 18" xfId="5200"/>
    <cellStyle name="20% - Accent3 11 2 19" xfId="5201"/>
    <cellStyle name="20% - Accent3 11 2 2" xfId="5202"/>
    <cellStyle name="20% - Accent3 11 2 2 2" xfId="5203"/>
    <cellStyle name="20% - Accent3 11 2 20" xfId="5204"/>
    <cellStyle name="20% - Accent3 11 2 21" xfId="5205"/>
    <cellStyle name="20% - Accent3 11 2 22" xfId="5206"/>
    <cellStyle name="20% - Accent3 11 2 23" xfId="5207"/>
    <cellStyle name="20% - Accent3 11 2 24" xfId="5208"/>
    <cellStyle name="20% - Accent3 11 2 25" xfId="5209"/>
    <cellStyle name="20% - Accent3 11 2 26" xfId="5210"/>
    <cellStyle name="20% - Accent3 11 2 27" xfId="5211"/>
    <cellStyle name="20% - Accent3 11 2 28" xfId="5212"/>
    <cellStyle name="20% - Accent3 11 2 29" xfId="5213"/>
    <cellStyle name="20% - Accent3 11 2 3" xfId="5214"/>
    <cellStyle name="20% - Accent3 11 2 30" xfId="5215"/>
    <cellStyle name="20% - Accent3 11 2 31" xfId="5216"/>
    <cellStyle name="20% - Accent3 11 2 32" xfId="5217"/>
    <cellStyle name="20% - Accent3 11 2 33" xfId="5218"/>
    <cellStyle name="20% - Accent3 11 2 34" xfId="5219"/>
    <cellStyle name="20% - Accent3 11 2 35" xfId="5220"/>
    <cellStyle name="20% - Accent3 11 2 36" xfId="5221"/>
    <cellStyle name="20% - Accent3 11 2 37" xfId="5222"/>
    <cellStyle name="20% - Accent3 11 2 38" xfId="5223"/>
    <cellStyle name="20% - Accent3 11 2 39" xfId="5224"/>
    <cellStyle name="20% - Accent3 11 2 4" xfId="5225"/>
    <cellStyle name="20% - Accent3 11 2 40" xfId="5226"/>
    <cellStyle name="20% - Accent3 11 2 41" xfId="5227"/>
    <cellStyle name="20% - Accent3 11 2 42" xfId="5228"/>
    <cellStyle name="20% - Accent3 11 2 43" xfId="5229"/>
    <cellStyle name="20% - Accent3 11 2 44" xfId="5230"/>
    <cellStyle name="20% - Accent3 11 2 45" xfId="5231"/>
    <cellStyle name="20% - Accent3 11 2 46" xfId="5232"/>
    <cellStyle name="20% - Accent3 11 2 47" xfId="5233"/>
    <cellStyle name="20% - Accent3 11 2 48" xfId="5234"/>
    <cellStyle name="20% - Accent3 11 2 49" xfId="5235"/>
    <cellStyle name="20% - Accent3 11 2 5" xfId="5236"/>
    <cellStyle name="20% - Accent3 11 2 50" xfId="5237"/>
    <cellStyle name="20% - Accent3 11 2 51" xfId="5238"/>
    <cellStyle name="20% - Accent3 11 2 52" xfId="5239"/>
    <cellStyle name="20% - Accent3 11 2 53" xfId="5240"/>
    <cellStyle name="20% - Accent3 11 2 54" xfId="5241"/>
    <cellStyle name="20% - Accent3 11 2 55" xfId="5242"/>
    <cellStyle name="20% - Accent3 11 2 6" xfId="5243"/>
    <cellStyle name="20% - Accent3 11 2 7" xfId="5244"/>
    <cellStyle name="20% - Accent3 11 2 8" xfId="5245"/>
    <cellStyle name="20% - Accent3 11 2 9" xfId="5246"/>
    <cellStyle name="20% - Accent3 11 3" xfId="5247"/>
    <cellStyle name="20% - Accent3 11 3 10" xfId="5248"/>
    <cellStyle name="20% - Accent3 11 3 11" xfId="5249"/>
    <cellStyle name="20% - Accent3 11 3 12" xfId="5250"/>
    <cellStyle name="20% - Accent3 11 3 13" xfId="5251"/>
    <cellStyle name="20% - Accent3 11 3 14" xfId="5252"/>
    <cellStyle name="20% - Accent3 11 3 15" xfId="5253"/>
    <cellStyle name="20% - Accent3 11 3 16" xfId="5254"/>
    <cellStyle name="20% - Accent3 11 3 17" xfId="5255"/>
    <cellStyle name="20% - Accent3 11 3 18" xfId="5256"/>
    <cellStyle name="20% - Accent3 11 3 19" xfId="5257"/>
    <cellStyle name="20% - Accent3 11 3 2" xfId="5258"/>
    <cellStyle name="20% - Accent3 11 3 2 2" xfId="5259"/>
    <cellStyle name="20% - Accent3 11 3 20" xfId="5260"/>
    <cellStyle name="20% - Accent3 11 3 21" xfId="5261"/>
    <cellStyle name="20% - Accent3 11 3 22" xfId="5262"/>
    <cellStyle name="20% - Accent3 11 3 23" xfId="5263"/>
    <cellStyle name="20% - Accent3 11 3 24" xfId="5264"/>
    <cellStyle name="20% - Accent3 11 3 25" xfId="5265"/>
    <cellStyle name="20% - Accent3 11 3 26" xfId="5266"/>
    <cellStyle name="20% - Accent3 11 3 27" xfId="5267"/>
    <cellStyle name="20% - Accent3 11 3 28" xfId="5268"/>
    <cellStyle name="20% - Accent3 11 3 29" xfId="5269"/>
    <cellStyle name="20% - Accent3 11 3 3" xfId="5270"/>
    <cellStyle name="20% - Accent3 11 3 30" xfId="5271"/>
    <cellStyle name="20% - Accent3 11 3 31" xfId="5272"/>
    <cellStyle name="20% - Accent3 11 3 32" xfId="5273"/>
    <cellStyle name="20% - Accent3 11 3 33" xfId="5274"/>
    <cellStyle name="20% - Accent3 11 3 34" xfId="5275"/>
    <cellStyle name="20% - Accent3 11 3 35" xfId="5276"/>
    <cellStyle name="20% - Accent3 11 3 36" xfId="5277"/>
    <cellStyle name="20% - Accent3 11 3 37" xfId="5278"/>
    <cellStyle name="20% - Accent3 11 3 38" xfId="5279"/>
    <cellStyle name="20% - Accent3 11 3 39" xfId="5280"/>
    <cellStyle name="20% - Accent3 11 3 4" xfId="5281"/>
    <cellStyle name="20% - Accent3 11 3 40" xfId="5282"/>
    <cellStyle name="20% - Accent3 11 3 41" xfId="5283"/>
    <cellStyle name="20% - Accent3 11 3 42" xfId="5284"/>
    <cellStyle name="20% - Accent3 11 3 43" xfId="5285"/>
    <cellStyle name="20% - Accent3 11 3 44" xfId="5286"/>
    <cellStyle name="20% - Accent3 11 3 45" xfId="5287"/>
    <cellStyle name="20% - Accent3 11 3 46" xfId="5288"/>
    <cellStyle name="20% - Accent3 11 3 47" xfId="5289"/>
    <cellStyle name="20% - Accent3 11 3 48" xfId="5290"/>
    <cellStyle name="20% - Accent3 11 3 49" xfId="5291"/>
    <cellStyle name="20% - Accent3 11 3 5" xfId="5292"/>
    <cellStyle name="20% - Accent3 11 3 50" xfId="5293"/>
    <cellStyle name="20% - Accent3 11 3 51" xfId="5294"/>
    <cellStyle name="20% - Accent3 11 3 52" xfId="5295"/>
    <cellStyle name="20% - Accent3 11 3 53" xfId="5296"/>
    <cellStyle name="20% - Accent3 11 3 54" xfId="5297"/>
    <cellStyle name="20% - Accent3 11 3 55" xfId="5298"/>
    <cellStyle name="20% - Accent3 11 3 6" xfId="5299"/>
    <cellStyle name="20% - Accent3 11 3 7" xfId="5300"/>
    <cellStyle name="20% - Accent3 11 3 8" xfId="5301"/>
    <cellStyle name="20% - Accent3 11 3 9" xfId="5302"/>
    <cellStyle name="20% - Accent3 12" xfId="5303"/>
    <cellStyle name="20% - Accent3 12 2" xfId="5304"/>
    <cellStyle name="20% - Accent3 12 2 10" xfId="5305"/>
    <cellStyle name="20% - Accent3 12 2 11" xfId="5306"/>
    <cellStyle name="20% - Accent3 12 2 12" xfId="5307"/>
    <cellStyle name="20% - Accent3 12 2 13" xfId="5308"/>
    <cellStyle name="20% - Accent3 12 2 14" xfId="5309"/>
    <cellStyle name="20% - Accent3 12 2 15" xfId="5310"/>
    <cellStyle name="20% - Accent3 12 2 16" xfId="5311"/>
    <cellStyle name="20% - Accent3 12 2 17" xfId="5312"/>
    <cellStyle name="20% - Accent3 12 2 18" xfId="5313"/>
    <cellStyle name="20% - Accent3 12 2 19" xfId="5314"/>
    <cellStyle name="20% - Accent3 12 2 2" xfId="5315"/>
    <cellStyle name="20% - Accent3 12 2 2 2" xfId="5316"/>
    <cellStyle name="20% - Accent3 12 2 20" xfId="5317"/>
    <cellStyle name="20% - Accent3 12 2 21" xfId="5318"/>
    <cellStyle name="20% - Accent3 12 2 22" xfId="5319"/>
    <cellStyle name="20% - Accent3 12 2 23" xfId="5320"/>
    <cellStyle name="20% - Accent3 12 2 24" xfId="5321"/>
    <cellStyle name="20% - Accent3 12 2 25" xfId="5322"/>
    <cellStyle name="20% - Accent3 12 2 26" xfId="5323"/>
    <cellStyle name="20% - Accent3 12 2 27" xfId="5324"/>
    <cellStyle name="20% - Accent3 12 2 28" xfId="5325"/>
    <cellStyle name="20% - Accent3 12 2 29" xfId="5326"/>
    <cellStyle name="20% - Accent3 12 2 3" xfId="5327"/>
    <cellStyle name="20% - Accent3 12 2 30" xfId="5328"/>
    <cellStyle name="20% - Accent3 12 2 31" xfId="5329"/>
    <cellStyle name="20% - Accent3 12 2 32" xfId="5330"/>
    <cellStyle name="20% - Accent3 12 2 33" xfId="5331"/>
    <cellStyle name="20% - Accent3 12 2 34" xfId="5332"/>
    <cellStyle name="20% - Accent3 12 2 35" xfId="5333"/>
    <cellStyle name="20% - Accent3 12 2 36" xfId="5334"/>
    <cellStyle name="20% - Accent3 12 2 37" xfId="5335"/>
    <cellStyle name="20% - Accent3 12 2 38" xfId="5336"/>
    <cellStyle name="20% - Accent3 12 2 39" xfId="5337"/>
    <cellStyle name="20% - Accent3 12 2 4" xfId="5338"/>
    <cellStyle name="20% - Accent3 12 2 40" xfId="5339"/>
    <cellStyle name="20% - Accent3 12 2 41" xfId="5340"/>
    <cellStyle name="20% - Accent3 12 2 42" xfId="5341"/>
    <cellStyle name="20% - Accent3 12 2 43" xfId="5342"/>
    <cellStyle name="20% - Accent3 12 2 44" xfId="5343"/>
    <cellStyle name="20% - Accent3 12 2 45" xfId="5344"/>
    <cellStyle name="20% - Accent3 12 2 46" xfId="5345"/>
    <cellStyle name="20% - Accent3 12 2 47" xfId="5346"/>
    <cellStyle name="20% - Accent3 12 2 48" xfId="5347"/>
    <cellStyle name="20% - Accent3 12 2 49" xfId="5348"/>
    <cellStyle name="20% - Accent3 12 2 5" xfId="5349"/>
    <cellStyle name="20% - Accent3 12 2 50" xfId="5350"/>
    <cellStyle name="20% - Accent3 12 2 51" xfId="5351"/>
    <cellStyle name="20% - Accent3 12 2 52" xfId="5352"/>
    <cellStyle name="20% - Accent3 12 2 53" xfId="5353"/>
    <cellStyle name="20% - Accent3 12 2 54" xfId="5354"/>
    <cellStyle name="20% - Accent3 12 2 55" xfId="5355"/>
    <cellStyle name="20% - Accent3 12 2 6" xfId="5356"/>
    <cellStyle name="20% - Accent3 12 2 7" xfId="5357"/>
    <cellStyle name="20% - Accent3 12 2 8" xfId="5358"/>
    <cellStyle name="20% - Accent3 12 2 9" xfId="5359"/>
    <cellStyle name="20% - Accent3 12 3" xfId="5360"/>
    <cellStyle name="20% - Accent3 12 3 10" xfId="5361"/>
    <cellStyle name="20% - Accent3 12 3 11" xfId="5362"/>
    <cellStyle name="20% - Accent3 12 3 12" xfId="5363"/>
    <cellStyle name="20% - Accent3 12 3 13" xfId="5364"/>
    <cellStyle name="20% - Accent3 12 3 14" xfId="5365"/>
    <cellStyle name="20% - Accent3 12 3 15" xfId="5366"/>
    <cellStyle name="20% - Accent3 12 3 16" xfId="5367"/>
    <cellStyle name="20% - Accent3 12 3 17" xfId="5368"/>
    <cellStyle name="20% - Accent3 12 3 18" xfId="5369"/>
    <cellStyle name="20% - Accent3 12 3 19" xfId="5370"/>
    <cellStyle name="20% - Accent3 12 3 2" xfId="5371"/>
    <cellStyle name="20% - Accent3 12 3 2 2" xfId="5372"/>
    <cellStyle name="20% - Accent3 12 3 20" xfId="5373"/>
    <cellStyle name="20% - Accent3 12 3 21" xfId="5374"/>
    <cellStyle name="20% - Accent3 12 3 22" xfId="5375"/>
    <cellStyle name="20% - Accent3 12 3 23" xfId="5376"/>
    <cellStyle name="20% - Accent3 12 3 24" xfId="5377"/>
    <cellStyle name="20% - Accent3 12 3 25" xfId="5378"/>
    <cellStyle name="20% - Accent3 12 3 26" xfId="5379"/>
    <cellStyle name="20% - Accent3 12 3 27" xfId="5380"/>
    <cellStyle name="20% - Accent3 12 3 28" xfId="5381"/>
    <cellStyle name="20% - Accent3 12 3 29" xfId="5382"/>
    <cellStyle name="20% - Accent3 12 3 3" xfId="5383"/>
    <cellStyle name="20% - Accent3 12 3 30" xfId="5384"/>
    <cellStyle name="20% - Accent3 12 3 31" xfId="5385"/>
    <cellStyle name="20% - Accent3 12 3 32" xfId="5386"/>
    <cellStyle name="20% - Accent3 12 3 33" xfId="5387"/>
    <cellStyle name="20% - Accent3 12 3 34" xfId="5388"/>
    <cellStyle name="20% - Accent3 12 3 35" xfId="5389"/>
    <cellStyle name="20% - Accent3 12 3 36" xfId="5390"/>
    <cellStyle name="20% - Accent3 12 3 37" xfId="5391"/>
    <cellStyle name="20% - Accent3 12 3 38" xfId="5392"/>
    <cellStyle name="20% - Accent3 12 3 39" xfId="5393"/>
    <cellStyle name="20% - Accent3 12 3 4" xfId="5394"/>
    <cellStyle name="20% - Accent3 12 3 40" xfId="5395"/>
    <cellStyle name="20% - Accent3 12 3 41" xfId="5396"/>
    <cellStyle name="20% - Accent3 12 3 42" xfId="5397"/>
    <cellStyle name="20% - Accent3 12 3 43" xfId="5398"/>
    <cellStyle name="20% - Accent3 12 3 44" xfId="5399"/>
    <cellStyle name="20% - Accent3 12 3 45" xfId="5400"/>
    <cellStyle name="20% - Accent3 12 3 46" xfId="5401"/>
    <cellStyle name="20% - Accent3 12 3 47" xfId="5402"/>
    <cellStyle name="20% - Accent3 12 3 48" xfId="5403"/>
    <cellStyle name="20% - Accent3 12 3 49" xfId="5404"/>
    <cellStyle name="20% - Accent3 12 3 5" xfId="5405"/>
    <cellStyle name="20% - Accent3 12 3 50" xfId="5406"/>
    <cellStyle name="20% - Accent3 12 3 51" xfId="5407"/>
    <cellStyle name="20% - Accent3 12 3 52" xfId="5408"/>
    <cellStyle name="20% - Accent3 12 3 53" xfId="5409"/>
    <cellStyle name="20% - Accent3 12 3 54" xfId="5410"/>
    <cellStyle name="20% - Accent3 12 3 55" xfId="5411"/>
    <cellStyle name="20% - Accent3 12 3 6" xfId="5412"/>
    <cellStyle name="20% - Accent3 12 3 7" xfId="5413"/>
    <cellStyle name="20% - Accent3 12 3 8" xfId="5414"/>
    <cellStyle name="20% - Accent3 12 3 9" xfId="5415"/>
    <cellStyle name="20% - Accent3 13" xfId="5416"/>
    <cellStyle name="20% - Accent3 13 2" xfId="5417"/>
    <cellStyle name="20% - Accent3 13 2 10" xfId="5418"/>
    <cellStyle name="20% - Accent3 13 2 11" xfId="5419"/>
    <cellStyle name="20% - Accent3 13 2 12" xfId="5420"/>
    <cellStyle name="20% - Accent3 13 2 13" xfId="5421"/>
    <cellStyle name="20% - Accent3 13 2 14" xfId="5422"/>
    <cellStyle name="20% - Accent3 13 2 15" xfId="5423"/>
    <cellStyle name="20% - Accent3 13 2 16" xfId="5424"/>
    <cellStyle name="20% - Accent3 13 2 17" xfId="5425"/>
    <cellStyle name="20% - Accent3 13 2 18" xfId="5426"/>
    <cellStyle name="20% - Accent3 13 2 19" xfId="5427"/>
    <cellStyle name="20% - Accent3 13 2 2" xfId="5428"/>
    <cellStyle name="20% - Accent3 13 2 2 2" xfId="5429"/>
    <cellStyle name="20% - Accent3 13 2 20" xfId="5430"/>
    <cellStyle name="20% - Accent3 13 2 21" xfId="5431"/>
    <cellStyle name="20% - Accent3 13 2 22" xfId="5432"/>
    <cellStyle name="20% - Accent3 13 2 23" xfId="5433"/>
    <cellStyle name="20% - Accent3 13 2 24" xfId="5434"/>
    <cellStyle name="20% - Accent3 13 2 25" xfId="5435"/>
    <cellStyle name="20% - Accent3 13 2 26" xfId="5436"/>
    <cellStyle name="20% - Accent3 13 2 27" xfId="5437"/>
    <cellStyle name="20% - Accent3 13 2 28" xfId="5438"/>
    <cellStyle name="20% - Accent3 13 2 29" xfId="5439"/>
    <cellStyle name="20% - Accent3 13 2 3" xfId="5440"/>
    <cellStyle name="20% - Accent3 13 2 30" xfId="5441"/>
    <cellStyle name="20% - Accent3 13 2 31" xfId="5442"/>
    <cellStyle name="20% - Accent3 13 2 32" xfId="5443"/>
    <cellStyle name="20% - Accent3 13 2 33" xfId="5444"/>
    <cellStyle name="20% - Accent3 13 2 34" xfId="5445"/>
    <cellStyle name="20% - Accent3 13 2 35" xfId="5446"/>
    <cellStyle name="20% - Accent3 13 2 36" xfId="5447"/>
    <cellStyle name="20% - Accent3 13 2 37" xfId="5448"/>
    <cellStyle name="20% - Accent3 13 2 38" xfId="5449"/>
    <cellStyle name="20% - Accent3 13 2 39" xfId="5450"/>
    <cellStyle name="20% - Accent3 13 2 4" xfId="5451"/>
    <cellStyle name="20% - Accent3 13 2 40" xfId="5452"/>
    <cellStyle name="20% - Accent3 13 2 41" xfId="5453"/>
    <cellStyle name="20% - Accent3 13 2 42" xfId="5454"/>
    <cellStyle name="20% - Accent3 13 2 43" xfId="5455"/>
    <cellStyle name="20% - Accent3 13 2 44" xfId="5456"/>
    <cellStyle name="20% - Accent3 13 2 45" xfId="5457"/>
    <cellStyle name="20% - Accent3 13 2 46" xfId="5458"/>
    <cellStyle name="20% - Accent3 13 2 47" xfId="5459"/>
    <cellStyle name="20% - Accent3 13 2 48" xfId="5460"/>
    <cellStyle name="20% - Accent3 13 2 49" xfId="5461"/>
    <cellStyle name="20% - Accent3 13 2 5" xfId="5462"/>
    <cellStyle name="20% - Accent3 13 2 50" xfId="5463"/>
    <cellStyle name="20% - Accent3 13 2 51" xfId="5464"/>
    <cellStyle name="20% - Accent3 13 2 52" xfId="5465"/>
    <cellStyle name="20% - Accent3 13 2 53" xfId="5466"/>
    <cellStyle name="20% - Accent3 13 2 54" xfId="5467"/>
    <cellStyle name="20% - Accent3 13 2 55" xfId="5468"/>
    <cellStyle name="20% - Accent3 13 2 6" xfId="5469"/>
    <cellStyle name="20% - Accent3 13 2 7" xfId="5470"/>
    <cellStyle name="20% - Accent3 13 2 8" xfId="5471"/>
    <cellStyle name="20% - Accent3 13 2 9" xfId="5472"/>
    <cellStyle name="20% - Accent3 13 3" xfId="5473"/>
    <cellStyle name="20% - Accent3 13 3 10" xfId="5474"/>
    <cellStyle name="20% - Accent3 13 3 11" xfId="5475"/>
    <cellStyle name="20% - Accent3 13 3 12" xfId="5476"/>
    <cellStyle name="20% - Accent3 13 3 13" xfId="5477"/>
    <cellStyle name="20% - Accent3 13 3 14" xfId="5478"/>
    <cellStyle name="20% - Accent3 13 3 15" xfId="5479"/>
    <cellStyle name="20% - Accent3 13 3 16" xfId="5480"/>
    <cellStyle name="20% - Accent3 13 3 17" xfId="5481"/>
    <cellStyle name="20% - Accent3 13 3 18" xfId="5482"/>
    <cellStyle name="20% - Accent3 13 3 19" xfId="5483"/>
    <cellStyle name="20% - Accent3 13 3 2" xfId="5484"/>
    <cellStyle name="20% - Accent3 13 3 2 2" xfId="5485"/>
    <cellStyle name="20% - Accent3 13 3 20" xfId="5486"/>
    <cellStyle name="20% - Accent3 13 3 21" xfId="5487"/>
    <cellStyle name="20% - Accent3 13 3 22" xfId="5488"/>
    <cellStyle name="20% - Accent3 13 3 23" xfId="5489"/>
    <cellStyle name="20% - Accent3 13 3 24" xfId="5490"/>
    <cellStyle name="20% - Accent3 13 3 25" xfId="5491"/>
    <cellStyle name="20% - Accent3 13 3 26" xfId="5492"/>
    <cellStyle name="20% - Accent3 13 3 27" xfId="5493"/>
    <cellStyle name="20% - Accent3 13 3 28" xfId="5494"/>
    <cellStyle name="20% - Accent3 13 3 29" xfId="5495"/>
    <cellStyle name="20% - Accent3 13 3 3" xfId="5496"/>
    <cellStyle name="20% - Accent3 13 3 30" xfId="5497"/>
    <cellStyle name="20% - Accent3 13 3 31" xfId="5498"/>
    <cellStyle name="20% - Accent3 13 3 32" xfId="5499"/>
    <cellStyle name="20% - Accent3 13 3 33" xfId="5500"/>
    <cellStyle name="20% - Accent3 13 3 34" xfId="5501"/>
    <cellStyle name="20% - Accent3 13 3 35" xfId="5502"/>
    <cellStyle name="20% - Accent3 13 3 36" xfId="5503"/>
    <cellStyle name="20% - Accent3 13 3 37" xfId="5504"/>
    <cellStyle name="20% - Accent3 13 3 38" xfId="5505"/>
    <cellStyle name="20% - Accent3 13 3 39" xfId="5506"/>
    <cellStyle name="20% - Accent3 13 3 4" xfId="5507"/>
    <cellStyle name="20% - Accent3 13 3 40" xfId="5508"/>
    <cellStyle name="20% - Accent3 13 3 41" xfId="5509"/>
    <cellStyle name="20% - Accent3 13 3 42" xfId="5510"/>
    <cellStyle name="20% - Accent3 13 3 43" xfId="5511"/>
    <cellStyle name="20% - Accent3 13 3 44" xfId="5512"/>
    <cellStyle name="20% - Accent3 13 3 45" xfId="5513"/>
    <cellStyle name="20% - Accent3 13 3 46" xfId="5514"/>
    <cellStyle name="20% - Accent3 13 3 47" xfId="5515"/>
    <cellStyle name="20% - Accent3 13 3 48" xfId="5516"/>
    <cellStyle name="20% - Accent3 13 3 49" xfId="5517"/>
    <cellStyle name="20% - Accent3 13 3 5" xfId="5518"/>
    <cellStyle name="20% - Accent3 13 3 50" xfId="5519"/>
    <cellStyle name="20% - Accent3 13 3 51" xfId="5520"/>
    <cellStyle name="20% - Accent3 13 3 52" xfId="5521"/>
    <cellStyle name="20% - Accent3 13 3 53" xfId="5522"/>
    <cellStyle name="20% - Accent3 13 3 54" xfId="5523"/>
    <cellStyle name="20% - Accent3 13 3 55" xfId="5524"/>
    <cellStyle name="20% - Accent3 13 3 6" xfId="5525"/>
    <cellStyle name="20% - Accent3 13 3 7" xfId="5526"/>
    <cellStyle name="20% - Accent3 13 3 8" xfId="5527"/>
    <cellStyle name="20% - Accent3 13 3 9" xfId="5528"/>
    <cellStyle name="20% - Accent3 14" xfId="5529"/>
    <cellStyle name="20% - Accent3 14 2" xfId="5530"/>
    <cellStyle name="20% - Accent3 14 2 10" xfId="5531"/>
    <cellStyle name="20% - Accent3 14 2 11" xfId="5532"/>
    <cellStyle name="20% - Accent3 14 2 12" xfId="5533"/>
    <cellStyle name="20% - Accent3 14 2 13" xfId="5534"/>
    <cellStyle name="20% - Accent3 14 2 14" xfId="5535"/>
    <cellStyle name="20% - Accent3 14 2 15" xfId="5536"/>
    <cellStyle name="20% - Accent3 14 2 16" xfId="5537"/>
    <cellStyle name="20% - Accent3 14 2 17" xfId="5538"/>
    <cellStyle name="20% - Accent3 14 2 18" xfId="5539"/>
    <cellStyle name="20% - Accent3 14 2 19" xfId="5540"/>
    <cellStyle name="20% - Accent3 14 2 2" xfId="5541"/>
    <cellStyle name="20% - Accent3 14 2 2 2" xfId="5542"/>
    <cellStyle name="20% - Accent3 14 2 20" xfId="5543"/>
    <cellStyle name="20% - Accent3 14 2 21" xfId="5544"/>
    <cellStyle name="20% - Accent3 14 2 22" xfId="5545"/>
    <cellStyle name="20% - Accent3 14 2 23" xfId="5546"/>
    <cellStyle name="20% - Accent3 14 2 24" xfId="5547"/>
    <cellStyle name="20% - Accent3 14 2 25" xfId="5548"/>
    <cellStyle name="20% - Accent3 14 2 26" xfId="5549"/>
    <cellStyle name="20% - Accent3 14 2 27" xfId="5550"/>
    <cellStyle name="20% - Accent3 14 2 28" xfId="5551"/>
    <cellStyle name="20% - Accent3 14 2 29" xfId="5552"/>
    <cellStyle name="20% - Accent3 14 2 3" xfId="5553"/>
    <cellStyle name="20% - Accent3 14 2 30" xfId="5554"/>
    <cellStyle name="20% - Accent3 14 2 31" xfId="5555"/>
    <cellStyle name="20% - Accent3 14 2 32" xfId="5556"/>
    <cellStyle name="20% - Accent3 14 2 33" xfId="5557"/>
    <cellStyle name="20% - Accent3 14 2 34" xfId="5558"/>
    <cellStyle name="20% - Accent3 14 2 35" xfId="5559"/>
    <cellStyle name="20% - Accent3 14 2 36" xfId="5560"/>
    <cellStyle name="20% - Accent3 14 2 37" xfId="5561"/>
    <cellStyle name="20% - Accent3 14 2 38" xfId="5562"/>
    <cellStyle name="20% - Accent3 14 2 39" xfId="5563"/>
    <cellStyle name="20% - Accent3 14 2 4" xfId="5564"/>
    <cellStyle name="20% - Accent3 14 2 40" xfId="5565"/>
    <cellStyle name="20% - Accent3 14 2 41" xfId="5566"/>
    <cellStyle name="20% - Accent3 14 2 42" xfId="5567"/>
    <cellStyle name="20% - Accent3 14 2 43" xfId="5568"/>
    <cellStyle name="20% - Accent3 14 2 44" xfId="5569"/>
    <cellStyle name="20% - Accent3 14 2 45" xfId="5570"/>
    <cellStyle name="20% - Accent3 14 2 46" xfId="5571"/>
    <cellStyle name="20% - Accent3 14 2 47" xfId="5572"/>
    <cellStyle name="20% - Accent3 14 2 48" xfId="5573"/>
    <cellStyle name="20% - Accent3 14 2 49" xfId="5574"/>
    <cellStyle name="20% - Accent3 14 2 5" xfId="5575"/>
    <cellStyle name="20% - Accent3 14 2 50" xfId="5576"/>
    <cellStyle name="20% - Accent3 14 2 51" xfId="5577"/>
    <cellStyle name="20% - Accent3 14 2 52" xfId="5578"/>
    <cellStyle name="20% - Accent3 14 2 53" xfId="5579"/>
    <cellStyle name="20% - Accent3 14 2 54" xfId="5580"/>
    <cellStyle name="20% - Accent3 14 2 55" xfId="5581"/>
    <cellStyle name="20% - Accent3 14 2 6" xfId="5582"/>
    <cellStyle name="20% - Accent3 14 2 7" xfId="5583"/>
    <cellStyle name="20% - Accent3 14 2 8" xfId="5584"/>
    <cellStyle name="20% - Accent3 14 2 9" xfId="5585"/>
    <cellStyle name="20% - Accent3 14 3" xfId="5586"/>
    <cellStyle name="20% - Accent3 14 3 10" xfId="5587"/>
    <cellStyle name="20% - Accent3 14 3 11" xfId="5588"/>
    <cellStyle name="20% - Accent3 14 3 12" xfId="5589"/>
    <cellStyle name="20% - Accent3 14 3 13" xfId="5590"/>
    <cellStyle name="20% - Accent3 14 3 14" xfId="5591"/>
    <cellStyle name="20% - Accent3 14 3 15" xfId="5592"/>
    <cellStyle name="20% - Accent3 14 3 16" xfId="5593"/>
    <cellStyle name="20% - Accent3 14 3 17" xfId="5594"/>
    <cellStyle name="20% - Accent3 14 3 18" xfId="5595"/>
    <cellStyle name="20% - Accent3 14 3 19" xfId="5596"/>
    <cellStyle name="20% - Accent3 14 3 2" xfId="5597"/>
    <cellStyle name="20% - Accent3 14 3 2 2" xfId="5598"/>
    <cellStyle name="20% - Accent3 14 3 20" xfId="5599"/>
    <cellStyle name="20% - Accent3 14 3 21" xfId="5600"/>
    <cellStyle name="20% - Accent3 14 3 22" xfId="5601"/>
    <cellStyle name="20% - Accent3 14 3 23" xfId="5602"/>
    <cellStyle name="20% - Accent3 14 3 24" xfId="5603"/>
    <cellStyle name="20% - Accent3 14 3 25" xfId="5604"/>
    <cellStyle name="20% - Accent3 14 3 26" xfId="5605"/>
    <cellStyle name="20% - Accent3 14 3 27" xfId="5606"/>
    <cellStyle name="20% - Accent3 14 3 28" xfId="5607"/>
    <cellStyle name="20% - Accent3 14 3 29" xfId="5608"/>
    <cellStyle name="20% - Accent3 14 3 3" xfId="5609"/>
    <cellStyle name="20% - Accent3 14 3 30" xfId="5610"/>
    <cellStyle name="20% - Accent3 14 3 31" xfId="5611"/>
    <cellStyle name="20% - Accent3 14 3 32" xfId="5612"/>
    <cellStyle name="20% - Accent3 14 3 33" xfId="5613"/>
    <cellStyle name="20% - Accent3 14 3 34" xfId="5614"/>
    <cellStyle name="20% - Accent3 14 3 35" xfId="5615"/>
    <cellStyle name="20% - Accent3 14 3 36" xfId="5616"/>
    <cellStyle name="20% - Accent3 14 3 37" xfId="5617"/>
    <cellStyle name="20% - Accent3 14 3 38" xfId="5618"/>
    <cellStyle name="20% - Accent3 14 3 39" xfId="5619"/>
    <cellStyle name="20% - Accent3 14 3 4" xfId="5620"/>
    <cellStyle name="20% - Accent3 14 3 40" xfId="5621"/>
    <cellStyle name="20% - Accent3 14 3 41" xfId="5622"/>
    <cellStyle name="20% - Accent3 14 3 42" xfId="5623"/>
    <cellStyle name="20% - Accent3 14 3 43" xfId="5624"/>
    <cellStyle name="20% - Accent3 14 3 44" xfId="5625"/>
    <cellStyle name="20% - Accent3 14 3 45" xfId="5626"/>
    <cellStyle name="20% - Accent3 14 3 46" xfId="5627"/>
    <cellStyle name="20% - Accent3 14 3 47" xfId="5628"/>
    <cellStyle name="20% - Accent3 14 3 48" xfId="5629"/>
    <cellStyle name="20% - Accent3 14 3 49" xfId="5630"/>
    <cellStyle name="20% - Accent3 14 3 5" xfId="5631"/>
    <cellStyle name="20% - Accent3 14 3 50" xfId="5632"/>
    <cellStyle name="20% - Accent3 14 3 51" xfId="5633"/>
    <cellStyle name="20% - Accent3 14 3 52" xfId="5634"/>
    <cellStyle name="20% - Accent3 14 3 53" xfId="5635"/>
    <cellStyle name="20% - Accent3 14 3 54" xfId="5636"/>
    <cellStyle name="20% - Accent3 14 3 55" xfId="5637"/>
    <cellStyle name="20% - Accent3 14 3 6" xfId="5638"/>
    <cellStyle name="20% - Accent3 14 3 7" xfId="5639"/>
    <cellStyle name="20% - Accent3 14 3 8" xfId="5640"/>
    <cellStyle name="20% - Accent3 14 3 9" xfId="5641"/>
    <cellStyle name="20% - Accent3 15" xfId="5642"/>
    <cellStyle name="20% - Accent3 15 2" xfId="5643"/>
    <cellStyle name="20% - Accent3 15 2 10" xfId="5644"/>
    <cellStyle name="20% - Accent3 15 2 11" xfId="5645"/>
    <cellStyle name="20% - Accent3 15 2 12" xfId="5646"/>
    <cellStyle name="20% - Accent3 15 2 13" xfId="5647"/>
    <cellStyle name="20% - Accent3 15 2 14" xfId="5648"/>
    <cellStyle name="20% - Accent3 15 2 15" xfId="5649"/>
    <cellStyle name="20% - Accent3 15 2 16" xfId="5650"/>
    <cellStyle name="20% - Accent3 15 2 17" xfId="5651"/>
    <cellStyle name="20% - Accent3 15 2 18" xfId="5652"/>
    <cellStyle name="20% - Accent3 15 2 19" xfId="5653"/>
    <cellStyle name="20% - Accent3 15 2 2" xfId="5654"/>
    <cellStyle name="20% - Accent3 15 2 2 2" xfId="5655"/>
    <cellStyle name="20% - Accent3 15 2 20" xfId="5656"/>
    <cellStyle name="20% - Accent3 15 2 21" xfId="5657"/>
    <cellStyle name="20% - Accent3 15 2 22" xfId="5658"/>
    <cellStyle name="20% - Accent3 15 2 23" xfId="5659"/>
    <cellStyle name="20% - Accent3 15 2 24" xfId="5660"/>
    <cellStyle name="20% - Accent3 15 2 25" xfId="5661"/>
    <cellStyle name="20% - Accent3 15 2 26" xfId="5662"/>
    <cellStyle name="20% - Accent3 15 2 27" xfId="5663"/>
    <cellStyle name="20% - Accent3 15 2 28" xfId="5664"/>
    <cellStyle name="20% - Accent3 15 2 29" xfId="5665"/>
    <cellStyle name="20% - Accent3 15 2 3" xfId="5666"/>
    <cellStyle name="20% - Accent3 15 2 30" xfId="5667"/>
    <cellStyle name="20% - Accent3 15 2 31" xfId="5668"/>
    <cellStyle name="20% - Accent3 15 2 32" xfId="5669"/>
    <cellStyle name="20% - Accent3 15 2 33" xfId="5670"/>
    <cellStyle name="20% - Accent3 15 2 34" xfId="5671"/>
    <cellStyle name="20% - Accent3 15 2 35" xfId="5672"/>
    <cellStyle name="20% - Accent3 15 2 36" xfId="5673"/>
    <cellStyle name="20% - Accent3 15 2 37" xfId="5674"/>
    <cellStyle name="20% - Accent3 15 2 38" xfId="5675"/>
    <cellStyle name="20% - Accent3 15 2 39" xfId="5676"/>
    <cellStyle name="20% - Accent3 15 2 4" xfId="5677"/>
    <cellStyle name="20% - Accent3 15 2 40" xfId="5678"/>
    <cellStyle name="20% - Accent3 15 2 41" xfId="5679"/>
    <cellStyle name="20% - Accent3 15 2 42" xfId="5680"/>
    <cellStyle name="20% - Accent3 15 2 43" xfId="5681"/>
    <cellStyle name="20% - Accent3 15 2 44" xfId="5682"/>
    <cellStyle name="20% - Accent3 15 2 45" xfId="5683"/>
    <cellStyle name="20% - Accent3 15 2 46" xfId="5684"/>
    <cellStyle name="20% - Accent3 15 2 47" xfId="5685"/>
    <cellStyle name="20% - Accent3 15 2 48" xfId="5686"/>
    <cellStyle name="20% - Accent3 15 2 49" xfId="5687"/>
    <cellStyle name="20% - Accent3 15 2 5" xfId="5688"/>
    <cellStyle name="20% - Accent3 15 2 50" xfId="5689"/>
    <cellStyle name="20% - Accent3 15 2 51" xfId="5690"/>
    <cellStyle name="20% - Accent3 15 2 52" xfId="5691"/>
    <cellStyle name="20% - Accent3 15 2 53" xfId="5692"/>
    <cellStyle name="20% - Accent3 15 2 54" xfId="5693"/>
    <cellStyle name="20% - Accent3 15 2 55" xfId="5694"/>
    <cellStyle name="20% - Accent3 15 2 6" xfId="5695"/>
    <cellStyle name="20% - Accent3 15 2 7" xfId="5696"/>
    <cellStyle name="20% - Accent3 15 2 8" xfId="5697"/>
    <cellStyle name="20% - Accent3 15 2 9" xfId="5698"/>
    <cellStyle name="20% - Accent3 15 3" xfId="5699"/>
    <cellStyle name="20% - Accent3 15 3 10" xfId="5700"/>
    <cellStyle name="20% - Accent3 15 3 11" xfId="5701"/>
    <cellStyle name="20% - Accent3 15 3 12" xfId="5702"/>
    <cellStyle name="20% - Accent3 15 3 13" xfId="5703"/>
    <cellStyle name="20% - Accent3 15 3 14" xfId="5704"/>
    <cellStyle name="20% - Accent3 15 3 15" xfId="5705"/>
    <cellStyle name="20% - Accent3 15 3 16" xfId="5706"/>
    <cellStyle name="20% - Accent3 15 3 17" xfId="5707"/>
    <cellStyle name="20% - Accent3 15 3 18" xfId="5708"/>
    <cellStyle name="20% - Accent3 15 3 19" xfId="5709"/>
    <cellStyle name="20% - Accent3 15 3 2" xfId="5710"/>
    <cellStyle name="20% - Accent3 15 3 2 2" xfId="5711"/>
    <cellStyle name="20% - Accent3 15 3 20" xfId="5712"/>
    <cellStyle name="20% - Accent3 15 3 21" xfId="5713"/>
    <cellStyle name="20% - Accent3 15 3 22" xfId="5714"/>
    <cellStyle name="20% - Accent3 15 3 23" xfId="5715"/>
    <cellStyle name="20% - Accent3 15 3 24" xfId="5716"/>
    <cellStyle name="20% - Accent3 15 3 25" xfId="5717"/>
    <cellStyle name="20% - Accent3 15 3 26" xfId="5718"/>
    <cellStyle name="20% - Accent3 15 3 27" xfId="5719"/>
    <cellStyle name="20% - Accent3 15 3 28" xfId="5720"/>
    <cellStyle name="20% - Accent3 15 3 29" xfId="5721"/>
    <cellStyle name="20% - Accent3 15 3 3" xfId="5722"/>
    <cellStyle name="20% - Accent3 15 3 30" xfId="5723"/>
    <cellStyle name="20% - Accent3 15 3 31" xfId="5724"/>
    <cellStyle name="20% - Accent3 15 3 32" xfId="5725"/>
    <cellStyle name="20% - Accent3 15 3 33" xfId="5726"/>
    <cellStyle name="20% - Accent3 15 3 34" xfId="5727"/>
    <cellStyle name="20% - Accent3 15 3 35" xfId="5728"/>
    <cellStyle name="20% - Accent3 15 3 36" xfId="5729"/>
    <cellStyle name="20% - Accent3 15 3 37" xfId="5730"/>
    <cellStyle name="20% - Accent3 15 3 38" xfId="5731"/>
    <cellStyle name="20% - Accent3 15 3 39" xfId="5732"/>
    <cellStyle name="20% - Accent3 15 3 4" xfId="5733"/>
    <cellStyle name="20% - Accent3 15 3 40" xfId="5734"/>
    <cellStyle name="20% - Accent3 15 3 41" xfId="5735"/>
    <cellStyle name="20% - Accent3 15 3 42" xfId="5736"/>
    <cellStyle name="20% - Accent3 15 3 43" xfId="5737"/>
    <cellStyle name="20% - Accent3 15 3 44" xfId="5738"/>
    <cellStyle name="20% - Accent3 15 3 45" xfId="5739"/>
    <cellStyle name="20% - Accent3 15 3 46" xfId="5740"/>
    <cellStyle name="20% - Accent3 15 3 47" xfId="5741"/>
    <cellStyle name="20% - Accent3 15 3 48" xfId="5742"/>
    <cellStyle name="20% - Accent3 15 3 49" xfId="5743"/>
    <cellStyle name="20% - Accent3 15 3 5" xfId="5744"/>
    <cellStyle name="20% - Accent3 15 3 50" xfId="5745"/>
    <cellStyle name="20% - Accent3 15 3 51" xfId="5746"/>
    <cellStyle name="20% - Accent3 15 3 52" xfId="5747"/>
    <cellStyle name="20% - Accent3 15 3 53" xfId="5748"/>
    <cellStyle name="20% - Accent3 15 3 54" xfId="5749"/>
    <cellStyle name="20% - Accent3 15 3 55" xfId="5750"/>
    <cellStyle name="20% - Accent3 15 3 6" xfId="5751"/>
    <cellStyle name="20% - Accent3 15 3 7" xfId="5752"/>
    <cellStyle name="20% - Accent3 15 3 8" xfId="5753"/>
    <cellStyle name="20% - Accent3 15 3 9" xfId="5754"/>
    <cellStyle name="20% - Accent3 16" xfId="5755"/>
    <cellStyle name="20% - Accent3 16 2" xfId="5756"/>
    <cellStyle name="20% - Accent3 16 2 10" xfId="5757"/>
    <cellStyle name="20% - Accent3 16 2 11" xfId="5758"/>
    <cellStyle name="20% - Accent3 16 2 12" xfId="5759"/>
    <cellStyle name="20% - Accent3 16 2 13" xfId="5760"/>
    <cellStyle name="20% - Accent3 16 2 14" xfId="5761"/>
    <cellStyle name="20% - Accent3 16 2 15" xfId="5762"/>
    <cellStyle name="20% - Accent3 16 2 16" xfId="5763"/>
    <cellStyle name="20% - Accent3 16 2 17" xfId="5764"/>
    <cellStyle name="20% - Accent3 16 2 18" xfId="5765"/>
    <cellStyle name="20% - Accent3 16 2 19" xfId="5766"/>
    <cellStyle name="20% - Accent3 16 2 2" xfId="5767"/>
    <cellStyle name="20% - Accent3 16 2 2 2" xfId="5768"/>
    <cellStyle name="20% - Accent3 16 2 20" xfId="5769"/>
    <cellStyle name="20% - Accent3 16 2 21" xfId="5770"/>
    <cellStyle name="20% - Accent3 16 2 22" xfId="5771"/>
    <cellStyle name="20% - Accent3 16 2 23" xfId="5772"/>
    <cellStyle name="20% - Accent3 16 2 24" xfId="5773"/>
    <cellStyle name="20% - Accent3 16 2 25" xfId="5774"/>
    <cellStyle name="20% - Accent3 16 2 26" xfId="5775"/>
    <cellStyle name="20% - Accent3 16 2 27" xfId="5776"/>
    <cellStyle name="20% - Accent3 16 2 28" xfId="5777"/>
    <cellStyle name="20% - Accent3 16 2 29" xfId="5778"/>
    <cellStyle name="20% - Accent3 16 2 3" xfId="5779"/>
    <cellStyle name="20% - Accent3 16 2 30" xfId="5780"/>
    <cellStyle name="20% - Accent3 16 2 31" xfId="5781"/>
    <cellStyle name="20% - Accent3 16 2 32" xfId="5782"/>
    <cellStyle name="20% - Accent3 16 2 33" xfId="5783"/>
    <cellStyle name="20% - Accent3 16 2 34" xfId="5784"/>
    <cellStyle name="20% - Accent3 16 2 35" xfId="5785"/>
    <cellStyle name="20% - Accent3 16 2 36" xfId="5786"/>
    <cellStyle name="20% - Accent3 16 2 37" xfId="5787"/>
    <cellStyle name="20% - Accent3 16 2 38" xfId="5788"/>
    <cellStyle name="20% - Accent3 16 2 39" xfId="5789"/>
    <cellStyle name="20% - Accent3 16 2 4" xfId="5790"/>
    <cellStyle name="20% - Accent3 16 2 40" xfId="5791"/>
    <cellStyle name="20% - Accent3 16 2 41" xfId="5792"/>
    <cellStyle name="20% - Accent3 16 2 42" xfId="5793"/>
    <cellStyle name="20% - Accent3 16 2 43" xfId="5794"/>
    <cellStyle name="20% - Accent3 16 2 44" xfId="5795"/>
    <cellStyle name="20% - Accent3 16 2 45" xfId="5796"/>
    <cellStyle name="20% - Accent3 16 2 46" xfId="5797"/>
    <cellStyle name="20% - Accent3 16 2 47" xfId="5798"/>
    <cellStyle name="20% - Accent3 16 2 48" xfId="5799"/>
    <cellStyle name="20% - Accent3 16 2 49" xfId="5800"/>
    <cellStyle name="20% - Accent3 16 2 5" xfId="5801"/>
    <cellStyle name="20% - Accent3 16 2 50" xfId="5802"/>
    <cellStyle name="20% - Accent3 16 2 51" xfId="5803"/>
    <cellStyle name="20% - Accent3 16 2 52" xfId="5804"/>
    <cellStyle name="20% - Accent3 16 2 53" xfId="5805"/>
    <cellStyle name="20% - Accent3 16 2 54" xfId="5806"/>
    <cellStyle name="20% - Accent3 16 2 55" xfId="5807"/>
    <cellStyle name="20% - Accent3 16 2 6" xfId="5808"/>
    <cellStyle name="20% - Accent3 16 2 7" xfId="5809"/>
    <cellStyle name="20% - Accent3 16 2 8" xfId="5810"/>
    <cellStyle name="20% - Accent3 16 2 9" xfId="5811"/>
    <cellStyle name="20% - Accent3 16 3" xfId="5812"/>
    <cellStyle name="20% - Accent3 16 3 10" xfId="5813"/>
    <cellStyle name="20% - Accent3 16 3 11" xfId="5814"/>
    <cellStyle name="20% - Accent3 16 3 12" xfId="5815"/>
    <cellStyle name="20% - Accent3 16 3 13" xfId="5816"/>
    <cellStyle name="20% - Accent3 16 3 14" xfId="5817"/>
    <cellStyle name="20% - Accent3 16 3 15" xfId="5818"/>
    <cellStyle name="20% - Accent3 16 3 16" xfId="5819"/>
    <cellStyle name="20% - Accent3 16 3 17" xfId="5820"/>
    <cellStyle name="20% - Accent3 16 3 18" xfId="5821"/>
    <cellStyle name="20% - Accent3 16 3 19" xfId="5822"/>
    <cellStyle name="20% - Accent3 16 3 2" xfId="5823"/>
    <cellStyle name="20% - Accent3 16 3 2 2" xfId="5824"/>
    <cellStyle name="20% - Accent3 16 3 20" xfId="5825"/>
    <cellStyle name="20% - Accent3 16 3 21" xfId="5826"/>
    <cellStyle name="20% - Accent3 16 3 22" xfId="5827"/>
    <cellStyle name="20% - Accent3 16 3 23" xfId="5828"/>
    <cellStyle name="20% - Accent3 16 3 24" xfId="5829"/>
    <cellStyle name="20% - Accent3 16 3 25" xfId="5830"/>
    <cellStyle name="20% - Accent3 16 3 26" xfId="5831"/>
    <cellStyle name="20% - Accent3 16 3 27" xfId="5832"/>
    <cellStyle name="20% - Accent3 16 3 28" xfId="5833"/>
    <cellStyle name="20% - Accent3 16 3 29" xfId="5834"/>
    <cellStyle name="20% - Accent3 16 3 3" xfId="5835"/>
    <cellStyle name="20% - Accent3 16 3 30" xfId="5836"/>
    <cellStyle name="20% - Accent3 16 3 31" xfId="5837"/>
    <cellStyle name="20% - Accent3 16 3 32" xfId="5838"/>
    <cellStyle name="20% - Accent3 16 3 33" xfId="5839"/>
    <cellStyle name="20% - Accent3 16 3 34" xfId="5840"/>
    <cellStyle name="20% - Accent3 16 3 35" xfId="5841"/>
    <cellStyle name="20% - Accent3 16 3 36" xfId="5842"/>
    <cellStyle name="20% - Accent3 16 3 37" xfId="5843"/>
    <cellStyle name="20% - Accent3 16 3 38" xfId="5844"/>
    <cellStyle name="20% - Accent3 16 3 39" xfId="5845"/>
    <cellStyle name="20% - Accent3 16 3 4" xfId="5846"/>
    <cellStyle name="20% - Accent3 16 3 40" xfId="5847"/>
    <cellStyle name="20% - Accent3 16 3 41" xfId="5848"/>
    <cellStyle name="20% - Accent3 16 3 42" xfId="5849"/>
    <cellStyle name="20% - Accent3 16 3 43" xfId="5850"/>
    <cellStyle name="20% - Accent3 16 3 44" xfId="5851"/>
    <cellStyle name="20% - Accent3 16 3 45" xfId="5852"/>
    <cellStyle name="20% - Accent3 16 3 46" xfId="5853"/>
    <cellStyle name="20% - Accent3 16 3 47" xfId="5854"/>
    <cellStyle name="20% - Accent3 16 3 48" xfId="5855"/>
    <cellStyle name="20% - Accent3 16 3 49" xfId="5856"/>
    <cellStyle name="20% - Accent3 16 3 5" xfId="5857"/>
    <cellStyle name="20% - Accent3 16 3 50" xfId="5858"/>
    <cellStyle name="20% - Accent3 16 3 51" xfId="5859"/>
    <cellStyle name="20% - Accent3 16 3 52" xfId="5860"/>
    <cellStyle name="20% - Accent3 16 3 53" xfId="5861"/>
    <cellStyle name="20% - Accent3 16 3 54" xfId="5862"/>
    <cellStyle name="20% - Accent3 16 3 55" xfId="5863"/>
    <cellStyle name="20% - Accent3 16 3 6" xfId="5864"/>
    <cellStyle name="20% - Accent3 16 3 7" xfId="5865"/>
    <cellStyle name="20% - Accent3 16 3 8" xfId="5866"/>
    <cellStyle name="20% - Accent3 16 3 9" xfId="5867"/>
    <cellStyle name="20% - Accent3 17" xfId="5868"/>
    <cellStyle name="20% - Accent3 17 2" xfId="5869"/>
    <cellStyle name="20% - Accent3 17 2 10" xfId="5870"/>
    <cellStyle name="20% - Accent3 17 2 11" xfId="5871"/>
    <cellStyle name="20% - Accent3 17 2 12" xfId="5872"/>
    <cellStyle name="20% - Accent3 17 2 13" xfId="5873"/>
    <cellStyle name="20% - Accent3 17 2 14" xfId="5874"/>
    <cellStyle name="20% - Accent3 17 2 15" xfId="5875"/>
    <cellStyle name="20% - Accent3 17 2 16" xfId="5876"/>
    <cellStyle name="20% - Accent3 17 2 17" xfId="5877"/>
    <cellStyle name="20% - Accent3 17 2 18" xfId="5878"/>
    <cellStyle name="20% - Accent3 17 2 19" xfId="5879"/>
    <cellStyle name="20% - Accent3 17 2 2" xfId="5880"/>
    <cellStyle name="20% - Accent3 17 2 2 2" xfId="5881"/>
    <cellStyle name="20% - Accent3 17 2 20" xfId="5882"/>
    <cellStyle name="20% - Accent3 17 2 21" xfId="5883"/>
    <cellStyle name="20% - Accent3 17 2 22" xfId="5884"/>
    <cellStyle name="20% - Accent3 17 2 23" xfId="5885"/>
    <cellStyle name="20% - Accent3 17 2 24" xfId="5886"/>
    <cellStyle name="20% - Accent3 17 2 25" xfId="5887"/>
    <cellStyle name="20% - Accent3 17 2 26" xfId="5888"/>
    <cellStyle name="20% - Accent3 17 2 27" xfId="5889"/>
    <cellStyle name="20% - Accent3 17 2 28" xfId="5890"/>
    <cellStyle name="20% - Accent3 17 2 29" xfId="5891"/>
    <cellStyle name="20% - Accent3 17 2 3" xfId="5892"/>
    <cellStyle name="20% - Accent3 17 2 30" xfId="5893"/>
    <cellStyle name="20% - Accent3 17 2 31" xfId="5894"/>
    <cellStyle name="20% - Accent3 17 2 32" xfId="5895"/>
    <cellStyle name="20% - Accent3 17 2 33" xfId="5896"/>
    <cellStyle name="20% - Accent3 17 2 34" xfId="5897"/>
    <cellStyle name="20% - Accent3 17 2 35" xfId="5898"/>
    <cellStyle name="20% - Accent3 17 2 36" xfId="5899"/>
    <cellStyle name="20% - Accent3 17 2 37" xfId="5900"/>
    <cellStyle name="20% - Accent3 17 2 38" xfId="5901"/>
    <cellStyle name="20% - Accent3 17 2 39" xfId="5902"/>
    <cellStyle name="20% - Accent3 17 2 4" xfId="5903"/>
    <cellStyle name="20% - Accent3 17 2 40" xfId="5904"/>
    <cellStyle name="20% - Accent3 17 2 41" xfId="5905"/>
    <cellStyle name="20% - Accent3 17 2 42" xfId="5906"/>
    <cellStyle name="20% - Accent3 17 2 43" xfId="5907"/>
    <cellStyle name="20% - Accent3 17 2 44" xfId="5908"/>
    <cellStyle name="20% - Accent3 17 2 45" xfId="5909"/>
    <cellStyle name="20% - Accent3 17 2 46" xfId="5910"/>
    <cellStyle name="20% - Accent3 17 2 47" xfId="5911"/>
    <cellStyle name="20% - Accent3 17 2 48" xfId="5912"/>
    <cellStyle name="20% - Accent3 17 2 49" xfId="5913"/>
    <cellStyle name="20% - Accent3 17 2 5" xfId="5914"/>
    <cellStyle name="20% - Accent3 17 2 50" xfId="5915"/>
    <cellStyle name="20% - Accent3 17 2 51" xfId="5916"/>
    <cellStyle name="20% - Accent3 17 2 52" xfId="5917"/>
    <cellStyle name="20% - Accent3 17 2 53" xfId="5918"/>
    <cellStyle name="20% - Accent3 17 2 54" xfId="5919"/>
    <cellStyle name="20% - Accent3 17 2 55" xfId="5920"/>
    <cellStyle name="20% - Accent3 17 2 6" xfId="5921"/>
    <cellStyle name="20% - Accent3 17 2 7" xfId="5922"/>
    <cellStyle name="20% - Accent3 17 2 8" xfId="5923"/>
    <cellStyle name="20% - Accent3 17 2 9" xfId="5924"/>
    <cellStyle name="20% - Accent3 17 3" xfId="5925"/>
    <cellStyle name="20% - Accent3 17 3 10" xfId="5926"/>
    <cellStyle name="20% - Accent3 17 3 11" xfId="5927"/>
    <cellStyle name="20% - Accent3 17 3 12" xfId="5928"/>
    <cellStyle name="20% - Accent3 17 3 13" xfId="5929"/>
    <cellStyle name="20% - Accent3 17 3 14" xfId="5930"/>
    <cellStyle name="20% - Accent3 17 3 15" xfId="5931"/>
    <cellStyle name="20% - Accent3 17 3 16" xfId="5932"/>
    <cellStyle name="20% - Accent3 17 3 17" xfId="5933"/>
    <cellStyle name="20% - Accent3 17 3 18" xfId="5934"/>
    <cellStyle name="20% - Accent3 17 3 19" xfId="5935"/>
    <cellStyle name="20% - Accent3 17 3 2" xfId="5936"/>
    <cellStyle name="20% - Accent3 17 3 2 2" xfId="5937"/>
    <cellStyle name="20% - Accent3 17 3 20" xfId="5938"/>
    <cellStyle name="20% - Accent3 17 3 21" xfId="5939"/>
    <cellStyle name="20% - Accent3 17 3 22" xfId="5940"/>
    <cellStyle name="20% - Accent3 17 3 23" xfId="5941"/>
    <cellStyle name="20% - Accent3 17 3 24" xfId="5942"/>
    <cellStyle name="20% - Accent3 17 3 25" xfId="5943"/>
    <cellStyle name="20% - Accent3 17 3 26" xfId="5944"/>
    <cellStyle name="20% - Accent3 17 3 27" xfId="5945"/>
    <cellStyle name="20% - Accent3 17 3 28" xfId="5946"/>
    <cellStyle name="20% - Accent3 17 3 29" xfId="5947"/>
    <cellStyle name="20% - Accent3 17 3 3" xfId="5948"/>
    <cellStyle name="20% - Accent3 17 3 30" xfId="5949"/>
    <cellStyle name="20% - Accent3 17 3 31" xfId="5950"/>
    <cellStyle name="20% - Accent3 17 3 32" xfId="5951"/>
    <cellStyle name="20% - Accent3 17 3 33" xfId="5952"/>
    <cellStyle name="20% - Accent3 17 3 34" xfId="5953"/>
    <cellStyle name="20% - Accent3 17 3 35" xfId="5954"/>
    <cellStyle name="20% - Accent3 17 3 36" xfId="5955"/>
    <cellStyle name="20% - Accent3 17 3 37" xfId="5956"/>
    <cellStyle name="20% - Accent3 17 3 38" xfId="5957"/>
    <cellStyle name="20% - Accent3 17 3 39" xfId="5958"/>
    <cellStyle name="20% - Accent3 17 3 4" xfId="5959"/>
    <cellStyle name="20% - Accent3 17 3 40" xfId="5960"/>
    <cellStyle name="20% - Accent3 17 3 41" xfId="5961"/>
    <cellStyle name="20% - Accent3 17 3 42" xfId="5962"/>
    <cellStyle name="20% - Accent3 17 3 43" xfId="5963"/>
    <cellStyle name="20% - Accent3 17 3 44" xfId="5964"/>
    <cellStyle name="20% - Accent3 17 3 45" xfId="5965"/>
    <cellStyle name="20% - Accent3 17 3 46" xfId="5966"/>
    <cellStyle name="20% - Accent3 17 3 47" xfId="5967"/>
    <cellStyle name="20% - Accent3 17 3 48" xfId="5968"/>
    <cellStyle name="20% - Accent3 17 3 49" xfId="5969"/>
    <cellStyle name="20% - Accent3 17 3 5" xfId="5970"/>
    <cellStyle name="20% - Accent3 17 3 50" xfId="5971"/>
    <cellStyle name="20% - Accent3 17 3 51" xfId="5972"/>
    <cellStyle name="20% - Accent3 17 3 52" xfId="5973"/>
    <cellStyle name="20% - Accent3 17 3 53" xfId="5974"/>
    <cellStyle name="20% - Accent3 17 3 54" xfId="5975"/>
    <cellStyle name="20% - Accent3 17 3 55" xfId="5976"/>
    <cellStyle name="20% - Accent3 17 3 6" xfId="5977"/>
    <cellStyle name="20% - Accent3 17 3 7" xfId="5978"/>
    <cellStyle name="20% - Accent3 17 3 8" xfId="5979"/>
    <cellStyle name="20% - Accent3 17 3 9" xfId="5980"/>
    <cellStyle name="20% - Accent3 18" xfId="5981"/>
    <cellStyle name="20% - Accent3 18 2" xfId="5982"/>
    <cellStyle name="20% - Accent3 18 2 10" xfId="5983"/>
    <cellStyle name="20% - Accent3 18 2 11" xfId="5984"/>
    <cellStyle name="20% - Accent3 18 2 12" xfId="5985"/>
    <cellStyle name="20% - Accent3 18 2 13" xfId="5986"/>
    <cellStyle name="20% - Accent3 18 2 14" xfId="5987"/>
    <cellStyle name="20% - Accent3 18 2 15" xfId="5988"/>
    <cellStyle name="20% - Accent3 18 2 16" xfId="5989"/>
    <cellStyle name="20% - Accent3 18 2 17" xfId="5990"/>
    <cellStyle name="20% - Accent3 18 2 18" xfId="5991"/>
    <cellStyle name="20% - Accent3 18 2 19" xfId="5992"/>
    <cellStyle name="20% - Accent3 18 2 2" xfId="5993"/>
    <cellStyle name="20% - Accent3 18 2 2 2" xfId="5994"/>
    <cellStyle name="20% - Accent3 18 2 20" xfId="5995"/>
    <cellStyle name="20% - Accent3 18 2 21" xfId="5996"/>
    <cellStyle name="20% - Accent3 18 2 22" xfId="5997"/>
    <cellStyle name="20% - Accent3 18 2 23" xfId="5998"/>
    <cellStyle name="20% - Accent3 18 2 24" xfId="5999"/>
    <cellStyle name="20% - Accent3 18 2 25" xfId="6000"/>
    <cellStyle name="20% - Accent3 18 2 26" xfId="6001"/>
    <cellStyle name="20% - Accent3 18 2 27" xfId="6002"/>
    <cellStyle name="20% - Accent3 18 2 28" xfId="6003"/>
    <cellStyle name="20% - Accent3 18 2 29" xfId="6004"/>
    <cellStyle name="20% - Accent3 18 2 3" xfId="6005"/>
    <cellStyle name="20% - Accent3 18 2 30" xfId="6006"/>
    <cellStyle name="20% - Accent3 18 2 31" xfId="6007"/>
    <cellStyle name="20% - Accent3 18 2 32" xfId="6008"/>
    <cellStyle name="20% - Accent3 18 2 33" xfId="6009"/>
    <cellStyle name="20% - Accent3 18 2 34" xfId="6010"/>
    <cellStyle name="20% - Accent3 18 2 35" xfId="6011"/>
    <cellStyle name="20% - Accent3 18 2 36" xfId="6012"/>
    <cellStyle name="20% - Accent3 18 2 37" xfId="6013"/>
    <cellStyle name="20% - Accent3 18 2 38" xfId="6014"/>
    <cellStyle name="20% - Accent3 18 2 39" xfId="6015"/>
    <cellStyle name="20% - Accent3 18 2 4" xfId="6016"/>
    <cellStyle name="20% - Accent3 18 2 40" xfId="6017"/>
    <cellStyle name="20% - Accent3 18 2 41" xfId="6018"/>
    <cellStyle name="20% - Accent3 18 2 42" xfId="6019"/>
    <cellStyle name="20% - Accent3 18 2 43" xfId="6020"/>
    <cellStyle name="20% - Accent3 18 2 44" xfId="6021"/>
    <cellStyle name="20% - Accent3 18 2 45" xfId="6022"/>
    <cellStyle name="20% - Accent3 18 2 46" xfId="6023"/>
    <cellStyle name="20% - Accent3 18 2 47" xfId="6024"/>
    <cellStyle name="20% - Accent3 18 2 48" xfId="6025"/>
    <cellStyle name="20% - Accent3 18 2 49" xfId="6026"/>
    <cellStyle name="20% - Accent3 18 2 5" xfId="6027"/>
    <cellStyle name="20% - Accent3 18 2 50" xfId="6028"/>
    <cellStyle name="20% - Accent3 18 2 51" xfId="6029"/>
    <cellStyle name="20% - Accent3 18 2 52" xfId="6030"/>
    <cellStyle name="20% - Accent3 18 2 53" xfId="6031"/>
    <cellStyle name="20% - Accent3 18 2 54" xfId="6032"/>
    <cellStyle name="20% - Accent3 18 2 55" xfId="6033"/>
    <cellStyle name="20% - Accent3 18 2 6" xfId="6034"/>
    <cellStyle name="20% - Accent3 18 2 7" xfId="6035"/>
    <cellStyle name="20% - Accent3 18 2 8" xfId="6036"/>
    <cellStyle name="20% - Accent3 18 2 9" xfId="6037"/>
    <cellStyle name="20% - Accent3 18 3" xfId="6038"/>
    <cellStyle name="20% - Accent3 18 3 10" xfId="6039"/>
    <cellStyle name="20% - Accent3 18 3 11" xfId="6040"/>
    <cellStyle name="20% - Accent3 18 3 12" xfId="6041"/>
    <cellStyle name="20% - Accent3 18 3 13" xfId="6042"/>
    <cellStyle name="20% - Accent3 18 3 14" xfId="6043"/>
    <cellStyle name="20% - Accent3 18 3 15" xfId="6044"/>
    <cellStyle name="20% - Accent3 18 3 16" xfId="6045"/>
    <cellStyle name="20% - Accent3 18 3 17" xfId="6046"/>
    <cellStyle name="20% - Accent3 18 3 18" xfId="6047"/>
    <cellStyle name="20% - Accent3 18 3 19" xfId="6048"/>
    <cellStyle name="20% - Accent3 18 3 2" xfId="6049"/>
    <cellStyle name="20% - Accent3 18 3 2 2" xfId="6050"/>
    <cellStyle name="20% - Accent3 18 3 20" xfId="6051"/>
    <cellStyle name="20% - Accent3 18 3 21" xfId="6052"/>
    <cellStyle name="20% - Accent3 18 3 22" xfId="6053"/>
    <cellStyle name="20% - Accent3 18 3 23" xfId="6054"/>
    <cellStyle name="20% - Accent3 18 3 24" xfId="6055"/>
    <cellStyle name="20% - Accent3 18 3 25" xfId="6056"/>
    <cellStyle name="20% - Accent3 18 3 26" xfId="6057"/>
    <cellStyle name="20% - Accent3 18 3 27" xfId="6058"/>
    <cellStyle name="20% - Accent3 18 3 28" xfId="6059"/>
    <cellStyle name="20% - Accent3 18 3 29" xfId="6060"/>
    <cellStyle name="20% - Accent3 18 3 3" xfId="6061"/>
    <cellStyle name="20% - Accent3 18 3 30" xfId="6062"/>
    <cellStyle name="20% - Accent3 18 3 31" xfId="6063"/>
    <cellStyle name="20% - Accent3 18 3 32" xfId="6064"/>
    <cellStyle name="20% - Accent3 18 3 33" xfId="6065"/>
    <cellStyle name="20% - Accent3 18 3 34" xfId="6066"/>
    <cellStyle name="20% - Accent3 18 3 35" xfId="6067"/>
    <cellStyle name="20% - Accent3 18 3 36" xfId="6068"/>
    <cellStyle name="20% - Accent3 18 3 37" xfId="6069"/>
    <cellStyle name="20% - Accent3 18 3 38" xfId="6070"/>
    <cellStyle name="20% - Accent3 18 3 39" xfId="6071"/>
    <cellStyle name="20% - Accent3 18 3 4" xfId="6072"/>
    <cellStyle name="20% - Accent3 18 3 40" xfId="6073"/>
    <cellStyle name="20% - Accent3 18 3 41" xfId="6074"/>
    <cellStyle name="20% - Accent3 18 3 42" xfId="6075"/>
    <cellStyle name="20% - Accent3 18 3 43" xfId="6076"/>
    <cellStyle name="20% - Accent3 18 3 44" xfId="6077"/>
    <cellStyle name="20% - Accent3 18 3 45" xfId="6078"/>
    <cellStyle name="20% - Accent3 18 3 46" xfId="6079"/>
    <cellStyle name="20% - Accent3 18 3 47" xfId="6080"/>
    <cellStyle name="20% - Accent3 18 3 48" xfId="6081"/>
    <cellStyle name="20% - Accent3 18 3 49" xfId="6082"/>
    <cellStyle name="20% - Accent3 18 3 5" xfId="6083"/>
    <cellStyle name="20% - Accent3 18 3 50" xfId="6084"/>
    <cellStyle name="20% - Accent3 18 3 51" xfId="6085"/>
    <cellStyle name="20% - Accent3 18 3 52" xfId="6086"/>
    <cellStyle name="20% - Accent3 18 3 53" xfId="6087"/>
    <cellStyle name="20% - Accent3 18 3 54" xfId="6088"/>
    <cellStyle name="20% - Accent3 18 3 55" xfId="6089"/>
    <cellStyle name="20% - Accent3 18 3 6" xfId="6090"/>
    <cellStyle name="20% - Accent3 18 3 7" xfId="6091"/>
    <cellStyle name="20% - Accent3 18 3 8" xfId="6092"/>
    <cellStyle name="20% - Accent3 18 3 9" xfId="6093"/>
    <cellStyle name="20% - Accent3 19" xfId="6094"/>
    <cellStyle name="20% - Accent3 2" xfId="6095"/>
    <cellStyle name="20% - Accent3 2 2" xfId="6096"/>
    <cellStyle name="20% - Accent3 2 2 2" xfId="6097"/>
    <cellStyle name="20% - Accent3 2 2 2 10" xfId="6098"/>
    <cellStyle name="20% - Accent3 2 2 2 11" xfId="6099"/>
    <cellStyle name="20% - Accent3 2 2 2 12" xfId="6100"/>
    <cellStyle name="20% - Accent3 2 2 2 13" xfId="6101"/>
    <cellStyle name="20% - Accent3 2 2 2 14" xfId="6102"/>
    <cellStyle name="20% - Accent3 2 2 2 15" xfId="6103"/>
    <cellStyle name="20% - Accent3 2 2 2 16" xfId="6104"/>
    <cellStyle name="20% - Accent3 2 2 2 17" xfId="6105"/>
    <cellStyle name="20% - Accent3 2 2 2 18" xfId="6106"/>
    <cellStyle name="20% - Accent3 2 2 2 19" xfId="6107"/>
    <cellStyle name="20% - Accent3 2 2 2 2" xfId="6108"/>
    <cellStyle name="20% - Accent3 2 2 2 2 2" xfId="6109"/>
    <cellStyle name="20% - Accent3 2 2 2 20" xfId="6110"/>
    <cellStyle name="20% - Accent3 2 2 2 21" xfId="6111"/>
    <cellStyle name="20% - Accent3 2 2 2 22" xfId="6112"/>
    <cellStyle name="20% - Accent3 2 2 2 23" xfId="6113"/>
    <cellStyle name="20% - Accent3 2 2 2 24" xfId="6114"/>
    <cellStyle name="20% - Accent3 2 2 2 25" xfId="6115"/>
    <cellStyle name="20% - Accent3 2 2 2 26" xfId="6116"/>
    <cellStyle name="20% - Accent3 2 2 2 27" xfId="6117"/>
    <cellStyle name="20% - Accent3 2 2 2 28" xfId="6118"/>
    <cellStyle name="20% - Accent3 2 2 2 29" xfId="6119"/>
    <cellStyle name="20% - Accent3 2 2 2 3" xfId="6120"/>
    <cellStyle name="20% - Accent3 2 2 2 30" xfId="6121"/>
    <cellStyle name="20% - Accent3 2 2 2 31" xfId="6122"/>
    <cellStyle name="20% - Accent3 2 2 2 32" xfId="6123"/>
    <cellStyle name="20% - Accent3 2 2 2 33" xfId="6124"/>
    <cellStyle name="20% - Accent3 2 2 2 34" xfId="6125"/>
    <cellStyle name="20% - Accent3 2 2 2 35" xfId="6126"/>
    <cellStyle name="20% - Accent3 2 2 2 36" xfId="6127"/>
    <cellStyle name="20% - Accent3 2 2 2 37" xfId="6128"/>
    <cellStyle name="20% - Accent3 2 2 2 38" xfId="6129"/>
    <cellStyle name="20% - Accent3 2 2 2 39" xfId="6130"/>
    <cellStyle name="20% - Accent3 2 2 2 4" xfId="6131"/>
    <cellStyle name="20% - Accent3 2 2 2 40" xfId="6132"/>
    <cellStyle name="20% - Accent3 2 2 2 41" xfId="6133"/>
    <cellStyle name="20% - Accent3 2 2 2 42" xfId="6134"/>
    <cellStyle name="20% - Accent3 2 2 2 43" xfId="6135"/>
    <cellStyle name="20% - Accent3 2 2 2 44" xfId="6136"/>
    <cellStyle name="20% - Accent3 2 2 2 45" xfId="6137"/>
    <cellStyle name="20% - Accent3 2 2 2 46" xfId="6138"/>
    <cellStyle name="20% - Accent3 2 2 2 47" xfId="6139"/>
    <cellStyle name="20% - Accent3 2 2 2 48" xfId="6140"/>
    <cellStyle name="20% - Accent3 2 2 2 49" xfId="6141"/>
    <cellStyle name="20% - Accent3 2 2 2 5" xfId="6142"/>
    <cellStyle name="20% - Accent3 2 2 2 50" xfId="6143"/>
    <cellStyle name="20% - Accent3 2 2 2 51" xfId="6144"/>
    <cellStyle name="20% - Accent3 2 2 2 52" xfId="6145"/>
    <cellStyle name="20% - Accent3 2 2 2 53" xfId="6146"/>
    <cellStyle name="20% - Accent3 2 2 2 54" xfId="6147"/>
    <cellStyle name="20% - Accent3 2 2 2 55" xfId="6148"/>
    <cellStyle name="20% - Accent3 2 2 2 6" xfId="6149"/>
    <cellStyle name="20% - Accent3 2 2 2 7" xfId="6150"/>
    <cellStyle name="20% - Accent3 2 2 2 8" xfId="6151"/>
    <cellStyle name="20% - Accent3 2 2 2 9" xfId="6152"/>
    <cellStyle name="20% - Accent3 2 2 2_PM Okt 2014 Plan VS Actual Planning Workshop" xfId="6153"/>
    <cellStyle name="20% - Accent3 2 2 3" xfId="6154"/>
    <cellStyle name="20% - Accent3 2 2 3 10" xfId="6155"/>
    <cellStyle name="20% - Accent3 2 2 3 11" xfId="6156"/>
    <cellStyle name="20% - Accent3 2 2 3 12" xfId="6157"/>
    <cellStyle name="20% - Accent3 2 2 3 13" xfId="6158"/>
    <cellStyle name="20% - Accent3 2 2 3 14" xfId="6159"/>
    <cellStyle name="20% - Accent3 2 2 3 15" xfId="6160"/>
    <cellStyle name="20% - Accent3 2 2 3 16" xfId="6161"/>
    <cellStyle name="20% - Accent3 2 2 3 17" xfId="6162"/>
    <cellStyle name="20% - Accent3 2 2 3 18" xfId="6163"/>
    <cellStyle name="20% - Accent3 2 2 3 19" xfId="6164"/>
    <cellStyle name="20% - Accent3 2 2 3 2" xfId="6165"/>
    <cellStyle name="20% - Accent3 2 2 3 2 2" xfId="6166"/>
    <cellStyle name="20% - Accent3 2 2 3 20" xfId="6167"/>
    <cellStyle name="20% - Accent3 2 2 3 21" xfId="6168"/>
    <cellStyle name="20% - Accent3 2 2 3 22" xfId="6169"/>
    <cellStyle name="20% - Accent3 2 2 3 23" xfId="6170"/>
    <cellStyle name="20% - Accent3 2 2 3 24" xfId="6171"/>
    <cellStyle name="20% - Accent3 2 2 3 25" xfId="6172"/>
    <cellStyle name="20% - Accent3 2 2 3 26" xfId="6173"/>
    <cellStyle name="20% - Accent3 2 2 3 27" xfId="6174"/>
    <cellStyle name="20% - Accent3 2 2 3 28" xfId="6175"/>
    <cellStyle name="20% - Accent3 2 2 3 29" xfId="6176"/>
    <cellStyle name="20% - Accent3 2 2 3 3" xfId="6177"/>
    <cellStyle name="20% - Accent3 2 2 3 30" xfId="6178"/>
    <cellStyle name="20% - Accent3 2 2 3 31" xfId="6179"/>
    <cellStyle name="20% - Accent3 2 2 3 32" xfId="6180"/>
    <cellStyle name="20% - Accent3 2 2 3 33" xfId="6181"/>
    <cellStyle name="20% - Accent3 2 2 3 34" xfId="6182"/>
    <cellStyle name="20% - Accent3 2 2 3 35" xfId="6183"/>
    <cellStyle name="20% - Accent3 2 2 3 36" xfId="6184"/>
    <cellStyle name="20% - Accent3 2 2 3 37" xfId="6185"/>
    <cellStyle name="20% - Accent3 2 2 3 38" xfId="6186"/>
    <cellStyle name="20% - Accent3 2 2 3 39" xfId="6187"/>
    <cellStyle name="20% - Accent3 2 2 3 4" xfId="6188"/>
    <cellStyle name="20% - Accent3 2 2 3 40" xfId="6189"/>
    <cellStyle name="20% - Accent3 2 2 3 41" xfId="6190"/>
    <cellStyle name="20% - Accent3 2 2 3 42" xfId="6191"/>
    <cellStyle name="20% - Accent3 2 2 3 43" xfId="6192"/>
    <cellStyle name="20% - Accent3 2 2 3 44" xfId="6193"/>
    <cellStyle name="20% - Accent3 2 2 3 45" xfId="6194"/>
    <cellStyle name="20% - Accent3 2 2 3 46" xfId="6195"/>
    <cellStyle name="20% - Accent3 2 2 3 47" xfId="6196"/>
    <cellStyle name="20% - Accent3 2 2 3 48" xfId="6197"/>
    <cellStyle name="20% - Accent3 2 2 3 49" xfId="6198"/>
    <cellStyle name="20% - Accent3 2 2 3 5" xfId="6199"/>
    <cellStyle name="20% - Accent3 2 2 3 50" xfId="6200"/>
    <cellStyle name="20% - Accent3 2 2 3 51" xfId="6201"/>
    <cellStyle name="20% - Accent3 2 2 3 52" xfId="6202"/>
    <cellStyle name="20% - Accent3 2 2 3 53" xfId="6203"/>
    <cellStyle name="20% - Accent3 2 2 3 54" xfId="6204"/>
    <cellStyle name="20% - Accent3 2 2 3 55" xfId="6205"/>
    <cellStyle name="20% - Accent3 2 2 3 6" xfId="6206"/>
    <cellStyle name="20% - Accent3 2 2 3 7" xfId="6207"/>
    <cellStyle name="20% - Accent3 2 2 3 8" xfId="6208"/>
    <cellStyle name="20% - Accent3 2 2 3 9" xfId="6209"/>
    <cellStyle name="20% - Accent3 2 3" xfId="6210"/>
    <cellStyle name="20% - Accent3 2 3 10" xfId="6211"/>
    <cellStyle name="20% - Accent3 2 3 11" xfId="6212"/>
    <cellStyle name="20% - Accent3 2 3 12" xfId="6213"/>
    <cellStyle name="20% - Accent3 2 3 13" xfId="6214"/>
    <cellStyle name="20% - Accent3 2 3 14" xfId="6215"/>
    <cellStyle name="20% - Accent3 2 3 15" xfId="6216"/>
    <cellStyle name="20% - Accent3 2 3 16" xfId="6217"/>
    <cellStyle name="20% - Accent3 2 3 17" xfId="6218"/>
    <cellStyle name="20% - Accent3 2 3 18" xfId="6219"/>
    <cellStyle name="20% - Accent3 2 3 19" xfId="6220"/>
    <cellStyle name="20% - Accent3 2 3 2" xfId="6221"/>
    <cellStyle name="20% - Accent3 2 3 2 2" xfId="6222"/>
    <cellStyle name="20% - Accent3 2 3 2_PM Okt 2014 Plan VS Actual Planning Workshop" xfId="6223"/>
    <cellStyle name="20% - Accent3 2 3 20" xfId="6224"/>
    <cellStyle name="20% - Accent3 2 3 21" xfId="6225"/>
    <cellStyle name="20% - Accent3 2 3 22" xfId="6226"/>
    <cellStyle name="20% - Accent3 2 3 23" xfId="6227"/>
    <cellStyle name="20% - Accent3 2 3 24" xfId="6228"/>
    <cellStyle name="20% - Accent3 2 3 25" xfId="6229"/>
    <cellStyle name="20% - Accent3 2 3 26" xfId="6230"/>
    <cellStyle name="20% - Accent3 2 3 27" xfId="6231"/>
    <cellStyle name="20% - Accent3 2 3 28" xfId="6232"/>
    <cellStyle name="20% - Accent3 2 3 29" xfId="6233"/>
    <cellStyle name="20% - Accent3 2 3 3" xfId="6234"/>
    <cellStyle name="20% - Accent3 2 3 30" xfId="6235"/>
    <cellStyle name="20% - Accent3 2 3 31" xfId="6236"/>
    <cellStyle name="20% - Accent3 2 3 32" xfId="6237"/>
    <cellStyle name="20% - Accent3 2 3 33" xfId="6238"/>
    <cellStyle name="20% - Accent3 2 3 34" xfId="6239"/>
    <cellStyle name="20% - Accent3 2 3 35" xfId="6240"/>
    <cellStyle name="20% - Accent3 2 3 36" xfId="6241"/>
    <cellStyle name="20% - Accent3 2 3 37" xfId="6242"/>
    <cellStyle name="20% - Accent3 2 3 38" xfId="6243"/>
    <cellStyle name="20% - Accent3 2 3 39" xfId="6244"/>
    <cellStyle name="20% - Accent3 2 3 4" xfId="6245"/>
    <cellStyle name="20% - Accent3 2 3 40" xfId="6246"/>
    <cellStyle name="20% - Accent3 2 3 41" xfId="6247"/>
    <cellStyle name="20% - Accent3 2 3 42" xfId="6248"/>
    <cellStyle name="20% - Accent3 2 3 43" xfId="6249"/>
    <cellStyle name="20% - Accent3 2 3 44" xfId="6250"/>
    <cellStyle name="20% - Accent3 2 3 45" xfId="6251"/>
    <cellStyle name="20% - Accent3 2 3 46" xfId="6252"/>
    <cellStyle name="20% - Accent3 2 3 47" xfId="6253"/>
    <cellStyle name="20% - Accent3 2 3 48" xfId="6254"/>
    <cellStyle name="20% - Accent3 2 3 49" xfId="6255"/>
    <cellStyle name="20% - Accent3 2 3 5" xfId="6256"/>
    <cellStyle name="20% - Accent3 2 3 50" xfId="6257"/>
    <cellStyle name="20% - Accent3 2 3 51" xfId="6258"/>
    <cellStyle name="20% - Accent3 2 3 52" xfId="6259"/>
    <cellStyle name="20% - Accent3 2 3 53" xfId="6260"/>
    <cellStyle name="20% - Accent3 2 3 54" xfId="6261"/>
    <cellStyle name="20% - Accent3 2 3 55" xfId="6262"/>
    <cellStyle name="20% - Accent3 2 3 6" xfId="6263"/>
    <cellStyle name="20% - Accent3 2 3 7" xfId="6264"/>
    <cellStyle name="20% - Accent3 2 3 8" xfId="6265"/>
    <cellStyle name="20% - Accent3 2 3 9" xfId="6266"/>
    <cellStyle name="20% - Accent3 2 4" xfId="6267"/>
    <cellStyle name="20% - Accent3 2 4 2" xfId="6268"/>
    <cellStyle name="20% - Accent3 2 5" xfId="6269"/>
    <cellStyle name="20% - Accent3 2_Asset monitoring board" xfId="6270"/>
    <cellStyle name="20% - Accent3 3" xfId="6271"/>
    <cellStyle name="20% - Accent3 3 2" xfId="6272"/>
    <cellStyle name="20% - Accent3 3 2 10" xfId="6273"/>
    <cellStyle name="20% - Accent3 3 2 11" xfId="6274"/>
    <cellStyle name="20% - Accent3 3 2 12" xfId="6275"/>
    <cellStyle name="20% - Accent3 3 2 13" xfId="6276"/>
    <cellStyle name="20% - Accent3 3 2 14" xfId="6277"/>
    <cellStyle name="20% - Accent3 3 2 15" xfId="6278"/>
    <cellStyle name="20% - Accent3 3 2 16" xfId="6279"/>
    <cellStyle name="20% - Accent3 3 2 17" xfId="6280"/>
    <cellStyle name="20% - Accent3 3 2 18" xfId="6281"/>
    <cellStyle name="20% - Accent3 3 2 19" xfId="6282"/>
    <cellStyle name="20% - Accent3 3 2 2" xfId="6283"/>
    <cellStyle name="20% - Accent3 3 2 2 2" xfId="6284"/>
    <cellStyle name="20% - Accent3 3 2 20" xfId="6285"/>
    <cellStyle name="20% - Accent3 3 2 21" xfId="6286"/>
    <cellStyle name="20% - Accent3 3 2 22" xfId="6287"/>
    <cellStyle name="20% - Accent3 3 2 23" xfId="6288"/>
    <cellStyle name="20% - Accent3 3 2 24" xfId="6289"/>
    <cellStyle name="20% - Accent3 3 2 25" xfId="6290"/>
    <cellStyle name="20% - Accent3 3 2 26" xfId="6291"/>
    <cellStyle name="20% - Accent3 3 2 27" xfId="6292"/>
    <cellStyle name="20% - Accent3 3 2 28" xfId="6293"/>
    <cellStyle name="20% - Accent3 3 2 29" xfId="6294"/>
    <cellStyle name="20% - Accent3 3 2 3" xfId="6295"/>
    <cellStyle name="20% - Accent3 3 2 30" xfId="6296"/>
    <cellStyle name="20% - Accent3 3 2 31" xfId="6297"/>
    <cellStyle name="20% - Accent3 3 2 32" xfId="6298"/>
    <cellStyle name="20% - Accent3 3 2 33" xfId="6299"/>
    <cellStyle name="20% - Accent3 3 2 34" xfId="6300"/>
    <cellStyle name="20% - Accent3 3 2 35" xfId="6301"/>
    <cellStyle name="20% - Accent3 3 2 36" xfId="6302"/>
    <cellStyle name="20% - Accent3 3 2 37" xfId="6303"/>
    <cellStyle name="20% - Accent3 3 2 38" xfId="6304"/>
    <cellStyle name="20% - Accent3 3 2 39" xfId="6305"/>
    <cellStyle name="20% - Accent3 3 2 4" xfId="6306"/>
    <cellStyle name="20% - Accent3 3 2 40" xfId="6307"/>
    <cellStyle name="20% - Accent3 3 2 41" xfId="6308"/>
    <cellStyle name="20% - Accent3 3 2 42" xfId="6309"/>
    <cellStyle name="20% - Accent3 3 2 43" xfId="6310"/>
    <cellStyle name="20% - Accent3 3 2 44" xfId="6311"/>
    <cellStyle name="20% - Accent3 3 2 45" xfId="6312"/>
    <cellStyle name="20% - Accent3 3 2 46" xfId="6313"/>
    <cellStyle name="20% - Accent3 3 2 47" xfId="6314"/>
    <cellStyle name="20% - Accent3 3 2 48" xfId="6315"/>
    <cellStyle name="20% - Accent3 3 2 49" xfId="6316"/>
    <cellStyle name="20% - Accent3 3 2 5" xfId="6317"/>
    <cellStyle name="20% - Accent3 3 2 50" xfId="6318"/>
    <cellStyle name="20% - Accent3 3 2 51" xfId="6319"/>
    <cellStyle name="20% - Accent3 3 2 52" xfId="6320"/>
    <cellStyle name="20% - Accent3 3 2 53" xfId="6321"/>
    <cellStyle name="20% - Accent3 3 2 54" xfId="6322"/>
    <cellStyle name="20% - Accent3 3 2 55" xfId="6323"/>
    <cellStyle name="20% - Accent3 3 2 6" xfId="6324"/>
    <cellStyle name="20% - Accent3 3 2 7" xfId="6325"/>
    <cellStyle name="20% - Accent3 3 2 8" xfId="6326"/>
    <cellStyle name="20% - Accent3 3 2 9" xfId="6327"/>
    <cellStyle name="20% - Accent3 3 3" xfId="6328"/>
    <cellStyle name="20% - Accent3 3 3 10" xfId="6329"/>
    <cellStyle name="20% - Accent3 3 3 11" xfId="6330"/>
    <cellStyle name="20% - Accent3 3 3 12" xfId="6331"/>
    <cellStyle name="20% - Accent3 3 3 13" xfId="6332"/>
    <cellStyle name="20% - Accent3 3 3 14" xfId="6333"/>
    <cellStyle name="20% - Accent3 3 3 15" xfId="6334"/>
    <cellStyle name="20% - Accent3 3 3 16" xfId="6335"/>
    <cellStyle name="20% - Accent3 3 3 17" xfId="6336"/>
    <cellStyle name="20% - Accent3 3 3 18" xfId="6337"/>
    <cellStyle name="20% - Accent3 3 3 19" xfId="6338"/>
    <cellStyle name="20% - Accent3 3 3 2" xfId="6339"/>
    <cellStyle name="20% - Accent3 3 3 2 2" xfId="6340"/>
    <cellStyle name="20% - Accent3 3 3 20" xfId="6341"/>
    <cellStyle name="20% - Accent3 3 3 21" xfId="6342"/>
    <cellStyle name="20% - Accent3 3 3 22" xfId="6343"/>
    <cellStyle name="20% - Accent3 3 3 23" xfId="6344"/>
    <cellStyle name="20% - Accent3 3 3 24" xfId="6345"/>
    <cellStyle name="20% - Accent3 3 3 25" xfId="6346"/>
    <cellStyle name="20% - Accent3 3 3 26" xfId="6347"/>
    <cellStyle name="20% - Accent3 3 3 27" xfId="6348"/>
    <cellStyle name="20% - Accent3 3 3 28" xfId="6349"/>
    <cellStyle name="20% - Accent3 3 3 29" xfId="6350"/>
    <cellStyle name="20% - Accent3 3 3 3" xfId="6351"/>
    <cellStyle name="20% - Accent3 3 3 30" xfId="6352"/>
    <cellStyle name="20% - Accent3 3 3 31" xfId="6353"/>
    <cellStyle name="20% - Accent3 3 3 32" xfId="6354"/>
    <cellStyle name="20% - Accent3 3 3 33" xfId="6355"/>
    <cellStyle name="20% - Accent3 3 3 34" xfId="6356"/>
    <cellStyle name="20% - Accent3 3 3 35" xfId="6357"/>
    <cellStyle name="20% - Accent3 3 3 36" xfId="6358"/>
    <cellStyle name="20% - Accent3 3 3 37" xfId="6359"/>
    <cellStyle name="20% - Accent3 3 3 38" xfId="6360"/>
    <cellStyle name="20% - Accent3 3 3 39" xfId="6361"/>
    <cellStyle name="20% - Accent3 3 3 4" xfId="6362"/>
    <cellStyle name="20% - Accent3 3 3 40" xfId="6363"/>
    <cellStyle name="20% - Accent3 3 3 41" xfId="6364"/>
    <cellStyle name="20% - Accent3 3 3 42" xfId="6365"/>
    <cellStyle name="20% - Accent3 3 3 43" xfId="6366"/>
    <cellStyle name="20% - Accent3 3 3 44" xfId="6367"/>
    <cellStyle name="20% - Accent3 3 3 45" xfId="6368"/>
    <cellStyle name="20% - Accent3 3 3 46" xfId="6369"/>
    <cellStyle name="20% - Accent3 3 3 47" xfId="6370"/>
    <cellStyle name="20% - Accent3 3 3 48" xfId="6371"/>
    <cellStyle name="20% - Accent3 3 3 49" xfId="6372"/>
    <cellStyle name="20% - Accent3 3 3 5" xfId="6373"/>
    <cellStyle name="20% - Accent3 3 3 50" xfId="6374"/>
    <cellStyle name="20% - Accent3 3 3 51" xfId="6375"/>
    <cellStyle name="20% - Accent3 3 3 52" xfId="6376"/>
    <cellStyle name="20% - Accent3 3 3 53" xfId="6377"/>
    <cellStyle name="20% - Accent3 3 3 54" xfId="6378"/>
    <cellStyle name="20% - Accent3 3 3 55" xfId="6379"/>
    <cellStyle name="20% - Accent3 3 3 6" xfId="6380"/>
    <cellStyle name="20% - Accent3 3 3 7" xfId="6381"/>
    <cellStyle name="20% - Accent3 3 3 8" xfId="6382"/>
    <cellStyle name="20% - Accent3 3 3 9" xfId="6383"/>
    <cellStyle name="20% - Accent3 4" xfId="6384"/>
    <cellStyle name="20% - Accent3 4 2" xfId="6385"/>
    <cellStyle name="20% - Accent3 4 2 10" xfId="6386"/>
    <cellStyle name="20% - Accent3 4 2 11" xfId="6387"/>
    <cellStyle name="20% - Accent3 4 2 12" xfId="6388"/>
    <cellStyle name="20% - Accent3 4 2 13" xfId="6389"/>
    <cellStyle name="20% - Accent3 4 2 14" xfId="6390"/>
    <cellStyle name="20% - Accent3 4 2 15" xfId="6391"/>
    <cellStyle name="20% - Accent3 4 2 16" xfId="6392"/>
    <cellStyle name="20% - Accent3 4 2 17" xfId="6393"/>
    <cellStyle name="20% - Accent3 4 2 18" xfId="6394"/>
    <cellStyle name="20% - Accent3 4 2 19" xfId="6395"/>
    <cellStyle name="20% - Accent3 4 2 2" xfId="6396"/>
    <cellStyle name="20% - Accent3 4 2 2 2" xfId="6397"/>
    <cellStyle name="20% - Accent3 4 2 20" xfId="6398"/>
    <cellStyle name="20% - Accent3 4 2 21" xfId="6399"/>
    <cellStyle name="20% - Accent3 4 2 22" xfId="6400"/>
    <cellStyle name="20% - Accent3 4 2 23" xfId="6401"/>
    <cellStyle name="20% - Accent3 4 2 24" xfId="6402"/>
    <cellStyle name="20% - Accent3 4 2 25" xfId="6403"/>
    <cellStyle name="20% - Accent3 4 2 26" xfId="6404"/>
    <cellStyle name="20% - Accent3 4 2 27" xfId="6405"/>
    <cellStyle name="20% - Accent3 4 2 28" xfId="6406"/>
    <cellStyle name="20% - Accent3 4 2 29" xfId="6407"/>
    <cellStyle name="20% - Accent3 4 2 3" xfId="6408"/>
    <cellStyle name="20% - Accent3 4 2 30" xfId="6409"/>
    <cellStyle name="20% - Accent3 4 2 31" xfId="6410"/>
    <cellStyle name="20% - Accent3 4 2 32" xfId="6411"/>
    <cellStyle name="20% - Accent3 4 2 33" xfId="6412"/>
    <cellStyle name="20% - Accent3 4 2 34" xfId="6413"/>
    <cellStyle name="20% - Accent3 4 2 35" xfId="6414"/>
    <cellStyle name="20% - Accent3 4 2 36" xfId="6415"/>
    <cellStyle name="20% - Accent3 4 2 37" xfId="6416"/>
    <cellStyle name="20% - Accent3 4 2 38" xfId="6417"/>
    <cellStyle name="20% - Accent3 4 2 39" xfId="6418"/>
    <cellStyle name="20% - Accent3 4 2 4" xfId="6419"/>
    <cellStyle name="20% - Accent3 4 2 40" xfId="6420"/>
    <cellStyle name="20% - Accent3 4 2 41" xfId="6421"/>
    <cellStyle name="20% - Accent3 4 2 42" xfId="6422"/>
    <cellStyle name="20% - Accent3 4 2 43" xfId="6423"/>
    <cellStyle name="20% - Accent3 4 2 44" xfId="6424"/>
    <cellStyle name="20% - Accent3 4 2 45" xfId="6425"/>
    <cellStyle name="20% - Accent3 4 2 46" xfId="6426"/>
    <cellStyle name="20% - Accent3 4 2 47" xfId="6427"/>
    <cellStyle name="20% - Accent3 4 2 48" xfId="6428"/>
    <cellStyle name="20% - Accent3 4 2 49" xfId="6429"/>
    <cellStyle name="20% - Accent3 4 2 5" xfId="6430"/>
    <cellStyle name="20% - Accent3 4 2 50" xfId="6431"/>
    <cellStyle name="20% - Accent3 4 2 51" xfId="6432"/>
    <cellStyle name="20% - Accent3 4 2 52" xfId="6433"/>
    <cellStyle name="20% - Accent3 4 2 53" xfId="6434"/>
    <cellStyle name="20% - Accent3 4 2 54" xfId="6435"/>
    <cellStyle name="20% - Accent3 4 2 55" xfId="6436"/>
    <cellStyle name="20% - Accent3 4 2 6" xfId="6437"/>
    <cellStyle name="20% - Accent3 4 2 7" xfId="6438"/>
    <cellStyle name="20% - Accent3 4 2 8" xfId="6439"/>
    <cellStyle name="20% - Accent3 4 2 9" xfId="6440"/>
    <cellStyle name="20% - Accent3 4 3" xfId="6441"/>
    <cellStyle name="20% - Accent3 4 3 10" xfId="6442"/>
    <cellStyle name="20% - Accent3 4 3 11" xfId="6443"/>
    <cellStyle name="20% - Accent3 4 3 12" xfId="6444"/>
    <cellStyle name="20% - Accent3 4 3 13" xfId="6445"/>
    <cellStyle name="20% - Accent3 4 3 14" xfId="6446"/>
    <cellStyle name="20% - Accent3 4 3 15" xfId="6447"/>
    <cellStyle name="20% - Accent3 4 3 16" xfId="6448"/>
    <cellStyle name="20% - Accent3 4 3 17" xfId="6449"/>
    <cellStyle name="20% - Accent3 4 3 18" xfId="6450"/>
    <cellStyle name="20% - Accent3 4 3 19" xfId="6451"/>
    <cellStyle name="20% - Accent3 4 3 2" xfId="6452"/>
    <cellStyle name="20% - Accent3 4 3 2 2" xfId="6453"/>
    <cellStyle name="20% - Accent3 4 3 20" xfId="6454"/>
    <cellStyle name="20% - Accent3 4 3 21" xfId="6455"/>
    <cellStyle name="20% - Accent3 4 3 22" xfId="6456"/>
    <cellStyle name="20% - Accent3 4 3 23" xfId="6457"/>
    <cellStyle name="20% - Accent3 4 3 24" xfId="6458"/>
    <cellStyle name="20% - Accent3 4 3 25" xfId="6459"/>
    <cellStyle name="20% - Accent3 4 3 26" xfId="6460"/>
    <cellStyle name="20% - Accent3 4 3 27" xfId="6461"/>
    <cellStyle name="20% - Accent3 4 3 28" xfId="6462"/>
    <cellStyle name="20% - Accent3 4 3 29" xfId="6463"/>
    <cellStyle name="20% - Accent3 4 3 3" xfId="6464"/>
    <cellStyle name="20% - Accent3 4 3 30" xfId="6465"/>
    <cellStyle name="20% - Accent3 4 3 31" xfId="6466"/>
    <cellStyle name="20% - Accent3 4 3 32" xfId="6467"/>
    <cellStyle name="20% - Accent3 4 3 33" xfId="6468"/>
    <cellStyle name="20% - Accent3 4 3 34" xfId="6469"/>
    <cellStyle name="20% - Accent3 4 3 35" xfId="6470"/>
    <cellStyle name="20% - Accent3 4 3 36" xfId="6471"/>
    <cellStyle name="20% - Accent3 4 3 37" xfId="6472"/>
    <cellStyle name="20% - Accent3 4 3 38" xfId="6473"/>
    <cellStyle name="20% - Accent3 4 3 39" xfId="6474"/>
    <cellStyle name="20% - Accent3 4 3 4" xfId="6475"/>
    <cellStyle name="20% - Accent3 4 3 40" xfId="6476"/>
    <cellStyle name="20% - Accent3 4 3 41" xfId="6477"/>
    <cellStyle name="20% - Accent3 4 3 42" xfId="6478"/>
    <cellStyle name="20% - Accent3 4 3 43" xfId="6479"/>
    <cellStyle name="20% - Accent3 4 3 44" xfId="6480"/>
    <cellStyle name="20% - Accent3 4 3 45" xfId="6481"/>
    <cellStyle name="20% - Accent3 4 3 46" xfId="6482"/>
    <cellStyle name="20% - Accent3 4 3 47" xfId="6483"/>
    <cellStyle name="20% - Accent3 4 3 48" xfId="6484"/>
    <cellStyle name="20% - Accent3 4 3 49" xfId="6485"/>
    <cellStyle name="20% - Accent3 4 3 5" xfId="6486"/>
    <cellStyle name="20% - Accent3 4 3 50" xfId="6487"/>
    <cellStyle name="20% - Accent3 4 3 51" xfId="6488"/>
    <cellStyle name="20% - Accent3 4 3 52" xfId="6489"/>
    <cellStyle name="20% - Accent3 4 3 53" xfId="6490"/>
    <cellStyle name="20% - Accent3 4 3 54" xfId="6491"/>
    <cellStyle name="20% - Accent3 4 3 55" xfId="6492"/>
    <cellStyle name="20% - Accent3 4 3 6" xfId="6493"/>
    <cellStyle name="20% - Accent3 4 3 7" xfId="6494"/>
    <cellStyle name="20% - Accent3 4 3 8" xfId="6495"/>
    <cellStyle name="20% - Accent3 4 3 9" xfId="6496"/>
    <cellStyle name="20% - Accent3 4 4" xfId="58360"/>
    <cellStyle name="20% - Accent3 5" xfId="6497"/>
    <cellStyle name="20% - Accent3 5 2" xfId="6498"/>
    <cellStyle name="20% - Accent3 5 2 10" xfId="6499"/>
    <cellStyle name="20% - Accent3 5 2 11" xfId="6500"/>
    <cellStyle name="20% - Accent3 5 2 12" xfId="6501"/>
    <cellStyle name="20% - Accent3 5 2 13" xfId="6502"/>
    <cellStyle name="20% - Accent3 5 2 14" xfId="6503"/>
    <cellStyle name="20% - Accent3 5 2 15" xfId="6504"/>
    <cellStyle name="20% - Accent3 5 2 16" xfId="6505"/>
    <cellStyle name="20% - Accent3 5 2 17" xfId="6506"/>
    <cellStyle name="20% - Accent3 5 2 18" xfId="6507"/>
    <cellStyle name="20% - Accent3 5 2 19" xfId="6508"/>
    <cellStyle name="20% - Accent3 5 2 2" xfId="6509"/>
    <cellStyle name="20% - Accent3 5 2 2 2" xfId="6510"/>
    <cellStyle name="20% - Accent3 5 2 20" xfId="6511"/>
    <cellStyle name="20% - Accent3 5 2 21" xfId="6512"/>
    <cellStyle name="20% - Accent3 5 2 22" xfId="6513"/>
    <cellStyle name="20% - Accent3 5 2 23" xfId="6514"/>
    <cellStyle name="20% - Accent3 5 2 24" xfId="6515"/>
    <cellStyle name="20% - Accent3 5 2 25" xfId="6516"/>
    <cellStyle name="20% - Accent3 5 2 26" xfId="6517"/>
    <cellStyle name="20% - Accent3 5 2 27" xfId="6518"/>
    <cellStyle name="20% - Accent3 5 2 28" xfId="6519"/>
    <cellStyle name="20% - Accent3 5 2 29" xfId="6520"/>
    <cellStyle name="20% - Accent3 5 2 3" xfId="6521"/>
    <cellStyle name="20% - Accent3 5 2 30" xfId="6522"/>
    <cellStyle name="20% - Accent3 5 2 31" xfId="6523"/>
    <cellStyle name="20% - Accent3 5 2 32" xfId="6524"/>
    <cellStyle name="20% - Accent3 5 2 33" xfId="6525"/>
    <cellStyle name="20% - Accent3 5 2 34" xfId="6526"/>
    <cellStyle name="20% - Accent3 5 2 35" xfId="6527"/>
    <cellStyle name="20% - Accent3 5 2 36" xfId="6528"/>
    <cellStyle name="20% - Accent3 5 2 37" xfId="6529"/>
    <cellStyle name="20% - Accent3 5 2 38" xfId="6530"/>
    <cellStyle name="20% - Accent3 5 2 39" xfId="6531"/>
    <cellStyle name="20% - Accent3 5 2 4" xfId="6532"/>
    <cellStyle name="20% - Accent3 5 2 40" xfId="6533"/>
    <cellStyle name="20% - Accent3 5 2 41" xfId="6534"/>
    <cellStyle name="20% - Accent3 5 2 42" xfId="6535"/>
    <cellStyle name="20% - Accent3 5 2 43" xfId="6536"/>
    <cellStyle name="20% - Accent3 5 2 44" xfId="6537"/>
    <cellStyle name="20% - Accent3 5 2 45" xfId="6538"/>
    <cellStyle name="20% - Accent3 5 2 46" xfId="6539"/>
    <cellStyle name="20% - Accent3 5 2 47" xfId="6540"/>
    <cellStyle name="20% - Accent3 5 2 48" xfId="6541"/>
    <cellStyle name="20% - Accent3 5 2 49" xfId="6542"/>
    <cellStyle name="20% - Accent3 5 2 5" xfId="6543"/>
    <cellStyle name="20% - Accent3 5 2 50" xfId="6544"/>
    <cellStyle name="20% - Accent3 5 2 51" xfId="6545"/>
    <cellStyle name="20% - Accent3 5 2 52" xfId="6546"/>
    <cellStyle name="20% - Accent3 5 2 53" xfId="6547"/>
    <cellStyle name="20% - Accent3 5 2 54" xfId="6548"/>
    <cellStyle name="20% - Accent3 5 2 55" xfId="6549"/>
    <cellStyle name="20% - Accent3 5 2 6" xfId="6550"/>
    <cellStyle name="20% - Accent3 5 2 7" xfId="6551"/>
    <cellStyle name="20% - Accent3 5 2 8" xfId="6552"/>
    <cellStyle name="20% - Accent3 5 2 9" xfId="6553"/>
    <cellStyle name="20% - Accent3 5 3" xfId="6554"/>
    <cellStyle name="20% - Accent3 5 3 10" xfId="6555"/>
    <cellStyle name="20% - Accent3 5 3 11" xfId="6556"/>
    <cellStyle name="20% - Accent3 5 3 12" xfId="6557"/>
    <cellStyle name="20% - Accent3 5 3 13" xfId="6558"/>
    <cellStyle name="20% - Accent3 5 3 14" xfId="6559"/>
    <cellStyle name="20% - Accent3 5 3 15" xfId="6560"/>
    <cellStyle name="20% - Accent3 5 3 16" xfId="6561"/>
    <cellStyle name="20% - Accent3 5 3 17" xfId="6562"/>
    <cellStyle name="20% - Accent3 5 3 18" xfId="6563"/>
    <cellStyle name="20% - Accent3 5 3 19" xfId="6564"/>
    <cellStyle name="20% - Accent3 5 3 2" xfId="6565"/>
    <cellStyle name="20% - Accent3 5 3 2 2" xfId="6566"/>
    <cellStyle name="20% - Accent3 5 3 20" xfId="6567"/>
    <cellStyle name="20% - Accent3 5 3 21" xfId="6568"/>
    <cellStyle name="20% - Accent3 5 3 22" xfId="6569"/>
    <cellStyle name="20% - Accent3 5 3 23" xfId="6570"/>
    <cellStyle name="20% - Accent3 5 3 24" xfId="6571"/>
    <cellStyle name="20% - Accent3 5 3 25" xfId="6572"/>
    <cellStyle name="20% - Accent3 5 3 26" xfId="6573"/>
    <cellStyle name="20% - Accent3 5 3 27" xfId="6574"/>
    <cellStyle name="20% - Accent3 5 3 28" xfId="6575"/>
    <cellStyle name="20% - Accent3 5 3 29" xfId="6576"/>
    <cellStyle name="20% - Accent3 5 3 3" xfId="6577"/>
    <cellStyle name="20% - Accent3 5 3 30" xfId="6578"/>
    <cellStyle name="20% - Accent3 5 3 31" xfId="6579"/>
    <cellStyle name="20% - Accent3 5 3 32" xfId="6580"/>
    <cellStyle name="20% - Accent3 5 3 33" xfId="6581"/>
    <cellStyle name="20% - Accent3 5 3 34" xfId="6582"/>
    <cellStyle name="20% - Accent3 5 3 35" xfId="6583"/>
    <cellStyle name="20% - Accent3 5 3 36" xfId="6584"/>
    <cellStyle name="20% - Accent3 5 3 37" xfId="6585"/>
    <cellStyle name="20% - Accent3 5 3 38" xfId="6586"/>
    <cellStyle name="20% - Accent3 5 3 39" xfId="6587"/>
    <cellStyle name="20% - Accent3 5 3 4" xfId="6588"/>
    <cellStyle name="20% - Accent3 5 3 40" xfId="6589"/>
    <cellStyle name="20% - Accent3 5 3 41" xfId="6590"/>
    <cellStyle name="20% - Accent3 5 3 42" xfId="6591"/>
    <cellStyle name="20% - Accent3 5 3 43" xfId="6592"/>
    <cellStyle name="20% - Accent3 5 3 44" xfId="6593"/>
    <cellStyle name="20% - Accent3 5 3 45" xfId="6594"/>
    <cellStyle name="20% - Accent3 5 3 46" xfId="6595"/>
    <cellStyle name="20% - Accent3 5 3 47" xfId="6596"/>
    <cellStyle name="20% - Accent3 5 3 48" xfId="6597"/>
    <cellStyle name="20% - Accent3 5 3 49" xfId="6598"/>
    <cellStyle name="20% - Accent3 5 3 5" xfId="6599"/>
    <cellStyle name="20% - Accent3 5 3 50" xfId="6600"/>
    <cellStyle name="20% - Accent3 5 3 51" xfId="6601"/>
    <cellStyle name="20% - Accent3 5 3 52" xfId="6602"/>
    <cellStyle name="20% - Accent3 5 3 53" xfId="6603"/>
    <cellStyle name="20% - Accent3 5 3 54" xfId="6604"/>
    <cellStyle name="20% - Accent3 5 3 55" xfId="6605"/>
    <cellStyle name="20% - Accent3 5 3 6" xfId="6606"/>
    <cellStyle name="20% - Accent3 5 3 7" xfId="6607"/>
    <cellStyle name="20% - Accent3 5 3 8" xfId="6608"/>
    <cellStyle name="20% - Accent3 5 3 9" xfId="6609"/>
    <cellStyle name="20% - Accent3 6" xfId="6610"/>
    <cellStyle name="20% - Accent3 6 2" xfId="6611"/>
    <cellStyle name="20% - Accent3 6 2 10" xfId="6612"/>
    <cellStyle name="20% - Accent3 6 2 11" xfId="6613"/>
    <cellStyle name="20% - Accent3 6 2 12" xfId="6614"/>
    <cellStyle name="20% - Accent3 6 2 13" xfId="6615"/>
    <cellStyle name="20% - Accent3 6 2 14" xfId="6616"/>
    <cellStyle name="20% - Accent3 6 2 15" xfId="6617"/>
    <cellStyle name="20% - Accent3 6 2 16" xfId="6618"/>
    <cellStyle name="20% - Accent3 6 2 17" xfId="6619"/>
    <cellStyle name="20% - Accent3 6 2 18" xfId="6620"/>
    <cellStyle name="20% - Accent3 6 2 19" xfId="6621"/>
    <cellStyle name="20% - Accent3 6 2 2" xfId="6622"/>
    <cellStyle name="20% - Accent3 6 2 2 2" xfId="6623"/>
    <cellStyle name="20% - Accent3 6 2 20" xfId="6624"/>
    <cellStyle name="20% - Accent3 6 2 21" xfId="6625"/>
    <cellStyle name="20% - Accent3 6 2 22" xfId="6626"/>
    <cellStyle name="20% - Accent3 6 2 23" xfId="6627"/>
    <cellStyle name="20% - Accent3 6 2 24" xfId="6628"/>
    <cellStyle name="20% - Accent3 6 2 25" xfId="6629"/>
    <cellStyle name="20% - Accent3 6 2 26" xfId="6630"/>
    <cellStyle name="20% - Accent3 6 2 27" xfId="6631"/>
    <cellStyle name="20% - Accent3 6 2 28" xfId="6632"/>
    <cellStyle name="20% - Accent3 6 2 29" xfId="6633"/>
    <cellStyle name="20% - Accent3 6 2 3" xfId="6634"/>
    <cellStyle name="20% - Accent3 6 2 30" xfId="6635"/>
    <cellStyle name="20% - Accent3 6 2 31" xfId="6636"/>
    <cellStyle name="20% - Accent3 6 2 32" xfId="6637"/>
    <cellStyle name="20% - Accent3 6 2 33" xfId="6638"/>
    <cellStyle name="20% - Accent3 6 2 34" xfId="6639"/>
    <cellStyle name="20% - Accent3 6 2 35" xfId="6640"/>
    <cellStyle name="20% - Accent3 6 2 36" xfId="6641"/>
    <cellStyle name="20% - Accent3 6 2 37" xfId="6642"/>
    <cellStyle name="20% - Accent3 6 2 38" xfId="6643"/>
    <cellStyle name="20% - Accent3 6 2 39" xfId="6644"/>
    <cellStyle name="20% - Accent3 6 2 4" xfId="6645"/>
    <cellStyle name="20% - Accent3 6 2 40" xfId="6646"/>
    <cellStyle name="20% - Accent3 6 2 41" xfId="6647"/>
    <cellStyle name="20% - Accent3 6 2 42" xfId="6648"/>
    <cellStyle name="20% - Accent3 6 2 43" xfId="6649"/>
    <cellStyle name="20% - Accent3 6 2 44" xfId="6650"/>
    <cellStyle name="20% - Accent3 6 2 45" xfId="6651"/>
    <cellStyle name="20% - Accent3 6 2 46" xfId="6652"/>
    <cellStyle name="20% - Accent3 6 2 47" xfId="6653"/>
    <cellStyle name="20% - Accent3 6 2 48" xfId="6654"/>
    <cellStyle name="20% - Accent3 6 2 49" xfId="6655"/>
    <cellStyle name="20% - Accent3 6 2 5" xfId="6656"/>
    <cellStyle name="20% - Accent3 6 2 50" xfId="6657"/>
    <cellStyle name="20% - Accent3 6 2 51" xfId="6658"/>
    <cellStyle name="20% - Accent3 6 2 52" xfId="6659"/>
    <cellStyle name="20% - Accent3 6 2 53" xfId="6660"/>
    <cellStyle name="20% - Accent3 6 2 54" xfId="6661"/>
    <cellStyle name="20% - Accent3 6 2 55" xfId="6662"/>
    <cellStyle name="20% - Accent3 6 2 6" xfId="6663"/>
    <cellStyle name="20% - Accent3 6 2 7" xfId="6664"/>
    <cellStyle name="20% - Accent3 6 2 8" xfId="6665"/>
    <cellStyle name="20% - Accent3 6 2 9" xfId="6666"/>
    <cellStyle name="20% - Accent3 6 3" xfId="6667"/>
    <cellStyle name="20% - Accent3 6 3 10" xfId="6668"/>
    <cellStyle name="20% - Accent3 6 3 11" xfId="6669"/>
    <cellStyle name="20% - Accent3 6 3 12" xfId="6670"/>
    <cellStyle name="20% - Accent3 6 3 13" xfId="6671"/>
    <cellStyle name="20% - Accent3 6 3 14" xfId="6672"/>
    <cellStyle name="20% - Accent3 6 3 15" xfId="6673"/>
    <cellStyle name="20% - Accent3 6 3 16" xfId="6674"/>
    <cellStyle name="20% - Accent3 6 3 17" xfId="6675"/>
    <cellStyle name="20% - Accent3 6 3 18" xfId="6676"/>
    <cellStyle name="20% - Accent3 6 3 19" xfId="6677"/>
    <cellStyle name="20% - Accent3 6 3 2" xfId="6678"/>
    <cellStyle name="20% - Accent3 6 3 2 2" xfId="6679"/>
    <cellStyle name="20% - Accent3 6 3 20" xfId="6680"/>
    <cellStyle name="20% - Accent3 6 3 21" xfId="6681"/>
    <cellStyle name="20% - Accent3 6 3 22" xfId="6682"/>
    <cellStyle name="20% - Accent3 6 3 23" xfId="6683"/>
    <cellStyle name="20% - Accent3 6 3 24" xfId="6684"/>
    <cellStyle name="20% - Accent3 6 3 25" xfId="6685"/>
    <cellStyle name="20% - Accent3 6 3 26" xfId="6686"/>
    <cellStyle name="20% - Accent3 6 3 27" xfId="6687"/>
    <cellStyle name="20% - Accent3 6 3 28" xfId="6688"/>
    <cellStyle name="20% - Accent3 6 3 29" xfId="6689"/>
    <cellStyle name="20% - Accent3 6 3 3" xfId="6690"/>
    <cellStyle name="20% - Accent3 6 3 30" xfId="6691"/>
    <cellStyle name="20% - Accent3 6 3 31" xfId="6692"/>
    <cellStyle name="20% - Accent3 6 3 32" xfId="6693"/>
    <cellStyle name="20% - Accent3 6 3 33" xfId="6694"/>
    <cellStyle name="20% - Accent3 6 3 34" xfId="6695"/>
    <cellStyle name="20% - Accent3 6 3 35" xfId="6696"/>
    <cellStyle name="20% - Accent3 6 3 36" xfId="6697"/>
    <cellStyle name="20% - Accent3 6 3 37" xfId="6698"/>
    <cellStyle name="20% - Accent3 6 3 38" xfId="6699"/>
    <cellStyle name="20% - Accent3 6 3 39" xfId="6700"/>
    <cellStyle name="20% - Accent3 6 3 4" xfId="6701"/>
    <cellStyle name="20% - Accent3 6 3 40" xfId="6702"/>
    <cellStyle name="20% - Accent3 6 3 41" xfId="6703"/>
    <cellStyle name="20% - Accent3 6 3 42" xfId="6704"/>
    <cellStyle name="20% - Accent3 6 3 43" xfId="6705"/>
    <cellStyle name="20% - Accent3 6 3 44" xfId="6706"/>
    <cellStyle name="20% - Accent3 6 3 45" xfId="6707"/>
    <cellStyle name="20% - Accent3 6 3 46" xfId="6708"/>
    <cellStyle name="20% - Accent3 6 3 47" xfId="6709"/>
    <cellStyle name="20% - Accent3 6 3 48" xfId="6710"/>
    <cellStyle name="20% - Accent3 6 3 49" xfId="6711"/>
    <cellStyle name="20% - Accent3 6 3 5" xfId="6712"/>
    <cellStyle name="20% - Accent3 6 3 50" xfId="6713"/>
    <cellStyle name="20% - Accent3 6 3 51" xfId="6714"/>
    <cellStyle name="20% - Accent3 6 3 52" xfId="6715"/>
    <cellStyle name="20% - Accent3 6 3 53" xfId="6716"/>
    <cellStyle name="20% - Accent3 6 3 54" xfId="6717"/>
    <cellStyle name="20% - Accent3 6 3 55" xfId="6718"/>
    <cellStyle name="20% - Accent3 6 3 6" xfId="6719"/>
    <cellStyle name="20% - Accent3 6 3 7" xfId="6720"/>
    <cellStyle name="20% - Accent3 6 3 8" xfId="6721"/>
    <cellStyle name="20% - Accent3 6 3 9" xfId="6722"/>
    <cellStyle name="20% - Accent3 7" xfId="6723"/>
    <cellStyle name="20% - Accent3 7 2" xfId="6724"/>
    <cellStyle name="20% - Accent3 7 2 10" xfId="6725"/>
    <cellStyle name="20% - Accent3 7 2 11" xfId="6726"/>
    <cellStyle name="20% - Accent3 7 2 12" xfId="6727"/>
    <cellStyle name="20% - Accent3 7 2 13" xfId="6728"/>
    <cellStyle name="20% - Accent3 7 2 14" xfId="6729"/>
    <cellStyle name="20% - Accent3 7 2 15" xfId="6730"/>
    <cellStyle name="20% - Accent3 7 2 16" xfId="6731"/>
    <cellStyle name="20% - Accent3 7 2 17" xfId="6732"/>
    <cellStyle name="20% - Accent3 7 2 18" xfId="6733"/>
    <cellStyle name="20% - Accent3 7 2 19" xfId="6734"/>
    <cellStyle name="20% - Accent3 7 2 2" xfId="6735"/>
    <cellStyle name="20% - Accent3 7 2 2 2" xfId="6736"/>
    <cellStyle name="20% - Accent3 7 2 20" xfId="6737"/>
    <cellStyle name="20% - Accent3 7 2 21" xfId="6738"/>
    <cellStyle name="20% - Accent3 7 2 22" xfId="6739"/>
    <cellStyle name="20% - Accent3 7 2 23" xfId="6740"/>
    <cellStyle name="20% - Accent3 7 2 24" xfId="6741"/>
    <cellStyle name="20% - Accent3 7 2 25" xfId="6742"/>
    <cellStyle name="20% - Accent3 7 2 26" xfId="6743"/>
    <cellStyle name="20% - Accent3 7 2 27" xfId="6744"/>
    <cellStyle name="20% - Accent3 7 2 28" xfId="6745"/>
    <cellStyle name="20% - Accent3 7 2 29" xfId="6746"/>
    <cellStyle name="20% - Accent3 7 2 3" xfId="6747"/>
    <cellStyle name="20% - Accent3 7 2 30" xfId="6748"/>
    <cellStyle name="20% - Accent3 7 2 31" xfId="6749"/>
    <cellStyle name="20% - Accent3 7 2 32" xfId="6750"/>
    <cellStyle name="20% - Accent3 7 2 33" xfId="6751"/>
    <cellStyle name="20% - Accent3 7 2 34" xfId="6752"/>
    <cellStyle name="20% - Accent3 7 2 35" xfId="6753"/>
    <cellStyle name="20% - Accent3 7 2 36" xfId="6754"/>
    <cellStyle name="20% - Accent3 7 2 37" xfId="6755"/>
    <cellStyle name="20% - Accent3 7 2 38" xfId="6756"/>
    <cellStyle name="20% - Accent3 7 2 39" xfId="6757"/>
    <cellStyle name="20% - Accent3 7 2 4" xfId="6758"/>
    <cellStyle name="20% - Accent3 7 2 40" xfId="6759"/>
    <cellStyle name="20% - Accent3 7 2 41" xfId="6760"/>
    <cellStyle name="20% - Accent3 7 2 42" xfId="6761"/>
    <cellStyle name="20% - Accent3 7 2 43" xfId="6762"/>
    <cellStyle name="20% - Accent3 7 2 44" xfId="6763"/>
    <cellStyle name="20% - Accent3 7 2 45" xfId="6764"/>
    <cellStyle name="20% - Accent3 7 2 46" xfId="6765"/>
    <cellStyle name="20% - Accent3 7 2 47" xfId="6766"/>
    <cellStyle name="20% - Accent3 7 2 48" xfId="6767"/>
    <cellStyle name="20% - Accent3 7 2 49" xfId="6768"/>
    <cellStyle name="20% - Accent3 7 2 5" xfId="6769"/>
    <cellStyle name="20% - Accent3 7 2 50" xfId="6770"/>
    <cellStyle name="20% - Accent3 7 2 51" xfId="6771"/>
    <cellStyle name="20% - Accent3 7 2 52" xfId="6772"/>
    <cellStyle name="20% - Accent3 7 2 53" xfId="6773"/>
    <cellStyle name="20% - Accent3 7 2 54" xfId="6774"/>
    <cellStyle name="20% - Accent3 7 2 55" xfId="6775"/>
    <cellStyle name="20% - Accent3 7 2 6" xfId="6776"/>
    <cellStyle name="20% - Accent3 7 2 7" xfId="6777"/>
    <cellStyle name="20% - Accent3 7 2 8" xfId="6778"/>
    <cellStyle name="20% - Accent3 7 2 9" xfId="6779"/>
    <cellStyle name="20% - Accent3 7 3" xfId="6780"/>
    <cellStyle name="20% - Accent3 7 3 10" xfId="6781"/>
    <cellStyle name="20% - Accent3 7 3 11" xfId="6782"/>
    <cellStyle name="20% - Accent3 7 3 12" xfId="6783"/>
    <cellStyle name="20% - Accent3 7 3 13" xfId="6784"/>
    <cellStyle name="20% - Accent3 7 3 14" xfId="6785"/>
    <cellStyle name="20% - Accent3 7 3 15" xfId="6786"/>
    <cellStyle name="20% - Accent3 7 3 16" xfId="6787"/>
    <cellStyle name="20% - Accent3 7 3 17" xfId="6788"/>
    <cellStyle name="20% - Accent3 7 3 18" xfId="6789"/>
    <cellStyle name="20% - Accent3 7 3 19" xfId="6790"/>
    <cellStyle name="20% - Accent3 7 3 2" xfId="6791"/>
    <cellStyle name="20% - Accent3 7 3 2 2" xfId="6792"/>
    <cellStyle name="20% - Accent3 7 3 20" xfId="6793"/>
    <cellStyle name="20% - Accent3 7 3 21" xfId="6794"/>
    <cellStyle name="20% - Accent3 7 3 22" xfId="6795"/>
    <cellStyle name="20% - Accent3 7 3 23" xfId="6796"/>
    <cellStyle name="20% - Accent3 7 3 24" xfId="6797"/>
    <cellStyle name="20% - Accent3 7 3 25" xfId="6798"/>
    <cellStyle name="20% - Accent3 7 3 26" xfId="6799"/>
    <cellStyle name="20% - Accent3 7 3 27" xfId="6800"/>
    <cellStyle name="20% - Accent3 7 3 28" xfId="6801"/>
    <cellStyle name="20% - Accent3 7 3 29" xfId="6802"/>
    <cellStyle name="20% - Accent3 7 3 3" xfId="6803"/>
    <cellStyle name="20% - Accent3 7 3 30" xfId="6804"/>
    <cellStyle name="20% - Accent3 7 3 31" xfId="6805"/>
    <cellStyle name="20% - Accent3 7 3 32" xfId="6806"/>
    <cellStyle name="20% - Accent3 7 3 33" xfId="6807"/>
    <cellStyle name="20% - Accent3 7 3 34" xfId="6808"/>
    <cellStyle name="20% - Accent3 7 3 35" xfId="6809"/>
    <cellStyle name="20% - Accent3 7 3 36" xfId="6810"/>
    <cellStyle name="20% - Accent3 7 3 37" xfId="6811"/>
    <cellStyle name="20% - Accent3 7 3 38" xfId="6812"/>
    <cellStyle name="20% - Accent3 7 3 39" xfId="6813"/>
    <cellStyle name="20% - Accent3 7 3 4" xfId="6814"/>
    <cellStyle name="20% - Accent3 7 3 40" xfId="6815"/>
    <cellStyle name="20% - Accent3 7 3 41" xfId="6816"/>
    <cellStyle name="20% - Accent3 7 3 42" xfId="6817"/>
    <cellStyle name="20% - Accent3 7 3 43" xfId="6818"/>
    <cellStyle name="20% - Accent3 7 3 44" xfId="6819"/>
    <cellStyle name="20% - Accent3 7 3 45" xfId="6820"/>
    <cellStyle name="20% - Accent3 7 3 46" xfId="6821"/>
    <cellStyle name="20% - Accent3 7 3 47" xfId="6822"/>
    <cellStyle name="20% - Accent3 7 3 48" xfId="6823"/>
    <cellStyle name="20% - Accent3 7 3 49" xfId="6824"/>
    <cellStyle name="20% - Accent3 7 3 5" xfId="6825"/>
    <cellStyle name="20% - Accent3 7 3 50" xfId="6826"/>
    <cellStyle name="20% - Accent3 7 3 51" xfId="6827"/>
    <cellStyle name="20% - Accent3 7 3 52" xfId="6828"/>
    <cellStyle name="20% - Accent3 7 3 53" xfId="6829"/>
    <cellStyle name="20% - Accent3 7 3 54" xfId="6830"/>
    <cellStyle name="20% - Accent3 7 3 55" xfId="6831"/>
    <cellStyle name="20% - Accent3 7 3 6" xfId="6832"/>
    <cellStyle name="20% - Accent3 7 3 7" xfId="6833"/>
    <cellStyle name="20% - Accent3 7 3 8" xfId="6834"/>
    <cellStyle name="20% - Accent3 7 3 9" xfId="6835"/>
    <cellStyle name="20% - Accent3 8" xfId="6836"/>
    <cellStyle name="20% - Accent3 8 2" xfId="6837"/>
    <cellStyle name="20% - Accent3 8 2 10" xfId="6838"/>
    <cellStyle name="20% - Accent3 8 2 11" xfId="6839"/>
    <cellStyle name="20% - Accent3 8 2 12" xfId="6840"/>
    <cellStyle name="20% - Accent3 8 2 13" xfId="6841"/>
    <cellStyle name="20% - Accent3 8 2 14" xfId="6842"/>
    <cellStyle name="20% - Accent3 8 2 15" xfId="6843"/>
    <cellStyle name="20% - Accent3 8 2 16" xfId="6844"/>
    <cellStyle name="20% - Accent3 8 2 17" xfId="6845"/>
    <cellStyle name="20% - Accent3 8 2 18" xfId="6846"/>
    <cellStyle name="20% - Accent3 8 2 19" xfId="6847"/>
    <cellStyle name="20% - Accent3 8 2 2" xfId="6848"/>
    <cellStyle name="20% - Accent3 8 2 2 2" xfId="6849"/>
    <cellStyle name="20% - Accent3 8 2 20" xfId="6850"/>
    <cellStyle name="20% - Accent3 8 2 21" xfId="6851"/>
    <cellStyle name="20% - Accent3 8 2 22" xfId="6852"/>
    <cellStyle name="20% - Accent3 8 2 23" xfId="6853"/>
    <cellStyle name="20% - Accent3 8 2 24" xfId="6854"/>
    <cellStyle name="20% - Accent3 8 2 25" xfId="6855"/>
    <cellStyle name="20% - Accent3 8 2 26" xfId="6856"/>
    <cellStyle name="20% - Accent3 8 2 27" xfId="6857"/>
    <cellStyle name="20% - Accent3 8 2 28" xfId="6858"/>
    <cellStyle name="20% - Accent3 8 2 29" xfId="6859"/>
    <cellStyle name="20% - Accent3 8 2 3" xfId="6860"/>
    <cellStyle name="20% - Accent3 8 2 30" xfId="6861"/>
    <cellStyle name="20% - Accent3 8 2 31" xfId="6862"/>
    <cellStyle name="20% - Accent3 8 2 32" xfId="6863"/>
    <cellStyle name="20% - Accent3 8 2 33" xfId="6864"/>
    <cellStyle name="20% - Accent3 8 2 34" xfId="6865"/>
    <cellStyle name="20% - Accent3 8 2 35" xfId="6866"/>
    <cellStyle name="20% - Accent3 8 2 36" xfId="6867"/>
    <cellStyle name="20% - Accent3 8 2 37" xfId="6868"/>
    <cellStyle name="20% - Accent3 8 2 38" xfId="6869"/>
    <cellStyle name="20% - Accent3 8 2 39" xfId="6870"/>
    <cellStyle name="20% - Accent3 8 2 4" xfId="6871"/>
    <cellStyle name="20% - Accent3 8 2 40" xfId="6872"/>
    <cellStyle name="20% - Accent3 8 2 41" xfId="6873"/>
    <cellStyle name="20% - Accent3 8 2 42" xfId="6874"/>
    <cellStyle name="20% - Accent3 8 2 43" xfId="6875"/>
    <cellStyle name="20% - Accent3 8 2 44" xfId="6876"/>
    <cellStyle name="20% - Accent3 8 2 45" xfId="6877"/>
    <cellStyle name="20% - Accent3 8 2 46" xfId="6878"/>
    <cellStyle name="20% - Accent3 8 2 47" xfId="6879"/>
    <cellStyle name="20% - Accent3 8 2 48" xfId="6880"/>
    <cellStyle name="20% - Accent3 8 2 49" xfId="6881"/>
    <cellStyle name="20% - Accent3 8 2 5" xfId="6882"/>
    <cellStyle name="20% - Accent3 8 2 50" xfId="6883"/>
    <cellStyle name="20% - Accent3 8 2 51" xfId="6884"/>
    <cellStyle name="20% - Accent3 8 2 52" xfId="6885"/>
    <cellStyle name="20% - Accent3 8 2 53" xfId="6886"/>
    <cellStyle name="20% - Accent3 8 2 54" xfId="6887"/>
    <cellStyle name="20% - Accent3 8 2 55" xfId="6888"/>
    <cellStyle name="20% - Accent3 8 2 6" xfId="6889"/>
    <cellStyle name="20% - Accent3 8 2 7" xfId="6890"/>
    <cellStyle name="20% - Accent3 8 2 8" xfId="6891"/>
    <cellStyle name="20% - Accent3 8 2 9" xfId="6892"/>
    <cellStyle name="20% - Accent3 8 3" xfId="6893"/>
    <cellStyle name="20% - Accent3 8 3 10" xfId="6894"/>
    <cellStyle name="20% - Accent3 8 3 11" xfId="6895"/>
    <cellStyle name="20% - Accent3 8 3 12" xfId="6896"/>
    <cellStyle name="20% - Accent3 8 3 13" xfId="6897"/>
    <cellStyle name="20% - Accent3 8 3 14" xfId="6898"/>
    <cellStyle name="20% - Accent3 8 3 15" xfId="6899"/>
    <cellStyle name="20% - Accent3 8 3 16" xfId="6900"/>
    <cellStyle name="20% - Accent3 8 3 17" xfId="6901"/>
    <cellStyle name="20% - Accent3 8 3 18" xfId="6902"/>
    <cellStyle name="20% - Accent3 8 3 19" xfId="6903"/>
    <cellStyle name="20% - Accent3 8 3 2" xfId="6904"/>
    <cellStyle name="20% - Accent3 8 3 2 2" xfId="6905"/>
    <cellStyle name="20% - Accent3 8 3 20" xfId="6906"/>
    <cellStyle name="20% - Accent3 8 3 21" xfId="6907"/>
    <cellStyle name="20% - Accent3 8 3 22" xfId="6908"/>
    <cellStyle name="20% - Accent3 8 3 23" xfId="6909"/>
    <cellStyle name="20% - Accent3 8 3 24" xfId="6910"/>
    <cellStyle name="20% - Accent3 8 3 25" xfId="6911"/>
    <cellStyle name="20% - Accent3 8 3 26" xfId="6912"/>
    <cellStyle name="20% - Accent3 8 3 27" xfId="6913"/>
    <cellStyle name="20% - Accent3 8 3 28" xfId="6914"/>
    <cellStyle name="20% - Accent3 8 3 29" xfId="6915"/>
    <cellStyle name="20% - Accent3 8 3 3" xfId="6916"/>
    <cellStyle name="20% - Accent3 8 3 30" xfId="6917"/>
    <cellStyle name="20% - Accent3 8 3 31" xfId="6918"/>
    <cellStyle name="20% - Accent3 8 3 32" xfId="6919"/>
    <cellStyle name="20% - Accent3 8 3 33" xfId="6920"/>
    <cellStyle name="20% - Accent3 8 3 34" xfId="6921"/>
    <cellStyle name="20% - Accent3 8 3 35" xfId="6922"/>
    <cellStyle name="20% - Accent3 8 3 36" xfId="6923"/>
    <cellStyle name="20% - Accent3 8 3 37" xfId="6924"/>
    <cellStyle name="20% - Accent3 8 3 38" xfId="6925"/>
    <cellStyle name="20% - Accent3 8 3 39" xfId="6926"/>
    <cellStyle name="20% - Accent3 8 3 4" xfId="6927"/>
    <cellStyle name="20% - Accent3 8 3 40" xfId="6928"/>
    <cellStyle name="20% - Accent3 8 3 41" xfId="6929"/>
    <cellStyle name="20% - Accent3 8 3 42" xfId="6930"/>
    <cellStyle name="20% - Accent3 8 3 43" xfId="6931"/>
    <cellStyle name="20% - Accent3 8 3 44" xfId="6932"/>
    <cellStyle name="20% - Accent3 8 3 45" xfId="6933"/>
    <cellStyle name="20% - Accent3 8 3 46" xfId="6934"/>
    <cellStyle name="20% - Accent3 8 3 47" xfId="6935"/>
    <cellStyle name="20% - Accent3 8 3 48" xfId="6936"/>
    <cellStyle name="20% - Accent3 8 3 49" xfId="6937"/>
    <cellStyle name="20% - Accent3 8 3 5" xfId="6938"/>
    <cellStyle name="20% - Accent3 8 3 50" xfId="6939"/>
    <cellStyle name="20% - Accent3 8 3 51" xfId="6940"/>
    <cellStyle name="20% - Accent3 8 3 52" xfId="6941"/>
    <cellStyle name="20% - Accent3 8 3 53" xfId="6942"/>
    <cellStyle name="20% - Accent3 8 3 54" xfId="6943"/>
    <cellStyle name="20% - Accent3 8 3 55" xfId="6944"/>
    <cellStyle name="20% - Accent3 8 3 6" xfId="6945"/>
    <cellStyle name="20% - Accent3 8 3 7" xfId="6946"/>
    <cellStyle name="20% - Accent3 8 3 8" xfId="6947"/>
    <cellStyle name="20% - Accent3 8 3 9" xfId="6948"/>
    <cellStyle name="20% - Accent3 9" xfId="6949"/>
    <cellStyle name="20% - Accent3 9 2" xfId="6950"/>
    <cellStyle name="20% - Accent3 9 2 10" xfId="6951"/>
    <cellStyle name="20% - Accent3 9 2 11" xfId="6952"/>
    <cellStyle name="20% - Accent3 9 2 12" xfId="6953"/>
    <cellStyle name="20% - Accent3 9 2 13" xfId="6954"/>
    <cellStyle name="20% - Accent3 9 2 14" xfId="6955"/>
    <cellStyle name="20% - Accent3 9 2 15" xfId="6956"/>
    <cellStyle name="20% - Accent3 9 2 16" xfId="6957"/>
    <cellStyle name="20% - Accent3 9 2 17" xfId="6958"/>
    <cellStyle name="20% - Accent3 9 2 18" xfId="6959"/>
    <cellStyle name="20% - Accent3 9 2 19" xfId="6960"/>
    <cellStyle name="20% - Accent3 9 2 2" xfId="6961"/>
    <cellStyle name="20% - Accent3 9 2 2 2" xfId="6962"/>
    <cellStyle name="20% - Accent3 9 2 20" xfId="6963"/>
    <cellStyle name="20% - Accent3 9 2 21" xfId="6964"/>
    <cellStyle name="20% - Accent3 9 2 22" xfId="6965"/>
    <cellStyle name="20% - Accent3 9 2 23" xfId="6966"/>
    <cellStyle name="20% - Accent3 9 2 24" xfId="6967"/>
    <cellStyle name="20% - Accent3 9 2 25" xfId="6968"/>
    <cellStyle name="20% - Accent3 9 2 26" xfId="6969"/>
    <cellStyle name="20% - Accent3 9 2 27" xfId="6970"/>
    <cellStyle name="20% - Accent3 9 2 28" xfId="6971"/>
    <cellStyle name="20% - Accent3 9 2 29" xfId="6972"/>
    <cellStyle name="20% - Accent3 9 2 3" xfId="6973"/>
    <cellStyle name="20% - Accent3 9 2 30" xfId="6974"/>
    <cellStyle name="20% - Accent3 9 2 31" xfId="6975"/>
    <cellStyle name="20% - Accent3 9 2 32" xfId="6976"/>
    <cellStyle name="20% - Accent3 9 2 33" xfId="6977"/>
    <cellStyle name="20% - Accent3 9 2 34" xfId="6978"/>
    <cellStyle name="20% - Accent3 9 2 35" xfId="6979"/>
    <cellStyle name="20% - Accent3 9 2 36" xfId="6980"/>
    <cellStyle name="20% - Accent3 9 2 37" xfId="6981"/>
    <cellStyle name="20% - Accent3 9 2 38" xfId="6982"/>
    <cellStyle name="20% - Accent3 9 2 39" xfId="6983"/>
    <cellStyle name="20% - Accent3 9 2 4" xfId="6984"/>
    <cellStyle name="20% - Accent3 9 2 40" xfId="6985"/>
    <cellStyle name="20% - Accent3 9 2 41" xfId="6986"/>
    <cellStyle name="20% - Accent3 9 2 42" xfId="6987"/>
    <cellStyle name="20% - Accent3 9 2 43" xfId="6988"/>
    <cellStyle name="20% - Accent3 9 2 44" xfId="6989"/>
    <cellStyle name="20% - Accent3 9 2 45" xfId="6990"/>
    <cellStyle name="20% - Accent3 9 2 46" xfId="6991"/>
    <cellStyle name="20% - Accent3 9 2 47" xfId="6992"/>
    <cellStyle name="20% - Accent3 9 2 48" xfId="6993"/>
    <cellStyle name="20% - Accent3 9 2 49" xfId="6994"/>
    <cellStyle name="20% - Accent3 9 2 5" xfId="6995"/>
    <cellStyle name="20% - Accent3 9 2 50" xfId="6996"/>
    <cellStyle name="20% - Accent3 9 2 51" xfId="6997"/>
    <cellStyle name="20% - Accent3 9 2 52" xfId="6998"/>
    <cellStyle name="20% - Accent3 9 2 53" xfId="6999"/>
    <cellStyle name="20% - Accent3 9 2 54" xfId="7000"/>
    <cellStyle name="20% - Accent3 9 2 55" xfId="7001"/>
    <cellStyle name="20% - Accent3 9 2 6" xfId="7002"/>
    <cellStyle name="20% - Accent3 9 2 7" xfId="7003"/>
    <cellStyle name="20% - Accent3 9 2 8" xfId="7004"/>
    <cellStyle name="20% - Accent3 9 2 9" xfId="7005"/>
    <cellStyle name="20% - Accent3 9 3" xfId="7006"/>
    <cellStyle name="20% - Accent3 9 3 10" xfId="7007"/>
    <cellStyle name="20% - Accent3 9 3 11" xfId="7008"/>
    <cellStyle name="20% - Accent3 9 3 12" xfId="7009"/>
    <cellStyle name="20% - Accent3 9 3 13" xfId="7010"/>
    <cellStyle name="20% - Accent3 9 3 14" xfId="7011"/>
    <cellStyle name="20% - Accent3 9 3 15" xfId="7012"/>
    <cellStyle name="20% - Accent3 9 3 16" xfId="7013"/>
    <cellStyle name="20% - Accent3 9 3 17" xfId="7014"/>
    <cellStyle name="20% - Accent3 9 3 18" xfId="7015"/>
    <cellStyle name="20% - Accent3 9 3 19" xfId="7016"/>
    <cellStyle name="20% - Accent3 9 3 2" xfId="7017"/>
    <cellStyle name="20% - Accent3 9 3 2 2" xfId="7018"/>
    <cellStyle name="20% - Accent3 9 3 20" xfId="7019"/>
    <cellStyle name="20% - Accent3 9 3 21" xfId="7020"/>
    <cellStyle name="20% - Accent3 9 3 22" xfId="7021"/>
    <cellStyle name="20% - Accent3 9 3 23" xfId="7022"/>
    <cellStyle name="20% - Accent3 9 3 24" xfId="7023"/>
    <cellStyle name="20% - Accent3 9 3 25" xfId="7024"/>
    <cellStyle name="20% - Accent3 9 3 26" xfId="7025"/>
    <cellStyle name="20% - Accent3 9 3 27" xfId="7026"/>
    <cellStyle name="20% - Accent3 9 3 28" xfId="7027"/>
    <cellStyle name="20% - Accent3 9 3 29" xfId="7028"/>
    <cellStyle name="20% - Accent3 9 3 3" xfId="7029"/>
    <cellStyle name="20% - Accent3 9 3 30" xfId="7030"/>
    <cellStyle name="20% - Accent3 9 3 31" xfId="7031"/>
    <cellStyle name="20% - Accent3 9 3 32" xfId="7032"/>
    <cellStyle name="20% - Accent3 9 3 33" xfId="7033"/>
    <cellStyle name="20% - Accent3 9 3 34" xfId="7034"/>
    <cellStyle name="20% - Accent3 9 3 35" xfId="7035"/>
    <cellStyle name="20% - Accent3 9 3 36" xfId="7036"/>
    <cellStyle name="20% - Accent3 9 3 37" xfId="7037"/>
    <cellStyle name="20% - Accent3 9 3 38" xfId="7038"/>
    <cellStyle name="20% - Accent3 9 3 39" xfId="7039"/>
    <cellStyle name="20% - Accent3 9 3 4" xfId="7040"/>
    <cellStyle name="20% - Accent3 9 3 40" xfId="7041"/>
    <cellStyle name="20% - Accent3 9 3 41" xfId="7042"/>
    <cellStyle name="20% - Accent3 9 3 42" xfId="7043"/>
    <cellStyle name="20% - Accent3 9 3 43" xfId="7044"/>
    <cellStyle name="20% - Accent3 9 3 44" xfId="7045"/>
    <cellStyle name="20% - Accent3 9 3 45" xfId="7046"/>
    <cellStyle name="20% - Accent3 9 3 46" xfId="7047"/>
    <cellStyle name="20% - Accent3 9 3 47" xfId="7048"/>
    <cellStyle name="20% - Accent3 9 3 48" xfId="7049"/>
    <cellStyle name="20% - Accent3 9 3 49" xfId="7050"/>
    <cellStyle name="20% - Accent3 9 3 5" xfId="7051"/>
    <cellStyle name="20% - Accent3 9 3 50" xfId="7052"/>
    <cellStyle name="20% - Accent3 9 3 51" xfId="7053"/>
    <cellStyle name="20% - Accent3 9 3 52" xfId="7054"/>
    <cellStyle name="20% - Accent3 9 3 53" xfId="7055"/>
    <cellStyle name="20% - Accent3 9 3 54" xfId="7056"/>
    <cellStyle name="20% - Accent3 9 3 55" xfId="7057"/>
    <cellStyle name="20% - Accent3 9 3 6" xfId="7058"/>
    <cellStyle name="20% - Accent3 9 3 7" xfId="7059"/>
    <cellStyle name="20% - Accent3 9 3 8" xfId="7060"/>
    <cellStyle name="20% - Accent3 9 3 9" xfId="7061"/>
    <cellStyle name="20% - Accent4 10" xfId="7062"/>
    <cellStyle name="20% - Accent4 10 2" xfId="7063"/>
    <cellStyle name="20% - Accent4 10 2 10" xfId="7064"/>
    <cellStyle name="20% - Accent4 10 2 11" xfId="7065"/>
    <cellStyle name="20% - Accent4 10 2 12" xfId="7066"/>
    <cellStyle name="20% - Accent4 10 2 13" xfId="7067"/>
    <cellStyle name="20% - Accent4 10 2 14" xfId="7068"/>
    <cellStyle name="20% - Accent4 10 2 15" xfId="7069"/>
    <cellStyle name="20% - Accent4 10 2 16" xfId="7070"/>
    <cellStyle name="20% - Accent4 10 2 17" xfId="7071"/>
    <cellStyle name="20% - Accent4 10 2 18" xfId="7072"/>
    <cellStyle name="20% - Accent4 10 2 19" xfId="7073"/>
    <cellStyle name="20% - Accent4 10 2 2" xfId="7074"/>
    <cellStyle name="20% - Accent4 10 2 2 2" xfId="7075"/>
    <cellStyle name="20% - Accent4 10 2 20" xfId="7076"/>
    <cellStyle name="20% - Accent4 10 2 21" xfId="7077"/>
    <cellStyle name="20% - Accent4 10 2 22" xfId="7078"/>
    <cellStyle name="20% - Accent4 10 2 23" xfId="7079"/>
    <cellStyle name="20% - Accent4 10 2 24" xfId="7080"/>
    <cellStyle name="20% - Accent4 10 2 25" xfId="7081"/>
    <cellStyle name="20% - Accent4 10 2 26" xfId="7082"/>
    <cellStyle name="20% - Accent4 10 2 27" xfId="7083"/>
    <cellStyle name="20% - Accent4 10 2 28" xfId="7084"/>
    <cellStyle name="20% - Accent4 10 2 29" xfId="7085"/>
    <cellStyle name="20% - Accent4 10 2 3" xfId="7086"/>
    <cellStyle name="20% - Accent4 10 2 30" xfId="7087"/>
    <cellStyle name="20% - Accent4 10 2 31" xfId="7088"/>
    <cellStyle name="20% - Accent4 10 2 32" xfId="7089"/>
    <cellStyle name="20% - Accent4 10 2 33" xfId="7090"/>
    <cellStyle name="20% - Accent4 10 2 34" xfId="7091"/>
    <cellStyle name="20% - Accent4 10 2 35" xfId="7092"/>
    <cellStyle name="20% - Accent4 10 2 36" xfId="7093"/>
    <cellStyle name="20% - Accent4 10 2 37" xfId="7094"/>
    <cellStyle name="20% - Accent4 10 2 38" xfId="7095"/>
    <cellStyle name="20% - Accent4 10 2 39" xfId="7096"/>
    <cellStyle name="20% - Accent4 10 2 4" xfId="7097"/>
    <cellStyle name="20% - Accent4 10 2 40" xfId="7098"/>
    <cellStyle name="20% - Accent4 10 2 41" xfId="7099"/>
    <cellStyle name="20% - Accent4 10 2 42" xfId="7100"/>
    <cellStyle name="20% - Accent4 10 2 43" xfId="7101"/>
    <cellStyle name="20% - Accent4 10 2 44" xfId="7102"/>
    <cellStyle name="20% - Accent4 10 2 45" xfId="7103"/>
    <cellStyle name="20% - Accent4 10 2 46" xfId="7104"/>
    <cellStyle name="20% - Accent4 10 2 47" xfId="7105"/>
    <cellStyle name="20% - Accent4 10 2 48" xfId="7106"/>
    <cellStyle name="20% - Accent4 10 2 49" xfId="7107"/>
    <cellStyle name="20% - Accent4 10 2 5" xfId="7108"/>
    <cellStyle name="20% - Accent4 10 2 50" xfId="7109"/>
    <cellStyle name="20% - Accent4 10 2 51" xfId="7110"/>
    <cellStyle name="20% - Accent4 10 2 52" xfId="7111"/>
    <cellStyle name="20% - Accent4 10 2 53" xfId="7112"/>
    <cellStyle name="20% - Accent4 10 2 54" xfId="7113"/>
    <cellStyle name="20% - Accent4 10 2 55" xfId="7114"/>
    <cellStyle name="20% - Accent4 10 2 6" xfId="7115"/>
    <cellStyle name="20% - Accent4 10 2 7" xfId="7116"/>
    <cellStyle name="20% - Accent4 10 2 8" xfId="7117"/>
    <cellStyle name="20% - Accent4 10 2 9" xfId="7118"/>
    <cellStyle name="20% - Accent4 10 3" xfId="7119"/>
    <cellStyle name="20% - Accent4 10 3 10" xfId="7120"/>
    <cellStyle name="20% - Accent4 10 3 11" xfId="7121"/>
    <cellStyle name="20% - Accent4 10 3 12" xfId="7122"/>
    <cellStyle name="20% - Accent4 10 3 13" xfId="7123"/>
    <cellStyle name="20% - Accent4 10 3 14" xfId="7124"/>
    <cellStyle name="20% - Accent4 10 3 15" xfId="7125"/>
    <cellStyle name="20% - Accent4 10 3 16" xfId="7126"/>
    <cellStyle name="20% - Accent4 10 3 17" xfId="7127"/>
    <cellStyle name="20% - Accent4 10 3 18" xfId="7128"/>
    <cellStyle name="20% - Accent4 10 3 19" xfId="7129"/>
    <cellStyle name="20% - Accent4 10 3 2" xfId="7130"/>
    <cellStyle name="20% - Accent4 10 3 2 2" xfId="7131"/>
    <cellStyle name="20% - Accent4 10 3 20" xfId="7132"/>
    <cellStyle name="20% - Accent4 10 3 21" xfId="7133"/>
    <cellStyle name="20% - Accent4 10 3 22" xfId="7134"/>
    <cellStyle name="20% - Accent4 10 3 23" xfId="7135"/>
    <cellStyle name="20% - Accent4 10 3 24" xfId="7136"/>
    <cellStyle name="20% - Accent4 10 3 25" xfId="7137"/>
    <cellStyle name="20% - Accent4 10 3 26" xfId="7138"/>
    <cellStyle name="20% - Accent4 10 3 27" xfId="7139"/>
    <cellStyle name="20% - Accent4 10 3 28" xfId="7140"/>
    <cellStyle name="20% - Accent4 10 3 29" xfId="7141"/>
    <cellStyle name="20% - Accent4 10 3 3" xfId="7142"/>
    <cellStyle name="20% - Accent4 10 3 30" xfId="7143"/>
    <cellStyle name="20% - Accent4 10 3 31" xfId="7144"/>
    <cellStyle name="20% - Accent4 10 3 32" xfId="7145"/>
    <cellStyle name="20% - Accent4 10 3 33" xfId="7146"/>
    <cellStyle name="20% - Accent4 10 3 34" xfId="7147"/>
    <cellStyle name="20% - Accent4 10 3 35" xfId="7148"/>
    <cellStyle name="20% - Accent4 10 3 36" xfId="7149"/>
    <cellStyle name="20% - Accent4 10 3 37" xfId="7150"/>
    <cellStyle name="20% - Accent4 10 3 38" xfId="7151"/>
    <cellStyle name="20% - Accent4 10 3 39" xfId="7152"/>
    <cellStyle name="20% - Accent4 10 3 4" xfId="7153"/>
    <cellStyle name="20% - Accent4 10 3 40" xfId="7154"/>
    <cellStyle name="20% - Accent4 10 3 41" xfId="7155"/>
    <cellStyle name="20% - Accent4 10 3 42" xfId="7156"/>
    <cellStyle name="20% - Accent4 10 3 43" xfId="7157"/>
    <cellStyle name="20% - Accent4 10 3 44" xfId="7158"/>
    <cellStyle name="20% - Accent4 10 3 45" xfId="7159"/>
    <cellStyle name="20% - Accent4 10 3 46" xfId="7160"/>
    <cellStyle name="20% - Accent4 10 3 47" xfId="7161"/>
    <cellStyle name="20% - Accent4 10 3 48" xfId="7162"/>
    <cellStyle name="20% - Accent4 10 3 49" xfId="7163"/>
    <cellStyle name="20% - Accent4 10 3 5" xfId="7164"/>
    <cellStyle name="20% - Accent4 10 3 50" xfId="7165"/>
    <cellStyle name="20% - Accent4 10 3 51" xfId="7166"/>
    <cellStyle name="20% - Accent4 10 3 52" xfId="7167"/>
    <cellStyle name="20% - Accent4 10 3 53" xfId="7168"/>
    <cellStyle name="20% - Accent4 10 3 54" xfId="7169"/>
    <cellStyle name="20% - Accent4 10 3 55" xfId="7170"/>
    <cellStyle name="20% - Accent4 10 3 6" xfId="7171"/>
    <cellStyle name="20% - Accent4 10 3 7" xfId="7172"/>
    <cellStyle name="20% - Accent4 10 3 8" xfId="7173"/>
    <cellStyle name="20% - Accent4 10 3 9" xfId="7174"/>
    <cellStyle name="20% - Accent4 11" xfId="7175"/>
    <cellStyle name="20% - Accent4 11 2" xfId="7176"/>
    <cellStyle name="20% - Accent4 11 2 10" xfId="7177"/>
    <cellStyle name="20% - Accent4 11 2 11" xfId="7178"/>
    <cellStyle name="20% - Accent4 11 2 12" xfId="7179"/>
    <cellStyle name="20% - Accent4 11 2 13" xfId="7180"/>
    <cellStyle name="20% - Accent4 11 2 14" xfId="7181"/>
    <cellStyle name="20% - Accent4 11 2 15" xfId="7182"/>
    <cellStyle name="20% - Accent4 11 2 16" xfId="7183"/>
    <cellStyle name="20% - Accent4 11 2 17" xfId="7184"/>
    <cellStyle name="20% - Accent4 11 2 18" xfId="7185"/>
    <cellStyle name="20% - Accent4 11 2 19" xfId="7186"/>
    <cellStyle name="20% - Accent4 11 2 2" xfId="7187"/>
    <cellStyle name="20% - Accent4 11 2 2 2" xfId="7188"/>
    <cellStyle name="20% - Accent4 11 2 20" xfId="7189"/>
    <cellStyle name="20% - Accent4 11 2 21" xfId="7190"/>
    <cellStyle name="20% - Accent4 11 2 22" xfId="7191"/>
    <cellStyle name="20% - Accent4 11 2 23" xfId="7192"/>
    <cellStyle name="20% - Accent4 11 2 24" xfId="7193"/>
    <cellStyle name="20% - Accent4 11 2 25" xfId="7194"/>
    <cellStyle name="20% - Accent4 11 2 26" xfId="7195"/>
    <cellStyle name="20% - Accent4 11 2 27" xfId="7196"/>
    <cellStyle name="20% - Accent4 11 2 28" xfId="7197"/>
    <cellStyle name="20% - Accent4 11 2 29" xfId="7198"/>
    <cellStyle name="20% - Accent4 11 2 3" xfId="7199"/>
    <cellStyle name="20% - Accent4 11 2 30" xfId="7200"/>
    <cellStyle name="20% - Accent4 11 2 31" xfId="7201"/>
    <cellStyle name="20% - Accent4 11 2 32" xfId="7202"/>
    <cellStyle name="20% - Accent4 11 2 33" xfId="7203"/>
    <cellStyle name="20% - Accent4 11 2 34" xfId="7204"/>
    <cellStyle name="20% - Accent4 11 2 35" xfId="7205"/>
    <cellStyle name="20% - Accent4 11 2 36" xfId="7206"/>
    <cellStyle name="20% - Accent4 11 2 37" xfId="7207"/>
    <cellStyle name="20% - Accent4 11 2 38" xfId="7208"/>
    <cellStyle name="20% - Accent4 11 2 39" xfId="7209"/>
    <cellStyle name="20% - Accent4 11 2 4" xfId="7210"/>
    <cellStyle name="20% - Accent4 11 2 40" xfId="7211"/>
    <cellStyle name="20% - Accent4 11 2 41" xfId="7212"/>
    <cellStyle name="20% - Accent4 11 2 42" xfId="7213"/>
    <cellStyle name="20% - Accent4 11 2 43" xfId="7214"/>
    <cellStyle name="20% - Accent4 11 2 44" xfId="7215"/>
    <cellStyle name="20% - Accent4 11 2 45" xfId="7216"/>
    <cellStyle name="20% - Accent4 11 2 46" xfId="7217"/>
    <cellStyle name="20% - Accent4 11 2 47" xfId="7218"/>
    <cellStyle name="20% - Accent4 11 2 48" xfId="7219"/>
    <cellStyle name="20% - Accent4 11 2 49" xfId="7220"/>
    <cellStyle name="20% - Accent4 11 2 5" xfId="7221"/>
    <cellStyle name="20% - Accent4 11 2 50" xfId="7222"/>
    <cellStyle name="20% - Accent4 11 2 51" xfId="7223"/>
    <cellStyle name="20% - Accent4 11 2 52" xfId="7224"/>
    <cellStyle name="20% - Accent4 11 2 53" xfId="7225"/>
    <cellStyle name="20% - Accent4 11 2 54" xfId="7226"/>
    <cellStyle name="20% - Accent4 11 2 55" xfId="7227"/>
    <cellStyle name="20% - Accent4 11 2 6" xfId="7228"/>
    <cellStyle name="20% - Accent4 11 2 7" xfId="7229"/>
    <cellStyle name="20% - Accent4 11 2 8" xfId="7230"/>
    <cellStyle name="20% - Accent4 11 2 9" xfId="7231"/>
    <cellStyle name="20% - Accent4 11 3" xfId="7232"/>
    <cellStyle name="20% - Accent4 11 3 10" xfId="7233"/>
    <cellStyle name="20% - Accent4 11 3 11" xfId="7234"/>
    <cellStyle name="20% - Accent4 11 3 12" xfId="7235"/>
    <cellStyle name="20% - Accent4 11 3 13" xfId="7236"/>
    <cellStyle name="20% - Accent4 11 3 14" xfId="7237"/>
    <cellStyle name="20% - Accent4 11 3 15" xfId="7238"/>
    <cellStyle name="20% - Accent4 11 3 16" xfId="7239"/>
    <cellStyle name="20% - Accent4 11 3 17" xfId="7240"/>
    <cellStyle name="20% - Accent4 11 3 18" xfId="7241"/>
    <cellStyle name="20% - Accent4 11 3 19" xfId="7242"/>
    <cellStyle name="20% - Accent4 11 3 2" xfId="7243"/>
    <cellStyle name="20% - Accent4 11 3 2 2" xfId="7244"/>
    <cellStyle name="20% - Accent4 11 3 20" xfId="7245"/>
    <cellStyle name="20% - Accent4 11 3 21" xfId="7246"/>
    <cellStyle name="20% - Accent4 11 3 22" xfId="7247"/>
    <cellStyle name="20% - Accent4 11 3 23" xfId="7248"/>
    <cellStyle name="20% - Accent4 11 3 24" xfId="7249"/>
    <cellStyle name="20% - Accent4 11 3 25" xfId="7250"/>
    <cellStyle name="20% - Accent4 11 3 26" xfId="7251"/>
    <cellStyle name="20% - Accent4 11 3 27" xfId="7252"/>
    <cellStyle name="20% - Accent4 11 3 28" xfId="7253"/>
    <cellStyle name="20% - Accent4 11 3 29" xfId="7254"/>
    <cellStyle name="20% - Accent4 11 3 3" xfId="7255"/>
    <cellStyle name="20% - Accent4 11 3 30" xfId="7256"/>
    <cellStyle name="20% - Accent4 11 3 31" xfId="7257"/>
    <cellStyle name="20% - Accent4 11 3 32" xfId="7258"/>
    <cellStyle name="20% - Accent4 11 3 33" xfId="7259"/>
    <cellStyle name="20% - Accent4 11 3 34" xfId="7260"/>
    <cellStyle name="20% - Accent4 11 3 35" xfId="7261"/>
    <cellStyle name="20% - Accent4 11 3 36" xfId="7262"/>
    <cellStyle name="20% - Accent4 11 3 37" xfId="7263"/>
    <cellStyle name="20% - Accent4 11 3 38" xfId="7264"/>
    <cellStyle name="20% - Accent4 11 3 39" xfId="7265"/>
    <cellStyle name="20% - Accent4 11 3 4" xfId="7266"/>
    <cellStyle name="20% - Accent4 11 3 40" xfId="7267"/>
    <cellStyle name="20% - Accent4 11 3 41" xfId="7268"/>
    <cellStyle name="20% - Accent4 11 3 42" xfId="7269"/>
    <cellStyle name="20% - Accent4 11 3 43" xfId="7270"/>
    <cellStyle name="20% - Accent4 11 3 44" xfId="7271"/>
    <cellStyle name="20% - Accent4 11 3 45" xfId="7272"/>
    <cellStyle name="20% - Accent4 11 3 46" xfId="7273"/>
    <cellStyle name="20% - Accent4 11 3 47" xfId="7274"/>
    <cellStyle name="20% - Accent4 11 3 48" xfId="7275"/>
    <cellStyle name="20% - Accent4 11 3 49" xfId="7276"/>
    <cellStyle name="20% - Accent4 11 3 5" xfId="7277"/>
    <cellStyle name="20% - Accent4 11 3 50" xfId="7278"/>
    <cellStyle name="20% - Accent4 11 3 51" xfId="7279"/>
    <cellStyle name="20% - Accent4 11 3 52" xfId="7280"/>
    <cellStyle name="20% - Accent4 11 3 53" xfId="7281"/>
    <cellStyle name="20% - Accent4 11 3 54" xfId="7282"/>
    <cellStyle name="20% - Accent4 11 3 55" xfId="7283"/>
    <cellStyle name="20% - Accent4 11 3 6" xfId="7284"/>
    <cellStyle name="20% - Accent4 11 3 7" xfId="7285"/>
    <cellStyle name="20% - Accent4 11 3 8" xfId="7286"/>
    <cellStyle name="20% - Accent4 11 3 9" xfId="7287"/>
    <cellStyle name="20% - Accent4 12" xfId="7288"/>
    <cellStyle name="20% - Accent4 12 2" xfId="7289"/>
    <cellStyle name="20% - Accent4 12 2 10" xfId="7290"/>
    <cellStyle name="20% - Accent4 12 2 11" xfId="7291"/>
    <cellStyle name="20% - Accent4 12 2 12" xfId="7292"/>
    <cellStyle name="20% - Accent4 12 2 13" xfId="7293"/>
    <cellStyle name="20% - Accent4 12 2 14" xfId="7294"/>
    <cellStyle name="20% - Accent4 12 2 15" xfId="7295"/>
    <cellStyle name="20% - Accent4 12 2 16" xfId="7296"/>
    <cellStyle name="20% - Accent4 12 2 17" xfId="7297"/>
    <cellStyle name="20% - Accent4 12 2 18" xfId="7298"/>
    <cellStyle name="20% - Accent4 12 2 19" xfId="7299"/>
    <cellStyle name="20% - Accent4 12 2 2" xfId="7300"/>
    <cellStyle name="20% - Accent4 12 2 2 2" xfId="7301"/>
    <cellStyle name="20% - Accent4 12 2 20" xfId="7302"/>
    <cellStyle name="20% - Accent4 12 2 21" xfId="7303"/>
    <cellStyle name="20% - Accent4 12 2 22" xfId="7304"/>
    <cellStyle name="20% - Accent4 12 2 23" xfId="7305"/>
    <cellStyle name="20% - Accent4 12 2 24" xfId="7306"/>
    <cellStyle name="20% - Accent4 12 2 25" xfId="7307"/>
    <cellStyle name="20% - Accent4 12 2 26" xfId="7308"/>
    <cellStyle name="20% - Accent4 12 2 27" xfId="7309"/>
    <cellStyle name="20% - Accent4 12 2 28" xfId="7310"/>
    <cellStyle name="20% - Accent4 12 2 29" xfId="7311"/>
    <cellStyle name="20% - Accent4 12 2 3" xfId="7312"/>
    <cellStyle name="20% - Accent4 12 2 30" xfId="7313"/>
    <cellStyle name="20% - Accent4 12 2 31" xfId="7314"/>
    <cellStyle name="20% - Accent4 12 2 32" xfId="7315"/>
    <cellStyle name="20% - Accent4 12 2 33" xfId="7316"/>
    <cellStyle name="20% - Accent4 12 2 34" xfId="7317"/>
    <cellStyle name="20% - Accent4 12 2 35" xfId="7318"/>
    <cellStyle name="20% - Accent4 12 2 36" xfId="7319"/>
    <cellStyle name="20% - Accent4 12 2 37" xfId="7320"/>
    <cellStyle name="20% - Accent4 12 2 38" xfId="7321"/>
    <cellStyle name="20% - Accent4 12 2 39" xfId="7322"/>
    <cellStyle name="20% - Accent4 12 2 4" xfId="7323"/>
    <cellStyle name="20% - Accent4 12 2 40" xfId="7324"/>
    <cellStyle name="20% - Accent4 12 2 41" xfId="7325"/>
    <cellStyle name="20% - Accent4 12 2 42" xfId="7326"/>
    <cellStyle name="20% - Accent4 12 2 43" xfId="7327"/>
    <cellStyle name="20% - Accent4 12 2 44" xfId="7328"/>
    <cellStyle name="20% - Accent4 12 2 45" xfId="7329"/>
    <cellStyle name="20% - Accent4 12 2 46" xfId="7330"/>
    <cellStyle name="20% - Accent4 12 2 47" xfId="7331"/>
    <cellStyle name="20% - Accent4 12 2 48" xfId="7332"/>
    <cellStyle name="20% - Accent4 12 2 49" xfId="7333"/>
    <cellStyle name="20% - Accent4 12 2 5" xfId="7334"/>
    <cellStyle name="20% - Accent4 12 2 50" xfId="7335"/>
    <cellStyle name="20% - Accent4 12 2 51" xfId="7336"/>
    <cellStyle name="20% - Accent4 12 2 52" xfId="7337"/>
    <cellStyle name="20% - Accent4 12 2 53" xfId="7338"/>
    <cellStyle name="20% - Accent4 12 2 54" xfId="7339"/>
    <cellStyle name="20% - Accent4 12 2 55" xfId="7340"/>
    <cellStyle name="20% - Accent4 12 2 6" xfId="7341"/>
    <cellStyle name="20% - Accent4 12 2 7" xfId="7342"/>
    <cellStyle name="20% - Accent4 12 2 8" xfId="7343"/>
    <cellStyle name="20% - Accent4 12 2 9" xfId="7344"/>
    <cellStyle name="20% - Accent4 12 3" xfId="7345"/>
    <cellStyle name="20% - Accent4 12 3 10" xfId="7346"/>
    <cellStyle name="20% - Accent4 12 3 11" xfId="7347"/>
    <cellStyle name="20% - Accent4 12 3 12" xfId="7348"/>
    <cellStyle name="20% - Accent4 12 3 13" xfId="7349"/>
    <cellStyle name="20% - Accent4 12 3 14" xfId="7350"/>
    <cellStyle name="20% - Accent4 12 3 15" xfId="7351"/>
    <cellStyle name="20% - Accent4 12 3 16" xfId="7352"/>
    <cellStyle name="20% - Accent4 12 3 17" xfId="7353"/>
    <cellStyle name="20% - Accent4 12 3 18" xfId="7354"/>
    <cellStyle name="20% - Accent4 12 3 19" xfId="7355"/>
    <cellStyle name="20% - Accent4 12 3 2" xfId="7356"/>
    <cellStyle name="20% - Accent4 12 3 2 2" xfId="7357"/>
    <cellStyle name="20% - Accent4 12 3 20" xfId="7358"/>
    <cellStyle name="20% - Accent4 12 3 21" xfId="7359"/>
    <cellStyle name="20% - Accent4 12 3 22" xfId="7360"/>
    <cellStyle name="20% - Accent4 12 3 23" xfId="7361"/>
    <cellStyle name="20% - Accent4 12 3 24" xfId="7362"/>
    <cellStyle name="20% - Accent4 12 3 25" xfId="7363"/>
    <cellStyle name="20% - Accent4 12 3 26" xfId="7364"/>
    <cellStyle name="20% - Accent4 12 3 27" xfId="7365"/>
    <cellStyle name="20% - Accent4 12 3 28" xfId="7366"/>
    <cellStyle name="20% - Accent4 12 3 29" xfId="7367"/>
    <cellStyle name="20% - Accent4 12 3 3" xfId="7368"/>
    <cellStyle name="20% - Accent4 12 3 30" xfId="7369"/>
    <cellStyle name="20% - Accent4 12 3 31" xfId="7370"/>
    <cellStyle name="20% - Accent4 12 3 32" xfId="7371"/>
    <cellStyle name="20% - Accent4 12 3 33" xfId="7372"/>
    <cellStyle name="20% - Accent4 12 3 34" xfId="7373"/>
    <cellStyle name="20% - Accent4 12 3 35" xfId="7374"/>
    <cellStyle name="20% - Accent4 12 3 36" xfId="7375"/>
    <cellStyle name="20% - Accent4 12 3 37" xfId="7376"/>
    <cellStyle name="20% - Accent4 12 3 38" xfId="7377"/>
    <cellStyle name="20% - Accent4 12 3 39" xfId="7378"/>
    <cellStyle name="20% - Accent4 12 3 4" xfId="7379"/>
    <cellStyle name="20% - Accent4 12 3 40" xfId="7380"/>
    <cellStyle name="20% - Accent4 12 3 41" xfId="7381"/>
    <cellStyle name="20% - Accent4 12 3 42" xfId="7382"/>
    <cellStyle name="20% - Accent4 12 3 43" xfId="7383"/>
    <cellStyle name="20% - Accent4 12 3 44" xfId="7384"/>
    <cellStyle name="20% - Accent4 12 3 45" xfId="7385"/>
    <cellStyle name="20% - Accent4 12 3 46" xfId="7386"/>
    <cellStyle name="20% - Accent4 12 3 47" xfId="7387"/>
    <cellStyle name="20% - Accent4 12 3 48" xfId="7388"/>
    <cellStyle name="20% - Accent4 12 3 49" xfId="7389"/>
    <cellStyle name="20% - Accent4 12 3 5" xfId="7390"/>
    <cellStyle name="20% - Accent4 12 3 50" xfId="7391"/>
    <cellStyle name="20% - Accent4 12 3 51" xfId="7392"/>
    <cellStyle name="20% - Accent4 12 3 52" xfId="7393"/>
    <cellStyle name="20% - Accent4 12 3 53" xfId="7394"/>
    <cellStyle name="20% - Accent4 12 3 54" xfId="7395"/>
    <cellStyle name="20% - Accent4 12 3 55" xfId="7396"/>
    <cellStyle name="20% - Accent4 12 3 6" xfId="7397"/>
    <cellStyle name="20% - Accent4 12 3 7" xfId="7398"/>
    <cellStyle name="20% - Accent4 12 3 8" xfId="7399"/>
    <cellStyle name="20% - Accent4 12 3 9" xfId="7400"/>
    <cellStyle name="20% - Accent4 13" xfId="7401"/>
    <cellStyle name="20% - Accent4 13 2" xfId="7402"/>
    <cellStyle name="20% - Accent4 13 2 10" xfId="7403"/>
    <cellStyle name="20% - Accent4 13 2 11" xfId="7404"/>
    <cellStyle name="20% - Accent4 13 2 12" xfId="7405"/>
    <cellStyle name="20% - Accent4 13 2 13" xfId="7406"/>
    <cellStyle name="20% - Accent4 13 2 14" xfId="7407"/>
    <cellStyle name="20% - Accent4 13 2 15" xfId="7408"/>
    <cellStyle name="20% - Accent4 13 2 16" xfId="7409"/>
    <cellStyle name="20% - Accent4 13 2 17" xfId="7410"/>
    <cellStyle name="20% - Accent4 13 2 18" xfId="7411"/>
    <cellStyle name="20% - Accent4 13 2 19" xfId="7412"/>
    <cellStyle name="20% - Accent4 13 2 2" xfId="7413"/>
    <cellStyle name="20% - Accent4 13 2 2 2" xfId="7414"/>
    <cellStyle name="20% - Accent4 13 2 20" xfId="7415"/>
    <cellStyle name="20% - Accent4 13 2 21" xfId="7416"/>
    <cellStyle name="20% - Accent4 13 2 22" xfId="7417"/>
    <cellStyle name="20% - Accent4 13 2 23" xfId="7418"/>
    <cellStyle name="20% - Accent4 13 2 24" xfId="7419"/>
    <cellStyle name="20% - Accent4 13 2 25" xfId="7420"/>
    <cellStyle name="20% - Accent4 13 2 26" xfId="7421"/>
    <cellStyle name="20% - Accent4 13 2 27" xfId="7422"/>
    <cellStyle name="20% - Accent4 13 2 28" xfId="7423"/>
    <cellStyle name="20% - Accent4 13 2 29" xfId="7424"/>
    <cellStyle name="20% - Accent4 13 2 3" xfId="7425"/>
    <cellStyle name="20% - Accent4 13 2 30" xfId="7426"/>
    <cellStyle name="20% - Accent4 13 2 31" xfId="7427"/>
    <cellStyle name="20% - Accent4 13 2 32" xfId="7428"/>
    <cellStyle name="20% - Accent4 13 2 33" xfId="7429"/>
    <cellStyle name="20% - Accent4 13 2 34" xfId="7430"/>
    <cellStyle name="20% - Accent4 13 2 35" xfId="7431"/>
    <cellStyle name="20% - Accent4 13 2 36" xfId="7432"/>
    <cellStyle name="20% - Accent4 13 2 37" xfId="7433"/>
    <cellStyle name="20% - Accent4 13 2 38" xfId="7434"/>
    <cellStyle name="20% - Accent4 13 2 39" xfId="7435"/>
    <cellStyle name="20% - Accent4 13 2 4" xfId="7436"/>
    <cellStyle name="20% - Accent4 13 2 40" xfId="7437"/>
    <cellStyle name="20% - Accent4 13 2 41" xfId="7438"/>
    <cellStyle name="20% - Accent4 13 2 42" xfId="7439"/>
    <cellStyle name="20% - Accent4 13 2 43" xfId="7440"/>
    <cellStyle name="20% - Accent4 13 2 44" xfId="7441"/>
    <cellStyle name="20% - Accent4 13 2 45" xfId="7442"/>
    <cellStyle name="20% - Accent4 13 2 46" xfId="7443"/>
    <cellStyle name="20% - Accent4 13 2 47" xfId="7444"/>
    <cellStyle name="20% - Accent4 13 2 48" xfId="7445"/>
    <cellStyle name="20% - Accent4 13 2 49" xfId="7446"/>
    <cellStyle name="20% - Accent4 13 2 5" xfId="7447"/>
    <cellStyle name="20% - Accent4 13 2 50" xfId="7448"/>
    <cellStyle name="20% - Accent4 13 2 51" xfId="7449"/>
    <cellStyle name="20% - Accent4 13 2 52" xfId="7450"/>
    <cellStyle name="20% - Accent4 13 2 53" xfId="7451"/>
    <cellStyle name="20% - Accent4 13 2 54" xfId="7452"/>
    <cellStyle name="20% - Accent4 13 2 55" xfId="7453"/>
    <cellStyle name="20% - Accent4 13 2 6" xfId="7454"/>
    <cellStyle name="20% - Accent4 13 2 7" xfId="7455"/>
    <cellStyle name="20% - Accent4 13 2 8" xfId="7456"/>
    <cellStyle name="20% - Accent4 13 2 9" xfId="7457"/>
    <cellStyle name="20% - Accent4 13 3" xfId="7458"/>
    <cellStyle name="20% - Accent4 13 3 10" xfId="7459"/>
    <cellStyle name="20% - Accent4 13 3 11" xfId="7460"/>
    <cellStyle name="20% - Accent4 13 3 12" xfId="7461"/>
    <cellStyle name="20% - Accent4 13 3 13" xfId="7462"/>
    <cellStyle name="20% - Accent4 13 3 14" xfId="7463"/>
    <cellStyle name="20% - Accent4 13 3 15" xfId="7464"/>
    <cellStyle name="20% - Accent4 13 3 16" xfId="7465"/>
    <cellStyle name="20% - Accent4 13 3 17" xfId="7466"/>
    <cellStyle name="20% - Accent4 13 3 18" xfId="7467"/>
    <cellStyle name="20% - Accent4 13 3 19" xfId="7468"/>
    <cellStyle name="20% - Accent4 13 3 2" xfId="7469"/>
    <cellStyle name="20% - Accent4 13 3 2 2" xfId="7470"/>
    <cellStyle name="20% - Accent4 13 3 20" xfId="7471"/>
    <cellStyle name="20% - Accent4 13 3 21" xfId="7472"/>
    <cellStyle name="20% - Accent4 13 3 22" xfId="7473"/>
    <cellStyle name="20% - Accent4 13 3 23" xfId="7474"/>
    <cellStyle name="20% - Accent4 13 3 24" xfId="7475"/>
    <cellStyle name="20% - Accent4 13 3 25" xfId="7476"/>
    <cellStyle name="20% - Accent4 13 3 26" xfId="7477"/>
    <cellStyle name="20% - Accent4 13 3 27" xfId="7478"/>
    <cellStyle name="20% - Accent4 13 3 28" xfId="7479"/>
    <cellStyle name="20% - Accent4 13 3 29" xfId="7480"/>
    <cellStyle name="20% - Accent4 13 3 3" xfId="7481"/>
    <cellStyle name="20% - Accent4 13 3 30" xfId="7482"/>
    <cellStyle name="20% - Accent4 13 3 31" xfId="7483"/>
    <cellStyle name="20% - Accent4 13 3 32" xfId="7484"/>
    <cellStyle name="20% - Accent4 13 3 33" xfId="7485"/>
    <cellStyle name="20% - Accent4 13 3 34" xfId="7486"/>
    <cellStyle name="20% - Accent4 13 3 35" xfId="7487"/>
    <cellStyle name="20% - Accent4 13 3 36" xfId="7488"/>
    <cellStyle name="20% - Accent4 13 3 37" xfId="7489"/>
    <cellStyle name="20% - Accent4 13 3 38" xfId="7490"/>
    <cellStyle name="20% - Accent4 13 3 39" xfId="7491"/>
    <cellStyle name="20% - Accent4 13 3 4" xfId="7492"/>
    <cellStyle name="20% - Accent4 13 3 40" xfId="7493"/>
    <cellStyle name="20% - Accent4 13 3 41" xfId="7494"/>
    <cellStyle name="20% - Accent4 13 3 42" xfId="7495"/>
    <cellStyle name="20% - Accent4 13 3 43" xfId="7496"/>
    <cellStyle name="20% - Accent4 13 3 44" xfId="7497"/>
    <cellStyle name="20% - Accent4 13 3 45" xfId="7498"/>
    <cellStyle name="20% - Accent4 13 3 46" xfId="7499"/>
    <cellStyle name="20% - Accent4 13 3 47" xfId="7500"/>
    <cellStyle name="20% - Accent4 13 3 48" xfId="7501"/>
    <cellStyle name="20% - Accent4 13 3 49" xfId="7502"/>
    <cellStyle name="20% - Accent4 13 3 5" xfId="7503"/>
    <cellStyle name="20% - Accent4 13 3 50" xfId="7504"/>
    <cellStyle name="20% - Accent4 13 3 51" xfId="7505"/>
    <cellStyle name="20% - Accent4 13 3 52" xfId="7506"/>
    <cellStyle name="20% - Accent4 13 3 53" xfId="7507"/>
    <cellStyle name="20% - Accent4 13 3 54" xfId="7508"/>
    <cellStyle name="20% - Accent4 13 3 55" xfId="7509"/>
    <cellStyle name="20% - Accent4 13 3 6" xfId="7510"/>
    <cellStyle name="20% - Accent4 13 3 7" xfId="7511"/>
    <cellStyle name="20% - Accent4 13 3 8" xfId="7512"/>
    <cellStyle name="20% - Accent4 13 3 9" xfId="7513"/>
    <cellStyle name="20% - Accent4 14" xfId="7514"/>
    <cellStyle name="20% - Accent4 14 2" xfId="7515"/>
    <cellStyle name="20% - Accent4 14 2 10" xfId="7516"/>
    <cellStyle name="20% - Accent4 14 2 11" xfId="7517"/>
    <cellStyle name="20% - Accent4 14 2 12" xfId="7518"/>
    <cellStyle name="20% - Accent4 14 2 13" xfId="7519"/>
    <cellStyle name="20% - Accent4 14 2 14" xfId="7520"/>
    <cellStyle name="20% - Accent4 14 2 15" xfId="7521"/>
    <cellStyle name="20% - Accent4 14 2 16" xfId="7522"/>
    <cellStyle name="20% - Accent4 14 2 17" xfId="7523"/>
    <cellStyle name="20% - Accent4 14 2 18" xfId="7524"/>
    <cellStyle name="20% - Accent4 14 2 19" xfId="7525"/>
    <cellStyle name="20% - Accent4 14 2 2" xfId="7526"/>
    <cellStyle name="20% - Accent4 14 2 2 2" xfId="7527"/>
    <cellStyle name="20% - Accent4 14 2 20" xfId="7528"/>
    <cellStyle name="20% - Accent4 14 2 21" xfId="7529"/>
    <cellStyle name="20% - Accent4 14 2 22" xfId="7530"/>
    <cellStyle name="20% - Accent4 14 2 23" xfId="7531"/>
    <cellStyle name="20% - Accent4 14 2 24" xfId="7532"/>
    <cellStyle name="20% - Accent4 14 2 25" xfId="7533"/>
    <cellStyle name="20% - Accent4 14 2 26" xfId="7534"/>
    <cellStyle name="20% - Accent4 14 2 27" xfId="7535"/>
    <cellStyle name="20% - Accent4 14 2 28" xfId="7536"/>
    <cellStyle name="20% - Accent4 14 2 29" xfId="7537"/>
    <cellStyle name="20% - Accent4 14 2 3" xfId="7538"/>
    <cellStyle name="20% - Accent4 14 2 30" xfId="7539"/>
    <cellStyle name="20% - Accent4 14 2 31" xfId="7540"/>
    <cellStyle name="20% - Accent4 14 2 32" xfId="7541"/>
    <cellStyle name="20% - Accent4 14 2 33" xfId="7542"/>
    <cellStyle name="20% - Accent4 14 2 34" xfId="7543"/>
    <cellStyle name="20% - Accent4 14 2 35" xfId="7544"/>
    <cellStyle name="20% - Accent4 14 2 36" xfId="7545"/>
    <cellStyle name="20% - Accent4 14 2 37" xfId="7546"/>
    <cellStyle name="20% - Accent4 14 2 38" xfId="7547"/>
    <cellStyle name="20% - Accent4 14 2 39" xfId="7548"/>
    <cellStyle name="20% - Accent4 14 2 4" xfId="7549"/>
    <cellStyle name="20% - Accent4 14 2 40" xfId="7550"/>
    <cellStyle name="20% - Accent4 14 2 41" xfId="7551"/>
    <cellStyle name="20% - Accent4 14 2 42" xfId="7552"/>
    <cellStyle name="20% - Accent4 14 2 43" xfId="7553"/>
    <cellStyle name="20% - Accent4 14 2 44" xfId="7554"/>
    <cellStyle name="20% - Accent4 14 2 45" xfId="7555"/>
    <cellStyle name="20% - Accent4 14 2 46" xfId="7556"/>
    <cellStyle name="20% - Accent4 14 2 47" xfId="7557"/>
    <cellStyle name="20% - Accent4 14 2 48" xfId="7558"/>
    <cellStyle name="20% - Accent4 14 2 49" xfId="7559"/>
    <cellStyle name="20% - Accent4 14 2 5" xfId="7560"/>
    <cellStyle name="20% - Accent4 14 2 50" xfId="7561"/>
    <cellStyle name="20% - Accent4 14 2 51" xfId="7562"/>
    <cellStyle name="20% - Accent4 14 2 52" xfId="7563"/>
    <cellStyle name="20% - Accent4 14 2 53" xfId="7564"/>
    <cellStyle name="20% - Accent4 14 2 54" xfId="7565"/>
    <cellStyle name="20% - Accent4 14 2 55" xfId="7566"/>
    <cellStyle name="20% - Accent4 14 2 6" xfId="7567"/>
    <cellStyle name="20% - Accent4 14 2 7" xfId="7568"/>
    <cellStyle name="20% - Accent4 14 2 8" xfId="7569"/>
    <cellStyle name="20% - Accent4 14 2 9" xfId="7570"/>
    <cellStyle name="20% - Accent4 14 3" xfId="7571"/>
    <cellStyle name="20% - Accent4 14 3 10" xfId="7572"/>
    <cellStyle name="20% - Accent4 14 3 11" xfId="7573"/>
    <cellStyle name="20% - Accent4 14 3 12" xfId="7574"/>
    <cellStyle name="20% - Accent4 14 3 13" xfId="7575"/>
    <cellStyle name="20% - Accent4 14 3 14" xfId="7576"/>
    <cellStyle name="20% - Accent4 14 3 15" xfId="7577"/>
    <cellStyle name="20% - Accent4 14 3 16" xfId="7578"/>
    <cellStyle name="20% - Accent4 14 3 17" xfId="7579"/>
    <cellStyle name="20% - Accent4 14 3 18" xfId="7580"/>
    <cellStyle name="20% - Accent4 14 3 19" xfId="7581"/>
    <cellStyle name="20% - Accent4 14 3 2" xfId="7582"/>
    <cellStyle name="20% - Accent4 14 3 2 2" xfId="7583"/>
    <cellStyle name="20% - Accent4 14 3 20" xfId="7584"/>
    <cellStyle name="20% - Accent4 14 3 21" xfId="7585"/>
    <cellStyle name="20% - Accent4 14 3 22" xfId="7586"/>
    <cellStyle name="20% - Accent4 14 3 23" xfId="7587"/>
    <cellStyle name="20% - Accent4 14 3 24" xfId="7588"/>
    <cellStyle name="20% - Accent4 14 3 25" xfId="7589"/>
    <cellStyle name="20% - Accent4 14 3 26" xfId="7590"/>
    <cellStyle name="20% - Accent4 14 3 27" xfId="7591"/>
    <cellStyle name="20% - Accent4 14 3 28" xfId="7592"/>
    <cellStyle name="20% - Accent4 14 3 29" xfId="7593"/>
    <cellStyle name="20% - Accent4 14 3 3" xfId="7594"/>
    <cellStyle name="20% - Accent4 14 3 30" xfId="7595"/>
    <cellStyle name="20% - Accent4 14 3 31" xfId="7596"/>
    <cellStyle name="20% - Accent4 14 3 32" xfId="7597"/>
    <cellStyle name="20% - Accent4 14 3 33" xfId="7598"/>
    <cellStyle name="20% - Accent4 14 3 34" xfId="7599"/>
    <cellStyle name="20% - Accent4 14 3 35" xfId="7600"/>
    <cellStyle name="20% - Accent4 14 3 36" xfId="7601"/>
    <cellStyle name="20% - Accent4 14 3 37" xfId="7602"/>
    <cellStyle name="20% - Accent4 14 3 38" xfId="7603"/>
    <cellStyle name="20% - Accent4 14 3 39" xfId="7604"/>
    <cellStyle name="20% - Accent4 14 3 4" xfId="7605"/>
    <cellStyle name="20% - Accent4 14 3 40" xfId="7606"/>
    <cellStyle name="20% - Accent4 14 3 41" xfId="7607"/>
    <cellStyle name="20% - Accent4 14 3 42" xfId="7608"/>
    <cellStyle name="20% - Accent4 14 3 43" xfId="7609"/>
    <cellStyle name="20% - Accent4 14 3 44" xfId="7610"/>
    <cellStyle name="20% - Accent4 14 3 45" xfId="7611"/>
    <cellStyle name="20% - Accent4 14 3 46" xfId="7612"/>
    <cellStyle name="20% - Accent4 14 3 47" xfId="7613"/>
    <cellStyle name="20% - Accent4 14 3 48" xfId="7614"/>
    <cellStyle name="20% - Accent4 14 3 49" xfId="7615"/>
    <cellStyle name="20% - Accent4 14 3 5" xfId="7616"/>
    <cellStyle name="20% - Accent4 14 3 50" xfId="7617"/>
    <cellStyle name="20% - Accent4 14 3 51" xfId="7618"/>
    <cellStyle name="20% - Accent4 14 3 52" xfId="7619"/>
    <cellStyle name="20% - Accent4 14 3 53" xfId="7620"/>
    <cellStyle name="20% - Accent4 14 3 54" xfId="7621"/>
    <cellStyle name="20% - Accent4 14 3 55" xfId="7622"/>
    <cellStyle name="20% - Accent4 14 3 6" xfId="7623"/>
    <cellStyle name="20% - Accent4 14 3 7" xfId="7624"/>
    <cellStyle name="20% - Accent4 14 3 8" xfId="7625"/>
    <cellStyle name="20% - Accent4 14 3 9" xfId="7626"/>
    <cellStyle name="20% - Accent4 15" xfId="7627"/>
    <cellStyle name="20% - Accent4 15 2" xfId="7628"/>
    <cellStyle name="20% - Accent4 15 2 10" xfId="7629"/>
    <cellStyle name="20% - Accent4 15 2 11" xfId="7630"/>
    <cellStyle name="20% - Accent4 15 2 12" xfId="7631"/>
    <cellStyle name="20% - Accent4 15 2 13" xfId="7632"/>
    <cellStyle name="20% - Accent4 15 2 14" xfId="7633"/>
    <cellStyle name="20% - Accent4 15 2 15" xfId="7634"/>
    <cellStyle name="20% - Accent4 15 2 16" xfId="7635"/>
    <cellStyle name="20% - Accent4 15 2 17" xfId="7636"/>
    <cellStyle name="20% - Accent4 15 2 18" xfId="7637"/>
    <cellStyle name="20% - Accent4 15 2 19" xfId="7638"/>
    <cellStyle name="20% - Accent4 15 2 2" xfId="7639"/>
    <cellStyle name="20% - Accent4 15 2 2 2" xfId="7640"/>
    <cellStyle name="20% - Accent4 15 2 20" xfId="7641"/>
    <cellStyle name="20% - Accent4 15 2 21" xfId="7642"/>
    <cellStyle name="20% - Accent4 15 2 22" xfId="7643"/>
    <cellStyle name="20% - Accent4 15 2 23" xfId="7644"/>
    <cellStyle name="20% - Accent4 15 2 24" xfId="7645"/>
    <cellStyle name="20% - Accent4 15 2 25" xfId="7646"/>
    <cellStyle name="20% - Accent4 15 2 26" xfId="7647"/>
    <cellStyle name="20% - Accent4 15 2 27" xfId="7648"/>
    <cellStyle name="20% - Accent4 15 2 28" xfId="7649"/>
    <cellStyle name="20% - Accent4 15 2 29" xfId="7650"/>
    <cellStyle name="20% - Accent4 15 2 3" xfId="7651"/>
    <cellStyle name="20% - Accent4 15 2 30" xfId="7652"/>
    <cellStyle name="20% - Accent4 15 2 31" xfId="7653"/>
    <cellStyle name="20% - Accent4 15 2 32" xfId="7654"/>
    <cellStyle name="20% - Accent4 15 2 33" xfId="7655"/>
    <cellStyle name="20% - Accent4 15 2 34" xfId="7656"/>
    <cellStyle name="20% - Accent4 15 2 35" xfId="7657"/>
    <cellStyle name="20% - Accent4 15 2 36" xfId="7658"/>
    <cellStyle name="20% - Accent4 15 2 37" xfId="7659"/>
    <cellStyle name="20% - Accent4 15 2 38" xfId="7660"/>
    <cellStyle name="20% - Accent4 15 2 39" xfId="7661"/>
    <cellStyle name="20% - Accent4 15 2 4" xfId="7662"/>
    <cellStyle name="20% - Accent4 15 2 40" xfId="7663"/>
    <cellStyle name="20% - Accent4 15 2 41" xfId="7664"/>
    <cellStyle name="20% - Accent4 15 2 42" xfId="7665"/>
    <cellStyle name="20% - Accent4 15 2 43" xfId="7666"/>
    <cellStyle name="20% - Accent4 15 2 44" xfId="7667"/>
    <cellStyle name="20% - Accent4 15 2 45" xfId="7668"/>
    <cellStyle name="20% - Accent4 15 2 46" xfId="7669"/>
    <cellStyle name="20% - Accent4 15 2 47" xfId="7670"/>
    <cellStyle name="20% - Accent4 15 2 48" xfId="7671"/>
    <cellStyle name="20% - Accent4 15 2 49" xfId="7672"/>
    <cellStyle name="20% - Accent4 15 2 5" xfId="7673"/>
    <cellStyle name="20% - Accent4 15 2 50" xfId="7674"/>
    <cellStyle name="20% - Accent4 15 2 51" xfId="7675"/>
    <cellStyle name="20% - Accent4 15 2 52" xfId="7676"/>
    <cellStyle name="20% - Accent4 15 2 53" xfId="7677"/>
    <cellStyle name="20% - Accent4 15 2 54" xfId="7678"/>
    <cellStyle name="20% - Accent4 15 2 55" xfId="7679"/>
    <cellStyle name="20% - Accent4 15 2 6" xfId="7680"/>
    <cellStyle name="20% - Accent4 15 2 7" xfId="7681"/>
    <cellStyle name="20% - Accent4 15 2 8" xfId="7682"/>
    <cellStyle name="20% - Accent4 15 2 9" xfId="7683"/>
    <cellStyle name="20% - Accent4 15 3" xfId="7684"/>
    <cellStyle name="20% - Accent4 15 3 10" xfId="7685"/>
    <cellStyle name="20% - Accent4 15 3 11" xfId="7686"/>
    <cellStyle name="20% - Accent4 15 3 12" xfId="7687"/>
    <cellStyle name="20% - Accent4 15 3 13" xfId="7688"/>
    <cellStyle name="20% - Accent4 15 3 14" xfId="7689"/>
    <cellStyle name="20% - Accent4 15 3 15" xfId="7690"/>
    <cellStyle name="20% - Accent4 15 3 16" xfId="7691"/>
    <cellStyle name="20% - Accent4 15 3 17" xfId="7692"/>
    <cellStyle name="20% - Accent4 15 3 18" xfId="7693"/>
    <cellStyle name="20% - Accent4 15 3 19" xfId="7694"/>
    <cellStyle name="20% - Accent4 15 3 2" xfId="7695"/>
    <cellStyle name="20% - Accent4 15 3 2 2" xfId="7696"/>
    <cellStyle name="20% - Accent4 15 3 20" xfId="7697"/>
    <cellStyle name="20% - Accent4 15 3 21" xfId="7698"/>
    <cellStyle name="20% - Accent4 15 3 22" xfId="7699"/>
    <cellStyle name="20% - Accent4 15 3 23" xfId="7700"/>
    <cellStyle name="20% - Accent4 15 3 24" xfId="7701"/>
    <cellStyle name="20% - Accent4 15 3 25" xfId="7702"/>
    <cellStyle name="20% - Accent4 15 3 26" xfId="7703"/>
    <cellStyle name="20% - Accent4 15 3 27" xfId="7704"/>
    <cellStyle name="20% - Accent4 15 3 28" xfId="7705"/>
    <cellStyle name="20% - Accent4 15 3 29" xfId="7706"/>
    <cellStyle name="20% - Accent4 15 3 3" xfId="7707"/>
    <cellStyle name="20% - Accent4 15 3 30" xfId="7708"/>
    <cellStyle name="20% - Accent4 15 3 31" xfId="7709"/>
    <cellStyle name="20% - Accent4 15 3 32" xfId="7710"/>
    <cellStyle name="20% - Accent4 15 3 33" xfId="7711"/>
    <cellStyle name="20% - Accent4 15 3 34" xfId="7712"/>
    <cellStyle name="20% - Accent4 15 3 35" xfId="7713"/>
    <cellStyle name="20% - Accent4 15 3 36" xfId="7714"/>
    <cellStyle name="20% - Accent4 15 3 37" xfId="7715"/>
    <cellStyle name="20% - Accent4 15 3 38" xfId="7716"/>
    <cellStyle name="20% - Accent4 15 3 39" xfId="7717"/>
    <cellStyle name="20% - Accent4 15 3 4" xfId="7718"/>
    <cellStyle name="20% - Accent4 15 3 40" xfId="7719"/>
    <cellStyle name="20% - Accent4 15 3 41" xfId="7720"/>
    <cellStyle name="20% - Accent4 15 3 42" xfId="7721"/>
    <cellStyle name="20% - Accent4 15 3 43" xfId="7722"/>
    <cellStyle name="20% - Accent4 15 3 44" xfId="7723"/>
    <cellStyle name="20% - Accent4 15 3 45" xfId="7724"/>
    <cellStyle name="20% - Accent4 15 3 46" xfId="7725"/>
    <cellStyle name="20% - Accent4 15 3 47" xfId="7726"/>
    <cellStyle name="20% - Accent4 15 3 48" xfId="7727"/>
    <cellStyle name="20% - Accent4 15 3 49" xfId="7728"/>
    <cellStyle name="20% - Accent4 15 3 5" xfId="7729"/>
    <cellStyle name="20% - Accent4 15 3 50" xfId="7730"/>
    <cellStyle name="20% - Accent4 15 3 51" xfId="7731"/>
    <cellStyle name="20% - Accent4 15 3 52" xfId="7732"/>
    <cellStyle name="20% - Accent4 15 3 53" xfId="7733"/>
    <cellStyle name="20% - Accent4 15 3 54" xfId="7734"/>
    <cellStyle name="20% - Accent4 15 3 55" xfId="7735"/>
    <cellStyle name="20% - Accent4 15 3 6" xfId="7736"/>
    <cellStyle name="20% - Accent4 15 3 7" xfId="7737"/>
    <cellStyle name="20% - Accent4 15 3 8" xfId="7738"/>
    <cellStyle name="20% - Accent4 15 3 9" xfId="7739"/>
    <cellStyle name="20% - Accent4 16" xfId="7740"/>
    <cellStyle name="20% - Accent4 16 2" xfId="7741"/>
    <cellStyle name="20% - Accent4 16 2 10" xfId="7742"/>
    <cellStyle name="20% - Accent4 16 2 11" xfId="7743"/>
    <cellStyle name="20% - Accent4 16 2 12" xfId="7744"/>
    <cellStyle name="20% - Accent4 16 2 13" xfId="7745"/>
    <cellStyle name="20% - Accent4 16 2 14" xfId="7746"/>
    <cellStyle name="20% - Accent4 16 2 15" xfId="7747"/>
    <cellStyle name="20% - Accent4 16 2 16" xfId="7748"/>
    <cellStyle name="20% - Accent4 16 2 17" xfId="7749"/>
    <cellStyle name="20% - Accent4 16 2 18" xfId="7750"/>
    <cellStyle name="20% - Accent4 16 2 19" xfId="7751"/>
    <cellStyle name="20% - Accent4 16 2 2" xfId="7752"/>
    <cellStyle name="20% - Accent4 16 2 2 2" xfId="7753"/>
    <cellStyle name="20% - Accent4 16 2 20" xfId="7754"/>
    <cellStyle name="20% - Accent4 16 2 21" xfId="7755"/>
    <cellStyle name="20% - Accent4 16 2 22" xfId="7756"/>
    <cellStyle name="20% - Accent4 16 2 23" xfId="7757"/>
    <cellStyle name="20% - Accent4 16 2 24" xfId="7758"/>
    <cellStyle name="20% - Accent4 16 2 25" xfId="7759"/>
    <cellStyle name="20% - Accent4 16 2 26" xfId="7760"/>
    <cellStyle name="20% - Accent4 16 2 27" xfId="7761"/>
    <cellStyle name="20% - Accent4 16 2 28" xfId="7762"/>
    <cellStyle name="20% - Accent4 16 2 29" xfId="7763"/>
    <cellStyle name="20% - Accent4 16 2 3" xfId="7764"/>
    <cellStyle name="20% - Accent4 16 2 30" xfId="7765"/>
    <cellStyle name="20% - Accent4 16 2 31" xfId="7766"/>
    <cellStyle name="20% - Accent4 16 2 32" xfId="7767"/>
    <cellStyle name="20% - Accent4 16 2 33" xfId="7768"/>
    <cellStyle name="20% - Accent4 16 2 34" xfId="7769"/>
    <cellStyle name="20% - Accent4 16 2 35" xfId="7770"/>
    <cellStyle name="20% - Accent4 16 2 36" xfId="7771"/>
    <cellStyle name="20% - Accent4 16 2 37" xfId="7772"/>
    <cellStyle name="20% - Accent4 16 2 38" xfId="7773"/>
    <cellStyle name="20% - Accent4 16 2 39" xfId="7774"/>
    <cellStyle name="20% - Accent4 16 2 4" xfId="7775"/>
    <cellStyle name="20% - Accent4 16 2 40" xfId="7776"/>
    <cellStyle name="20% - Accent4 16 2 41" xfId="7777"/>
    <cellStyle name="20% - Accent4 16 2 42" xfId="7778"/>
    <cellStyle name="20% - Accent4 16 2 43" xfId="7779"/>
    <cellStyle name="20% - Accent4 16 2 44" xfId="7780"/>
    <cellStyle name="20% - Accent4 16 2 45" xfId="7781"/>
    <cellStyle name="20% - Accent4 16 2 46" xfId="7782"/>
    <cellStyle name="20% - Accent4 16 2 47" xfId="7783"/>
    <cellStyle name="20% - Accent4 16 2 48" xfId="7784"/>
    <cellStyle name="20% - Accent4 16 2 49" xfId="7785"/>
    <cellStyle name="20% - Accent4 16 2 5" xfId="7786"/>
    <cellStyle name="20% - Accent4 16 2 50" xfId="7787"/>
    <cellStyle name="20% - Accent4 16 2 51" xfId="7788"/>
    <cellStyle name="20% - Accent4 16 2 52" xfId="7789"/>
    <cellStyle name="20% - Accent4 16 2 53" xfId="7790"/>
    <cellStyle name="20% - Accent4 16 2 54" xfId="7791"/>
    <cellStyle name="20% - Accent4 16 2 55" xfId="7792"/>
    <cellStyle name="20% - Accent4 16 2 6" xfId="7793"/>
    <cellStyle name="20% - Accent4 16 2 7" xfId="7794"/>
    <cellStyle name="20% - Accent4 16 2 8" xfId="7795"/>
    <cellStyle name="20% - Accent4 16 2 9" xfId="7796"/>
    <cellStyle name="20% - Accent4 16 3" xfId="7797"/>
    <cellStyle name="20% - Accent4 16 3 10" xfId="7798"/>
    <cellStyle name="20% - Accent4 16 3 11" xfId="7799"/>
    <cellStyle name="20% - Accent4 16 3 12" xfId="7800"/>
    <cellStyle name="20% - Accent4 16 3 13" xfId="7801"/>
    <cellStyle name="20% - Accent4 16 3 14" xfId="7802"/>
    <cellStyle name="20% - Accent4 16 3 15" xfId="7803"/>
    <cellStyle name="20% - Accent4 16 3 16" xfId="7804"/>
    <cellStyle name="20% - Accent4 16 3 17" xfId="7805"/>
    <cellStyle name="20% - Accent4 16 3 18" xfId="7806"/>
    <cellStyle name="20% - Accent4 16 3 19" xfId="7807"/>
    <cellStyle name="20% - Accent4 16 3 2" xfId="7808"/>
    <cellStyle name="20% - Accent4 16 3 2 2" xfId="7809"/>
    <cellStyle name="20% - Accent4 16 3 20" xfId="7810"/>
    <cellStyle name="20% - Accent4 16 3 21" xfId="7811"/>
    <cellStyle name="20% - Accent4 16 3 22" xfId="7812"/>
    <cellStyle name="20% - Accent4 16 3 23" xfId="7813"/>
    <cellStyle name="20% - Accent4 16 3 24" xfId="7814"/>
    <cellStyle name="20% - Accent4 16 3 25" xfId="7815"/>
    <cellStyle name="20% - Accent4 16 3 26" xfId="7816"/>
    <cellStyle name="20% - Accent4 16 3 27" xfId="7817"/>
    <cellStyle name="20% - Accent4 16 3 28" xfId="7818"/>
    <cellStyle name="20% - Accent4 16 3 29" xfId="7819"/>
    <cellStyle name="20% - Accent4 16 3 3" xfId="7820"/>
    <cellStyle name="20% - Accent4 16 3 30" xfId="7821"/>
    <cellStyle name="20% - Accent4 16 3 31" xfId="7822"/>
    <cellStyle name="20% - Accent4 16 3 32" xfId="7823"/>
    <cellStyle name="20% - Accent4 16 3 33" xfId="7824"/>
    <cellStyle name="20% - Accent4 16 3 34" xfId="7825"/>
    <cellStyle name="20% - Accent4 16 3 35" xfId="7826"/>
    <cellStyle name="20% - Accent4 16 3 36" xfId="7827"/>
    <cellStyle name="20% - Accent4 16 3 37" xfId="7828"/>
    <cellStyle name="20% - Accent4 16 3 38" xfId="7829"/>
    <cellStyle name="20% - Accent4 16 3 39" xfId="7830"/>
    <cellStyle name="20% - Accent4 16 3 4" xfId="7831"/>
    <cellStyle name="20% - Accent4 16 3 40" xfId="7832"/>
    <cellStyle name="20% - Accent4 16 3 41" xfId="7833"/>
    <cellStyle name="20% - Accent4 16 3 42" xfId="7834"/>
    <cellStyle name="20% - Accent4 16 3 43" xfId="7835"/>
    <cellStyle name="20% - Accent4 16 3 44" xfId="7836"/>
    <cellStyle name="20% - Accent4 16 3 45" xfId="7837"/>
    <cellStyle name="20% - Accent4 16 3 46" xfId="7838"/>
    <cellStyle name="20% - Accent4 16 3 47" xfId="7839"/>
    <cellStyle name="20% - Accent4 16 3 48" xfId="7840"/>
    <cellStyle name="20% - Accent4 16 3 49" xfId="7841"/>
    <cellStyle name="20% - Accent4 16 3 5" xfId="7842"/>
    <cellStyle name="20% - Accent4 16 3 50" xfId="7843"/>
    <cellStyle name="20% - Accent4 16 3 51" xfId="7844"/>
    <cellStyle name="20% - Accent4 16 3 52" xfId="7845"/>
    <cellStyle name="20% - Accent4 16 3 53" xfId="7846"/>
    <cellStyle name="20% - Accent4 16 3 54" xfId="7847"/>
    <cellStyle name="20% - Accent4 16 3 55" xfId="7848"/>
    <cellStyle name="20% - Accent4 16 3 6" xfId="7849"/>
    <cellStyle name="20% - Accent4 16 3 7" xfId="7850"/>
    <cellStyle name="20% - Accent4 16 3 8" xfId="7851"/>
    <cellStyle name="20% - Accent4 16 3 9" xfId="7852"/>
    <cellStyle name="20% - Accent4 17" xfId="7853"/>
    <cellStyle name="20% - Accent4 17 2" xfId="7854"/>
    <cellStyle name="20% - Accent4 17 2 10" xfId="7855"/>
    <cellStyle name="20% - Accent4 17 2 11" xfId="7856"/>
    <cellStyle name="20% - Accent4 17 2 12" xfId="7857"/>
    <cellStyle name="20% - Accent4 17 2 13" xfId="7858"/>
    <cellStyle name="20% - Accent4 17 2 14" xfId="7859"/>
    <cellStyle name="20% - Accent4 17 2 15" xfId="7860"/>
    <cellStyle name="20% - Accent4 17 2 16" xfId="7861"/>
    <cellStyle name="20% - Accent4 17 2 17" xfId="7862"/>
    <cellStyle name="20% - Accent4 17 2 18" xfId="7863"/>
    <cellStyle name="20% - Accent4 17 2 19" xfId="7864"/>
    <cellStyle name="20% - Accent4 17 2 2" xfId="7865"/>
    <cellStyle name="20% - Accent4 17 2 2 2" xfId="7866"/>
    <cellStyle name="20% - Accent4 17 2 20" xfId="7867"/>
    <cellStyle name="20% - Accent4 17 2 21" xfId="7868"/>
    <cellStyle name="20% - Accent4 17 2 22" xfId="7869"/>
    <cellStyle name="20% - Accent4 17 2 23" xfId="7870"/>
    <cellStyle name="20% - Accent4 17 2 24" xfId="7871"/>
    <cellStyle name="20% - Accent4 17 2 25" xfId="7872"/>
    <cellStyle name="20% - Accent4 17 2 26" xfId="7873"/>
    <cellStyle name="20% - Accent4 17 2 27" xfId="7874"/>
    <cellStyle name="20% - Accent4 17 2 28" xfId="7875"/>
    <cellStyle name="20% - Accent4 17 2 29" xfId="7876"/>
    <cellStyle name="20% - Accent4 17 2 3" xfId="7877"/>
    <cellStyle name="20% - Accent4 17 2 30" xfId="7878"/>
    <cellStyle name="20% - Accent4 17 2 31" xfId="7879"/>
    <cellStyle name="20% - Accent4 17 2 32" xfId="7880"/>
    <cellStyle name="20% - Accent4 17 2 33" xfId="7881"/>
    <cellStyle name="20% - Accent4 17 2 34" xfId="7882"/>
    <cellStyle name="20% - Accent4 17 2 35" xfId="7883"/>
    <cellStyle name="20% - Accent4 17 2 36" xfId="7884"/>
    <cellStyle name="20% - Accent4 17 2 37" xfId="7885"/>
    <cellStyle name="20% - Accent4 17 2 38" xfId="7886"/>
    <cellStyle name="20% - Accent4 17 2 39" xfId="7887"/>
    <cellStyle name="20% - Accent4 17 2 4" xfId="7888"/>
    <cellStyle name="20% - Accent4 17 2 40" xfId="7889"/>
    <cellStyle name="20% - Accent4 17 2 41" xfId="7890"/>
    <cellStyle name="20% - Accent4 17 2 42" xfId="7891"/>
    <cellStyle name="20% - Accent4 17 2 43" xfId="7892"/>
    <cellStyle name="20% - Accent4 17 2 44" xfId="7893"/>
    <cellStyle name="20% - Accent4 17 2 45" xfId="7894"/>
    <cellStyle name="20% - Accent4 17 2 46" xfId="7895"/>
    <cellStyle name="20% - Accent4 17 2 47" xfId="7896"/>
    <cellStyle name="20% - Accent4 17 2 48" xfId="7897"/>
    <cellStyle name="20% - Accent4 17 2 49" xfId="7898"/>
    <cellStyle name="20% - Accent4 17 2 5" xfId="7899"/>
    <cellStyle name="20% - Accent4 17 2 50" xfId="7900"/>
    <cellStyle name="20% - Accent4 17 2 51" xfId="7901"/>
    <cellStyle name="20% - Accent4 17 2 52" xfId="7902"/>
    <cellStyle name="20% - Accent4 17 2 53" xfId="7903"/>
    <cellStyle name="20% - Accent4 17 2 54" xfId="7904"/>
    <cellStyle name="20% - Accent4 17 2 55" xfId="7905"/>
    <cellStyle name="20% - Accent4 17 2 6" xfId="7906"/>
    <cellStyle name="20% - Accent4 17 2 7" xfId="7907"/>
    <cellStyle name="20% - Accent4 17 2 8" xfId="7908"/>
    <cellStyle name="20% - Accent4 17 2 9" xfId="7909"/>
    <cellStyle name="20% - Accent4 17 3" xfId="7910"/>
    <cellStyle name="20% - Accent4 17 3 10" xfId="7911"/>
    <cellStyle name="20% - Accent4 17 3 11" xfId="7912"/>
    <cellStyle name="20% - Accent4 17 3 12" xfId="7913"/>
    <cellStyle name="20% - Accent4 17 3 13" xfId="7914"/>
    <cellStyle name="20% - Accent4 17 3 14" xfId="7915"/>
    <cellStyle name="20% - Accent4 17 3 15" xfId="7916"/>
    <cellStyle name="20% - Accent4 17 3 16" xfId="7917"/>
    <cellStyle name="20% - Accent4 17 3 17" xfId="7918"/>
    <cellStyle name="20% - Accent4 17 3 18" xfId="7919"/>
    <cellStyle name="20% - Accent4 17 3 19" xfId="7920"/>
    <cellStyle name="20% - Accent4 17 3 2" xfId="7921"/>
    <cellStyle name="20% - Accent4 17 3 2 2" xfId="7922"/>
    <cellStyle name="20% - Accent4 17 3 20" xfId="7923"/>
    <cellStyle name="20% - Accent4 17 3 21" xfId="7924"/>
    <cellStyle name="20% - Accent4 17 3 22" xfId="7925"/>
    <cellStyle name="20% - Accent4 17 3 23" xfId="7926"/>
    <cellStyle name="20% - Accent4 17 3 24" xfId="7927"/>
    <cellStyle name="20% - Accent4 17 3 25" xfId="7928"/>
    <cellStyle name="20% - Accent4 17 3 26" xfId="7929"/>
    <cellStyle name="20% - Accent4 17 3 27" xfId="7930"/>
    <cellStyle name="20% - Accent4 17 3 28" xfId="7931"/>
    <cellStyle name="20% - Accent4 17 3 29" xfId="7932"/>
    <cellStyle name="20% - Accent4 17 3 3" xfId="7933"/>
    <cellStyle name="20% - Accent4 17 3 30" xfId="7934"/>
    <cellStyle name="20% - Accent4 17 3 31" xfId="7935"/>
    <cellStyle name="20% - Accent4 17 3 32" xfId="7936"/>
    <cellStyle name="20% - Accent4 17 3 33" xfId="7937"/>
    <cellStyle name="20% - Accent4 17 3 34" xfId="7938"/>
    <cellStyle name="20% - Accent4 17 3 35" xfId="7939"/>
    <cellStyle name="20% - Accent4 17 3 36" xfId="7940"/>
    <cellStyle name="20% - Accent4 17 3 37" xfId="7941"/>
    <cellStyle name="20% - Accent4 17 3 38" xfId="7942"/>
    <cellStyle name="20% - Accent4 17 3 39" xfId="7943"/>
    <cellStyle name="20% - Accent4 17 3 4" xfId="7944"/>
    <cellStyle name="20% - Accent4 17 3 40" xfId="7945"/>
    <cellStyle name="20% - Accent4 17 3 41" xfId="7946"/>
    <cellStyle name="20% - Accent4 17 3 42" xfId="7947"/>
    <cellStyle name="20% - Accent4 17 3 43" xfId="7948"/>
    <cellStyle name="20% - Accent4 17 3 44" xfId="7949"/>
    <cellStyle name="20% - Accent4 17 3 45" xfId="7950"/>
    <cellStyle name="20% - Accent4 17 3 46" xfId="7951"/>
    <cellStyle name="20% - Accent4 17 3 47" xfId="7952"/>
    <cellStyle name="20% - Accent4 17 3 48" xfId="7953"/>
    <cellStyle name="20% - Accent4 17 3 49" xfId="7954"/>
    <cellStyle name="20% - Accent4 17 3 5" xfId="7955"/>
    <cellStyle name="20% - Accent4 17 3 50" xfId="7956"/>
    <cellStyle name="20% - Accent4 17 3 51" xfId="7957"/>
    <cellStyle name="20% - Accent4 17 3 52" xfId="7958"/>
    <cellStyle name="20% - Accent4 17 3 53" xfId="7959"/>
    <cellStyle name="20% - Accent4 17 3 54" xfId="7960"/>
    <cellStyle name="20% - Accent4 17 3 55" xfId="7961"/>
    <cellStyle name="20% - Accent4 17 3 6" xfId="7962"/>
    <cellStyle name="20% - Accent4 17 3 7" xfId="7963"/>
    <cellStyle name="20% - Accent4 17 3 8" xfId="7964"/>
    <cellStyle name="20% - Accent4 17 3 9" xfId="7965"/>
    <cellStyle name="20% - Accent4 18" xfId="7966"/>
    <cellStyle name="20% - Accent4 18 2" xfId="7967"/>
    <cellStyle name="20% - Accent4 18 2 10" xfId="7968"/>
    <cellStyle name="20% - Accent4 18 2 11" xfId="7969"/>
    <cellStyle name="20% - Accent4 18 2 12" xfId="7970"/>
    <cellStyle name="20% - Accent4 18 2 13" xfId="7971"/>
    <cellStyle name="20% - Accent4 18 2 14" xfId="7972"/>
    <cellStyle name="20% - Accent4 18 2 15" xfId="7973"/>
    <cellStyle name="20% - Accent4 18 2 16" xfId="7974"/>
    <cellStyle name="20% - Accent4 18 2 17" xfId="7975"/>
    <cellStyle name="20% - Accent4 18 2 18" xfId="7976"/>
    <cellStyle name="20% - Accent4 18 2 19" xfId="7977"/>
    <cellStyle name="20% - Accent4 18 2 2" xfId="7978"/>
    <cellStyle name="20% - Accent4 18 2 2 2" xfId="7979"/>
    <cellStyle name="20% - Accent4 18 2 20" xfId="7980"/>
    <cellStyle name="20% - Accent4 18 2 21" xfId="7981"/>
    <cellStyle name="20% - Accent4 18 2 22" xfId="7982"/>
    <cellStyle name="20% - Accent4 18 2 23" xfId="7983"/>
    <cellStyle name="20% - Accent4 18 2 24" xfId="7984"/>
    <cellStyle name="20% - Accent4 18 2 25" xfId="7985"/>
    <cellStyle name="20% - Accent4 18 2 26" xfId="7986"/>
    <cellStyle name="20% - Accent4 18 2 27" xfId="7987"/>
    <cellStyle name="20% - Accent4 18 2 28" xfId="7988"/>
    <cellStyle name="20% - Accent4 18 2 29" xfId="7989"/>
    <cellStyle name="20% - Accent4 18 2 3" xfId="7990"/>
    <cellStyle name="20% - Accent4 18 2 30" xfId="7991"/>
    <cellStyle name="20% - Accent4 18 2 31" xfId="7992"/>
    <cellStyle name="20% - Accent4 18 2 32" xfId="7993"/>
    <cellStyle name="20% - Accent4 18 2 33" xfId="7994"/>
    <cellStyle name="20% - Accent4 18 2 34" xfId="7995"/>
    <cellStyle name="20% - Accent4 18 2 35" xfId="7996"/>
    <cellStyle name="20% - Accent4 18 2 36" xfId="7997"/>
    <cellStyle name="20% - Accent4 18 2 37" xfId="7998"/>
    <cellStyle name="20% - Accent4 18 2 38" xfId="7999"/>
    <cellStyle name="20% - Accent4 18 2 39" xfId="8000"/>
    <cellStyle name="20% - Accent4 18 2 4" xfId="8001"/>
    <cellStyle name="20% - Accent4 18 2 40" xfId="8002"/>
    <cellStyle name="20% - Accent4 18 2 41" xfId="8003"/>
    <cellStyle name="20% - Accent4 18 2 42" xfId="8004"/>
    <cellStyle name="20% - Accent4 18 2 43" xfId="8005"/>
    <cellStyle name="20% - Accent4 18 2 44" xfId="8006"/>
    <cellStyle name="20% - Accent4 18 2 45" xfId="8007"/>
    <cellStyle name="20% - Accent4 18 2 46" xfId="8008"/>
    <cellStyle name="20% - Accent4 18 2 47" xfId="8009"/>
    <cellStyle name="20% - Accent4 18 2 48" xfId="8010"/>
    <cellStyle name="20% - Accent4 18 2 49" xfId="8011"/>
    <cellStyle name="20% - Accent4 18 2 5" xfId="8012"/>
    <cellStyle name="20% - Accent4 18 2 50" xfId="8013"/>
    <cellStyle name="20% - Accent4 18 2 51" xfId="8014"/>
    <cellStyle name="20% - Accent4 18 2 52" xfId="8015"/>
    <cellStyle name="20% - Accent4 18 2 53" xfId="8016"/>
    <cellStyle name="20% - Accent4 18 2 54" xfId="8017"/>
    <cellStyle name="20% - Accent4 18 2 55" xfId="8018"/>
    <cellStyle name="20% - Accent4 18 2 6" xfId="8019"/>
    <cellStyle name="20% - Accent4 18 2 7" xfId="8020"/>
    <cellStyle name="20% - Accent4 18 2 8" xfId="8021"/>
    <cellStyle name="20% - Accent4 18 2 9" xfId="8022"/>
    <cellStyle name="20% - Accent4 18 3" xfId="8023"/>
    <cellStyle name="20% - Accent4 18 3 10" xfId="8024"/>
    <cellStyle name="20% - Accent4 18 3 11" xfId="8025"/>
    <cellStyle name="20% - Accent4 18 3 12" xfId="8026"/>
    <cellStyle name="20% - Accent4 18 3 13" xfId="8027"/>
    <cellStyle name="20% - Accent4 18 3 14" xfId="8028"/>
    <cellStyle name="20% - Accent4 18 3 15" xfId="8029"/>
    <cellStyle name="20% - Accent4 18 3 16" xfId="8030"/>
    <cellStyle name="20% - Accent4 18 3 17" xfId="8031"/>
    <cellStyle name="20% - Accent4 18 3 18" xfId="8032"/>
    <cellStyle name="20% - Accent4 18 3 19" xfId="8033"/>
    <cellStyle name="20% - Accent4 18 3 2" xfId="8034"/>
    <cellStyle name="20% - Accent4 18 3 2 2" xfId="8035"/>
    <cellStyle name="20% - Accent4 18 3 20" xfId="8036"/>
    <cellStyle name="20% - Accent4 18 3 21" xfId="8037"/>
    <cellStyle name="20% - Accent4 18 3 22" xfId="8038"/>
    <cellStyle name="20% - Accent4 18 3 23" xfId="8039"/>
    <cellStyle name="20% - Accent4 18 3 24" xfId="8040"/>
    <cellStyle name="20% - Accent4 18 3 25" xfId="8041"/>
    <cellStyle name="20% - Accent4 18 3 26" xfId="8042"/>
    <cellStyle name="20% - Accent4 18 3 27" xfId="8043"/>
    <cellStyle name="20% - Accent4 18 3 28" xfId="8044"/>
    <cellStyle name="20% - Accent4 18 3 29" xfId="8045"/>
    <cellStyle name="20% - Accent4 18 3 3" xfId="8046"/>
    <cellStyle name="20% - Accent4 18 3 30" xfId="8047"/>
    <cellStyle name="20% - Accent4 18 3 31" xfId="8048"/>
    <cellStyle name="20% - Accent4 18 3 32" xfId="8049"/>
    <cellStyle name="20% - Accent4 18 3 33" xfId="8050"/>
    <cellStyle name="20% - Accent4 18 3 34" xfId="8051"/>
    <cellStyle name="20% - Accent4 18 3 35" xfId="8052"/>
    <cellStyle name="20% - Accent4 18 3 36" xfId="8053"/>
    <cellStyle name="20% - Accent4 18 3 37" xfId="8054"/>
    <cellStyle name="20% - Accent4 18 3 38" xfId="8055"/>
    <cellStyle name="20% - Accent4 18 3 39" xfId="8056"/>
    <cellStyle name="20% - Accent4 18 3 4" xfId="8057"/>
    <cellStyle name="20% - Accent4 18 3 40" xfId="8058"/>
    <cellStyle name="20% - Accent4 18 3 41" xfId="8059"/>
    <cellStyle name="20% - Accent4 18 3 42" xfId="8060"/>
    <cellStyle name="20% - Accent4 18 3 43" xfId="8061"/>
    <cellStyle name="20% - Accent4 18 3 44" xfId="8062"/>
    <cellStyle name="20% - Accent4 18 3 45" xfId="8063"/>
    <cellStyle name="20% - Accent4 18 3 46" xfId="8064"/>
    <cellStyle name="20% - Accent4 18 3 47" xfId="8065"/>
    <cellStyle name="20% - Accent4 18 3 48" xfId="8066"/>
    <cellStyle name="20% - Accent4 18 3 49" xfId="8067"/>
    <cellStyle name="20% - Accent4 18 3 5" xfId="8068"/>
    <cellStyle name="20% - Accent4 18 3 50" xfId="8069"/>
    <cellStyle name="20% - Accent4 18 3 51" xfId="8070"/>
    <cellStyle name="20% - Accent4 18 3 52" xfId="8071"/>
    <cellStyle name="20% - Accent4 18 3 53" xfId="8072"/>
    <cellStyle name="20% - Accent4 18 3 54" xfId="8073"/>
    <cellStyle name="20% - Accent4 18 3 55" xfId="8074"/>
    <cellStyle name="20% - Accent4 18 3 6" xfId="8075"/>
    <cellStyle name="20% - Accent4 18 3 7" xfId="8076"/>
    <cellStyle name="20% - Accent4 18 3 8" xfId="8077"/>
    <cellStyle name="20% - Accent4 18 3 9" xfId="8078"/>
    <cellStyle name="20% - Accent4 19" xfId="8079"/>
    <cellStyle name="20% - Accent4 2" xfId="8080"/>
    <cellStyle name="20% - Accent4 2 2" xfId="8081"/>
    <cellStyle name="20% - Accent4 2 2 2" xfId="8082"/>
    <cellStyle name="20% - Accent4 2 2 2 10" xfId="8083"/>
    <cellStyle name="20% - Accent4 2 2 2 11" xfId="8084"/>
    <cellStyle name="20% - Accent4 2 2 2 12" xfId="8085"/>
    <cellStyle name="20% - Accent4 2 2 2 13" xfId="8086"/>
    <cellStyle name="20% - Accent4 2 2 2 14" xfId="8087"/>
    <cellStyle name="20% - Accent4 2 2 2 15" xfId="8088"/>
    <cellStyle name="20% - Accent4 2 2 2 16" xfId="8089"/>
    <cellStyle name="20% - Accent4 2 2 2 17" xfId="8090"/>
    <cellStyle name="20% - Accent4 2 2 2 18" xfId="8091"/>
    <cellStyle name="20% - Accent4 2 2 2 19" xfId="8092"/>
    <cellStyle name="20% - Accent4 2 2 2 2" xfId="8093"/>
    <cellStyle name="20% - Accent4 2 2 2 2 2" xfId="8094"/>
    <cellStyle name="20% - Accent4 2 2 2 20" xfId="8095"/>
    <cellStyle name="20% - Accent4 2 2 2 21" xfId="8096"/>
    <cellStyle name="20% - Accent4 2 2 2 22" xfId="8097"/>
    <cellStyle name="20% - Accent4 2 2 2 23" xfId="8098"/>
    <cellStyle name="20% - Accent4 2 2 2 24" xfId="8099"/>
    <cellStyle name="20% - Accent4 2 2 2 25" xfId="8100"/>
    <cellStyle name="20% - Accent4 2 2 2 26" xfId="8101"/>
    <cellStyle name="20% - Accent4 2 2 2 27" xfId="8102"/>
    <cellStyle name="20% - Accent4 2 2 2 28" xfId="8103"/>
    <cellStyle name="20% - Accent4 2 2 2 29" xfId="8104"/>
    <cellStyle name="20% - Accent4 2 2 2 3" xfId="8105"/>
    <cellStyle name="20% - Accent4 2 2 2 30" xfId="8106"/>
    <cellStyle name="20% - Accent4 2 2 2 31" xfId="8107"/>
    <cellStyle name="20% - Accent4 2 2 2 32" xfId="8108"/>
    <cellStyle name="20% - Accent4 2 2 2 33" xfId="8109"/>
    <cellStyle name="20% - Accent4 2 2 2 34" xfId="8110"/>
    <cellStyle name="20% - Accent4 2 2 2 35" xfId="8111"/>
    <cellStyle name="20% - Accent4 2 2 2 36" xfId="8112"/>
    <cellStyle name="20% - Accent4 2 2 2 37" xfId="8113"/>
    <cellStyle name="20% - Accent4 2 2 2 38" xfId="8114"/>
    <cellStyle name="20% - Accent4 2 2 2 39" xfId="8115"/>
    <cellStyle name="20% - Accent4 2 2 2 4" xfId="8116"/>
    <cellStyle name="20% - Accent4 2 2 2 40" xfId="8117"/>
    <cellStyle name="20% - Accent4 2 2 2 41" xfId="8118"/>
    <cellStyle name="20% - Accent4 2 2 2 42" xfId="8119"/>
    <cellStyle name="20% - Accent4 2 2 2 43" xfId="8120"/>
    <cellStyle name="20% - Accent4 2 2 2 44" xfId="8121"/>
    <cellStyle name="20% - Accent4 2 2 2 45" xfId="8122"/>
    <cellStyle name="20% - Accent4 2 2 2 46" xfId="8123"/>
    <cellStyle name="20% - Accent4 2 2 2 47" xfId="8124"/>
    <cellStyle name="20% - Accent4 2 2 2 48" xfId="8125"/>
    <cellStyle name="20% - Accent4 2 2 2 49" xfId="8126"/>
    <cellStyle name="20% - Accent4 2 2 2 5" xfId="8127"/>
    <cellStyle name="20% - Accent4 2 2 2 50" xfId="8128"/>
    <cellStyle name="20% - Accent4 2 2 2 51" xfId="8129"/>
    <cellStyle name="20% - Accent4 2 2 2 52" xfId="8130"/>
    <cellStyle name="20% - Accent4 2 2 2 53" xfId="8131"/>
    <cellStyle name="20% - Accent4 2 2 2 54" xfId="8132"/>
    <cellStyle name="20% - Accent4 2 2 2 55" xfId="8133"/>
    <cellStyle name="20% - Accent4 2 2 2 6" xfId="8134"/>
    <cellStyle name="20% - Accent4 2 2 2 7" xfId="8135"/>
    <cellStyle name="20% - Accent4 2 2 2 8" xfId="8136"/>
    <cellStyle name="20% - Accent4 2 2 2 9" xfId="8137"/>
    <cellStyle name="20% - Accent4 2 2 2_PM Okt 2014 Plan VS Actual Planning Workshop" xfId="8138"/>
    <cellStyle name="20% - Accent4 2 2 3" xfId="8139"/>
    <cellStyle name="20% - Accent4 2 2 3 10" xfId="8140"/>
    <cellStyle name="20% - Accent4 2 2 3 11" xfId="8141"/>
    <cellStyle name="20% - Accent4 2 2 3 12" xfId="8142"/>
    <cellStyle name="20% - Accent4 2 2 3 13" xfId="8143"/>
    <cellStyle name="20% - Accent4 2 2 3 14" xfId="8144"/>
    <cellStyle name="20% - Accent4 2 2 3 15" xfId="8145"/>
    <cellStyle name="20% - Accent4 2 2 3 16" xfId="8146"/>
    <cellStyle name="20% - Accent4 2 2 3 17" xfId="8147"/>
    <cellStyle name="20% - Accent4 2 2 3 18" xfId="8148"/>
    <cellStyle name="20% - Accent4 2 2 3 19" xfId="8149"/>
    <cellStyle name="20% - Accent4 2 2 3 2" xfId="8150"/>
    <cellStyle name="20% - Accent4 2 2 3 2 2" xfId="8151"/>
    <cellStyle name="20% - Accent4 2 2 3 20" xfId="8152"/>
    <cellStyle name="20% - Accent4 2 2 3 21" xfId="8153"/>
    <cellStyle name="20% - Accent4 2 2 3 22" xfId="8154"/>
    <cellStyle name="20% - Accent4 2 2 3 23" xfId="8155"/>
    <cellStyle name="20% - Accent4 2 2 3 24" xfId="8156"/>
    <cellStyle name="20% - Accent4 2 2 3 25" xfId="8157"/>
    <cellStyle name="20% - Accent4 2 2 3 26" xfId="8158"/>
    <cellStyle name="20% - Accent4 2 2 3 27" xfId="8159"/>
    <cellStyle name="20% - Accent4 2 2 3 28" xfId="8160"/>
    <cellStyle name="20% - Accent4 2 2 3 29" xfId="8161"/>
    <cellStyle name="20% - Accent4 2 2 3 3" xfId="8162"/>
    <cellStyle name="20% - Accent4 2 2 3 30" xfId="8163"/>
    <cellStyle name="20% - Accent4 2 2 3 31" xfId="8164"/>
    <cellStyle name="20% - Accent4 2 2 3 32" xfId="8165"/>
    <cellStyle name="20% - Accent4 2 2 3 33" xfId="8166"/>
    <cellStyle name="20% - Accent4 2 2 3 34" xfId="8167"/>
    <cellStyle name="20% - Accent4 2 2 3 35" xfId="8168"/>
    <cellStyle name="20% - Accent4 2 2 3 36" xfId="8169"/>
    <cellStyle name="20% - Accent4 2 2 3 37" xfId="8170"/>
    <cellStyle name="20% - Accent4 2 2 3 38" xfId="8171"/>
    <cellStyle name="20% - Accent4 2 2 3 39" xfId="8172"/>
    <cellStyle name="20% - Accent4 2 2 3 4" xfId="8173"/>
    <cellStyle name="20% - Accent4 2 2 3 40" xfId="8174"/>
    <cellStyle name="20% - Accent4 2 2 3 41" xfId="8175"/>
    <cellStyle name="20% - Accent4 2 2 3 42" xfId="8176"/>
    <cellStyle name="20% - Accent4 2 2 3 43" xfId="8177"/>
    <cellStyle name="20% - Accent4 2 2 3 44" xfId="8178"/>
    <cellStyle name="20% - Accent4 2 2 3 45" xfId="8179"/>
    <cellStyle name="20% - Accent4 2 2 3 46" xfId="8180"/>
    <cellStyle name="20% - Accent4 2 2 3 47" xfId="8181"/>
    <cellStyle name="20% - Accent4 2 2 3 48" xfId="8182"/>
    <cellStyle name="20% - Accent4 2 2 3 49" xfId="8183"/>
    <cellStyle name="20% - Accent4 2 2 3 5" xfId="8184"/>
    <cellStyle name="20% - Accent4 2 2 3 50" xfId="8185"/>
    <cellStyle name="20% - Accent4 2 2 3 51" xfId="8186"/>
    <cellStyle name="20% - Accent4 2 2 3 52" xfId="8187"/>
    <cellStyle name="20% - Accent4 2 2 3 53" xfId="8188"/>
    <cellStyle name="20% - Accent4 2 2 3 54" xfId="8189"/>
    <cellStyle name="20% - Accent4 2 2 3 55" xfId="8190"/>
    <cellStyle name="20% - Accent4 2 2 3 6" xfId="8191"/>
    <cellStyle name="20% - Accent4 2 2 3 7" xfId="8192"/>
    <cellStyle name="20% - Accent4 2 2 3 8" xfId="8193"/>
    <cellStyle name="20% - Accent4 2 2 3 9" xfId="8194"/>
    <cellStyle name="20% - Accent4 2 3" xfId="8195"/>
    <cellStyle name="20% - Accent4 2 3 10" xfId="8196"/>
    <cellStyle name="20% - Accent4 2 3 11" xfId="8197"/>
    <cellStyle name="20% - Accent4 2 3 12" xfId="8198"/>
    <cellStyle name="20% - Accent4 2 3 13" xfId="8199"/>
    <cellStyle name="20% - Accent4 2 3 14" xfId="8200"/>
    <cellStyle name="20% - Accent4 2 3 15" xfId="8201"/>
    <cellStyle name="20% - Accent4 2 3 16" xfId="8202"/>
    <cellStyle name="20% - Accent4 2 3 17" xfId="8203"/>
    <cellStyle name="20% - Accent4 2 3 18" xfId="8204"/>
    <cellStyle name="20% - Accent4 2 3 19" xfId="8205"/>
    <cellStyle name="20% - Accent4 2 3 2" xfId="8206"/>
    <cellStyle name="20% - Accent4 2 3 2 2" xfId="8207"/>
    <cellStyle name="20% - Accent4 2 3 2_PM Okt 2014 Plan VS Actual Planning Workshop" xfId="8208"/>
    <cellStyle name="20% - Accent4 2 3 20" xfId="8209"/>
    <cellStyle name="20% - Accent4 2 3 21" xfId="8210"/>
    <cellStyle name="20% - Accent4 2 3 22" xfId="8211"/>
    <cellStyle name="20% - Accent4 2 3 23" xfId="8212"/>
    <cellStyle name="20% - Accent4 2 3 24" xfId="8213"/>
    <cellStyle name="20% - Accent4 2 3 25" xfId="8214"/>
    <cellStyle name="20% - Accent4 2 3 26" xfId="8215"/>
    <cellStyle name="20% - Accent4 2 3 27" xfId="8216"/>
    <cellStyle name="20% - Accent4 2 3 28" xfId="8217"/>
    <cellStyle name="20% - Accent4 2 3 29" xfId="8218"/>
    <cellStyle name="20% - Accent4 2 3 3" xfId="8219"/>
    <cellStyle name="20% - Accent4 2 3 30" xfId="8220"/>
    <cellStyle name="20% - Accent4 2 3 31" xfId="8221"/>
    <cellStyle name="20% - Accent4 2 3 32" xfId="8222"/>
    <cellStyle name="20% - Accent4 2 3 33" xfId="8223"/>
    <cellStyle name="20% - Accent4 2 3 34" xfId="8224"/>
    <cellStyle name="20% - Accent4 2 3 35" xfId="8225"/>
    <cellStyle name="20% - Accent4 2 3 36" xfId="8226"/>
    <cellStyle name="20% - Accent4 2 3 37" xfId="8227"/>
    <cellStyle name="20% - Accent4 2 3 38" xfId="8228"/>
    <cellStyle name="20% - Accent4 2 3 39" xfId="8229"/>
    <cellStyle name="20% - Accent4 2 3 4" xfId="8230"/>
    <cellStyle name="20% - Accent4 2 3 40" xfId="8231"/>
    <cellStyle name="20% - Accent4 2 3 41" xfId="8232"/>
    <cellStyle name="20% - Accent4 2 3 42" xfId="8233"/>
    <cellStyle name="20% - Accent4 2 3 43" xfId="8234"/>
    <cellStyle name="20% - Accent4 2 3 44" xfId="8235"/>
    <cellStyle name="20% - Accent4 2 3 45" xfId="8236"/>
    <cellStyle name="20% - Accent4 2 3 46" xfId="8237"/>
    <cellStyle name="20% - Accent4 2 3 47" xfId="8238"/>
    <cellStyle name="20% - Accent4 2 3 48" xfId="8239"/>
    <cellStyle name="20% - Accent4 2 3 49" xfId="8240"/>
    <cellStyle name="20% - Accent4 2 3 5" xfId="8241"/>
    <cellStyle name="20% - Accent4 2 3 50" xfId="8242"/>
    <cellStyle name="20% - Accent4 2 3 51" xfId="8243"/>
    <cellStyle name="20% - Accent4 2 3 52" xfId="8244"/>
    <cellStyle name="20% - Accent4 2 3 53" xfId="8245"/>
    <cellStyle name="20% - Accent4 2 3 54" xfId="8246"/>
    <cellStyle name="20% - Accent4 2 3 55" xfId="8247"/>
    <cellStyle name="20% - Accent4 2 3 6" xfId="8248"/>
    <cellStyle name="20% - Accent4 2 3 7" xfId="8249"/>
    <cellStyle name="20% - Accent4 2 3 8" xfId="8250"/>
    <cellStyle name="20% - Accent4 2 3 9" xfId="8251"/>
    <cellStyle name="20% - Accent4 2 4" xfId="8252"/>
    <cellStyle name="20% - Accent4 2 4 2" xfId="8253"/>
    <cellStyle name="20% - Accent4 2 5" xfId="8254"/>
    <cellStyle name="20% - Accent4 2_Asset monitoring board" xfId="8255"/>
    <cellStyle name="20% - Accent4 3" xfId="8256"/>
    <cellStyle name="20% - Accent4 3 2" xfId="8257"/>
    <cellStyle name="20% - Accent4 3 2 10" xfId="8258"/>
    <cellStyle name="20% - Accent4 3 2 11" xfId="8259"/>
    <cellStyle name="20% - Accent4 3 2 12" xfId="8260"/>
    <cellStyle name="20% - Accent4 3 2 13" xfId="8261"/>
    <cellStyle name="20% - Accent4 3 2 14" xfId="8262"/>
    <cellStyle name="20% - Accent4 3 2 15" xfId="8263"/>
    <cellStyle name="20% - Accent4 3 2 16" xfId="8264"/>
    <cellStyle name="20% - Accent4 3 2 17" xfId="8265"/>
    <cellStyle name="20% - Accent4 3 2 18" xfId="8266"/>
    <cellStyle name="20% - Accent4 3 2 19" xfId="8267"/>
    <cellStyle name="20% - Accent4 3 2 2" xfId="8268"/>
    <cellStyle name="20% - Accent4 3 2 2 2" xfId="8269"/>
    <cellStyle name="20% - Accent4 3 2 20" xfId="8270"/>
    <cellStyle name="20% - Accent4 3 2 21" xfId="8271"/>
    <cellStyle name="20% - Accent4 3 2 22" xfId="8272"/>
    <cellStyle name="20% - Accent4 3 2 23" xfId="8273"/>
    <cellStyle name="20% - Accent4 3 2 24" xfId="8274"/>
    <cellStyle name="20% - Accent4 3 2 25" xfId="8275"/>
    <cellStyle name="20% - Accent4 3 2 26" xfId="8276"/>
    <cellStyle name="20% - Accent4 3 2 27" xfId="8277"/>
    <cellStyle name="20% - Accent4 3 2 28" xfId="8278"/>
    <cellStyle name="20% - Accent4 3 2 29" xfId="8279"/>
    <cellStyle name="20% - Accent4 3 2 3" xfId="8280"/>
    <cellStyle name="20% - Accent4 3 2 30" xfId="8281"/>
    <cellStyle name="20% - Accent4 3 2 31" xfId="8282"/>
    <cellStyle name="20% - Accent4 3 2 32" xfId="8283"/>
    <cellStyle name="20% - Accent4 3 2 33" xfId="8284"/>
    <cellStyle name="20% - Accent4 3 2 34" xfId="8285"/>
    <cellStyle name="20% - Accent4 3 2 35" xfId="8286"/>
    <cellStyle name="20% - Accent4 3 2 36" xfId="8287"/>
    <cellStyle name="20% - Accent4 3 2 37" xfId="8288"/>
    <cellStyle name="20% - Accent4 3 2 38" xfId="8289"/>
    <cellStyle name="20% - Accent4 3 2 39" xfId="8290"/>
    <cellStyle name="20% - Accent4 3 2 4" xfId="8291"/>
    <cellStyle name="20% - Accent4 3 2 40" xfId="8292"/>
    <cellStyle name="20% - Accent4 3 2 41" xfId="8293"/>
    <cellStyle name="20% - Accent4 3 2 42" xfId="8294"/>
    <cellStyle name="20% - Accent4 3 2 43" xfId="8295"/>
    <cellStyle name="20% - Accent4 3 2 44" xfId="8296"/>
    <cellStyle name="20% - Accent4 3 2 45" xfId="8297"/>
    <cellStyle name="20% - Accent4 3 2 46" xfId="8298"/>
    <cellStyle name="20% - Accent4 3 2 47" xfId="8299"/>
    <cellStyle name="20% - Accent4 3 2 48" xfId="8300"/>
    <cellStyle name="20% - Accent4 3 2 49" xfId="8301"/>
    <cellStyle name="20% - Accent4 3 2 5" xfId="8302"/>
    <cellStyle name="20% - Accent4 3 2 50" xfId="8303"/>
    <cellStyle name="20% - Accent4 3 2 51" xfId="8304"/>
    <cellStyle name="20% - Accent4 3 2 52" xfId="8305"/>
    <cellStyle name="20% - Accent4 3 2 53" xfId="8306"/>
    <cellStyle name="20% - Accent4 3 2 54" xfId="8307"/>
    <cellStyle name="20% - Accent4 3 2 55" xfId="8308"/>
    <cellStyle name="20% - Accent4 3 2 6" xfId="8309"/>
    <cellStyle name="20% - Accent4 3 2 7" xfId="8310"/>
    <cellStyle name="20% - Accent4 3 2 8" xfId="8311"/>
    <cellStyle name="20% - Accent4 3 2 9" xfId="8312"/>
    <cellStyle name="20% - Accent4 3 3" xfId="8313"/>
    <cellStyle name="20% - Accent4 3 3 10" xfId="8314"/>
    <cellStyle name="20% - Accent4 3 3 11" xfId="8315"/>
    <cellStyle name="20% - Accent4 3 3 12" xfId="8316"/>
    <cellStyle name="20% - Accent4 3 3 13" xfId="8317"/>
    <cellStyle name="20% - Accent4 3 3 14" xfId="8318"/>
    <cellStyle name="20% - Accent4 3 3 15" xfId="8319"/>
    <cellStyle name="20% - Accent4 3 3 16" xfId="8320"/>
    <cellStyle name="20% - Accent4 3 3 17" xfId="8321"/>
    <cellStyle name="20% - Accent4 3 3 18" xfId="8322"/>
    <cellStyle name="20% - Accent4 3 3 19" xfId="8323"/>
    <cellStyle name="20% - Accent4 3 3 2" xfId="8324"/>
    <cellStyle name="20% - Accent4 3 3 2 2" xfId="8325"/>
    <cellStyle name="20% - Accent4 3 3 20" xfId="8326"/>
    <cellStyle name="20% - Accent4 3 3 21" xfId="8327"/>
    <cellStyle name="20% - Accent4 3 3 22" xfId="8328"/>
    <cellStyle name="20% - Accent4 3 3 23" xfId="8329"/>
    <cellStyle name="20% - Accent4 3 3 24" xfId="8330"/>
    <cellStyle name="20% - Accent4 3 3 25" xfId="8331"/>
    <cellStyle name="20% - Accent4 3 3 26" xfId="8332"/>
    <cellStyle name="20% - Accent4 3 3 27" xfId="8333"/>
    <cellStyle name="20% - Accent4 3 3 28" xfId="8334"/>
    <cellStyle name="20% - Accent4 3 3 29" xfId="8335"/>
    <cellStyle name="20% - Accent4 3 3 3" xfId="8336"/>
    <cellStyle name="20% - Accent4 3 3 30" xfId="8337"/>
    <cellStyle name="20% - Accent4 3 3 31" xfId="8338"/>
    <cellStyle name="20% - Accent4 3 3 32" xfId="8339"/>
    <cellStyle name="20% - Accent4 3 3 33" xfId="8340"/>
    <cellStyle name="20% - Accent4 3 3 34" xfId="8341"/>
    <cellStyle name="20% - Accent4 3 3 35" xfId="8342"/>
    <cellStyle name="20% - Accent4 3 3 36" xfId="8343"/>
    <cellStyle name="20% - Accent4 3 3 37" xfId="8344"/>
    <cellStyle name="20% - Accent4 3 3 38" xfId="8345"/>
    <cellStyle name="20% - Accent4 3 3 39" xfId="8346"/>
    <cellStyle name="20% - Accent4 3 3 4" xfId="8347"/>
    <cellStyle name="20% - Accent4 3 3 40" xfId="8348"/>
    <cellStyle name="20% - Accent4 3 3 41" xfId="8349"/>
    <cellStyle name="20% - Accent4 3 3 42" xfId="8350"/>
    <cellStyle name="20% - Accent4 3 3 43" xfId="8351"/>
    <cellStyle name="20% - Accent4 3 3 44" xfId="8352"/>
    <cellStyle name="20% - Accent4 3 3 45" xfId="8353"/>
    <cellStyle name="20% - Accent4 3 3 46" xfId="8354"/>
    <cellStyle name="20% - Accent4 3 3 47" xfId="8355"/>
    <cellStyle name="20% - Accent4 3 3 48" xfId="8356"/>
    <cellStyle name="20% - Accent4 3 3 49" xfId="8357"/>
    <cellStyle name="20% - Accent4 3 3 5" xfId="8358"/>
    <cellStyle name="20% - Accent4 3 3 50" xfId="8359"/>
    <cellStyle name="20% - Accent4 3 3 51" xfId="8360"/>
    <cellStyle name="20% - Accent4 3 3 52" xfId="8361"/>
    <cellStyle name="20% - Accent4 3 3 53" xfId="8362"/>
    <cellStyle name="20% - Accent4 3 3 54" xfId="8363"/>
    <cellStyle name="20% - Accent4 3 3 55" xfId="8364"/>
    <cellStyle name="20% - Accent4 3 3 6" xfId="8365"/>
    <cellStyle name="20% - Accent4 3 3 7" xfId="8366"/>
    <cellStyle name="20% - Accent4 3 3 8" xfId="8367"/>
    <cellStyle name="20% - Accent4 3 3 9" xfId="8368"/>
    <cellStyle name="20% - Accent4 4" xfId="8369"/>
    <cellStyle name="20% - Accent4 4 2" xfId="8370"/>
    <cellStyle name="20% - Accent4 4 2 10" xfId="8371"/>
    <cellStyle name="20% - Accent4 4 2 11" xfId="8372"/>
    <cellStyle name="20% - Accent4 4 2 12" xfId="8373"/>
    <cellStyle name="20% - Accent4 4 2 13" xfId="8374"/>
    <cellStyle name="20% - Accent4 4 2 14" xfId="8375"/>
    <cellStyle name="20% - Accent4 4 2 15" xfId="8376"/>
    <cellStyle name="20% - Accent4 4 2 16" xfId="8377"/>
    <cellStyle name="20% - Accent4 4 2 17" xfId="8378"/>
    <cellStyle name="20% - Accent4 4 2 18" xfId="8379"/>
    <cellStyle name="20% - Accent4 4 2 19" xfId="8380"/>
    <cellStyle name="20% - Accent4 4 2 2" xfId="8381"/>
    <cellStyle name="20% - Accent4 4 2 2 2" xfId="8382"/>
    <cellStyle name="20% - Accent4 4 2 20" xfId="8383"/>
    <cellStyle name="20% - Accent4 4 2 21" xfId="8384"/>
    <cellStyle name="20% - Accent4 4 2 22" xfId="8385"/>
    <cellStyle name="20% - Accent4 4 2 23" xfId="8386"/>
    <cellStyle name="20% - Accent4 4 2 24" xfId="8387"/>
    <cellStyle name="20% - Accent4 4 2 25" xfId="8388"/>
    <cellStyle name="20% - Accent4 4 2 26" xfId="8389"/>
    <cellStyle name="20% - Accent4 4 2 27" xfId="8390"/>
    <cellStyle name="20% - Accent4 4 2 28" xfId="8391"/>
    <cellStyle name="20% - Accent4 4 2 29" xfId="8392"/>
    <cellStyle name="20% - Accent4 4 2 3" xfId="8393"/>
    <cellStyle name="20% - Accent4 4 2 30" xfId="8394"/>
    <cellStyle name="20% - Accent4 4 2 31" xfId="8395"/>
    <cellStyle name="20% - Accent4 4 2 32" xfId="8396"/>
    <cellStyle name="20% - Accent4 4 2 33" xfId="8397"/>
    <cellStyle name="20% - Accent4 4 2 34" xfId="8398"/>
    <cellStyle name="20% - Accent4 4 2 35" xfId="8399"/>
    <cellStyle name="20% - Accent4 4 2 36" xfId="8400"/>
    <cellStyle name="20% - Accent4 4 2 37" xfId="8401"/>
    <cellStyle name="20% - Accent4 4 2 38" xfId="8402"/>
    <cellStyle name="20% - Accent4 4 2 39" xfId="8403"/>
    <cellStyle name="20% - Accent4 4 2 4" xfId="8404"/>
    <cellStyle name="20% - Accent4 4 2 40" xfId="8405"/>
    <cellStyle name="20% - Accent4 4 2 41" xfId="8406"/>
    <cellStyle name="20% - Accent4 4 2 42" xfId="8407"/>
    <cellStyle name="20% - Accent4 4 2 43" xfId="8408"/>
    <cellStyle name="20% - Accent4 4 2 44" xfId="8409"/>
    <cellStyle name="20% - Accent4 4 2 45" xfId="8410"/>
    <cellStyle name="20% - Accent4 4 2 46" xfId="8411"/>
    <cellStyle name="20% - Accent4 4 2 47" xfId="8412"/>
    <cellStyle name="20% - Accent4 4 2 48" xfId="8413"/>
    <cellStyle name="20% - Accent4 4 2 49" xfId="8414"/>
    <cellStyle name="20% - Accent4 4 2 5" xfId="8415"/>
    <cellStyle name="20% - Accent4 4 2 50" xfId="8416"/>
    <cellStyle name="20% - Accent4 4 2 51" xfId="8417"/>
    <cellStyle name="20% - Accent4 4 2 52" xfId="8418"/>
    <cellStyle name="20% - Accent4 4 2 53" xfId="8419"/>
    <cellStyle name="20% - Accent4 4 2 54" xfId="8420"/>
    <cellStyle name="20% - Accent4 4 2 55" xfId="8421"/>
    <cellStyle name="20% - Accent4 4 2 6" xfId="8422"/>
    <cellStyle name="20% - Accent4 4 2 7" xfId="8423"/>
    <cellStyle name="20% - Accent4 4 2 8" xfId="8424"/>
    <cellStyle name="20% - Accent4 4 2 9" xfId="8425"/>
    <cellStyle name="20% - Accent4 4 3" xfId="8426"/>
    <cellStyle name="20% - Accent4 4 3 10" xfId="8427"/>
    <cellStyle name="20% - Accent4 4 3 11" xfId="8428"/>
    <cellStyle name="20% - Accent4 4 3 12" xfId="8429"/>
    <cellStyle name="20% - Accent4 4 3 13" xfId="8430"/>
    <cellStyle name="20% - Accent4 4 3 14" xfId="8431"/>
    <cellStyle name="20% - Accent4 4 3 15" xfId="8432"/>
    <cellStyle name="20% - Accent4 4 3 16" xfId="8433"/>
    <cellStyle name="20% - Accent4 4 3 17" xfId="8434"/>
    <cellStyle name="20% - Accent4 4 3 18" xfId="8435"/>
    <cellStyle name="20% - Accent4 4 3 19" xfId="8436"/>
    <cellStyle name="20% - Accent4 4 3 2" xfId="8437"/>
    <cellStyle name="20% - Accent4 4 3 2 2" xfId="8438"/>
    <cellStyle name="20% - Accent4 4 3 20" xfId="8439"/>
    <cellStyle name="20% - Accent4 4 3 21" xfId="8440"/>
    <cellStyle name="20% - Accent4 4 3 22" xfId="8441"/>
    <cellStyle name="20% - Accent4 4 3 23" xfId="8442"/>
    <cellStyle name="20% - Accent4 4 3 24" xfId="8443"/>
    <cellStyle name="20% - Accent4 4 3 25" xfId="8444"/>
    <cellStyle name="20% - Accent4 4 3 26" xfId="8445"/>
    <cellStyle name="20% - Accent4 4 3 27" xfId="8446"/>
    <cellStyle name="20% - Accent4 4 3 28" xfId="8447"/>
    <cellStyle name="20% - Accent4 4 3 29" xfId="8448"/>
    <cellStyle name="20% - Accent4 4 3 3" xfId="8449"/>
    <cellStyle name="20% - Accent4 4 3 30" xfId="8450"/>
    <cellStyle name="20% - Accent4 4 3 31" xfId="8451"/>
    <cellStyle name="20% - Accent4 4 3 32" xfId="8452"/>
    <cellStyle name="20% - Accent4 4 3 33" xfId="8453"/>
    <cellStyle name="20% - Accent4 4 3 34" xfId="8454"/>
    <cellStyle name="20% - Accent4 4 3 35" xfId="8455"/>
    <cellStyle name="20% - Accent4 4 3 36" xfId="8456"/>
    <cellStyle name="20% - Accent4 4 3 37" xfId="8457"/>
    <cellStyle name="20% - Accent4 4 3 38" xfId="8458"/>
    <cellStyle name="20% - Accent4 4 3 39" xfId="8459"/>
    <cellStyle name="20% - Accent4 4 3 4" xfId="8460"/>
    <cellStyle name="20% - Accent4 4 3 40" xfId="8461"/>
    <cellStyle name="20% - Accent4 4 3 41" xfId="8462"/>
    <cellStyle name="20% - Accent4 4 3 42" xfId="8463"/>
    <cellStyle name="20% - Accent4 4 3 43" xfId="8464"/>
    <cellStyle name="20% - Accent4 4 3 44" xfId="8465"/>
    <cellStyle name="20% - Accent4 4 3 45" xfId="8466"/>
    <cellStyle name="20% - Accent4 4 3 46" xfId="8467"/>
    <cellStyle name="20% - Accent4 4 3 47" xfId="8468"/>
    <cellStyle name="20% - Accent4 4 3 48" xfId="8469"/>
    <cellStyle name="20% - Accent4 4 3 49" xfId="8470"/>
    <cellStyle name="20% - Accent4 4 3 5" xfId="8471"/>
    <cellStyle name="20% - Accent4 4 3 50" xfId="8472"/>
    <cellStyle name="20% - Accent4 4 3 51" xfId="8473"/>
    <cellStyle name="20% - Accent4 4 3 52" xfId="8474"/>
    <cellStyle name="20% - Accent4 4 3 53" xfId="8475"/>
    <cellStyle name="20% - Accent4 4 3 54" xfId="8476"/>
    <cellStyle name="20% - Accent4 4 3 55" xfId="8477"/>
    <cellStyle name="20% - Accent4 4 3 6" xfId="8478"/>
    <cellStyle name="20% - Accent4 4 3 7" xfId="8479"/>
    <cellStyle name="20% - Accent4 4 3 8" xfId="8480"/>
    <cellStyle name="20% - Accent4 4 3 9" xfId="8481"/>
    <cellStyle name="20% - Accent4 4 4" xfId="58361"/>
    <cellStyle name="20% - Accent4 5" xfId="8482"/>
    <cellStyle name="20% - Accent4 5 2" xfId="8483"/>
    <cellStyle name="20% - Accent4 5 2 10" xfId="8484"/>
    <cellStyle name="20% - Accent4 5 2 11" xfId="8485"/>
    <cellStyle name="20% - Accent4 5 2 12" xfId="8486"/>
    <cellStyle name="20% - Accent4 5 2 13" xfId="8487"/>
    <cellStyle name="20% - Accent4 5 2 14" xfId="8488"/>
    <cellStyle name="20% - Accent4 5 2 15" xfId="8489"/>
    <cellStyle name="20% - Accent4 5 2 16" xfId="8490"/>
    <cellStyle name="20% - Accent4 5 2 17" xfId="8491"/>
    <cellStyle name="20% - Accent4 5 2 18" xfId="8492"/>
    <cellStyle name="20% - Accent4 5 2 19" xfId="8493"/>
    <cellStyle name="20% - Accent4 5 2 2" xfId="8494"/>
    <cellStyle name="20% - Accent4 5 2 2 2" xfId="8495"/>
    <cellStyle name="20% - Accent4 5 2 20" xfId="8496"/>
    <cellStyle name="20% - Accent4 5 2 21" xfId="8497"/>
    <cellStyle name="20% - Accent4 5 2 22" xfId="8498"/>
    <cellStyle name="20% - Accent4 5 2 23" xfId="8499"/>
    <cellStyle name="20% - Accent4 5 2 24" xfId="8500"/>
    <cellStyle name="20% - Accent4 5 2 25" xfId="8501"/>
    <cellStyle name="20% - Accent4 5 2 26" xfId="8502"/>
    <cellStyle name="20% - Accent4 5 2 27" xfId="8503"/>
    <cellStyle name="20% - Accent4 5 2 28" xfId="8504"/>
    <cellStyle name="20% - Accent4 5 2 29" xfId="8505"/>
    <cellStyle name="20% - Accent4 5 2 3" xfId="8506"/>
    <cellStyle name="20% - Accent4 5 2 30" xfId="8507"/>
    <cellStyle name="20% - Accent4 5 2 31" xfId="8508"/>
    <cellStyle name="20% - Accent4 5 2 32" xfId="8509"/>
    <cellStyle name="20% - Accent4 5 2 33" xfId="8510"/>
    <cellStyle name="20% - Accent4 5 2 34" xfId="8511"/>
    <cellStyle name="20% - Accent4 5 2 35" xfId="8512"/>
    <cellStyle name="20% - Accent4 5 2 36" xfId="8513"/>
    <cellStyle name="20% - Accent4 5 2 37" xfId="8514"/>
    <cellStyle name="20% - Accent4 5 2 38" xfId="8515"/>
    <cellStyle name="20% - Accent4 5 2 39" xfId="8516"/>
    <cellStyle name="20% - Accent4 5 2 4" xfId="8517"/>
    <cellStyle name="20% - Accent4 5 2 40" xfId="8518"/>
    <cellStyle name="20% - Accent4 5 2 41" xfId="8519"/>
    <cellStyle name="20% - Accent4 5 2 42" xfId="8520"/>
    <cellStyle name="20% - Accent4 5 2 43" xfId="8521"/>
    <cellStyle name="20% - Accent4 5 2 44" xfId="8522"/>
    <cellStyle name="20% - Accent4 5 2 45" xfId="8523"/>
    <cellStyle name="20% - Accent4 5 2 46" xfId="8524"/>
    <cellStyle name="20% - Accent4 5 2 47" xfId="8525"/>
    <cellStyle name="20% - Accent4 5 2 48" xfId="8526"/>
    <cellStyle name="20% - Accent4 5 2 49" xfId="8527"/>
    <cellStyle name="20% - Accent4 5 2 5" xfId="8528"/>
    <cellStyle name="20% - Accent4 5 2 50" xfId="8529"/>
    <cellStyle name="20% - Accent4 5 2 51" xfId="8530"/>
    <cellStyle name="20% - Accent4 5 2 52" xfId="8531"/>
    <cellStyle name="20% - Accent4 5 2 53" xfId="8532"/>
    <cellStyle name="20% - Accent4 5 2 54" xfId="8533"/>
    <cellStyle name="20% - Accent4 5 2 55" xfId="8534"/>
    <cellStyle name="20% - Accent4 5 2 6" xfId="8535"/>
    <cellStyle name="20% - Accent4 5 2 7" xfId="8536"/>
    <cellStyle name="20% - Accent4 5 2 8" xfId="8537"/>
    <cellStyle name="20% - Accent4 5 2 9" xfId="8538"/>
    <cellStyle name="20% - Accent4 5 3" xfId="8539"/>
    <cellStyle name="20% - Accent4 5 3 10" xfId="8540"/>
    <cellStyle name="20% - Accent4 5 3 11" xfId="8541"/>
    <cellStyle name="20% - Accent4 5 3 12" xfId="8542"/>
    <cellStyle name="20% - Accent4 5 3 13" xfId="8543"/>
    <cellStyle name="20% - Accent4 5 3 14" xfId="8544"/>
    <cellStyle name="20% - Accent4 5 3 15" xfId="8545"/>
    <cellStyle name="20% - Accent4 5 3 16" xfId="8546"/>
    <cellStyle name="20% - Accent4 5 3 17" xfId="8547"/>
    <cellStyle name="20% - Accent4 5 3 18" xfId="8548"/>
    <cellStyle name="20% - Accent4 5 3 19" xfId="8549"/>
    <cellStyle name="20% - Accent4 5 3 2" xfId="8550"/>
    <cellStyle name="20% - Accent4 5 3 2 2" xfId="8551"/>
    <cellStyle name="20% - Accent4 5 3 20" xfId="8552"/>
    <cellStyle name="20% - Accent4 5 3 21" xfId="8553"/>
    <cellStyle name="20% - Accent4 5 3 22" xfId="8554"/>
    <cellStyle name="20% - Accent4 5 3 23" xfId="8555"/>
    <cellStyle name="20% - Accent4 5 3 24" xfId="8556"/>
    <cellStyle name="20% - Accent4 5 3 25" xfId="8557"/>
    <cellStyle name="20% - Accent4 5 3 26" xfId="8558"/>
    <cellStyle name="20% - Accent4 5 3 27" xfId="8559"/>
    <cellStyle name="20% - Accent4 5 3 28" xfId="8560"/>
    <cellStyle name="20% - Accent4 5 3 29" xfId="8561"/>
    <cellStyle name="20% - Accent4 5 3 3" xfId="8562"/>
    <cellStyle name="20% - Accent4 5 3 30" xfId="8563"/>
    <cellStyle name="20% - Accent4 5 3 31" xfId="8564"/>
    <cellStyle name="20% - Accent4 5 3 32" xfId="8565"/>
    <cellStyle name="20% - Accent4 5 3 33" xfId="8566"/>
    <cellStyle name="20% - Accent4 5 3 34" xfId="8567"/>
    <cellStyle name="20% - Accent4 5 3 35" xfId="8568"/>
    <cellStyle name="20% - Accent4 5 3 36" xfId="8569"/>
    <cellStyle name="20% - Accent4 5 3 37" xfId="8570"/>
    <cellStyle name="20% - Accent4 5 3 38" xfId="8571"/>
    <cellStyle name="20% - Accent4 5 3 39" xfId="8572"/>
    <cellStyle name="20% - Accent4 5 3 4" xfId="8573"/>
    <cellStyle name="20% - Accent4 5 3 40" xfId="8574"/>
    <cellStyle name="20% - Accent4 5 3 41" xfId="8575"/>
    <cellStyle name="20% - Accent4 5 3 42" xfId="8576"/>
    <cellStyle name="20% - Accent4 5 3 43" xfId="8577"/>
    <cellStyle name="20% - Accent4 5 3 44" xfId="8578"/>
    <cellStyle name="20% - Accent4 5 3 45" xfId="8579"/>
    <cellStyle name="20% - Accent4 5 3 46" xfId="8580"/>
    <cellStyle name="20% - Accent4 5 3 47" xfId="8581"/>
    <cellStyle name="20% - Accent4 5 3 48" xfId="8582"/>
    <cellStyle name="20% - Accent4 5 3 49" xfId="8583"/>
    <cellStyle name="20% - Accent4 5 3 5" xfId="8584"/>
    <cellStyle name="20% - Accent4 5 3 50" xfId="8585"/>
    <cellStyle name="20% - Accent4 5 3 51" xfId="8586"/>
    <cellStyle name="20% - Accent4 5 3 52" xfId="8587"/>
    <cellStyle name="20% - Accent4 5 3 53" xfId="8588"/>
    <cellStyle name="20% - Accent4 5 3 54" xfId="8589"/>
    <cellStyle name="20% - Accent4 5 3 55" xfId="8590"/>
    <cellStyle name="20% - Accent4 5 3 6" xfId="8591"/>
    <cellStyle name="20% - Accent4 5 3 7" xfId="8592"/>
    <cellStyle name="20% - Accent4 5 3 8" xfId="8593"/>
    <cellStyle name="20% - Accent4 5 3 9" xfId="8594"/>
    <cellStyle name="20% - Accent4 6" xfId="8595"/>
    <cellStyle name="20% - Accent4 6 2" xfId="8596"/>
    <cellStyle name="20% - Accent4 6 2 10" xfId="8597"/>
    <cellStyle name="20% - Accent4 6 2 11" xfId="8598"/>
    <cellStyle name="20% - Accent4 6 2 12" xfId="8599"/>
    <cellStyle name="20% - Accent4 6 2 13" xfId="8600"/>
    <cellStyle name="20% - Accent4 6 2 14" xfId="8601"/>
    <cellStyle name="20% - Accent4 6 2 15" xfId="8602"/>
    <cellStyle name="20% - Accent4 6 2 16" xfId="8603"/>
    <cellStyle name="20% - Accent4 6 2 17" xfId="8604"/>
    <cellStyle name="20% - Accent4 6 2 18" xfId="8605"/>
    <cellStyle name="20% - Accent4 6 2 19" xfId="8606"/>
    <cellStyle name="20% - Accent4 6 2 2" xfId="8607"/>
    <cellStyle name="20% - Accent4 6 2 2 2" xfId="8608"/>
    <cellStyle name="20% - Accent4 6 2 20" xfId="8609"/>
    <cellStyle name="20% - Accent4 6 2 21" xfId="8610"/>
    <cellStyle name="20% - Accent4 6 2 22" xfId="8611"/>
    <cellStyle name="20% - Accent4 6 2 23" xfId="8612"/>
    <cellStyle name="20% - Accent4 6 2 24" xfId="8613"/>
    <cellStyle name="20% - Accent4 6 2 25" xfId="8614"/>
    <cellStyle name="20% - Accent4 6 2 26" xfId="8615"/>
    <cellStyle name="20% - Accent4 6 2 27" xfId="8616"/>
    <cellStyle name="20% - Accent4 6 2 28" xfId="8617"/>
    <cellStyle name="20% - Accent4 6 2 29" xfId="8618"/>
    <cellStyle name="20% - Accent4 6 2 3" xfId="8619"/>
    <cellStyle name="20% - Accent4 6 2 30" xfId="8620"/>
    <cellStyle name="20% - Accent4 6 2 31" xfId="8621"/>
    <cellStyle name="20% - Accent4 6 2 32" xfId="8622"/>
    <cellStyle name="20% - Accent4 6 2 33" xfId="8623"/>
    <cellStyle name="20% - Accent4 6 2 34" xfId="8624"/>
    <cellStyle name="20% - Accent4 6 2 35" xfId="8625"/>
    <cellStyle name="20% - Accent4 6 2 36" xfId="8626"/>
    <cellStyle name="20% - Accent4 6 2 37" xfId="8627"/>
    <cellStyle name="20% - Accent4 6 2 38" xfId="8628"/>
    <cellStyle name="20% - Accent4 6 2 39" xfId="8629"/>
    <cellStyle name="20% - Accent4 6 2 4" xfId="8630"/>
    <cellStyle name="20% - Accent4 6 2 40" xfId="8631"/>
    <cellStyle name="20% - Accent4 6 2 41" xfId="8632"/>
    <cellStyle name="20% - Accent4 6 2 42" xfId="8633"/>
    <cellStyle name="20% - Accent4 6 2 43" xfId="8634"/>
    <cellStyle name="20% - Accent4 6 2 44" xfId="8635"/>
    <cellStyle name="20% - Accent4 6 2 45" xfId="8636"/>
    <cellStyle name="20% - Accent4 6 2 46" xfId="8637"/>
    <cellStyle name="20% - Accent4 6 2 47" xfId="8638"/>
    <cellStyle name="20% - Accent4 6 2 48" xfId="8639"/>
    <cellStyle name="20% - Accent4 6 2 49" xfId="8640"/>
    <cellStyle name="20% - Accent4 6 2 5" xfId="8641"/>
    <cellStyle name="20% - Accent4 6 2 50" xfId="8642"/>
    <cellStyle name="20% - Accent4 6 2 51" xfId="8643"/>
    <cellStyle name="20% - Accent4 6 2 52" xfId="8644"/>
    <cellStyle name="20% - Accent4 6 2 53" xfId="8645"/>
    <cellStyle name="20% - Accent4 6 2 54" xfId="8646"/>
    <cellStyle name="20% - Accent4 6 2 55" xfId="8647"/>
    <cellStyle name="20% - Accent4 6 2 6" xfId="8648"/>
    <cellStyle name="20% - Accent4 6 2 7" xfId="8649"/>
    <cellStyle name="20% - Accent4 6 2 8" xfId="8650"/>
    <cellStyle name="20% - Accent4 6 2 9" xfId="8651"/>
    <cellStyle name="20% - Accent4 6 3" xfId="8652"/>
    <cellStyle name="20% - Accent4 6 3 10" xfId="8653"/>
    <cellStyle name="20% - Accent4 6 3 11" xfId="8654"/>
    <cellStyle name="20% - Accent4 6 3 12" xfId="8655"/>
    <cellStyle name="20% - Accent4 6 3 13" xfId="8656"/>
    <cellStyle name="20% - Accent4 6 3 14" xfId="8657"/>
    <cellStyle name="20% - Accent4 6 3 15" xfId="8658"/>
    <cellStyle name="20% - Accent4 6 3 16" xfId="8659"/>
    <cellStyle name="20% - Accent4 6 3 17" xfId="8660"/>
    <cellStyle name="20% - Accent4 6 3 18" xfId="8661"/>
    <cellStyle name="20% - Accent4 6 3 19" xfId="8662"/>
    <cellStyle name="20% - Accent4 6 3 2" xfId="8663"/>
    <cellStyle name="20% - Accent4 6 3 2 2" xfId="8664"/>
    <cellStyle name="20% - Accent4 6 3 20" xfId="8665"/>
    <cellStyle name="20% - Accent4 6 3 21" xfId="8666"/>
    <cellStyle name="20% - Accent4 6 3 22" xfId="8667"/>
    <cellStyle name="20% - Accent4 6 3 23" xfId="8668"/>
    <cellStyle name="20% - Accent4 6 3 24" xfId="8669"/>
    <cellStyle name="20% - Accent4 6 3 25" xfId="8670"/>
    <cellStyle name="20% - Accent4 6 3 26" xfId="8671"/>
    <cellStyle name="20% - Accent4 6 3 27" xfId="8672"/>
    <cellStyle name="20% - Accent4 6 3 28" xfId="8673"/>
    <cellStyle name="20% - Accent4 6 3 29" xfId="8674"/>
    <cellStyle name="20% - Accent4 6 3 3" xfId="8675"/>
    <cellStyle name="20% - Accent4 6 3 30" xfId="8676"/>
    <cellStyle name="20% - Accent4 6 3 31" xfId="8677"/>
    <cellStyle name="20% - Accent4 6 3 32" xfId="8678"/>
    <cellStyle name="20% - Accent4 6 3 33" xfId="8679"/>
    <cellStyle name="20% - Accent4 6 3 34" xfId="8680"/>
    <cellStyle name="20% - Accent4 6 3 35" xfId="8681"/>
    <cellStyle name="20% - Accent4 6 3 36" xfId="8682"/>
    <cellStyle name="20% - Accent4 6 3 37" xfId="8683"/>
    <cellStyle name="20% - Accent4 6 3 38" xfId="8684"/>
    <cellStyle name="20% - Accent4 6 3 39" xfId="8685"/>
    <cellStyle name="20% - Accent4 6 3 4" xfId="8686"/>
    <cellStyle name="20% - Accent4 6 3 40" xfId="8687"/>
    <cellStyle name="20% - Accent4 6 3 41" xfId="8688"/>
    <cellStyle name="20% - Accent4 6 3 42" xfId="8689"/>
    <cellStyle name="20% - Accent4 6 3 43" xfId="8690"/>
    <cellStyle name="20% - Accent4 6 3 44" xfId="8691"/>
    <cellStyle name="20% - Accent4 6 3 45" xfId="8692"/>
    <cellStyle name="20% - Accent4 6 3 46" xfId="8693"/>
    <cellStyle name="20% - Accent4 6 3 47" xfId="8694"/>
    <cellStyle name="20% - Accent4 6 3 48" xfId="8695"/>
    <cellStyle name="20% - Accent4 6 3 49" xfId="8696"/>
    <cellStyle name="20% - Accent4 6 3 5" xfId="8697"/>
    <cellStyle name="20% - Accent4 6 3 50" xfId="8698"/>
    <cellStyle name="20% - Accent4 6 3 51" xfId="8699"/>
    <cellStyle name="20% - Accent4 6 3 52" xfId="8700"/>
    <cellStyle name="20% - Accent4 6 3 53" xfId="8701"/>
    <cellStyle name="20% - Accent4 6 3 54" xfId="8702"/>
    <cellStyle name="20% - Accent4 6 3 55" xfId="8703"/>
    <cellStyle name="20% - Accent4 6 3 6" xfId="8704"/>
    <cellStyle name="20% - Accent4 6 3 7" xfId="8705"/>
    <cellStyle name="20% - Accent4 6 3 8" xfId="8706"/>
    <cellStyle name="20% - Accent4 6 3 9" xfId="8707"/>
    <cellStyle name="20% - Accent4 7" xfId="8708"/>
    <cellStyle name="20% - Accent4 7 2" xfId="8709"/>
    <cellStyle name="20% - Accent4 7 2 10" xfId="8710"/>
    <cellStyle name="20% - Accent4 7 2 11" xfId="8711"/>
    <cellStyle name="20% - Accent4 7 2 12" xfId="8712"/>
    <cellStyle name="20% - Accent4 7 2 13" xfId="8713"/>
    <cellStyle name="20% - Accent4 7 2 14" xfId="8714"/>
    <cellStyle name="20% - Accent4 7 2 15" xfId="8715"/>
    <cellStyle name="20% - Accent4 7 2 16" xfId="8716"/>
    <cellStyle name="20% - Accent4 7 2 17" xfId="8717"/>
    <cellStyle name="20% - Accent4 7 2 18" xfId="8718"/>
    <cellStyle name="20% - Accent4 7 2 19" xfId="8719"/>
    <cellStyle name="20% - Accent4 7 2 2" xfId="8720"/>
    <cellStyle name="20% - Accent4 7 2 2 2" xfId="8721"/>
    <cellStyle name="20% - Accent4 7 2 20" xfId="8722"/>
    <cellStyle name="20% - Accent4 7 2 21" xfId="8723"/>
    <cellStyle name="20% - Accent4 7 2 22" xfId="8724"/>
    <cellStyle name="20% - Accent4 7 2 23" xfId="8725"/>
    <cellStyle name="20% - Accent4 7 2 24" xfId="8726"/>
    <cellStyle name="20% - Accent4 7 2 25" xfId="8727"/>
    <cellStyle name="20% - Accent4 7 2 26" xfId="8728"/>
    <cellStyle name="20% - Accent4 7 2 27" xfId="8729"/>
    <cellStyle name="20% - Accent4 7 2 28" xfId="8730"/>
    <cellStyle name="20% - Accent4 7 2 29" xfId="8731"/>
    <cellStyle name="20% - Accent4 7 2 3" xfId="8732"/>
    <cellStyle name="20% - Accent4 7 2 30" xfId="8733"/>
    <cellStyle name="20% - Accent4 7 2 31" xfId="8734"/>
    <cellStyle name="20% - Accent4 7 2 32" xfId="8735"/>
    <cellStyle name="20% - Accent4 7 2 33" xfId="8736"/>
    <cellStyle name="20% - Accent4 7 2 34" xfId="8737"/>
    <cellStyle name="20% - Accent4 7 2 35" xfId="8738"/>
    <cellStyle name="20% - Accent4 7 2 36" xfId="8739"/>
    <cellStyle name="20% - Accent4 7 2 37" xfId="8740"/>
    <cellStyle name="20% - Accent4 7 2 38" xfId="8741"/>
    <cellStyle name="20% - Accent4 7 2 39" xfId="8742"/>
    <cellStyle name="20% - Accent4 7 2 4" xfId="8743"/>
    <cellStyle name="20% - Accent4 7 2 40" xfId="8744"/>
    <cellStyle name="20% - Accent4 7 2 41" xfId="8745"/>
    <cellStyle name="20% - Accent4 7 2 42" xfId="8746"/>
    <cellStyle name="20% - Accent4 7 2 43" xfId="8747"/>
    <cellStyle name="20% - Accent4 7 2 44" xfId="8748"/>
    <cellStyle name="20% - Accent4 7 2 45" xfId="8749"/>
    <cellStyle name="20% - Accent4 7 2 46" xfId="8750"/>
    <cellStyle name="20% - Accent4 7 2 47" xfId="8751"/>
    <cellStyle name="20% - Accent4 7 2 48" xfId="8752"/>
    <cellStyle name="20% - Accent4 7 2 49" xfId="8753"/>
    <cellStyle name="20% - Accent4 7 2 5" xfId="8754"/>
    <cellStyle name="20% - Accent4 7 2 50" xfId="8755"/>
    <cellStyle name="20% - Accent4 7 2 51" xfId="8756"/>
    <cellStyle name="20% - Accent4 7 2 52" xfId="8757"/>
    <cellStyle name="20% - Accent4 7 2 53" xfId="8758"/>
    <cellStyle name="20% - Accent4 7 2 54" xfId="8759"/>
    <cellStyle name="20% - Accent4 7 2 55" xfId="8760"/>
    <cellStyle name="20% - Accent4 7 2 6" xfId="8761"/>
    <cellStyle name="20% - Accent4 7 2 7" xfId="8762"/>
    <cellStyle name="20% - Accent4 7 2 8" xfId="8763"/>
    <cellStyle name="20% - Accent4 7 2 9" xfId="8764"/>
    <cellStyle name="20% - Accent4 7 3" xfId="8765"/>
    <cellStyle name="20% - Accent4 7 3 10" xfId="8766"/>
    <cellStyle name="20% - Accent4 7 3 11" xfId="8767"/>
    <cellStyle name="20% - Accent4 7 3 12" xfId="8768"/>
    <cellStyle name="20% - Accent4 7 3 13" xfId="8769"/>
    <cellStyle name="20% - Accent4 7 3 14" xfId="8770"/>
    <cellStyle name="20% - Accent4 7 3 15" xfId="8771"/>
    <cellStyle name="20% - Accent4 7 3 16" xfId="8772"/>
    <cellStyle name="20% - Accent4 7 3 17" xfId="8773"/>
    <cellStyle name="20% - Accent4 7 3 18" xfId="8774"/>
    <cellStyle name="20% - Accent4 7 3 19" xfId="8775"/>
    <cellStyle name="20% - Accent4 7 3 2" xfId="8776"/>
    <cellStyle name="20% - Accent4 7 3 2 2" xfId="8777"/>
    <cellStyle name="20% - Accent4 7 3 20" xfId="8778"/>
    <cellStyle name="20% - Accent4 7 3 21" xfId="8779"/>
    <cellStyle name="20% - Accent4 7 3 22" xfId="8780"/>
    <cellStyle name="20% - Accent4 7 3 23" xfId="8781"/>
    <cellStyle name="20% - Accent4 7 3 24" xfId="8782"/>
    <cellStyle name="20% - Accent4 7 3 25" xfId="8783"/>
    <cellStyle name="20% - Accent4 7 3 26" xfId="8784"/>
    <cellStyle name="20% - Accent4 7 3 27" xfId="8785"/>
    <cellStyle name="20% - Accent4 7 3 28" xfId="8786"/>
    <cellStyle name="20% - Accent4 7 3 29" xfId="8787"/>
    <cellStyle name="20% - Accent4 7 3 3" xfId="8788"/>
    <cellStyle name="20% - Accent4 7 3 30" xfId="8789"/>
    <cellStyle name="20% - Accent4 7 3 31" xfId="8790"/>
    <cellStyle name="20% - Accent4 7 3 32" xfId="8791"/>
    <cellStyle name="20% - Accent4 7 3 33" xfId="8792"/>
    <cellStyle name="20% - Accent4 7 3 34" xfId="8793"/>
    <cellStyle name="20% - Accent4 7 3 35" xfId="8794"/>
    <cellStyle name="20% - Accent4 7 3 36" xfId="8795"/>
    <cellStyle name="20% - Accent4 7 3 37" xfId="8796"/>
    <cellStyle name="20% - Accent4 7 3 38" xfId="8797"/>
    <cellStyle name="20% - Accent4 7 3 39" xfId="8798"/>
    <cellStyle name="20% - Accent4 7 3 4" xfId="8799"/>
    <cellStyle name="20% - Accent4 7 3 40" xfId="8800"/>
    <cellStyle name="20% - Accent4 7 3 41" xfId="8801"/>
    <cellStyle name="20% - Accent4 7 3 42" xfId="8802"/>
    <cellStyle name="20% - Accent4 7 3 43" xfId="8803"/>
    <cellStyle name="20% - Accent4 7 3 44" xfId="8804"/>
    <cellStyle name="20% - Accent4 7 3 45" xfId="8805"/>
    <cellStyle name="20% - Accent4 7 3 46" xfId="8806"/>
    <cellStyle name="20% - Accent4 7 3 47" xfId="8807"/>
    <cellStyle name="20% - Accent4 7 3 48" xfId="8808"/>
    <cellStyle name="20% - Accent4 7 3 49" xfId="8809"/>
    <cellStyle name="20% - Accent4 7 3 5" xfId="8810"/>
    <cellStyle name="20% - Accent4 7 3 50" xfId="8811"/>
    <cellStyle name="20% - Accent4 7 3 51" xfId="8812"/>
    <cellStyle name="20% - Accent4 7 3 52" xfId="8813"/>
    <cellStyle name="20% - Accent4 7 3 53" xfId="8814"/>
    <cellStyle name="20% - Accent4 7 3 54" xfId="8815"/>
    <cellStyle name="20% - Accent4 7 3 55" xfId="8816"/>
    <cellStyle name="20% - Accent4 7 3 6" xfId="8817"/>
    <cellStyle name="20% - Accent4 7 3 7" xfId="8818"/>
    <cellStyle name="20% - Accent4 7 3 8" xfId="8819"/>
    <cellStyle name="20% - Accent4 7 3 9" xfId="8820"/>
    <cellStyle name="20% - Accent4 8" xfId="8821"/>
    <cellStyle name="20% - Accent4 8 2" xfId="8822"/>
    <cellStyle name="20% - Accent4 8 2 10" xfId="8823"/>
    <cellStyle name="20% - Accent4 8 2 11" xfId="8824"/>
    <cellStyle name="20% - Accent4 8 2 12" xfId="8825"/>
    <cellStyle name="20% - Accent4 8 2 13" xfId="8826"/>
    <cellStyle name="20% - Accent4 8 2 14" xfId="8827"/>
    <cellStyle name="20% - Accent4 8 2 15" xfId="8828"/>
    <cellStyle name="20% - Accent4 8 2 16" xfId="8829"/>
    <cellStyle name="20% - Accent4 8 2 17" xfId="8830"/>
    <cellStyle name="20% - Accent4 8 2 18" xfId="8831"/>
    <cellStyle name="20% - Accent4 8 2 19" xfId="8832"/>
    <cellStyle name="20% - Accent4 8 2 2" xfId="8833"/>
    <cellStyle name="20% - Accent4 8 2 2 2" xfId="8834"/>
    <cellStyle name="20% - Accent4 8 2 20" xfId="8835"/>
    <cellStyle name="20% - Accent4 8 2 21" xfId="8836"/>
    <cellStyle name="20% - Accent4 8 2 22" xfId="8837"/>
    <cellStyle name="20% - Accent4 8 2 23" xfId="8838"/>
    <cellStyle name="20% - Accent4 8 2 24" xfId="8839"/>
    <cellStyle name="20% - Accent4 8 2 25" xfId="8840"/>
    <cellStyle name="20% - Accent4 8 2 26" xfId="8841"/>
    <cellStyle name="20% - Accent4 8 2 27" xfId="8842"/>
    <cellStyle name="20% - Accent4 8 2 28" xfId="8843"/>
    <cellStyle name="20% - Accent4 8 2 29" xfId="8844"/>
    <cellStyle name="20% - Accent4 8 2 3" xfId="8845"/>
    <cellStyle name="20% - Accent4 8 2 30" xfId="8846"/>
    <cellStyle name="20% - Accent4 8 2 31" xfId="8847"/>
    <cellStyle name="20% - Accent4 8 2 32" xfId="8848"/>
    <cellStyle name="20% - Accent4 8 2 33" xfId="8849"/>
    <cellStyle name="20% - Accent4 8 2 34" xfId="8850"/>
    <cellStyle name="20% - Accent4 8 2 35" xfId="8851"/>
    <cellStyle name="20% - Accent4 8 2 36" xfId="8852"/>
    <cellStyle name="20% - Accent4 8 2 37" xfId="8853"/>
    <cellStyle name="20% - Accent4 8 2 38" xfId="8854"/>
    <cellStyle name="20% - Accent4 8 2 39" xfId="8855"/>
    <cellStyle name="20% - Accent4 8 2 4" xfId="8856"/>
    <cellStyle name="20% - Accent4 8 2 40" xfId="8857"/>
    <cellStyle name="20% - Accent4 8 2 41" xfId="8858"/>
    <cellStyle name="20% - Accent4 8 2 42" xfId="8859"/>
    <cellStyle name="20% - Accent4 8 2 43" xfId="8860"/>
    <cellStyle name="20% - Accent4 8 2 44" xfId="8861"/>
    <cellStyle name="20% - Accent4 8 2 45" xfId="8862"/>
    <cellStyle name="20% - Accent4 8 2 46" xfId="8863"/>
    <cellStyle name="20% - Accent4 8 2 47" xfId="8864"/>
    <cellStyle name="20% - Accent4 8 2 48" xfId="8865"/>
    <cellStyle name="20% - Accent4 8 2 49" xfId="8866"/>
    <cellStyle name="20% - Accent4 8 2 5" xfId="8867"/>
    <cellStyle name="20% - Accent4 8 2 50" xfId="8868"/>
    <cellStyle name="20% - Accent4 8 2 51" xfId="8869"/>
    <cellStyle name="20% - Accent4 8 2 52" xfId="8870"/>
    <cellStyle name="20% - Accent4 8 2 53" xfId="8871"/>
    <cellStyle name="20% - Accent4 8 2 54" xfId="8872"/>
    <cellStyle name="20% - Accent4 8 2 55" xfId="8873"/>
    <cellStyle name="20% - Accent4 8 2 6" xfId="8874"/>
    <cellStyle name="20% - Accent4 8 2 7" xfId="8875"/>
    <cellStyle name="20% - Accent4 8 2 8" xfId="8876"/>
    <cellStyle name="20% - Accent4 8 2 9" xfId="8877"/>
    <cellStyle name="20% - Accent4 8 3" xfId="8878"/>
    <cellStyle name="20% - Accent4 8 3 10" xfId="8879"/>
    <cellStyle name="20% - Accent4 8 3 11" xfId="8880"/>
    <cellStyle name="20% - Accent4 8 3 12" xfId="8881"/>
    <cellStyle name="20% - Accent4 8 3 13" xfId="8882"/>
    <cellStyle name="20% - Accent4 8 3 14" xfId="8883"/>
    <cellStyle name="20% - Accent4 8 3 15" xfId="8884"/>
    <cellStyle name="20% - Accent4 8 3 16" xfId="8885"/>
    <cellStyle name="20% - Accent4 8 3 17" xfId="8886"/>
    <cellStyle name="20% - Accent4 8 3 18" xfId="8887"/>
    <cellStyle name="20% - Accent4 8 3 19" xfId="8888"/>
    <cellStyle name="20% - Accent4 8 3 2" xfId="8889"/>
    <cellStyle name="20% - Accent4 8 3 2 2" xfId="8890"/>
    <cellStyle name="20% - Accent4 8 3 20" xfId="8891"/>
    <cellStyle name="20% - Accent4 8 3 21" xfId="8892"/>
    <cellStyle name="20% - Accent4 8 3 22" xfId="8893"/>
    <cellStyle name="20% - Accent4 8 3 23" xfId="8894"/>
    <cellStyle name="20% - Accent4 8 3 24" xfId="8895"/>
    <cellStyle name="20% - Accent4 8 3 25" xfId="8896"/>
    <cellStyle name="20% - Accent4 8 3 26" xfId="8897"/>
    <cellStyle name="20% - Accent4 8 3 27" xfId="8898"/>
    <cellStyle name="20% - Accent4 8 3 28" xfId="8899"/>
    <cellStyle name="20% - Accent4 8 3 29" xfId="8900"/>
    <cellStyle name="20% - Accent4 8 3 3" xfId="8901"/>
    <cellStyle name="20% - Accent4 8 3 30" xfId="8902"/>
    <cellStyle name="20% - Accent4 8 3 31" xfId="8903"/>
    <cellStyle name="20% - Accent4 8 3 32" xfId="8904"/>
    <cellStyle name="20% - Accent4 8 3 33" xfId="8905"/>
    <cellStyle name="20% - Accent4 8 3 34" xfId="8906"/>
    <cellStyle name="20% - Accent4 8 3 35" xfId="8907"/>
    <cellStyle name="20% - Accent4 8 3 36" xfId="8908"/>
    <cellStyle name="20% - Accent4 8 3 37" xfId="8909"/>
    <cellStyle name="20% - Accent4 8 3 38" xfId="8910"/>
    <cellStyle name="20% - Accent4 8 3 39" xfId="8911"/>
    <cellStyle name="20% - Accent4 8 3 4" xfId="8912"/>
    <cellStyle name="20% - Accent4 8 3 40" xfId="8913"/>
    <cellStyle name="20% - Accent4 8 3 41" xfId="8914"/>
    <cellStyle name="20% - Accent4 8 3 42" xfId="8915"/>
    <cellStyle name="20% - Accent4 8 3 43" xfId="8916"/>
    <cellStyle name="20% - Accent4 8 3 44" xfId="8917"/>
    <cellStyle name="20% - Accent4 8 3 45" xfId="8918"/>
    <cellStyle name="20% - Accent4 8 3 46" xfId="8919"/>
    <cellStyle name="20% - Accent4 8 3 47" xfId="8920"/>
    <cellStyle name="20% - Accent4 8 3 48" xfId="8921"/>
    <cellStyle name="20% - Accent4 8 3 49" xfId="8922"/>
    <cellStyle name="20% - Accent4 8 3 5" xfId="8923"/>
    <cellStyle name="20% - Accent4 8 3 50" xfId="8924"/>
    <cellStyle name="20% - Accent4 8 3 51" xfId="8925"/>
    <cellStyle name="20% - Accent4 8 3 52" xfId="8926"/>
    <cellStyle name="20% - Accent4 8 3 53" xfId="8927"/>
    <cellStyle name="20% - Accent4 8 3 54" xfId="8928"/>
    <cellStyle name="20% - Accent4 8 3 55" xfId="8929"/>
    <cellStyle name="20% - Accent4 8 3 6" xfId="8930"/>
    <cellStyle name="20% - Accent4 8 3 7" xfId="8931"/>
    <cellStyle name="20% - Accent4 8 3 8" xfId="8932"/>
    <cellStyle name="20% - Accent4 8 3 9" xfId="8933"/>
    <cellStyle name="20% - Accent4 9" xfId="8934"/>
    <cellStyle name="20% - Accent4 9 2" xfId="8935"/>
    <cellStyle name="20% - Accent4 9 2 10" xfId="8936"/>
    <cellStyle name="20% - Accent4 9 2 11" xfId="8937"/>
    <cellStyle name="20% - Accent4 9 2 12" xfId="8938"/>
    <cellStyle name="20% - Accent4 9 2 13" xfId="8939"/>
    <cellStyle name="20% - Accent4 9 2 14" xfId="8940"/>
    <cellStyle name="20% - Accent4 9 2 15" xfId="8941"/>
    <cellStyle name="20% - Accent4 9 2 16" xfId="8942"/>
    <cellStyle name="20% - Accent4 9 2 17" xfId="8943"/>
    <cellStyle name="20% - Accent4 9 2 18" xfId="8944"/>
    <cellStyle name="20% - Accent4 9 2 19" xfId="8945"/>
    <cellStyle name="20% - Accent4 9 2 2" xfId="8946"/>
    <cellStyle name="20% - Accent4 9 2 2 2" xfId="8947"/>
    <cellStyle name="20% - Accent4 9 2 20" xfId="8948"/>
    <cellStyle name="20% - Accent4 9 2 21" xfId="8949"/>
    <cellStyle name="20% - Accent4 9 2 22" xfId="8950"/>
    <cellStyle name="20% - Accent4 9 2 23" xfId="8951"/>
    <cellStyle name="20% - Accent4 9 2 24" xfId="8952"/>
    <cellStyle name="20% - Accent4 9 2 25" xfId="8953"/>
    <cellStyle name="20% - Accent4 9 2 26" xfId="8954"/>
    <cellStyle name="20% - Accent4 9 2 27" xfId="8955"/>
    <cellStyle name="20% - Accent4 9 2 28" xfId="8956"/>
    <cellStyle name="20% - Accent4 9 2 29" xfId="8957"/>
    <cellStyle name="20% - Accent4 9 2 3" xfId="8958"/>
    <cellStyle name="20% - Accent4 9 2 30" xfId="8959"/>
    <cellStyle name="20% - Accent4 9 2 31" xfId="8960"/>
    <cellStyle name="20% - Accent4 9 2 32" xfId="8961"/>
    <cellStyle name="20% - Accent4 9 2 33" xfId="8962"/>
    <cellStyle name="20% - Accent4 9 2 34" xfId="8963"/>
    <cellStyle name="20% - Accent4 9 2 35" xfId="8964"/>
    <cellStyle name="20% - Accent4 9 2 36" xfId="8965"/>
    <cellStyle name="20% - Accent4 9 2 37" xfId="8966"/>
    <cellStyle name="20% - Accent4 9 2 38" xfId="8967"/>
    <cellStyle name="20% - Accent4 9 2 39" xfId="8968"/>
    <cellStyle name="20% - Accent4 9 2 4" xfId="8969"/>
    <cellStyle name="20% - Accent4 9 2 40" xfId="8970"/>
    <cellStyle name="20% - Accent4 9 2 41" xfId="8971"/>
    <cellStyle name="20% - Accent4 9 2 42" xfId="8972"/>
    <cellStyle name="20% - Accent4 9 2 43" xfId="8973"/>
    <cellStyle name="20% - Accent4 9 2 44" xfId="8974"/>
    <cellStyle name="20% - Accent4 9 2 45" xfId="8975"/>
    <cellStyle name="20% - Accent4 9 2 46" xfId="8976"/>
    <cellStyle name="20% - Accent4 9 2 47" xfId="8977"/>
    <cellStyle name="20% - Accent4 9 2 48" xfId="8978"/>
    <cellStyle name="20% - Accent4 9 2 49" xfId="8979"/>
    <cellStyle name="20% - Accent4 9 2 5" xfId="8980"/>
    <cellStyle name="20% - Accent4 9 2 50" xfId="8981"/>
    <cellStyle name="20% - Accent4 9 2 51" xfId="8982"/>
    <cellStyle name="20% - Accent4 9 2 52" xfId="8983"/>
    <cellStyle name="20% - Accent4 9 2 53" xfId="8984"/>
    <cellStyle name="20% - Accent4 9 2 54" xfId="8985"/>
    <cellStyle name="20% - Accent4 9 2 55" xfId="8986"/>
    <cellStyle name="20% - Accent4 9 2 6" xfId="8987"/>
    <cellStyle name="20% - Accent4 9 2 7" xfId="8988"/>
    <cellStyle name="20% - Accent4 9 2 8" xfId="8989"/>
    <cellStyle name="20% - Accent4 9 2 9" xfId="8990"/>
    <cellStyle name="20% - Accent4 9 3" xfId="8991"/>
    <cellStyle name="20% - Accent4 9 3 10" xfId="8992"/>
    <cellStyle name="20% - Accent4 9 3 11" xfId="8993"/>
    <cellStyle name="20% - Accent4 9 3 12" xfId="8994"/>
    <cellStyle name="20% - Accent4 9 3 13" xfId="8995"/>
    <cellStyle name="20% - Accent4 9 3 14" xfId="8996"/>
    <cellStyle name="20% - Accent4 9 3 15" xfId="8997"/>
    <cellStyle name="20% - Accent4 9 3 16" xfId="8998"/>
    <cellStyle name="20% - Accent4 9 3 17" xfId="8999"/>
    <cellStyle name="20% - Accent4 9 3 18" xfId="9000"/>
    <cellStyle name="20% - Accent4 9 3 19" xfId="9001"/>
    <cellStyle name="20% - Accent4 9 3 2" xfId="9002"/>
    <cellStyle name="20% - Accent4 9 3 2 2" xfId="9003"/>
    <cellStyle name="20% - Accent4 9 3 20" xfId="9004"/>
    <cellStyle name="20% - Accent4 9 3 21" xfId="9005"/>
    <cellStyle name="20% - Accent4 9 3 22" xfId="9006"/>
    <cellStyle name="20% - Accent4 9 3 23" xfId="9007"/>
    <cellStyle name="20% - Accent4 9 3 24" xfId="9008"/>
    <cellStyle name="20% - Accent4 9 3 25" xfId="9009"/>
    <cellStyle name="20% - Accent4 9 3 26" xfId="9010"/>
    <cellStyle name="20% - Accent4 9 3 27" xfId="9011"/>
    <cellStyle name="20% - Accent4 9 3 28" xfId="9012"/>
    <cellStyle name="20% - Accent4 9 3 29" xfId="9013"/>
    <cellStyle name="20% - Accent4 9 3 3" xfId="9014"/>
    <cellStyle name="20% - Accent4 9 3 30" xfId="9015"/>
    <cellStyle name="20% - Accent4 9 3 31" xfId="9016"/>
    <cellStyle name="20% - Accent4 9 3 32" xfId="9017"/>
    <cellStyle name="20% - Accent4 9 3 33" xfId="9018"/>
    <cellStyle name="20% - Accent4 9 3 34" xfId="9019"/>
    <cellStyle name="20% - Accent4 9 3 35" xfId="9020"/>
    <cellStyle name="20% - Accent4 9 3 36" xfId="9021"/>
    <cellStyle name="20% - Accent4 9 3 37" xfId="9022"/>
    <cellStyle name="20% - Accent4 9 3 38" xfId="9023"/>
    <cellStyle name="20% - Accent4 9 3 39" xfId="9024"/>
    <cellStyle name="20% - Accent4 9 3 4" xfId="9025"/>
    <cellStyle name="20% - Accent4 9 3 40" xfId="9026"/>
    <cellStyle name="20% - Accent4 9 3 41" xfId="9027"/>
    <cellStyle name="20% - Accent4 9 3 42" xfId="9028"/>
    <cellStyle name="20% - Accent4 9 3 43" xfId="9029"/>
    <cellStyle name="20% - Accent4 9 3 44" xfId="9030"/>
    <cellStyle name="20% - Accent4 9 3 45" xfId="9031"/>
    <cellStyle name="20% - Accent4 9 3 46" xfId="9032"/>
    <cellStyle name="20% - Accent4 9 3 47" xfId="9033"/>
    <cellStyle name="20% - Accent4 9 3 48" xfId="9034"/>
    <cellStyle name="20% - Accent4 9 3 49" xfId="9035"/>
    <cellStyle name="20% - Accent4 9 3 5" xfId="9036"/>
    <cellStyle name="20% - Accent4 9 3 50" xfId="9037"/>
    <cellStyle name="20% - Accent4 9 3 51" xfId="9038"/>
    <cellStyle name="20% - Accent4 9 3 52" xfId="9039"/>
    <cellStyle name="20% - Accent4 9 3 53" xfId="9040"/>
    <cellStyle name="20% - Accent4 9 3 54" xfId="9041"/>
    <cellStyle name="20% - Accent4 9 3 55" xfId="9042"/>
    <cellStyle name="20% - Accent4 9 3 6" xfId="9043"/>
    <cellStyle name="20% - Accent4 9 3 7" xfId="9044"/>
    <cellStyle name="20% - Accent4 9 3 8" xfId="9045"/>
    <cellStyle name="20% - Accent4 9 3 9" xfId="9046"/>
    <cellStyle name="20% - Accent5 10" xfId="9047"/>
    <cellStyle name="20% - Accent5 10 2" xfId="9048"/>
    <cellStyle name="20% - Accent5 10 2 10" xfId="9049"/>
    <cellStyle name="20% - Accent5 10 2 11" xfId="9050"/>
    <cellStyle name="20% - Accent5 10 2 12" xfId="9051"/>
    <cellStyle name="20% - Accent5 10 2 13" xfId="9052"/>
    <cellStyle name="20% - Accent5 10 2 14" xfId="9053"/>
    <cellStyle name="20% - Accent5 10 2 15" xfId="9054"/>
    <cellStyle name="20% - Accent5 10 2 16" xfId="9055"/>
    <cellStyle name="20% - Accent5 10 2 17" xfId="9056"/>
    <cellStyle name="20% - Accent5 10 2 18" xfId="9057"/>
    <cellStyle name="20% - Accent5 10 2 19" xfId="9058"/>
    <cellStyle name="20% - Accent5 10 2 2" xfId="9059"/>
    <cellStyle name="20% - Accent5 10 2 2 2" xfId="9060"/>
    <cellStyle name="20% - Accent5 10 2 20" xfId="9061"/>
    <cellStyle name="20% - Accent5 10 2 21" xfId="9062"/>
    <cellStyle name="20% - Accent5 10 2 22" xfId="9063"/>
    <cellStyle name="20% - Accent5 10 2 23" xfId="9064"/>
    <cellStyle name="20% - Accent5 10 2 24" xfId="9065"/>
    <cellStyle name="20% - Accent5 10 2 25" xfId="9066"/>
    <cellStyle name="20% - Accent5 10 2 26" xfId="9067"/>
    <cellStyle name="20% - Accent5 10 2 27" xfId="9068"/>
    <cellStyle name="20% - Accent5 10 2 28" xfId="9069"/>
    <cellStyle name="20% - Accent5 10 2 29" xfId="9070"/>
    <cellStyle name="20% - Accent5 10 2 3" xfId="9071"/>
    <cellStyle name="20% - Accent5 10 2 30" xfId="9072"/>
    <cellStyle name="20% - Accent5 10 2 31" xfId="9073"/>
    <cellStyle name="20% - Accent5 10 2 32" xfId="9074"/>
    <cellStyle name="20% - Accent5 10 2 33" xfId="9075"/>
    <cellStyle name="20% - Accent5 10 2 34" xfId="9076"/>
    <cellStyle name="20% - Accent5 10 2 35" xfId="9077"/>
    <cellStyle name="20% - Accent5 10 2 36" xfId="9078"/>
    <cellStyle name="20% - Accent5 10 2 37" xfId="9079"/>
    <cellStyle name="20% - Accent5 10 2 38" xfId="9080"/>
    <cellStyle name="20% - Accent5 10 2 39" xfId="9081"/>
    <cellStyle name="20% - Accent5 10 2 4" xfId="9082"/>
    <cellStyle name="20% - Accent5 10 2 40" xfId="9083"/>
    <cellStyle name="20% - Accent5 10 2 41" xfId="9084"/>
    <cellStyle name="20% - Accent5 10 2 42" xfId="9085"/>
    <cellStyle name="20% - Accent5 10 2 43" xfId="9086"/>
    <cellStyle name="20% - Accent5 10 2 44" xfId="9087"/>
    <cellStyle name="20% - Accent5 10 2 45" xfId="9088"/>
    <cellStyle name="20% - Accent5 10 2 46" xfId="9089"/>
    <cellStyle name="20% - Accent5 10 2 47" xfId="9090"/>
    <cellStyle name="20% - Accent5 10 2 48" xfId="9091"/>
    <cellStyle name="20% - Accent5 10 2 49" xfId="9092"/>
    <cellStyle name="20% - Accent5 10 2 5" xfId="9093"/>
    <cellStyle name="20% - Accent5 10 2 50" xfId="9094"/>
    <cellStyle name="20% - Accent5 10 2 51" xfId="9095"/>
    <cellStyle name="20% - Accent5 10 2 52" xfId="9096"/>
    <cellStyle name="20% - Accent5 10 2 53" xfId="9097"/>
    <cellStyle name="20% - Accent5 10 2 54" xfId="9098"/>
    <cellStyle name="20% - Accent5 10 2 55" xfId="9099"/>
    <cellStyle name="20% - Accent5 10 2 6" xfId="9100"/>
    <cellStyle name="20% - Accent5 10 2 7" xfId="9101"/>
    <cellStyle name="20% - Accent5 10 2 8" xfId="9102"/>
    <cellStyle name="20% - Accent5 10 2 9" xfId="9103"/>
    <cellStyle name="20% - Accent5 10 3" xfId="9104"/>
    <cellStyle name="20% - Accent5 10 3 10" xfId="9105"/>
    <cellStyle name="20% - Accent5 10 3 11" xfId="9106"/>
    <cellStyle name="20% - Accent5 10 3 12" xfId="9107"/>
    <cellStyle name="20% - Accent5 10 3 13" xfId="9108"/>
    <cellStyle name="20% - Accent5 10 3 14" xfId="9109"/>
    <cellStyle name="20% - Accent5 10 3 15" xfId="9110"/>
    <cellStyle name="20% - Accent5 10 3 16" xfId="9111"/>
    <cellStyle name="20% - Accent5 10 3 17" xfId="9112"/>
    <cellStyle name="20% - Accent5 10 3 18" xfId="9113"/>
    <cellStyle name="20% - Accent5 10 3 19" xfId="9114"/>
    <cellStyle name="20% - Accent5 10 3 2" xfId="9115"/>
    <cellStyle name="20% - Accent5 10 3 2 2" xfId="9116"/>
    <cellStyle name="20% - Accent5 10 3 20" xfId="9117"/>
    <cellStyle name="20% - Accent5 10 3 21" xfId="9118"/>
    <cellStyle name="20% - Accent5 10 3 22" xfId="9119"/>
    <cellStyle name="20% - Accent5 10 3 23" xfId="9120"/>
    <cellStyle name="20% - Accent5 10 3 24" xfId="9121"/>
    <cellStyle name="20% - Accent5 10 3 25" xfId="9122"/>
    <cellStyle name="20% - Accent5 10 3 26" xfId="9123"/>
    <cellStyle name="20% - Accent5 10 3 27" xfId="9124"/>
    <cellStyle name="20% - Accent5 10 3 28" xfId="9125"/>
    <cellStyle name="20% - Accent5 10 3 29" xfId="9126"/>
    <cellStyle name="20% - Accent5 10 3 3" xfId="9127"/>
    <cellStyle name="20% - Accent5 10 3 30" xfId="9128"/>
    <cellStyle name="20% - Accent5 10 3 31" xfId="9129"/>
    <cellStyle name="20% - Accent5 10 3 32" xfId="9130"/>
    <cellStyle name="20% - Accent5 10 3 33" xfId="9131"/>
    <cellStyle name="20% - Accent5 10 3 34" xfId="9132"/>
    <cellStyle name="20% - Accent5 10 3 35" xfId="9133"/>
    <cellStyle name="20% - Accent5 10 3 36" xfId="9134"/>
    <cellStyle name="20% - Accent5 10 3 37" xfId="9135"/>
    <cellStyle name="20% - Accent5 10 3 38" xfId="9136"/>
    <cellStyle name="20% - Accent5 10 3 39" xfId="9137"/>
    <cellStyle name="20% - Accent5 10 3 4" xfId="9138"/>
    <cellStyle name="20% - Accent5 10 3 40" xfId="9139"/>
    <cellStyle name="20% - Accent5 10 3 41" xfId="9140"/>
    <cellStyle name="20% - Accent5 10 3 42" xfId="9141"/>
    <cellStyle name="20% - Accent5 10 3 43" xfId="9142"/>
    <cellStyle name="20% - Accent5 10 3 44" xfId="9143"/>
    <cellStyle name="20% - Accent5 10 3 45" xfId="9144"/>
    <cellStyle name="20% - Accent5 10 3 46" xfId="9145"/>
    <cellStyle name="20% - Accent5 10 3 47" xfId="9146"/>
    <cellStyle name="20% - Accent5 10 3 48" xfId="9147"/>
    <cellStyle name="20% - Accent5 10 3 49" xfId="9148"/>
    <cellStyle name="20% - Accent5 10 3 5" xfId="9149"/>
    <cellStyle name="20% - Accent5 10 3 50" xfId="9150"/>
    <cellStyle name="20% - Accent5 10 3 51" xfId="9151"/>
    <cellStyle name="20% - Accent5 10 3 52" xfId="9152"/>
    <cellStyle name="20% - Accent5 10 3 53" xfId="9153"/>
    <cellStyle name="20% - Accent5 10 3 54" xfId="9154"/>
    <cellStyle name="20% - Accent5 10 3 55" xfId="9155"/>
    <cellStyle name="20% - Accent5 10 3 6" xfId="9156"/>
    <cellStyle name="20% - Accent5 10 3 7" xfId="9157"/>
    <cellStyle name="20% - Accent5 10 3 8" xfId="9158"/>
    <cellStyle name="20% - Accent5 10 3 9" xfId="9159"/>
    <cellStyle name="20% - Accent5 11" xfId="9160"/>
    <cellStyle name="20% - Accent5 11 2" xfId="9161"/>
    <cellStyle name="20% - Accent5 11 2 10" xfId="9162"/>
    <cellStyle name="20% - Accent5 11 2 11" xfId="9163"/>
    <cellStyle name="20% - Accent5 11 2 12" xfId="9164"/>
    <cellStyle name="20% - Accent5 11 2 13" xfId="9165"/>
    <cellStyle name="20% - Accent5 11 2 14" xfId="9166"/>
    <cellStyle name="20% - Accent5 11 2 15" xfId="9167"/>
    <cellStyle name="20% - Accent5 11 2 16" xfId="9168"/>
    <cellStyle name="20% - Accent5 11 2 17" xfId="9169"/>
    <cellStyle name="20% - Accent5 11 2 18" xfId="9170"/>
    <cellStyle name="20% - Accent5 11 2 19" xfId="9171"/>
    <cellStyle name="20% - Accent5 11 2 2" xfId="9172"/>
    <cellStyle name="20% - Accent5 11 2 2 2" xfId="9173"/>
    <cellStyle name="20% - Accent5 11 2 20" xfId="9174"/>
    <cellStyle name="20% - Accent5 11 2 21" xfId="9175"/>
    <cellStyle name="20% - Accent5 11 2 22" xfId="9176"/>
    <cellStyle name="20% - Accent5 11 2 23" xfId="9177"/>
    <cellStyle name="20% - Accent5 11 2 24" xfId="9178"/>
    <cellStyle name="20% - Accent5 11 2 25" xfId="9179"/>
    <cellStyle name="20% - Accent5 11 2 26" xfId="9180"/>
    <cellStyle name="20% - Accent5 11 2 27" xfId="9181"/>
    <cellStyle name="20% - Accent5 11 2 28" xfId="9182"/>
    <cellStyle name="20% - Accent5 11 2 29" xfId="9183"/>
    <cellStyle name="20% - Accent5 11 2 3" xfId="9184"/>
    <cellStyle name="20% - Accent5 11 2 30" xfId="9185"/>
    <cellStyle name="20% - Accent5 11 2 31" xfId="9186"/>
    <cellStyle name="20% - Accent5 11 2 32" xfId="9187"/>
    <cellStyle name="20% - Accent5 11 2 33" xfId="9188"/>
    <cellStyle name="20% - Accent5 11 2 34" xfId="9189"/>
    <cellStyle name="20% - Accent5 11 2 35" xfId="9190"/>
    <cellStyle name="20% - Accent5 11 2 36" xfId="9191"/>
    <cellStyle name="20% - Accent5 11 2 37" xfId="9192"/>
    <cellStyle name="20% - Accent5 11 2 38" xfId="9193"/>
    <cellStyle name="20% - Accent5 11 2 39" xfId="9194"/>
    <cellStyle name="20% - Accent5 11 2 4" xfId="9195"/>
    <cellStyle name="20% - Accent5 11 2 40" xfId="9196"/>
    <cellStyle name="20% - Accent5 11 2 41" xfId="9197"/>
    <cellStyle name="20% - Accent5 11 2 42" xfId="9198"/>
    <cellStyle name="20% - Accent5 11 2 43" xfId="9199"/>
    <cellStyle name="20% - Accent5 11 2 44" xfId="9200"/>
    <cellStyle name="20% - Accent5 11 2 45" xfId="9201"/>
    <cellStyle name="20% - Accent5 11 2 46" xfId="9202"/>
    <cellStyle name="20% - Accent5 11 2 47" xfId="9203"/>
    <cellStyle name="20% - Accent5 11 2 48" xfId="9204"/>
    <cellStyle name="20% - Accent5 11 2 49" xfId="9205"/>
    <cellStyle name="20% - Accent5 11 2 5" xfId="9206"/>
    <cellStyle name="20% - Accent5 11 2 50" xfId="9207"/>
    <cellStyle name="20% - Accent5 11 2 51" xfId="9208"/>
    <cellStyle name="20% - Accent5 11 2 52" xfId="9209"/>
    <cellStyle name="20% - Accent5 11 2 53" xfId="9210"/>
    <cellStyle name="20% - Accent5 11 2 54" xfId="9211"/>
    <cellStyle name="20% - Accent5 11 2 55" xfId="9212"/>
    <cellStyle name="20% - Accent5 11 2 6" xfId="9213"/>
    <cellStyle name="20% - Accent5 11 2 7" xfId="9214"/>
    <cellStyle name="20% - Accent5 11 2 8" xfId="9215"/>
    <cellStyle name="20% - Accent5 11 2 9" xfId="9216"/>
    <cellStyle name="20% - Accent5 11 3" xfId="9217"/>
    <cellStyle name="20% - Accent5 11 3 10" xfId="9218"/>
    <cellStyle name="20% - Accent5 11 3 11" xfId="9219"/>
    <cellStyle name="20% - Accent5 11 3 12" xfId="9220"/>
    <cellStyle name="20% - Accent5 11 3 13" xfId="9221"/>
    <cellStyle name="20% - Accent5 11 3 14" xfId="9222"/>
    <cellStyle name="20% - Accent5 11 3 15" xfId="9223"/>
    <cellStyle name="20% - Accent5 11 3 16" xfId="9224"/>
    <cellStyle name="20% - Accent5 11 3 17" xfId="9225"/>
    <cellStyle name="20% - Accent5 11 3 18" xfId="9226"/>
    <cellStyle name="20% - Accent5 11 3 19" xfId="9227"/>
    <cellStyle name="20% - Accent5 11 3 2" xfId="9228"/>
    <cellStyle name="20% - Accent5 11 3 2 2" xfId="9229"/>
    <cellStyle name="20% - Accent5 11 3 20" xfId="9230"/>
    <cellStyle name="20% - Accent5 11 3 21" xfId="9231"/>
    <cellStyle name="20% - Accent5 11 3 22" xfId="9232"/>
    <cellStyle name="20% - Accent5 11 3 23" xfId="9233"/>
    <cellStyle name="20% - Accent5 11 3 24" xfId="9234"/>
    <cellStyle name="20% - Accent5 11 3 25" xfId="9235"/>
    <cellStyle name="20% - Accent5 11 3 26" xfId="9236"/>
    <cellStyle name="20% - Accent5 11 3 27" xfId="9237"/>
    <cellStyle name="20% - Accent5 11 3 28" xfId="9238"/>
    <cellStyle name="20% - Accent5 11 3 29" xfId="9239"/>
    <cellStyle name="20% - Accent5 11 3 3" xfId="9240"/>
    <cellStyle name="20% - Accent5 11 3 30" xfId="9241"/>
    <cellStyle name="20% - Accent5 11 3 31" xfId="9242"/>
    <cellStyle name="20% - Accent5 11 3 32" xfId="9243"/>
    <cellStyle name="20% - Accent5 11 3 33" xfId="9244"/>
    <cellStyle name="20% - Accent5 11 3 34" xfId="9245"/>
    <cellStyle name="20% - Accent5 11 3 35" xfId="9246"/>
    <cellStyle name="20% - Accent5 11 3 36" xfId="9247"/>
    <cellStyle name="20% - Accent5 11 3 37" xfId="9248"/>
    <cellStyle name="20% - Accent5 11 3 38" xfId="9249"/>
    <cellStyle name="20% - Accent5 11 3 39" xfId="9250"/>
    <cellStyle name="20% - Accent5 11 3 4" xfId="9251"/>
    <cellStyle name="20% - Accent5 11 3 40" xfId="9252"/>
    <cellStyle name="20% - Accent5 11 3 41" xfId="9253"/>
    <cellStyle name="20% - Accent5 11 3 42" xfId="9254"/>
    <cellStyle name="20% - Accent5 11 3 43" xfId="9255"/>
    <cellStyle name="20% - Accent5 11 3 44" xfId="9256"/>
    <cellStyle name="20% - Accent5 11 3 45" xfId="9257"/>
    <cellStyle name="20% - Accent5 11 3 46" xfId="9258"/>
    <cellStyle name="20% - Accent5 11 3 47" xfId="9259"/>
    <cellStyle name="20% - Accent5 11 3 48" xfId="9260"/>
    <cellStyle name="20% - Accent5 11 3 49" xfId="9261"/>
    <cellStyle name="20% - Accent5 11 3 5" xfId="9262"/>
    <cellStyle name="20% - Accent5 11 3 50" xfId="9263"/>
    <cellStyle name="20% - Accent5 11 3 51" xfId="9264"/>
    <cellStyle name="20% - Accent5 11 3 52" xfId="9265"/>
    <cellStyle name="20% - Accent5 11 3 53" xfId="9266"/>
    <cellStyle name="20% - Accent5 11 3 54" xfId="9267"/>
    <cellStyle name="20% - Accent5 11 3 55" xfId="9268"/>
    <cellStyle name="20% - Accent5 11 3 6" xfId="9269"/>
    <cellStyle name="20% - Accent5 11 3 7" xfId="9270"/>
    <cellStyle name="20% - Accent5 11 3 8" xfId="9271"/>
    <cellStyle name="20% - Accent5 11 3 9" xfId="9272"/>
    <cellStyle name="20% - Accent5 12" xfId="9273"/>
    <cellStyle name="20% - Accent5 12 2" xfId="9274"/>
    <cellStyle name="20% - Accent5 12 2 10" xfId="9275"/>
    <cellStyle name="20% - Accent5 12 2 11" xfId="9276"/>
    <cellStyle name="20% - Accent5 12 2 12" xfId="9277"/>
    <cellStyle name="20% - Accent5 12 2 13" xfId="9278"/>
    <cellStyle name="20% - Accent5 12 2 14" xfId="9279"/>
    <cellStyle name="20% - Accent5 12 2 15" xfId="9280"/>
    <cellStyle name="20% - Accent5 12 2 16" xfId="9281"/>
    <cellStyle name="20% - Accent5 12 2 17" xfId="9282"/>
    <cellStyle name="20% - Accent5 12 2 18" xfId="9283"/>
    <cellStyle name="20% - Accent5 12 2 19" xfId="9284"/>
    <cellStyle name="20% - Accent5 12 2 2" xfId="9285"/>
    <cellStyle name="20% - Accent5 12 2 2 2" xfId="9286"/>
    <cellStyle name="20% - Accent5 12 2 20" xfId="9287"/>
    <cellStyle name="20% - Accent5 12 2 21" xfId="9288"/>
    <cellStyle name="20% - Accent5 12 2 22" xfId="9289"/>
    <cellStyle name="20% - Accent5 12 2 23" xfId="9290"/>
    <cellStyle name="20% - Accent5 12 2 24" xfId="9291"/>
    <cellStyle name="20% - Accent5 12 2 25" xfId="9292"/>
    <cellStyle name="20% - Accent5 12 2 26" xfId="9293"/>
    <cellStyle name="20% - Accent5 12 2 27" xfId="9294"/>
    <cellStyle name="20% - Accent5 12 2 28" xfId="9295"/>
    <cellStyle name="20% - Accent5 12 2 29" xfId="9296"/>
    <cellStyle name="20% - Accent5 12 2 3" xfId="9297"/>
    <cellStyle name="20% - Accent5 12 2 30" xfId="9298"/>
    <cellStyle name="20% - Accent5 12 2 31" xfId="9299"/>
    <cellStyle name="20% - Accent5 12 2 32" xfId="9300"/>
    <cellStyle name="20% - Accent5 12 2 33" xfId="9301"/>
    <cellStyle name="20% - Accent5 12 2 34" xfId="9302"/>
    <cellStyle name="20% - Accent5 12 2 35" xfId="9303"/>
    <cellStyle name="20% - Accent5 12 2 36" xfId="9304"/>
    <cellStyle name="20% - Accent5 12 2 37" xfId="9305"/>
    <cellStyle name="20% - Accent5 12 2 38" xfId="9306"/>
    <cellStyle name="20% - Accent5 12 2 39" xfId="9307"/>
    <cellStyle name="20% - Accent5 12 2 4" xfId="9308"/>
    <cellStyle name="20% - Accent5 12 2 40" xfId="9309"/>
    <cellStyle name="20% - Accent5 12 2 41" xfId="9310"/>
    <cellStyle name="20% - Accent5 12 2 42" xfId="9311"/>
    <cellStyle name="20% - Accent5 12 2 43" xfId="9312"/>
    <cellStyle name="20% - Accent5 12 2 44" xfId="9313"/>
    <cellStyle name="20% - Accent5 12 2 45" xfId="9314"/>
    <cellStyle name="20% - Accent5 12 2 46" xfId="9315"/>
    <cellStyle name="20% - Accent5 12 2 47" xfId="9316"/>
    <cellStyle name="20% - Accent5 12 2 48" xfId="9317"/>
    <cellStyle name="20% - Accent5 12 2 49" xfId="9318"/>
    <cellStyle name="20% - Accent5 12 2 5" xfId="9319"/>
    <cellStyle name="20% - Accent5 12 2 50" xfId="9320"/>
    <cellStyle name="20% - Accent5 12 2 51" xfId="9321"/>
    <cellStyle name="20% - Accent5 12 2 52" xfId="9322"/>
    <cellStyle name="20% - Accent5 12 2 53" xfId="9323"/>
    <cellStyle name="20% - Accent5 12 2 54" xfId="9324"/>
    <cellStyle name="20% - Accent5 12 2 55" xfId="9325"/>
    <cellStyle name="20% - Accent5 12 2 6" xfId="9326"/>
    <cellStyle name="20% - Accent5 12 2 7" xfId="9327"/>
    <cellStyle name="20% - Accent5 12 2 8" xfId="9328"/>
    <cellStyle name="20% - Accent5 12 2 9" xfId="9329"/>
    <cellStyle name="20% - Accent5 12 3" xfId="9330"/>
    <cellStyle name="20% - Accent5 12 3 10" xfId="9331"/>
    <cellStyle name="20% - Accent5 12 3 11" xfId="9332"/>
    <cellStyle name="20% - Accent5 12 3 12" xfId="9333"/>
    <cellStyle name="20% - Accent5 12 3 13" xfId="9334"/>
    <cellStyle name="20% - Accent5 12 3 14" xfId="9335"/>
    <cellStyle name="20% - Accent5 12 3 15" xfId="9336"/>
    <cellStyle name="20% - Accent5 12 3 16" xfId="9337"/>
    <cellStyle name="20% - Accent5 12 3 17" xfId="9338"/>
    <cellStyle name="20% - Accent5 12 3 18" xfId="9339"/>
    <cellStyle name="20% - Accent5 12 3 19" xfId="9340"/>
    <cellStyle name="20% - Accent5 12 3 2" xfId="9341"/>
    <cellStyle name="20% - Accent5 12 3 2 2" xfId="9342"/>
    <cellStyle name="20% - Accent5 12 3 20" xfId="9343"/>
    <cellStyle name="20% - Accent5 12 3 21" xfId="9344"/>
    <cellStyle name="20% - Accent5 12 3 22" xfId="9345"/>
    <cellStyle name="20% - Accent5 12 3 23" xfId="9346"/>
    <cellStyle name="20% - Accent5 12 3 24" xfId="9347"/>
    <cellStyle name="20% - Accent5 12 3 25" xfId="9348"/>
    <cellStyle name="20% - Accent5 12 3 26" xfId="9349"/>
    <cellStyle name="20% - Accent5 12 3 27" xfId="9350"/>
    <cellStyle name="20% - Accent5 12 3 28" xfId="9351"/>
    <cellStyle name="20% - Accent5 12 3 29" xfId="9352"/>
    <cellStyle name="20% - Accent5 12 3 3" xfId="9353"/>
    <cellStyle name="20% - Accent5 12 3 30" xfId="9354"/>
    <cellStyle name="20% - Accent5 12 3 31" xfId="9355"/>
    <cellStyle name="20% - Accent5 12 3 32" xfId="9356"/>
    <cellStyle name="20% - Accent5 12 3 33" xfId="9357"/>
    <cellStyle name="20% - Accent5 12 3 34" xfId="9358"/>
    <cellStyle name="20% - Accent5 12 3 35" xfId="9359"/>
    <cellStyle name="20% - Accent5 12 3 36" xfId="9360"/>
    <cellStyle name="20% - Accent5 12 3 37" xfId="9361"/>
    <cellStyle name="20% - Accent5 12 3 38" xfId="9362"/>
    <cellStyle name="20% - Accent5 12 3 39" xfId="9363"/>
    <cellStyle name="20% - Accent5 12 3 4" xfId="9364"/>
    <cellStyle name="20% - Accent5 12 3 40" xfId="9365"/>
    <cellStyle name="20% - Accent5 12 3 41" xfId="9366"/>
    <cellStyle name="20% - Accent5 12 3 42" xfId="9367"/>
    <cellStyle name="20% - Accent5 12 3 43" xfId="9368"/>
    <cellStyle name="20% - Accent5 12 3 44" xfId="9369"/>
    <cellStyle name="20% - Accent5 12 3 45" xfId="9370"/>
    <cellStyle name="20% - Accent5 12 3 46" xfId="9371"/>
    <cellStyle name="20% - Accent5 12 3 47" xfId="9372"/>
    <cellStyle name="20% - Accent5 12 3 48" xfId="9373"/>
    <cellStyle name="20% - Accent5 12 3 49" xfId="9374"/>
    <cellStyle name="20% - Accent5 12 3 5" xfId="9375"/>
    <cellStyle name="20% - Accent5 12 3 50" xfId="9376"/>
    <cellStyle name="20% - Accent5 12 3 51" xfId="9377"/>
    <cellStyle name="20% - Accent5 12 3 52" xfId="9378"/>
    <cellStyle name="20% - Accent5 12 3 53" xfId="9379"/>
    <cellStyle name="20% - Accent5 12 3 54" xfId="9380"/>
    <cellStyle name="20% - Accent5 12 3 55" xfId="9381"/>
    <cellStyle name="20% - Accent5 12 3 6" xfId="9382"/>
    <cellStyle name="20% - Accent5 12 3 7" xfId="9383"/>
    <cellStyle name="20% - Accent5 12 3 8" xfId="9384"/>
    <cellStyle name="20% - Accent5 12 3 9" xfId="9385"/>
    <cellStyle name="20% - Accent5 13" xfId="9386"/>
    <cellStyle name="20% - Accent5 13 2" xfId="9387"/>
    <cellStyle name="20% - Accent5 13 2 10" xfId="9388"/>
    <cellStyle name="20% - Accent5 13 2 11" xfId="9389"/>
    <cellStyle name="20% - Accent5 13 2 12" xfId="9390"/>
    <cellStyle name="20% - Accent5 13 2 13" xfId="9391"/>
    <cellStyle name="20% - Accent5 13 2 14" xfId="9392"/>
    <cellStyle name="20% - Accent5 13 2 15" xfId="9393"/>
    <cellStyle name="20% - Accent5 13 2 16" xfId="9394"/>
    <cellStyle name="20% - Accent5 13 2 17" xfId="9395"/>
    <cellStyle name="20% - Accent5 13 2 18" xfId="9396"/>
    <cellStyle name="20% - Accent5 13 2 19" xfId="9397"/>
    <cellStyle name="20% - Accent5 13 2 2" xfId="9398"/>
    <cellStyle name="20% - Accent5 13 2 2 2" xfId="9399"/>
    <cellStyle name="20% - Accent5 13 2 20" xfId="9400"/>
    <cellStyle name="20% - Accent5 13 2 21" xfId="9401"/>
    <cellStyle name="20% - Accent5 13 2 22" xfId="9402"/>
    <cellStyle name="20% - Accent5 13 2 23" xfId="9403"/>
    <cellStyle name="20% - Accent5 13 2 24" xfId="9404"/>
    <cellStyle name="20% - Accent5 13 2 25" xfId="9405"/>
    <cellStyle name="20% - Accent5 13 2 26" xfId="9406"/>
    <cellStyle name="20% - Accent5 13 2 27" xfId="9407"/>
    <cellStyle name="20% - Accent5 13 2 28" xfId="9408"/>
    <cellStyle name="20% - Accent5 13 2 29" xfId="9409"/>
    <cellStyle name="20% - Accent5 13 2 3" xfId="9410"/>
    <cellStyle name="20% - Accent5 13 2 30" xfId="9411"/>
    <cellStyle name="20% - Accent5 13 2 31" xfId="9412"/>
    <cellStyle name="20% - Accent5 13 2 32" xfId="9413"/>
    <cellStyle name="20% - Accent5 13 2 33" xfId="9414"/>
    <cellStyle name="20% - Accent5 13 2 34" xfId="9415"/>
    <cellStyle name="20% - Accent5 13 2 35" xfId="9416"/>
    <cellStyle name="20% - Accent5 13 2 36" xfId="9417"/>
    <cellStyle name="20% - Accent5 13 2 37" xfId="9418"/>
    <cellStyle name="20% - Accent5 13 2 38" xfId="9419"/>
    <cellStyle name="20% - Accent5 13 2 39" xfId="9420"/>
    <cellStyle name="20% - Accent5 13 2 4" xfId="9421"/>
    <cellStyle name="20% - Accent5 13 2 40" xfId="9422"/>
    <cellStyle name="20% - Accent5 13 2 41" xfId="9423"/>
    <cellStyle name="20% - Accent5 13 2 42" xfId="9424"/>
    <cellStyle name="20% - Accent5 13 2 43" xfId="9425"/>
    <cellStyle name="20% - Accent5 13 2 44" xfId="9426"/>
    <cellStyle name="20% - Accent5 13 2 45" xfId="9427"/>
    <cellStyle name="20% - Accent5 13 2 46" xfId="9428"/>
    <cellStyle name="20% - Accent5 13 2 47" xfId="9429"/>
    <cellStyle name="20% - Accent5 13 2 48" xfId="9430"/>
    <cellStyle name="20% - Accent5 13 2 49" xfId="9431"/>
    <cellStyle name="20% - Accent5 13 2 5" xfId="9432"/>
    <cellStyle name="20% - Accent5 13 2 50" xfId="9433"/>
    <cellStyle name="20% - Accent5 13 2 51" xfId="9434"/>
    <cellStyle name="20% - Accent5 13 2 52" xfId="9435"/>
    <cellStyle name="20% - Accent5 13 2 53" xfId="9436"/>
    <cellStyle name="20% - Accent5 13 2 54" xfId="9437"/>
    <cellStyle name="20% - Accent5 13 2 55" xfId="9438"/>
    <cellStyle name="20% - Accent5 13 2 6" xfId="9439"/>
    <cellStyle name="20% - Accent5 13 2 7" xfId="9440"/>
    <cellStyle name="20% - Accent5 13 2 8" xfId="9441"/>
    <cellStyle name="20% - Accent5 13 2 9" xfId="9442"/>
    <cellStyle name="20% - Accent5 13 3" xfId="9443"/>
    <cellStyle name="20% - Accent5 13 3 10" xfId="9444"/>
    <cellStyle name="20% - Accent5 13 3 11" xfId="9445"/>
    <cellStyle name="20% - Accent5 13 3 12" xfId="9446"/>
    <cellStyle name="20% - Accent5 13 3 13" xfId="9447"/>
    <cellStyle name="20% - Accent5 13 3 14" xfId="9448"/>
    <cellStyle name="20% - Accent5 13 3 15" xfId="9449"/>
    <cellStyle name="20% - Accent5 13 3 16" xfId="9450"/>
    <cellStyle name="20% - Accent5 13 3 17" xfId="9451"/>
    <cellStyle name="20% - Accent5 13 3 18" xfId="9452"/>
    <cellStyle name="20% - Accent5 13 3 19" xfId="9453"/>
    <cellStyle name="20% - Accent5 13 3 2" xfId="9454"/>
    <cellStyle name="20% - Accent5 13 3 2 2" xfId="9455"/>
    <cellStyle name="20% - Accent5 13 3 20" xfId="9456"/>
    <cellStyle name="20% - Accent5 13 3 21" xfId="9457"/>
    <cellStyle name="20% - Accent5 13 3 22" xfId="9458"/>
    <cellStyle name="20% - Accent5 13 3 23" xfId="9459"/>
    <cellStyle name="20% - Accent5 13 3 24" xfId="9460"/>
    <cellStyle name="20% - Accent5 13 3 25" xfId="9461"/>
    <cellStyle name="20% - Accent5 13 3 26" xfId="9462"/>
    <cellStyle name="20% - Accent5 13 3 27" xfId="9463"/>
    <cellStyle name="20% - Accent5 13 3 28" xfId="9464"/>
    <cellStyle name="20% - Accent5 13 3 29" xfId="9465"/>
    <cellStyle name="20% - Accent5 13 3 3" xfId="9466"/>
    <cellStyle name="20% - Accent5 13 3 30" xfId="9467"/>
    <cellStyle name="20% - Accent5 13 3 31" xfId="9468"/>
    <cellStyle name="20% - Accent5 13 3 32" xfId="9469"/>
    <cellStyle name="20% - Accent5 13 3 33" xfId="9470"/>
    <cellStyle name="20% - Accent5 13 3 34" xfId="9471"/>
    <cellStyle name="20% - Accent5 13 3 35" xfId="9472"/>
    <cellStyle name="20% - Accent5 13 3 36" xfId="9473"/>
    <cellStyle name="20% - Accent5 13 3 37" xfId="9474"/>
    <cellStyle name="20% - Accent5 13 3 38" xfId="9475"/>
    <cellStyle name="20% - Accent5 13 3 39" xfId="9476"/>
    <cellStyle name="20% - Accent5 13 3 4" xfId="9477"/>
    <cellStyle name="20% - Accent5 13 3 40" xfId="9478"/>
    <cellStyle name="20% - Accent5 13 3 41" xfId="9479"/>
    <cellStyle name="20% - Accent5 13 3 42" xfId="9480"/>
    <cellStyle name="20% - Accent5 13 3 43" xfId="9481"/>
    <cellStyle name="20% - Accent5 13 3 44" xfId="9482"/>
    <cellStyle name="20% - Accent5 13 3 45" xfId="9483"/>
    <cellStyle name="20% - Accent5 13 3 46" xfId="9484"/>
    <cellStyle name="20% - Accent5 13 3 47" xfId="9485"/>
    <cellStyle name="20% - Accent5 13 3 48" xfId="9486"/>
    <cellStyle name="20% - Accent5 13 3 49" xfId="9487"/>
    <cellStyle name="20% - Accent5 13 3 5" xfId="9488"/>
    <cellStyle name="20% - Accent5 13 3 50" xfId="9489"/>
    <cellStyle name="20% - Accent5 13 3 51" xfId="9490"/>
    <cellStyle name="20% - Accent5 13 3 52" xfId="9491"/>
    <cellStyle name="20% - Accent5 13 3 53" xfId="9492"/>
    <cellStyle name="20% - Accent5 13 3 54" xfId="9493"/>
    <cellStyle name="20% - Accent5 13 3 55" xfId="9494"/>
    <cellStyle name="20% - Accent5 13 3 6" xfId="9495"/>
    <cellStyle name="20% - Accent5 13 3 7" xfId="9496"/>
    <cellStyle name="20% - Accent5 13 3 8" xfId="9497"/>
    <cellStyle name="20% - Accent5 13 3 9" xfId="9498"/>
    <cellStyle name="20% - Accent5 14" xfId="9499"/>
    <cellStyle name="20% - Accent5 14 2" xfId="9500"/>
    <cellStyle name="20% - Accent5 14 2 10" xfId="9501"/>
    <cellStyle name="20% - Accent5 14 2 11" xfId="9502"/>
    <cellStyle name="20% - Accent5 14 2 12" xfId="9503"/>
    <cellStyle name="20% - Accent5 14 2 13" xfId="9504"/>
    <cellStyle name="20% - Accent5 14 2 14" xfId="9505"/>
    <cellStyle name="20% - Accent5 14 2 15" xfId="9506"/>
    <cellStyle name="20% - Accent5 14 2 16" xfId="9507"/>
    <cellStyle name="20% - Accent5 14 2 17" xfId="9508"/>
    <cellStyle name="20% - Accent5 14 2 18" xfId="9509"/>
    <cellStyle name="20% - Accent5 14 2 19" xfId="9510"/>
    <cellStyle name="20% - Accent5 14 2 2" xfId="9511"/>
    <cellStyle name="20% - Accent5 14 2 2 2" xfId="9512"/>
    <cellStyle name="20% - Accent5 14 2 20" xfId="9513"/>
    <cellStyle name="20% - Accent5 14 2 21" xfId="9514"/>
    <cellStyle name="20% - Accent5 14 2 22" xfId="9515"/>
    <cellStyle name="20% - Accent5 14 2 23" xfId="9516"/>
    <cellStyle name="20% - Accent5 14 2 24" xfId="9517"/>
    <cellStyle name="20% - Accent5 14 2 25" xfId="9518"/>
    <cellStyle name="20% - Accent5 14 2 26" xfId="9519"/>
    <cellStyle name="20% - Accent5 14 2 27" xfId="9520"/>
    <cellStyle name="20% - Accent5 14 2 28" xfId="9521"/>
    <cellStyle name="20% - Accent5 14 2 29" xfId="9522"/>
    <cellStyle name="20% - Accent5 14 2 3" xfId="9523"/>
    <cellStyle name="20% - Accent5 14 2 30" xfId="9524"/>
    <cellStyle name="20% - Accent5 14 2 31" xfId="9525"/>
    <cellStyle name="20% - Accent5 14 2 32" xfId="9526"/>
    <cellStyle name="20% - Accent5 14 2 33" xfId="9527"/>
    <cellStyle name="20% - Accent5 14 2 34" xfId="9528"/>
    <cellStyle name="20% - Accent5 14 2 35" xfId="9529"/>
    <cellStyle name="20% - Accent5 14 2 36" xfId="9530"/>
    <cellStyle name="20% - Accent5 14 2 37" xfId="9531"/>
    <cellStyle name="20% - Accent5 14 2 38" xfId="9532"/>
    <cellStyle name="20% - Accent5 14 2 39" xfId="9533"/>
    <cellStyle name="20% - Accent5 14 2 4" xfId="9534"/>
    <cellStyle name="20% - Accent5 14 2 40" xfId="9535"/>
    <cellStyle name="20% - Accent5 14 2 41" xfId="9536"/>
    <cellStyle name="20% - Accent5 14 2 42" xfId="9537"/>
    <cellStyle name="20% - Accent5 14 2 43" xfId="9538"/>
    <cellStyle name="20% - Accent5 14 2 44" xfId="9539"/>
    <cellStyle name="20% - Accent5 14 2 45" xfId="9540"/>
    <cellStyle name="20% - Accent5 14 2 46" xfId="9541"/>
    <cellStyle name="20% - Accent5 14 2 47" xfId="9542"/>
    <cellStyle name="20% - Accent5 14 2 48" xfId="9543"/>
    <cellStyle name="20% - Accent5 14 2 49" xfId="9544"/>
    <cellStyle name="20% - Accent5 14 2 5" xfId="9545"/>
    <cellStyle name="20% - Accent5 14 2 50" xfId="9546"/>
    <cellStyle name="20% - Accent5 14 2 51" xfId="9547"/>
    <cellStyle name="20% - Accent5 14 2 52" xfId="9548"/>
    <cellStyle name="20% - Accent5 14 2 53" xfId="9549"/>
    <cellStyle name="20% - Accent5 14 2 54" xfId="9550"/>
    <cellStyle name="20% - Accent5 14 2 55" xfId="9551"/>
    <cellStyle name="20% - Accent5 14 2 6" xfId="9552"/>
    <cellStyle name="20% - Accent5 14 2 7" xfId="9553"/>
    <cellStyle name="20% - Accent5 14 2 8" xfId="9554"/>
    <cellStyle name="20% - Accent5 14 2 9" xfId="9555"/>
    <cellStyle name="20% - Accent5 14 3" xfId="9556"/>
    <cellStyle name="20% - Accent5 14 3 10" xfId="9557"/>
    <cellStyle name="20% - Accent5 14 3 11" xfId="9558"/>
    <cellStyle name="20% - Accent5 14 3 12" xfId="9559"/>
    <cellStyle name="20% - Accent5 14 3 13" xfId="9560"/>
    <cellStyle name="20% - Accent5 14 3 14" xfId="9561"/>
    <cellStyle name="20% - Accent5 14 3 15" xfId="9562"/>
    <cellStyle name="20% - Accent5 14 3 16" xfId="9563"/>
    <cellStyle name="20% - Accent5 14 3 17" xfId="9564"/>
    <cellStyle name="20% - Accent5 14 3 18" xfId="9565"/>
    <cellStyle name="20% - Accent5 14 3 19" xfId="9566"/>
    <cellStyle name="20% - Accent5 14 3 2" xfId="9567"/>
    <cellStyle name="20% - Accent5 14 3 2 2" xfId="9568"/>
    <cellStyle name="20% - Accent5 14 3 20" xfId="9569"/>
    <cellStyle name="20% - Accent5 14 3 21" xfId="9570"/>
    <cellStyle name="20% - Accent5 14 3 22" xfId="9571"/>
    <cellStyle name="20% - Accent5 14 3 23" xfId="9572"/>
    <cellStyle name="20% - Accent5 14 3 24" xfId="9573"/>
    <cellStyle name="20% - Accent5 14 3 25" xfId="9574"/>
    <cellStyle name="20% - Accent5 14 3 26" xfId="9575"/>
    <cellStyle name="20% - Accent5 14 3 27" xfId="9576"/>
    <cellStyle name="20% - Accent5 14 3 28" xfId="9577"/>
    <cellStyle name="20% - Accent5 14 3 29" xfId="9578"/>
    <cellStyle name="20% - Accent5 14 3 3" xfId="9579"/>
    <cellStyle name="20% - Accent5 14 3 30" xfId="9580"/>
    <cellStyle name="20% - Accent5 14 3 31" xfId="9581"/>
    <cellStyle name="20% - Accent5 14 3 32" xfId="9582"/>
    <cellStyle name="20% - Accent5 14 3 33" xfId="9583"/>
    <cellStyle name="20% - Accent5 14 3 34" xfId="9584"/>
    <cellStyle name="20% - Accent5 14 3 35" xfId="9585"/>
    <cellStyle name="20% - Accent5 14 3 36" xfId="9586"/>
    <cellStyle name="20% - Accent5 14 3 37" xfId="9587"/>
    <cellStyle name="20% - Accent5 14 3 38" xfId="9588"/>
    <cellStyle name="20% - Accent5 14 3 39" xfId="9589"/>
    <cellStyle name="20% - Accent5 14 3 4" xfId="9590"/>
    <cellStyle name="20% - Accent5 14 3 40" xfId="9591"/>
    <cellStyle name="20% - Accent5 14 3 41" xfId="9592"/>
    <cellStyle name="20% - Accent5 14 3 42" xfId="9593"/>
    <cellStyle name="20% - Accent5 14 3 43" xfId="9594"/>
    <cellStyle name="20% - Accent5 14 3 44" xfId="9595"/>
    <cellStyle name="20% - Accent5 14 3 45" xfId="9596"/>
    <cellStyle name="20% - Accent5 14 3 46" xfId="9597"/>
    <cellStyle name="20% - Accent5 14 3 47" xfId="9598"/>
    <cellStyle name="20% - Accent5 14 3 48" xfId="9599"/>
    <cellStyle name="20% - Accent5 14 3 49" xfId="9600"/>
    <cellStyle name="20% - Accent5 14 3 5" xfId="9601"/>
    <cellStyle name="20% - Accent5 14 3 50" xfId="9602"/>
    <cellStyle name="20% - Accent5 14 3 51" xfId="9603"/>
    <cellStyle name="20% - Accent5 14 3 52" xfId="9604"/>
    <cellStyle name="20% - Accent5 14 3 53" xfId="9605"/>
    <cellStyle name="20% - Accent5 14 3 54" xfId="9606"/>
    <cellStyle name="20% - Accent5 14 3 55" xfId="9607"/>
    <cellStyle name="20% - Accent5 14 3 6" xfId="9608"/>
    <cellStyle name="20% - Accent5 14 3 7" xfId="9609"/>
    <cellStyle name="20% - Accent5 14 3 8" xfId="9610"/>
    <cellStyle name="20% - Accent5 14 3 9" xfId="9611"/>
    <cellStyle name="20% - Accent5 15" xfId="9612"/>
    <cellStyle name="20% - Accent5 15 2" xfId="9613"/>
    <cellStyle name="20% - Accent5 15 2 10" xfId="9614"/>
    <cellStyle name="20% - Accent5 15 2 11" xfId="9615"/>
    <cellStyle name="20% - Accent5 15 2 12" xfId="9616"/>
    <cellStyle name="20% - Accent5 15 2 13" xfId="9617"/>
    <cellStyle name="20% - Accent5 15 2 14" xfId="9618"/>
    <cellStyle name="20% - Accent5 15 2 15" xfId="9619"/>
    <cellStyle name="20% - Accent5 15 2 16" xfId="9620"/>
    <cellStyle name="20% - Accent5 15 2 17" xfId="9621"/>
    <cellStyle name="20% - Accent5 15 2 18" xfId="9622"/>
    <cellStyle name="20% - Accent5 15 2 19" xfId="9623"/>
    <cellStyle name="20% - Accent5 15 2 2" xfId="9624"/>
    <cellStyle name="20% - Accent5 15 2 2 2" xfId="9625"/>
    <cellStyle name="20% - Accent5 15 2 20" xfId="9626"/>
    <cellStyle name="20% - Accent5 15 2 21" xfId="9627"/>
    <cellStyle name="20% - Accent5 15 2 22" xfId="9628"/>
    <cellStyle name="20% - Accent5 15 2 23" xfId="9629"/>
    <cellStyle name="20% - Accent5 15 2 24" xfId="9630"/>
    <cellStyle name="20% - Accent5 15 2 25" xfId="9631"/>
    <cellStyle name="20% - Accent5 15 2 26" xfId="9632"/>
    <cellStyle name="20% - Accent5 15 2 27" xfId="9633"/>
    <cellStyle name="20% - Accent5 15 2 28" xfId="9634"/>
    <cellStyle name="20% - Accent5 15 2 29" xfId="9635"/>
    <cellStyle name="20% - Accent5 15 2 3" xfId="9636"/>
    <cellStyle name="20% - Accent5 15 2 30" xfId="9637"/>
    <cellStyle name="20% - Accent5 15 2 31" xfId="9638"/>
    <cellStyle name="20% - Accent5 15 2 32" xfId="9639"/>
    <cellStyle name="20% - Accent5 15 2 33" xfId="9640"/>
    <cellStyle name="20% - Accent5 15 2 34" xfId="9641"/>
    <cellStyle name="20% - Accent5 15 2 35" xfId="9642"/>
    <cellStyle name="20% - Accent5 15 2 36" xfId="9643"/>
    <cellStyle name="20% - Accent5 15 2 37" xfId="9644"/>
    <cellStyle name="20% - Accent5 15 2 38" xfId="9645"/>
    <cellStyle name="20% - Accent5 15 2 39" xfId="9646"/>
    <cellStyle name="20% - Accent5 15 2 4" xfId="9647"/>
    <cellStyle name="20% - Accent5 15 2 40" xfId="9648"/>
    <cellStyle name="20% - Accent5 15 2 41" xfId="9649"/>
    <cellStyle name="20% - Accent5 15 2 42" xfId="9650"/>
    <cellStyle name="20% - Accent5 15 2 43" xfId="9651"/>
    <cellStyle name="20% - Accent5 15 2 44" xfId="9652"/>
    <cellStyle name="20% - Accent5 15 2 45" xfId="9653"/>
    <cellStyle name="20% - Accent5 15 2 46" xfId="9654"/>
    <cellStyle name="20% - Accent5 15 2 47" xfId="9655"/>
    <cellStyle name="20% - Accent5 15 2 48" xfId="9656"/>
    <cellStyle name="20% - Accent5 15 2 49" xfId="9657"/>
    <cellStyle name="20% - Accent5 15 2 5" xfId="9658"/>
    <cellStyle name="20% - Accent5 15 2 50" xfId="9659"/>
    <cellStyle name="20% - Accent5 15 2 51" xfId="9660"/>
    <cellStyle name="20% - Accent5 15 2 52" xfId="9661"/>
    <cellStyle name="20% - Accent5 15 2 53" xfId="9662"/>
    <cellStyle name="20% - Accent5 15 2 54" xfId="9663"/>
    <cellStyle name="20% - Accent5 15 2 55" xfId="9664"/>
    <cellStyle name="20% - Accent5 15 2 6" xfId="9665"/>
    <cellStyle name="20% - Accent5 15 2 7" xfId="9666"/>
    <cellStyle name="20% - Accent5 15 2 8" xfId="9667"/>
    <cellStyle name="20% - Accent5 15 2 9" xfId="9668"/>
    <cellStyle name="20% - Accent5 15 3" xfId="9669"/>
    <cellStyle name="20% - Accent5 15 3 10" xfId="9670"/>
    <cellStyle name="20% - Accent5 15 3 11" xfId="9671"/>
    <cellStyle name="20% - Accent5 15 3 12" xfId="9672"/>
    <cellStyle name="20% - Accent5 15 3 13" xfId="9673"/>
    <cellStyle name="20% - Accent5 15 3 14" xfId="9674"/>
    <cellStyle name="20% - Accent5 15 3 15" xfId="9675"/>
    <cellStyle name="20% - Accent5 15 3 16" xfId="9676"/>
    <cellStyle name="20% - Accent5 15 3 17" xfId="9677"/>
    <cellStyle name="20% - Accent5 15 3 18" xfId="9678"/>
    <cellStyle name="20% - Accent5 15 3 19" xfId="9679"/>
    <cellStyle name="20% - Accent5 15 3 2" xfId="9680"/>
    <cellStyle name="20% - Accent5 15 3 2 2" xfId="9681"/>
    <cellStyle name="20% - Accent5 15 3 20" xfId="9682"/>
    <cellStyle name="20% - Accent5 15 3 21" xfId="9683"/>
    <cellStyle name="20% - Accent5 15 3 22" xfId="9684"/>
    <cellStyle name="20% - Accent5 15 3 23" xfId="9685"/>
    <cellStyle name="20% - Accent5 15 3 24" xfId="9686"/>
    <cellStyle name="20% - Accent5 15 3 25" xfId="9687"/>
    <cellStyle name="20% - Accent5 15 3 26" xfId="9688"/>
    <cellStyle name="20% - Accent5 15 3 27" xfId="9689"/>
    <cellStyle name="20% - Accent5 15 3 28" xfId="9690"/>
    <cellStyle name="20% - Accent5 15 3 29" xfId="9691"/>
    <cellStyle name="20% - Accent5 15 3 3" xfId="9692"/>
    <cellStyle name="20% - Accent5 15 3 30" xfId="9693"/>
    <cellStyle name="20% - Accent5 15 3 31" xfId="9694"/>
    <cellStyle name="20% - Accent5 15 3 32" xfId="9695"/>
    <cellStyle name="20% - Accent5 15 3 33" xfId="9696"/>
    <cellStyle name="20% - Accent5 15 3 34" xfId="9697"/>
    <cellStyle name="20% - Accent5 15 3 35" xfId="9698"/>
    <cellStyle name="20% - Accent5 15 3 36" xfId="9699"/>
    <cellStyle name="20% - Accent5 15 3 37" xfId="9700"/>
    <cellStyle name="20% - Accent5 15 3 38" xfId="9701"/>
    <cellStyle name="20% - Accent5 15 3 39" xfId="9702"/>
    <cellStyle name="20% - Accent5 15 3 4" xfId="9703"/>
    <cellStyle name="20% - Accent5 15 3 40" xfId="9704"/>
    <cellStyle name="20% - Accent5 15 3 41" xfId="9705"/>
    <cellStyle name="20% - Accent5 15 3 42" xfId="9706"/>
    <cellStyle name="20% - Accent5 15 3 43" xfId="9707"/>
    <cellStyle name="20% - Accent5 15 3 44" xfId="9708"/>
    <cellStyle name="20% - Accent5 15 3 45" xfId="9709"/>
    <cellStyle name="20% - Accent5 15 3 46" xfId="9710"/>
    <cellStyle name="20% - Accent5 15 3 47" xfId="9711"/>
    <cellStyle name="20% - Accent5 15 3 48" xfId="9712"/>
    <cellStyle name="20% - Accent5 15 3 49" xfId="9713"/>
    <cellStyle name="20% - Accent5 15 3 5" xfId="9714"/>
    <cellStyle name="20% - Accent5 15 3 50" xfId="9715"/>
    <cellStyle name="20% - Accent5 15 3 51" xfId="9716"/>
    <cellStyle name="20% - Accent5 15 3 52" xfId="9717"/>
    <cellStyle name="20% - Accent5 15 3 53" xfId="9718"/>
    <cellStyle name="20% - Accent5 15 3 54" xfId="9719"/>
    <cellStyle name="20% - Accent5 15 3 55" xfId="9720"/>
    <cellStyle name="20% - Accent5 15 3 6" xfId="9721"/>
    <cellStyle name="20% - Accent5 15 3 7" xfId="9722"/>
    <cellStyle name="20% - Accent5 15 3 8" xfId="9723"/>
    <cellStyle name="20% - Accent5 15 3 9" xfId="9724"/>
    <cellStyle name="20% - Accent5 16" xfId="9725"/>
    <cellStyle name="20% - Accent5 16 2" xfId="9726"/>
    <cellStyle name="20% - Accent5 16 2 10" xfId="9727"/>
    <cellStyle name="20% - Accent5 16 2 11" xfId="9728"/>
    <cellStyle name="20% - Accent5 16 2 12" xfId="9729"/>
    <cellStyle name="20% - Accent5 16 2 13" xfId="9730"/>
    <cellStyle name="20% - Accent5 16 2 14" xfId="9731"/>
    <cellStyle name="20% - Accent5 16 2 15" xfId="9732"/>
    <cellStyle name="20% - Accent5 16 2 16" xfId="9733"/>
    <cellStyle name="20% - Accent5 16 2 17" xfId="9734"/>
    <cellStyle name="20% - Accent5 16 2 18" xfId="9735"/>
    <cellStyle name="20% - Accent5 16 2 19" xfId="9736"/>
    <cellStyle name="20% - Accent5 16 2 2" xfId="9737"/>
    <cellStyle name="20% - Accent5 16 2 2 2" xfId="9738"/>
    <cellStyle name="20% - Accent5 16 2 20" xfId="9739"/>
    <cellStyle name="20% - Accent5 16 2 21" xfId="9740"/>
    <cellStyle name="20% - Accent5 16 2 22" xfId="9741"/>
    <cellStyle name="20% - Accent5 16 2 23" xfId="9742"/>
    <cellStyle name="20% - Accent5 16 2 24" xfId="9743"/>
    <cellStyle name="20% - Accent5 16 2 25" xfId="9744"/>
    <cellStyle name="20% - Accent5 16 2 26" xfId="9745"/>
    <cellStyle name="20% - Accent5 16 2 27" xfId="9746"/>
    <cellStyle name="20% - Accent5 16 2 28" xfId="9747"/>
    <cellStyle name="20% - Accent5 16 2 29" xfId="9748"/>
    <cellStyle name="20% - Accent5 16 2 3" xfId="9749"/>
    <cellStyle name="20% - Accent5 16 2 30" xfId="9750"/>
    <cellStyle name="20% - Accent5 16 2 31" xfId="9751"/>
    <cellStyle name="20% - Accent5 16 2 32" xfId="9752"/>
    <cellStyle name="20% - Accent5 16 2 33" xfId="9753"/>
    <cellStyle name="20% - Accent5 16 2 34" xfId="9754"/>
    <cellStyle name="20% - Accent5 16 2 35" xfId="9755"/>
    <cellStyle name="20% - Accent5 16 2 36" xfId="9756"/>
    <cellStyle name="20% - Accent5 16 2 37" xfId="9757"/>
    <cellStyle name="20% - Accent5 16 2 38" xfId="9758"/>
    <cellStyle name="20% - Accent5 16 2 39" xfId="9759"/>
    <cellStyle name="20% - Accent5 16 2 4" xfId="9760"/>
    <cellStyle name="20% - Accent5 16 2 40" xfId="9761"/>
    <cellStyle name="20% - Accent5 16 2 41" xfId="9762"/>
    <cellStyle name="20% - Accent5 16 2 42" xfId="9763"/>
    <cellStyle name="20% - Accent5 16 2 43" xfId="9764"/>
    <cellStyle name="20% - Accent5 16 2 44" xfId="9765"/>
    <cellStyle name="20% - Accent5 16 2 45" xfId="9766"/>
    <cellStyle name="20% - Accent5 16 2 46" xfId="9767"/>
    <cellStyle name="20% - Accent5 16 2 47" xfId="9768"/>
    <cellStyle name="20% - Accent5 16 2 48" xfId="9769"/>
    <cellStyle name="20% - Accent5 16 2 49" xfId="9770"/>
    <cellStyle name="20% - Accent5 16 2 5" xfId="9771"/>
    <cellStyle name="20% - Accent5 16 2 50" xfId="9772"/>
    <cellStyle name="20% - Accent5 16 2 51" xfId="9773"/>
    <cellStyle name="20% - Accent5 16 2 52" xfId="9774"/>
    <cellStyle name="20% - Accent5 16 2 53" xfId="9775"/>
    <cellStyle name="20% - Accent5 16 2 54" xfId="9776"/>
    <cellStyle name="20% - Accent5 16 2 55" xfId="9777"/>
    <cellStyle name="20% - Accent5 16 2 6" xfId="9778"/>
    <cellStyle name="20% - Accent5 16 2 7" xfId="9779"/>
    <cellStyle name="20% - Accent5 16 2 8" xfId="9780"/>
    <cellStyle name="20% - Accent5 16 2 9" xfId="9781"/>
    <cellStyle name="20% - Accent5 16 3" xfId="9782"/>
    <cellStyle name="20% - Accent5 16 3 10" xfId="9783"/>
    <cellStyle name="20% - Accent5 16 3 11" xfId="9784"/>
    <cellStyle name="20% - Accent5 16 3 12" xfId="9785"/>
    <cellStyle name="20% - Accent5 16 3 13" xfId="9786"/>
    <cellStyle name="20% - Accent5 16 3 14" xfId="9787"/>
    <cellStyle name="20% - Accent5 16 3 15" xfId="9788"/>
    <cellStyle name="20% - Accent5 16 3 16" xfId="9789"/>
    <cellStyle name="20% - Accent5 16 3 17" xfId="9790"/>
    <cellStyle name="20% - Accent5 16 3 18" xfId="9791"/>
    <cellStyle name="20% - Accent5 16 3 19" xfId="9792"/>
    <cellStyle name="20% - Accent5 16 3 2" xfId="9793"/>
    <cellStyle name="20% - Accent5 16 3 2 2" xfId="9794"/>
    <cellStyle name="20% - Accent5 16 3 20" xfId="9795"/>
    <cellStyle name="20% - Accent5 16 3 21" xfId="9796"/>
    <cellStyle name="20% - Accent5 16 3 22" xfId="9797"/>
    <cellStyle name="20% - Accent5 16 3 23" xfId="9798"/>
    <cellStyle name="20% - Accent5 16 3 24" xfId="9799"/>
    <cellStyle name="20% - Accent5 16 3 25" xfId="9800"/>
    <cellStyle name="20% - Accent5 16 3 26" xfId="9801"/>
    <cellStyle name="20% - Accent5 16 3 27" xfId="9802"/>
    <cellStyle name="20% - Accent5 16 3 28" xfId="9803"/>
    <cellStyle name="20% - Accent5 16 3 29" xfId="9804"/>
    <cellStyle name="20% - Accent5 16 3 3" xfId="9805"/>
    <cellStyle name="20% - Accent5 16 3 30" xfId="9806"/>
    <cellStyle name="20% - Accent5 16 3 31" xfId="9807"/>
    <cellStyle name="20% - Accent5 16 3 32" xfId="9808"/>
    <cellStyle name="20% - Accent5 16 3 33" xfId="9809"/>
    <cellStyle name="20% - Accent5 16 3 34" xfId="9810"/>
    <cellStyle name="20% - Accent5 16 3 35" xfId="9811"/>
    <cellStyle name="20% - Accent5 16 3 36" xfId="9812"/>
    <cellStyle name="20% - Accent5 16 3 37" xfId="9813"/>
    <cellStyle name="20% - Accent5 16 3 38" xfId="9814"/>
    <cellStyle name="20% - Accent5 16 3 39" xfId="9815"/>
    <cellStyle name="20% - Accent5 16 3 4" xfId="9816"/>
    <cellStyle name="20% - Accent5 16 3 40" xfId="9817"/>
    <cellStyle name="20% - Accent5 16 3 41" xfId="9818"/>
    <cellStyle name="20% - Accent5 16 3 42" xfId="9819"/>
    <cellStyle name="20% - Accent5 16 3 43" xfId="9820"/>
    <cellStyle name="20% - Accent5 16 3 44" xfId="9821"/>
    <cellStyle name="20% - Accent5 16 3 45" xfId="9822"/>
    <cellStyle name="20% - Accent5 16 3 46" xfId="9823"/>
    <cellStyle name="20% - Accent5 16 3 47" xfId="9824"/>
    <cellStyle name="20% - Accent5 16 3 48" xfId="9825"/>
    <cellStyle name="20% - Accent5 16 3 49" xfId="9826"/>
    <cellStyle name="20% - Accent5 16 3 5" xfId="9827"/>
    <cellStyle name="20% - Accent5 16 3 50" xfId="9828"/>
    <cellStyle name="20% - Accent5 16 3 51" xfId="9829"/>
    <cellStyle name="20% - Accent5 16 3 52" xfId="9830"/>
    <cellStyle name="20% - Accent5 16 3 53" xfId="9831"/>
    <cellStyle name="20% - Accent5 16 3 54" xfId="9832"/>
    <cellStyle name="20% - Accent5 16 3 55" xfId="9833"/>
    <cellStyle name="20% - Accent5 16 3 6" xfId="9834"/>
    <cellStyle name="20% - Accent5 16 3 7" xfId="9835"/>
    <cellStyle name="20% - Accent5 16 3 8" xfId="9836"/>
    <cellStyle name="20% - Accent5 16 3 9" xfId="9837"/>
    <cellStyle name="20% - Accent5 17" xfId="9838"/>
    <cellStyle name="20% - Accent5 17 2" xfId="9839"/>
    <cellStyle name="20% - Accent5 17 2 10" xfId="9840"/>
    <cellStyle name="20% - Accent5 17 2 11" xfId="9841"/>
    <cellStyle name="20% - Accent5 17 2 12" xfId="9842"/>
    <cellStyle name="20% - Accent5 17 2 13" xfId="9843"/>
    <cellStyle name="20% - Accent5 17 2 14" xfId="9844"/>
    <cellStyle name="20% - Accent5 17 2 15" xfId="9845"/>
    <cellStyle name="20% - Accent5 17 2 16" xfId="9846"/>
    <cellStyle name="20% - Accent5 17 2 17" xfId="9847"/>
    <cellStyle name="20% - Accent5 17 2 18" xfId="9848"/>
    <cellStyle name="20% - Accent5 17 2 19" xfId="9849"/>
    <cellStyle name="20% - Accent5 17 2 2" xfId="9850"/>
    <cellStyle name="20% - Accent5 17 2 2 2" xfId="9851"/>
    <cellStyle name="20% - Accent5 17 2 20" xfId="9852"/>
    <cellStyle name="20% - Accent5 17 2 21" xfId="9853"/>
    <cellStyle name="20% - Accent5 17 2 22" xfId="9854"/>
    <cellStyle name="20% - Accent5 17 2 23" xfId="9855"/>
    <cellStyle name="20% - Accent5 17 2 24" xfId="9856"/>
    <cellStyle name="20% - Accent5 17 2 25" xfId="9857"/>
    <cellStyle name="20% - Accent5 17 2 26" xfId="9858"/>
    <cellStyle name="20% - Accent5 17 2 27" xfId="9859"/>
    <cellStyle name="20% - Accent5 17 2 28" xfId="9860"/>
    <cellStyle name="20% - Accent5 17 2 29" xfId="9861"/>
    <cellStyle name="20% - Accent5 17 2 3" xfId="9862"/>
    <cellStyle name="20% - Accent5 17 2 30" xfId="9863"/>
    <cellStyle name="20% - Accent5 17 2 31" xfId="9864"/>
    <cellStyle name="20% - Accent5 17 2 32" xfId="9865"/>
    <cellStyle name="20% - Accent5 17 2 33" xfId="9866"/>
    <cellStyle name="20% - Accent5 17 2 34" xfId="9867"/>
    <cellStyle name="20% - Accent5 17 2 35" xfId="9868"/>
    <cellStyle name="20% - Accent5 17 2 36" xfId="9869"/>
    <cellStyle name="20% - Accent5 17 2 37" xfId="9870"/>
    <cellStyle name="20% - Accent5 17 2 38" xfId="9871"/>
    <cellStyle name="20% - Accent5 17 2 39" xfId="9872"/>
    <cellStyle name="20% - Accent5 17 2 4" xfId="9873"/>
    <cellStyle name="20% - Accent5 17 2 40" xfId="9874"/>
    <cellStyle name="20% - Accent5 17 2 41" xfId="9875"/>
    <cellStyle name="20% - Accent5 17 2 42" xfId="9876"/>
    <cellStyle name="20% - Accent5 17 2 43" xfId="9877"/>
    <cellStyle name="20% - Accent5 17 2 44" xfId="9878"/>
    <cellStyle name="20% - Accent5 17 2 45" xfId="9879"/>
    <cellStyle name="20% - Accent5 17 2 46" xfId="9880"/>
    <cellStyle name="20% - Accent5 17 2 47" xfId="9881"/>
    <cellStyle name="20% - Accent5 17 2 48" xfId="9882"/>
    <cellStyle name="20% - Accent5 17 2 49" xfId="9883"/>
    <cellStyle name="20% - Accent5 17 2 5" xfId="9884"/>
    <cellStyle name="20% - Accent5 17 2 50" xfId="9885"/>
    <cellStyle name="20% - Accent5 17 2 51" xfId="9886"/>
    <cellStyle name="20% - Accent5 17 2 52" xfId="9887"/>
    <cellStyle name="20% - Accent5 17 2 53" xfId="9888"/>
    <cellStyle name="20% - Accent5 17 2 54" xfId="9889"/>
    <cellStyle name="20% - Accent5 17 2 55" xfId="9890"/>
    <cellStyle name="20% - Accent5 17 2 6" xfId="9891"/>
    <cellStyle name="20% - Accent5 17 2 7" xfId="9892"/>
    <cellStyle name="20% - Accent5 17 2 8" xfId="9893"/>
    <cellStyle name="20% - Accent5 17 2 9" xfId="9894"/>
    <cellStyle name="20% - Accent5 17 3" xfId="9895"/>
    <cellStyle name="20% - Accent5 17 3 10" xfId="9896"/>
    <cellStyle name="20% - Accent5 17 3 11" xfId="9897"/>
    <cellStyle name="20% - Accent5 17 3 12" xfId="9898"/>
    <cellStyle name="20% - Accent5 17 3 13" xfId="9899"/>
    <cellStyle name="20% - Accent5 17 3 14" xfId="9900"/>
    <cellStyle name="20% - Accent5 17 3 15" xfId="9901"/>
    <cellStyle name="20% - Accent5 17 3 16" xfId="9902"/>
    <cellStyle name="20% - Accent5 17 3 17" xfId="9903"/>
    <cellStyle name="20% - Accent5 17 3 18" xfId="9904"/>
    <cellStyle name="20% - Accent5 17 3 19" xfId="9905"/>
    <cellStyle name="20% - Accent5 17 3 2" xfId="9906"/>
    <cellStyle name="20% - Accent5 17 3 2 2" xfId="9907"/>
    <cellStyle name="20% - Accent5 17 3 20" xfId="9908"/>
    <cellStyle name="20% - Accent5 17 3 21" xfId="9909"/>
    <cellStyle name="20% - Accent5 17 3 22" xfId="9910"/>
    <cellStyle name="20% - Accent5 17 3 23" xfId="9911"/>
    <cellStyle name="20% - Accent5 17 3 24" xfId="9912"/>
    <cellStyle name="20% - Accent5 17 3 25" xfId="9913"/>
    <cellStyle name="20% - Accent5 17 3 26" xfId="9914"/>
    <cellStyle name="20% - Accent5 17 3 27" xfId="9915"/>
    <cellStyle name="20% - Accent5 17 3 28" xfId="9916"/>
    <cellStyle name="20% - Accent5 17 3 29" xfId="9917"/>
    <cellStyle name="20% - Accent5 17 3 3" xfId="9918"/>
    <cellStyle name="20% - Accent5 17 3 30" xfId="9919"/>
    <cellStyle name="20% - Accent5 17 3 31" xfId="9920"/>
    <cellStyle name="20% - Accent5 17 3 32" xfId="9921"/>
    <cellStyle name="20% - Accent5 17 3 33" xfId="9922"/>
    <cellStyle name="20% - Accent5 17 3 34" xfId="9923"/>
    <cellStyle name="20% - Accent5 17 3 35" xfId="9924"/>
    <cellStyle name="20% - Accent5 17 3 36" xfId="9925"/>
    <cellStyle name="20% - Accent5 17 3 37" xfId="9926"/>
    <cellStyle name="20% - Accent5 17 3 38" xfId="9927"/>
    <cellStyle name="20% - Accent5 17 3 39" xfId="9928"/>
    <cellStyle name="20% - Accent5 17 3 4" xfId="9929"/>
    <cellStyle name="20% - Accent5 17 3 40" xfId="9930"/>
    <cellStyle name="20% - Accent5 17 3 41" xfId="9931"/>
    <cellStyle name="20% - Accent5 17 3 42" xfId="9932"/>
    <cellStyle name="20% - Accent5 17 3 43" xfId="9933"/>
    <cellStyle name="20% - Accent5 17 3 44" xfId="9934"/>
    <cellStyle name="20% - Accent5 17 3 45" xfId="9935"/>
    <cellStyle name="20% - Accent5 17 3 46" xfId="9936"/>
    <cellStyle name="20% - Accent5 17 3 47" xfId="9937"/>
    <cellStyle name="20% - Accent5 17 3 48" xfId="9938"/>
    <cellStyle name="20% - Accent5 17 3 49" xfId="9939"/>
    <cellStyle name="20% - Accent5 17 3 5" xfId="9940"/>
    <cellStyle name="20% - Accent5 17 3 50" xfId="9941"/>
    <cellStyle name="20% - Accent5 17 3 51" xfId="9942"/>
    <cellStyle name="20% - Accent5 17 3 52" xfId="9943"/>
    <cellStyle name="20% - Accent5 17 3 53" xfId="9944"/>
    <cellStyle name="20% - Accent5 17 3 54" xfId="9945"/>
    <cellStyle name="20% - Accent5 17 3 55" xfId="9946"/>
    <cellStyle name="20% - Accent5 17 3 6" xfId="9947"/>
    <cellStyle name="20% - Accent5 17 3 7" xfId="9948"/>
    <cellStyle name="20% - Accent5 17 3 8" xfId="9949"/>
    <cellStyle name="20% - Accent5 17 3 9" xfId="9950"/>
    <cellStyle name="20% - Accent5 18" xfId="9951"/>
    <cellStyle name="20% - Accent5 18 2" xfId="9952"/>
    <cellStyle name="20% - Accent5 18 2 10" xfId="9953"/>
    <cellStyle name="20% - Accent5 18 2 11" xfId="9954"/>
    <cellStyle name="20% - Accent5 18 2 12" xfId="9955"/>
    <cellStyle name="20% - Accent5 18 2 13" xfId="9956"/>
    <cellStyle name="20% - Accent5 18 2 14" xfId="9957"/>
    <cellStyle name="20% - Accent5 18 2 15" xfId="9958"/>
    <cellStyle name="20% - Accent5 18 2 16" xfId="9959"/>
    <cellStyle name="20% - Accent5 18 2 17" xfId="9960"/>
    <cellStyle name="20% - Accent5 18 2 18" xfId="9961"/>
    <cellStyle name="20% - Accent5 18 2 19" xfId="9962"/>
    <cellStyle name="20% - Accent5 18 2 2" xfId="9963"/>
    <cellStyle name="20% - Accent5 18 2 2 2" xfId="9964"/>
    <cellStyle name="20% - Accent5 18 2 20" xfId="9965"/>
    <cellStyle name="20% - Accent5 18 2 21" xfId="9966"/>
    <cellStyle name="20% - Accent5 18 2 22" xfId="9967"/>
    <cellStyle name="20% - Accent5 18 2 23" xfId="9968"/>
    <cellStyle name="20% - Accent5 18 2 24" xfId="9969"/>
    <cellStyle name="20% - Accent5 18 2 25" xfId="9970"/>
    <cellStyle name="20% - Accent5 18 2 26" xfId="9971"/>
    <cellStyle name="20% - Accent5 18 2 27" xfId="9972"/>
    <cellStyle name="20% - Accent5 18 2 28" xfId="9973"/>
    <cellStyle name="20% - Accent5 18 2 29" xfId="9974"/>
    <cellStyle name="20% - Accent5 18 2 3" xfId="9975"/>
    <cellStyle name="20% - Accent5 18 2 30" xfId="9976"/>
    <cellStyle name="20% - Accent5 18 2 31" xfId="9977"/>
    <cellStyle name="20% - Accent5 18 2 32" xfId="9978"/>
    <cellStyle name="20% - Accent5 18 2 33" xfId="9979"/>
    <cellStyle name="20% - Accent5 18 2 34" xfId="9980"/>
    <cellStyle name="20% - Accent5 18 2 35" xfId="9981"/>
    <cellStyle name="20% - Accent5 18 2 36" xfId="9982"/>
    <cellStyle name="20% - Accent5 18 2 37" xfId="9983"/>
    <cellStyle name="20% - Accent5 18 2 38" xfId="9984"/>
    <cellStyle name="20% - Accent5 18 2 39" xfId="9985"/>
    <cellStyle name="20% - Accent5 18 2 4" xfId="9986"/>
    <cellStyle name="20% - Accent5 18 2 40" xfId="9987"/>
    <cellStyle name="20% - Accent5 18 2 41" xfId="9988"/>
    <cellStyle name="20% - Accent5 18 2 42" xfId="9989"/>
    <cellStyle name="20% - Accent5 18 2 43" xfId="9990"/>
    <cellStyle name="20% - Accent5 18 2 44" xfId="9991"/>
    <cellStyle name="20% - Accent5 18 2 45" xfId="9992"/>
    <cellStyle name="20% - Accent5 18 2 46" xfId="9993"/>
    <cellStyle name="20% - Accent5 18 2 47" xfId="9994"/>
    <cellStyle name="20% - Accent5 18 2 48" xfId="9995"/>
    <cellStyle name="20% - Accent5 18 2 49" xfId="9996"/>
    <cellStyle name="20% - Accent5 18 2 5" xfId="9997"/>
    <cellStyle name="20% - Accent5 18 2 50" xfId="9998"/>
    <cellStyle name="20% - Accent5 18 2 51" xfId="9999"/>
    <cellStyle name="20% - Accent5 18 2 52" xfId="10000"/>
    <cellStyle name="20% - Accent5 18 2 53" xfId="10001"/>
    <cellStyle name="20% - Accent5 18 2 54" xfId="10002"/>
    <cellStyle name="20% - Accent5 18 2 55" xfId="10003"/>
    <cellStyle name="20% - Accent5 18 2 6" xfId="10004"/>
    <cellStyle name="20% - Accent5 18 2 7" xfId="10005"/>
    <cellStyle name="20% - Accent5 18 2 8" xfId="10006"/>
    <cellStyle name="20% - Accent5 18 2 9" xfId="10007"/>
    <cellStyle name="20% - Accent5 18 3" xfId="10008"/>
    <cellStyle name="20% - Accent5 18 3 10" xfId="10009"/>
    <cellStyle name="20% - Accent5 18 3 11" xfId="10010"/>
    <cellStyle name="20% - Accent5 18 3 12" xfId="10011"/>
    <cellStyle name="20% - Accent5 18 3 13" xfId="10012"/>
    <cellStyle name="20% - Accent5 18 3 14" xfId="10013"/>
    <cellStyle name="20% - Accent5 18 3 15" xfId="10014"/>
    <cellStyle name="20% - Accent5 18 3 16" xfId="10015"/>
    <cellStyle name="20% - Accent5 18 3 17" xfId="10016"/>
    <cellStyle name="20% - Accent5 18 3 18" xfId="10017"/>
    <cellStyle name="20% - Accent5 18 3 19" xfId="10018"/>
    <cellStyle name="20% - Accent5 18 3 2" xfId="10019"/>
    <cellStyle name="20% - Accent5 18 3 2 2" xfId="10020"/>
    <cellStyle name="20% - Accent5 18 3 20" xfId="10021"/>
    <cellStyle name="20% - Accent5 18 3 21" xfId="10022"/>
    <cellStyle name="20% - Accent5 18 3 22" xfId="10023"/>
    <cellStyle name="20% - Accent5 18 3 23" xfId="10024"/>
    <cellStyle name="20% - Accent5 18 3 24" xfId="10025"/>
    <cellStyle name="20% - Accent5 18 3 25" xfId="10026"/>
    <cellStyle name="20% - Accent5 18 3 26" xfId="10027"/>
    <cellStyle name="20% - Accent5 18 3 27" xfId="10028"/>
    <cellStyle name="20% - Accent5 18 3 28" xfId="10029"/>
    <cellStyle name="20% - Accent5 18 3 29" xfId="10030"/>
    <cellStyle name="20% - Accent5 18 3 3" xfId="10031"/>
    <cellStyle name="20% - Accent5 18 3 30" xfId="10032"/>
    <cellStyle name="20% - Accent5 18 3 31" xfId="10033"/>
    <cellStyle name="20% - Accent5 18 3 32" xfId="10034"/>
    <cellStyle name="20% - Accent5 18 3 33" xfId="10035"/>
    <cellStyle name="20% - Accent5 18 3 34" xfId="10036"/>
    <cellStyle name="20% - Accent5 18 3 35" xfId="10037"/>
    <cellStyle name="20% - Accent5 18 3 36" xfId="10038"/>
    <cellStyle name="20% - Accent5 18 3 37" xfId="10039"/>
    <cellStyle name="20% - Accent5 18 3 38" xfId="10040"/>
    <cellStyle name="20% - Accent5 18 3 39" xfId="10041"/>
    <cellStyle name="20% - Accent5 18 3 4" xfId="10042"/>
    <cellStyle name="20% - Accent5 18 3 40" xfId="10043"/>
    <cellStyle name="20% - Accent5 18 3 41" xfId="10044"/>
    <cellStyle name="20% - Accent5 18 3 42" xfId="10045"/>
    <cellStyle name="20% - Accent5 18 3 43" xfId="10046"/>
    <cellStyle name="20% - Accent5 18 3 44" xfId="10047"/>
    <cellStyle name="20% - Accent5 18 3 45" xfId="10048"/>
    <cellStyle name="20% - Accent5 18 3 46" xfId="10049"/>
    <cellStyle name="20% - Accent5 18 3 47" xfId="10050"/>
    <cellStyle name="20% - Accent5 18 3 48" xfId="10051"/>
    <cellStyle name="20% - Accent5 18 3 49" xfId="10052"/>
    <cellStyle name="20% - Accent5 18 3 5" xfId="10053"/>
    <cellStyle name="20% - Accent5 18 3 50" xfId="10054"/>
    <cellStyle name="20% - Accent5 18 3 51" xfId="10055"/>
    <cellStyle name="20% - Accent5 18 3 52" xfId="10056"/>
    <cellStyle name="20% - Accent5 18 3 53" xfId="10057"/>
    <cellStyle name="20% - Accent5 18 3 54" xfId="10058"/>
    <cellStyle name="20% - Accent5 18 3 55" xfId="10059"/>
    <cellStyle name="20% - Accent5 18 3 6" xfId="10060"/>
    <cellStyle name="20% - Accent5 18 3 7" xfId="10061"/>
    <cellStyle name="20% - Accent5 18 3 8" xfId="10062"/>
    <cellStyle name="20% - Accent5 18 3 9" xfId="10063"/>
    <cellStyle name="20% - Accent5 19" xfId="10064"/>
    <cellStyle name="20% - Accent5 2" xfId="10065"/>
    <cellStyle name="20% - Accent5 2 2" xfId="10066"/>
    <cellStyle name="20% - Accent5 2 2 2" xfId="10067"/>
    <cellStyle name="20% - Accent5 2 2 2 10" xfId="10068"/>
    <cellStyle name="20% - Accent5 2 2 2 11" xfId="10069"/>
    <cellStyle name="20% - Accent5 2 2 2 12" xfId="10070"/>
    <cellStyle name="20% - Accent5 2 2 2 13" xfId="10071"/>
    <cellStyle name="20% - Accent5 2 2 2 14" xfId="10072"/>
    <cellStyle name="20% - Accent5 2 2 2 15" xfId="10073"/>
    <cellStyle name="20% - Accent5 2 2 2 16" xfId="10074"/>
    <cellStyle name="20% - Accent5 2 2 2 17" xfId="10075"/>
    <cellStyle name="20% - Accent5 2 2 2 18" xfId="10076"/>
    <cellStyle name="20% - Accent5 2 2 2 19" xfId="10077"/>
    <cellStyle name="20% - Accent5 2 2 2 2" xfId="10078"/>
    <cellStyle name="20% - Accent5 2 2 2 2 2" xfId="10079"/>
    <cellStyle name="20% - Accent5 2 2 2 20" xfId="10080"/>
    <cellStyle name="20% - Accent5 2 2 2 21" xfId="10081"/>
    <cellStyle name="20% - Accent5 2 2 2 22" xfId="10082"/>
    <cellStyle name="20% - Accent5 2 2 2 23" xfId="10083"/>
    <cellStyle name="20% - Accent5 2 2 2 24" xfId="10084"/>
    <cellStyle name="20% - Accent5 2 2 2 25" xfId="10085"/>
    <cellStyle name="20% - Accent5 2 2 2 26" xfId="10086"/>
    <cellStyle name="20% - Accent5 2 2 2 27" xfId="10087"/>
    <cellStyle name="20% - Accent5 2 2 2 28" xfId="10088"/>
    <cellStyle name="20% - Accent5 2 2 2 29" xfId="10089"/>
    <cellStyle name="20% - Accent5 2 2 2 3" xfId="10090"/>
    <cellStyle name="20% - Accent5 2 2 2 30" xfId="10091"/>
    <cellStyle name="20% - Accent5 2 2 2 31" xfId="10092"/>
    <cellStyle name="20% - Accent5 2 2 2 32" xfId="10093"/>
    <cellStyle name="20% - Accent5 2 2 2 33" xfId="10094"/>
    <cellStyle name="20% - Accent5 2 2 2 34" xfId="10095"/>
    <cellStyle name="20% - Accent5 2 2 2 35" xfId="10096"/>
    <cellStyle name="20% - Accent5 2 2 2 36" xfId="10097"/>
    <cellStyle name="20% - Accent5 2 2 2 37" xfId="10098"/>
    <cellStyle name="20% - Accent5 2 2 2 38" xfId="10099"/>
    <cellStyle name="20% - Accent5 2 2 2 39" xfId="10100"/>
    <cellStyle name="20% - Accent5 2 2 2 4" xfId="10101"/>
    <cellStyle name="20% - Accent5 2 2 2 40" xfId="10102"/>
    <cellStyle name="20% - Accent5 2 2 2 41" xfId="10103"/>
    <cellStyle name="20% - Accent5 2 2 2 42" xfId="10104"/>
    <cellStyle name="20% - Accent5 2 2 2 43" xfId="10105"/>
    <cellStyle name="20% - Accent5 2 2 2 44" xfId="10106"/>
    <cellStyle name="20% - Accent5 2 2 2 45" xfId="10107"/>
    <cellStyle name="20% - Accent5 2 2 2 46" xfId="10108"/>
    <cellStyle name="20% - Accent5 2 2 2 47" xfId="10109"/>
    <cellStyle name="20% - Accent5 2 2 2 48" xfId="10110"/>
    <cellStyle name="20% - Accent5 2 2 2 49" xfId="10111"/>
    <cellStyle name="20% - Accent5 2 2 2 5" xfId="10112"/>
    <cellStyle name="20% - Accent5 2 2 2 50" xfId="10113"/>
    <cellStyle name="20% - Accent5 2 2 2 51" xfId="10114"/>
    <cellStyle name="20% - Accent5 2 2 2 52" xfId="10115"/>
    <cellStyle name="20% - Accent5 2 2 2 53" xfId="10116"/>
    <cellStyle name="20% - Accent5 2 2 2 54" xfId="10117"/>
    <cellStyle name="20% - Accent5 2 2 2 55" xfId="10118"/>
    <cellStyle name="20% - Accent5 2 2 2 6" xfId="10119"/>
    <cellStyle name="20% - Accent5 2 2 2 7" xfId="10120"/>
    <cellStyle name="20% - Accent5 2 2 2 8" xfId="10121"/>
    <cellStyle name="20% - Accent5 2 2 2 9" xfId="10122"/>
    <cellStyle name="20% - Accent5 2 2 2_PM Okt 2014 Plan VS Actual Planning Workshop" xfId="10123"/>
    <cellStyle name="20% - Accent5 2 2 3" xfId="10124"/>
    <cellStyle name="20% - Accent5 2 2 3 10" xfId="10125"/>
    <cellStyle name="20% - Accent5 2 2 3 11" xfId="10126"/>
    <cellStyle name="20% - Accent5 2 2 3 12" xfId="10127"/>
    <cellStyle name="20% - Accent5 2 2 3 13" xfId="10128"/>
    <cellStyle name="20% - Accent5 2 2 3 14" xfId="10129"/>
    <cellStyle name="20% - Accent5 2 2 3 15" xfId="10130"/>
    <cellStyle name="20% - Accent5 2 2 3 16" xfId="10131"/>
    <cellStyle name="20% - Accent5 2 2 3 17" xfId="10132"/>
    <cellStyle name="20% - Accent5 2 2 3 18" xfId="10133"/>
    <cellStyle name="20% - Accent5 2 2 3 19" xfId="10134"/>
    <cellStyle name="20% - Accent5 2 2 3 2" xfId="10135"/>
    <cellStyle name="20% - Accent5 2 2 3 2 2" xfId="10136"/>
    <cellStyle name="20% - Accent5 2 2 3 20" xfId="10137"/>
    <cellStyle name="20% - Accent5 2 2 3 21" xfId="10138"/>
    <cellStyle name="20% - Accent5 2 2 3 22" xfId="10139"/>
    <cellStyle name="20% - Accent5 2 2 3 23" xfId="10140"/>
    <cellStyle name="20% - Accent5 2 2 3 24" xfId="10141"/>
    <cellStyle name="20% - Accent5 2 2 3 25" xfId="10142"/>
    <cellStyle name="20% - Accent5 2 2 3 26" xfId="10143"/>
    <cellStyle name="20% - Accent5 2 2 3 27" xfId="10144"/>
    <cellStyle name="20% - Accent5 2 2 3 28" xfId="10145"/>
    <cellStyle name="20% - Accent5 2 2 3 29" xfId="10146"/>
    <cellStyle name="20% - Accent5 2 2 3 3" xfId="10147"/>
    <cellStyle name="20% - Accent5 2 2 3 30" xfId="10148"/>
    <cellStyle name="20% - Accent5 2 2 3 31" xfId="10149"/>
    <cellStyle name="20% - Accent5 2 2 3 32" xfId="10150"/>
    <cellStyle name="20% - Accent5 2 2 3 33" xfId="10151"/>
    <cellStyle name="20% - Accent5 2 2 3 34" xfId="10152"/>
    <cellStyle name="20% - Accent5 2 2 3 35" xfId="10153"/>
    <cellStyle name="20% - Accent5 2 2 3 36" xfId="10154"/>
    <cellStyle name="20% - Accent5 2 2 3 37" xfId="10155"/>
    <cellStyle name="20% - Accent5 2 2 3 38" xfId="10156"/>
    <cellStyle name="20% - Accent5 2 2 3 39" xfId="10157"/>
    <cellStyle name="20% - Accent5 2 2 3 4" xfId="10158"/>
    <cellStyle name="20% - Accent5 2 2 3 40" xfId="10159"/>
    <cellStyle name="20% - Accent5 2 2 3 41" xfId="10160"/>
    <cellStyle name="20% - Accent5 2 2 3 42" xfId="10161"/>
    <cellStyle name="20% - Accent5 2 2 3 43" xfId="10162"/>
    <cellStyle name="20% - Accent5 2 2 3 44" xfId="10163"/>
    <cellStyle name="20% - Accent5 2 2 3 45" xfId="10164"/>
    <cellStyle name="20% - Accent5 2 2 3 46" xfId="10165"/>
    <cellStyle name="20% - Accent5 2 2 3 47" xfId="10166"/>
    <cellStyle name="20% - Accent5 2 2 3 48" xfId="10167"/>
    <cellStyle name="20% - Accent5 2 2 3 49" xfId="10168"/>
    <cellStyle name="20% - Accent5 2 2 3 5" xfId="10169"/>
    <cellStyle name="20% - Accent5 2 2 3 50" xfId="10170"/>
    <cellStyle name="20% - Accent5 2 2 3 51" xfId="10171"/>
    <cellStyle name="20% - Accent5 2 2 3 52" xfId="10172"/>
    <cellStyle name="20% - Accent5 2 2 3 53" xfId="10173"/>
    <cellStyle name="20% - Accent5 2 2 3 54" xfId="10174"/>
    <cellStyle name="20% - Accent5 2 2 3 55" xfId="10175"/>
    <cellStyle name="20% - Accent5 2 2 3 6" xfId="10176"/>
    <cellStyle name="20% - Accent5 2 2 3 7" xfId="10177"/>
    <cellStyle name="20% - Accent5 2 2 3 8" xfId="10178"/>
    <cellStyle name="20% - Accent5 2 2 3 9" xfId="10179"/>
    <cellStyle name="20% - Accent5 2 3" xfId="10180"/>
    <cellStyle name="20% - Accent5 2 3 10" xfId="10181"/>
    <cellStyle name="20% - Accent5 2 3 11" xfId="10182"/>
    <cellStyle name="20% - Accent5 2 3 12" xfId="10183"/>
    <cellStyle name="20% - Accent5 2 3 13" xfId="10184"/>
    <cellStyle name="20% - Accent5 2 3 14" xfId="10185"/>
    <cellStyle name="20% - Accent5 2 3 15" xfId="10186"/>
    <cellStyle name="20% - Accent5 2 3 16" xfId="10187"/>
    <cellStyle name="20% - Accent5 2 3 17" xfId="10188"/>
    <cellStyle name="20% - Accent5 2 3 18" xfId="10189"/>
    <cellStyle name="20% - Accent5 2 3 19" xfId="10190"/>
    <cellStyle name="20% - Accent5 2 3 2" xfId="10191"/>
    <cellStyle name="20% - Accent5 2 3 2 2" xfId="10192"/>
    <cellStyle name="20% - Accent5 2 3 2_PM Okt 2014 Plan VS Actual Planning Workshop" xfId="10193"/>
    <cellStyle name="20% - Accent5 2 3 20" xfId="10194"/>
    <cellStyle name="20% - Accent5 2 3 21" xfId="10195"/>
    <cellStyle name="20% - Accent5 2 3 22" xfId="10196"/>
    <cellStyle name="20% - Accent5 2 3 23" xfId="10197"/>
    <cellStyle name="20% - Accent5 2 3 24" xfId="10198"/>
    <cellStyle name="20% - Accent5 2 3 25" xfId="10199"/>
    <cellStyle name="20% - Accent5 2 3 26" xfId="10200"/>
    <cellStyle name="20% - Accent5 2 3 27" xfId="10201"/>
    <cellStyle name="20% - Accent5 2 3 28" xfId="10202"/>
    <cellStyle name="20% - Accent5 2 3 29" xfId="10203"/>
    <cellStyle name="20% - Accent5 2 3 3" xfId="10204"/>
    <cellStyle name="20% - Accent5 2 3 30" xfId="10205"/>
    <cellStyle name="20% - Accent5 2 3 31" xfId="10206"/>
    <cellStyle name="20% - Accent5 2 3 32" xfId="10207"/>
    <cellStyle name="20% - Accent5 2 3 33" xfId="10208"/>
    <cellStyle name="20% - Accent5 2 3 34" xfId="10209"/>
    <cellStyle name="20% - Accent5 2 3 35" xfId="10210"/>
    <cellStyle name="20% - Accent5 2 3 36" xfId="10211"/>
    <cellStyle name="20% - Accent5 2 3 37" xfId="10212"/>
    <cellStyle name="20% - Accent5 2 3 38" xfId="10213"/>
    <cellStyle name="20% - Accent5 2 3 39" xfId="10214"/>
    <cellStyle name="20% - Accent5 2 3 4" xfId="10215"/>
    <cellStyle name="20% - Accent5 2 3 40" xfId="10216"/>
    <cellStyle name="20% - Accent5 2 3 41" xfId="10217"/>
    <cellStyle name="20% - Accent5 2 3 42" xfId="10218"/>
    <cellStyle name="20% - Accent5 2 3 43" xfId="10219"/>
    <cellStyle name="20% - Accent5 2 3 44" xfId="10220"/>
    <cellStyle name="20% - Accent5 2 3 45" xfId="10221"/>
    <cellStyle name="20% - Accent5 2 3 46" xfId="10222"/>
    <cellStyle name="20% - Accent5 2 3 47" xfId="10223"/>
    <cellStyle name="20% - Accent5 2 3 48" xfId="10224"/>
    <cellStyle name="20% - Accent5 2 3 49" xfId="10225"/>
    <cellStyle name="20% - Accent5 2 3 5" xfId="10226"/>
    <cellStyle name="20% - Accent5 2 3 50" xfId="10227"/>
    <cellStyle name="20% - Accent5 2 3 51" xfId="10228"/>
    <cellStyle name="20% - Accent5 2 3 52" xfId="10229"/>
    <cellStyle name="20% - Accent5 2 3 53" xfId="10230"/>
    <cellStyle name="20% - Accent5 2 3 54" xfId="10231"/>
    <cellStyle name="20% - Accent5 2 3 55" xfId="10232"/>
    <cellStyle name="20% - Accent5 2 3 6" xfId="10233"/>
    <cellStyle name="20% - Accent5 2 3 7" xfId="10234"/>
    <cellStyle name="20% - Accent5 2 3 8" xfId="10235"/>
    <cellStyle name="20% - Accent5 2 3 9" xfId="10236"/>
    <cellStyle name="20% - Accent5 2 4" xfId="10237"/>
    <cellStyle name="20% - Accent5 2 4 2" xfId="10238"/>
    <cellStyle name="20% - Accent5 2 5" xfId="10239"/>
    <cellStyle name="20% - Accent5 2_Asset monitoring board" xfId="10240"/>
    <cellStyle name="20% - Accent5 3" xfId="10241"/>
    <cellStyle name="20% - Accent5 3 2" xfId="10242"/>
    <cellStyle name="20% - Accent5 3 2 10" xfId="10243"/>
    <cellStyle name="20% - Accent5 3 2 11" xfId="10244"/>
    <cellStyle name="20% - Accent5 3 2 12" xfId="10245"/>
    <cellStyle name="20% - Accent5 3 2 13" xfId="10246"/>
    <cellStyle name="20% - Accent5 3 2 14" xfId="10247"/>
    <cellStyle name="20% - Accent5 3 2 15" xfId="10248"/>
    <cellStyle name="20% - Accent5 3 2 16" xfId="10249"/>
    <cellStyle name="20% - Accent5 3 2 17" xfId="10250"/>
    <cellStyle name="20% - Accent5 3 2 18" xfId="10251"/>
    <cellStyle name="20% - Accent5 3 2 19" xfId="10252"/>
    <cellStyle name="20% - Accent5 3 2 2" xfId="10253"/>
    <cellStyle name="20% - Accent5 3 2 2 2" xfId="10254"/>
    <cellStyle name="20% - Accent5 3 2 20" xfId="10255"/>
    <cellStyle name="20% - Accent5 3 2 21" xfId="10256"/>
    <cellStyle name="20% - Accent5 3 2 22" xfId="10257"/>
    <cellStyle name="20% - Accent5 3 2 23" xfId="10258"/>
    <cellStyle name="20% - Accent5 3 2 24" xfId="10259"/>
    <cellStyle name="20% - Accent5 3 2 25" xfId="10260"/>
    <cellStyle name="20% - Accent5 3 2 26" xfId="10261"/>
    <cellStyle name="20% - Accent5 3 2 27" xfId="10262"/>
    <cellStyle name="20% - Accent5 3 2 28" xfId="10263"/>
    <cellStyle name="20% - Accent5 3 2 29" xfId="10264"/>
    <cellStyle name="20% - Accent5 3 2 3" xfId="10265"/>
    <cellStyle name="20% - Accent5 3 2 30" xfId="10266"/>
    <cellStyle name="20% - Accent5 3 2 31" xfId="10267"/>
    <cellStyle name="20% - Accent5 3 2 32" xfId="10268"/>
    <cellStyle name="20% - Accent5 3 2 33" xfId="10269"/>
    <cellStyle name="20% - Accent5 3 2 34" xfId="10270"/>
    <cellStyle name="20% - Accent5 3 2 35" xfId="10271"/>
    <cellStyle name="20% - Accent5 3 2 36" xfId="10272"/>
    <cellStyle name="20% - Accent5 3 2 37" xfId="10273"/>
    <cellStyle name="20% - Accent5 3 2 38" xfId="10274"/>
    <cellStyle name="20% - Accent5 3 2 39" xfId="10275"/>
    <cellStyle name="20% - Accent5 3 2 4" xfId="10276"/>
    <cellStyle name="20% - Accent5 3 2 40" xfId="10277"/>
    <cellStyle name="20% - Accent5 3 2 41" xfId="10278"/>
    <cellStyle name="20% - Accent5 3 2 42" xfId="10279"/>
    <cellStyle name="20% - Accent5 3 2 43" xfId="10280"/>
    <cellStyle name="20% - Accent5 3 2 44" xfId="10281"/>
    <cellStyle name="20% - Accent5 3 2 45" xfId="10282"/>
    <cellStyle name="20% - Accent5 3 2 46" xfId="10283"/>
    <cellStyle name="20% - Accent5 3 2 47" xfId="10284"/>
    <cellStyle name="20% - Accent5 3 2 48" xfId="10285"/>
    <cellStyle name="20% - Accent5 3 2 49" xfId="10286"/>
    <cellStyle name="20% - Accent5 3 2 5" xfId="10287"/>
    <cellStyle name="20% - Accent5 3 2 50" xfId="10288"/>
    <cellStyle name="20% - Accent5 3 2 51" xfId="10289"/>
    <cellStyle name="20% - Accent5 3 2 52" xfId="10290"/>
    <cellStyle name="20% - Accent5 3 2 53" xfId="10291"/>
    <cellStyle name="20% - Accent5 3 2 54" xfId="10292"/>
    <cellStyle name="20% - Accent5 3 2 55" xfId="10293"/>
    <cellStyle name="20% - Accent5 3 2 6" xfId="10294"/>
    <cellStyle name="20% - Accent5 3 2 7" xfId="10295"/>
    <cellStyle name="20% - Accent5 3 2 8" xfId="10296"/>
    <cellStyle name="20% - Accent5 3 2 9" xfId="10297"/>
    <cellStyle name="20% - Accent5 3 3" xfId="10298"/>
    <cellStyle name="20% - Accent5 3 3 10" xfId="10299"/>
    <cellStyle name="20% - Accent5 3 3 11" xfId="10300"/>
    <cellStyle name="20% - Accent5 3 3 12" xfId="10301"/>
    <cellStyle name="20% - Accent5 3 3 13" xfId="10302"/>
    <cellStyle name="20% - Accent5 3 3 14" xfId="10303"/>
    <cellStyle name="20% - Accent5 3 3 15" xfId="10304"/>
    <cellStyle name="20% - Accent5 3 3 16" xfId="10305"/>
    <cellStyle name="20% - Accent5 3 3 17" xfId="10306"/>
    <cellStyle name="20% - Accent5 3 3 18" xfId="10307"/>
    <cellStyle name="20% - Accent5 3 3 19" xfId="10308"/>
    <cellStyle name="20% - Accent5 3 3 2" xfId="10309"/>
    <cellStyle name="20% - Accent5 3 3 2 2" xfId="10310"/>
    <cellStyle name="20% - Accent5 3 3 20" xfId="10311"/>
    <cellStyle name="20% - Accent5 3 3 21" xfId="10312"/>
    <cellStyle name="20% - Accent5 3 3 22" xfId="10313"/>
    <cellStyle name="20% - Accent5 3 3 23" xfId="10314"/>
    <cellStyle name="20% - Accent5 3 3 24" xfId="10315"/>
    <cellStyle name="20% - Accent5 3 3 25" xfId="10316"/>
    <cellStyle name="20% - Accent5 3 3 26" xfId="10317"/>
    <cellStyle name="20% - Accent5 3 3 27" xfId="10318"/>
    <cellStyle name="20% - Accent5 3 3 28" xfId="10319"/>
    <cellStyle name="20% - Accent5 3 3 29" xfId="10320"/>
    <cellStyle name="20% - Accent5 3 3 3" xfId="10321"/>
    <cellStyle name="20% - Accent5 3 3 30" xfId="10322"/>
    <cellStyle name="20% - Accent5 3 3 31" xfId="10323"/>
    <cellStyle name="20% - Accent5 3 3 32" xfId="10324"/>
    <cellStyle name="20% - Accent5 3 3 33" xfId="10325"/>
    <cellStyle name="20% - Accent5 3 3 34" xfId="10326"/>
    <cellStyle name="20% - Accent5 3 3 35" xfId="10327"/>
    <cellStyle name="20% - Accent5 3 3 36" xfId="10328"/>
    <cellStyle name="20% - Accent5 3 3 37" xfId="10329"/>
    <cellStyle name="20% - Accent5 3 3 38" xfId="10330"/>
    <cellStyle name="20% - Accent5 3 3 39" xfId="10331"/>
    <cellStyle name="20% - Accent5 3 3 4" xfId="10332"/>
    <cellStyle name="20% - Accent5 3 3 40" xfId="10333"/>
    <cellStyle name="20% - Accent5 3 3 41" xfId="10334"/>
    <cellStyle name="20% - Accent5 3 3 42" xfId="10335"/>
    <cellStyle name="20% - Accent5 3 3 43" xfId="10336"/>
    <cellStyle name="20% - Accent5 3 3 44" xfId="10337"/>
    <cellStyle name="20% - Accent5 3 3 45" xfId="10338"/>
    <cellStyle name="20% - Accent5 3 3 46" xfId="10339"/>
    <cellStyle name="20% - Accent5 3 3 47" xfId="10340"/>
    <cellStyle name="20% - Accent5 3 3 48" xfId="10341"/>
    <cellStyle name="20% - Accent5 3 3 49" xfId="10342"/>
    <cellStyle name="20% - Accent5 3 3 5" xfId="10343"/>
    <cellStyle name="20% - Accent5 3 3 50" xfId="10344"/>
    <cellStyle name="20% - Accent5 3 3 51" xfId="10345"/>
    <cellStyle name="20% - Accent5 3 3 52" xfId="10346"/>
    <cellStyle name="20% - Accent5 3 3 53" xfId="10347"/>
    <cellStyle name="20% - Accent5 3 3 54" xfId="10348"/>
    <cellStyle name="20% - Accent5 3 3 55" xfId="10349"/>
    <cellStyle name="20% - Accent5 3 3 6" xfId="10350"/>
    <cellStyle name="20% - Accent5 3 3 7" xfId="10351"/>
    <cellStyle name="20% - Accent5 3 3 8" xfId="10352"/>
    <cellStyle name="20% - Accent5 3 3 9" xfId="10353"/>
    <cellStyle name="20% - Accent5 4" xfId="10354"/>
    <cellStyle name="20% - Accent5 4 2" xfId="10355"/>
    <cellStyle name="20% - Accent5 4 2 10" xfId="10356"/>
    <cellStyle name="20% - Accent5 4 2 11" xfId="10357"/>
    <cellStyle name="20% - Accent5 4 2 12" xfId="10358"/>
    <cellStyle name="20% - Accent5 4 2 13" xfId="10359"/>
    <cellStyle name="20% - Accent5 4 2 14" xfId="10360"/>
    <cellStyle name="20% - Accent5 4 2 15" xfId="10361"/>
    <cellStyle name="20% - Accent5 4 2 16" xfId="10362"/>
    <cellStyle name="20% - Accent5 4 2 17" xfId="10363"/>
    <cellStyle name="20% - Accent5 4 2 18" xfId="10364"/>
    <cellStyle name="20% - Accent5 4 2 19" xfId="10365"/>
    <cellStyle name="20% - Accent5 4 2 2" xfId="10366"/>
    <cellStyle name="20% - Accent5 4 2 2 2" xfId="10367"/>
    <cellStyle name="20% - Accent5 4 2 20" xfId="10368"/>
    <cellStyle name="20% - Accent5 4 2 21" xfId="10369"/>
    <cellStyle name="20% - Accent5 4 2 22" xfId="10370"/>
    <cellStyle name="20% - Accent5 4 2 23" xfId="10371"/>
    <cellStyle name="20% - Accent5 4 2 24" xfId="10372"/>
    <cellStyle name="20% - Accent5 4 2 25" xfId="10373"/>
    <cellStyle name="20% - Accent5 4 2 26" xfId="10374"/>
    <cellStyle name="20% - Accent5 4 2 27" xfId="10375"/>
    <cellStyle name="20% - Accent5 4 2 28" xfId="10376"/>
    <cellStyle name="20% - Accent5 4 2 29" xfId="10377"/>
    <cellStyle name="20% - Accent5 4 2 3" xfId="10378"/>
    <cellStyle name="20% - Accent5 4 2 30" xfId="10379"/>
    <cellStyle name="20% - Accent5 4 2 31" xfId="10380"/>
    <cellStyle name="20% - Accent5 4 2 32" xfId="10381"/>
    <cellStyle name="20% - Accent5 4 2 33" xfId="10382"/>
    <cellStyle name="20% - Accent5 4 2 34" xfId="10383"/>
    <cellStyle name="20% - Accent5 4 2 35" xfId="10384"/>
    <cellStyle name="20% - Accent5 4 2 36" xfId="10385"/>
    <cellStyle name="20% - Accent5 4 2 37" xfId="10386"/>
    <cellStyle name="20% - Accent5 4 2 38" xfId="10387"/>
    <cellStyle name="20% - Accent5 4 2 39" xfId="10388"/>
    <cellStyle name="20% - Accent5 4 2 4" xfId="10389"/>
    <cellStyle name="20% - Accent5 4 2 40" xfId="10390"/>
    <cellStyle name="20% - Accent5 4 2 41" xfId="10391"/>
    <cellStyle name="20% - Accent5 4 2 42" xfId="10392"/>
    <cellStyle name="20% - Accent5 4 2 43" xfId="10393"/>
    <cellStyle name="20% - Accent5 4 2 44" xfId="10394"/>
    <cellStyle name="20% - Accent5 4 2 45" xfId="10395"/>
    <cellStyle name="20% - Accent5 4 2 46" xfId="10396"/>
    <cellStyle name="20% - Accent5 4 2 47" xfId="10397"/>
    <cellStyle name="20% - Accent5 4 2 48" xfId="10398"/>
    <cellStyle name="20% - Accent5 4 2 49" xfId="10399"/>
    <cellStyle name="20% - Accent5 4 2 5" xfId="10400"/>
    <cellStyle name="20% - Accent5 4 2 50" xfId="10401"/>
    <cellStyle name="20% - Accent5 4 2 51" xfId="10402"/>
    <cellStyle name="20% - Accent5 4 2 52" xfId="10403"/>
    <cellStyle name="20% - Accent5 4 2 53" xfId="10404"/>
    <cellStyle name="20% - Accent5 4 2 54" xfId="10405"/>
    <cellStyle name="20% - Accent5 4 2 55" xfId="10406"/>
    <cellStyle name="20% - Accent5 4 2 6" xfId="10407"/>
    <cellStyle name="20% - Accent5 4 2 7" xfId="10408"/>
    <cellStyle name="20% - Accent5 4 2 8" xfId="10409"/>
    <cellStyle name="20% - Accent5 4 2 9" xfId="10410"/>
    <cellStyle name="20% - Accent5 4 3" xfId="10411"/>
    <cellStyle name="20% - Accent5 4 3 10" xfId="10412"/>
    <cellStyle name="20% - Accent5 4 3 11" xfId="10413"/>
    <cellStyle name="20% - Accent5 4 3 12" xfId="10414"/>
    <cellStyle name="20% - Accent5 4 3 13" xfId="10415"/>
    <cellStyle name="20% - Accent5 4 3 14" xfId="10416"/>
    <cellStyle name="20% - Accent5 4 3 15" xfId="10417"/>
    <cellStyle name="20% - Accent5 4 3 16" xfId="10418"/>
    <cellStyle name="20% - Accent5 4 3 17" xfId="10419"/>
    <cellStyle name="20% - Accent5 4 3 18" xfId="10420"/>
    <cellStyle name="20% - Accent5 4 3 19" xfId="10421"/>
    <cellStyle name="20% - Accent5 4 3 2" xfId="10422"/>
    <cellStyle name="20% - Accent5 4 3 2 2" xfId="10423"/>
    <cellStyle name="20% - Accent5 4 3 20" xfId="10424"/>
    <cellStyle name="20% - Accent5 4 3 21" xfId="10425"/>
    <cellStyle name="20% - Accent5 4 3 22" xfId="10426"/>
    <cellStyle name="20% - Accent5 4 3 23" xfId="10427"/>
    <cellStyle name="20% - Accent5 4 3 24" xfId="10428"/>
    <cellStyle name="20% - Accent5 4 3 25" xfId="10429"/>
    <cellStyle name="20% - Accent5 4 3 26" xfId="10430"/>
    <cellStyle name="20% - Accent5 4 3 27" xfId="10431"/>
    <cellStyle name="20% - Accent5 4 3 28" xfId="10432"/>
    <cellStyle name="20% - Accent5 4 3 29" xfId="10433"/>
    <cellStyle name="20% - Accent5 4 3 3" xfId="10434"/>
    <cellStyle name="20% - Accent5 4 3 30" xfId="10435"/>
    <cellStyle name="20% - Accent5 4 3 31" xfId="10436"/>
    <cellStyle name="20% - Accent5 4 3 32" xfId="10437"/>
    <cellStyle name="20% - Accent5 4 3 33" xfId="10438"/>
    <cellStyle name="20% - Accent5 4 3 34" xfId="10439"/>
    <cellStyle name="20% - Accent5 4 3 35" xfId="10440"/>
    <cellStyle name="20% - Accent5 4 3 36" xfId="10441"/>
    <cellStyle name="20% - Accent5 4 3 37" xfId="10442"/>
    <cellStyle name="20% - Accent5 4 3 38" xfId="10443"/>
    <cellStyle name="20% - Accent5 4 3 39" xfId="10444"/>
    <cellStyle name="20% - Accent5 4 3 4" xfId="10445"/>
    <cellStyle name="20% - Accent5 4 3 40" xfId="10446"/>
    <cellStyle name="20% - Accent5 4 3 41" xfId="10447"/>
    <cellStyle name="20% - Accent5 4 3 42" xfId="10448"/>
    <cellStyle name="20% - Accent5 4 3 43" xfId="10449"/>
    <cellStyle name="20% - Accent5 4 3 44" xfId="10450"/>
    <cellStyle name="20% - Accent5 4 3 45" xfId="10451"/>
    <cellStyle name="20% - Accent5 4 3 46" xfId="10452"/>
    <cellStyle name="20% - Accent5 4 3 47" xfId="10453"/>
    <cellStyle name="20% - Accent5 4 3 48" xfId="10454"/>
    <cellStyle name="20% - Accent5 4 3 49" xfId="10455"/>
    <cellStyle name="20% - Accent5 4 3 5" xfId="10456"/>
    <cellStyle name="20% - Accent5 4 3 50" xfId="10457"/>
    <cellStyle name="20% - Accent5 4 3 51" xfId="10458"/>
    <cellStyle name="20% - Accent5 4 3 52" xfId="10459"/>
    <cellStyle name="20% - Accent5 4 3 53" xfId="10460"/>
    <cellStyle name="20% - Accent5 4 3 54" xfId="10461"/>
    <cellStyle name="20% - Accent5 4 3 55" xfId="10462"/>
    <cellStyle name="20% - Accent5 4 3 6" xfId="10463"/>
    <cellStyle name="20% - Accent5 4 3 7" xfId="10464"/>
    <cellStyle name="20% - Accent5 4 3 8" xfId="10465"/>
    <cellStyle name="20% - Accent5 4 3 9" xfId="10466"/>
    <cellStyle name="20% - Accent5 4 4" xfId="58362"/>
    <cellStyle name="20% - Accent5 5" xfId="10467"/>
    <cellStyle name="20% - Accent5 5 2" xfId="10468"/>
    <cellStyle name="20% - Accent5 5 2 10" xfId="10469"/>
    <cellStyle name="20% - Accent5 5 2 11" xfId="10470"/>
    <cellStyle name="20% - Accent5 5 2 12" xfId="10471"/>
    <cellStyle name="20% - Accent5 5 2 13" xfId="10472"/>
    <cellStyle name="20% - Accent5 5 2 14" xfId="10473"/>
    <cellStyle name="20% - Accent5 5 2 15" xfId="10474"/>
    <cellStyle name="20% - Accent5 5 2 16" xfId="10475"/>
    <cellStyle name="20% - Accent5 5 2 17" xfId="10476"/>
    <cellStyle name="20% - Accent5 5 2 18" xfId="10477"/>
    <cellStyle name="20% - Accent5 5 2 19" xfId="10478"/>
    <cellStyle name="20% - Accent5 5 2 2" xfId="10479"/>
    <cellStyle name="20% - Accent5 5 2 2 2" xfId="10480"/>
    <cellStyle name="20% - Accent5 5 2 20" xfId="10481"/>
    <cellStyle name="20% - Accent5 5 2 21" xfId="10482"/>
    <cellStyle name="20% - Accent5 5 2 22" xfId="10483"/>
    <cellStyle name="20% - Accent5 5 2 23" xfId="10484"/>
    <cellStyle name="20% - Accent5 5 2 24" xfId="10485"/>
    <cellStyle name="20% - Accent5 5 2 25" xfId="10486"/>
    <cellStyle name="20% - Accent5 5 2 26" xfId="10487"/>
    <cellStyle name="20% - Accent5 5 2 27" xfId="10488"/>
    <cellStyle name="20% - Accent5 5 2 28" xfId="10489"/>
    <cellStyle name="20% - Accent5 5 2 29" xfId="10490"/>
    <cellStyle name="20% - Accent5 5 2 3" xfId="10491"/>
    <cellStyle name="20% - Accent5 5 2 30" xfId="10492"/>
    <cellStyle name="20% - Accent5 5 2 31" xfId="10493"/>
    <cellStyle name="20% - Accent5 5 2 32" xfId="10494"/>
    <cellStyle name="20% - Accent5 5 2 33" xfId="10495"/>
    <cellStyle name="20% - Accent5 5 2 34" xfId="10496"/>
    <cellStyle name="20% - Accent5 5 2 35" xfId="10497"/>
    <cellStyle name="20% - Accent5 5 2 36" xfId="10498"/>
    <cellStyle name="20% - Accent5 5 2 37" xfId="10499"/>
    <cellStyle name="20% - Accent5 5 2 38" xfId="10500"/>
    <cellStyle name="20% - Accent5 5 2 39" xfId="10501"/>
    <cellStyle name="20% - Accent5 5 2 4" xfId="10502"/>
    <cellStyle name="20% - Accent5 5 2 40" xfId="10503"/>
    <cellStyle name="20% - Accent5 5 2 41" xfId="10504"/>
    <cellStyle name="20% - Accent5 5 2 42" xfId="10505"/>
    <cellStyle name="20% - Accent5 5 2 43" xfId="10506"/>
    <cellStyle name="20% - Accent5 5 2 44" xfId="10507"/>
    <cellStyle name="20% - Accent5 5 2 45" xfId="10508"/>
    <cellStyle name="20% - Accent5 5 2 46" xfId="10509"/>
    <cellStyle name="20% - Accent5 5 2 47" xfId="10510"/>
    <cellStyle name="20% - Accent5 5 2 48" xfId="10511"/>
    <cellStyle name="20% - Accent5 5 2 49" xfId="10512"/>
    <cellStyle name="20% - Accent5 5 2 5" xfId="10513"/>
    <cellStyle name="20% - Accent5 5 2 50" xfId="10514"/>
    <cellStyle name="20% - Accent5 5 2 51" xfId="10515"/>
    <cellStyle name="20% - Accent5 5 2 52" xfId="10516"/>
    <cellStyle name="20% - Accent5 5 2 53" xfId="10517"/>
    <cellStyle name="20% - Accent5 5 2 54" xfId="10518"/>
    <cellStyle name="20% - Accent5 5 2 55" xfId="10519"/>
    <cellStyle name="20% - Accent5 5 2 6" xfId="10520"/>
    <cellStyle name="20% - Accent5 5 2 7" xfId="10521"/>
    <cellStyle name="20% - Accent5 5 2 8" xfId="10522"/>
    <cellStyle name="20% - Accent5 5 2 9" xfId="10523"/>
    <cellStyle name="20% - Accent5 5 3" xfId="10524"/>
    <cellStyle name="20% - Accent5 5 3 10" xfId="10525"/>
    <cellStyle name="20% - Accent5 5 3 11" xfId="10526"/>
    <cellStyle name="20% - Accent5 5 3 12" xfId="10527"/>
    <cellStyle name="20% - Accent5 5 3 13" xfId="10528"/>
    <cellStyle name="20% - Accent5 5 3 14" xfId="10529"/>
    <cellStyle name="20% - Accent5 5 3 15" xfId="10530"/>
    <cellStyle name="20% - Accent5 5 3 16" xfId="10531"/>
    <cellStyle name="20% - Accent5 5 3 17" xfId="10532"/>
    <cellStyle name="20% - Accent5 5 3 18" xfId="10533"/>
    <cellStyle name="20% - Accent5 5 3 19" xfId="10534"/>
    <cellStyle name="20% - Accent5 5 3 2" xfId="10535"/>
    <cellStyle name="20% - Accent5 5 3 2 2" xfId="10536"/>
    <cellStyle name="20% - Accent5 5 3 20" xfId="10537"/>
    <cellStyle name="20% - Accent5 5 3 21" xfId="10538"/>
    <cellStyle name="20% - Accent5 5 3 22" xfId="10539"/>
    <cellStyle name="20% - Accent5 5 3 23" xfId="10540"/>
    <cellStyle name="20% - Accent5 5 3 24" xfId="10541"/>
    <cellStyle name="20% - Accent5 5 3 25" xfId="10542"/>
    <cellStyle name="20% - Accent5 5 3 26" xfId="10543"/>
    <cellStyle name="20% - Accent5 5 3 27" xfId="10544"/>
    <cellStyle name="20% - Accent5 5 3 28" xfId="10545"/>
    <cellStyle name="20% - Accent5 5 3 29" xfId="10546"/>
    <cellStyle name="20% - Accent5 5 3 3" xfId="10547"/>
    <cellStyle name="20% - Accent5 5 3 30" xfId="10548"/>
    <cellStyle name="20% - Accent5 5 3 31" xfId="10549"/>
    <cellStyle name="20% - Accent5 5 3 32" xfId="10550"/>
    <cellStyle name="20% - Accent5 5 3 33" xfId="10551"/>
    <cellStyle name="20% - Accent5 5 3 34" xfId="10552"/>
    <cellStyle name="20% - Accent5 5 3 35" xfId="10553"/>
    <cellStyle name="20% - Accent5 5 3 36" xfId="10554"/>
    <cellStyle name="20% - Accent5 5 3 37" xfId="10555"/>
    <cellStyle name="20% - Accent5 5 3 38" xfId="10556"/>
    <cellStyle name="20% - Accent5 5 3 39" xfId="10557"/>
    <cellStyle name="20% - Accent5 5 3 4" xfId="10558"/>
    <cellStyle name="20% - Accent5 5 3 40" xfId="10559"/>
    <cellStyle name="20% - Accent5 5 3 41" xfId="10560"/>
    <cellStyle name="20% - Accent5 5 3 42" xfId="10561"/>
    <cellStyle name="20% - Accent5 5 3 43" xfId="10562"/>
    <cellStyle name="20% - Accent5 5 3 44" xfId="10563"/>
    <cellStyle name="20% - Accent5 5 3 45" xfId="10564"/>
    <cellStyle name="20% - Accent5 5 3 46" xfId="10565"/>
    <cellStyle name="20% - Accent5 5 3 47" xfId="10566"/>
    <cellStyle name="20% - Accent5 5 3 48" xfId="10567"/>
    <cellStyle name="20% - Accent5 5 3 49" xfId="10568"/>
    <cellStyle name="20% - Accent5 5 3 5" xfId="10569"/>
    <cellStyle name="20% - Accent5 5 3 50" xfId="10570"/>
    <cellStyle name="20% - Accent5 5 3 51" xfId="10571"/>
    <cellStyle name="20% - Accent5 5 3 52" xfId="10572"/>
    <cellStyle name="20% - Accent5 5 3 53" xfId="10573"/>
    <cellStyle name="20% - Accent5 5 3 54" xfId="10574"/>
    <cellStyle name="20% - Accent5 5 3 55" xfId="10575"/>
    <cellStyle name="20% - Accent5 5 3 6" xfId="10576"/>
    <cellStyle name="20% - Accent5 5 3 7" xfId="10577"/>
    <cellStyle name="20% - Accent5 5 3 8" xfId="10578"/>
    <cellStyle name="20% - Accent5 5 3 9" xfId="10579"/>
    <cellStyle name="20% - Accent5 6" xfId="10580"/>
    <cellStyle name="20% - Accent5 6 2" xfId="10581"/>
    <cellStyle name="20% - Accent5 6 2 10" xfId="10582"/>
    <cellStyle name="20% - Accent5 6 2 11" xfId="10583"/>
    <cellStyle name="20% - Accent5 6 2 12" xfId="10584"/>
    <cellStyle name="20% - Accent5 6 2 13" xfId="10585"/>
    <cellStyle name="20% - Accent5 6 2 14" xfId="10586"/>
    <cellStyle name="20% - Accent5 6 2 15" xfId="10587"/>
    <cellStyle name="20% - Accent5 6 2 16" xfId="10588"/>
    <cellStyle name="20% - Accent5 6 2 17" xfId="10589"/>
    <cellStyle name="20% - Accent5 6 2 18" xfId="10590"/>
    <cellStyle name="20% - Accent5 6 2 19" xfId="10591"/>
    <cellStyle name="20% - Accent5 6 2 2" xfId="10592"/>
    <cellStyle name="20% - Accent5 6 2 2 2" xfId="10593"/>
    <cellStyle name="20% - Accent5 6 2 20" xfId="10594"/>
    <cellStyle name="20% - Accent5 6 2 21" xfId="10595"/>
    <cellStyle name="20% - Accent5 6 2 22" xfId="10596"/>
    <cellStyle name="20% - Accent5 6 2 23" xfId="10597"/>
    <cellStyle name="20% - Accent5 6 2 24" xfId="10598"/>
    <cellStyle name="20% - Accent5 6 2 25" xfId="10599"/>
    <cellStyle name="20% - Accent5 6 2 26" xfId="10600"/>
    <cellStyle name="20% - Accent5 6 2 27" xfId="10601"/>
    <cellStyle name="20% - Accent5 6 2 28" xfId="10602"/>
    <cellStyle name="20% - Accent5 6 2 29" xfId="10603"/>
    <cellStyle name="20% - Accent5 6 2 3" xfId="10604"/>
    <cellStyle name="20% - Accent5 6 2 30" xfId="10605"/>
    <cellStyle name="20% - Accent5 6 2 31" xfId="10606"/>
    <cellStyle name="20% - Accent5 6 2 32" xfId="10607"/>
    <cellStyle name="20% - Accent5 6 2 33" xfId="10608"/>
    <cellStyle name="20% - Accent5 6 2 34" xfId="10609"/>
    <cellStyle name="20% - Accent5 6 2 35" xfId="10610"/>
    <cellStyle name="20% - Accent5 6 2 36" xfId="10611"/>
    <cellStyle name="20% - Accent5 6 2 37" xfId="10612"/>
    <cellStyle name="20% - Accent5 6 2 38" xfId="10613"/>
    <cellStyle name="20% - Accent5 6 2 39" xfId="10614"/>
    <cellStyle name="20% - Accent5 6 2 4" xfId="10615"/>
    <cellStyle name="20% - Accent5 6 2 40" xfId="10616"/>
    <cellStyle name="20% - Accent5 6 2 41" xfId="10617"/>
    <cellStyle name="20% - Accent5 6 2 42" xfId="10618"/>
    <cellStyle name="20% - Accent5 6 2 43" xfId="10619"/>
    <cellStyle name="20% - Accent5 6 2 44" xfId="10620"/>
    <cellStyle name="20% - Accent5 6 2 45" xfId="10621"/>
    <cellStyle name="20% - Accent5 6 2 46" xfId="10622"/>
    <cellStyle name="20% - Accent5 6 2 47" xfId="10623"/>
    <cellStyle name="20% - Accent5 6 2 48" xfId="10624"/>
    <cellStyle name="20% - Accent5 6 2 49" xfId="10625"/>
    <cellStyle name="20% - Accent5 6 2 5" xfId="10626"/>
    <cellStyle name="20% - Accent5 6 2 50" xfId="10627"/>
    <cellStyle name="20% - Accent5 6 2 51" xfId="10628"/>
    <cellStyle name="20% - Accent5 6 2 52" xfId="10629"/>
    <cellStyle name="20% - Accent5 6 2 53" xfId="10630"/>
    <cellStyle name="20% - Accent5 6 2 54" xfId="10631"/>
    <cellStyle name="20% - Accent5 6 2 55" xfId="10632"/>
    <cellStyle name="20% - Accent5 6 2 6" xfId="10633"/>
    <cellStyle name="20% - Accent5 6 2 7" xfId="10634"/>
    <cellStyle name="20% - Accent5 6 2 8" xfId="10635"/>
    <cellStyle name="20% - Accent5 6 2 9" xfId="10636"/>
    <cellStyle name="20% - Accent5 6 3" xfId="10637"/>
    <cellStyle name="20% - Accent5 6 3 10" xfId="10638"/>
    <cellStyle name="20% - Accent5 6 3 11" xfId="10639"/>
    <cellStyle name="20% - Accent5 6 3 12" xfId="10640"/>
    <cellStyle name="20% - Accent5 6 3 13" xfId="10641"/>
    <cellStyle name="20% - Accent5 6 3 14" xfId="10642"/>
    <cellStyle name="20% - Accent5 6 3 15" xfId="10643"/>
    <cellStyle name="20% - Accent5 6 3 16" xfId="10644"/>
    <cellStyle name="20% - Accent5 6 3 17" xfId="10645"/>
    <cellStyle name="20% - Accent5 6 3 18" xfId="10646"/>
    <cellStyle name="20% - Accent5 6 3 19" xfId="10647"/>
    <cellStyle name="20% - Accent5 6 3 2" xfId="10648"/>
    <cellStyle name="20% - Accent5 6 3 2 2" xfId="10649"/>
    <cellStyle name="20% - Accent5 6 3 20" xfId="10650"/>
    <cellStyle name="20% - Accent5 6 3 21" xfId="10651"/>
    <cellStyle name="20% - Accent5 6 3 22" xfId="10652"/>
    <cellStyle name="20% - Accent5 6 3 23" xfId="10653"/>
    <cellStyle name="20% - Accent5 6 3 24" xfId="10654"/>
    <cellStyle name="20% - Accent5 6 3 25" xfId="10655"/>
    <cellStyle name="20% - Accent5 6 3 26" xfId="10656"/>
    <cellStyle name="20% - Accent5 6 3 27" xfId="10657"/>
    <cellStyle name="20% - Accent5 6 3 28" xfId="10658"/>
    <cellStyle name="20% - Accent5 6 3 29" xfId="10659"/>
    <cellStyle name="20% - Accent5 6 3 3" xfId="10660"/>
    <cellStyle name="20% - Accent5 6 3 30" xfId="10661"/>
    <cellStyle name="20% - Accent5 6 3 31" xfId="10662"/>
    <cellStyle name="20% - Accent5 6 3 32" xfId="10663"/>
    <cellStyle name="20% - Accent5 6 3 33" xfId="10664"/>
    <cellStyle name="20% - Accent5 6 3 34" xfId="10665"/>
    <cellStyle name="20% - Accent5 6 3 35" xfId="10666"/>
    <cellStyle name="20% - Accent5 6 3 36" xfId="10667"/>
    <cellStyle name="20% - Accent5 6 3 37" xfId="10668"/>
    <cellStyle name="20% - Accent5 6 3 38" xfId="10669"/>
    <cellStyle name="20% - Accent5 6 3 39" xfId="10670"/>
    <cellStyle name="20% - Accent5 6 3 4" xfId="10671"/>
    <cellStyle name="20% - Accent5 6 3 40" xfId="10672"/>
    <cellStyle name="20% - Accent5 6 3 41" xfId="10673"/>
    <cellStyle name="20% - Accent5 6 3 42" xfId="10674"/>
    <cellStyle name="20% - Accent5 6 3 43" xfId="10675"/>
    <cellStyle name="20% - Accent5 6 3 44" xfId="10676"/>
    <cellStyle name="20% - Accent5 6 3 45" xfId="10677"/>
    <cellStyle name="20% - Accent5 6 3 46" xfId="10678"/>
    <cellStyle name="20% - Accent5 6 3 47" xfId="10679"/>
    <cellStyle name="20% - Accent5 6 3 48" xfId="10680"/>
    <cellStyle name="20% - Accent5 6 3 49" xfId="10681"/>
    <cellStyle name="20% - Accent5 6 3 5" xfId="10682"/>
    <cellStyle name="20% - Accent5 6 3 50" xfId="10683"/>
    <cellStyle name="20% - Accent5 6 3 51" xfId="10684"/>
    <cellStyle name="20% - Accent5 6 3 52" xfId="10685"/>
    <cellStyle name="20% - Accent5 6 3 53" xfId="10686"/>
    <cellStyle name="20% - Accent5 6 3 54" xfId="10687"/>
    <cellStyle name="20% - Accent5 6 3 55" xfId="10688"/>
    <cellStyle name="20% - Accent5 6 3 6" xfId="10689"/>
    <cellStyle name="20% - Accent5 6 3 7" xfId="10690"/>
    <cellStyle name="20% - Accent5 6 3 8" xfId="10691"/>
    <cellStyle name="20% - Accent5 6 3 9" xfId="10692"/>
    <cellStyle name="20% - Accent5 7" xfId="10693"/>
    <cellStyle name="20% - Accent5 7 2" xfId="10694"/>
    <cellStyle name="20% - Accent5 7 2 10" xfId="10695"/>
    <cellStyle name="20% - Accent5 7 2 11" xfId="10696"/>
    <cellStyle name="20% - Accent5 7 2 12" xfId="10697"/>
    <cellStyle name="20% - Accent5 7 2 13" xfId="10698"/>
    <cellStyle name="20% - Accent5 7 2 14" xfId="10699"/>
    <cellStyle name="20% - Accent5 7 2 15" xfId="10700"/>
    <cellStyle name="20% - Accent5 7 2 16" xfId="10701"/>
    <cellStyle name="20% - Accent5 7 2 17" xfId="10702"/>
    <cellStyle name="20% - Accent5 7 2 18" xfId="10703"/>
    <cellStyle name="20% - Accent5 7 2 19" xfId="10704"/>
    <cellStyle name="20% - Accent5 7 2 2" xfId="10705"/>
    <cellStyle name="20% - Accent5 7 2 2 2" xfId="10706"/>
    <cellStyle name="20% - Accent5 7 2 20" xfId="10707"/>
    <cellStyle name="20% - Accent5 7 2 21" xfId="10708"/>
    <cellStyle name="20% - Accent5 7 2 22" xfId="10709"/>
    <cellStyle name="20% - Accent5 7 2 23" xfId="10710"/>
    <cellStyle name="20% - Accent5 7 2 24" xfId="10711"/>
    <cellStyle name="20% - Accent5 7 2 25" xfId="10712"/>
    <cellStyle name="20% - Accent5 7 2 26" xfId="10713"/>
    <cellStyle name="20% - Accent5 7 2 27" xfId="10714"/>
    <cellStyle name="20% - Accent5 7 2 28" xfId="10715"/>
    <cellStyle name="20% - Accent5 7 2 29" xfId="10716"/>
    <cellStyle name="20% - Accent5 7 2 3" xfId="10717"/>
    <cellStyle name="20% - Accent5 7 2 30" xfId="10718"/>
    <cellStyle name="20% - Accent5 7 2 31" xfId="10719"/>
    <cellStyle name="20% - Accent5 7 2 32" xfId="10720"/>
    <cellStyle name="20% - Accent5 7 2 33" xfId="10721"/>
    <cellStyle name="20% - Accent5 7 2 34" xfId="10722"/>
    <cellStyle name="20% - Accent5 7 2 35" xfId="10723"/>
    <cellStyle name="20% - Accent5 7 2 36" xfId="10724"/>
    <cellStyle name="20% - Accent5 7 2 37" xfId="10725"/>
    <cellStyle name="20% - Accent5 7 2 38" xfId="10726"/>
    <cellStyle name="20% - Accent5 7 2 39" xfId="10727"/>
    <cellStyle name="20% - Accent5 7 2 4" xfId="10728"/>
    <cellStyle name="20% - Accent5 7 2 40" xfId="10729"/>
    <cellStyle name="20% - Accent5 7 2 41" xfId="10730"/>
    <cellStyle name="20% - Accent5 7 2 42" xfId="10731"/>
    <cellStyle name="20% - Accent5 7 2 43" xfId="10732"/>
    <cellStyle name="20% - Accent5 7 2 44" xfId="10733"/>
    <cellStyle name="20% - Accent5 7 2 45" xfId="10734"/>
    <cellStyle name="20% - Accent5 7 2 46" xfId="10735"/>
    <cellStyle name="20% - Accent5 7 2 47" xfId="10736"/>
    <cellStyle name="20% - Accent5 7 2 48" xfId="10737"/>
    <cellStyle name="20% - Accent5 7 2 49" xfId="10738"/>
    <cellStyle name="20% - Accent5 7 2 5" xfId="10739"/>
    <cellStyle name="20% - Accent5 7 2 50" xfId="10740"/>
    <cellStyle name="20% - Accent5 7 2 51" xfId="10741"/>
    <cellStyle name="20% - Accent5 7 2 52" xfId="10742"/>
    <cellStyle name="20% - Accent5 7 2 53" xfId="10743"/>
    <cellStyle name="20% - Accent5 7 2 54" xfId="10744"/>
    <cellStyle name="20% - Accent5 7 2 55" xfId="10745"/>
    <cellStyle name="20% - Accent5 7 2 6" xfId="10746"/>
    <cellStyle name="20% - Accent5 7 2 7" xfId="10747"/>
    <cellStyle name="20% - Accent5 7 2 8" xfId="10748"/>
    <cellStyle name="20% - Accent5 7 2 9" xfId="10749"/>
    <cellStyle name="20% - Accent5 7 3" xfId="10750"/>
    <cellStyle name="20% - Accent5 7 3 10" xfId="10751"/>
    <cellStyle name="20% - Accent5 7 3 11" xfId="10752"/>
    <cellStyle name="20% - Accent5 7 3 12" xfId="10753"/>
    <cellStyle name="20% - Accent5 7 3 13" xfId="10754"/>
    <cellStyle name="20% - Accent5 7 3 14" xfId="10755"/>
    <cellStyle name="20% - Accent5 7 3 15" xfId="10756"/>
    <cellStyle name="20% - Accent5 7 3 16" xfId="10757"/>
    <cellStyle name="20% - Accent5 7 3 17" xfId="10758"/>
    <cellStyle name="20% - Accent5 7 3 18" xfId="10759"/>
    <cellStyle name="20% - Accent5 7 3 19" xfId="10760"/>
    <cellStyle name="20% - Accent5 7 3 2" xfId="10761"/>
    <cellStyle name="20% - Accent5 7 3 2 2" xfId="10762"/>
    <cellStyle name="20% - Accent5 7 3 20" xfId="10763"/>
    <cellStyle name="20% - Accent5 7 3 21" xfId="10764"/>
    <cellStyle name="20% - Accent5 7 3 22" xfId="10765"/>
    <cellStyle name="20% - Accent5 7 3 23" xfId="10766"/>
    <cellStyle name="20% - Accent5 7 3 24" xfId="10767"/>
    <cellStyle name="20% - Accent5 7 3 25" xfId="10768"/>
    <cellStyle name="20% - Accent5 7 3 26" xfId="10769"/>
    <cellStyle name="20% - Accent5 7 3 27" xfId="10770"/>
    <cellStyle name="20% - Accent5 7 3 28" xfId="10771"/>
    <cellStyle name="20% - Accent5 7 3 29" xfId="10772"/>
    <cellStyle name="20% - Accent5 7 3 3" xfId="10773"/>
    <cellStyle name="20% - Accent5 7 3 30" xfId="10774"/>
    <cellStyle name="20% - Accent5 7 3 31" xfId="10775"/>
    <cellStyle name="20% - Accent5 7 3 32" xfId="10776"/>
    <cellStyle name="20% - Accent5 7 3 33" xfId="10777"/>
    <cellStyle name="20% - Accent5 7 3 34" xfId="10778"/>
    <cellStyle name="20% - Accent5 7 3 35" xfId="10779"/>
    <cellStyle name="20% - Accent5 7 3 36" xfId="10780"/>
    <cellStyle name="20% - Accent5 7 3 37" xfId="10781"/>
    <cellStyle name="20% - Accent5 7 3 38" xfId="10782"/>
    <cellStyle name="20% - Accent5 7 3 39" xfId="10783"/>
    <cellStyle name="20% - Accent5 7 3 4" xfId="10784"/>
    <cellStyle name="20% - Accent5 7 3 40" xfId="10785"/>
    <cellStyle name="20% - Accent5 7 3 41" xfId="10786"/>
    <cellStyle name="20% - Accent5 7 3 42" xfId="10787"/>
    <cellStyle name="20% - Accent5 7 3 43" xfId="10788"/>
    <cellStyle name="20% - Accent5 7 3 44" xfId="10789"/>
    <cellStyle name="20% - Accent5 7 3 45" xfId="10790"/>
    <cellStyle name="20% - Accent5 7 3 46" xfId="10791"/>
    <cellStyle name="20% - Accent5 7 3 47" xfId="10792"/>
    <cellStyle name="20% - Accent5 7 3 48" xfId="10793"/>
    <cellStyle name="20% - Accent5 7 3 49" xfId="10794"/>
    <cellStyle name="20% - Accent5 7 3 5" xfId="10795"/>
    <cellStyle name="20% - Accent5 7 3 50" xfId="10796"/>
    <cellStyle name="20% - Accent5 7 3 51" xfId="10797"/>
    <cellStyle name="20% - Accent5 7 3 52" xfId="10798"/>
    <cellStyle name="20% - Accent5 7 3 53" xfId="10799"/>
    <cellStyle name="20% - Accent5 7 3 54" xfId="10800"/>
    <cellStyle name="20% - Accent5 7 3 55" xfId="10801"/>
    <cellStyle name="20% - Accent5 7 3 6" xfId="10802"/>
    <cellStyle name="20% - Accent5 7 3 7" xfId="10803"/>
    <cellStyle name="20% - Accent5 7 3 8" xfId="10804"/>
    <cellStyle name="20% - Accent5 7 3 9" xfId="10805"/>
    <cellStyle name="20% - Accent5 8" xfId="10806"/>
    <cellStyle name="20% - Accent5 8 2" xfId="10807"/>
    <cellStyle name="20% - Accent5 8 2 10" xfId="10808"/>
    <cellStyle name="20% - Accent5 8 2 11" xfId="10809"/>
    <cellStyle name="20% - Accent5 8 2 12" xfId="10810"/>
    <cellStyle name="20% - Accent5 8 2 13" xfId="10811"/>
    <cellStyle name="20% - Accent5 8 2 14" xfId="10812"/>
    <cellStyle name="20% - Accent5 8 2 15" xfId="10813"/>
    <cellStyle name="20% - Accent5 8 2 16" xfId="10814"/>
    <cellStyle name="20% - Accent5 8 2 17" xfId="10815"/>
    <cellStyle name="20% - Accent5 8 2 18" xfId="10816"/>
    <cellStyle name="20% - Accent5 8 2 19" xfId="10817"/>
    <cellStyle name="20% - Accent5 8 2 2" xfId="10818"/>
    <cellStyle name="20% - Accent5 8 2 2 2" xfId="10819"/>
    <cellStyle name="20% - Accent5 8 2 20" xfId="10820"/>
    <cellStyle name="20% - Accent5 8 2 21" xfId="10821"/>
    <cellStyle name="20% - Accent5 8 2 22" xfId="10822"/>
    <cellStyle name="20% - Accent5 8 2 23" xfId="10823"/>
    <cellStyle name="20% - Accent5 8 2 24" xfId="10824"/>
    <cellStyle name="20% - Accent5 8 2 25" xfId="10825"/>
    <cellStyle name="20% - Accent5 8 2 26" xfId="10826"/>
    <cellStyle name="20% - Accent5 8 2 27" xfId="10827"/>
    <cellStyle name="20% - Accent5 8 2 28" xfId="10828"/>
    <cellStyle name="20% - Accent5 8 2 29" xfId="10829"/>
    <cellStyle name="20% - Accent5 8 2 3" xfId="10830"/>
    <cellStyle name="20% - Accent5 8 2 30" xfId="10831"/>
    <cellStyle name="20% - Accent5 8 2 31" xfId="10832"/>
    <cellStyle name="20% - Accent5 8 2 32" xfId="10833"/>
    <cellStyle name="20% - Accent5 8 2 33" xfId="10834"/>
    <cellStyle name="20% - Accent5 8 2 34" xfId="10835"/>
    <cellStyle name="20% - Accent5 8 2 35" xfId="10836"/>
    <cellStyle name="20% - Accent5 8 2 36" xfId="10837"/>
    <cellStyle name="20% - Accent5 8 2 37" xfId="10838"/>
    <cellStyle name="20% - Accent5 8 2 38" xfId="10839"/>
    <cellStyle name="20% - Accent5 8 2 39" xfId="10840"/>
    <cellStyle name="20% - Accent5 8 2 4" xfId="10841"/>
    <cellStyle name="20% - Accent5 8 2 40" xfId="10842"/>
    <cellStyle name="20% - Accent5 8 2 41" xfId="10843"/>
    <cellStyle name="20% - Accent5 8 2 42" xfId="10844"/>
    <cellStyle name="20% - Accent5 8 2 43" xfId="10845"/>
    <cellStyle name="20% - Accent5 8 2 44" xfId="10846"/>
    <cellStyle name="20% - Accent5 8 2 45" xfId="10847"/>
    <cellStyle name="20% - Accent5 8 2 46" xfId="10848"/>
    <cellStyle name="20% - Accent5 8 2 47" xfId="10849"/>
    <cellStyle name="20% - Accent5 8 2 48" xfId="10850"/>
    <cellStyle name="20% - Accent5 8 2 49" xfId="10851"/>
    <cellStyle name="20% - Accent5 8 2 5" xfId="10852"/>
    <cellStyle name="20% - Accent5 8 2 50" xfId="10853"/>
    <cellStyle name="20% - Accent5 8 2 51" xfId="10854"/>
    <cellStyle name="20% - Accent5 8 2 52" xfId="10855"/>
    <cellStyle name="20% - Accent5 8 2 53" xfId="10856"/>
    <cellStyle name="20% - Accent5 8 2 54" xfId="10857"/>
    <cellStyle name="20% - Accent5 8 2 55" xfId="10858"/>
    <cellStyle name="20% - Accent5 8 2 6" xfId="10859"/>
    <cellStyle name="20% - Accent5 8 2 7" xfId="10860"/>
    <cellStyle name="20% - Accent5 8 2 8" xfId="10861"/>
    <cellStyle name="20% - Accent5 8 2 9" xfId="10862"/>
    <cellStyle name="20% - Accent5 8 3" xfId="10863"/>
    <cellStyle name="20% - Accent5 8 3 10" xfId="10864"/>
    <cellStyle name="20% - Accent5 8 3 11" xfId="10865"/>
    <cellStyle name="20% - Accent5 8 3 12" xfId="10866"/>
    <cellStyle name="20% - Accent5 8 3 13" xfId="10867"/>
    <cellStyle name="20% - Accent5 8 3 14" xfId="10868"/>
    <cellStyle name="20% - Accent5 8 3 15" xfId="10869"/>
    <cellStyle name="20% - Accent5 8 3 16" xfId="10870"/>
    <cellStyle name="20% - Accent5 8 3 17" xfId="10871"/>
    <cellStyle name="20% - Accent5 8 3 18" xfId="10872"/>
    <cellStyle name="20% - Accent5 8 3 19" xfId="10873"/>
    <cellStyle name="20% - Accent5 8 3 2" xfId="10874"/>
    <cellStyle name="20% - Accent5 8 3 2 2" xfId="10875"/>
    <cellStyle name="20% - Accent5 8 3 20" xfId="10876"/>
    <cellStyle name="20% - Accent5 8 3 21" xfId="10877"/>
    <cellStyle name="20% - Accent5 8 3 22" xfId="10878"/>
    <cellStyle name="20% - Accent5 8 3 23" xfId="10879"/>
    <cellStyle name="20% - Accent5 8 3 24" xfId="10880"/>
    <cellStyle name="20% - Accent5 8 3 25" xfId="10881"/>
    <cellStyle name="20% - Accent5 8 3 26" xfId="10882"/>
    <cellStyle name="20% - Accent5 8 3 27" xfId="10883"/>
    <cellStyle name="20% - Accent5 8 3 28" xfId="10884"/>
    <cellStyle name="20% - Accent5 8 3 29" xfId="10885"/>
    <cellStyle name="20% - Accent5 8 3 3" xfId="10886"/>
    <cellStyle name="20% - Accent5 8 3 30" xfId="10887"/>
    <cellStyle name="20% - Accent5 8 3 31" xfId="10888"/>
    <cellStyle name="20% - Accent5 8 3 32" xfId="10889"/>
    <cellStyle name="20% - Accent5 8 3 33" xfId="10890"/>
    <cellStyle name="20% - Accent5 8 3 34" xfId="10891"/>
    <cellStyle name="20% - Accent5 8 3 35" xfId="10892"/>
    <cellStyle name="20% - Accent5 8 3 36" xfId="10893"/>
    <cellStyle name="20% - Accent5 8 3 37" xfId="10894"/>
    <cellStyle name="20% - Accent5 8 3 38" xfId="10895"/>
    <cellStyle name="20% - Accent5 8 3 39" xfId="10896"/>
    <cellStyle name="20% - Accent5 8 3 4" xfId="10897"/>
    <cellStyle name="20% - Accent5 8 3 40" xfId="10898"/>
    <cellStyle name="20% - Accent5 8 3 41" xfId="10899"/>
    <cellStyle name="20% - Accent5 8 3 42" xfId="10900"/>
    <cellStyle name="20% - Accent5 8 3 43" xfId="10901"/>
    <cellStyle name="20% - Accent5 8 3 44" xfId="10902"/>
    <cellStyle name="20% - Accent5 8 3 45" xfId="10903"/>
    <cellStyle name="20% - Accent5 8 3 46" xfId="10904"/>
    <cellStyle name="20% - Accent5 8 3 47" xfId="10905"/>
    <cellStyle name="20% - Accent5 8 3 48" xfId="10906"/>
    <cellStyle name="20% - Accent5 8 3 49" xfId="10907"/>
    <cellStyle name="20% - Accent5 8 3 5" xfId="10908"/>
    <cellStyle name="20% - Accent5 8 3 50" xfId="10909"/>
    <cellStyle name="20% - Accent5 8 3 51" xfId="10910"/>
    <cellStyle name="20% - Accent5 8 3 52" xfId="10911"/>
    <cellStyle name="20% - Accent5 8 3 53" xfId="10912"/>
    <cellStyle name="20% - Accent5 8 3 54" xfId="10913"/>
    <cellStyle name="20% - Accent5 8 3 55" xfId="10914"/>
    <cellStyle name="20% - Accent5 8 3 6" xfId="10915"/>
    <cellStyle name="20% - Accent5 8 3 7" xfId="10916"/>
    <cellStyle name="20% - Accent5 8 3 8" xfId="10917"/>
    <cellStyle name="20% - Accent5 8 3 9" xfId="10918"/>
    <cellStyle name="20% - Accent5 9" xfId="10919"/>
    <cellStyle name="20% - Accent5 9 2" xfId="10920"/>
    <cellStyle name="20% - Accent5 9 2 10" xfId="10921"/>
    <cellStyle name="20% - Accent5 9 2 11" xfId="10922"/>
    <cellStyle name="20% - Accent5 9 2 12" xfId="10923"/>
    <cellStyle name="20% - Accent5 9 2 13" xfId="10924"/>
    <cellStyle name="20% - Accent5 9 2 14" xfId="10925"/>
    <cellStyle name="20% - Accent5 9 2 15" xfId="10926"/>
    <cellStyle name="20% - Accent5 9 2 16" xfId="10927"/>
    <cellStyle name="20% - Accent5 9 2 17" xfId="10928"/>
    <cellStyle name="20% - Accent5 9 2 18" xfId="10929"/>
    <cellStyle name="20% - Accent5 9 2 19" xfId="10930"/>
    <cellStyle name="20% - Accent5 9 2 2" xfId="10931"/>
    <cellStyle name="20% - Accent5 9 2 2 2" xfId="10932"/>
    <cellStyle name="20% - Accent5 9 2 20" xfId="10933"/>
    <cellStyle name="20% - Accent5 9 2 21" xfId="10934"/>
    <cellStyle name="20% - Accent5 9 2 22" xfId="10935"/>
    <cellStyle name="20% - Accent5 9 2 23" xfId="10936"/>
    <cellStyle name="20% - Accent5 9 2 24" xfId="10937"/>
    <cellStyle name="20% - Accent5 9 2 25" xfId="10938"/>
    <cellStyle name="20% - Accent5 9 2 26" xfId="10939"/>
    <cellStyle name="20% - Accent5 9 2 27" xfId="10940"/>
    <cellStyle name="20% - Accent5 9 2 28" xfId="10941"/>
    <cellStyle name="20% - Accent5 9 2 29" xfId="10942"/>
    <cellStyle name="20% - Accent5 9 2 3" xfId="10943"/>
    <cellStyle name="20% - Accent5 9 2 30" xfId="10944"/>
    <cellStyle name="20% - Accent5 9 2 31" xfId="10945"/>
    <cellStyle name="20% - Accent5 9 2 32" xfId="10946"/>
    <cellStyle name="20% - Accent5 9 2 33" xfId="10947"/>
    <cellStyle name="20% - Accent5 9 2 34" xfId="10948"/>
    <cellStyle name="20% - Accent5 9 2 35" xfId="10949"/>
    <cellStyle name="20% - Accent5 9 2 36" xfId="10950"/>
    <cellStyle name="20% - Accent5 9 2 37" xfId="10951"/>
    <cellStyle name="20% - Accent5 9 2 38" xfId="10952"/>
    <cellStyle name="20% - Accent5 9 2 39" xfId="10953"/>
    <cellStyle name="20% - Accent5 9 2 4" xfId="10954"/>
    <cellStyle name="20% - Accent5 9 2 40" xfId="10955"/>
    <cellStyle name="20% - Accent5 9 2 41" xfId="10956"/>
    <cellStyle name="20% - Accent5 9 2 42" xfId="10957"/>
    <cellStyle name="20% - Accent5 9 2 43" xfId="10958"/>
    <cellStyle name="20% - Accent5 9 2 44" xfId="10959"/>
    <cellStyle name="20% - Accent5 9 2 45" xfId="10960"/>
    <cellStyle name="20% - Accent5 9 2 46" xfId="10961"/>
    <cellStyle name="20% - Accent5 9 2 47" xfId="10962"/>
    <cellStyle name="20% - Accent5 9 2 48" xfId="10963"/>
    <cellStyle name="20% - Accent5 9 2 49" xfId="10964"/>
    <cellStyle name="20% - Accent5 9 2 5" xfId="10965"/>
    <cellStyle name="20% - Accent5 9 2 50" xfId="10966"/>
    <cellStyle name="20% - Accent5 9 2 51" xfId="10967"/>
    <cellStyle name="20% - Accent5 9 2 52" xfId="10968"/>
    <cellStyle name="20% - Accent5 9 2 53" xfId="10969"/>
    <cellStyle name="20% - Accent5 9 2 54" xfId="10970"/>
    <cellStyle name="20% - Accent5 9 2 55" xfId="10971"/>
    <cellStyle name="20% - Accent5 9 2 6" xfId="10972"/>
    <cellStyle name="20% - Accent5 9 2 7" xfId="10973"/>
    <cellStyle name="20% - Accent5 9 2 8" xfId="10974"/>
    <cellStyle name="20% - Accent5 9 2 9" xfId="10975"/>
    <cellStyle name="20% - Accent5 9 3" xfId="10976"/>
    <cellStyle name="20% - Accent5 9 3 10" xfId="10977"/>
    <cellStyle name="20% - Accent5 9 3 11" xfId="10978"/>
    <cellStyle name="20% - Accent5 9 3 12" xfId="10979"/>
    <cellStyle name="20% - Accent5 9 3 13" xfId="10980"/>
    <cellStyle name="20% - Accent5 9 3 14" xfId="10981"/>
    <cellStyle name="20% - Accent5 9 3 15" xfId="10982"/>
    <cellStyle name="20% - Accent5 9 3 16" xfId="10983"/>
    <cellStyle name="20% - Accent5 9 3 17" xfId="10984"/>
    <cellStyle name="20% - Accent5 9 3 18" xfId="10985"/>
    <cellStyle name="20% - Accent5 9 3 19" xfId="10986"/>
    <cellStyle name="20% - Accent5 9 3 2" xfId="10987"/>
    <cellStyle name="20% - Accent5 9 3 2 2" xfId="10988"/>
    <cellStyle name="20% - Accent5 9 3 20" xfId="10989"/>
    <cellStyle name="20% - Accent5 9 3 21" xfId="10990"/>
    <cellStyle name="20% - Accent5 9 3 22" xfId="10991"/>
    <cellStyle name="20% - Accent5 9 3 23" xfId="10992"/>
    <cellStyle name="20% - Accent5 9 3 24" xfId="10993"/>
    <cellStyle name="20% - Accent5 9 3 25" xfId="10994"/>
    <cellStyle name="20% - Accent5 9 3 26" xfId="10995"/>
    <cellStyle name="20% - Accent5 9 3 27" xfId="10996"/>
    <cellStyle name="20% - Accent5 9 3 28" xfId="10997"/>
    <cellStyle name="20% - Accent5 9 3 29" xfId="10998"/>
    <cellStyle name="20% - Accent5 9 3 3" xfId="10999"/>
    <cellStyle name="20% - Accent5 9 3 30" xfId="11000"/>
    <cellStyle name="20% - Accent5 9 3 31" xfId="11001"/>
    <cellStyle name="20% - Accent5 9 3 32" xfId="11002"/>
    <cellStyle name="20% - Accent5 9 3 33" xfId="11003"/>
    <cellStyle name="20% - Accent5 9 3 34" xfId="11004"/>
    <cellStyle name="20% - Accent5 9 3 35" xfId="11005"/>
    <cellStyle name="20% - Accent5 9 3 36" xfId="11006"/>
    <cellStyle name="20% - Accent5 9 3 37" xfId="11007"/>
    <cellStyle name="20% - Accent5 9 3 38" xfId="11008"/>
    <cellStyle name="20% - Accent5 9 3 39" xfId="11009"/>
    <cellStyle name="20% - Accent5 9 3 4" xfId="11010"/>
    <cellStyle name="20% - Accent5 9 3 40" xfId="11011"/>
    <cellStyle name="20% - Accent5 9 3 41" xfId="11012"/>
    <cellStyle name="20% - Accent5 9 3 42" xfId="11013"/>
    <cellStyle name="20% - Accent5 9 3 43" xfId="11014"/>
    <cellStyle name="20% - Accent5 9 3 44" xfId="11015"/>
    <cellStyle name="20% - Accent5 9 3 45" xfId="11016"/>
    <cellStyle name="20% - Accent5 9 3 46" xfId="11017"/>
    <cellStyle name="20% - Accent5 9 3 47" xfId="11018"/>
    <cellStyle name="20% - Accent5 9 3 48" xfId="11019"/>
    <cellStyle name="20% - Accent5 9 3 49" xfId="11020"/>
    <cellStyle name="20% - Accent5 9 3 5" xfId="11021"/>
    <cellStyle name="20% - Accent5 9 3 50" xfId="11022"/>
    <cellStyle name="20% - Accent5 9 3 51" xfId="11023"/>
    <cellStyle name="20% - Accent5 9 3 52" xfId="11024"/>
    <cellStyle name="20% - Accent5 9 3 53" xfId="11025"/>
    <cellStyle name="20% - Accent5 9 3 54" xfId="11026"/>
    <cellStyle name="20% - Accent5 9 3 55" xfId="11027"/>
    <cellStyle name="20% - Accent5 9 3 6" xfId="11028"/>
    <cellStyle name="20% - Accent5 9 3 7" xfId="11029"/>
    <cellStyle name="20% - Accent5 9 3 8" xfId="11030"/>
    <cellStyle name="20% - Accent5 9 3 9" xfId="11031"/>
    <cellStyle name="20% - Accent6 10" xfId="11032"/>
    <cellStyle name="20% - Accent6 10 2" xfId="11033"/>
    <cellStyle name="20% - Accent6 10 2 10" xfId="11034"/>
    <cellStyle name="20% - Accent6 10 2 11" xfId="11035"/>
    <cellStyle name="20% - Accent6 10 2 12" xfId="11036"/>
    <cellStyle name="20% - Accent6 10 2 13" xfId="11037"/>
    <cellStyle name="20% - Accent6 10 2 14" xfId="11038"/>
    <cellStyle name="20% - Accent6 10 2 15" xfId="11039"/>
    <cellStyle name="20% - Accent6 10 2 16" xfId="11040"/>
    <cellStyle name="20% - Accent6 10 2 17" xfId="11041"/>
    <cellStyle name="20% - Accent6 10 2 18" xfId="11042"/>
    <cellStyle name="20% - Accent6 10 2 19" xfId="11043"/>
    <cellStyle name="20% - Accent6 10 2 2" xfId="11044"/>
    <cellStyle name="20% - Accent6 10 2 2 2" xfId="11045"/>
    <cellStyle name="20% - Accent6 10 2 20" xfId="11046"/>
    <cellStyle name="20% - Accent6 10 2 21" xfId="11047"/>
    <cellStyle name="20% - Accent6 10 2 22" xfId="11048"/>
    <cellStyle name="20% - Accent6 10 2 23" xfId="11049"/>
    <cellStyle name="20% - Accent6 10 2 24" xfId="11050"/>
    <cellStyle name="20% - Accent6 10 2 25" xfId="11051"/>
    <cellStyle name="20% - Accent6 10 2 26" xfId="11052"/>
    <cellStyle name="20% - Accent6 10 2 27" xfId="11053"/>
    <cellStyle name="20% - Accent6 10 2 28" xfId="11054"/>
    <cellStyle name="20% - Accent6 10 2 29" xfId="11055"/>
    <cellStyle name="20% - Accent6 10 2 3" xfId="11056"/>
    <cellStyle name="20% - Accent6 10 2 30" xfId="11057"/>
    <cellStyle name="20% - Accent6 10 2 31" xfId="11058"/>
    <cellStyle name="20% - Accent6 10 2 32" xfId="11059"/>
    <cellStyle name="20% - Accent6 10 2 33" xfId="11060"/>
    <cellStyle name="20% - Accent6 10 2 34" xfId="11061"/>
    <cellStyle name="20% - Accent6 10 2 35" xfId="11062"/>
    <cellStyle name="20% - Accent6 10 2 36" xfId="11063"/>
    <cellStyle name="20% - Accent6 10 2 37" xfId="11064"/>
    <cellStyle name="20% - Accent6 10 2 38" xfId="11065"/>
    <cellStyle name="20% - Accent6 10 2 39" xfId="11066"/>
    <cellStyle name="20% - Accent6 10 2 4" xfId="11067"/>
    <cellStyle name="20% - Accent6 10 2 40" xfId="11068"/>
    <cellStyle name="20% - Accent6 10 2 41" xfId="11069"/>
    <cellStyle name="20% - Accent6 10 2 42" xfId="11070"/>
    <cellStyle name="20% - Accent6 10 2 43" xfId="11071"/>
    <cellStyle name="20% - Accent6 10 2 44" xfId="11072"/>
    <cellStyle name="20% - Accent6 10 2 45" xfId="11073"/>
    <cellStyle name="20% - Accent6 10 2 46" xfId="11074"/>
    <cellStyle name="20% - Accent6 10 2 47" xfId="11075"/>
    <cellStyle name="20% - Accent6 10 2 48" xfId="11076"/>
    <cellStyle name="20% - Accent6 10 2 49" xfId="11077"/>
    <cellStyle name="20% - Accent6 10 2 5" xfId="11078"/>
    <cellStyle name="20% - Accent6 10 2 50" xfId="11079"/>
    <cellStyle name="20% - Accent6 10 2 51" xfId="11080"/>
    <cellStyle name="20% - Accent6 10 2 52" xfId="11081"/>
    <cellStyle name="20% - Accent6 10 2 53" xfId="11082"/>
    <cellStyle name="20% - Accent6 10 2 54" xfId="11083"/>
    <cellStyle name="20% - Accent6 10 2 55" xfId="11084"/>
    <cellStyle name="20% - Accent6 10 2 6" xfId="11085"/>
    <cellStyle name="20% - Accent6 10 2 7" xfId="11086"/>
    <cellStyle name="20% - Accent6 10 2 8" xfId="11087"/>
    <cellStyle name="20% - Accent6 10 2 9" xfId="11088"/>
    <cellStyle name="20% - Accent6 10 3" xfId="11089"/>
    <cellStyle name="20% - Accent6 10 3 10" xfId="11090"/>
    <cellStyle name="20% - Accent6 10 3 11" xfId="11091"/>
    <cellStyle name="20% - Accent6 10 3 12" xfId="11092"/>
    <cellStyle name="20% - Accent6 10 3 13" xfId="11093"/>
    <cellStyle name="20% - Accent6 10 3 14" xfId="11094"/>
    <cellStyle name="20% - Accent6 10 3 15" xfId="11095"/>
    <cellStyle name="20% - Accent6 10 3 16" xfId="11096"/>
    <cellStyle name="20% - Accent6 10 3 17" xfId="11097"/>
    <cellStyle name="20% - Accent6 10 3 18" xfId="11098"/>
    <cellStyle name="20% - Accent6 10 3 19" xfId="11099"/>
    <cellStyle name="20% - Accent6 10 3 2" xfId="11100"/>
    <cellStyle name="20% - Accent6 10 3 2 2" xfId="11101"/>
    <cellStyle name="20% - Accent6 10 3 20" xfId="11102"/>
    <cellStyle name="20% - Accent6 10 3 21" xfId="11103"/>
    <cellStyle name="20% - Accent6 10 3 22" xfId="11104"/>
    <cellStyle name="20% - Accent6 10 3 23" xfId="11105"/>
    <cellStyle name="20% - Accent6 10 3 24" xfId="11106"/>
    <cellStyle name="20% - Accent6 10 3 25" xfId="11107"/>
    <cellStyle name="20% - Accent6 10 3 26" xfId="11108"/>
    <cellStyle name="20% - Accent6 10 3 27" xfId="11109"/>
    <cellStyle name="20% - Accent6 10 3 28" xfId="11110"/>
    <cellStyle name="20% - Accent6 10 3 29" xfId="11111"/>
    <cellStyle name="20% - Accent6 10 3 3" xfId="11112"/>
    <cellStyle name="20% - Accent6 10 3 30" xfId="11113"/>
    <cellStyle name="20% - Accent6 10 3 31" xfId="11114"/>
    <cellStyle name="20% - Accent6 10 3 32" xfId="11115"/>
    <cellStyle name="20% - Accent6 10 3 33" xfId="11116"/>
    <cellStyle name="20% - Accent6 10 3 34" xfId="11117"/>
    <cellStyle name="20% - Accent6 10 3 35" xfId="11118"/>
    <cellStyle name="20% - Accent6 10 3 36" xfId="11119"/>
    <cellStyle name="20% - Accent6 10 3 37" xfId="11120"/>
    <cellStyle name="20% - Accent6 10 3 38" xfId="11121"/>
    <cellStyle name="20% - Accent6 10 3 39" xfId="11122"/>
    <cellStyle name="20% - Accent6 10 3 4" xfId="11123"/>
    <cellStyle name="20% - Accent6 10 3 40" xfId="11124"/>
    <cellStyle name="20% - Accent6 10 3 41" xfId="11125"/>
    <cellStyle name="20% - Accent6 10 3 42" xfId="11126"/>
    <cellStyle name="20% - Accent6 10 3 43" xfId="11127"/>
    <cellStyle name="20% - Accent6 10 3 44" xfId="11128"/>
    <cellStyle name="20% - Accent6 10 3 45" xfId="11129"/>
    <cellStyle name="20% - Accent6 10 3 46" xfId="11130"/>
    <cellStyle name="20% - Accent6 10 3 47" xfId="11131"/>
    <cellStyle name="20% - Accent6 10 3 48" xfId="11132"/>
    <cellStyle name="20% - Accent6 10 3 49" xfId="11133"/>
    <cellStyle name="20% - Accent6 10 3 5" xfId="11134"/>
    <cellStyle name="20% - Accent6 10 3 50" xfId="11135"/>
    <cellStyle name="20% - Accent6 10 3 51" xfId="11136"/>
    <cellStyle name="20% - Accent6 10 3 52" xfId="11137"/>
    <cellStyle name="20% - Accent6 10 3 53" xfId="11138"/>
    <cellStyle name="20% - Accent6 10 3 54" xfId="11139"/>
    <cellStyle name="20% - Accent6 10 3 55" xfId="11140"/>
    <cellStyle name="20% - Accent6 10 3 6" xfId="11141"/>
    <cellStyle name="20% - Accent6 10 3 7" xfId="11142"/>
    <cellStyle name="20% - Accent6 10 3 8" xfId="11143"/>
    <cellStyle name="20% - Accent6 10 3 9" xfId="11144"/>
    <cellStyle name="20% - Accent6 11" xfId="11145"/>
    <cellStyle name="20% - Accent6 11 2" xfId="11146"/>
    <cellStyle name="20% - Accent6 11 2 10" xfId="11147"/>
    <cellStyle name="20% - Accent6 11 2 11" xfId="11148"/>
    <cellStyle name="20% - Accent6 11 2 12" xfId="11149"/>
    <cellStyle name="20% - Accent6 11 2 13" xfId="11150"/>
    <cellStyle name="20% - Accent6 11 2 14" xfId="11151"/>
    <cellStyle name="20% - Accent6 11 2 15" xfId="11152"/>
    <cellStyle name="20% - Accent6 11 2 16" xfId="11153"/>
    <cellStyle name="20% - Accent6 11 2 17" xfId="11154"/>
    <cellStyle name="20% - Accent6 11 2 18" xfId="11155"/>
    <cellStyle name="20% - Accent6 11 2 19" xfId="11156"/>
    <cellStyle name="20% - Accent6 11 2 2" xfId="11157"/>
    <cellStyle name="20% - Accent6 11 2 2 2" xfId="11158"/>
    <cellStyle name="20% - Accent6 11 2 20" xfId="11159"/>
    <cellStyle name="20% - Accent6 11 2 21" xfId="11160"/>
    <cellStyle name="20% - Accent6 11 2 22" xfId="11161"/>
    <cellStyle name="20% - Accent6 11 2 23" xfId="11162"/>
    <cellStyle name="20% - Accent6 11 2 24" xfId="11163"/>
    <cellStyle name="20% - Accent6 11 2 25" xfId="11164"/>
    <cellStyle name="20% - Accent6 11 2 26" xfId="11165"/>
    <cellStyle name="20% - Accent6 11 2 27" xfId="11166"/>
    <cellStyle name="20% - Accent6 11 2 28" xfId="11167"/>
    <cellStyle name="20% - Accent6 11 2 29" xfId="11168"/>
    <cellStyle name="20% - Accent6 11 2 3" xfId="11169"/>
    <cellStyle name="20% - Accent6 11 2 30" xfId="11170"/>
    <cellStyle name="20% - Accent6 11 2 31" xfId="11171"/>
    <cellStyle name="20% - Accent6 11 2 32" xfId="11172"/>
    <cellStyle name="20% - Accent6 11 2 33" xfId="11173"/>
    <cellStyle name="20% - Accent6 11 2 34" xfId="11174"/>
    <cellStyle name="20% - Accent6 11 2 35" xfId="11175"/>
    <cellStyle name="20% - Accent6 11 2 36" xfId="11176"/>
    <cellStyle name="20% - Accent6 11 2 37" xfId="11177"/>
    <cellStyle name="20% - Accent6 11 2 38" xfId="11178"/>
    <cellStyle name="20% - Accent6 11 2 39" xfId="11179"/>
    <cellStyle name="20% - Accent6 11 2 4" xfId="11180"/>
    <cellStyle name="20% - Accent6 11 2 40" xfId="11181"/>
    <cellStyle name="20% - Accent6 11 2 41" xfId="11182"/>
    <cellStyle name="20% - Accent6 11 2 42" xfId="11183"/>
    <cellStyle name="20% - Accent6 11 2 43" xfId="11184"/>
    <cellStyle name="20% - Accent6 11 2 44" xfId="11185"/>
    <cellStyle name="20% - Accent6 11 2 45" xfId="11186"/>
    <cellStyle name="20% - Accent6 11 2 46" xfId="11187"/>
    <cellStyle name="20% - Accent6 11 2 47" xfId="11188"/>
    <cellStyle name="20% - Accent6 11 2 48" xfId="11189"/>
    <cellStyle name="20% - Accent6 11 2 49" xfId="11190"/>
    <cellStyle name="20% - Accent6 11 2 5" xfId="11191"/>
    <cellStyle name="20% - Accent6 11 2 50" xfId="11192"/>
    <cellStyle name="20% - Accent6 11 2 51" xfId="11193"/>
    <cellStyle name="20% - Accent6 11 2 52" xfId="11194"/>
    <cellStyle name="20% - Accent6 11 2 53" xfId="11195"/>
    <cellStyle name="20% - Accent6 11 2 54" xfId="11196"/>
    <cellStyle name="20% - Accent6 11 2 55" xfId="11197"/>
    <cellStyle name="20% - Accent6 11 2 6" xfId="11198"/>
    <cellStyle name="20% - Accent6 11 2 7" xfId="11199"/>
    <cellStyle name="20% - Accent6 11 2 8" xfId="11200"/>
    <cellStyle name="20% - Accent6 11 2 9" xfId="11201"/>
    <cellStyle name="20% - Accent6 11 3" xfId="11202"/>
    <cellStyle name="20% - Accent6 11 3 10" xfId="11203"/>
    <cellStyle name="20% - Accent6 11 3 11" xfId="11204"/>
    <cellStyle name="20% - Accent6 11 3 12" xfId="11205"/>
    <cellStyle name="20% - Accent6 11 3 13" xfId="11206"/>
    <cellStyle name="20% - Accent6 11 3 14" xfId="11207"/>
    <cellStyle name="20% - Accent6 11 3 15" xfId="11208"/>
    <cellStyle name="20% - Accent6 11 3 16" xfId="11209"/>
    <cellStyle name="20% - Accent6 11 3 17" xfId="11210"/>
    <cellStyle name="20% - Accent6 11 3 18" xfId="11211"/>
    <cellStyle name="20% - Accent6 11 3 19" xfId="11212"/>
    <cellStyle name="20% - Accent6 11 3 2" xfId="11213"/>
    <cellStyle name="20% - Accent6 11 3 2 2" xfId="11214"/>
    <cellStyle name="20% - Accent6 11 3 20" xfId="11215"/>
    <cellStyle name="20% - Accent6 11 3 21" xfId="11216"/>
    <cellStyle name="20% - Accent6 11 3 22" xfId="11217"/>
    <cellStyle name="20% - Accent6 11 3 23" xfId="11218"/>
    <cellStyle name="20% - Accent6 11 3 24" xfId="11219"/>
    <cellStyle name="20% - Accent6 11 3 25" xfId="11220"/>
    <cellStyle name="20% - Accent6 11 3 26" xfId="11221"/>
    <cellStyle name="20% - Accent6 11 3 27" xfId="11222"/>
    <cellStyle name="20% - Accent6 11 3 28" xfId="11223"/>
    <cellStyle name="20% - Accent6 11 3 29" xfId="11224"/>
    <cellStyle name="20% - Accent6 11 3 3" xfId="11225"/>
    <cellStyle name="20% - Accent6 11 3 30" xfId="11226"/>
    <cellStyle name="20% - Accent6 11 3 31" xfId="11227"/>
    <cellStyle name="20% - Accent6 11 3 32" xfId="11228"/>
    <cellStyle name="20% - Accent6 11 3 33" xfId="11229"/>
    <cellStyle name="20% - Accent6 11 3 34" xfId="11230"/>
    <cellStyle name="20% - Accent6 11 3 35" xfId="11231"/>
    <cellStyle name="20% - Accent6 11 3 36" xfId="11232"/>
    <cellStyle name="20% - Accent6 11 3 37" xfId="11233"/>
    <cellStyle name="20% - Accent6 11 3 38" xfId="11234"/>
    <cellStyle name="20% - Accent6 11 3 39" xfId="11235"/>
    <cellStyle name="20% - Accent6 11 3 4" xfId="11236"/>
    <cellStyle name="20% - Accent6 11 3 40" xfId="11237"/>
    <cellStyle name="20% - Accent6 11 3 41" xfId="11238"/>
    <cellStyle name="20% - Accent6 11 3 42" xfId="11239"/>
    <cellStyle name="20% - Accent6 11 3 43" xfId="11240"/>
    <cellStyle name="20% - Accent6 11 3 44" xfId="11241"/>
    <cellStyle name="20% - Accent6 11 3 45" xfId="11242"/>
    <cellStyle name="20% - Accent6 11 3 46" xfId="11243"/>
    <cellStyle name="20% - Accent6 11 3 47" xfId="11244"/>
    <cellStyle name="20% - Accent6 11 3 48" xfId="11245"/>
    <cellStyle name="20% - Accent6 11 3 49" xfId="11246"/>
    <cellStyle name="20% - Accent6 11 3 5" xfId="11247"/>
    <cellStyle name="20% - Accent6 11 3 50" xfId="11248"/>
    <cellStyle name="20% - Accent6 11 3 51" xfId="11249"/>
    <cellStyle name="20% - Accent6 11 3 52" xfId="11250"/>
    <cellStyle name="20% - Accent6 11 3 53" xfId="11251"/>
    <cellStyle name="20% - Accent6 11 3 54" xfId="11252"/>
    <cellStyle name="20% - Accent6 11 3 55" xfId="11253"/>
    <cellStyle name="20% - Accent6 11 3 6" xfId="11254"/>
    <cellStyle name="20% - Accent6 11 3 7" xfId="11255"/>
    <cellStyle name="20% - Accent6 11 3 8" xfId="11256"/>
    <cellStyle name="20% - Accent6 11 3 9" xfId="11257"/>
    <cellStyle name="20% - Accent6 12" xfId="11258"/>
    <cellStyle name="20% - Accent6 12 2" xfId="11259"/>
    <cellStyle name="20% - Accent6 12 2 10" xfId="11260"/>
    <cellStyle name="20% - Accent6 12 2 11" xfId="11261"/>
    <cellStyle name="20% - Accent6 12 2 12" xfId="11262"/>
    <cellStyle name="20% - Accent6 12 2 13" xfId="11263"/>
    <cellStyle name="20% - Accent6 12 2 14" xfId="11264"/>
    <cellStyle name="20% - Accent6 12 2 15" xfId="11265"/>
    <cellStyle name="20% - Accent6 12 2 16" xfId="11266"/>
    <cellStyle name="20% - Accent6 12 2 17" xfId="11267"/>
    <cellStyle name="20% - Accent6 12 2 18" xfId="11268"/>
    <cellStyle name="20% - Accent6 12 2 19" xfId="11269"/>
    <cellStyle name="20% - Accent6 12 2 2" xfId="11270"/>
    <cellStyle name="20% - Accent6 12 2 2 2" xfId="11271"/>
    <cellStyle name="20% - Accent6 12 2 20" xfId="11272"/>
    <cellStyle name="20% - Accent6 12 2 21" xfId="11273"/>
    <cellStyle name="20% - Accent6 12 2 22" xfId="11274"/>
    <cellStyle name="20% - Accent6 12 2 23" xfId="11275"/>
    <cellStyle name="20% - Accent6 12 2 24" xfId="11276"/>
    <cellStyle name="20% - Accent6 12 2 25" xfId="11277"/>
    <cellStyle name="20% - Accent6 12 2 26" xfId="11278"/>
    <cellStyle name="20% - Accent6 12 2 27" xfId="11279"/>
    <cellStyle name="20% - Accent6 12 2 28" xfId="11280"/>
    <cellStyle name="20% - Accent6 12 2 29" xfId="11281"/>
    <cellStyle name="20% - Accent6 12 2 3" xfId="11282"/>
    <cellStyle name="20% - Accent6 12 2 30" xfId="11283"/>
    <cellStyle name="20% - Accent6 12 2 31" xfId="11284"/>
    <cellStyle name="20% - Accent6 12 2 32" xfId="11285"/>
    <cellStyle name="20% - Accent6 12 2 33" xfId="11286"/>
    <cellStyle name="20% - Accent6 12 2 34" xfId="11287"/>
    <cellStyle name="20% - Accent6 12 2 35" xfId="11288"/>
    <cellStyle name="20% - Accent6 12 2 36" xfId="11289"/>
    <cellStyle name="20% - Accent6 12 2 37" xfId="11290"/>
    <cellStyle name="20% - Accent6 12 2 38" xfId="11291"/>
    <cellStyle name="20% - Accent6 12 2 39" xfId="11292"/>
    <cellStyle name="20% - Accent6 12 2 4" xfId="11293"/>
    <cellStyle name="20% - Accent6 12 2 40" xfId="11294"/>
    <cellStyle name="20% - Accent6 12 2 41" xfId="11295"/>
    <cellStyle name="20% - Accent6 12 2 42" xfId="11296"/>
    <cellStyle name="20% - Accent6 12 2 43" xfId="11297"/>
    <cellStyle name="20% - Accent6 12 2 44" xfId="11298"/>
    <cellStyle name="20% - Accent6 12 2 45" xfId="11299"/>
    <cellStyle name="20% - Accent6 12 2 46" xfId="11300"/>
    <cellStyle name="20% - Accent6 12 2 47" xfId="11301"/>
    <cellStyle name="20% - Accent6 12 2 48" xfId="11302"/>
    <cellStyle name="20% - Accent6 12 2 49" xfId="11303"/>
    <cellStyle name="20% - Accent6 12 2 5" xfId="11304"/>
    <cellStyle name="20% - Accent6 12 2 50" xfId="11305"/>
    <cellStyle name="20% - Accent6 12 2 51" xfId="11306"/>
    <cellStyle name="20% - Accent6 12 2 52" xfId="11307"/>
    <cellStyle name="20% - Accent6 12 2 53" xfId="11308"/>
    <cellStyle name="20% - Accent6 12 2 54" xfId="11309"/>
    <cellStyle name="20% - Accent6 12 2 55" xfId="11310"/>
    <cellStyle name="20% - Accent6 12 2 6" xfId="11311"/>
    <cellStyle name="20% - Accent6 12 2 7" xfId="11312"/>
    <cellStyle name="20% - Accent6 12 2 8" xfId="11313"/>
    <cellStyle name="20% - Accent6 12 2 9" xfId="11314"/>
    <cellStyle name="20% - Accent6 12 3" xfId="11315"/>
    <cellStyle name="20% - Accent6 12 3 10" xfId="11316"/>
    <cellStyle name="20% - Accent6 12 3 11" xfId="11317"/>
    <cellStyle name="20% - Accent6 12 3 12" xfId="11318"/>
    <cellStyle name="20% - Accent6 12 3 13" xfId="11319"/>
    <cellStyle name="20% - Accent6 12 3 14" xfId="11320"/>
    <cellStyle name="20% - Accent6 12 3 15" xfId="11321"/>
    <cellStyle name="20% - Accent6 12 3 16" xfId="11322"/>
    <cellStyle name="20% - Accent6 12 3 17" xfId="11323"/>
    <cellStyle name="20% - Accent6 12 3 18" xfId="11324"/>
    <cellStyle name="20% - Accent6 12 3 19" xfId="11325"/>
    <cellStyle name="20% - Accent6 12 3 2" xfId="11326"/>
    <cellStyle name="20% - Accent6 12 3 2 2" xfId="11327"/>
    <cellStyle name="20% - Accent6 12 3 20" xfId="11328"/>
    <cellStyle name="20% - Accent6 12 3 21" xfId="11329"/>
    <cellStyle name="20% - Accent6 12 3 22" xfId="11330"/>
    <cellStyle name="20% - Accent6 12 3 23" xfId="11331"/>
    <cellStyle name="20% - Accent6 12 3 24" xfId="11332"/>
    <cellStyle name="20% - Accent6 12 3 25" xfId="11333"/>
    <cellStyle name="20% - Accent6 12 3 26" xfId="11334"/>
    <cellStyle name="20% - Accent6 12 3 27" xfId="11335"/>
    <cellStyle name="20% - Accent6 12 3 28" xfId="11336"/>
    <cellStyle name="20% - Accent6 12 3 29" xfId="11337"/>
    <cellStyle name="20% - Accent6 12 3 3" xfId="11338"/>
    <cellStyle name="20% - Accent6 12 3 30" xfId="11339"/>
    <cellStyle name="20% - Accent6 12 3 31" xfId="11340"/>
    <cellStyle name="20% - Accent6 12 3 32" xfId="11341"/>
    <cellStyle name="20% - Accent6 12 3 33" xfId="11342"/>
    <cellStyle name="20% - Accent6 12 3 34" xfId="11343"/>
    <cellStyle name="20% - Accent6 12 3 35" xfId="11344"/>
    <cellStyle name="20% - Accent6 12 3 36" xfId="11345"/>
    <cellStyle name="20% - Accent6 12 3 37" xfId="11346"/>
    <cellStyle name="20% - Accent6 12 3 38" xfId="11347"/>
    <cellStyle name="20% - Accent6 12 3 39" xfId="11348"/>
    <cellStyle name="20% - Accent6 12 3 4" xfId="11349"/>
    <cellStyle name="20% - Accent6 12 3 40" xfId="11350"/>
    <cellStyle name="20% - Accent6 12 3 41" xfId="11351"/>
    <cellStyle name="20% - Accent6 12 3 42" xfId="11352"/>
    <cellStyle name="20% - Accent6 12 3 43" xfId="11353"/>
    <cellStyle name="20% - Accent6 12 3 44" xfId="11354"/>
    <cellStyle name="20% - Accent6 12 3 45" xfId="11355"/>
    <cellStyle name="20% - Accent6 12 3 46" xfId="11356"/>
    <cellStyle name="20% - Accent6 12 3 47" xfId="11357"/>
    <cellStyle name="20% - Accent6 12 3 48" xfId="11358"/>
    <cellStyle name="20% - Accent6 12 3 49" xfId="11359"/>
    <cellStyle name="20% - Accent6 12 3 5" xfId="11360"/>
    <cellStyle name="20% - Accent6 12 3 50" xfId="11361"/>
    <cellStyle name="20% - Accent6 12 3 51" xfId="11362"/>
    <cellStyle name="20% - Accent6 12 3 52" xfId="11363"/>
    <cellStyle name="20% - Accent6 12 3 53" xfId="11364"/>
    <cellStyle name="20% - Accent6 12 3 54" xfId="11365"/>
    <cellStyle name="20% - Accent6 12 3 55" xfId="11366"/>
    <cellStyle name="20% - Accent6 12 3 6" xfId="11367"/>
    <cellStyle name="20% - Accent6 12 3 7" xfId="11368"/>
    <cellStyle name="20% - Accent6 12 3 8" xfId="11369"/>
    <cellStyle name="20% - Accent6 12 3 9" xfId="11370"/>
    <cellStyle name="20% - Accent6 13" xfId="11371"/>
    <cellStyle name="20% - Accent6 13 2" xfId="11372"/>
    <cellStyle name="20% - Accent6 13 2 10" xfId="11373"/>
    <cellStyle name="20% - Accent6 13 2 11" xfId="11374"/>
    <cellStyle name="20% - Accent6 13 2 12" xfId="11375"/>
    <cellStyle name="20% - Accent6 13 2 13" xfId="11376"/>
    <cellStyle name="20% - Accent6 13 2 14" xfId="11377"/>
    <cellStyle name="20% - Accent6 13 2 15" xfId="11378"/>
    <cellStyle name="20% - Accent6 13 2 16" xfId="11379"/>
    <cellStyle name="20% - Accent6 13 2 17" xfId="11380"/>
    <cellStyle name="20% - Accent6 13 2 18" xfId="11381"/>
    <cellStyle name="20% - Accent6 13 2 19" xfId="11382"/>
    <cellStyle name="20% - Accent6 13 2 2" xfId="11383"/>
    <cellStyle name="20% - Accent6 13 2 2 2" xfId="11384"/>
    <cellStyle name="20% - Accent6 13 2 20" xfId="11385"/>
    <cellStyle name="20% - Accent6 13 2 21" xfId="11386"/>
    <cellStyle name="20% - Accent6 13 2 22" xfId="11387"/>
    <cellStyle name="20% - Accent6 13 2 23" xfId="11388"/>
    <cellStyle name="20% - Accent6 13 2 24" xfId="11389"/>
    <cellStyle name="20% - Accent6 13 2 25" xfId="11390"/>
    <cellStyle name="20% - Accent6 13 2 26" xfId="11391"/>
    <cellStyle name="20% - Accent6 13 2 27" xfId="11392"/>
    <cellStyle name="20% - Accent6 13 2 28" xfId="11393"/>
    <cellStyle name="20% - Accent6 13 2 29" xfId="11394"/>
    <cellStyle name="20% - Accent6 13 2 3" xfId="11395"/>
    <cellStyle name="20% - Accent6 13 2 30" xfId="11396"/>
    <cellStyle name="20% - Accent6 13 2 31" xfId="11397"/>
    <cellStyle name="20% - Accent6 13 2 32" xfId="11398"/>
    <cellStyle name="20% - Accent6 13 2 33" xfId="11399"/>
    <cellStyle name="20% - Accent6 13 2 34" xfId="11400"/>
    <cellStyle name="20% - Accent6 13 2 35" xfId="11401"/>
    <cellStyle name="20% - Accent6 13 2 36" xfId="11402"/>
    <cellStyle name="20% - Accent6 13 2 37" xfId="11403"/>
    <cellStyle name="20% - Accent6 13 2 38" xfId="11404"/>
    <cellStyle name="20% - Accent6 13 2 39" xfId="11405"/>
    <cellStyle name="20% - Accent6 13 2 4" xfId="11406"/>
    <cellStyle name="20% - Accent6 13 2 40" xfId="11407"/>
    <cellStyle name="20% - Accent6 13 2 41" xfId="11408"/>
    <cellStyle name="20% - Accent6 13 2 42" xfId="11409"/>
    <cellStyle name="20% - Accent6 13 2 43" xfId="11410"/>
    <cellStyle name="20% - Accent6 13 2 44" xfId="11411"/>
    <cellStyle name="20% - Accent6 13 2 45" xfId="11412"/>
    <cellStyle name="20% - Accent6 13 2 46" xfId="11413"/>
    <cellStyle name="20% - Accent6 13 2 47" xfId="11414"/>
    <cellStyle name="20% - Accent6 13 2 48" xfId="11415"/>
    <cellStyle name="20% - Accent6 13 2 49" xfId="11416"/>
    <cellStyle name="20% - Accent6 13 2 5" xfId="11417"/>
    <cellStyle name="20% - Accent6 13 2 50" xfId="11418"/>
    <cellStyle name="20% - Accent6 13 2 51" xfId="11419"/>
    <cellStyle name="20% - Accent6 13 2 52" xfId="11420"/>
    <cellStyle name="20% - Accent6 13 2 53" xfId="11421"/>
    <cellStyle name="20% - Accent6 13 2 54" xfId="11422"/>
    <cellStyle name="20% - Accent6 13 2 55" xfId="11423"/>
    <cellStyle name="20% - Accent6 13 2 6" xfId="11424"/>
    <cellStyle name="20% - Accent6 13 2 7" xfId="11425"/>
    <cellStyle name="20% - Accent6 13 2 8" xfId="11426"/>
    <cellStyle name="20% - Accent6 13 2 9" xfId="11427"/>
    <cellStyle name="20% - Accent6 13 3" xfId="11428"/>
    <cellStyle name="20% - Accent6 13 3 10" xfId="11429"/>
    <cellStyle name="20% - Accent6 13 3 11" xfId="11430"/>
    <cellStyle name="20% - Accent6 13 3 12" xfId="11431"/>
    <cellStyle name="20% - Accent6 13 3 13" xfId="11432"/>
    <cellStyle name="20% - Accent6 13 3 14" xfId="11433"/>
    <cellStyle name="20% - Accent6 13 3 15" xfId="11434"/>
    <cellStyle name="20% - Accent6 13 3 16" xfId="11435"/>
    <cellStyle name="20% - Accent6 13 3 17" xfId="11436"/>
    <cellStyle name="20% - Accent6 13 3 18" xfId="11437"/>
    <cellStyle name="20% - Accent6 13 3 19" xfId="11438"/>
    <cellStyle name="20% - Accent6 13 3 2" xfId="11439"/>
    <cellStyle name="20% - Accent6 13 3 2 2" xfId="11440"/>
    <cellStyle name="20% - Accent6 13 3 20" xfId="11441"/>
    <cellStyle name="20% - Accent6 13 3 21" xfId="11442"/>
    <cellStyle name="20% - Accent6 13 3 22" xfId="11443"/>
    <cellStyle name="20% - Accent6 13 3 23" xfId="11444"/>
    <cellStyle name="20% - Accent6 13 3 24" xfId="11445"/>
    <cellStyle name="20% - Accent6 13 3 25" xfId="11446"/>
    <cellStyle name="20% - Accent6 13 3 26" xfId="11447"/>
    <cellStyle name="20% - Accent6 13 3 27" xfId="11448"/>
    <cellStyle name="20% - Accent6 13 3 28" xfId="11449"/>
    <cellStyle name="20% - Accent6 13 3 29" xfId="11450"/>
    <cellStyle name="20% - Accent6 13 3 3" xfId="11451"/>
    <cellStyle name="20% - Accent6 13 3 30" xfId="11452"/>
    <cellStyle name="20% - Accent6 13 3 31" xfId="11453"/>
    <cellStyle name="20% - Accent6 13 3 32" xfId="11454"/>
    <cellStyle name="20% - Accent6 13 3 33" xfId="11455"/>
    <cellStyle name="20% - Accent6 13 3 34" xfId="11456"/>
    <cellStyle name="20% - Accent6 13 3 35" xfId="11457"/>
    <cellStyle name="20% - Accent6 13 3 36" xfId="11458"/>
    <cellStyle name="20% - Accent6 13 3 37" xfId="11459"/>
    <cellStyle name="20% - Accent6 13 3 38" xfId="11460"/>
    <cellStyle name="20% - Accent6 13 3 39" xfId="11461"/>
    <cellStyle name="20% - Accent6 13 3 4" xfId="11462"/>
    <cellStyle name="20% - Accent6 13 3 40" xfId="11463"/>
    <cellStyle name="20% - Accent6 13 3 41" xfId="11464"/>
    <cellStyle name="20% - Accent6 13 3 42" xfId="11465"/>
    <cellStyle name="20% - Accent6 13 3 43" xfId="11466"/>
    <cellStyle name="20% - Accent6 13 3 44" xfId="11467"/>
    <cellStyle name="20% - Accent6 13 3 45" xfId="11468"/>
    <cellStyle name="20% - Accent6 13 3 46" xfId="11469"/>
    <cellStyle name="20% - Accent6 13 3 47" xfId="11470"/>
    <cellStyle name="20% - Accent6 13 3 48" xfId="11471"/>
    <cellStyle name="20% - Accent6 13 3 49" xfId="11472"/>
    <cellStyle name="20% - Accent6 13 3 5" xfId="11473"/>
    <cellStyle name="20% - Accent6 13 3 50" xfId="11474"/>
    <cellStyle name="20% - Accent6 13 3 51" xfId="11475"/>
    <cellStyle name="20% - Accent6 13 3 52" xfId="11476"/>
    <cellStyle name="20% - Accent6 13 3 53" xfId="11477"/>
    <cellStyle name="20% - Accent6 13 3 54" xfId="11478"/>
    <cellStyle name="20% - Accent6 13 3 55" xfId="11479"/>
    <cellStyle name="20% - Accent6 13 3 6" xfId="11480"/>
    <cellStyle name="20% - Accent6 13 3 7" xfId="11481"/>
    <cellStyle name="20% - Accent6 13 3 8" xfId="11482"/>
    <cellStyle name="20% - Accent6 13 3 9" xfId="11483"/>
    <cellStyle name="20% - Accent6 14" xfId="11484"/>
    <cellStyle name="20% - Accent6 14 2" xfId="11485"/>
    <cellStyle name="20% - Accent6 14 2 10" xfId="11486"/>
    <cellStyle name="20% - Accent6 14 2 11" xfId="11487"/>
    <cellStyle name="20% - Accent6 14 2 12" xfId="11488"/>
    <cellStyle name="20% - Accent6 14 2 13" xfId="11489"/>
    <cellStyle name="20% - Accent6 14 2 14" xfId="11490"/>
    <cellStyle name="20% - Accent6 14 2 15" xfId="11491"/>
    <cellStyle name="20% - Accent6 14 2 16" xfId="11492"/>
    <cellStyle name="20% - Accent6 14 2 17" xfId="11493"/>
    <cellStyle name="20% - Accent6 14 2 18" xfId="11494"/>
    <cellStyle name="20% - Accent6 14 2 19" xfId="11495"/>
    <cellStyle name="20% - Accent6 14 2 2" xfId="11496"/>
    <cellStyle name="20% - Accent6 14 2 2 2" xfId="11497"/>
    <cellStyle name="20% - Accent6 14 2 20" xfId="11498"/>
    <cellStyle name="20% - Accent6 14 2 21" xfId="11499"/>
    <cellStyle name="20% - Accent6 14 2 22" xfId="11500"/>
    <cellStyle name="20% - Accent6 14 2 23" xfId="11501"/>
    <cellStyle name="20% - Accent6 14 2 24" xfId="11502"/>
    <cellStyle name="20% - Accent6 14 2 25" xfId="11503"/>
    <cellStyle name="20% - Accent6 14 2 26" xfId="11504"/>
    <cellStyle name="20% - Accent6 14 2 27" xfId="11505"/>
    <cellStyle name="20% - Accent6 14 2 28" xfId="11506"/>
    <cellStyle name="20% - Accent6 14 2 29" xfId="11507"/>
    <cellStyle name="20% - Accent6 14 2 3" xfId="11508"/>
    <cellStyle name="20% - Accent6 14 2 30" xfId="11509"/>
    <cellStyle name="20% - Accent6 14 2 31" xfId="11510"/>
    <cellStyle name="20% - Accent6 14 2 32" xfId="11511"/>
    <cellStyle name="20% - Accent6 14 2 33" xfId="11512"/>
    <cellStyle name="20% - Accent6 14 2 34" xfId="11513"/>
    <cellStyle name="20% - Accent6 14 2 35" xfId="11514"/>
    <cellStyle name="20% - Accent6 14 2 36" xfId="11515"/>
    <cellStyle name="20% - Accent6 14 2 37" xfId="11516"/>
    <cellStyle name="20% - Accent6 14 2 38" xfId="11517"/>
    <cellStyle name="20% - Accent6 14 2 39" xfId="11518"/>
    <cellStyle name="20% - Accent6 14 2 4" xfId="11519"/>
    <cellStyle name="20% - Accent6 14 2 40" xfId="11520"/>
    <cellStyle name="20% - Accent6 14 2 41" xfId="11521"/>
    <cellStyle name="20% - Accent6 14 2 42" xfId="11522"/>
    <cellStyle name="20% - Accent6 14 2 43" xfId="11523"/>
    <cellStyle name="20% - Accent6 14 2 44" xfId="11524"/>
    <cellStyle name="20% - Accent6 14 2 45" xfId="11525"/>
    <cellStyle name="20% - Accent6 14 2 46" xfId="11526"/>
    <cellStyle name="20% - Accent6 14 2 47" xfId="11527"/>
    <cellStyle name="20% - Accent6 14 2 48" xfId="11528"/>
    <cellStyle name="20% - Accent6 14 2 49" xfId="11529"/>
    <cellStyle name="20% - Accent6 14 2 5" xfId="11530"/>
    <cellStyle name="20% - Accent6 14 2 50" xfId="11531"/>
    <cellStyle name="20% - Accent6 14 2 51" xfId="11532"/>
    <cellStyle name="20% - Accent6 14 2 52" xfId="11533"/>
    <cellStyle name="20% - Accent6 14 2 53" xfId="11534"/>
    <cellStyle name="20% - Accent6 14 2 54" xfId="11535"/>
    <cellStyle name="20% - Accent6 14 2 55" xfId="11536"/>
    <cellStyle name="20% - Accent6 14 2 6" xfId="11537"/>
    <cellStyle name="20% - Accent6 14 2 7" xfId="11538"/>
    <cellStyle name="20% - Accent6 14 2 8" xfId="11539"/>
    <cellStyle name="20% - Accent6 14 2 9" xfId="11540"/>
    <cellStyle name="20% - Accent6 14 3" xfId="11541"/>
    <cellStyle name="20% - Accent6 14 3 10" xfId="11542"/>
    <cellStyle name="20% - Accent6 14 3 11" xfId="11543"/>
    <cellStyle name="20% - Accent6 14 3 12" xfId="11544"/>
    <cellStyle name="20% - Accent6 14 3 13" xfId="11545"/>
    <cellStyle name="20% - Accent6 14 3 14" xfId="11546"/>
    <cellStyle name="20% - Accent6 14 3 15" xfId="11547"/>
    <cellStyle name="20% - Accent6 14 3 16" xfId="11548"/>
    <cellStyle name="20% - Accent6 14 3 17" xfId="11549"/>
    <cellStyle name="20% - Accent6 14 3 18" xfId="11550"/>
    <cellStyle name="20% - Accent6 14 3 19" xfId="11551"/>
    <cellStyle name="20% - Accent6 14 3 2" xfId="11552"/>
    <cellStyle name="20% - Accent6 14 3 2 2" xfId="11553"/>
    <cellStyle name="20% - Accent6 14 3 20" xfId="11554"/>
    <cellStyle name="20% - Accent6 14 3 21" xfId="11555"/>
    <cellStyle name="20% - Accent6 14 3 22" xfId="11556"/>
    <cellStyle name="20% - Accent6 14 3 23" xfId="11557"/>
    <cellStyle name="20% - Accent6 14 3 24" xfId="11558"/>
    <cellStyle name="20% - Accent6 14 3 25" xfId="11559"/>
    <cellStyle name="20% - Accent6 14 3 26" xfId="11560"/>
    <cellStyle name="20% - Accent6 14 3 27" xfId="11561"/>
    <cellStyle name="20% - Accent6 14 3 28" xfId="11562"/>
    <cellStyle name="20% - Accent6 14 3 29" xfId="11563"/>
    <cellStyle name="20% - Accent6 14 3 3" xfId="11564"/>
    <cellStyle name="20% - Accent6 14 3 30" xfId="11565"/>
    <cellStyle name="20% - Accent6 14 3 31" xfId="11566"/>
    <cellStyle name="20% - Accent6 14 3 32" xfId="11567"/>
    <cellStyle name="20% - Accent6 14 3 33" xfId="11568"/>
    <cellStyle name="20% - Accent6 14 3 34" xfId="11569"/>
    <cellStyle name="20% - Accent6 14 3 35" xfId="11570"/>
    <cellStyle name="20% - Accent6 14 3 36" xfId="11571"/>
    <cellStyle name="20% - Accent6 14 3 37" xfId="11572"/>
    <cellStyle name="20% - Accent6 14 3 38" xfId="11573"/>
    <cellStyle name="20% - Accent6 14 3 39" xfId="11574"/>
    <cellStyle name="20% - Accent6 14 3 4" xfId="11575"/>
    <cellStyle name="20% - Accent6 14 3 40" xfId="11576"/>
    <cellStyle name="20% - Accent6 14 3 41" xfId="11577"/>
    <cellStyle name="20% - Accent6 14 3 42" xfId="11578"/>
    <cellStyle name="20% - Accent6 14 3 43" xfId="11579"/>
    <cellStyle name="20% - Accent6 14 3 44" xfId="11580"/>
    <cellStyle name="20% - Accent6 14 3 45" xfId="11581"/>
    <cellStyle name="20% - Accent6 14 3 46" xfId="11582"/>
    <cellStyle name="20% - Accent6 14 3 47" xfId="11583"/>
    <cellStyle name="20% - Accent6 14 3 48" xfId="11584"/>
    <cellStyle name="20% - Accent6 14 3 49" xfId="11585"/>
    <cellStyle name="20% - Accent6 14 3 5" xfId="11586"/>
    <cellStyle name="20% - Accent6 14 3 50" xfId="11587"/>
    <cellStyle name="20% - Accent6 14 3 51" xfId="11588"/>
    <cellStyle name="20% - Accent6 14 3 52" xfId="11589"/>
    <cellStyle name="20% - Accent6 14 3 53" xfId="11590"/>
    <cellStyle name="20% - Accent6 14 3 54" xfId="11591"/>
    <cellStyle name="20% - Accent6 14 3 55" xfId="11592"/>
    <cellStyle name="20% - Accent6 14 3 6" xfId="11593"/>
    <cellStyle name="20% - Accent6 14 3 7" xfId="11594"/>
    <cellStyle name="20% - Accent6 14 3 8" xfId="11595"/>
    <cellStyle name="20% - Accent6 14 3 9" xfId="11596"/>
    <cellStyle name="20% - Accent6 15" xfId="11597"/>
    <cellStyle name="20% - Accent6 15 2" xfId="11598"/>
    <cellStyle name="20% - Accent6 15 2 10" xfId="11599"/>
    <cellStyle name="20% - Accent6 15 2 11" xfId="11600"/>
    <cellStyle name="20% - Accent6 15 2 12" xfId="11601"/>
    <cellStyle name="20% - Accent6 15 2 13" xfId="11602"/>
    <cellStyle name="20% - Accent6 15 2 14" xfId="11603"/>
    <cellStyle name="20% - Accent6 15 2 15" xfId="11604"/>
    <cellStyle name="20% - Accent6 15 2 16" xfId="11605"/>
    <cellStyle name="20% - Accent6 15 2 17" xfId="11606"/>
    <cellStyle name="20% - Accent6 15 2 18" xfId="11607"/>
    <cellStyle name="20% - Accent6 15 2 19" xfId="11608"/>
    <cellStyle name="20% - Accent6 15 2 2" xfId="11609"/>
    <cellStyle name="20% - Accent6 15 2 2 2" xfId="11610"/>
    <cellStyle name="20% - Accent6 15 2 20" xfId="11611"/>
    <cellStyle name="20% - Accent6 15 2 21" xfId="11612"/>
    <cellStyle name="20% - Accent6 15 2 22" xfId="11613"/>
    <cellStyle name="20% - Accent6 15 2 23" xfId="11614"/>
    <cellStyle name="20% - Accent6 15 2 24" xfId="11615"/>
    <cellStyle name="20% - Accent6 15 2 25" xfId="11616"/>
    <cellStyle name="20% - Accent6 15 2 26" xfId="11617"/>
    <cellStyle name="20% - Accent6 15 2 27" xfId="11618"/>
    <cellStyle name="20% - Accent6 15 2 28" xfId="11619"/>
    <cellStyle name="20% - Accent6 15 2 29" xfId="11620"/>
    <cellStyle name="20% - Accent6 15 2 3" xfId="11621"/>
    <cellStyle name="20% - Accent6 15 2 30" xfId="11622"/>
    <cellStyle name="20% - Accent6 15 2 31" xfId="11623"/>
    <cellStyle name="20% - Accent6 15 2 32" xfId="11624"/>
    <cellStyle name="20% - Accent6 15 2 33" xfId="11625"/>
    <cellStyle name="20% - Accent6 15 2 34" xfId="11626"/>
    <cellStyle name="20% - Accent6 15 2 35" xfId="11627"/>
    <cellStyle name="20% - Accent6 15 2 36" xfId="11628"/>
    <cellStyle name="20% - Accent6 15 2 37" xfId="11629"/>
    <cellStyle name="20% - Accent6 15 2 38" xfId="11630"/>
    <cellStyle name="20% - Accent6 15 2 39" xfId="11631"/>
    <cellStyle name="20% - Accent6 15 2 4" xfId="11632"/>
    <cellStyle name="20% - Accent6 15 2 40" xfId="11633"/>
    <cellStyle name="20% - Accent6 15 2 41" xfId="11634"/>
    <cellStyle name="20% - Accent6 15 2 42" xfId="11635"/>
    <cellStyle name="20% - Accent6 15 2 43" xfId="11636"/>
    <cellStyle name="20% - Accent6 15 2 44" xfId="11637"/>
    <cellStyle name="20% - Accent6 15 2 45" xfId="11638"/>
    <cellStyle name="20% - Accent6 15 2 46" xfId="11639"/>
    <cellStyle name="20% - Accent6 15 2 47" xfId="11640"/>
    <cellStyle name="20% - Accent6 15 2 48" xfId="11641"/>
    <cellStyle name="20% - Accent6 15 2 49" xfId="11642"/>
    <cellStyle name="20% - Accent6 15 2 5" xfId="11643"/>
    <cellStyle name="20% - Accent6 15 2 50" xfId="11644"/>
    <cellStyle name="20% - Accent6 15 2 51" xfId="11645"/>
    <cellStyle name="20% - Accent6 15 2 52" xfId="11646"/>
    <cellStyle name="20% - Accent6 15 2 53" xfId="11647"/>
    <cellStyle name="20% - Accent6 15 2 54" xfId="11648"/>
    <cellStyle name="20% - Accent6 15 2 55" xfId="11649"/>
    <cellStyle name="20% - Accent6 15 2 6" xfId="11650"/>
    <cellStyle name="20% - Accent6 15 2 7" xfId="11651"/>
    <cellStyle name="20% - Accent6 15 2 8" xfId="11652"/>
    <cellStyle name="20% - Accent6 15 2 9" xfId="11653"/>
    <cellStyle name="20% - Accent6 15 3" xfId="11654"/>
    <cellStyle name="20% - Accent6 15 3 10" xfId="11655"/>
    <cellStyle name="20% - Accent6 15 3 11" xfId="11656"/>
    <cellStyle name="20% - Accent6 15 3 12" xfId="11657"/>
    <cellStyle name="20% - Accent6 15 3 13" xfId="11658"/>
    <cellStyle name="20% - Accent6 15 3 14" xfId="11659"/>
    <cellStyle name="20% - Accent6 15 3 15" xfId="11660"/>
    <cellStyle name="20% - Accent6 15 3 16" xfId="11661"/>
    <cellStyle name="20% - Accent6 15 3 17" xfId="11662"/>
    <cellStyle name="20% - Accent6 15 3 18" xfId="11663"/>
    <cellStyle name="20% - Accent6 15 3 19" xfId="11664"/>
    <cellStyle name="20% - Accent6 15 3 2" xfId="11665"/>
    <cellStyle name="20% - Accent6 15 3 2 2" xfId="11666"/>
    <cellStyle name="20% - Accent6 15 3 20" xfId="11667"/>
    <cellStyle name="20% - Accent6 15 3 21" xfId="11668"/>
    <cellStyle name="20% - Accent6 15 3 22" xfId="11669"/>
    <cellStyle name="20% - Accent6 15 3 23" xfId="11670"/>
    <cellStyle name="20% - Accent6 15 3 24" xfId="11671"/>
    <cellStyle name="20% - Accent6 15 3 25" xfId="11672"/>
    <cellStyle name="20% - Accent6 15 3 26" xfId="11673"/>
    <cellStyle name="20% - Accent6 15 3 27" xfId="11674"/>
    <cellStyle name="20% - Accent6 15 3 28" xfId="11675"/>
    <cellStyle name="20% - Accent6 15 3 29" xfId="11676"/>
    <cellStyle name="20% - Accent6 15 3 3" xfId="11677"/>
    <cellStyle name="20% - Accent6 15 3 30" xfId="11678"/>
    <cellStyle name="20% - Accent6 15 3 31" xfId="11679"/>
    <cellStyle name="20% - Accent6 15 3 32" xfId="11680"/>
    <cellStyle name="20% - Accent6 15 3 33" xfId="11681"/>
    <cellStyle name="20% - Accent6 15 3 34" xfId="11682"/>
    <cellStyle name="20% - Accent6 15 3 35" xfId="11683"/>
    <cellStyle name="20% - Accent6 15 3 36" xfId="11684"/>
    <cellStyle name="20% - Accent6 15 3 37" xfId="11685"/>
    <cellStyle name="20% - Accent6 15 3 38" xfId="11686"/>
    <cellStyle name="20% - Accent6 15 3 39" xfId="11687"/>
    <cellStyle name="20% - Accent6 15 3 4" xfId="11688"/>
    <cellStyle name="20% - Accent6 15 3 40" xfId="11689"/>
    <cellStyle name="20% - Accent6 15 3 41" xfId="11690"/>
    <cellStyle name="20% - Accent6 15 3 42" xfId="11691"/>
    <cellStyle name="20% - Accent6 15 3 43" xfId="11692"/>
    <cellStyle name="20% - Accent6 15 3 44" xfId="11693"/>
    <cellStyle name="20% - Accent6 15 3 45" xfId="11694"/>
    <cellStyle name="20% - Accent6 15 3 46" xfId="11695"/>
    <cellStyle name="20% - Accent6 15 3 47" xfId="11696"/>
    <cellStyle name="20% - Accent6 15 3 48" xfId="11697"/>
    <cellStyle name="20% - Accent6 15 3 49" xfId="11698"/>
    <cellStyle name="20% - Accent6 15 3 5" xfId="11699"/>
    <cellStyle name="20% - Accent6 15 3 50" xfId="11700"/>
    <cellStyle name="20% - Accent6 15 3 51" xfId="11701"/>
    <cellStyle name="20% - Accent6 15 3 52" xfId="11702"/>
    <cellStyle name="20% - Accent6 15 3 53" xfId="11703"/>
    <cellStyle name="20% - Accent6 15 3 54" xfId="11704"/>
    <cellStyle name="20% - Accent6 15 3 55" xfId="11705"/>
    <cellStyle name="20% - Accent6 15 3 6" xfId="11706"/>
    <cellStyle name="20% - Accent6 15 3 7" xfId="11707"/>
    <cellStyle name="20% - Accent6 15 3 8" xfId="11708"/>
    <cellStyle name="20% - Accent6 15 3 9" xfId="11709"/>
    <cellStyle name="20% - Accent6 16" xfId="11710"/>
    <cellStyle name="20% - Accent6 16 2" xfId="11711"/>
    <cellStyle name="20% - Accent6 16 2 10" xfId="11712"/>
    <cellStyle name="20% - Accent6 16 2 11" xfId="11713"/>
    <cellStyle name="20% - Accent6 16 2 12" xfId="11714"/>
    <cellStyle name="20% - Accent6 16 2 13" xfId="11715"/>
    <cellStyle name="20% - Accent6 16 2 14" xfId="11716"/>
    <cellStyle name="20% - Accent6 16 2 15" xfId="11717"/>
    <cellStyle name="20% - Accent6 16 2 16" xfId="11718"/>
    <cellStyle name="20% - Accent6 16 2 17" xfId="11719"/>
    <cellStyle name="20% - Accent6 16 2 18" xfId="11720"/>
    <cellStyle name="20% - Accent6 16 2 19" xfId="11721"/>
    <cellStyle name="20% - Accent6 16 2 2" xfId="11722"/>
    <cellStyle name="20% - Accent6 16 2 2 2" xfId="11723"/>
    <cellStyle name="20% - Accent6 16 2 20" xfId="11724"/>
    <cellStyle name="20% - Accent6 16 2 21" xfId="11725"/>
    <cellStyle name="20% - Accent6 16 2 22" xfId="11726"/>
    <cellStyle name="20% - Accent6 16 2 23" xfId="11727"/>
    <cellStyle name="20% - Accent6 16 2 24" xfId="11728"/>
    <cellStyle name="20% - Accent6 16 2 25" xfId="11729"/>
    <cellStyle name="20% - Accent6 16 2 26" xfId="11730"/>
    <cellStyle name="20% - Accent6 16 2 27" xfId="11731"/>
    <cellStyle name="20% - Accent6 16 2 28" xfId="11732"/>
    <cellStyle name="20% - Accent6 16 2 29" xfId="11733"/>
    <cellStyle name="20% - Accent6 16 2 3" xfId="11734"/>
    <cellStyle name="20% - Accent6 16 2 30" xfId="11735"/>
    <cellStyle name="20% - Accent6 16 2 31" xfId="11736"/>
    <cellStyle name="20% - Accent6 16 2 32" xfId="11737"/>
    <cellStyle name="20% - Accent6 16 2 33" xfId="11738"/>
    <cellStyle name="20% - Accent6 16 2 34" xfId="11739"/>
    <cellStyle name="20% - Accent6 16 2 35" xfId="11740"/>
    <cellStyle name="20% - Accent6 16 2 36" xfId="11741"/>
    <cellStyle name="20% - Accent6 16 2 37" xfId="11742"/>
    <cellStyle name="20% - Accent6 16 2 38" xfId="11743"/>
    <cellStyle name="20% - Accent6 16 2 39" xfId="11744"/>
    <cellStyle name="20% - Accent6 16 2 4" xfId="11745"/>
    <cellStyle name="20% - Accent6 16 2 40" xfId="11746"/>
    <cellStyle name="20% - Accent6 16 2 41" xfId="11747"/>
    <cellStyle name="20% - Accent6 16 2 42" xfId="11748"/>
    <cellStyle name="20% - Accent6 16 2 43" xfId="11749"/>
    <cellStyle name="20% - Accent6 16 2 44" xfId="11750"/>
    <cellStyle name="20% - Accent6 16 2 45" xfId="11751"/>
    <cellStyle name="20% - Accent6 16 2 46" xfId="11752"/>
    <cellStyle name="20% - Accent6 16 2 47" xfId="11753"/>
    <cellStyle name="20% - Accent6 16 2 48" xfId="11754"/>
    <cellStyle name="20% - Accent6 16 2 49" xfId="11755"/>
    <cellStyle name="20% - Accent6 16 2 5" xfId="11756"/>
    <cellStyle name="20% - Accent6 16 2 50" xfId="11757"/>
    <cellStyle name="20% - Accent6 16 2 51" xfId="11758"/>
    <cellStyle name="20% - Accent6 16 2 52" xfId="11759"/>
    <cellStyle name="20% - Accent6 16 2 53" xfId="11760"/>
    <cellStyle name="20% - Accent6 16 2 54" xfId="11761"/>
    <cellStyle name="20% - Accent6 16 2 55" xfId="11762"/>
    <cellStyle name="20% - Accent6 16 2 6" xfId="11763"/>
    <cellStyle name="20% - Accent6 16 2 7" xfId="11764"/>
    <cellStyle name="20% - Accent6 16 2 8" xfId="11765"/>
    <cellStyle name="20% - Accent6 16 2 9" xfId="11766"/>
    <cellStyle name="20% - Accent6 16 3" xfId="11767"/>
    <cellStyle name="20% - Accent6 16 3 10" xfId="11768"/>
    <cellStyle name="20% - Accent6 16 3 11" xfId="11769"/>
    <cellStyle name="20% - Accent6 16 3 12" xfId="11770"/>
    <cellStyle name="20% - Accent6 16 3 13" xfId="11771"/>
    <cellStyle name="20% - Accent6 16 3 14" xfId="11772"/>
    <cellStyle name="20% - Accent6 16 3 15" xfId="11773"/>
    <cellStyle name="20% - Accent6 16 3 16" xfId="11774"/>
    <cellStyle name="20% - Accent6 16 3 17" xfId="11775"/>
    <cellStyle name="20% - Accent6 16 3 18" xfId="11776"/>
    <cellStyle name="20% - Accent6 16 3 19" xfId="11777"/>
    <cellStyle name="20% - Accent6 16 3 2" xfId="11778"/>
    <cellStyle name="20% - Accent6 16 3 2 2" xfId="11779"/>
    <cellStyle name="20% - Accent6 16 3 20" xfId="11780"/>
    <cellStyle name="20% - Accent6 16 3 21" xfId="11781"/>
    <cellStyle name="20% - Accent6 16 3 22" xfId="11782"/>
    <cellStyle name="20% - Accent6 16 3 23" xfId="11783"/>
    <cellStyle name="20% - Accent6 16 3 24" xfId="11784"/>
    <cellStyle name="20% - Accent6 16 3 25" xfId="11785"/>
    <cellStyle name="20% - Accent6 16 3 26" xfId="11786"/>
    <cellStyle name="20% - Accent6 16 3 27" xfId="11787"/>
    <cellStyle name="20% - Accent6 16 3 28" xfId="11788"/>
    <cellStyle name="20% - Accent6 16 3 29" xfId="11789"/>
    <cellStyle name="20% - Accent6 16 3 3" xfId="11790"/>
    <cellStyle name="20% - Accent6 16 3 30" xfId="11791"/>
    <cellStyle name="20% - Accent6 16 3 31" xfId="11792"/>
    <cellStyle name="20% - Accent6 16 3 32" xfId="11793"/>
    <cellStyle name="20% - Accent6 16 3 33" xfId="11794"/>
    <cellStyle name="20% - Accent6 16 3 34" xfId="11795"/>
    <cellStyle name="20% - Accent6 16 3 35" xfId="11796"/>
    <cellStyle name="20% - Accent6 16 3 36" xfId="11797"/>
    <cellStyle name="20% - Accent6 16 3 37" xfId="11798"/>
    <cellStyle name="20% - Accent6 16 3 38" xfId="11799"/>
    <cellStyle name="20% - Accent6 16 3 39" xfId="11800"/>
    <cellStyle name="20% - Accent6 16 3 4" xfId="11801"/>
    <cellStyle name="20% - Accent6 16 3 40" xfId="11802"/>
    <cellStyle name="20% - Accent6 16 3 41" xfId="11803"/>
    <cellStyle name="20% - Accent6 16 3 42" xfId="11804"/>
    <cellStyle name="20% - Accent6 16 3 43" xfId="11805"/>
    <cellStyle name="20% - Accent6 16 3 44" xfId="11806"/>
    <cellStyle name="20% - Accent6 16 3 45" xfId="11807"/>
    <cellStyle name="20% - Accent6 16 3 46" xfId="11808"/>
    <cellStyle name="20% - Accent6 16 3 47" xfId="11809"/>
    <cellStyle name="20% - Accent6 16 3 48" xfId="11810"/>
    <cellStyle name="20% - Accent6 16 3 49" xfId="11811"/>
    <cellStyle name="20% - Accent6 16 3 5" xfId="11812"/>
    <cellStyle name="20% - Accent6 16 3 50" xfId="11813"/>
    <cellStyle name="20% - Accent6 16 3 51" xfId="11814"/>
    <cellStyle name="20% - Accent6 16 3 52" xfId="11815"/>
    <cellStyle name="20% - Accent6 16 3 53" xfId="11816"/>
    <cellStyle name="20% - Accent6 16 3 54" xfId="11817"/>
    <cellStyle name="20% - Accent6 16 3 55" xfId="11818"/>
    <cellStyle name="20% - Accent6 16 3 6" xfId="11819"/>
    <cellStyle name="20% - Accent6 16 3 7" xfId="11820"/>
    <cellStyle name="20% - Accent6 16 3 8" xfId="11821"/>
    <cellStyle name="20% - Accent6 16 3 9" xfId="11822"/>
    <cellStyle name="20% - Accent6 17" xfId="11823"/>
    <cellStyle name="20% - Accent6 17 2" xfId="11824"/>
    <cellStyle name="20% - Accent6 17 2 10" xfId="11825"/>
    <cellStyle name="20% - Accent6 17 2 11" xfId="11826"/>
    <cellStyle name="20% - Accent6 17 2 12" xfId="11827"/>
    <cellStyle name="20% - Accent6 17 2 13" xfId="11828"/>
    <cellStyle name="20% - Accent6 17 2 14" xfId="11829"/>
    <cellStyle name="20% - Accent6 17 2 15" xfId="11830"/>
    <cellStyle name="20% - Accent6 17 2 16" xfId="11831"/>
    <cellStyle name="20% - Accent6 17 2 17" xfId="11832"/>
    <cellStyle name="20% - Accent6 17 2 18" xfId="11833"/>
    <cellStyle name="20% - Accent6 17 2 19" xfId="11834"/>
    <cellStyle name="20% - Accent6 17 2 2" xfId="11835"/>
    <cellStyle name="20% - Accent6 17 2 2 2" xfId="11836"/>
    <cellStyle name="20% - Accent6 17 2 20" xfId="11837"/>
    <cellStyle name="20% - Accent6 17 2 21" xfId="11838"/>
    <cellStyle name="20% - Accent6 17 2 22" xfId="11839"/>
    <cellStyle name="20% - Accent6 17 2 23" xfId="11840"/>
    <cellStyle name="20% - Accent6 17 2 24" xfId="11841"/>
    <cellStyle name="20% - Accent6 17 2 25" xfId="11842"/>
    <cellStyle name="20% - Accent6 17 2 26" xfId="11843"/>
    <cellStyle name="20% - Accent6 17 2 27" xfId="11844"/>
    <cellStyle name="20% - Accent6 17 2 28" xfId="11845"/>
    <cellStyle name="20% - Accent6 17 2 29" xfId="11846"/>
    <cellStyle name="20% - Accent6 17 2 3" xfId="11847"/>
    <cellStyle name="20% - Accent6 17 2 30" xfId="11848"/>
    <cellStyle name="20% - Accent6 17 2 31" xfId="11849"/>
    <cellStyle name="20% - Accent6 17 2 32" xfId="11850"/>
    <cellStyle name="20% - Accent6 17 2 33" xfId="11851"/>
    <cellStyle name="20% - Accent6 17 2 34" xfId="11852"/>
    <cellStyle name="20% - Accent6 17 2 35" xfId="11853"/>
    <cellStyle name="20% - Accent6 17 2 36" xfId="11854"/>
    <cellStyle name="20% - Accent6 17 2 37" xfId="11855"/>
    <cellStyle name="20% - Accent6 17 2 38" xfId="11856"/>
    <cellStyle name="20% - Accent6 17 2 39" xfId="11857"/>
    <cellStyle name="20% - Accent6 17 2 4" xfId="11858"/>
    <cellStyle name="20% - Accent6 17 2 40" xfId="11859"/>
    <cellStyle name="20% - Accent6 17 2 41" xfId="11860"/>
    <cellStyle name="20% - Accent6 17 2 42" xfId="11861"/>
    <cellStyle name="20% - Accent6 17 2 43" xfId="11862"/>
    <cellStyle name="20% - Accent6 17 2 44" xfId="11863"/>
    <cellStyle name="20% - Accent6 17 2 45" xfId="11864"/>
    <cellStyle name="20% - Accent6 17 2 46" xfId="11865"/>
    <cellStyle name="20% - Accent6 17 2 47" xfId="11866"/>
    <cellStyle name="20% - Accent6 17 2 48" xfId="11867"/>
    <cellStyle name="20% - Accent6 17 2 49" xfId="11868"/>
    <cellStyle name="20% - Accent6 17 2 5" xfId="11869"/>
    <cellStyle name="20% - Accent6 17 2 50" xfId="11870"/>
    <cellStyle name="20% - Accent6 17 2 51" xfId="11871"/>
    <cellStyle name="20% - Accent6 17 2 52" xfId="11872"/>
    <cellStyle name="20% - Accent6 17 2 53" xfId="11873"/>
    <cellStyle name="20% - Accent6 17 2 54" xfId="11874"/>
    <cellStyle name="20% - Accent6 17 2 55" xfId="11875"/>
    <cellStyle name="20% - Accent6 17 2 6" xfId="11876"/>
    <cellStyle name="20% - Accent6 17 2 7" xfId="11877"/>
    <cellStyle name="20% - Accent6 17 2 8" xfId="11878"/>
    <cellStyle name="20% - Accent6 17 2 9" xfId="11879"/>
    <cellStyle name="20% - Accent6 17 3" xfId="11880"/>
    <cellStyle name="20% - Accent6 17 3 10" xfId="11881"/>
    <cellStyle name="20% - Accent6 17 3 11" xfId="11882"/>
    <cellStyle name="20% - Accent6 17 3 12" xfId="11883"/>
    <cellStyle name="20% - Accent6 17 3 13" xfId="11884"/>
    <cellStyle name="20% - Accent6 17 3 14" xfId="11885"/>
    <cellStyle name="20% - Accent6 17 3 15" xfId="11886"/>
    <cellStyle name="20% - Accent6 17 3 16" xfId="11887"/>
    <cellStyle name="20% - Accent6 17 3 17" xfId="11888"/>
    <cellStyle name="20% - Accent6 17 3 18" xfId="11889"/>
    <cellStyle name="20% - Accent6 17 3 19" xfId="11890"/>
    <cellStyle name="20% - Accent6 17 3 2" xfId="11891"/>
    <cellStyle name="20% - Accent6 17 3 2 2" xfId="11892"/>
    <cellStyle name="20% - Accent6 17 3 20" xfId="11893"/>
    <cellStyle name="20% - Accent6 17 3 21" xfId="11894"/>
    <cellStyle name="20% - Accent6 17 3 22" xfId="11895"/>
    <cellStyle name="20% - Accent6 17 3 23" xfId="11896"/>
    <cellStyle name="20% - Accent6 17 3 24" xfId="11897"/>
    <cellStyle name="20% - Accent6 17 3 25" xfId="11898"/>
    <cellStyle name="20% - Accent6 17 3 26" xfId="11899"/>
    <cellStyle name="20% - Accent6 17 3 27" xfId="11900"/>
    <cellStyle name="20% - Accent6 17 3 28" xfId="11901"/>
    <cellStyle name="20% - Accent6 17 3 29" xfId="11902"/>
    <cellStyle name="20% - Accent6 17 3 3" xfId="11903"/>
    <cellStyle name="20% - Accent6 17 3 30" xfId="11904"/>
    <cellStyle name="20% - Accent6 17 3 31" xfId="11905"/>
    <cellStyle name="20% - Accent6 17 3 32" xfId="11906"/>
    <cellStyle name="20% - Accent6 17 3 33" xfId="11907"/>
    <cellStyle name="20% - Accent6 17 3 34" xfId="11908"/>
    <cellStyle name="20% - Accent6 17 3 35" xfId="11909"/>
    <cellStyle name="20% - Accent6 17 3 36" xfId="11910"/>
    <cellStyle name="20% - Accent6 17 3 37" xfId="11911"/>
    <cellStyle name="20% - Accent6 17 3 38" xfId="11912"/>
    <cellStyle name="20% - Accent6 17 3 39" xfId="11913"/>
    <cellStyle name="20% - Accent6 17 3 4" xfId="11914"/>
    <cellStyle name="20% - Accent6 17 3 40" xfId="11915"/>
    <cellStyle name="20% - Accent6 17 3 41" xfId="11916"/>
    <cellStyle name="20% - Accent6 17 3 42" xfId="11917"/>
    <cellStyle name="20% - Accent6 17 3 43" xfId="11918"/>
    <cellStyle name="20% - Accent6 17 3 44" xfId="11919"/>
    <cellStyle name="20% - Accent6 17 3 45" xfId="11920"/>
    <cellStyle name="20% - Accent6 17 3 46" xfId="11921"/>
    <cellStyle name="20% - Accent6 17 3 47" xfId="11922"/>
    <cellStyle name="20% - Accent6 17 3 48" xfId="11923"/>
    <cellStyle name="20% - Accent6 17 3 49" xfId="11924"/>
    <cellStyle name="20% - Accent6 17 3 5" xfId="11925"/>
    <cellStyle name="20% - Accent6 17 3 50" xfId="11926"/>
    <cellStyle name="20% - Accent6 17 3 51" xfId="11927"/>
    <cellStyle name="20% - Accent6 17 3 52" xfId="11928"/>
    <cellStyle name="20% - Accent6 17 3 53" xfId="11929"/>
    <cellStyle name="20% - Accent6 17 3 54" xfId="11930"/>
    <cellStyle name="20% - Accent6 17 3 55" xfId="11931"/>
    <cellStyle name="20% - Accent6 17 3 6" xfId="11932"/>
    <cellStyle name="20% - Accent6 17 3 7" xfId="11933"/>
    <cellStyle name="20% - Accent6 17 3 8" xfId="11934"/>
    <cellStyle name="20% - Accent6 17 3 9" xfId="11935"/>
    <cellStyle name="20% - Accent6 18" xfId="11936"/>
    <cellStyle name="20% - Accent6 18 2" xfId="11937"/>
    <cellStyle name="20% - Accent6 18 2 10" xfId="11938"/>
    <cellStyle name="20% - Accent6 18 2 11" xfId="11939"/>
    <cellStyle name="20% - Accent6 18 2 12" xfId="11940"/>
    <cellStyle name="20% - Accent6 18 2 13" xfId="11941"/>
    <cellStyle name="20% - Accent6 18 2 14" xfId="11942"/>
    <cellStyle name="20% - Accent6 18 2 15" xfId="11943"/>
    <cellStyle name="20% - Accent6 18 2 16" xfId="11944"/>
    <cellStyle name="20% - Accent6 18 2 17" xfId="11945"/>
    <cellStyle name="20% - Accent6 18 2 18" xfId="11946"/>
    <cellStyle name="20% - Accent6 18 2 19" xfId="11947"/>
    <cellStyle name="20% - Accent6 18 2 2" xfId="11948"/>
    <cellStyle name="20% - Accent6 18 2 2 2" xfId="11949"/>
    <cellStyle name="20% - Accent6 18 2 20" xfId="11950"/>
    <cellStyle name="20% - Accent6 18 2 21" xfId="11951"/>
    <cellStyle name="20% - Accent6 18 2 22" xfId="11952"/>
    <cellStyle name="20% - Accent6 18 2 23" xfId="11953"/>
    <cellStyle name="20% - Accent6 18 2 24" xfId="11954"/>
    <cellStyle name="20% - Accent6 18 2 25" xfId="11955"/>
    <cellStyle name="20% - Accent6 18 2 26" xfId="11956"/>
    <cellStyle name="20% - Accent6 18 2 27" xfId="11957"/>
    <cellStyle name="20% - Accent6 18 2 28" xfId="11958"/>
    <cellStyle name="20% - Accent6 18 2 29" xfId="11959"/>
    <cellStyle name="20% - Accent6 18 2 3" xfId="11960"/>
    <cellStyle name="20% - Accent6 18 2 30" xfId="11961"/>
    <cellStyle name="20% - Accent6 18 2 31" xfId="11962"/>
    <cellStyle name="20% - Accent6 18 2 32" xfId="11963"/>
    <cellStyle name="20% - Accent6 18 2 33" xfId="11964"/>
    <cellStyle name="20% - Accent6 18 2 34" xfId="11965"/>
    <cellStyle name="20% - Accent6 18 2 35" xfId="11966"/>
    <cellStyle name="20% - Accent6 18 2 36" xfId="11967"/>
    <cellStyle name="20% - Accent6 18 2 37" xfId="11968"/>
    <cellStyle name="20% - Accent6 18 2 38" xfId="11969"/>
    <cellStyle name="20% - Accent6 18 2 39" xfId="11970"/>
    <cellStyle name="20% - Accent6 18 2 4" xfId="11971"/>
    <cellStyle name="20% - Accent6 18 2 40" xfId="11972"/>
    <cellStyle name="20% - Accent6 18 2 41" xfId="11973"/>
    <cellStyle name="20% - Accent6 18 2 42" xfId="11974"/>
    <cellStyle name="20% - Accent6 18 2 43" xfId="11975"/>
    <cellStyle name="20% - Accent6 18 2 44" xfId="11976"/>
    <cellStyle name="20% - Accent6 18 2 45" xfId="11977"/>
    <cellStyle name="20% - Accent6 18 2 46" xfId="11978"/>
    <cellStyle name="20% - Accent6 18 2 47" xfId="11979"/>
    <cellStyle name="20% - Accent6 18 2 48" xfId="11980"/>
    <cellStyle name="20% - Accent6 18 2 49" xfId="11981"/>
    <cellStyle name="20% - Accent6 18 2 5" xfId="11982"/>
    <cellStyle name="20% - Accent6 18 2 50" xfId="11983"/>
    <cellStyle name="20% - Accent6 18 2 51" xfId="11984"/>
    <cellStyle name="20% - Accent6 18 2 52" xfId="11985"/>
    <cellStyle name="20% - Accent6 18 2 53" xfId="11986"/>
    <cellStyle name="20% - Accent6 18 2 54" xfId="11987"/>
    <cellStyle name="20% - Accent6 18 2 55" xfId="11988"/>
    <cellStyle name="20% - Accent6 18 2 6" xfId="11989"/>
    <cellStyle name="20% - Accent6 18 2 7" xfId="11990"/>
    <cellStyle name="20% - Accent6 18 2 8" xfId="11991"/>
    <cellStyle name="20% - Accent6 18 2 9" xfId="11992"/>
    <cellStyle name="20% - Accent6 18 3" xfId="11993"/>
    <cellStyle name="20% - Accent6 18 3 10" xfId="11994"/>
    <cellStyle name="20% - Accent6 18 3 11" xfId="11995"/>
    <cellStyle name="20% - Accent6 18 3 12" xfId="11996"/>
    <cellStyle name="20% - Accent6 18 3 13" xfId="11997"/>
    <cellStyle name="20% - Accent6 18 3 14" xfId="11998"/>
    <cellStyle name="20% - Accent6 18 3 15" xfId="11999"/>
    <cellStyle name="20% - Accent6 18 3 16" xfId="12000"/>
    <cellStyle name="20% - Accent6 18 3 17" xfId="12001"/>
    <cellStyle name="20% - Accent6 18 3 18" xfId="12002"/>
    <cellStyle name="20% - Accent6 18 3 19" xfId="12003"/>
    <cellStyle name="20% - Accent6 18 3 2" xfId="12004"/>
    <cellStyle name="20% - Accent6 18 3 2 2" xfId="12005"/>
    <cellStyle name="20% - Accent6 18 3 20" xfId="12006"/>
    <cellStyle name="20% - Accent6 18 3 21" xfId="12007"/>
    <cellStyle name="20% - Accent6 18 3 22" xfId="12008"/>
    <cellStyle name="20% - Accent6 18 3 23" xfId="12009"/>
    <cellStyle name="20% - Accent6 18 3 24" xfId="12010"/>
    <cellStyle name="20% - Accent6 18 3 25" xfId="12011"/>
    <cellStyle name="20% - Accent6 18 3 26" xfId="12012"/>
    <cellStyle name="20% - Accent6 18 3 27" xfId="12013"/>
    <cellStyle name="20% - Accent6 18 3 28" xfId="12014"/>
    <cellStyle name="20% - Accent6 18 3 29" xfId="12015"/>
    <cellStyle name="20% - Accent6 18 3 3" xfId="12016"/>
    <cellStyle name="20% - Accent6 18 3 30" xfId="12017"/>
    <cellStyle name="20% - Accent6 18 3 31" xfId="12018"/>
    <cellStyle name="20% - Accent6 18 3 32" xfId="12019"/>
    <cellStyle name="20% - Accent6 18 3 33" xfId="12020"/>
    <cellStyle name="20% - Accent6 18 3 34" xfId="12021"/>
    <cellStyle name="20% - Accent6 18 3 35" xfId="12022"/>
    <cellStyle name="20% - Accent6 18 3 36" xfId="12023"/>
    <cellStyle name="20% - Accent6 18 3 37" xfId="12024"/>
    <cellStyle name="20% - Accent6 18 3 38" xfId="12025"/>
    <cellStyle name="20% - Accent6 18 3 39" xfId="12026"/>
    <cellStyle name="20% - Accent6 18 3 4" xfId="12027"/>
    <cellStyle name="20% - Accent6 18 3 40" xfId="12028"/>
    <cellStyle name="20% - Accent6 18 3 41" xfId="12029"/>
    <cellStyle name="20% - Accent6 18 3 42" xfId="12030"/>
    <cellStyle name="20% - Accent6 18 3 43" xfId="12031"/>
    <cellStyle name="20% - Accent6 18 3 44" xfId="12032"/>
    <cellStyle name="20% - Accent6 18 3 45" xfId="12033"/>
    <cellStyle name="20% - Accent6 18 3 46" xfId="12034"/>
    <cellStyle name="20% - Accent6 18 3 47" xfId="12035"/>
    <cellStyle name="20% - Accent6 18 3 48" xfId="12036"/>
    <cellStyle name="20% - Accent6 18 3 49" xfId="12037"/>
    <cellStyle name="20% - Accent6 18 3 5" xfId="12038"/>
    <cellStyle name="20% - Accent6 18 3 50" xfId="12039"/>
    <cellStyle name="20% - Accent6 18 3 51" xfId="12040"/>
    <cellStyle name="20% - Accent6 18 3 52" xfId="12041"/>
    <cellStyle name="20% - Accent6 18 3 53" xfId="12042"/>
    <cellStyle name="20% - Accent6 18 3 54" xfId="12043"/>
    <cellStyle name="20% - Accent6 18 3 55" xfId="12044"/>
    <cellStyle name="20% - Accent6 18 3 6" xfId="12045"/>
    <cellStyle name="20% - Accent6 18 3 7" xfId="12046"/>
    <cellStyle name="20% - Accent6 18 3 8" xfId="12047"/>
    <cellStyle name="20% - Accent6 18 3 9" xfId="12048"/>
    <cellStyle name="20% - Accent6 19" xfId="12049"/>
    <cellStyle name="20% - Accent6 2" xfId="12050"/>
    <cellStyle name="20% - Accent6 2 2" xfId="12051"/>
    <cellStyle name="20% - Accent6 2 2 2" xfId="12052"/>
    <cellStyle name="20% - Accent6 2 2 2 10" xfId="12053"/>
    <cellStyle name="20% - Accent6 2 2 2 11" xfId="12054"/>
    <cellStyle name="20% - Accent6 2 2 2 12" xfId="12055"/>
    <cellStyle name="20% - Accent6 2 2 2 13" xfId="12056"/>
    <cellStyle name="20% - Accent6 2 2 2 14" xfId="12057"/>
    <cellStyle name="20% - Accent6 2 2 2 15" xfId="12058"/>
    <cellStyle name="20% - Accent6 2 2 2 16" xfId="12059"/>
    <cellStyle name="20% - Accent6 2 2 2 17" xfId="12060"/>
    <cellStyle name="20% - Accent6 2 2 2 18" xfId="12061"/>
    <cellStyle name="20% - Accent6 2 2 2 19" xfId="12062"/>
    <cellStyle name="20% - Accent6 2 2 2 2" xfId="12063"/>
    <cellStyle name="20% - Accent6 2 2 2 2 2" xfId="12064"/>
    <cellStyle name="20% - Accent6 2 2 2 20" xfId="12065"/>
    <cellStyle name="20% - Accent6 2 2 2 21" xfId="12066"/>
    <cellStyle name="20% - Accent6 2 2 2 22" xfId="12067"/>
    <cellStyle name="20% - Accent6 2 2 2 23" xfId="12068"/>
    <cellStyle name="20% - Accent6 2 2 2 24" xfId="12069"/>
    <cellStyle name="20% - Accent6 2 2 2 25" xfId="12070"/>
    <cellStyle name="20% - Accent6 2 2 2 26" xfId="12071"/>
    <cellStyle name="20% - Accent6 2 2 2 27" xfId="12072"/>
    <cellStyle name="20% - Accent6 2 2 2 28" xfId="12073"/>
    <cellStyle name="20% - Accent6 2 2 2 29" xfId="12074"/>
    <cellStyle name="20% - Accent6 2 2 2 3" xfId="12075"/>
    <cellStyle name="20% - Accent6 2 2 2 30" xfId="12076"/>
    <cellStyle name="20% - Accent6 2 2 2 31" xfId="12077"/>
    <cellStyle name="20% - Accent6 2 2 2 32" xfId="12078"/>
    <cellStyle name="20% - Accent6 2 2 2 33" xfId="12079"/>
    <cellStyle name="20% - Accent6 2 2 2 34" xfId="12080"/>
    <cellStyle name="20% - Accent6 2 2 2 35" xfId="12081"/>
    <cellStyle name="20% - Accent6 2 2 2 36" xfId="12082"/>
    <cellStyle name="20% - Accent6 2 2 2 37" xfId="12083"/>
    <cellStyle name="20% - Accent6 2 2 2 38" xfId="12084"/>
    <cellStyle name="20% - Accent6 2 2 2 39" xfId="12085"/>
    <cellStyle name="20% - Accent6 2 2 2 4" xfId="12086"/>
    <cellStyle name="20% - Accent6 2 2 2 40" xfId="12087"/>
    <cellStyle name="20% - Accent6 2 2 2 41" xfId="12088"/>
    <cellStyle name="20% - Accent6 2 2 2 42" xfId="12089"/>
    <cellStyle name="20% - Accent6 2 2 2 43" xfId="12090"/>
    <cellStyle name="20% - Accent6 2 2 2 44" xfId="12091"/>
    <cellStyle name="20% - Accent6 2 2 2 45" xfId="12092"/>
    <cellStyle name="20% - Accent6 2 2 2 46" xfId="12093"/>
    <cellStyle name="20% - Accent6 2 2 2 47" xfId="12094"/>
    <cellStyle name="20% - Accent6 2 2 2 48" xfId="12095"/>
    <cellStyle name="20% - Accent6 2 2 2 49" xfId="12096"/>
    <cellStyle name="20% - Accent6 2 2 2 5" xfId="12097"/>
    <cellStyle name="20% - Accent6 2 2 2 50" xfId="12098"/>
    <cellStyle name="20% - Accent6 2 2 2 51" xfId="12099"/>
    <cellStyle name="20% - Accent6 2 2 2 52" xfId="12100"/>
    <cellStyle name="20% - Accent6 2 2 2 53" xfId="12101"/>
    <cellStyle name="20% - Accent6 2 2 2 54" xfId="12102"/>
    <cellStyle name="20% - Accent6 2 2 2 55" xfId="12103"/>
    <cellStyle name="20% - Accent6 2 2 2 6" xfId="12104"/>
    <cellStyle name="20% - Accent6 2 2 2 7" xfId="12105"/>
    <cellStyle name="20% - Accent6 2 2 2 8" xfId="12106"/>
    <cellStyle name="20% - Accent6 2 2 2 9" xfId="12107"/>
    <cellStyle name="20% - Accent6 2 2 2_PM Okt 2014 Plan VS Actual Planning Workshop" xfId="12108"/>
    <cellStyle name="20% - Accent6 2 2 3" xfId="12109"/>
    <cellStyle name="20% - Accent6 2 2 3 10" xfId="12110"/>
    <cellStyle name="20% - Accent6 2 2 3 11" xfId="12111"/>
    <cellStyle name="20% - Accent6 2 2 3 12" xfId="12112"/>
    <cellStyle name="20% - Accent6 2 2 3 13" xfId="12113"/>
    <cellStyle name="20% - Accent6 2 2 3 14" xfId="12114"/>
    <cellStyle name="20% - Accent6 2 2 3 15" xfId="12115"/>
    <cellStyle name="20% - Accent6 2 2 3 16" xfId="12116"/>
    <cellStyle name="20% - Accent6 2 2 3 17" xfId="12117"/>
    <cellStyle name="20% - Accent6 2 2 3 18" xfId="12118"/>
    <cellStyle name="20% - Accent6 2 2 3 19" xfId="12119"/>
    <cellStyle name="20% - Accent6 2 2 3 2" xfId="12120"/>
    <cellStyle name="20% - Accent6 2 2 3 2 2" xfId="12121"/>
    <cellStyle name="20% - Accent6 2 2 3 20" xfId="12122"/>
    <cellStyle name="20% - Accent6 2 2 3 21" xfId="12123"/>
    <cellStyle name="20% - Accent6 2 2 3 22" xfId="12124"/>
    <cellStyle name="20% - Accent6 2 2 3 23" xfId="12125"/>
    <cellStyle name="20% - Accent6 2 2 3 24" xfId="12126"/>
    <cellStyle name="20% - Accent6 2 2 3 25" xfId="12127"/>
    <cellStyle name="20% - Accent6 2 2 3 26" xfId="12128"/>
    <cellStyle name="20% - Accent6 2 2 3 27" xfId="12129"/>
    <cellStyle name="20% - Accent6 2 2 3 28" xfId="12130"/>
    <cellStyle name="20% - Accent6 2 2 3 29" xfId="12131"/>
    <cellStyle name="20% - Accent6 2 2 3 3" xfId="12132"/>
    <cellStyle name="20% - Accent6 2 2 3 30" xfId="12133"/>
    <cellStyle name="20% - Accent6 2 2 3 31" xfId="12134"/>
    <cellStyle name="20% - Accent6 2 2 3 32" xfId="12135"/>
    <cellStyle name="20% - Accent6 2 2 3 33" xfId="12136"/>
    <cellStyle name="20% - Accent6 2 2 3 34" xfId="12137"/>
    <cellStyle name="20% - Accent6 2 2 3 35" xfId="12138"/>
    <cellStyle name="20% - Accent6 2 2 3 36" xfId="12139"/>
    <cellStyle name="20% - Accent6 2 2 3 37" xfId="12140"/>
    <cellStyle name="20% - Accent6 2 2 3 38" xfId="12141"/>
    <cellStyle name="20% - Accent6 2 2 3 39" xfId="12142"/>
    <cellStyle name="20% - Accent6 2 2 3 4" xfId="12143"/>
    <cellStyle name="20% - Accent6 2 2 3 40" xfId="12144"/>
    <cellStyle name="20% - Accent6 2 2 3 41" xfId="12145"/>
    <cellStyle name="20% - Accent6 2 2 3 42" xfId="12146"/>
    <cellStyle name="20% - Accent6 2 2 3 43" xfId="12147"/>
    <cellStyle name="20% - Accent6 2 2 3 44" xfId="12148"/>
    <cellStyle name="20% - Accent6 2 2 3 45" xfId="12149"/>
    <cellStyle name="20% - Accent6 2 2 3 46" xfId="12150"/>
    <cellStyle name="20% - Accent6 2 2 3 47" xfId="12151"/>
    <cellStyle name="20% - Accent6 2 2 3 48" xfId="12152"/>
    <cellStyle name="20% - Accent6 2 2 3 49" xfId="12153"/>
    <cellStyle name="20% - Accent6 2 2 3 5" xfId="12154"/>
    <cellStyle name="20% - Accent6 2 2 3 50" xfId="12155"/>
    <cellStyle name="20% - Accent6 2 2 3 51" xfId="12156"/>
    <cellStyle name="20% - Accent6 2 2 3 52" xfId="12157"/>
    <cellStyle name="20% - Accent6 2 2 3 53" xfId="12158"/>
    <cellStyle name="20% - Accent6 2 2 3 54" xfId="12159"/>
    <cellStyle name="20% - Accent6 2 2 3 55" xfId="12160"/>
    <cellStyle name="20% - Accent6 2 2 3 6" xfId="12161"/>
    <cellStyle name="20% - Accent6 2 2 3 7" xfId="12162"/>
    <cellStyle name="20% - Accent6 2 2 3 8" xfId="12163"/>
    <cellStyle name="20% - Accent6 2 2 3 9" xfId="12164"/>
    <cellStyle name="20% - Accent6 2 2_Format Template Preventive Maintenance" xfId="12165"/>
    <cellStyle name="20% - Accent6 2 3" xfId="12166"/>
    <cellStyle name="20% - Accent6 2 3 10" xfId="12167"/>
    <cellStyle name="20% - Accent6 2 3 11" xfId="12168"/>
    <cellStyle name="20% - Accent6 2 3 12" xfId="12169"/>
    <cellStyle name="20% - Accent6 2 3 13" xfId="12170"/>
    <cellStyle name="20% - Accent6 2 3 14" xfId="12171"/>
    <cellStyle name="20% - Accent6 2 3 15" xfId="12172"/>
    <cellStyle name="20% - Accent6 2 3 16" xfId="12173"/>
    <cellStyle name="20% - Accent6 2 3 17" xfId="12174"/>
    <cellStyle name="20% - Accent6 2 3 18" xfId="12175"/>
    <cellStyle name="20% - Accent6 2 3 19" xfId="12176"/>
    <cellStyle name="20% - Accent6 2 3 2" xfId="12177"/>
    <cellStyle name="20% - Accent6 2 3 2 2" xfId="12178"/>
    <cellStyle name="20% - Accent6 2 3 2_PM Okt 2014 Plan VS Actual Planning Workshop" xfId="12179"/>
    <cellStyle name="20% - Accent6 2 3 20" xfId="12180"/>
    <cellStyle name="20% - Accent6 2 3 21" xfId="12181"/>
    <cellStyle name="20% - Accent6 2 3 22" xfId="12182"/>
    <cellStyle name="20% - Accent6 2 3 23" xfId="12183"/>
    <cellStyle name="20% - Accent6 2 3 24" xfId="12184"/>
    <cellStyle name="20% - Accent6 2 3 25" xfId="12185"/>
    <cellStyle name="20% - Accent6 2 3 26" xfId="12186"/>
    <cellStyle name="20% - Accent6 2 3 27" xfId="12187"/>
    <cellStyle name="20% - Accent6 2 3 28" xfId="12188"/>
    <cellStyle name="20% - Accent6 2 3 29" xfId="12189"/>
    <cellStyle name="20% - Accent6 2 3 3" xfId="12190"/>
    <cellStyle name="20% - Accent6 2 3 30" xfId="12191"/>
    <cellStyle name="20% - Accent6 2 3 31" xfId="12192"/>
    <cellStyle name="20% - Accent6 2 3 32" xfId="12193"/>
    <cellStyle name="20% - Accent6 2 3 33" xfId="12194"/>
    <cellStyle name="20% - Accent6 2 3 34" xfId="12195"/>
    <cellStyle name="20% - Accent6 2 3 35" xfId="12196"/>
    <cellStyle name="20% - Accent6 2 3 36" xfId="12197"/>
    <cellStyle name="20% - Accent6 2 3 37" xfId="12198"/>
    <cellStyle name="20% - Accent6 2 3 38" xfId="12199"/>
    <cellStyle name="20% - Accent6 2 3 39" xfId="12200"/>
    <cellStyle name="20% - Accent6 2 3 4" xfId="12201"/>
    <cellStyle name="20% - Accent6 2 3 40" xfId="12202"/>
    <cellStyle name="20% - Accent6 2 3 41" xfId="12203"/>
    <cellStyle name="20% - Accent6 2 3 42" xfId="12204"/>
    <cellStyle name="20% - Accent6 2 3 43" xfId="12205"/>
    <cellStyle name="20% - Accent6 2 3 44" xfId="12206"/>
    <cellStyle name="20% - Accent6 2 3 45" xfId="12207"/>
    <cellStyle name="20% - Accent6 2 3 46" xfId="12208"/>
    <cellStyle name="20% - Accent6 2 3 47" xfId="12209"/>
    <cellStyle name="20% - Accent6 2 3 48" xfId="12210"/>
    <cellStyle name="20% - Accent6 2 3 49" xfId="12211"/>
    <cellStyle name="20% - Accent6 2 3 5" xfId="12212"/>
    <cellStyle name="20% - Accent6 2 3 50" xfId="12213"/>
    <cellStyle name="20% - Accent6 2 3 51" xfId="12214"/>
    <cellStyle name="20% - Accent6 2 3 52" xfId="12215"/>
    <cellStyle name="20% - Accent6 2 3 53" xfId="12216"/>
    <cellStyle name="20% - Accent6 2 3 54" xfId="12217"/>
    <cellStyle name="20% - Accent6 2 3 55" xfId="12218"/>
    <cellStyle name="20% - Accent6 2 3 6" xfId="12219"/>
    <cellStyle name="20% - Accent6 2 3 7" xfId="12220"/>
    <cellStyle name="20% - Accent6 2 3 8" xfId="12221"/>
    <cellStyle name="20% - Accent6 2 3 9" xfId="12222"/>
    <cellStyle name="20% - Accent6 2 3_Format Template Preventive Maintenance" xfId="12223"/>
    <cellStyle name="20% - Accent6 2 4" xfId="12224"/>
    <cellStyle name="20% - Accent6 2 4 2" xfId="12225"/>
    <cellStyle name="20% - Accent6 2 5" xfId="12226"/>
    <cellStyle name="20% - Accent6 2_Asset monitoring board" xfId="12227"/>
    <cellStyle name="20% - Accent6 3" xfId="12228"/>
    <cellStyle name="20% - Accent6 3 2" xfId="12229"/>
    <cellStyle name="20% - Accent6 3 2 10" xfId="12230"/>
    <cellStyle name="20% - Accent6 3 2 11" xfId="12231"/>
    <cellStyle name="20% - Accent6 3 2 12" xfId="12232"/>
    <cellStyle name="20% - Accent6 3 2 13" xfId="12233"/>
    <cellStyle name="20% - Accent6 3 2 14" xfId="12234"/>
    <cellStyle name="20% - Accent6 3 2 15" xfId="12235"/>
    <cellStyle name="20% - Accent6 3 2 16" xfId="12236"/>
    <cellStyle name="20% - Accent6 3 2 17" xfId="12237"/>
    <cellStyle name="20% - Accent6 3 2 18" xfId="12238"/>
    <cellStyle name="20% - Accent6 3 2 19" xfId="12239"/>
    <cellStyle name="20% - Accent6 3 2 2" xfId="12240"/>
    <cellStyle name="20% - Accent6 3 2 2 2" xfId="12241"/>
    <cellStyle name="20% - Accent6 3 2 20" xfId="12242"/>
    <cellStyle name="20% - Accent6 3 2 21" xfId="12243"/>
    <cellStyle name="20% - Accent6 3 2 22" xfId="12244"/>
    <cellStyle name="20% - Accent6 3 2 23" xfId="12245"/>
    <cellStyle name="20% - Accent6 3 2 24" xfId="12246"/>
    <cellStyle name="20% - Accent6 3 2 25" xfId="12247"/>
    <cellStyle name="20% - Accent6 3 2 26" xfId="12248"/>
    <cellStyle name="20% - Accent6 3 2 27" xfId="12249"/>
    <cellStyle name="20% - Accent6 3 2 28" xfId="12250"/>
    <cellStyle name="20% - Accent6 3 2 29" xfId="12251"/>
    <cellStyle name="20% - Accent6 3 2 3" xfId="12252"/>
    <cellStyle name="20% - Accent6 3 2 30" xfId="12253"/>
    <cellStyle name="20% - Accent6 3 2 31" xfId="12254"/>
    <cellStyle name="20% - Accent6 3 2 32" xfId="12255"/>
    <cellStyle name="20% - Accent6 3 2 33" xfId="12256"/>
    <cellStyle name="20% - Accent6 3 2 34" xfId="12257"/>
    <cellStyle name="20% - Accent6 3 2 35" xfId="12258"/>
    <cellStyle name="20% - Accent6 3 2 36" xfId="12259"/>
    <cellStyle name="20% - Accent6 3 2 37" xfId="12260"/>
    <cellStyle name="20% - Accent6 3 2 38" xfId="12261"/>
    <cellStyle name="20% - Accent6 3 2 39" xfId="12262"/>
    <cellStyle name="20% - Accent6 3 2 4" xfId="12263"/>
    <cellStyle name="20% - Accent6 3 2 40" xfId="12264"/>
    <cellStyle name="20% - Accent6 3 2 41" xfId="12265"/>
    <cellStyle name="20% - Accent6 3 2 42" xfId="12266"/>
    <cellStyle name="20% - Accent6 3 2 43" xfId="12267"/>
    <cellStyle name="20% - Accent6 3 2 44" xfId="12268"/>
    <cellStyle name="20% - Accent6 3 2 45" xfId="12269"/>
    <cellStyle name="20% - Accent6 3 2 46" xfId="12270"/>
    <cellStyle name="20% - Accent6 3 2 47" xfId="12271"/>
    <cellStyle name="20% - Accent6 3 2 48" xfId="12272"/>
    <cellStyle name="20% - Accent6 3 2 49" xfId="12273"/>
    <cellStyle name="20% - Accent6 3 2 5" xfId="12274"/>
    <cellStyle name="20% - Accent6 3 2 50" xfId="12275"/>
    <cellStyle name="20% - Accent6 3 2 51" xfId="12276"/>
    <cellStyle name="20% - Accent6 3 2 52" xfId="12277"/>
    <cellStyle name="20% - Accent6 3 2 53" xfId="12278"/>
    <cellStyle name="20% - Accent6 3 2 54" xfId="12279"/>
    <cellStyle name="20% - Accent6 3 2 55" xfId="12280"/>
    <cellStyle name="20% - Accent6 3 2 6" xfId="12281"/>
    <cellStyle name="20% - Accent6 3 2 7" xfId="12282"/>
    <cellStyle name="20% - Accent6 3 2 8" xfId="12283"/>
    <cellStyle name="20% - Accent6 3 2 9" xfId="12284"/>
    <cellStyle name="20% - Accent6 3 3" xfId="12285"/>
    <cellStyle name="20% - Accent6 3 3 10" xfId="12286"/>
    <cellStyle name="20% - Accent6 3 3 11" xfId="12287"/>
    <cellStyle name="20% - Accent6 3 3 12" xfId="12288"/>
    <cellStyle name="20% - Accent6 3 3 13" xfId="12289"/>
    <cellStyle name="20% - Accent6 3 3 14" xfId="12290"/>
    <cellStyle name="20% - Accent6 3 3 15" xfId="12291"/>
    <cellStyle name="20% - Accent6 3 3 16" xfId="12292"/>
    <cellStyle name="20% - Accent6 3 3 17" xfId="12293"/>
    <cellStyle name="20% - Accent6 3 3 18" xfId="12294"/>
    <cellStyle name="20% - Accent6 3 3 19" xfId="12295"/>
    <cellStyle name="20% - Accent6 3 3 2" xfId="12296"/>
    <cellStyle name="20% - Accent6 3 3 2 2" xfId="12297"/>
    <cellStyle name="20% - Accent6 3 3 20" xfId="12298"/>
    <cellStyle name="20% - Accent6 3 3 21" xfId="12299"/>
    <cellStyle name="20% - Accent6 3 3 22" xfId="12300"/>
    <cellStyle name="20% - Accent6 3 3 23" xfId="12301"/>
    <cellStyle name="20% - Accent6 3 3 24" xfId="12302"/>
    <cellStyle name="20% - Accent6 3 3 25" xfId="12303"/>
    <cellStyle name="20% - Accent6 3 3 26" xfId="12304"/>
    <cellStyle name="20% - Accent6 3 3 27" xfId="12305"/>
    <cellStyle name="20% - Accent6 3 3 28" xfId="12306"/>
    <cellStyle name="20% - Accent6 3 3 29" xfId="12307"/>
    <cellStyle name="20% - Accent6 3 3 3" xfId="12308"/>
    <cellStyle name="20% - Accent6 3 3 30" xfId="12309"/>
    <cellStyle name="20% - Accent6 3 3 31" xfId="12310"/>
    <cellStyle name="20% - Accent6 3 3 32" xfId="12311"/>
    <cellStyle name="20% - Accent6 3 3 33" xfId="12312"/>
    <cellStyle name="20% - Accent6 3 3 34" xfId="12313"/>
    <cellStyle name="20% - Accent6 3 3 35" xfId="12314"/>
    <cellStyle name="20% - Accent6 3 3 36" xfId="12315"/>
    <cellStyle name="20% - Accent6 3 3 37" xfId="12316"/>
    <cellStyle name="20% - Accent6 3 3 38" xfId="12317"/>
    <cellStyle name="20% - Accent6 3 3 39" xfId="12318"/>
    <cellStyle name="20% - Accent6 3 3 4" xfId="12319"/>
    <cellStyle name="20% - Accent6 3 3 40" xfId="12320"/>
    <cellStyle name="20% - Accent6 3 3 41" xfId="12321"/>
    <cellStyle name="20% - Accent6 3 3 42" xfId="12322"/>
    <cellStyle name="20% - Accent6 3 3 43" xfId="12323"/>
    <cellStyle name="20% - Accent6 3 3 44" xfId="12324"/>
    <cellStyle name="20% - Accent6 3 3 45" xfId="12325"/>
    <cellStyle name="20% - Accent6 3 3 46" xfId="12326"/>
    <cellStyle name="20% - Accent6 3 3 47" xfId="12327"/>
    <cellStyle name="20% - Accent6 3 3 48" xfId="12328"/>
    <cellStyle name="20% - Accent6 3 3 49" xfId="12329"/>
    <cellStyle name="20% - Accent6 3 3 5" xfId="12330"/>
    <cellStyle name="20% - Accent6 3 3 50" xfId="12331"/>
    <cellStyle name="20% - Accent6 3 3 51" xfId="12332"/>
    <cellStyle name="20% - Accent6 3 3 52" xfId="12333"/>
    <cellStyle name="20% - Accent6 3 3 53" xfId="12334"/>
    <cellStyle name="20% - Accent6 3 3 54" xfId="12335"/>
    <cellStyle name="20% - Accent6 3 3 55" xfId="12336"/>
    <cellStyle name="20% - Accent6 3 3 6" xfId="12337"/>
    <cellStyle name="20% - Accent6 3 3 7" xfId="12338"/>
    <cellStyle name="20% - Accent6 3 3 8" xfId="12339"/>
    <cellStyle name="20% - Accent6 3 3 9" xfId="12340"/>
    <cellStyle name="20% - Accent6 4" xfId="12341"/>
    <cellStyle name="20% - Accent6 4 2" xfId="12342"/>
    <cellStyle name="20% - Accent6 4 2 10" xfId="12343"/>
    <cellStyle name="20% - Accent6 4 2 11" xfId="12344"/>
    <cellStyle name="20% - Accent6 4 2 12" xfId="12345"/>
    <cellStyle name="20% - Accent6 4 2 13" xfId="12346"/>
    <cellStyle name="20% - Accent6 4 2 14" xfId="12347"/>
    <cellStyle name="20% - Accent6 4 2 15" xfId="12348"/>
    <cellStyle name="20% - Accent6 4 2 16" xfId="12349"/>
    <cellStyle name="20% - Accent6 4 2 17" xfId="12350"/>
    <cellStyle name="20% - Accent6 4 2 18" xfId="12351"/>
    <cellStyle name="20% - Accent6 4 2 19" xfId="12352"/>
    <cellStyle name="20% - Accent6 4 2 2" xfId="12353"/>
    <cellStyle name="20% - Accent6 4 2 2 2" xfId="12354"/>
    <cellStyle name="20% - Accent6 4 2 20" xfId="12355"/>
    <cellStyle name="20% - Accent6 4 2 21" xfId="12356"/>
    <cellStyle name="20% - Accent6 4 2 22" xfId="12357"/>
    <cellStyle name="20% - Accent6 4 2 23" xfId="12358"/>
    <cellStyle name="20% - Accent6 4 2 24" xfId="12359"/>
    <cellStyle name="20% - Accent6 4 2 25" xfId="12360"/>
    <cellStyle name="20% - Accent6 4 2 26" xfId="12361"/>
    <cellStyle name="20% - Accent6 4 2 27" xfId="12362"/>
    <cellStyle name="20% - Accent6 4 2 28" xfId="12363"/>
    <cellStyle name="20% - Accent6 4 2 29" xfId="12364"/>
    <cellStyle name="20% - Accent6 4 2 3" xfId="12365"/>
    <cellStyle name="20% - Accent6 4 2 30" xfId="12366"/>
    <cellStyle name="20% - Accent6 4 2 31" xfId="12367"/>
    <cellStyle name="20% - Accent6 4 2 32" xfId="12368"/>
    <cellStyle name="20% - Accent6 4 2 33" xfId="12369"/>
    <cellStyle name="20% - Accent6 4 2 34" xfId="12370"/>
    <cellStyle name="20% - Accent6 4 2 35" xfId="12371"/>
    <cellStyle name="20% - Accent6 4 2 36" xfId="12372"/>
    <cellStyle name="20% - Accent6 4 2 37" xfId="12373"/>
    <cellStyle name="20% - Accent6 4 2 38" xfId="12374"/>
    <cellStyle name="20% - Accent6 4 2 39" xfId="12375"/>
    <cellStyle name="20% - Accent6 4 2 4" xfId="12376"/>
    <cellStyle name="20% - Accent6 4 2 40" xfId="12377"/>
    <cellStyle name="20% - Accent6 4 2 41" xfId="12378"/>
    <cellStyle name="20% - Accent6 4 2 42" xfId="12379"/>
    <cellStyle name="20% - Accent6 4 2 43" xfId="12380"/>
    <cellStyle name="20% - Accent6 4 2 44" xfId="12381"/>
    <cellStyle name="20% - Accent6 4 2 45" xfId="12382"/>
    <cellStyle name="20% - Accent6 4 2 46" xfId="12383"/>
    <cellStyle name="20% - Accent6 4 2 47" xfId="12384"/>
    <cellStyle name="20% - Accent6 4 2 48" xfId="12385"/>
    <cellStyle name="20% - Accent6 4 2 49" xfId="12386"/>
    <cellStyle name="20% - Accent6 4 2 5" xfId="12387"/>
    <cellStyle name="20% - Accent6 4 2 50" xfId="12388"/>
    <cellStyle name="20% - Accent6 4 2 51" xfId="12389"/>
    <cellStyle name="20% - Accent6 4 2 52" xfId="12390"/>
    <cellStyle name="20% - Accent6 4 2 53" xfId="12391"/>
    <cellStyle name="20% - Accent6 4 2 54" xfId="12392"/>
    <cellStyle name="20% - Accent6 4 2 55" xfId="12393"/>
    <cellStyle name="20% - Accent6 4 2 6" xfId="12394"/>
    <cellStyle name="20% - Accent6 4 2 7" xfId="12395"/>
    <cellStyle name="20% - Accent6 4 2 8" xfId="12396"/>
    <cellStyle name="20% - Accent6 4 2 9" xfId="12397"/>
    <cellStyle name="20% - Accent6 4 3" xfId="12398"/>
    <cellStyle name="20% - Accent6 4 3 10" xfId="12399"/>
    <cellStyle name="20% - Accent6 4 3 11" xfId="12400"/>
    <cellStyle name="20% - Accent6 4 3 12" xfId="12401"/>
    <cellStyle name="20% - Accent6 4 3 13" xfId="12402"/>
    <cellStyle name="20% - Accent6 4 3 14" xfId="12403"/>
    <cellStyle name="20% - Accent6 4 3 15" xfId="12404"/>
    <cellStyle name="20% - Accent6 4 3 16" xfId="12405"/>
    <cellStyle name="20% - Accent6 4 3 17" xfId="12406"/>
    <cellStyle name="20% - Accent6 4 3 18" xfId="12407"/>
    <cellStyle name="20% - Accent6 4 3 19" xfId="12408"/>
    <cellStyle name="20% - Accent6 4 3 2" xfId="12409"/>
    <cellStyle name="20% - Accent6 4 3 2 2" xfId="12410"/>
    <cellStyle name="20% - Accent6 4 3 20" xfId="12411"/>
    <cellStyle name="20% - Accent6 4 3 21" xfId="12412"/>
    <cellStyle name="20% - Accent6 4 3 22" xfId="12413"/>
    <cellStyle name="20% - Accent6 4 3 23" xfId="12414"/>
    <cellStyle name="20% - Accent6 4 3 24" xfId="12415"/>
    <cellStyle name="20% - Accent6 4 3 25" xfId="12416"/>
    <cellStyle name="20% - Accent6 4 3 26" xfId="12417"/>
    <cellStyle name="20% - Accent6 4 3 27" xfId="12418"/>
    <cellStyle name="20% - Accent6 4 3 28" xfId="12419"/>
    <cellStyle name="20% - Accent6 4 3 29" xfId="12420"/>
    <cellStyle name="20% - Accent6 4 3 3" xfId="12421"/>
    <cellStyle name="20% - Accent6 4 3 30" xfId="12422"/>
    <cellStyle name="20% - Accent6 4 3 31" xfId="12423"/>
    <cellStyle name="20% - Accent6 4 3 32" xfId="12424"/>
    <cellStyle name="20% - Accent6 4 3 33" xfId="12425"/>
    <cellStyle name="20% - Accent6 4 3 34" xfId="12426"/>
    <cellStyle name="20% - Accent6 4 3 35" xfId="12427"/>
    <cellStyle name="20% - Accent6 4 3 36" xfId="12428"/>
    <cellStyle name="20% - Accent6 4 3 37" xfId="12429"/>
    <cellStyle name="20% - Accent6 4 3 38" xfId="12430"/>
    <cellStyle name="20% - Accent6 4 3 39" xfId="12431"/>
    <cellStyle name="20% - Accent6 4 3 4" xfId="12432"/>
    <cellStyle name="20% - Accent6 4 3 40" xfId="12433"/>
    <cellStyle name="20% - Accent6 4 3 41" xfId="12434"/>
    <cellStyle name="20% - Accent6 4 3 42" xfId="12435"/>
    <cellStyle name="20% - Accent6 4 3 43" xfId="12436"/>
    <cellStyle name="20% - Accent6 4 3 44" xfId="12437"/>
    <cellStyle name="20% - Accent6 4 3 45" xfId="12438"/>
    <cellStyle name="20% - Accent6 4 3 46" xfId="12439"/>
    <cellStyle name="20% - Accent6 4 3 47" xfId="12440"/>
    <cellStyle name="20% - Accent6 4 3 48" xfId="12441"/>
    <cellStyle name="20% - Accent6 4 3 49" xfId="12442"/>
    <cellStyle name="20% - Accent6 4 3 5" xfId="12443"/>
    <cellStyle name="20% - Accent6 4 3 50" xfId="12444"/>
    <cellStyle name="20% - Accent6 4 3 51" xfId="12445"/>
    <cellStyle name="20% - Accent6 4 3 52" xfId="12446"/>
    <cellStyle name="20% - Accent6 4 3 53" xfId="12447"/>
    <cellStyle name="20% - Accent6 4 3 54" xfId="12448"/>
    <cellStyle name="20% - Accent6 4 3 55" xfId="12449"/>
    <cellStyle name="20% - Accent6 4 3 6" xfId="12450"/>
    <cellStyle name="20% - Accent6 4 3 7" xfId="12451"/>
    <cellStyle name="20% - Accent6 4 3 8" xfId="12452"/>
    <cellStyle name="20% - Accent6 4 3 9" xfId="12453"/>
    <cellStyle name="20% - Accent6 4 4" xfId="58363"/>
    <cellStyle name="20% - Accent6 5" xfId="12454"/>
    <cellStyle name="20% - Accent6 5 2" xfId="12455"/>
    <cellStyle name="20% - Accent6 5 2 10" xfId="12456"/>
    <cellStyle name="20% - Accent6 5 2 11" xfId="12457"/>
    <cellStyle name="20% - Accent6 5 2 12" xfId="12458"/>
    <cellStyle name="20% - Accent6 5 2 13" xfId="12459"/>
    <cellStyle name="20% - Accent6 5 2 14" xfId="12460"/>
    <cellStyle name="20% - Accent6 5 2 15" xfId="12461"/>
    <cellStyle name="20% - Accent6 5 2 16" xfId="12462"/>
    <cellStyle name="20% - Accent6 5 2 17" xfId="12463"/>
    <cellStyle name="20% - Accent6 5 2 18" xfId="12464"/>
    <cellStyle name="20% - Accent6 5 2 19" xfId="12465"/>
    <cellStyle name="20% - Accent6 5 2 2" xfId="12466"/>
    <cellStyle name="20% - Accent6 5 2 2 2" xfId="12467"/>
    <cellStyle name="20% - Accent6 5 2 20" xfId="12468"/>
    <cellStyle name="20% - Accent6 5 2 21" xfId="12469"/>
    <cellStyle name="20% - Accent6 5 2 22" xfId="12470"/>
    <cellStyle name="20% - Accent6 5 2 23" xfId="12471"/>
    <cellStyle name="20% - Accent6 5 2 24" xfId="12472"/>
    <cellStyle name="20% - Accent6 5 2 25" xfId="12473"/>
    <cellStyle name="20% - Accent6 5 2 26" xfId="12474"/>
    <cellStyle name="20% - Accent6 5 2 27" xfId="12475"/>
    <cellStyle name="20% - Accent6 5 2 28" xfId="12476"/>
    <cellStyle name="20% - Accent6 5 2 29" xfId="12477"/>
    <cellStyle name="20% - Accent6 5 2 3" xfId="12478"/>
    <cellStyle name="20% - Accent6 5 2 30" xfId="12479"/>
    <cellStyle name="20% - Accent6 5 2 31" xfId="12480"/>
    <cellStyle name="20% - Accent6 5 2 32" xfId="12481"/>
    <cellStyle name="20% - Accent6 5 2 33" xfId="12482"/>
    <cellStyle name="20% - Accent6 5 2 34" xfId="12483"/>
    <cellStyle name="20% - Accent6 5 2 35" xfId="12484"/>
    <cellStyle name="20% - Accent6 5 2 36" xfId="12485"/>
    <cellStyle name="20% - Accent6 5 2 37" xfId="12486"/>
    <cellStyle name="20% - Accent6 5 2 38" xfId="12487"/>
    <cellStyle name="20% - Accent6 5 2 39" xfId="12488"/>
    <cellStyle name="20% - Accent6 5 2 4" xfId="12489"/>
    <cellStyle name="20% - Accent6 5 2 40" xfId="12490"/>
    <cellStyle name="20% - Accent6 5 2 41" xfId="12491"/>
    <cellStyle name="20% - Accent6 5 2 42" xfId="12492"/>
    <cellStyle name="20% - Accent6 5 2 43" xfId="12493"/>
    <cellStyle name="20% - Accent6 5 2 44" xfId="12494"/>
    <cellStyle name="20% - Accent6 5 2 45" xfId="12495"/>
    <cellStyle name="20% - Accent6 5 2 46" xfId="12496"/>
    <cellStyle name="20% - Accent6 5 2 47" xfId="12497"/>
    <cellStyle name="20% - Accent6 5 2 48" xfId="12498"/>
    <cellStyle name="20% - Accent6 5 2 49" xfId="12499"/>
    <cellStyle name="20% - Accent6 5 2 5" xfId="12500"/>
    <cellStyle name="20% - Accent6 5 2 50" xfId="12501"/>
    <cellStyle name="20% - Accent6 5 2 51" xfId="12502"/>
    <cellStyle name="20% - Accent6 5 2 52" xfId="12503"/>
    <cellStyle name="20% - Accent6 5 2 53" xfId="12504"/>
    <cellStyle name="20% - Accent6 5 2 54" xfId="12505"/>
    <cellStyle name="20% - Accent6 5 2 55" xfId="12506"/>
    <cellStyle name="20% - Accent6 5 2 6" xfId="12507"/>
    <cellStyle name="20% - Accent6 5 2 7" xfId="12508"/>
    <cellStyle name="20% - Accent6 5 2 8" xfId="12509"/>
    <cellStyle name="20% - Accent6 5 2 9" xfId="12510"/>
    <cellStyle name="20% - Accent6 5 3" xfId="12511"/>
    <cellStyle name="20% - Accent6 5 3 10" xfId="12512"/>
    <cellStyle name="20% - Accent6 5 3 11" xfId="12513"/>
    <cellStyle name="20% - Accent6 5 3 12" xfId="12514"/>
    <cellStyle name="20% - Accent6 5 3 13" xfId="12515"/>
    <cellStyle name="20% - Accent6 5 3 14" xfId="12516"/>
    <cellStyle name="20% - Accent6 5 3 15" xfId="12517"/>
    <cellStyle name="20% - Accent6 5 3 16" xfId="12518"/>
    <cellStyle name="20% - Accent6 5 3 17" xfId="12519"/>
    <cellStyle name="20% - Accent6 5 3 18" xfId="12520"/>
    <cellStyle name="20% - Accent6 5 3 19" xfId="12521"/>
    <cellStyle name="20% - Accent6 5 3 2" xfId="12522"/>
    <cellStyle name="20% - Accent6 5 3 2 2" xfId="12523"/>
    <cellStyle name="20% - Accent6 5 3 20" xfId="12524"/>
    <cellStyle name="20% - Accent6 5 3 21" xfId="12525"/>
    <cellStyle name="20% - Accent6 5 3 22" xfId="12526"/>
    <cellStyle name="20% - Accent6 5 3 23" xfId="12527"/>
    <cellStyle name="20% - Accent6 5 3 24" xfId="12528"/>
    <cellStyle name="20% - Accent6 5 3 25" xfId="12529"/>
    <cellStyle name="20% - Accent6 5 3 26" xfId="12530"/>
    <cellStyle name="20% - Accent6 5 3 27" xfId="12531"/>
    <cellStyle name="20% - Accent6 5 3 28" xfId="12532"/>
    <cellStyle name="20% - Accent6 5 3 29" xfId="12533"/>
    <cellStyle name="20% - Accent6 5 3 3" xfId="12534"/>
    <cellStyle name="20% - Accent6 5 3 30" xfId="12535"/>
    <cellStyle name="20% - Accent6 5 3 31" xfId="12536"/>
    <cellStyle name="20% - Accent6 5 3 32" xfId="12537"/>
    <cellStyle name="20% - Accent6 5 3 33" xfId="12538"/>
    <cellStyle name="20% - Accent6 5 3 34" xfId="12539"/>
    <cellStyle name="20% - Accent6 5 3 35" xfId="12540"/>
    <cellStyle name="20% - Accent6 5 3 36" xfId="12541"/>
    <cellStyle name="20% - Accent6 5 3 37" xfId="12542"/>
    <cellStyle name="20% - Accent6 5 3 38" xfId="12543"/>
    <cellStyle name="20% - Accent6 5 3 39" xfId="12544"/>
    <cellStyle name="20% - Accent6 5 3 4" xfId="12545"/>
    <cellStyle name="20% - Accent6 5 3 40" xfId="12546"/>
    <cellStyle name="20% - Accent6 5 3 41" xfId="12547"/>
    <cellStyle name="20% - Accent6 5 3 42" xfId="12548"/>
    <cellStyle name="20% - Accent6 5 3 43" xfId="12549"/>
    <cellStyle name="20% - Accent6 5 3 44" xfId="12550"/>
    <cellStyle name="20% - Accent6 5 3 45" xfId="12551"/>
    <cellStyle name="20% - Accent6 5 3 46" xfId="12552"/>
    <cellStyle name="20% - Accent6 5 3 47" xfId="12553"/>
    <cellStyle name="20% - Accent6 5 3 48" xfId="12554"/>
    <cellStyle name="20% - Accent6 5 3 49" xfId="12555"/>
    <cellStyle name="20% - Accent6 5 3 5" xfId="12556"/>
    <cellStyle name="20% - Accent6 5 3 50" xfId="12557"/>
    <cellStyle name="20% - Accent6 5 3 51" xfId="12558"/>
    <cellStyle name="20% - Accent6 5 3 52" xfId="12559"/>
    <cellStyle name="20% - Accent6 5 3 53" xfId="12560"/>
    <cellStyle name="20% - Accent6 5 3 54" xfId="12561"/>
    <cellStyle name="20% - Accent6 5 3 55" xfId="12562"/>
    <cellStyle name="20% - Accent6 5 3 6" xfId="12563"/>
    <cellStyle name="20% - Accent6 5 3 7" xfId="12564"/>
    <cellStyle name="20% - Accent6 5 3 8" xfId="12565"/>
    <cellStyle name="20% - Accent6 5 3 9" xfId="12566"/>
    <cellStyle name="20% - Accent6 6" xfId="12567"/>
    <cellStyle name="20% - Accent6 6 2" xfId="12568"/>
    <cellStyle name="20% - Accent6 6 2 10" xfId="12569"/>
    <cellStyle name="20% - Accent6 6 2 11" xfId="12570"/>
    <cellStyle name="20% - Accent6 6 2 12" xfId="12571"/>
    <cellStyle name="20% - Accent6 6 2 13" xfId="12572"/>
    <cellStyle name="20% - Accent6 6 2 14" xfId="12573"/>
    <cellStyle name="20% - Accent6 6 2 15" xfId="12574"/>
    <cellStyle name="20% - Accent6 6 2 16" xfId="12575"/>
    <cellStyle name="20% - Accent6 6 2 17" xfId="12576"/>
    <cellStyle name="20% - Accent6 6 2 18" xfId="12577"/>
    <cellStyle name="20% - Accent6 6 2 19" xfId="12578"/>
    <cellStyle name="20% - Accent6 6 2 2" xfId="12579"/>
    <cellStyle name="20% - Accent6 6 2 2 2" xfId="12580"/>
    <cellStyle name="20% - Accent6 6 2 20" xfId="12581"/>
    <cellStyle name="20% - Accent6 6 2 21" xfId="12582"/>
    <cellStyle name="20% - Accent6 6 2 22" xfId="12583"/>
    <cellStyle name="20% - Accent6 6 2 23" xfId="12584"/>
    <cellStyle name="20% - Accent6 6 2 24" xfId="12585"/>
    <cellStyle name="20% - Accent6 6 2 25" xfId="12586"/>
    <cellStyle name="20% - Accent6 6 2 26" xfId="12587"/>
    <cellStyle name="20% - Accent6 6 2 27" xfId="12588"/>
    <cellStyle name="20% - Accent6 6 2 28" xfId="12589"/>
    <cellStyle name="20% - Accent6 6 2 29" xfId="12590"/>
    <cellStyle name="20% - Accent6 6 2 3" xfId="12591"/>
    <cellStyle name="20% - Accent6 6 2 30" xfId="12592"/>
    <cellStyle name="20% - Accent6 6 2 31" xfId="12593"/>
    <cellStyle name="20% - Accent6 6 2 32" xfId="12594"/>
    <cellStyle name="20% - Accent6 6 2 33" xfId="12595"/>
    <cellStyle name="20% - Accent6 6 2 34" xfId="12596"/>
    <cellStyle name="20% - Accent6 6 2 35" xfId="12597"/>
    <cellStyle name="20% - Accent6 6 2 36" xfId="12598"/>
    <cellStyle name="20% - Accent6 6 2 37" xfId="12599"/>
    <cellStyle name="20% - Accent6 6 2 38" xfId="12600"/>
    <cellStyle name="20% - Accent6 6 2 39" xfId="12601"/>
    <cellStyle name="20% - Accent6 6 2 4" xfId="12602"/>
    <cellStyle name="20% - Accent6 6 2 40" xfId="12603"/>
    <cellStyle name="20% - Accent6 6 2 41" xfId="12604"/>
    <cellStyle name="20% - Accent6 6 2 42" xfId="12605"/>
    <cellStyle name="20% - Accent6 6 2 43" xfId="12606"/>
    <cellStyle name="20% - Accent6 6 2 44" xfId="12607"/>
    <cellStyle name="20% - Accent6 6 2 45" xfId="12608"/>
    <cellStyle name="20% - Accent6 6 2 46" xfId="12609"/>
    <cellStyle name="20% - Accent6 6 2 47" xfId="12610"/>
    <cellStyle name="20% - Accent6 6 2 48" xfId="12611"/>
    <cellStyle name="20% - Accent6 6 2 49" xfId="12612"/>
    <cellStyle name="20% - Accent6 6 2 5" xfId="12613"/>
    <cellStyle name="20% - Accent6 6 2 50" xfId="12614"/>
    <cellStyle name="20% - Accent6 6 2 51" xfId="12615"/>
    <cellStyle name="20% - Accent6 6 2 52" xfId="12616"/>
    <cellStyle name="20% - Accent6 6 2 53" xfId="12617"/>
    <cellStyle name="20% - Accent6 6 2 54" xfId="12618"/>
    <cellStyle name="20% - Accent6 6 2 55" xfId="12619"/>
    <cellStyle name="20% - Accent6 6 2 6" xfId="12620"/>
    <cellStyle name="20% - Accent6 6 2 7" xfId="12621"/>
    <cellStyle name="20% - Accent6 6 2 8" xfId="12622"/>
    <cellStyle name="20% - Accent6 6 2 9" xfId="12623"/>
    <cellStyle name="20% - Accent6 6 3" xfId="12624"/>
    <cellStyle name="20% - Accent6 6 3 10" xfId="12625"/>
    <cellStyle name="20% - Accent6 6 3 11" xfId="12626"/>
    <cellStyle name="20% - Accent6 6 3 12" xfId="12627"/>
    <cellStyle name="20% - Accent6 6 3 13" xfId="12628"/>
    <cellStyle name="20% - Accent6 6 3 14" xfId="12629"/>
    <cellStyle name="20% - Accent6 6 3 15" xfId="12630"/>
    <cellStyle name="20% - Accent6 6 3 16" xfId="12631"/>
    <cellStyle name="20% - Accent6 6 3 17" xfId="12632"/>
    <cellStyle name="20% - Accent6 6 3 18" xfId="12633"/>
    <cellStyle name="20% - Accent6 6 3 19" xfId="12634"/>
    <cellStyle name="20% - Accent6 6 3 2" xfId="12635"/>
    <cellStyle name="20% - Accent6 6 3 2 2" xfId="12636"/>
    <cellStyle name="20% - Accent6 6 3 20" xfId="12637"/>
    <cellStyle name="20% - Accent6 6 3 21" xfId="12638"/>
    <cellStyle name="20% - Accent6 6 3 22" xfId="12639"/>
    <cellStyle name="20% - Accent6 6 3 23" xfId="12640"/>
    <cellStyle name="20% - Accent6 6 3 24" xfId="12641"/>
    <cellStyle name="20% - Accent6 6 3 25" xfId="12642"/>
    <cellStyle name="20% - Accent6 6 3 26" xfId="12643"/>
    <cellStyle name="20% - Accent6 6 3 27" xfId="12644"/>
    <cellStyle name="20% - Accent6 6 3 28" xfId="12645"/>
    <cellStyle name="20% - Accent6 6 3 29" xfId="12646"/>
    <cellStyle name="20% - Accent6 6 3 3" xfId="12647"/>
    <cellStyle name="20% - Accent6 6 3 30" xfId="12648"/>
    <cellStyle name="20% - Accent6 6 3 31" xfId="12649"/>
    <cellStyle name="20% - Accent6 6 3 32" xfId="12650"/>
    <cellStyle name="20% - Accent6 6 3 33" xfId="12651"/>
    <cellStyle name="20% - Accent6 6 3 34" xfId="12652"/>
    <cellStyle name="20% - Accent6 6 3 35" xfId="12653"/>
    <cellStyle name="20% - Accent6 6 3 36" xfId="12654"/>
    <cellStyle name="20% - Accent6 6 3 37" xfId="12655"/>
    <cellStyle name="20% - Accent6 6 3 38" xfId="12656"/>
    <cellStyle name="20% - Accent6 6 3 39" xfId="12657"/>
    <cellStyle name="20% - Accent6 6 3 4" xfId="12658"/>
    <cellStyle name="20% - Accent6 6 3 40" xfId="12659"/>
    <cellStyle name="20% - Accent6 6 3 41" xfId="12660"/>
    <cellStyle name="20% - Accent6 6 3 42" xfId="12661"/>
    <cellStyle name="20% - Accent6 6 3 43" xfId="12662"/>
    <cellStyle name="20% - Accent6 6 3 44" xfId="12663"/>
    <cellStyle name="20% - Accent6 6 3 45" xfId="12664"/>
    <cellStyle name="20% - Accent6 6 3 46" xfId="12665"/>
    <cellStyle name="20% - Accent6 6 3 47" xfId="12666"/>
    <cellStyle name="20% - Accent6 6 3 48" xfId="12667"/>
    <cellStyle name="20% - Accent6 6 3 49" xfId="12668"/>
    <cellStyle name="20% - Accent6 6 3 5" xfId="12669"/>
    <cellStyle name="20% - Accent6 6 3 50" xfId="12670"/>
    <cellStyle name="20% - Accent6 6 3 51" xfId="12671"/>
    <cellStyle name="20% - Accent6 6 3 52" xfId="12672"/>
    <cellStyle name="20% - Accent6 6 3 53" xfId="12673"/>
    <cellStyle name="20% - Accent6 6 3 54" xfId="12674"/>
    <cellStyle name="20% - Accent6 6 3 55" xfId="12675"/>
    <cellStyle name="20% - Accent6 6 3 6" xfId="12676"/>
    <cellStyle name="20% - Accent6 6 3 7" xfId="12677"/>
    <cellStyle name="20% - Accent6 6 3 8" xfId="12678"/>
    <cellStyle name="20% - Accent6 6 3 9" xfId="12679"/>
    <cellStyle name="20% - Accent6 7" xfId="12680"/>
    <cellStyle name="20% - Accent6 7 2" xfId="12681"/>
    <cellStyle name="20% - Accent6 7 2 10" xfId="12682"/>
    <cellStyle name="20% - Accent6 7 2 11" xfId="12683"/>
    <cellStyle name="20% - Accent6 7 2 12" xfId="12684"/>
    <cellStyle name="20% - Accent6 7 2 13" xfId="12685"/>
    <cellStyle name="20% - Accent6 7 2 14" xfId="12686"/>
    <cellStyle name="20% - Accent6 7 2 15" xfId="12687"/>
    <cellStyle name="20% - Accent6 7 2 16" xfId="12688"/>
    <cellStyle name="20% - Accent6 7 2 17" xfId="12689"/>
    <cellStyle name="20% - Accent6 7 2 18" xfId="12690"/>
    <cellStyle name="20% - Accent6 7 2 19" xfId="12691"/>
    <cellStyle name="20% - Accent6 7 2 2" xfId="12692"/>
    <cellStyle name="20% - Accent6 7 2 2 2" xfId="12693"/>
    <cellStyle name="20% - Accent6 7 2 20" xfId="12694"/>
    <cellStyle name="20% - Accent6 7 2 21" xfId="12695"/>
    <cellStyle name="20% - Accent6 7 2 22" xfId="12696"/>
    <cellStyle name="20% - Accent6 7 2 23" xfId="12697"/>
    <cellStyle name="20% - Accent6 7 2 24" xfId="12698"/>
    <cellStyle name="20% - Accent6 7 2 25" xfId="12699"/>
    <cellStyle name="20% - Accent6 7 2 26" xfId="12700"/>
    <cellStyle name="20% - Accent6 7 2 27" xfId="12701"/>
    <cellStyle name="20% - Accent6 7 2 28" xfId="12702"/>
    <cellStyle name="20% - Accent6 7 2 29" xfId="12703"/>
    <cellStyle name="20% - Accent6 7 2 3" xfId="12704"/>
    <cellStyle name="20% - Accent6 7 2 30" xfId="12705"/>
    <cellStyle name="20% - Accent6 7 2 31" xfId="12706"/>
    <cellStyle name="20% - Accent6 7 2 32" xfId="12707"/>
    <cellStyle name="20% - Accent6 7 2 33" xfId="12708"/>
    <cellStyle name="20% - Accent6 7 2 34" xfId="12709"/>
    <cellStyle name="20% - Accent6 7 2 35" xfId="12710"/>
    <cellStyle name="20% - Accent6 7 2 36" xfId="12711"/>
    <cellStyle name="20% - Accent6 7 2 37" xfId="12712"/>
    <cellStyle name="20% - Accent6 7 2 38" xfId="12713"/>
    <cellStyle name="20% - Accent6 7 2 39" xfId="12714"/>
    <cellStyle name="20% - Accent6 7 2 4" xfId="12715"/>
    <cellStyle name="20% - Accent6 7 2 40" xfId="12716"/>
    <cellStyle name="20% - Accent6 7 2 41" xfId="12717"/>
    <cellStyle name="20% - Accent6 7 2 42" xfId="12718"/>
    <cellStyle name="20% - Accent6 7 2 43" xfId="12719"/>
    <cellStyle name="20% - Accent6 7 2 44" xfId="12720"/>
    <cellStyle name="20% - Accent6 7 2 45" xfId="12721"/>
    <cellStyle name="20% - Accent6 7 2 46" xfId="12722"/>
    <cellStyle name="20% - Accent6 7 2 47" xfId="12723"/>
    <cellStyle name="20% - Accent6 7 2 48" xfId="12724"/>
    <cellStyle name="20% - Accent6 7 2 49" xfId="12725"/>
    <cellStyle name="20% - Accent6 7 2 5" xfId="12726"/>
    <cellStyle name="20% - Accent6 7 2 50" xfId="12727"/>
    <cellStyle name="20% - Accent6 7 2 51" xfId="12728"/>
    <cellStyle name="20% - Accent6 7 2 52" xfId="12729"/>
    <cellStyle name="20% - Accent6 7 2 53" xfId="12730"/>
    <cellStyle name="20% - Accent6 7 2 54" xfId="12731"/>
    <cellStyle name="20% - Accent6 7 2 55" xfId="12732"/>
    <cellStyle name="20% - Accent6 7 2 6" xfId="12733"/>
    <cellStyle name="20% - Accent6 7 2 7" xfId="12734"/>
    <cellStyle name="20% - Accent6 7 2 8" xfId="12735"/>
    <cellStyle name="20% - Accent6 7 2 9" xfId="12736"/>
    <cellStyle name="20% - Accent6 7 3" xfId="12737"/>
    <cellStyle name="20% - Accent6 7 3 10" xfId="12738"/>
    <cellStyle name="20% - Accent6 7 3 11" xfId="12739"/>
    <cellStyle name="20% - Accent6 7 3 12" xfId="12740"/>
    <cellStyle name="20% - Accent6 7 3 13" xfId="12741"/>
    <cellStyle name="20% - Accent6 7 3 14" xfId="12742"/>
    <cellStyle name="20% - Accent6 7 3 15" xfId="12743"/>
    <cellStyle name="20% - Accent6 7 3 16" xfId="12744"/>
    <cellStyle name="20% - Accent6 7 3 17" xfId="12745"/>
    <cellStyle name="20% - Accent6 7 3 18" xfId="12746"/>
    <cellStyle name="20% - Accent6 7 3 19" xfId="12747"/>
    <cellStyle name="20% - Accent6 7 3 2" xfId="12748"/>
    <cellStyle name="20% - Accent6 7 3 2 2" xfId="12749"/>
    <cellStyle name="20% - Accent6 7 3 20" xfId="12750"/>
    <cellStyle name="20% - Accent6 7 3 21" xfId="12751"/>
    <cellStyle name="20% - Accent6 7 3 22" xfId="12752"/>
    <cellStyle name="20% - Accent6 7 3 23" xfId="12753"/>
    <cellStyle name="20% - Accent6 7 3 24" xfId="12754"/>
    <cellStyle name="20% - Accent6 7 3 25" xfId="12755"/>
    <cellStyle name="20% - Accent6 7 3 26" xfId="12756"/>
    <cellStyle name="20% - Accent6 7 3 27" xfId="12757"/>
    <cellStyle name="20% - Accent6 7 3 28" xfId="12758"/>
    <cellStyle name="20% - Accent6 7 3 29" xfId="12759"/>
    <cellStyle name="20% - Accent6 7 3 3" xfId="12760"/>
    <cellStyle name="20% - Accent6 7 3 30" xfId="12761"/>
    <cellStyle name="20% - Accent6 7 3 31" xfId="12762"/>
    <cellStyle name="20% - Accent6 7 3 32" xfId="12763"/>
    <cellStyle name="20% - Accent6 7 3 33" xfId="12764"/>
    <cellStyle name="20% - Accent6 7 3 34" xfId="12765"/>
    <cellStyle name="20% - Accent6 7 3 35" xfId="12766"/>
    <cellStyle name="20% - Accent6 7 3 36" xfId="12767"/>
    <cellStyle name="20% - Accent6 7 3 37" xfId="12768"/>
    <cellStyle name="20% - Accent6 7 3 38" xfId="12769"/>
    <cellStyle name="20% - Accent6 7 3 39" xfId="12770"/>
    <cellStyle name="20% - Accent6 7 3 4" xfId="12771"/>
    <cellStyle name="20% - Accent6 7 3 40" xfId="12772"/>
    <cellStyle name="20% - Accent6 7 3 41" xfId="12773"/>
    <cellStyle name="20% - Accent6 7 3 42" xfId="12774"/>
    <cellStyle name="20% - Accent6 7 3 43" xfId="12775"/>
    <cellStyle name="20% - Accent6 7 3 44" xfId="12776"/>
    <cellStyle name="20% - Accent6 7 3 45" xfId="12777"/>
    <cellStyle name="20% - Accent6 7 3 46" xfId="12778"/>
    <cellStyle name="20% - Accent6 7 3 47" xfId="12779"/>
    <cellStyle name="20% - Accent6 7 3 48" xfId="12780"/>
    <cellStyle name="20% - Accent6 7 3 49" xfId="12781"/>
    <cellStyle name="20% - Accent6 7 3 5" xfId="12782"/>
    <cellStyle name="20% - Accent6 7 3 50" xfId="12783"/>
    <cellStyle name="20% - Accent6 7 3 51" xfId="12784"/>
    <cellStyle name="20% - Accent6 7 3 52" xfId="12785"/>
    <cellStyle name="20% - Accent6 7 3 53" xfId="12786"/>
    <cellStyle name="20% - Accent6 7 3 54" xfId="12787"/>
    <cellStyle name="20% - Accent6 7 3 55" xfId="12788"/>
    <cellStyle name="20% - Accent6 7 3 6" xfId="12789"/>
    <cellStyle name="20% - Accent6 7 3 7" xfId="12790"/>
    <cellStyle name="20% - Accent6 7 3 8" xfId="12791"/>
    <cellStyle name="20% - Accent6 7 3 9" xfId="12792"/>
    <cellStyle name="20% - Accent6 8" xfId="12793"/>
    <cellStyle name="20% - Accent6 8 2" xfId="12794"/>
    <cellStyle name="20% - Accent6 8 2 10" xfId="12795"/>
    <cellStyle name="20% - Accent6 8 2 11" xfId="12796"/>
    <cellStyle name="20% - Accent6 8 2 12" xfId="12797"/>
    <cellStyle name="20% - Accent6 8 2 13" xfId="12798"/>
    <cellStyle name="20% - Accent6 8 2 14" xfId="12799"/>
    <cellStyle name="20% - Accent6 8 2 15" xfId="12800"/>
    <cellStyle name="20% - Accent6 8 2 16" xfId="12801"/>
    <cellStyle name="20% - Accent6 8 2 17" xfId="12802"/>
    <cellStyle name="20% - Accent6 8 2 18" xfId="12803"/>
    <cellStyle name="20% - Accent6 8 2 19" xfId="12804"/>
    <cellStyle name="20% - Accent6 8 2 2" xfId="12805"/>
    <cellStyle name="20% - Accent6 8 2 2 2" xfId="12806"/>
    <cellStyle name="20% - Accent6 8 2 20" xfId="12807"/>
    <cellStyle name="20% - Accent6 8 2 21" xfId="12808"/>
    <cellStyle name="20% - Accent6 8 2 22" xfId="12809"/>
    <cellStyle name="20% - Accent6 8 2 23" xfId="12810"/>
    <cellStyle name="20% - Accent6 8 2 24" xfId="12811"/>
    <cellStyle name="20% - Accent6 8 2 25" xfId="12812"/>
    <cellStyle name="20% - Accent6 8 2 26" xfId="12813"/>
    <cellStyle name="20% - Accent6 8 2 27" xfId="12814"/>
    <cellStyle name="20% - Accent6 8 2 28" xfId="12815"/>
    <cellStyle name="20% - Accent6 8 2 29" xfId="12816"/>
    <cellStyle name="20% - Accent6 8 2 3" xfId="12817"/>
    <cellStyle name="20% - Accent6 8 2 30" xfId="12818"/>
    <cellStyle name="20% - Accent6 8 2 31" xfId="12819"/>
    <cellStyle name="20% - Accent6 8 2 32" xfId="12820"/>
    <cellStyle name="20% - Accent6 8 2 33" xfId="12821"/>
    <cellStyle name="20% - Accent6 8 2 34" xfId="12822"/>
    <cellStyle name="20% - Accent6 8 2 35" xfId="12823"/>
    <cellStyle name="20% - Accent6 8 2 36" xfId="12824"/>
    <cellStyle name="20% - Accent6 8 2 37" xfId="12825"/>
    <cellStyle name="20% - Accent6 8 2 38" xfId="12826"/>
    <cellStyle name="20% - Accent6 8 2 39" xfId="12827"/>
    <cellStyle name="20% - Accent6 8 2 4" xfId="12828"/>
    <cellStyle name="20% - Accent6 8 2 40" xfId="12829"/>
    <cellStyle name="20% - Accent6 8 2 41" xfId="12830"/>
    <cellStyle name="20% - Accent6 8 2 42" xfId="12831"/>
    <cellStyle name="20% - Accent6 8 2 43" xfId="12832"/>
    <cellStyle name="20% - Accent6 8 2 44" xfId="12833"/>
    <cellStyle name="20% - Accent6 8 2 45" xfId="12834"/>
    <cellStyle name="20% - Accent6 8 2 46" xfId="12835"/>
    <cellStyle name="20% - Accent6 8 2 47" xfId="12836"/>
    <cellStyle name="20% - Accent6 8 2 48" xfId="12837"/>
    <cellStyle name="20% - Accent6 8 2 49" xfId="12838"/>
    <cellStyle name="20% - Accent6 8 2 5" xfId="12839"/>
    <cellStyle name="20% - Accent6 8 2 50" xfId="12840"/>
    <cellStyle name="20% - Accent6 8 2 51" xfId="12841"/>
    <cellStyle name="20% - Accent6 8 2 52" xfId="12842"/>
    <cellStyle name="20% - Accent6 8 2 53" xfId="12843"/>
    <cellStyle name="20% - Accent6 8 2 54" xfId="12844"/>
    <cellStyle name="20% - Accent6 8 2 55" xfId="12845"/>
    <cellStyle name="20% - Accent6 8 2 6" xfId="12846"/>
    <cellStyle name="20% - Accent6 8 2 7" xfId="12847"/>
    <cellStyle name="20% - Accent6 8 2 8" xfId="12848"/>
    <cellStyle name="20% - Accent6 8 2 9" xfId="12849"/>
    <cellStyle name="20% - Accent6 8 3" xfId="12850"/>
    <cellStyle name="20% - Accent6 8 3 10" xfId="12851"/>
    <cellStyle name="20% - Accent6 8 3 11" xfId="12852"/>
    <cellStyle name="20% - Accent6 8 3 12" xfId="12853"/>
    <cellStyle name="20% - Accent6 8 3 13" xfId="12854"/>
    <cellStyle name="20% - Accent6 8 3 14" xfId="12855"/>
    <cellStyle name="20% - Accent6 8 3 15" xfId="12856"/>
    <cellStyle name="20% - Accent6 8 3 16" xfId="12857"/>
    <cellStyle name="20% - Accent6 8 3 17" xfId="12858"/>
    <cellStyle name="20% - Accent6 8 3 18" xfId="12859"/>
    <cellStyle name="20% - Accent6 8 3 19" xfId="12860"/>
    <cellStyle name="20% - Accent6 8 3 2" xfId="12861"/>
    <cellStyle name="20% - Accent6 8 3 2 2" xfId="12862"/>
    <cellStyle name="20% - Accent6 8 3 20" xfId="12863"/>
    <cellStyle name="20% - Accent6 8 3 21" xfId="12864"/>
    <cellStyle name="20% - Accent6 8 3 22" xfId="12865"/>
    <cellStyle name="20% - Accent6 8 3 23" xfId="12866"/>
    <cellStyle name="20% - Accent6 8 3 24" xfId="12867"/>
    <cellStyle name="20% - Accent6 8 3 25" xfId="12868"/>
    <cellStyle name="20% - Accent6 8 3 26" xfId="12869"/>
    <cellStyle name="20% - Accent6 8 3 27" xfId="12870"/>
    <cellStyle name="20% - Accent6 8 3 28" xfId="12871"/>
    <cellStyle name="20% - Accent6 8 3 29" xfId="12872"/>
    <cellStyle name="20% - Accent6 8 3 3" xfId="12873"/>
    <cellStyle name="20% - Accent6 8 3 30" xfId="12874"/>
    <cellStyle name="20% - Accent6 8 3 31" xfId="12875"/>
    <cellStyle name="20% - Accent6 8 3 32" xfId="12876"/>
    <cellStyle name="20% - Accent6 8 3 33" xfId="12877"/>
    <cellStyle name="20% - Accent6 8 3 34" xfId="12878"/>
    <cellStyle name="20% - Accent6 8 3 35" xfId="12879"/>
    <cellStyle name="20% - Accent6 8 3 36" xfId="12880"/>
    <cellStyle name="20% - Accent6 8 3 37" xfId="12881"/>
    <cellStyle name="20% - Accent6 8 3 38" xfId="12882"/>
    <cellStyle name="20% - Accent6 8 3 39" xfId="12883"/>
    <cellStyle name="20% - Accent6 8 3 4" xfId="12884"/>
    <cellStyle name="20% - Accent6 8 3 40" xfId="12885"/>
    <cellStyle name="20% - Accent6 8 3 41" xfId="12886"/>
    <cellStyle name="20% - Accent6 8 3 42" xfId="12887"/>
    <cellStyle name="20% - Accent6 8 3 43" xfId="12888"/>
    <cellStyle name="20% - Accent6 8 3 44" xfId="12889"/>
    <cellStyle name="20% - Accent6 8 3 45" xfId="12890"/>
    <cellStyle name="20% - Accent6 8 3 46" xfId="12891"/>
    <cellStyle name="20% - Accent6 8 3 47" xfId="12892"/>
    <cellStyle name="20% - Accent6 8 3 48" xfId="12893"/>
    <cellStyle name="20% - Accent6 8 3 49" xfId="12894"/>
    <cellStyle name="20% - Accent6 8 3 5" xfId="12895"/>
    <cellStyle name="20% - Accent6 8 3 50" xfId="12896"/>
    <cellStyle name="20% - Accent6 8 3 51" xfId="12897"/>
    <cellStyle name="20% - Accent6 8 3 52" xfId="12898"/>
    <cellStyle name="20% - Accent6 8 3 53" xfId="12899"/>
    <cellStyle name="20% - Accent6 8 3 54" xfId="12900"/>
    <cellStyle name="20% - Accent6 8 3 55" xfId="12901"/>
    <cellStyle name="20% - Accent6 8 3 6" xfId="12902"/>
    <cellStyle name="20% - Accent6 8 3 7" xfId="12903"/>
    <cellStyle name="20% - Accent6 8 3 8" xfId="12904"/>
    <cellStyle name="20% - Accent6 8 3 9" xfId="12905"/>
    <cellStyle name="20% - Accent6 9" xfId="12906"/>
    <cellStyle name="20% - Accent6 9 2" xfId="12907"/>
    <cellStyle name="20% - Accent6 9 2 10" xfId="12908"/>
    <cellStyle name="20% - Accent6 9 2 11" xfId="12909"/>
    <cellStyle name="20% - Accent6 9 2 12" xfId="12910"/>
    <cellStyle name="20% - Accent6 9 2 13" xfId="12911"/>
    <cellStyle name="20% - Accent6 9 2 14" xfId="12912"/>
    <cellStyle name="20% - Accent6 9 2 15" xfId="12913"/>
    <cellStyle name="20% - Accent6 9 2 16" xfId="12914"/>
    <cellStyle name="20% - Accent6 9 2 17" xfId="12915"/>
    <cellStyle name="20% - Accent6 9 2 18" xfId="12916"/>
    <cellStyle name="20% - Accent6 9 2 19" xfId="12917"/>
    <cellStyle name="20% - Accent6 9 2 2" xfId="12918"/>
    <cellStyle name="20% - Accent6 9 2 2 2" xfId="12919"/>
    <cellStyle name="20% - Accent6 9 2 20" xfId="12920"/>
    <cellStyle name="20% - Accent6 9 2 21" xfId="12921"/>
    <cellStyle name="20% - Accent6 9 2 22" xfId="12922"/>
    <cellStyle name="20% - Accent6 9 2 23" xfId="12923"/>
    <cellStyle name="20% - Accent6 9 2 24" xfId="12924"/>
    <cellStyle name="20% - Accent6 9 2 25" xfId="12925"/>
    <cellStyle name="20% - Accent6 9 2 26" xfId="12926"/>
    <cellStyle name="20% - Accent6 9 2 27" xfId="12927"/>
    <cellStyle name="20% - Accent6 9 2 28" xfId="12928"/>
    <cellStyle name="20% - Accent6 9 2 29" xfId="12929"/>
    <cellStyle name="20% - Accent6 9 2 3" xfId="12930"/>
    <cellStyle name="20% - Accent6 9 2 30" xfId="12931"/>
    <cellStyle name="20% - Accent6 9 2 31" xfId="12932"/>
    <cellStyle name="20% - Accent6 9 2 32" xfId="12933"/>
    <cellStyle name="20% - Accent6 9 2 33" xfId="12934"/>
    <cellStyle name="20% - Accent6 9 2 34" xfId="12935"/>
    <cellStyle name="20% - Accent6 9 2 35" xfId="12936"/>
    <cellStyle name="20% - Accent6 9 2 36" xfId="12937"/>
    <cellStyle name="20% - Accent6 9 2 37" xfId="12938"/>
    <cellStyle name="20% - Accent6 9 2 38" xfId="12939"/>
    <cellStyle name="20% - Accent6 9 2 39" xfId="12940"/>
    <cellStyle name="20% - Accent6 9 2 4" xfId="12941"/>
    <cellStyle name="20% - Accent6 9 2 40" xfId="12942"/>
    <cellStyle name="20% - Accent6 9 2 41" xfId="12943"/>
    <cellStyle name="20% - Accent6 9 2 42" xfId="12944"/>
    <cellStyle name="20% - Accent6 9 2 43" xfId="12945"/>
    <cellStyle name="20% - Accent6 9 2 44" xfId="12946"/>
    <cellStyle name="20% - Accent6 9 2 45" xfId="12947"/>
    <cellStyle name="20% - Accent6 9 2 46" xfId="12948"/>
    <cellStyle name="20% - Accent6 9 2 47" xfId="12949"/>
    <cellStyle name="20% - Accent6 9 2 48" xfId="12950"/>
    <cellStyle name="20% - Accent6 9 2 49" xfId="12951"/>
    <cellStyle name="20% - Accent6 9 2 5" xfId="12952"/>
    <cellStyle name="20% - Accent6 9 2 50" xfId="12953"/>
    <cellStyle name="20% - Accent6 9 2 51" xfId="12954"/>
    <cellStyle name="20% - Accent6 9 2 52" xfId="12955"/>
    <cellStyle name="20% - Accent6 9 2 53" xfId="12956"/>
    <cellStyle name="20% - Accent6 9 2 54" xfId="12957"/>
    <cellStyle name="20% - Accent6 9 2 55" xfId="12958"/>
    <cellStyle name="20% - Accent6 9 2 6" xfId="12959"/>
    <cellStyle name="20% - Accent6 9 2 7" xfId="12960"/>
    <cellStyle name="20% - Accent6 9 2 8" xfId="12961"/>
    <cellStyle name="20% - Accent6 9 2 9" xfId="12962"/>
    <cellStyle name="20% - Accent6 9 3" xfId="12963"/>
    <cellStyle name="20% - Accent6 9 3 10" xfId="12964"/>
    <cellStyle name="20% - Accent6 9 3 11" xfId="12965"/>
    <cellStyle name="20% - Accent6 9 3 12" xfId="12966"/>
    <cellStyle name="20% - Accent6 9 3 13" xfId="12967"/>
    <cellStyle name="20% - Accent6 9 3 14" xfId="12968"/>
    <cellStyle name="20% - Accent6 9 3 15" xfId="12969"/>
    <cellStyle name="20% - Accent6 9 3 16" xfId="12970"/>
    <cellStyle name="20% - Accent6 9 3 17" xfId="12971"/>
    <cellStyle name="20% - Accent6 9 3 18" xfId="12972"/>
    <cellStyle name="20% - Accent6 9 3 19" xfId="12973"/>
    <cellStyle name="20% - Accent6 9 3 2" xfId="12974"/>
    <cellStyle name="20% - Accent6 9 3 2 2" xfId="12975"/>
    <cellStyle name="20% - Accent6 9 3 20" xfId="12976"/>
    <cellStyle name="20% - Accent6 9 3 21" xfId="12977"/>
    <cellStyle name="20% - Accent6 9 3 22" xfId="12978"/>
    <cellStyle name="20% - Accent6 9 3 23" xfId="12979"/>
    <cellStyle name="20% - Accent6 9 3 24" xfId="12980"/>
    <cellStyle name="20% - Accent6 9 3 25" xfId="12981"/>
    <cellStyle name="20% - Accent6 9 3 26" xfId="12982"/>
    <cellStyle name="20% - Accent6 9 3 27" xfId="12983"/>
    <cellStyle name="20% - Accent6 9 3 28" xfId="12984"/>
    <cellStyle name="20% - Accent6 9 3 29" xfId="12985"/>
    <cellStyle name="20% - Accent6 9 3 3" xfId="12986"/>
    <cellStyle name="20% - Accent6 9 3 30" xfId="12987"/>
    <cellStyle name="20% - Accent6 9 3 31" xfId="12988"/>
    <cellStyle name="20% - Accent6 9 3 32" xfId="12989"/>
    <cellStyle name="20% - Accent6 9 3 33" xfId="12990"/>
    <cellStyle name="20% - Accent6 9 3 34" xfId="12991"/>
    <cellStyle name="20% - Accent6 9 3 35" xfId="12992"/>
    <cellStyle name="20% - Accent6 9 3 36" xfId="12993"/>
    <cellStyle name="20% - Accent6 9 3 37" xfId="12994"/>
    <cellStyle name="20% - Accent6 9 3 38" xfId="12995"/>
    <cellStyle name="20% - Accent6 9 3 39" xfId="12996"/>
    <cellStyle name="20% - Accent6 9 3 4" xfId="12997"/>
    <cellStyle name="20% - Accent6 9 3 40" xfId="12998"/>
    <cellStyle name="20% - Accent6 9 3 41" xfId="12999"/>
    <cellStyle name="20% - Accent6 9 3 42" xfId="13000"/>
    <cellStyle name="20% - Accent6 9 3 43" xfId="13001"/>
    <cellStyle name="20% - Accent6 9 3 44" xfId="13002"/>
    <cellStyle name="20% - Accent6 9 3 45" xfId="13003"/>
    <cellStyle name="20% - Accent6 9 3 46" xfId="13004"/>
    <cellStyle name="20% - Accent6 9 3 47" xfId="13005"/>
    <cellStyle name="20% - Accent6 9 3 48" xfId="13006"/>
    <cellStyle name="20% - Accent6 9 3 49" xfId="13007"/>
    <cellStyle name="20% - Accent6 9 3 5" xfId="13008"/>
    <cellStyle name="20% - Accent6 9 3 50" xfId="13009"/>
    <cellStyle name="20% - Accent6 9 3 51" xfId="13010"/>
    <cellStyle name="20% - Accent6 9 3 52" xfId="13011"/>
    <cellStyle name="20% - Accent6 9 3 53" xfId="13012"/>
    <cellStyle name="20% - Accent6 9 3 54" xfId="13013"/>
    <cellStyle name="20% - Accent6 9 3 55" xfId="13014"/>
    <cellStyle name="20% - Accent6 9 3 6" xfId="13015"/>
    <cellStyle name="20% - Accent6 9 3 7" xfId="13016"/>
    <cellStyle name="20% - Accent6 9 3 8" xfId="13017"/>
    <cellStyle name="20% - Accent6 9 3 9" xfId="13018"/>
    <cellStyle name="20% - Akzent1" xfId="13019"/>
    <cellStyle name="20% - Akzent2" xfId="13020"/>
    <cellStyle name="20% - Akzent3" xfId="13021"/>
    <cellStyle name="20% - Akzent4" xfId="13022"/>
    <cellStyle name="20% - Akzent5" xfId="13023"/>
    <cellStyle name="20% - Akzent6" xfId="13024"/>
    <cellStyle name="20% - アクセント 1" xfId="13025"/>
    <cellStyle name="20% - アクセント 2" xfId="13026"/>
    <cellStyle name="20% - アクセント 3" xfId="13027"/>
    <cellStyle name="20% - アクセント 4" xfId="13028"/>
    <cellStyle name="20% - アクセント 5" xfId="13029"/>
    <cellStyle name="20% - アクセント 6" xfId="13030"/>
    <cellStyle name="3," xfId="13031"/>
    <cellStyle name="40% - Accent1 10" xfId="13032"/>
    <cellStyle name="40% - Accent1 10 2" xfId="13033"/>
    <cellStyle name="40% - Accent1 10 2 10" xfId="13034"/>
    <cellStyle name="40% - Accent1 10 2 11" xfId="13035"/>
    <cellStyle name="40% - Accent1 10 2 12" xfId="13036"/>
    <cellStyle name="40% - Accent1 10 2 13" xfId="13037"/>
    <cellStyle name="40% - Accent1 10 2 14" xfId="13038"/>
    <cellStyle name="40% - Accent1 10 2 15" xfId="13039"/>
    <cellStyle name="40% - Accent1 10 2 16" xfId="13040"/>
    <cellStyle name="40% - Accent1 10 2 17" xfId="13041"/>
    <cellStyle name="40% - Accent1 10 2 18" xfId="13042"/>
    <cellStyle name="40% - Accent1 10 2 19" xfId="13043"/>
    <cellStyle name="40% - Accent1 10 2 2" xfId="13044"/>
    <cellStyle name="40% - Accent1 10 2 2 2" xfId="13045"/>
    <cellStyle name="40% - Accent1 10 2 20" xfId="13046"/>
    <cellStyle name="40% - Accent1 10 2 21" xfId="13047"/>
    <cellStyle name="40% - Accent1 10 2 22" xfId="13048"/>
    <cellStyle name="40% - Accent1 10 2 23" xfId="13049"/>
    <cellStyle name="40% - Accent1 10 2 24" xfId="13050"/>
    <cellStyle name="40% - Accent1 10 2 25" xfId="13051"/>
    <cellStyle name="40% - Accent1 10 2 26" xfId="13052"/>
    <cellStyle name="40% - Accent1 10 2 27" xfId="13053"/>
    <cellStyle name="40% - Accent1 10 2 28" xfId="13054"/>
    <cellStyle name="40% - Accent1 10 2 29" xfId="13055"/>
    <cellStyle name="40% - Accent1 10 2 3" xfId="13056"/>
    <cellStyle name="40% - Accent1 10 2 30" xfId="13057"/>
    <cellStyle name="40% - Accent1 10 2 31" xfId="13058"/>
    <cellStyle name="40% - Accent1 10 2 32" xfId="13059"/>
    <cellStyle name="40% - Accent1 10 2 33" xfId="13060"/>
    <cellStyle name="40% - Accent1 10 2 34" xfId="13061"/>
    <cellStyle name="40% - Accent1 10 2 35" xfId="13062"/>
    <cellStyle name="40% - Accent1 10 2 36" xfId="13063"/>
    <cellStyle name="40% - Accent1 10 2 37" xfId="13064"/>
    <cellStyle name="40% - Accent1 10 2 38" xfId="13065"/>
    <cellStyle name="40% - Accent1 10 2 39" xfId="13066"/>
    <cellStyle name="40% - Accent1 10 2 4" xfId="13067"/>
    <cellStyle name="40% - Accent1 10 2 40" xfId="13068"/>
    <cellStyle name="40% - Accent1 10 2 41" xfId="13069"/>
    <cellStyle name="40% - Accent1 10 2 42" xfId="13070"/>
    <cellStyle name="40% - Accent1 10 2 43" xfId="13071"/>
    <cellStyle name="40% - Accent1 10 2 44" xfId="13072"/>
    <cellStyle name="40% - Accent1 10 2 45" xfId="13073"/>
    <cellStyle name="40% - Accent1 10 2 46" xfId="13074"/>
    <cellStyle name="40% - Accent1 10 2 47" xfId="13075"/>
    <cellStyle name="40% - Accent1 10 2 48" xfId="13076"/>
    <cellStyle name="40% - Accent1 10 2 49" xfId="13077"/>
    <cellStyle name="40% - Accent1 10 2 5" xfId="13078"/>
    <cellStyle name="40% - Accent1 10 2 50" xfId="13079"/>
    <cellStyle name="40% - Accent1 10 2 51" xfId="13080"/>
    <cellStyle name="40% - Accent1 10 2 52" xfId="13081"/>
    <cellStyle name="40% - Accent1 10 2 53" xfId="13082"/>
    <cellStyle name="40% - Accent1 10 2 54" xfId="13083"/>
    <cellStyle name="40% - Accent1 10 2 55" xfId="13084"/>
    <cellStyle name="40% - Accent1 10 2 6" xfId="13085"/>
    <cellStyle name="40% - Accent1 10 2 7" xfId="13086"/>
    <cellStyle name="40% - Accent1 10 2 8" xfId="13087"/>
    <cellStyle name="40% - Accent1 10 2 9" xfId="13088"/>
    <cellStyle name="40% - Accent1 10 3" xfId="13089"/>
    <cellStyle name="40% - Accent1 10 3 10" xfId="13090"/>
    <cellStyle name="40% - Accent1 10 3 11" xfId="13091"/>
    <cellStyle name="40% - Accent1 10 3 12" xfId="13092"/>
    <cellStyle name="40% - Accent1 10 3 13" xfId="13093"/>
    <cellStyle name="40% - Accent1 10 3 14" xfId="13094"/>
    <cellStyle name="40% - Accent1 10 3 15" xfId="13095"/>
    <cellStyle name="40% - Accent1 10 3 16" xfId="13096"/>
    <cellStyle name="40% - Accent1 10 3 17" xfId="13097"/>
    <cellStyle name="40% - Accent1 10 3 18" xfId="13098"/>
    <cellStyle name="40% - Accent1 10 3 19" xfId="13099"/>
    <cellStyle name="40% - Accent1 10 3 2" xfId="13100"/>
    <cellStyle name="40% - Accent1 10 3 2 2" xfId="13101"/>
    <cellStyle name="40% - Accent1 10 3 20" xfId="13102"/>
    <cellStyle name="40% - Accent1 10 3 21" xfId="13103"/>
    <cellStyle name="40% - Accent1 10 3 22" xfId="13104"/>
    <cellStyle name="40% - Accent1 10 3 23" xfId="13105"/>
    <cellStyle name="40% - Accent1 10 3 24" xfId="13106"/>
    <cellStyle name="40% - Accent1 10 3 25" xfId="13107"/>
    <cellStyle name="40% - Accent1 10 3 26" xfId="13108"/>
    <cellStyle name="40% - Accent1 10 3 27" xfId="13109"/>
    <cellStyle name="40% - Accent1 10 3 28" xfId="13110"/>
    <cellStyle name="40% - Accent1 10 3 29" xfId="13111"/>
    <cellStyle name="40% - Accent1 10 3 3" xfId="13112"/>
    <cellStyle name="40% - Accent1 10 3 30" xfId="13113"/>
    <cellStyle name="40% - Accent1 10 3 31" xfId="13114"/>
    <cellStyle name="40% - Accent1 10 3 32" xfId="13115"/>
    <cellStyle name="40% - Accent1 10 3 33" xfId="13116"/>
    <cellStyle name="40% - Accent1 10 3 34" xfId="13117"/>
    <cellStyle name="40% - Accent1 10 3 35" xfId="13118"/>
    <cellStyle name="40% - Accent1 10 3 36" xfId="13119"/>
    <cellStyle name="40% - Accent1 10 3 37" xfId="13120"/>
    <cellStyle name="40% - Accent1 10 3 38" xfId="13121"/>
    <cellStyle name="40% - Accent1 10 3 39" xfId="13122"/>
    <cellStyle name="40% - Accent1 10 3 4" xfId="13123"/>
    <cellStyle name="40% - Accent1 10 3 40" xfId="13124"/>
    <cellStyle name="40% - Accent1 10 3 41" xfId="13125"/>
    <cellStyle name="40% - Accent1 10 3 42" xfId="13126"/>
    <cellStyle name="40% - Accent1 10 3 43" xfId="13127"/>
    <cellStyle name="40% - Accent1 10 3 44" xfId="13128"/>
    <cellStyle name="40% - Accent1 10 3 45" xfId="13129"/>
    <cellStyle name="40% - Accent1 10 3 46" xfId="13130"/>
    <cellStyle name="40% - Accent1 10 3 47" xfId="13131"/>
    <cellStyle name="40% - Accent1 10 3 48" xfId="13132"/>
    <cellStyle name="40% - Accent1 10 3 49" xfId="13133"/>
    <cellStyle name="40% - Accent1 10 3 5" xfId="13134"/>
    <cellStyle name="40% - Accent1 10 3 50" xfId="13135"/>
    <cellStyle name="40% - Accent1 10 3 51" xfId="13136"/>
    <cellStyle name="40% - Accent1 10 3 52" xfId="13137"/>
    <cellStyle name="40% - Accent1 10 3 53" xfId="13138"/>
    <cellStyle name="40% - Accent1 10 3 54" xfId="13139"/>
    <cellStyle name="40% - Accent1 10 3 55" xfId="13140"/>
    <cellStyle name="40% - Accent1 10 3 6" xfId="13141"/>
    <cellStyle name="40% - Accent1 10 3 7" xfId="13142"/>
    <cellStyle name="40% - Accent1 10 3 8" xfId="13143"/>
    <cellStyle name="40% - Accent1 10 3 9" xfId="13144"/>
    <cellStyle name="40% - Accent1 11" xfId="13145"/>
    <cellStyle name="40% - Accent1 11 2" xfId="13146"/>
    <cellStyle name="40% - Accent1 11 2 10" xfId="13147"/>
    <cellStyle name="40% - Accent1 11 2 11" xfId="13148"/>
    <cellStyle name="40% - Accent1 11 2 12" xfId="13149"/>
    <cellStyle name="40% - Accent1 11 2 13" xfId="13150"/>
    <cellStyle name="40% - Accent1 11 2 14" xfId="13151"/>
    <cellStyle name="40% - Accent1 11 2 15" xfId="13152"/>
    <cellStyle name="40% - Accent1 11 2 16" xfId="13153"/>
    <cellStyle name="40% - Accent1 11 2 17" xfId="13154"/>
    <cellStyle name="40% - Accent1 11 2 18" xfId="13155"/>
    <cellStyle name="40% - Accent1 11 2 19" xfId="13156"/>
    <cellStyle name="40% - Accent1 11 2 2" xfId="13157"/>
    <cellStyle name="40% - Accent1 11 2 2 2" xfId="13158"/>
    <cellStyle name="40% - Accent1 11 2 20" xfId="13159"/>
    <cellStyle name="40% - Accent1 11 2 21" xfId="13160"/>
    <cellStyle name="40% - Accent1 11 2 22" xfId="13161"/>
    <cellStyle name="40% - Accent1 11 2 23" xfId="13162"/>
    <cellStyle name="40% - Accent1 11 2 24" xfId="13163"/>
    <cellStyle name="40% - Accent1 11 2 25" xfId="13164"/>
    <cellStyle name="40% - Accent1 11 2 26" xfId="13165"/>
    <cellStyle name="40% - Accent1 11 2 27" xfId="13166"/>
    <cellStyle name="40% - Accent1 11 2 28" xfId="13167"/>
    <cellStyle name="40% - Accent1 11 2 29" xfId="13168"/>
    <cellStyle name="40% - Accent1 11 2 3" xfId="13169"/>
    <cellStyle name="40% - Accent1 11 2 30" xfId="13170"/>
    <cellStyle name="40% - Accent1 11 2 31" xfId="13171"/>
    <cellStyle name="40% - Accent1 11 2 32" xfId="13172"/>
    <cellStyle name="40% - Accent1 11 2 33" xfId="13173"/>
    <cellStyle name="40% - Accent1 11 2 34" xfId="13174"/>
    <cellStyle name="40% - Accent1 11 2 35" xfId="13175"/>
    <cellStyle name="40% - Accent1 11 2 36" xfId="13176"/>
    <cellStyle name="40% - Accent1 11 2 37" xfId="13177"/>
    <cellStyle name="40% - Accent1 11 2 38" xfId="13178"/>
    <cellStyle name="40% - Accent1 11 2 39" xfId="13179"/>
    <cellStyle name="40% - Accent1 11 2 4" xfId="13180"/>
    <cellStyle name="40% - Accent1 11 2 40" xfId="13181"/>
    <cellStyle name="40% - Accent1 11 2 41" xfId="13182"/>
    <cellStyle name="40% - Accent1 11 2 42" xfId="13183"/>
    <cellStyle name="40% - Accent1 11 2 43" xfId="13184"/>
    <cellStyle name="40% - Accent1 11 2 44" xfId="13185"/>
    <cellStyle name="40% - Accent1 11 2 45" xfId="13186"/>
    <cellStyle name="40% - Accent1 11 2 46" xfId="13187"/>
    <cellStyle name="40% - Accent1 11 2 47" xfId="13188"/>
    <cellStyle name="40% - Accent1 11 2 48" xfId="13189"/>
    <cellStyle name="40% - Accent1 11 2 49" xfId="13190"/>
    <cellStyle name="40% - Accent1 11 2 5" xfId="13191"/>
    <cellStyle name="40% - Accent1 11 2 50" xfId="13192"/>
    <cellStyle name="40% - Accent1 11 2 51" xfId="13193"/>
    <cellStyle name="40% - Accent1 11 2 52" xfId="13194"/>
    <cellStyle name="40% - Accent1 11 2 53" xfId="13195"/>
    <cellStyle name="40% - Accent1 11 2 54" xfId="13196"/>
    <cellStyle name="40% - Accent1 11 2 55" xfId="13197"/>
    <cellStyle name="40% - Accent1 11 2 6" xfId="13198"/>
    <cellStyle name="40% - Accent1 11 2 7" xfId="13199"/>
    <cellStyle name="40% - Accent1 11 2 8" xfId="13200"/>
    <cellStyle name="40% - Accent1 11 2 9" xfId="13201"/>
    <cellStyle name="40% - Accent1 11 3" xfId="13202"/>
    <cellStyle name="40% - Accent1 11 3 10" xfId="13203"/>
    <cellStyle name="40% - Accent1 11 3 11" xfId="13204"/>
    <cellStyle name="40% - Accent1 11 3 12" xfId="13205"/>
    <cellStyle name="40% - Accent1 11 3 13" xfId="13206"/>
    <cellStyle name="40% - Accent1 11 3 14" xfId="13207"/>
    <cellStyle name="40% - Accent1 11 3 15" xfId="13208"/>
    <cellStyle name="40% - Accent1 11 3 16" xfId="13209"/>
    <cellStyle name="40% - Accent1 11 3 17" xfId="13210"/>
    <cellStyle name="40% - Accent1 11 3 18" xfId="13211"/>
    <cellStyle name="40% - Accent1 11 3 19" xfId="13212"/>
    <cellStyle name="40% - Accent1 11 3 2" xfId="13213"/>
    <cellStyle name="40% - Accent1 11 3 2 2" xfId="13214"/>
    <cellStyle name="40% - Accent1 11 3 20" xfId="13215"/>
    <cellStyle name="40% - Accent1 11 3 21" xfId="13216"/>
    <cellStyle name="40% - Accent1 11 3 22" xfId="13217"/>
    <cellStyle name="40% - Accent1 11 3 23" xfId="13218"/>
    <cellStyle name="40% - Accent1 11 3 24" xfId="13219"/>
    <cellStyle name="40% - Accent1 11 3 25" xfId="13220"/>
    <cellStyle name="40% - Accent1 11 3 26" xfId="13221"/>
    <cellStyle name="40% - Accent1 11 3 27" xfId="13222"/>
    <cellStyle name="40% - Accent1 11 3 28" xfId="13223"/>
    <cellStyle name="40% - Accent1 11 3 29" xfId="13224"/>
    <cellStyle name="40% - Accent1 11 3 3" xfId="13225"/>
    <cellStyle name="40% - Accent1 11 3 30" xfId="13226"/>
    <cellStyle name="40% - Accent1 11 3 31" xfId="13227"/>
    <cellStyle name="40% - Accent1 11 3 32" xfId="13228"/>
    <cellStyle name="40% - Accent1 11 3 33" xfId="13229"/>
    <cellStyle name="40% - Accent1 11 3 34" xfId="13230"/>
    <cellStyle name="40% - Accent1 11 3 35" xfId="13231"/>
    <cellStyle name="40% - Accent1 11 3 36" xfId="13232"/>
    <cellStyle name="40% - Accent1 11 3 37" xfId="13233"/>
    <cellStyle name="40% - Accent1 11 3 38" xfId="13234"/>
    <cellStyle name="40% - Accent1 11 3 39" xfId="13235"/>
    <cellStyle name="40% - Accent1 11 3 4" xfId="13236"/>
    <cellStyle name="40% - Accent1 11 3 40" xfId="13237"/>
    <cellStyle name="40% - Accent1 11 3 41" xfId="13238"/>
    <cellStyle name="40% - Accent1 11 3 42" xfId="13239"/>
    <cellStyle name="40% - Accent1 11 3 43" xfId="13240"/>
    <cellStyle name="40% - Accent1 11 3 44" xfId="13241"/>
    <cellStyle name="40% - Accent1 11 3 45" xfId="13242"/>
    <cellStyle name="40% - Accent1 11 3 46" xfId="13243"/>
    <cellStyle name="40% - Accent1 11 3 47" xfId="13244"/>
    <cellStyle name="40% - Accent1 11 3 48" xfId="13245"/>
    <cellStyle name="40% - Accent1 11 3 49" xfId="13246"/>
    <cellStyle name="40% - Accent1 11 3 5" xfId="13247"/>
    <cellStyle name="40% - Accent1 11 3 50" xfId="13248"/>
    <cellStyle name="40% - Accent1 11 3 51" xfId="13249"/>
    <cellStyle name="40% - Accent1 11 3 52" xfId="13250"/>
    <cellStyle name="40% - Accent1 11 3 53" xfId="13251"/>
    <cellStyle name="40% - Accent1 11 3 54" xfId="13252"/>
    <cellStyle name="40% - Accent1 11 3 55" xfId="13253"/>
    <cellStyle name="40% - Accent1 11 3 6" xfId="13254"/>
    <cellStyle name="40% - Accent1 11 3 7" xfId="13255"/>
    <cellStyle name="40% - Accent1 11 3 8" xfId="13256"/>
    <cellStyle name="40% - Accent1 11 3 9" xfId="13257"/>
    <cellStyle name="40% - Accent1 12" xfId="13258"/>
    <cellStyle name="40% - Accent1 12 2" xfId="13259"/>
    <cellStyle name="40% - Accent1 12 2 10" xfId="13260"/>
    <cellStyle name="40% - Accent1 12 2 11" xfId="13261"/>
    <cellStyle name="40% - Accent1 12 2 12" xfId="13262"/>
    <cellStyle name="40% - Accent1 12 2 13" xfId="13263"/>
    <cellStyle name="40% - Accent1 12 2 14" xfId="13264"/>
    <cellStyle name="40% - Accent1 12 2 15" xfId="13265"/>
    <cellStyle name="40% - Accent1 12 2 16" xfId="13266"/>
    <cellStyle name="40% - Accent1 12 2 17" xfId="13267"/>
    <cellStyle name="40% - Accent1 12 2 18" xfId="13268"/>
    <cellStyle name="40% - Accent1 12 2 19" xfId="13269"/>
    <cellStyle name="40% - Accent1 12 2 2" xfId="13270"/>
    <cellStyle name="40% - Accent1 12 2 2 2" xfId="13271"/>
    <cellStyle name="40% - Accent1 12 2 20" xfId="13272"/>
    <cellStyle name="40% - Accent1 12 2 21" xfId="13273"/>
    <cellStyle name="40% - Accent1 12 2 22" xfId="13274"/>
    <cellStyle name="40% - Accent1 12 2 23" xfId="13275"/>
    <cellStyle name="40% - Accent1 12 2 24" xfId="13276"/>
    <cellStyle name="40% - Accent1 12 2 25" xfId="13277"/>
    <cellStyle name="40% - Accent1 12 2 26" xfId="13278"/>
    <cellStyle name="40% - Accent1 12 2 27" xfId="13279"/>
    <cellStyle name="40% - Accent1 12 2 28" xfId="13280"/>
    <cellStyle name="40% - Accent1 12 2 29" xfId="13281"/>
    <cellStyle name="40% - Accent1 12 2 3" xfId="13282"/>
    <cellStyle name="40% - Accent1 12 2 30" xfId="13283"/>
    <cellStyle name="40% - Accent1 12 2 31" xfId="13284"/>
    <cellStyle name="40% - Accent1 12 2 32" xfId="13285"/>
    <cellStyle name="40% - Accent1 12 2 33" xfId="13286"/>
    <cellStyle name="40% - Accent1 12 2 34" xfId="13287"/>
    <cellStyle name="40% - Accent1 12 2 35" xfId="13288"/>
    <cellStyle name="40% - Accent1 12 2 36" xfId="13289"/>
    <cellStyle name="40% - Accent1 12 2 37" xfId="13290"/>
    <cellStyle name="40% - Accent1 12 2 38" xfId="13291"/>
    <cellStyle name="40% - Accent1 12 2 39" xfId="13292"/>
    <cellStyle name="40% - Accent1 12 2 4" xfId="13293"/>
    <cellStyle name="40% - Accent1 12 2 40" xfId="13294"/>
    <cellStyle name="40% - Accent1 12 2 41" xfId="13295"/>
    <cellStyle name="40% - Accent1 12 2 42" xfId="13296"/>
    <cellStyle name="40% - Accent1 12 2 43" xfId="13297"/>
    <cellStyle name="40% - Accent1 12 2 44" xfId="13298"/>
    <cellStyle name="40% - Accent1 12 2 45" xfId="13299"/>
    <cellStyle name="40% - Accent1 12 2 46" xfId="13300"/>
    <cellStyle name="40% - Accent1 12 2 47" xfId="13301"/>
    <cellStyle name="40% - Accent1 12 2 48" xfId="13302"/>
    <cellStyle name="40% - Accent1 12 2 49" xfId="13303"/>
    <cellStyle name="40% - Accent1 12 2 5" xfId="13304"/>
    <cellStyle name="40% - Accent1 12 2 50" xfId="13305"/>
    <cellStyle name="40% - Accent1 12 2 51" xfId="13306"/>
    <cellStyle name="40% - Accent1 12 2 52" xfId="13307"/>
    <cellStyle name="40% - Accent1 12 2 53" xfId="13308"/>
    <cellStyle name="40% - Accent1 12 2 54" xfId="13309"/>
    <cellStyle name="40% - Accent1 12 2 55" xfId="13310"/>
    <cellStyle name="40% - Accent1 12 2 6" xfId="13311"/>
    <cellStyle name="40% - Accent1 12 2 7" xfId="13312"/>
    <cellStyle name="40% - Accent1 12 2 8" xfId="13313"/>
    <cellStyle name="40% - Accent1 12 2 9" xfId="13314"/>
    <cellStyle name="40% - Accent1 12 3" xfId="13315"/>
    <cellStyle name="40% - Accent1 12 3 10" xfId="13316"/>
    <cellStyle name="40% - Accent1 12 3 11" xfId="13317"/>
    <cellStyle name="40% - Accent1 12 3 12" xfId="13318"/>
    <cellStyle name="40% - Accent1 12 3 13" xfId="13319"/>
    <cellStyle name="40% - Accent1 12 3 14" xfId="13320"/>
    <cellStyle name="40% - Accent1 12 3 15" xfId="13321"/>
    <cellStyle name="40% - Accent1 12 3 16" xfId="13322"/>
    <cellStyle name="40% - Accent1 12 3 17" xfId="13323"/>
    <cellStyle name="40% - Accent1 12 3 18" xfId="13324"/>
    <cellStyle name="40% - Accent1 12 3 19" xfId="13325"/>
    <cellStyle name="40% - Accent1 12 3 2" xfId="13326"/>
    <cellStyle name="40% - Accent1 12 3 2 2" xfId="13327"/>
    <cellStyle name="40% - Accent1 12 3 20" xfId="13328"/>
    <cellStyle name="40% - Accent1 12 3 21" xfId="13329"/>
    <cellStyle name="40% - Accent1 12 3 22" xfId="13330"/>
    <cellStyle name="40% - Accent1 12 3 23" xfId="13331"/>
    <cellStyle name="40% - Accent1 12 3 24" xfId="13332"/>
    <cellStyle name="40% - Accent1 12 3 25" xfId="13333"/>
    <cellStyle name="40% - Accent1 12 3 26" xfId="13334"/>
    <cellStyle name="40% - Accent1 12 3 27" xfId="13335"/>
    <cellStyle name="40% - Accent1 12 3 28" xfId="13336"/>
    <cellStyle name="40% - Accent1 12 3 29" xfId="13337"/>
    <cellStyle name="40% - Accent1 12 3 3" xfId="13338"/>
    <cellStyle name="40% - Accent1 12 3 30" xfId="13339"/>
    <cellStyle name="40% - Accent1 12 3 31" xfId="13340"/>
    <cellStyle name="40% - Accent1 12 3 32" xfId="13341"/>
    <cellStyle name="40% - Accent1 12 3 33" xfId="13342"/>
    <cellStyle name="40% - Accent1 12 3 34" xfId="13343"/>
    <cellStyle name="40% - Accent1 12 3 35" xfId="13344"/>
    <cellStyle name="40% - Accent1 12 3 36" xfId="13345"/>
    <cellStyle name="40% - Accent1 12 3 37" xfId="13346"/>
    <cellStyle name="40% - Accent1 12 3 38" xfId="13347"/>
    <cellStyle name="40% - Accent1 12 3 39" xfId="13348"/>
    <cellStyle name="40% - Accent1 12 3 4" xfId="13349"/>
    <cellStyle name="40% - Accent1 12 3 40" xfId="13350"/>
    <cellStyle name="40% - Accent1 12 3 41" xfId="13351"/>
    <cellStyle name="40% - Accent1 12 3 42" xfId="13352"/>
    <cellStyle name="40% - Accent1 12 3 43" xfId="13353"/>
    <cellStyle name="40% - Accent1 12 3 44" xfId="13354"/>
    <cellStyle name="40% - Accent1 12 3 45" xfId="13355"/>
    <cellStyle name="40% - Accent1 12 3 46" xfId="13356"/>
    <cellStyle name="40% - Accent1 12 3 47" xfId="13357"/>
    <cellStyle name="40% - Accent1 12 3 48" xfId="13358"/>
    <cellStyle name="40% - Accent1 12 3 49" xfId="13359"/>
    <cellStyle name="40% - Accent1 12 3 5" xfId="13360"/>
    <cellStyle name="40% - Accent1 12 3 50" xfId="13361"/>
    <cellStyle name="40% - Accent1 12 3 51" xfId="13362"/>
    <cellStyle name="40% - Accent1 12 3 52" xfId="13363"/>
    <cellStyle name="40% - Accent1 12 3 53" xfId="13364"/>
    <cellStyle name="40% - Accent1 12 3 54" xfId="13365"/>
    <cellStyle name="40% - Accent1 12 3 55" xfId="13366"/>
    <cellStyle name="40% - Accent1 12 3 6" xfId="13367"/>
    <cellStyle name="40% - Accent1 12 3 7" xfId="13368"/>
    <cellStyle name="40% - Accent1 12 3 8" xfId="13369"/>
    <cellStyle name="40% - Accent1 12 3 9" xfId="13370"/>
    <cellStyle name="40% - Accent1 13" xfId="13371"/>
    <cellStyle name="40% - Accent1 13 2" xfId="13372"/>
    <cellStyle name="40% - Accent1 13 2 10" xfId="13373"/>
    <cellStyle name="40% - Accent1 13 2 11" xfId="13374"/>
    <cellStyle name="40% - Accent1 13 2 12" xfId="13375"/>
    <cellStyle name="40% - Accent1 13 2 13" xfId="13376"/>
    <cellStyle name="40% - Accent1 13 2 14" xfId="13377"/>
    <cellStyle name="40% - Accent1 13 2 15" xfId="13378"/>
    <cellStyle name="40% - Accent1 13 2 16" xfId="13379"/>
    <cellStyle name="40% - Accent1 13 2 17" xfId="13380"/>
    <cellStyle name="40% - Accent1 13 2 18" xfId="13381"/>
    <cellStyle name="40% - Accent1 13 2 19" xfId="13382"/>
    <cellStyle name="40% - Accent1 13 2 2" xfId="13383"/>
    <cellStyle name="40% - Accent1 13 2 2 2" xfId="13384"/>
    <cellStyle name="40% - Accent1 13 2 20" xfId="13385"/>
    <cellStyle name="40% - Accent1 13 2 21" xfId="13386"/>
    <cellStyle name="40% - Accent1 13 2 22" xfId="13387"/>
    <cellStyle name="40% - Accent1 13 2 23" xfId="13388"/>
    <cellStyle name="40% - Accent1 13 2 24" xfId="13389"/>
    <cellStyle name="40% - Accent1 13 2 25" xfId="13390"/>
    <cellStyle name="40% - Accent1 13 2 26" xfId="13391"/>
    <cellStyle name="40% - Accent1 13 2 27" xfId="13392"/>
    <cellStyle name="40% - Accent1 13 2 28" xfId="13393"/>
    <cellStyle name="40% - Accent1 13 2 29" xfId="13394"/>
    <cellStyle name="40% - Accent1 13 2 3" xfId="13395"/>
    <cellStyle name="40% - Accent1 13 2 30" xfId="13396"/>
    <cellStyle name="40% - Accent1 13 2 31" xfId="13397"/>
    <cellStyle name="40% - Accent1 13 2 32" xfId="13398"/>
    <cellStyle name="40% - Accent1 13 2 33" xfId="13399"/>
    <cellStyle name="40% - Accent1 13 2 34" xfId="13400"/>
    <cellStyle name="40% - Accent1 13 2 35" xfId="13401"/>
    <cellStyle name="40% - Accent1 13 2 36" xfId="13402"/>
    <cellStyle name="40% - Accent1 13 2 37" xfId="13403"/>
    <cellStyle name="40% - Accent1 13 2 38" xfId="13404"/>
    <cellStyle name="40% - Accent1 13 2 39" xfId="13405"/>
    <cellStyle name="40% - Accent1 13 2 4" xfId="13406"/>
    <cellStyle name="40% - Accent1 13 2 40" xfId="13407"/>
    <cellStyle name="40% - Accent1 13 2 41" xfId="13408"/>
    <cellStyle name="40% - Accent1 13 2 42" xfId="13409"/>
    <cellStyle name="40% - Accent1 13 2 43" xfId="13410"/>
    <cellStyle name="40% - Accent1 13 2 44" xfId="13411"/>
    <cellStyle name="40% - Accent1 13 2 45" xfId="13412"/>
    <cellStyle name="40% - Accent1 13 2 46" xfId="13413"/>
    <cellStyle name="40% - Accent1 13 2 47" xfId="13414"/>
    <cellStyle name="40% - Accent1 13 2 48" xfId="13415"/>
    <cellStyle name="40% - Accent1 13 2 49" xfId="13416"/>
    <cellStyle name="40% - Accent1 13 2 5" xfId="13417"/>
    <cellStyle name="40% - Accent1 13 2 50" xfId="13418"/>
    <cellStyle name="40% - Accent1 13 2 51" xfId="13419"/>
    <cellStyle name="40% - Accent1 13 2 52" xfId="13420"/>
    <cellStyle name="40% - Accent1 13 2 53" xfId="13421"/>
    <cellStyle name="40% - Accent1 13 2 54" xfId="13422"/>
    <cellStyle name="40% - Accent1 13 2 55" xfId="13423"/>
    <cellStyle name="40% - Accent1 13 2 6" xfId="13424"/>
    <cellStyle name="40% - Accent1 13 2 7" xfId="13425"/>
    <cellStyle name="40% - Accent1 13 2 8" xfId="13426"/>
    <cellStyle name="40% - Accent1 13 2 9" xfId="13427"/>
    <cellStyle name="40% - Accent1 13 3" xfId="13428"/>
    <cellStyle name="40% - Accent1 13 3 10" xfId="13429"/>
    <cellStyle name="40% - Accent1 13 3 11" xfId="13430"/>
    <cellStyle name="40% - Accent1 13 3 12" xfId="13431"/>
    <cellStyle name="40% - Accent1 13 3 13" xfId="13432"/>
    <cellStyle name="40% - Accent1 13 3 14" xfId="13433"/>
    <cellStyle name="40% - Accent1 13 3 15" xfId="13434"/>
    <cellStyle name="40% - Accent1 13 3 16" xfId="13435"/>
    <cellStyle name="40% - Accent1 13 3 17" xfId="13436"/>
    <cellStyle name="40% - Accent1 13 3 18" xfId="13437"/>
    <cellStyle name="40% - Accent1 13 3 19" xfId="13438"/>
    <cellStyle name="40% - Accent1 13 3 2" xfId="13439"/>
    <cellStyle name="40% - Accent1 13 3 2 2" xfId="13440"/>
    <cellStyle name="40% - Accent1 13 3 20" xfId="13441"/>
    <cellStyle name="40% - Accent1 13 3 21" xfId="13442"/>
    <cellStyle name="40% - Accent1 13 3 22" xfId="13443"/>
    <cellStyle name="40% - Accent1 13 3 23" xfId="13444"/>
    <cellStyle name="40% - Accent1 13 3 24" xfId="13445"/>
    <cellStyle name="40% - Accent1 13 3 25" xfId="13446"/>
    <cellStyle name="40% - Accent1 13 3 26" xfId="13447"/>
    <cellStyle name="40% - Accent1 13 3 27" xfId="13448"/>
    <cellStyle name="40% - Accent1 13 3 28" xfId="13449"/>
    <cellStyle name="40% - Accent1 13 3 29" xfId="13450"/>
    <cellStyle name="40% - Accent1 13 3 3" xfId="13451"/>
    <cellStyle name="40% - Accent1 13 3 30" xfId="13452"/>
    <cellStyle name="40% - Accent1 13 3 31" xfId="13453"/>
    <cellStyle name="40% - Accent1 13 3 32" xfId="13454"/>
    <cellStyle name="40% - Accent1 13 3 33" xfId="13455"/>
    <cellStyle name="40% - Accent1 13 3 34" xfId="13456"/>
    <cellStyle name="40% - Accent1 13 3 35" xfId="13457"/>
    <cellStyle name="40% - Accent1 13 3 36" xfId="13458"/>
    <cellStyle name="40% - Accent1 13 3 37" xfId="13459"/>
    <cellStyle name="40% - Accent1 13 3 38" xfId="13460"/>
    <cellStyle name="40% - Accent1 13 3 39" xfId="13461"/>
    <cellStyle name="40% - Accent1 13 3 4" xfId="13462"/>
    <cellStyle name="40% - Accent1 13 3 40" xfId="13463"/>
    <cellStyle name="40% - Accent1 13 3 41" xfId="13464"/>
    <cellStyle name="40% - Accent1 13 3 42" xfId="13465"/>
    <cellStyle name="40% - Accent1 13 3 43" xfId="13466"/>
    <cellStyle name="40% - Accent1 13 3 44" xfId="13467"/>
    <cellStyle name="40% - Accent1 13 3 45" xfId="13468"/>
    <cellStyle name="40% - Accent1 13 3 46" xfId="13469"/>
    <cellStyle name="40% - Accent1 13 3 47" xfId="13470"/>
    <cellStyle name="40% - Accent1 13 3 48" xfId="13471"/>
    <cellStyle name="40% - Accent1 13 3 49" xfId="13472"/>
    <cellStyle name="40% - Accent1 13 3 5" xfId="13473"/>
    <cellStyle name="40% - Accent1 13 3 50" xfId="13474"/>
    <cellStyle name="40% - Accent1 13 3 51" xfId="13475"/>
    <cellStyle name="40% - Accent1 13 3 52" xfId="13476"/>
    <cellStyle name="40% - Accent1 13 3 53" xfId="13477"/>
    <cellStyle name="40% - Accent1 13 3 54" xfId="13478"/>
    <cellStyle name="40% - Accent1 13 3 55" xfId="13479"/>
    <cellStyle name="40% - Accent1 13 3 6" xfId="13480"/>
    <cellStyle name="40% - Accent1 13 3 7" xfId="13481"/>
    <cellStyle name="40% - Accent1 13 3 8" xfId="13482"/>
    <cellStyle name="40% - Accent1 13 3 9" xfId="13483"/>
    <cellStyle name="40% - Accent1 14" xfId="13484"/>
    <cellStyle name="40% - Accent1 14 2" xfId="13485"/>
    <cellStyle name="40% - Accent1 14 2 10" xfId="13486"/>
    <cellStyle name="40% - Accent1 14 2 11" xfId="13487"/>
    <cellStyle name="40% - Accent1 14 2 12" xfId="13488"/>
    <cellStyle name="40% - Accent1 14 2 13" xfId="13489"/>
    <cellStyle name="40% - Accent1 14 2 14" xfId="13490"/>
    <cellStyle name="40% - Accent1 14 2 15" xfId="13491"/>
    <cellStyle name="40% - Accent1 14 2 16" xfId="13492"/>
    <cellStyle name="40% - Accent1 14 2 17" xfId="13493"/>
    <cellStyle name="40% - Accent1 14 2 18" xfId="13494"/>
    <cellStyle name="40% - Accent1 14 2 19" xfId="13495"/>
    <cellStyle name="40% - Accent1 14 2 2" xfId="13496"/>
    <cellStyle name="40% - Accent1 14 2 2 2" xfId="13497"/>
    <cellStyle name="40% - Accent1 14 2 20" xfId="13498"/>
    <cellStyle name="40% - Accent1 14 2 21" xfId="13499"/>
    <cellStyle name="40% - Accent1 14 2 22" xfId="13500"/>
    <cellStyle name="40% - Accent1 14 2 23" xfId="13501"/>
    <cellStyle name="40% - Accent1 14 2 24" xfId="13502"/>
    <cellStyle name="40% - Accent1 14 2 25" xfId="13503"/>
    <cellStyle name="40% - Accent1 14 2 26" xfId="13504"/>
    <cellStyle name="40% - Accent1 14 2 27" xfId="13505"/>
    <cellStyle name="40% - Accent1 14 2 28" xfId="13506"/>
    <cellStyle name="40% - Accent1 14 2 29" xfId="13507"/>
    <cellStyle name="40% - Accent1 14 2 3" xfId="13508"/>
    <cellStyle name="40% - Accent1 14 2 30" xfId="13509"/>
    <cellStyle name="40% - Accent1 14 2 31" xfId="13510"/>
    <cellStyle name="40% - Accent1 14 2 32" xfId="13511"/>
    <cellStyle name="40% - Accent1 14 2 33" xfId="13512"/>
    <cellStyle name="40% - Accent1 14 2 34" xfId="13513"/>
    <cellStyle name="40% - Accent1 14 2 35" xfId="13514"/>
    <cellStyle name="40% - Accent1 14 2 36" xfId="13515"/>
    <cellStyle name="40% - Accent1 14 2 37" xfId="13516"/>
    <cellStyle name="40% - Accent1 14 2 38" xfId="13517"/>
    <cellStyle name="40% - Accent1 14 2 39" xfId="13518"/>
    <cellStyle name="40% - Accent1 14 2 4" xfId="13519"/>
    <cellStyle name="40% - Accent1 14 2 40" xfId="13520"/>
    <cellStyle name="40% - Accent1 14 2 41" xfId="13521"/>
    <cellStyle name="40% - Accent1 14 2 42" xfId="13522"/>
    <cellStyle name="40% - Accent1 14 2 43" xfId="13523"/>
    <cellStyle name="40% - Accent1 14 2 44" xfId="13524"/>
    <cellStyle name="40% - Accent1 14 2 45" xfId="13525"/>
    <cellStyle name="40% - Accent1 14 2 46" xfId="13526"/>
    <cellStyle name="40% - Accent1 14 2 47" xfId="13527"/>
    <cellStyle name="40% - Accent1 14 2 48" xfId="13528"/>
    <cellStyle name="40% - Accent1 14 2 49" xfId="13529"/>
    <cellStyle name="40% - Accent1 14 2 5" xfId="13530"/>
    <cellStyle name="40% - Accent1 14 2 50" xfId="13531"/>
    <cellStyle name="40% - Accent1 14 2 51" xfId="13532"/>
    <cellStyle name="40% - Accent1 14 2 52" xfId="13533"/>
    <cellStyle name="40% - Accent1 14 2 53" xfId="13534"/>
    <cellStyle name="40% - Accent1 14 2 54" xfId="13535"/>
    <cellStyle name="40% - Accent1 14 2 55" xfId="13536"/>
    <cellStyle name="40% - Accent1 14 2 6" xfId="13537"/>
    <cellStyle name="40% - Accent1 14 2 7" xfId="13538"/>
    <cellStyle name="40% - Accent1 14 2 8" xfId="13539"/>
    <cellStyle name="40% - Accent1 14 2 9" xfId="13540"/>
    <cellStyle name="40% - Accent1 14 3" xfId="13541"/>
    <cellStyle name="40% - Accent1 14 3 10" xfId="13542"/>
    <cellStyle name="40% - Accent1 14 3 11" xfId="13543"/>
    <cellStyle name="40% - Accent1 14 3 12" xfId="13544"/>
    <cellStyle name="40% - Accent1 14 3 13" xfId="13545"/>
    <cellStyle name="40% - Accent1 14 3 14" xfId="13546"/>
    <cellStyle name="40% - Accent1 14 3 15" xfId="13547"/>
    <cellStyle name="40% - Accent1 14 3 16" xfId="13548"/>
    <cellStyle name="40% - Accent1 14 3 17" xfId="13549"/>
    <cellStyle name="40% - Accent1 14 3 18" xfId="13550"/>
    <cellStyle name="40% - Accent1 14 3 19" xfId="13551"/>
    <cellStyle name="40% - Accent1 14 3 2" xfId="13552"/>
    <cellStyle name="40% - Accent1 14 3 2 2" xfId="13553"/>
    <cellStyle name="40% - Accent1 14 3 20" xfId="13554"/>
    <cellStyle name="40% - Accent1 14 3 21" xfId="13555"/>
    <cellStyle name="40% - Accent1 14 3 22" xfId="13556"/>
    <cellStyle name="40% - Accent1 14 3 23" xfId="13557"/>
    <cellStyle name="40% - Accent1 14 3 24" xfId="13558"/>
    <cellStyle name="40% - Accent1 14 3 25" xfId="13559"/>
    <cellStyle name="40% - Accent1 14 3 26" xfId="13560"/>
    <cellStyle name="40% - Accent1 14 3 27" xfId="13561"/>
    <cellStyle name="40% - Accent1 14 3 28" xfId="13562"/>
    <cellStyle name="40% - Accent1 14 3 29" xfId="13563"/>
    <cellStyle name="40% - Accent1 14 3 3" xfId="13564"/>
    <cellStyle name="40% - Accent1 14 3 30" xfId="13565"/>
    <cellStyle name="40% - Accent1 14 3 31" xfId="13566"/>
    <cellStyle name="40% - Accent1 14 3 32" xfId="13567"/>
    <cellStyle name="40% - Accent1 14 3 33" xfId="13568"/>
    <cellStyle name="40% - Accent1 14 3 34" xfId="13569"/>
    <cellStyle name="40% - Accent1 14 3 35" xfId="13570"/>
    <cellStyle name="40% - Accent1 14 3 36" xfId="13571"/>
    <cellStyle name="40% - Accent1 14 3 37" xfId="13572"/>
    <cellStyle name="40% - Accent1 14 3 38" xfId="13573"/>
    <cellStyle name="40% - Accent1 14 3 39" xfId="13574"/>
    <cellStyle name="40% - Accent1 14 3 4" xfId="13575"/>
    <cellStyle name="40% - Accent1 14 3 40" xfId="13576"/>
    <cellStyle name="40% - Accent1 14 3 41" xfId="13577"/>
    <cellStyle name="40% - Accent1 14 3 42" xfId="13578"/>
    <cellStyle name="40% - Accent1 14 3 43" xfId="13579"/>
    <cellStyle name="40% - Accent1 14 3 44" xfId="13580"/>
    <cellStyle name="40% - Accent1 14 3 45" xfId="13581"/>
    <cellStyle name="40% - Accent1 14 3 46" xfId="13582"/>
    <cellStyle name="40% - Accent1 14 3 47" xfId="13583"/>
    <cellStyle name="40% - Accent1 14 3 48" xfId="13584"/>
    <cellStyle name="40% - Accent1 14 3 49" xfId="13585"/>
    <cellStyle name="40% - Accent1 14 3 5" xfId="13586"/>
    <cellStyle name="40% - Accent1 14 3 50" xfId="13587"/>
    <cellStyle name="40% - Accent1 14 3 51" xfId="13588"/>
    <cellStyle name="40% - Accent1 14 3 52" xfId="13589"/>
    <cellStyle name="40% - Accent1 14 3 53" xfId="13590"/>
    <cellStyle name="40% - Accent1 14 3 54" xfId="13591"/>
    <cellStyle name="40% - Accent1 14 3 55" xfId="13592"/>
    <cellStyle name="40% - Accent1 14 3 6" xfId="13593"/>
    <cellStyle name="40% - Accent1 14 3 7" xfId="13594"/>
    <cellStyle name="40% - Accent1 14 3 8" xfId="13595"/>
    <cellStyle name="40% - Accent1 14 3 9" xfId="13596"/>
    <cellStyle name="40% - Accent1 15" xfId="13597"/>
    <cellStyle name="40% - Accent1 15 2" xfId="13598"/>
    <cellStyle name="40% - Accent1 15 2 10" xfId="13599"/>
    <cellStyle name="40% - Accent1 15 2 11" xfId="13600"/>
    <cellStyle name="40% - Accent1 15 2 12" xfId="13601"/>
    <cellStyle name="40% - Accent1 15 2 13" xfId="13602"/>
    <cellStyle name="40% - Accent1 15 2 14" xfId="13603"/>
    <cellStyle name="40% - Accent1 15 2 15" xfId="13604"/>
    <cellStyle name="40% - Accent1 15 2 16" xfId="13605"/>
    <cellStyle name="40% - Accent1 15 2 17" xfId="13606"/>
    <cellStyle name="40% - Accent1 15 2 18" xfId="13607"/>
    <cellStyle name="40% - Accent1 15 2 19" xfId="13608"/>
    <cellStyle name="40% - Accent1 15 2 2" xfId="13609"/>
    <cellStyle name="40% - Accent1 15 2 2 2" xfId="13610"/>
    <cellStyle name="40% - Accent1 15 2 20" xfId="13611"/>
    <cellStyle name="40% - Accent1 15 2 21" xfId="13612"/>
    <cellStyle name="40% - Accent1 15 2 22" xfId="13613"/>
    <cellStyle name="40% - Accent1 15 2 23" xfId="13614"/>
    <cellStyle name="40% - Accent1 15 2 24" xfId="13615"/>
    <cellStyle name="40% - Accent1 15 2 25" xfId="13616"/>
    <cellStyle name="40% - Accent1 15 2 26" xfId="13617"/>
    <cellStyle name="40% - Accent1 15 2 27" xfId="13618"/>
    <cellStyle name="40% - Accent1 15 2 28" xfId="13619"/>
    <cellStyle name="40% - Accent1 15 2 29" xfId="13620"/>
    <cellStyle name="40% - Accent1 15 2 3" xfId="13621"/>
    <cellStyle name="40% - Accent1 15 2 30" xfId="13622"/>
    <cellStyle name="40% - Accent1 15 2 31" xfId="13623"/>
    <cellStyle name="40% - Accent1 15 2 32" xfId="13624"/>
    <cellStyle name="40% - Accent1 15 2 33" xfId="13625"/>
    <cellStyle name="40% - Accent1 15 2 34" xfId="13626"/>
    <cellStyle name="40% - Accent1 15 2 35" xfId="13627"/>
    <cellStyle name="40% - Accent1 15 2 36" xfId="13628"/>
    <cellStyle name="40% - Accent1 15 2 37" xfId="13629"/>
    <cellStyle name="40% - Accent1 15 2 38" xfId="13630"/>
    <cellStyle name="40% - Accent1 15 2 39" xfId="13631"/>
    <cellStyle name="40% - Accent1 15 2 4" xfId="13632"/>
    <cellStyle name="40% - Accent1 15 2 40" xfId="13633"/>
    <cellStyle name="40% - Accent1 15 2 41" xfId="13634"/>
    <cellStyle name="40% - Accent1 15 2 42" xfId="13635"/>
    <cellStyle name="40% - Accent1 15 2 43" xfId="13636"/>
    <cellStyle name="40% - Accent1 15 2 44" xfId="13637"/>
    <cellStyle name="40% - Accent1 15 2 45" xfId="13638"/>
    <cellStyle name="40% - Accent1 15 2 46" xfId="13639"/>
    <cellStyle name="40% - Accent1 15 2 47" xfId="13640"/>
    <cellStyle name="40% - Accent1 15 2 48" xfId="13641"/>
    <cellStyle name="40% - Accent1 15 2 49" xfId="13642"/>
    <cellStyle name="40% - Accent1 15 2 5" xfId="13643"/>
    <cellStyle name="40% - Accent1 15 2 50" xfId="13644"/>
    <cellStyle name="40% - Accent1 15 2 51" xfId="13645"/>
    <cellStyle name="40% - Accent1 15 2 52" xfId="13646"/>
    <cellStyle name="40% - Accent1 15 2 53" xfId="13647"/>
    <cellStyle name="40% - Accent1 15 2 54" xfId="13648"/>
    <cellStyle name="40% - Accent1 15 2 55" xfId="13649"/>
    <cellStyle name="40% - Accent1 15 2 6" xfId="13650"/>
    <cellStyle name="40% - Accent1 15 2 7" xfId="13651"/>
    <cellStyle name="40% - Accent1 15 2 8" xfId="13652"/>
    <cellStyle name="40% - Accent1 15 2 9" xfId="13653"/>
    <cellStyle name="40% - Accent1 15 3" xfId="13654"/>
    <cellStyle name="40% - Accent1 15 3 10" xfId="13655"/>
    <cellStyle name="40% - Accent1 15 3 11" xfId="13656"/>
    <cellStyle name="40% - Accent1 15 3 12" xfId="13657"/>
    <cellStyle name="40% - Accent1 15 3 13" xfId="13658"/>
    <cellStyle name="40% - Accent1 15 3 14" xfId="13659"/>
    <cellStyle name="40% - Accent1 15 3 15" xfId="13660"/>
    <cellStyle name="40% - Accent1 15 3 16" xfId="13661"/>
    <cellStyle name="40% - Accent1 15 3 17" xfId="13662"/>
    <cellStyle name="40% - Accent1 15 3 18" xfId="13663"/>
    <cellStyle name="40% - Accent1 15 3 19" xfId="13664"/>
    <cellStyle name="40% - Accent1 15 3 2" xfId="13665"/>
    <cellStyle name="40% - Accent1 15 3 2 2" xfId="13666"/>
    <cellStyle name="40% - Accent1 15 3 20" xfId="13667"/>
    <cellStyle name="40% - Accent1 15 3 21" xfId="13668"/>
    <cellStyle name="40% - Accent1 15 3 22" xfId="13669"/>
    <cellStyle name="40% - Accent1 15 3 23" xfId="13670"/>
    <cellStyle name="40% - Accent1 15 3 24" xfId="13671"/>
    <cellStyle name="40% - Accent1 15 3 25" xfId="13672"/>
    <cellStyle name="40% - Accent1 15 3 26" xfId="13673"/>
    <cellStyle name="40% - Accent1 15 3 27" xfId="13674"/>
    <cellStyle name="40% - Accent1 15 3 28" xfId="13675"/>
    <cellStyle name="40% - Accent1 15 3 29" xfId="13676"/>
    <cellStyle name="40% - Accent1 15 3 3" xfId="13677"/>
    <cellStyle name="40% - Accent1 15 3 30" xfId="13678"/>
    <cellStyle name="40% - Accent1 15 3 31" xfId="13679"/>
    <cellStyle name="40% - Accent1 15 3 32" xfId="13680"/>
    <cellStyle name="40% - Accent1 15 3 33" xfId="13681"/>
    <cellStyle name="40% - Accent1 15 3 34" xfId="13682"/>
    <cellStyle name="40% - Accent1 15 3 35" xfId="13683"/>
    <cellStyle name="40% - Accent1 15 3 36" xfId="13684"/>
    <cellStyle name="40% - Accent1 15 3 37" xfId="13685"/>
    <cellStyle name="40% - Accent1 15 3 38" xfId="13686"/>
    <cellStyle name="40% - Accent1 15 3 39" xfId="13687"/>
    <cellStyle name="40% - Accent1 15 3 4" xfId="13688"/>
    <cellStyle name="40% - Accent1 15 3 40" xfId="13689"/>
    <cellStyle name="40% - Accent1 15 3 41" xfId="13690"/>
    <cellStyle name="40% - Accent1 15 3 42" xfId="13691"/>
    <cellStyle name="40% - Accent1 15 3 43" xfId="13692"/>
    <cellStyle name="40% - Accent1 15 3 44" xfId="13693"/>
    <cellStyle name="40% - Accent1 15 3 45" xfId="13694"/>
    <cellStyle name="40% - Accent1 15 3 46" xfId="13695"/>
    <cellStyle name="40% - Accent1 15 3 47" xfId="13696"/>
    <cellStyle name="40% - Accent1 15 3 48" xfId="13697"/>
    <cellStyle name="40% - Accent1 15 3 49" xfId="13698"/>
    <cellStyle name="40% - Accent1 15 3 5" xfId="13699"/>
    <cellStyle name="40% - Accent1 15 3 50" xfId="13700"/>
    <cellStyle name="40% - Accent1 15 3 51" xfId="13701"/>
    <cellStyle name="40% - Accent1 15 3 52" xfId="13702"/>
    <cellStyle name="40% - Accent1 15 3 53" xfId="13703"/>
    <cellStyle name="40% - Accent1 15 3 54" xfId="13704"/>
    <cellStyle name="40% - Accent1 15 3 55" xfId="13705"/>
    <cellStyle name="40% - Accent1 15 3 6" xfId="13706"/>
    <cellStyle name="40% - Accent1 15 3 7" xfId="13707"/>
    <cellStyle name="40% - Accent1 15 3 8" xfId="13708"/>
    <cellStyle name="40% - Accent1 15 3 9" xfId="13709"/>
    <cellStyle name="40% - Accent1 16" xfId="13710"/>
    <cellStyle name="40% - Accent1 16 2" xfId="13711"/>
    <cellStyle name="40% - Accent1 16 2 10" xfId="13712"/>
    <cellStyle name="40% - Accent1 16 2 11" xfId="13713"/>
    <cellStyle name="40% - Accent1 16 2 12" xfId="13714"/>
    <cellStyle name="40% - Accent1 16 2 13" xfId="13715"/>
    <cellStyle name="40% - Accent1 16 2 14" xfId="13716"/>
    <cellStyle name="40% - Accent1 16 2 15" xfId="13717"/>
    <cellStyle name="40% - Accent1 16 2 16" xfId="13718"/>
    <cellStyle name="40% - Accent1 16 2 17" xfId="13719"/>
    <cellStyle name="40% - Accent1 16 2 18" xfId="13720"/>
    <cellStyle name="40% - Accent1 16 2 19" xfId="13721"/>
    <cellStyle name="40% - Accent1 16 2 2" xfId="13722"/>
    <cellStyle name="40% - Accent1 16 2 2 2" xfId="13723"/>
    <cellStyle name="40% - Accent1 16 2 20" xfId="13724"/>
    <cellStyle name="40% - Accent1 16 2 21" xfId="13725"/>
    <cellStyle name="40% - Accent1 16 2 22" xfId="13726"/>
    <cellStyle name="40% - Accent1 16 2 23" xfId="13727"/>
    <cellStyle name="40% - Accent1 16 2 24" xfId="13728"/>
    <cellStyle name="40% - Accent1 16 2 25" xfId="13729"/>
    <cellStyle name="40% - Accent1 16 2 26" xfId="13730"/>
    <cellStyle name="40% - Accent1 16 2 27" xfId="13731"/>
    <cellStyle name="40% - Accent1 16 2 28" xfId="13732"/>
    <cellStyle name="40% - Accent1 16 2 29" xfId="13733"/>
    <cellStyle name="40% - Accent1 16 2 3" xfId="13734"/>
    <cellStyle name="40% - Accent1 16 2 30" xfId="13735"/>
    <cellStyle name="40% - Accent1 16 2 31" xfId="13736"/>
    <cellStyle name="40% - Accent1 16 2 32" xfId="13737"/>
    <cellStyle name="40% - Accent1 16 2 33" xfId="13738"/>
    <cellStyle name="40% - Accent1 16 2 34" xfId="13739"/>
    <cellStyle name="40% - Accent1 16 2 35" xfId="13740"/>
    <cellStyle name="40% - Accent1 16 2 36" xfId="13741"/>
    <cellStyle name="40% - Accent1 16 2 37" xfId="13742"/>
    <cellStyle name="40% - Accent1 16 2 38" xfId="13743"/>
    <cellStyle name="40% - Accent1 16 2 39" xfId="13744"/>
    <cellStyle name="40% - Accent1 16 2 4" xfId="13745"/>
    <cellStyle name="40% - Accent1 16 2 40" xfId="13746"/>
    <cellStyle name="40% - Accent1 16 2 41" xfId="13747"/>
    <cellStyle name="40% - Accent1 16 2 42" xfId="13748"/>
    <cellStyle name="40% - Accent1 16 2 43" xfId="13749"/>
    <cellStyle name="40% - Accent1 16 2 44" xfId="13750"/>
    <cellStyle name="40% - Accent1 16 2 45" xfId="13751"/>
    <cellStyle name="40% - Accent1 16 2 46" xfId="13752"/>
    <cellStyle name="40% - Accent1 16 2 47" xfId="13753"/>
    <cellStyle name="40% - Accent1 16 2 48" xfId="13754"/>
    <cellStyle name="40% - Accent1 16 2 49" xfId="13755"/>
    <cellStyle name="40% - Accent1 16 2 5" xfId="13756"/>
    <cellStyle name="40% - Accent1 16 2 50" xfId="13757"/>
    <cellStyle name="40% - Accent1 16 2 51" xfId="13758"/>
    <cellStyle name="40% - Accent1 16 2 52" xfId="13759"/>
    <cellStyle name="40% - Accent1 16 2 53" xfId="13760"/>
    <cellStyle name="40% - Accent1 16 2 54" xfId="13761"/>
    <cellStyle name="40% - Accent1 16 2 55" xfId="13762"/>
    <cellStyle name="40% - Accent1 16 2 6" xfId="13763"/>
    <cellStyle name="40% - Accent1 16 2 7" xfId="13764"/>
    <cellStyle name="40% - Accent1 16 2 8" xfId="13765"/>
    <cellStyle name="40% - Accent1 16 2 9" xfId="13766"/>
    <cellStyle name="40% - Accent1 16 3" xfId="13767"/>
    <cellStyle name="40% - Accent1 16 3 10" xfId="13768"/>
    <cellStyle name="40% - Accent1 16 3 11" xfId="13769"/>
    <cellStyle name="40% - Accent1 16 3 12" xfId="13770"/>
    <cellStyle name="40% - Accent1 16 3 13" xfId="13771"/>
    <cellStyle name="40% - Accent1 16 3 14" xfId="13772"/>
    <cellStyle name="40% - Accent1 16 3 15" xfId="13773"/>
    <cellStyle name="40% - Accent1 16 3 16" xfId="13774"/>
    <cellStyle name="40% - Accent1 16 3 17" xfId="13775"/>
    <cellStyle name="40% - Accent1 16 3 18" xfId="13776"/>
    <cellStyle name="40% - Accent1 16 3 19" xfId="13777"/>
    <cellStyle name="40% - Accent1 16 3 2" xfId="13778"/>
    <cellStyle name="40% - Accent1 16 3 2 2" xfId="13779"/>
    <cellStyle name="40% - Accent1 16 3 20" xfId="13780"/>
    <cellStyle name="40% - Accent1 16 3 21" xfId="13781"/>
    <cellStyle name="40% - Accent1 16 3 22" xfId="13782"/>
    <cellStyle name="40% - Accent1 16 3 23" xfId="13783"/>
    <cellStyle name="40% - Accent1 16 3 24" xfId="13784"/>
    <cellStyle name="40% - Accent1 16 3 25" xfId="13785"/>
    <cellStyle name="40% - Accent1 16 3 26" xfId="13786"/>
    <cellStyle name="40% - Accent1 16 3 27" xfId="13787"/>
    <cellStyle name="40% - Accent1 16 3 28" xfId="13788"/>
    <cellStyle name="40% - Accent1 16 3 29" xfId="13789"/>
    <cellStyle name="40% - Accent1 16 3 3" xfId="13790"/>
    <cellStyle name="40% - Accent1 16 3 30" xfId="13791"/>
    <cellStyle name="40% - Accent1 16 3 31" xfId="13792"/>
    <cellStyle name="40% - Accent1 16 3 32" xfId="13793"/>
    <cellStyle name="40% - Accent1 16 3 33" xfId="13794"/>
    <cellStyle name="40% - Accent1 16 3 34" xfId="13795"/>
    <cellStyle name="40% - Accent1 16 3 35" xfId="13796"/>
    <cellStyle name="40% - Accent1 16 3 36" xfId="13797"/>
    <cellStyle name="40% - Accent1 16 3 37" xfId="13798"/>
    <cellStyle name="40% - Accent1 16 3 38" xfId="13799"/>
    <cellStyle name="40% - Accent1 16 3 39" xfId="13800"/>
    <cellStyle name="40% - Accent1 16 3 4" xfId="13801"/>
    <cellStyle name="40% - Accent1 16 3 40" xfId="13802"/>
    <cellStyle name="40% - Accent1 16 3 41" xfId="13803"/>
    <cellStyle name="40% - Accent1 16 3 42" xfId="13804"/>
    <cellStyle name="40% - Accent1 16 3 43" xfId="13805"/>
    <cellStyle name="40% - Accent1 16 3 44" xfId="13806"/>
    <cellStyle name="40% - Accent1 16 3 45" xfId="13807"/>
    <cellStyle name="40% - Accent1 16 3 46" xfId="13808"/>
    <cellStyle name="40% - Accent1 16 3 47" xfId="13809"/>
    <cellStyle name="40% - Accent1 16 3 48" xfId="13810"/>
    <cellStyle name="40% - Accent1 16 3 49" xfId="13811"/>
    <cellStyle name="40% - Accent1 16 3 5" xfId="13812"/>
    <cellStyle name="40% - Accent1 16 3 50" xfId="13813"/>
    <cellStyle name="40% - Accent1 16 3 51" xfId="13814"/>
    <cellStyle name="40% - Accent1 16 3 52" xfId="13815"/>
    <cellStyle name="40% - Accent1 16 3 53" xfId="13816"/>
    <cellStyle name="40% - Accent1 16 3 54" xfId="13817"/>
    <cellStyle name="40% - Accent1 16 3 55" xfId="13818"/>
    <cellStyle name="40% - Accent1 16 3 6" xfId="13819"/>
    <cellStyle name="40% - Accent1 16 3 7" xfId="13820"/>
    <cellStyle name="40% - Accent1 16 3 8" xfId="13821"/>
    <cellStyle name="40% - Accent1 16 3 9" xfId="13822"/>
    <cellStyle name="40% - Accent1 17" xfId="13823"/>
    <cellStyle name="40% - Accent1 17 2" xfId="13824"/>
    <cellStyle name="40% - Accent1 17 2 10" xfId="13825"/>
    <cellStyle name="40% - Accent1 17 2 11" xfId="13826"/>
    <cellStyle name="40% - Accent1 17 2 12" xfId="13827"/>
    <cellStyle name="40% - Accent1 17 2 13" xfId="13828"/>
    <cellStyle name="40% - Accent1 17 2 14" xfId="13829"/>
    <cellStyle name="40% - Accent1 17 2 15" xfId="13830"/>
    <cellStyle name="40% - Accent1 17 2 16" xfId="13831"/>
    <cellStyle name="40% - Accent1 17 2 17" xfId="13832"/>
    <cellStyle name="40% - Accent1 17 2 18" xfId="13833"/>
    <cellStyle name="40% - Accent1 17 2 19" xfId="13834"/>
    <cellStyle name="40% - Accent1 17 2 2" xfId="13835"/>
    <cellStyle name="40% - Accent1 17 2 2 2" xfId="13836"/>
    <cellStyle name="40% - Accent1 17 2 20" xfId="13837"/>
    <cellStyle name="40% - Accent1 17 2 21" xfId="13838"/>
    <cellStyle name="40% - Accent1 17 2 22" xfId="13839"/>
    <cellStyle name="40% - Accent1 17 2 23" xfId="13840"/>
    <cellStyle name="40% - Accent1 17 2 24" xfId="13841"/>
    <cellStyle name="40% - Accent1 17 2 25" xfId="13842"/>
    <cellStyle name="40% - Accent1 17 2 26" xfId="13843"/>
    <cellStyle name="40% - Accent1 17 2 27" xfId="13844"/>
    <cellStyle name="40% - Accent1 17 2 28" xfId="13845"/>
    <cellStyle name="40% - Accent1 17 2 29" xfId="13846"/>
    <cellStyle name="40% - Accent1 17 2 3" xfId="13847"/>
    <cellStyle name="40% - Accent1 17 2 30" xfId="13848"/>
    <cellStyle name="40% - Accent1 17 2 31" xfId="13849"/>
    <cellStyle name="40% - Accent1 17 2 32" xfId="13850"/>
    <cellStyle name="40% - Accent1 17 2 33" xfId="13851"/>
    <cellStyle name="40% - Accent1 17 2 34" xfId="13852"/>
    <cellStyle name="40% - Accent1 17 2 35" xfId="13853"/>
    <cellStyle name="40% - Accent1 17 2 36" xfId="13854"/>
    <cellStyle name="40% - Accent1 17 2 37" xfId="13855"/>
    <cellStyle name="40% - Accent1 17 2 38" xfId="13856"/>
    <cellStyle name="40% - Accent1 17 2 39" xfId="13857"/>
    <cellStyle name="40% - Accent1 17 2 4" xfId="13858"/>
    <cellStyle name="40% - Accent1 17 2 40" xfId="13859"/>
    <cellStyle name="40% - Accent1 17 2 41" xfId="13860"/>
    <cellStyle name="40% - Accent1 17 2 42" xfId="13861"/>
    <cellStyle name="40% - Accent1 17 2 43" xfId="13862"/>
    <cellStyle name="40% - Accent1 17 2 44" xfId="13863"/>
    <cellStyle name="40% - Accent1 17 2 45" xfId="13864"/>
    <cellStyle name="40% - Accent1 17 2 46" xfId="13865"/>
    <cellStyle name="40% - Accent1 17 2 47" xfId="13866"/>
    <cellStyle name="40% - Accent1 17 2 48" xfId="13867"/>
    <cellStyle name="40% - Accent1 17 2 49" xfId="13868"/>
    <cellStyle name="40% - Accent1 17 2 5" xfId="13869"/>
    <cellStyle name="40% - Accent1 17 2 50" xfId="13870"/>
    <cellStyle name="40% - Accent1 17 2 51" xfId="13871"/>
    <cellStyle name="40% - Accent1 17 2 52" xfId="13872"/>
    <cellStyle name="40% - Accent1 17 2 53" xfId="13873"/>
    <cellStyle name="40% - Accent1 17 2 54" xfId="13874"/>
    <cellStyle name="40% - Accent1 17 2 55" xfId="13875"/>
    <cellStyle name="40% - Accent1 17 2 6" xfId="13876"/>
    <cellStyle name="40% - Accent1 17 2 7" xfId="13877"/>
    <cellStyle name="40% - Accent1 17 2 8" xfId="13878"/>
    <cellStyle name="40% - Accent1 17 2 9" xfId="13879"/>
    <cellStyle name="40% - Accent1 17 3" xfId="13880"/>
    <cellStyle name="40% - Accent1 17 3 10" xfId="13881"/>
    <cellStyle name="40% - Accent1 17 3 11" xfId="13882"/>
    <cellStyle name="40% - Accent1 17 3 12" xfId="13883"/>
    <cellStyle name="40% - Accent1 17 3 13" xfId="13884"/>
    <cellStyle name="40% - Accent1 17 3 14" xfId="13885"/>
    <cellStyle name="40% - Accent1 17 3 15" xfId="13886"/>
    <cellStyle name="40% - Accent1 17 3 16" xfId="13887"/>
    <cellStyle name="40% - Accent1 17 3 17" xfId="13888"/>
    <cellStyle name="40% - Accent1 17 3 18" xfId="13889"/>
    <cellStyle name="40% - Accent1 17 3 19" xfId="13890"/>
    <cellStyle name="40% - Accent1 17 3 2" xfId="13891"/>
    <cellStyle name="40% - Accent1 17 3 2 2" xfId="13892"/>
    <cellStyle name="40% - Accent1 17 3 20" xfId="13893"/>
    <cellStyle name="40% - Accent1 17 3 21" xfId="13894"/>
    <cellStyle name="40% - Accent1 17 3 22" xfId="13895"/>
    <cellStyle name="40% - Accent1 17 3 23" xfId="13896"/>
    <cellStyle name="40% - Accent1 17 3 24" xfId="13897"/>
    <cellStyle name="40% - Accent1 17 3 25" xfId="13898"/>
    <cellStyle name="40% - Accent1 17 3 26" xfId="13899"/>
    <cellStyle name="40% - Accent1 17 3 27" xfId="13900"/>
    <cellStyle name="40% - Accent1 17 3 28" xfId="13901"/>
    <cellStyle name="40% - Accent1 17 3 29" xfId="13902"/>
    <cellStyle name="40% - Accent1 17 3 3" xfId="13903"/>
    <cellStyle name="40% - Accent1 17 3 30" xfId="13904"/>
    <cellStyle name="40% - Accent1 17 3 31" xfId="13905"/>
    <cellStyle name="40% - Accent1 17 3 32" xfId="13906"/>
    <cellStyle name="40% - Accent1 17 3 33" xfId="13907"/>
    <cellStyle name="40% - Accent1 17 3 34" xfId="13908"/>
    <cellStyle name="40% - Accent1 17 3 35" xfId="13909"/>
    <cellStyle name="40% - Accent1 17 3 36" xfId="13910"/>
    <cellStyle name="40% - Accent1 17 3 37" xfId="13911"/>
    <cellStyle name="40% - Accent1 17 3 38" xfId="13912"/>
    <cellStyle name="40% - Accent1 17 3 39" xfId="13913"/>
    <cellStyle name="40% - Accent1 17 3 4" xfId="13914"/>
    <cellStyle name="40% - Accent1 17 3 40" xfId="13915"/>
    <cellStyle name="40% - Accent1 17 3 41" xfId="13916"/>
    <cellStyle name="40% - Accent1 17 3 42" xfId="13917"/>
    <cellStyle name="40% - Accent1 17 3 43" xfId="13918"/>
    <cellStyle name="40% - Accent1 17 3 44" xfId="13919"/>
    <cellStyle name="40% - Accent1 17 3 45" xfId="13920"/>
    <cellStyle name="40% - Accent1 17 3 46" xfId="13921"/>
    <cellStyle name="40% - Accent1 17 3 47" xfId="13922"/>
    <cellStyle name="40% - Accent1 17 3 48" xfId="13923"/>
    <cellStyle name="40% - Accent1 17 3 49" xfId="13924"/>
    <cellStyle name="40% - Accent1 17 3 5" xfId="13925"/>
    <cellStyle name="40% - Accent1 17 3 50" xfId="13926"/>
    <cellStyle name="40% - Accent1 17 3 51" xfId="13927"/>
    <cellStyle name="40% - Accent1 17 3 52" xfId="13928"/>
    <cellStyle name="40% - Accent1 17 3 53" xfId="13929"/>
    <cellStyle name="40% - Accent1 17 3 54" xfId="13930"/>
    <cellStyle name="40% - Accent1 17 3 55" xfId="13931"/>
    <cellStyle name="40% - Accent1 17 3 6" xfId="13932"/>
    <cellStyle name="40% - Accent1 17 3 7" xfId="13933"/>
    <cellStyle name="40% - Accent1 17 3 8" xfId="13934"/>
    <cellStyle name="40% - Accent1 17 3 9" xfId="13935"/>
    <cellStyle name="40% - Accent1 18" xfId="13936"/>
    <cellStyle name="40% - Accent1 18 2" xfId="13937"/>
    <cellStyle name="40% - Accent1 18 2 10" xfId="13938"/>
    <cellStyle name="40% - Accent1 18 2 11" xfId="13939"/>
    <cellStyle name="40% - Accent1 18 2 12" xfId="13940"/>
    <cellStyle name="40% - Accent1 18 2 13" xfId="13941"/>
    <cellStyle name="40% - Accent1 18 2 14" xfId="13942"/>
    <cellStyle name="40% - Accent1 18 2 15" xfId="13943"/>
    <cellStyle name="40% - Accent1 18 2 16" xfId="13944"/>
    <cellStyle name="40% - Accent1 18 2 17" xfId="13945"/>
    <cellStyle name="40% - Accent1 18 2 18" xfId="13946"/>
    <cellStyle name="40% - Accent1 18 2 19" xfId="13947"/>
    <cellStyle name="40% - Accent1 18 2 2" xfId="13948"/>
    <cellStyle name="40% - Accent1 18 2 2 2" xfId="13949"/>
    <cellStyle name="40% - Accent1 18 2 20" xfId="13950"/>
    <cellStyle name="40% - Accent1 18 2 21" xfId="13951"/>
    <cellStyle name="40% - Accent1 18 2 22" xfId="13952"/>
    <cellStyle name="40% - Accent1 18 2 23" xfId="13953"/>
    <cellStyle name="40% - Accent1 18 2 24" xfId="13954"/>
    <cellStyle name="40% - Accent1 18 2 25" xfId="13955"/>
    <cellStyle name="40% - Accent1 18 2 26" xfId="13956"/>
    <cellStyle name="40% - Accent1 18 2 27" xfId="13957"/>
    <cellStyle name="40% - Accent1 18 2 28" xfId="13958"/>
    <cellStyle name="40% - Accent1 18 2 29" xfId="13959"/>
    <cellStyle name="40% - Accent1 18 2 3" xfId="13960"/>
    <cellStyle name="40% - Accent1 18 2 30" xfId="13961"/>
    <cellStyle name="40% - Accent1 18 2 31" xfId="13962"/>
    <cellStyle name="40% - Accent1 18 2 32" xfId="13963"/>
    <cellStyle name="40% - Accent1 18 2 33" xfId="13964"/>
    <cellStyle name="40% - Accent1 18 2 34" xfId="13965"/>
    <cellStyle name="40% - Accent1 18 2 35" xfId="13966"/>
    <cellStyle name="40% - Accent1 18 2 36" xfId="13967"/>
    <cellStyle name="40% - Accent1 18 2 37" xfId="13968"/>
    <cellStyle name="40% - Accent1 18 2 38" xfId="13969"/>
    <cellStyle name="40% - Accent1 18 2 39" xfId="13970"/>
    <cellStyle name="40% - Accent1 18 2 4" xfId="13971"/>
    <cellStyle name="40% - Accent1 18 2 40" xfId="13972"/>
    <cellStyle name="40% - Accent1 18 2 41" xfId="13973"/>
    <cellStyle name="40% - Accent1 18 2 42" xfId="13974"/>
    <cellStyle name="40% - Accent1 18 2 43" xfId="13975"/>
    <cellStyle name="40% - Accent1 18 2 44" xfId="13976"/>
    <cellStyle name="40% - Accent1 18 2 45" xfId="13977"/>
    <cellStyle name="40% - Accent1 18 2 46" xfId="13978"/>
    <cellStyle name="40% - Accent1 18 2 47" xfId="13979"/>
    <cellStyle name="40% - Accent1 18 2 48" xfId="13980"/>
    <cellStyle name="40% - Accent1 18 2 49" xfId="13981"/>
    <cellStyle name="40% - Accent1 18 2 5" xfId="13982"/>
    <cellStyle name="40% - Accent1 18 2 50" xfId="13983"/>
    <cellStyle name="40% - Accent1 18 2 51" xfId="13984"/>
    <cellStyle name="40% - Accent1 18 2 52" xfId="13985"/>
    <cellStyle name="40% - Accent1 18 2 53" xfId="13986"/>
    <cellStyle name="40% - Accent1 18 2 54" xfId="13987"/>
    <cellStyle name="40% - Accent1 18 2 55" xfId="13988"/>
    <cellStyle name="40% - Accent1 18 2 6" xfId="13989"/>
    <cellStyle name="40% - Accent1 18 2 7" xfId="13990"/>
    <cellStyle name="40% - Accent1 18 2 8" xfId="13991"/>
    <cellStyle name="40% - Accent1 18 2 9" xfId="13992"/>
    <cellStyle name="40% - Accent1 18 3" xfId="13993"/>
    <cellStyle name="40% - Accent1 18 3 10" xfId="13994"/>
    <cellStyle name="40% - Accent1 18 3 11" xfId="13995"/>
    <cellStyle name="40% - Accent1 18 3 12" xfId="13996"/>
    <cellStyle name="40% - Accent1 18 3 13" xfId="13997"/>
    <cellStyle name="40% - Accent1 18 3 14" xfId="13998"/>
    <cellStyle name="40% - Accent1 18 3 15" xfId="13999"/>
    <cellStyle name="40% - Accent1 18 3 16" xfId="14000"/>
    <cellStyle name="40% - Accent1 18 3 17" xfId="14001"/>
    <cellStyle name="40% - Accent1 18 3 18" xfId="14002"/>
    <cellStyle name="40% - Accent1 18 3 19" xfId="14003"/>
    <cellStyle name="40% - Accent1 18 3 2" xfId="14004"/>
    <cellStyle name="40% - Accent1 18 3 2 2" xfId="14005"/>
    <cellStyle name="40% - Accent1 18 3 20" xfId="14006"/>
    <cellStyle name="40% - Accent1 18 3 21" xfId="14007"/>
    <cellStyle name="40% - Accent1 18 3 22" xfId="14008"/>
    <cellStyle name="40% - Accent1 18 3 23" xfId="14009"/>
    <cellStyle name="40% - Accent1 18 3 24" xfId="14010"/>
    <cellStyle name="40% - Accent1 18 3 25" xfId="14011"/>
    <cellStyle name="40% - Accent1 18 3 26" xfId="14012"/>
    <cellStyle name="40% - Accent1 18 3 27" xfId="14013"/>
    <cellStyle name="40% - Accent1 18 3 28" xfId="14014"/>
    <cellStyle name="40% - Accent1 18 3 29" xfId="14015"/>
    <cellStyle name="40% - Accent1 18 3 3" xfId="14016"/>
    <cellStyle name="40% - Accent1 18 3 30" xfId="14017"/>
    <cellStyle name="40% - Accent1 18 3 31" xfId="14018"/>
    <cellStyle name="40% - Accent1 18 3 32" xfId="14019"/>
    <cellStyle name="40% - Accent1 18 3 33" xfId="14020"/>
    <cellStyle name="40% - Accent1 18 3 34" xfId="14021"/>
    <cellStyle name="40% - Accent1 18 3 35" xfId="14022"/>
    <cellStyle name="40% - Accent1 18 3 36" xfId="14023"/>
    <cellStyle name="40% - Accent1 18 3 37" xfId="14024"/>
    <cellStyle name="40% - Accent1 18 3 38" xfId="14025"/>
    <cellStyle name="40% - Accent1 18 3 39" xfId="14026"/>
    <cellStyle name="40% - Accent1 18 3 4" xfId="14027"/>
    <cellStyle name="40% - Accent1 18 3 40" xfId="14028"/>
    <cellStyle name="40% - Accent1 18 3 41" xfId="14029"/>
    <cellStyle name="40% - Accent1 18 3 42" xfId="14030"/>
    <cellStyle name="40% - Accent1 18 3 43" xfId="14031"/>
    <cellStyle name="40% - Accent1 18 3 44" xfId="14032"/>
    <cellStyle name="40% - Accent1 18 3 45" xfId="14033"/>
    <cellStyle name="40% - Accent1 18 3 46" xfId="14034"/>
    <cellStyle name="40% - Accent1 18 3 47" xfId="14035"/>
    <cellStyle name="40% - Accent1 18 3 48" xfId="14036"/>
    <cellStyle name="40% - Accent1 18 3 49" xfId="14037"/>
    <cellStyle name="40% - Accent1 18 3 5" xfId="14038"/>
    <cellStyle name="40% - Accent1 18 3 50" xfId="14039"/>
    <cellStyle name="40% - Accent1 18 3 51" xfId="14040"/>
    <cellStyle name="40% - Accent1 18 3 52" xfId="14041"/>
    <cellStyle name="40% - Accent1 18 3 53" xfId="14042"/>
    <cellStyle name="40% - Accent1 18 3 54" xfId="14043"/>
    <cellStyle name="40% - Accent1 18 3 55" xfId="14044"/>
    <cellStyle name="40% - Accent1 18 3 6" xfId="14045"/>
    <cellStyle name="40% - Accent1 18 3 7" xfId="14046"/>
    <cellStyle name="40% - Accent1 18 3 8" xfId="14047"/>
    <cellStyle name="40% - Accent1 18 3 9" xfId="14048"/>
    <cellStyle name="40% - Accent1 19" xfId="14049"/>
    <cellStyle name="40% - Accent1 2" xfId="14050"/>
    <cellStyle name="40% - Accent1 2 2" xfId="14051"/>
    <cellStyle name="40% - Accent1 2 2 2" xfId="14052"/>
    <cellStyle name="40% - Accent1 2 2 2 10" xfId="14053"/>
    <cellStyle name="40% - Accent1 2 2 2 11" xfId="14054"/>
    <cellStyle name="40% - Accent1 2 2 2 12" xfId="14055"/>
    <cellStyle name="40% - Accent1 2 2 2 13" xfId="14056"/>
    <cellStyle name="40% - Accent1 2 2 2 14" xfId="14057"/>
    <cellStyle name="40% - Accent1 2 2 2 15" xfId="14058"/>
    <cellStyle name="40% - Accent1 2 2 2 16" xfId="14059"/>
    <cellStyle name="40% - Accent1 2 2 2 17" xfId="14060"/>
    <cellStyle name="40% - Accent1 2 2 2 18" xfId="14061"/>
    <cellStyle name="40% - Accent1 2 2 2 19" xfId="14062"/>
    <cellStyle name="40% - Accent1 2 2 2 2" xfId="14063"/>
    <cellStyle name="40% - Accent1 2 2 2 2 2" xfId="14064"/>
    <cellStyle name="40% - Accent1 2 2 2 20" xfId="14065"/>
    <cellStyle name="40% - Accent1 2 2 2 21" xfId="14066"/>
    <cellStyle name="40% - Accent1 2 2 2 22" xfId="14067"/>
    <cellStyle name="40% - Accent1 2 2 2 23" xfId="14068"/>
    <cellStyle name="40% - Accent1 2 2 2 24" xfId="14069"/>
    <cellStyle name="40% - Accent1 2 2 2 25" xfId="14070"/>
    <cellStyle name="40% - Accent1 2 2 2 26" xfId="14071"/>
    <cellStyle name="40% - Accent1 2 2 2 27" xfId="14072"/>
    <cellStyle name="40% - Accent1 2 2 2 28" xfId="14073"/>
    <cellStyle name="40% - Accent1 2 2 2 29" xfId="14074"/>
    <cellStyle name="40% - Accent1 2 2 2 3" xfId="14075"/>
    <cellStyle name="40% - Accent1 2 2 2 30" xfId="14076"/>
    <cellStyle name="40% - Accent1 2 2 2 31" xfId="14077"/>
    <cellStyle name="40% - Accent1 2 2 2 32" xfId="14078"/>
    <cellStyle name="40% - Accent1 2 2 2 33" xfId="14079"/>
    <cellStyle name="40% - Accent1 2 2 2 34" xfId="14080"/>
    <cellStyle name="40% - Accent1 2 2 2 35" xfId="14081"/>
    <cellStyle name="40% - Accent1 2 2 2 36" xfId="14082"/>
    <cellStyle name="40% - Accent1 2 2 2 37" xfId="14083"/>
    <cellStyle name="40% - Accent1 2 2 2 38" xfId="14084"/>
    <cellStyle name="40% - Accent1 2 2 2 39" xfId="14085"/>
    <cellStyle name="40% - Accent1 2 2 2 4" xfId="14086"/>
    <cellStyle name="40% - Accent1 2 2 2 40" xfId="14087"/>
    <cellStyle name="40% - Accent1 2 2 2 41" xfId="14088"/>
    <cellStyle name="40% - Accent1 2 2 2 42" xfId="14089"/>
    <cellStyle name="40% - Accent1 2 2 2 43" xfId="14090"/>
    <cellStyle name="40% - Accent1 2 2 2 44" xfId="14091"/>
    <cellStyle name="40% - Accent1 2 2 2 45" xfId="14092"/>
    <cellStyle name="40% - Accent1 2 2 2 46" xfId="14093"/>
    <cellStyle name="40% - Accent1 2 2 2 47" xfId="14094"/>
    <cellStyle name="40% - Accent1 2 2 2 48" xfId="14095"/>
    <cellStyle name="40% - Accent1 2 2 2 49" xfId="14096"/>
    <cellStyle name="40% - Accent1 2 2 2 5" xfId="14097"/>
    <cellStyle name="40% - Accent1 2 2 2 50" xfId="14098"/>
    <cellStyle name="40% - Accent1 2 2 2 51" xfId="14099"/>
    <cellStyle name="40% - Accent1 2 2 2 52" xfId="14100"/>
    <cellStyle name="40% - Accent1 2 2 2 53" xfId="14101"/>
    <cellStyle name="40% - Accent1 2 2 2 54" xfId="14102"/>
    <cellStyle name="40% - Accent1 2 2 2 55" xfId="14103"/>
    <cellStyle name="40% - Accent1 2 2 2 6" xfId="14104"/>
    <cellStyle name="40% - Accent1 2 2 2 7" xfId="14105"/>
    <cellStyle name="40% - Accent1 2 2 2 8" xfId="14106"/>
    <cellStyle name="40% - Accent1 2 2 2 9" xfId="14107"/>
    <cellStyle name="40% - Accent1 2 2 2_PM Okt 2014 Plan VS Actual Planning Workshop" xfId="14108"/>
    <cellStyle name="40% - Accent1 2 2 3" xfId="14109"/>
    <cellStyle name="40% - Accent1 2 2 3 10" xfId="14110"/>
    <cellStyle name="40% - Accent1 2 2 3 11" xfId="14111"/>
    <cellStyle name="40% - Accent1 2 2 3 12" xfId="14112"/>
    <cellStyle name="40% - Accent1 2 2 3 13" xfId="14113"/>
    <cellStyle name="40% - Accent1 2 2 3 14" xfId="14114"/>
    <cellStyle name="40% - Accent1 2 2 3 15" xfId="14115"/>
    <cellStyle name="40% - Accent1 2 2 3 16" xfId="14116"/>
    <cellStyle name="40% - Accent1 2 2 3 17" xfId="14117"/>
    <cellStyle name="40% - Accent1 2 2 3 18" xfId="14118"/>
    <cellStyle name="40% - Accent1 2 2 3 19" xfId="14119"/>
    <cellStyle name="40% - Accent1 2 2 3 2" xfId="14120"/>
    <cellStyle name="40% - Accent1 2 2 3 2 2" xfId="14121"/>
    <cellStyle name="40% - Accent1 2 2 3 20" xfId="14122"/>
    <cellStyle name="40% - Accent1 2 2 3 21" xfId="14123"/>
    <cellStyle name="40% - Accent1 2 2 3 22" xfId="14124"/>
    <cellStyle name="40% - Accent1 2 2 3 23" xfId="14125"/>
    <cellStyle name="40% - Accent1 2 2 3 24" xfId="14126"/>
    <cellStyle name="40% - Accent1 2 2 3 25" xfId="14127"/>
    <cellStyle name="40% - Accent1 2 2 3 26" xfId="14128"/>
    <cellStyle name="40% - Accent1 2 2 3 27" xfId="14129"/>
    <cellStyle name="40% - Accent1 2 2 3 28" xfId="14130"/>
    <cellStyle name="40% - Accent1 2 2 3 29" xfId="14131"/>
    <cellStyle name="40% - Accent1 2 2 3 3" xfId="14132"/>
    <cellStyle name="40% - Accent1 2 2 3 30" xfId="14133"/>
    <cellStyle name="40% - Accent1 2 2 3 31" xfId="14134"/>
    <cellStyle name="40% - Accent1 2 2 3 32" xfId="14135"/>
    <cellStyle name="40% - Accent1 2 2 3 33" xfId="14136"/>
    <cellStyle name="40% - Accent1 2 2 3 34" xfId="14137"/>
    <cellStyle name="40% - Accent1 2 2 3 35" xfId="14138"/>
    <cellStyle name="40% - Accent1 2 2 3 36" xfId="14139"/>
    <cellStyle name="40% - Accent1 2 2 3 37" xfId="14140"/>
    <cellStyle name="40% - Accent1 2 2 3 38" xfId="14141"/>
    <cellStyle name="40% - Accent1 2 2 3 39" xfId="14142"/>
    <cellStyle name="40% - Accent1 2 2 3 4" xfId="14143"/>
    <cellStyle name="40% - Accent1 2 2 3 40" xfId="14144"/>
    <cellStyle name="40% - Accent1 2 2 3 41" xfId="14145"/>
    <cellStyle name="40% - Accent1 2 2 3 42" xfId="14146"/>
    <cellStyle name="40% - Accent1 2 2 3 43" xfId="14147"/>
    <cellStyle name="40% - Accent1 2 2 3 44" xfId="14148"/>
    <cellStyle name="40% - Accent1 2 2 3 45" xfId="14149"/>
    <cellStyle name="40% - Accent1 2 2 3 46" xfId="14150"/>
    <cellStyle name="40% - Accent1 2 2 3 47" xfId="14151"/>
    <cellStyle name="40% - Accent1 2 2 3 48" xfId="14152"/>
    <cellStyle name="40% - Accent1 2 2 3 49" xfId="14153"/>
    <cellStyle name="40% - Accent1 2 2 3 5" xfId="14154"/>
    <cellStyle name="40% - Accent1 2 2 3 50" xfId="14155"/>
    <cellStyle name="40% - Accent1 2 2 3 51" xfId="14156"/>
    <cellStyle name="40% - Accent1 2 2 3 52" xfId="14157"/>
    <cellStyle name="40% - Accent1 2 2 3 53" xfId="14158"/>
    <cellStyle name="40% - Accent1 2 2 3 54" xfId="14159"/>
    <cellStyle name="40% - Accent1 2 2 3 55" xfId="14160"/>
    <cellStyle name="40% - Accent1 2 2 3 6" xfId="14161"/>
    <cellStyle name="40% - Accent1 2 2 3 7" xfId="14162"/>
    <cellStyle name="40% - Accent1 2 2 3 8" xfId="14163"/>
    <cellStyle name="40% - Accent1 2 2 3 9" xfId="14164"/>
    <cellStyle name="40% - Accent1 2 2_Format Template Preventive Maintenance" xfId="14165"/>
    <cellStyle name="40% - Accent1 2 3" xfId="14166"/>
    <cellStyle name="40% - Accent1 2 3 10" xfId="14167"/>
    <cellStyle name="40% - Accent1 2 3 11" xfId="14168"/>
    <cellStyle name="40% - Accent1 2 3 12" xfId="14169"/>
    <cellStyle name="40% - Accent1 2 3 13" xfId="14170"/>
    <cellStyle name="40% - Accent1 2 3 14" xfId="14171"/>
    <cellStyle name="40% - Accent1 2 3 15" xfId="14172"/>
    <cellStyle name="40% - Accent1 2 3 16" xfId="14173"/>
    <cellStyle name="40% - Accent1 2 3 17" xfId="14174"/>
    <cellStyle name="40% - Accent1 2 3 18" xfId="14175"/>
    <cellStyle name="40% - Accent1 2 3 19" xfId="14176"/>
    <cellStyle name="40% - Accent1 2 3 2" xfId="14177"/>
    <cellStyle name="40% - Accent1 2 3 2 2" xfId="14178"/>
    <cellStyle name="40% - Accent1 2 3 2_PM Okt 2014 Plan VS Actual Planning Workshop" xfId="14179"/>
    <cellStyle name="40% - Accent1 2 3 20" xfId="14180"/>
    <cellStyle name="40% - Accent1 2 3 21" xfId="14181"/>
    <cellStyle name="40% - Accent1 2 3 22" xfId="14182"/>
    <cellStyle name="40% - Accent1 2 3 23" xfId="14183"/>
    <cellStyle name="40% - Accent1 2 3 24" xfId="14184"/>
    <cellStyle name="40% - Accent1 2 3 25" xfId="14185"/>
    <cellStyle name="40% - Accent1 2 3 26" xfId="14186"/>
    <cellStyle name="40% - Accent1 2 3 27" xfId="14187"/>
    <cellStyle name="40% - Accent1 2 3 28" xfId="14188"/>
    <cellStyle name="40% - Accent1 2 3 29" xfId="14189"/>
    <cellStyle name="40% - Accent1 2 3 3" xfId="14190"/>
    <cellStyle name="40% - Accent1 2 3 30" xfId="14191"/>
    <cellStyle name="40% - Accent1 2 3 31" xfId="14192"/>
    <cellStyle name="40% - Accent1 2 3 32" xfId="14193"/>
    <cellStyle name="40% - Accent1 2 3 33" xfId="14194"/>
    <cellStyle name="40% - Accent1 2 3 34" xfId="14195"/>
    <cellStyle name="40% - Accent1 2 3 35" xfId="14196"/>
    <cellStyle name="40% - Accent1 2 3 36" xfId="14197"/>
    <cellStyle name="40% - Accent1 2 3 37" xfId="14198"/>
    <cellStyle name="40% - Accent1 2 3 38" xfId="14199"/>
    <cellStyle name="40% - Accent1 2 3 39" xfId="14200"/>
    <cellStyle name="40% - Accent1 2 3 4" xfId="14201"/>
    <cellStyle name="40% - Accent1 2 3 40" xfId="14202"/>
    <cellStyle name="40% - Accent1 2 3 41" xfId="14203"/>
    <cellStyle name="40% - Accent1 2 3 42" xfId="14204"/>
    <cellStyle name="40% - Accent1 2 3 43" xfId="14205"/>
    <cellStyle name="40% - Accent1 2 3 44" xfId="14206"/>
    <cellStyle name="40% - Accent1 2 3 45" xfId="14207"/>
    <cellStyle name="40% - Accent1 2 3 46" xfId="14208"/>
    <cellStyle name="40% - Accent1 2 3 47" xfId="14209"/>
    <cellStyle name="40% - Accent1 2 3 48" xfId="14210"/>
    <cellStyle name="40% - Accent1 2 3 49" xfId="14211"/>
    <cellStyle name="40% - Accent1 2 3 5" xfId="14212"/>
    <cellStyle name="40% - Accent1 2 3 50" xfId="14213"/>
    <cellStyle name="40% - Accent1 2 3 51" xfId="14214"/>
    <cellStyle name="40% - Accent1 2 3 52" xfId="14215"/>
    <cellStyle name="40% - Accent1 2 3 53" xfId="14216"/>
    <cellStyle name="40% - Accent1 2 3 54" xfId="14217"/>
    <cellStyle name="40% - Accent1 2 3 55" xfId="14218"/>
    <cellStyle name="40% - Accent1 2 3 6" xfId="14219"/>
    <cellStyle name="40% - Accent1 2 3 7" xfId="14220"/>
    <cellStyle name="40% - Accent1 2 3 8" xfId="14221"/>
    <cellStyle name="40% - Accent1 2 3 9" xfId="14222"/>
    <cellStyle name="40% - Accent1 2 3_Format Template Preventive Maintenance" xfId="14223"/>
    <cellStyle name="40% - Accent1 2 4" xfId="14224"/>
    <cellStyle name="40% - Accent1 2 4 2" xfId="14225"/>
    <cellStyle name="40% - Accent1 2 5" xfId="14226"/>
    <cellStyle name="40% - Accent1 2_Asset monitoring board" xfId="14227"/>
    <cellStyle name="40% - Accent1 3" xfId="14228"/>
    <cellStyle name="40% - Accent1 3 2" xfId="14229"/>
    <cellStyle name="40% - Accent1 3 2 10" xfId="14230"/>
    <cellStyle name="40% - Accent1 3 2 11" xfId="14231"/>
    <cellStyle name="40% - Accent1 3 2 12" xfId="14232"/>
    <cellStyle name="40% - Accent1 3 2 13" xfId="14233"/>
    <cellStyle name="40% - Accent1 3 2 14" xfId="14234"/>
    <cellStyle name="40% - Accent1 3 2 15" xfId="14235"/>
    <cellStyle name="40% - Accent1 3 2 16" xfId="14236"/>
    <cellStyle name="40% - Accent1 3 2 17" xfId="14237"/>
    <cellStyle name="40% - Accent1 3 2 18" xfId="14238"/>
    <cellStyle name="40% - Accent1 3 2 19" xfId="14239"/>
    <cellStyle name="40% - Accent1 3 2 2" xfId="14240"/>
    <cellStyle name="40% - Accent1 3 2 2 2" xfId="14241"/>
    <cellStyle name="40% - Accent1 3 2 20" xfId="14242"/>
    <cellStyle name="40% - Accent1 3 2 21" xfId="14243"/>
    <cellStyle name="40% - Accent1 3 2 22" xfId="14244"/>
    <cellStyle name="40% - Accent1 3 2 23" xfId="14245"/>
    <cellStyle name="40% - Accent1 3 2 24" xfId="14246"/>
    <cellStyle name="40% - Accent1 3 2 25" xfId="14247"/>
    <cellStyle name="40% - Accent1 3 2 26" xfId="14248"/>
    <cellStyle name="40% - Accent1 3 2 27" xfId="14249"/>
    <cellStyle name="40% - Accent1 3 2 28" xfId="14250"/>
    <cellStyle name="40% - Accent1 3 2 29" xfId="14251"/>
    <cellStyle name="40% - Accent1 3 2 3" xfId="14252"/>
    <cellStyle name="40% - Accent1 3 2 30" xfId="14253"/>
    <cellStyle name="40% - Accent1 3 2 31" xfId="14254"/>
    <cellStyle name="40% - Accent1 3 2 32" xfId="14255"/>
    <cellStyle name="40% - Accent1 3 2 33" xfId="14256"/>
    <cellStyle name="40% - Accent1 3 2 34" xfId="14257"/>
    <cellStyle name="40% - Accent1 3 2 35" xfId="14258"/>
    <cellStyle name="40% - Accent1 3 2 36" xfId="14259"/>
    <cellStyle name="40% - Accent1 3 2 37" xfId="14260"/>
    <cellStyle name="40% - Accent1 3 2 38" xfId="14261"/>
    <cellStyle name="40% - Accent1 3 2 39" xfId="14262"/>
    <cellStyle name="40% - Accent1 3 2 4" xfId="14263"/>
    <cellStyle name="40% - Accent1 3 2 40" xfId="14264"/>
    <cellStyle name="40% - Accent1 3 2 41" xfId="14265"/>
    <cellStyle name="40% - Accent1 3 2 42" xfId="14266"/>
    <cellStyle name="40% - Accent1 3 2 43" xfId="14267"/>
    <cellStyle name="40% - Accent1 3 2 44" xfId="14268"/>
    <cellStyle name="40% - Accent1 3 2 45" xfId="14269"/>
    <cellStyle name="40% - Accent1 3 2 46" xfId="14270"/>
    <cellStyle name="40% - Accent1 3 2 47" xfId="14271"/>
    <cellStyle name="40% - Accent1 3 2 48" xfId="14272"/>
    <cellStyle name="40% - Accent1 3 2 49" xfId="14273"/>
    <cellStyle name="40% - Accent1 3 2 5" xfId="14274"/>
    <cellStyle name="40% - Accent1 3 2 50" xfId="14275"/>
    <cellStyle name="40% - Accent1 3 2 51" xfId="14276"/>
    <cellStyle name="40% - Accent1 3 2 52" xfId="14277"/>
    <cellStyle name="40% - Accent1 3 2 53" xfId="14278"/>
    <cellStyle name="40% - Accent1 3 2 54" xfId="14279"/>
    <cellStyle name="40% - Accent1 3 2 55" xfId="14280"/>
    <cellStyle name="40% - Accent1 3 2 6" xfId="14281"/>
    <cellStyle name="40% - Accent1 3 2 7" xfId="14282"/>
    <cellStyle name="40% - Accent1 3 2 8" xfId="14283"/>
    <cellStyle name="40% - Accent1 3 2 9" xfId="14284"/>
    <cellStyle name="40% - Accent1 3 3" xfId="14285"/>
    <cellStyle name="40% - Accent1 3 3 10" xfId="14286"/>
    <cellStyle name="40% - Accent1 3 3 11" xfId="14287"/>
    <cellStyle name="40% - Accent1 3 3 12" xfId="14288"/>
    <cellStyle name="40% - Accent1 3 3 13" xfId="14289"/>
    <cellStyle name="40% - Accent1 3 3 14" xfId="14290"/>
    <cellStyle name="40% - Accent1 3 3 15" xfId="14291"/>
    <cellStyle name="40% - Accent1 3 3 16" xfId="14292"/>
    <cellStyle name="40% - Accent1 3 3 17" xfId="14293"/>
    <cellStyle name="40% - Accent1 3 3 18" xfId="14294"/>
    <cellStyle name="40% - Accent1 3 3 19" xfId="14295"/>
    <cellStyle name="40% - Accent1 3 3 2" xfId="14296"/>
    <cellStyle name="40% - Accent1 3 3 2 2" xfId="14297"/>
    <cellStyle name="40% - Accent1 3 3 20" xfId="14298"/>
    <cellStyle name="40% - Accent1 3 3 21" xfId="14299"/>
    <cellStyle name="40% - Accent1 3 3 22" xfId="14300"/>
    <cellStyle name="40% - Accent1 3 3 23" xfId="14301"/>
    <cellStyle name="40% - Accent1 3 3 24" xfId="14302"/>
    <cellStyle name="40% - Accent1 3 3 25" xfId="14303"/>
    <cellStyle name="40% - Accent1 3 3 26" xfId="14304"/>
    <cellStyle name="40% - Accent1 3 3 27" xfId="14305"/>
    <cellStyle name="40% - Accent1 3 3 28" xfId="14306"/>
    <cellStyle name="40% - Accent1 3 3 29" xfId="14307"/>
    <cellStyle name="40% - Accent1 3 3 3" xfId="14308"/>
    <cellStyle name="40% - Accent1 3 3 30" xfId="14309"/>
    <cellStyle name="40% - Accent1 3 3 31" xfId="14310"/>
    <cellStyle name="40% - Accent1 3 3 32" xfId="14311"/>
    <cellStyle name="40% - Accent1 3 3 33" xfId="14312"/>
    <cellStyle name="40% - Accent1 3 3 34" xfId="14313"/>
    <cellStyle name="40% - Accent1 3 3 35" xfId="14314"/>
    <cellStyle name="40% - Accent1 3 3 36" xfId="14315"/>
    <cellStyle name="40% - Accent1 3 3 37" xfId="14316"/>
    <cellStyle name="40% - Accent1 3 3 38" xfId="14317"/>
    <cellStyle name="40% - Accent1 3 3 39" xfId="14318"/>
    <cellStyle name="40% - Accent1 3 3 4" xfId="14319"/>
    <cellStyle name="40% - Accent1 3 3 40" xfId="14320"/>
    <cellStyle name="40% - Accent1 3 3 41" xfId="14321"/>
    <cellStyle name="40% - Accent1 3 3 42" xfId="14322"/>
    <cellStyle name="40% - Accent1 3 3 43" xfId="14323"/>
    <cellStyle name="40% - Accent1 3 3 44" xfId="14324"/>
    <cellStyle name="40% - Accent1 3 3 45" xfId="14325"/>
    <cellStyle name="40% - Accent1 3 3 46" xfId="14326"/>
    <cellStyle name="40% - Accent1 3 3 47" xfId="14327"/>
    <cellStyle name="40% - Accent1 3 3 48" xfId="14328"/>
    <cellStyle name="40% - Accent1 3 3 49" xfId="14329"/>
    <cellStyle name="40% - Accent1 3 3 5" xfId="14330"/>
    <cellStyle name="40% - Accent1 3 3 50" xfId="14331"/>
    <cellStyle name="40% - Accent1 3 3 51" xfId="14332"/>
    <cellStyle name="40% - Accent1 3 3 52" xfId="14333"/>
    <cellStyle name="40% - Accent1 3 3 53" xfId="14334"/>
    <cellStyle name="40% - Accent1 3 3 54" xfId="14335"/>
    <cellStyle name="40% - Accent1 3 3 55" xfId="14336"/>
    <cellStyle name="40% - Accent1 3 3 6" xfId="14337"/>
    <cellStyle name="40% - Accent1 3 3 7" xfId="14338"/>
    <cellStyle name="40% - Accent1 3 3 8" xfId="14339"/>
    <cellStyle name="40% - Accent1 3 3 9" xfId="14340"/>
    <cellStyle name="40% - Accent1 4" xfId="14341"/>
    <cellStyle name="40% - Accent1 4 2" xfId="14342"/>
    <cellStyle name="40% - Accent1 4 2 10" xfId="14343"/>
    <cellStyle name="40% - Accent1 4 2 11" xfId="14344"/>
    <cellStyle name="40% - Accent1 4 2 12" xfId="14345"/>
    <cellStyle name="40% - Accent1 4 2 13" xfId="14346"/>
    <cellStyle name="40% - Accent1 4 2 14" xfId="14347"/>
    <cellStyle name="40% - Accent1 4 2 15" xfId="14348"/>
    <cellStyle name="40% - Accent1 4 2 16" xfId="14349"/>
    <cellStyle name="40% - Accent1 4 2 17" xfId="14350"/>
    <cellStyle name="40% - Accent1 4 2 18" xfId="14351"/>
    <cellStyle name="40% - Accent1 4 2 19" xfId="14352"/>
    <cellStyle name="40% - Accent1 4 2 2" xfId="14353"/>
    <cellStyle name="40% - Accent1 4 2 2 2" xfId="14354"/>
    <cellStyle name="40% - Accent1 4 2 20" xfId="14355"/>
    <cellStyle name="40% - Accent1 4 2 21" xfId="14356"/>
    <cellStyle name="40% - Accent1 4 2 22" xfId="14357"/>
    <cellStyle name="40% - Accent1 4 2 23" xfId="14358"/>
    <cellStyle name="40% - Accent1 4 2 24" xfId="14359"/>
    <cellStyle name="40% - Accent1 4 2 25" xfId="14360"/>
    <cellStyle name="40% - Accent1 4 2 26" xfId="14361"/>
    <cellStyle name="40% - Accent1 4 2 27" xfId="14362"/>
    <cellStyle name="40% - Accent1 4 2 28" xfId="14363"/>
    <cellStyle name="40% - Accent1 4 2 29" xfId="14364"/>
    <cellStyle name="40% - Accent1 4 2 3" xfId="14365"/>
    <cellStyle name="40% - Accent1 4 2 30" xfId="14366"/>
    <cellStyle name="40% - Accent1 4 2 31" xfId="14367"/>
    <cellStyle name="40% - Accent1 4 2 32" xfId="14368"/>
    <cellStyle name="40% - Accent1 4 2 33" xfId="14369"/>
    <cellStyle name="40% - Accent1 4 2 34" xfId="14370"/>
    <cellStyle name="40% - Accent1 4 2 35" xfId="14371"/>
    <cellStyle name="40% - Accent1 4 2 36" xfId="14372"/>
    <cellStyle name="40% - Accent1 4 2 37" xfId="14373"/>
    <cellStyle name="40% - Accent1 4 2 38" xfId="14374"/>
    <cellStyle name="40% - Accent1 4 2 39" xfId="14375"/>
    <cellStyle name="40% - Accent1 4 2 4" xfId="14376"/>
    <cellStyle name="40% - Accent1 4 2 40" xfId="14377"/>
    <cellStyle name="40% - Accent1 4 2 41" xfId="14378"/>
    <cellStyle name="40% - Accent1 4 2 42" xfId="14379"/>
    <cellStyle name="40% - Accent1 4 2 43" xfId="14380"/>
    <cellStyle name="40% - Accent1 4 2 44" xfId="14381"/>
    <cellStyle name="40% - Accent1 4 2 45" xfId="14382"/>
    <cellStyle name="40% - Accent1 4 2 46" xfId="14383"/>
    <cellStyle name="40% - Accent1 4 2 47" xfId="14384"/>
    <cellStyle name="40% - Accent1 4 2 48" xfId="14385"/>
    <cellStyle name="40% - Accent1 4 2 49" xfId="14386"/>
    <cellStyle name="40% - Accent1 4 2 5" xfId="14387"/>
    <cellStyle name="40% - Accent1 4 2 50" xfId="14388"/>
    <cellStyle name="40% - Accent1 4 2 51" xfId="14389"/>
    <cellStyle name="40% - Accent1 4 2 52" xfId="14390"/>
    <cellStyle name="40% - Accent1 4 2 53" xfId="14391"/>
    <cellStyle name="40% - Accent1 4 2 54" xfId="14392"/>
    <cellStyle name="40% - Accent1 4 2 55" xfId="14393"/>
    <cellStyle name="40% - Accent1 4 2 6" xfId="14394"/>
    <cellStyle name="40% - Accent1 4 2 7" xfId="14395"/>
    <cellStyle name="40% - Accent1 4 2 8" xfId="14396"/>
    <cellStyle name="40% - Accent1 4 2 9" xfId="14397"/>
    <cellStyle name="40% - Accent1 4 3" xfId="14398"/>
    <cellStyle name="40% - Accent1 4 3 10" xfId="14399"/>
    <cellStyle name="40% - Accent1 4 3 11" xfId="14400"/>
    <cellStyle name="40% - Accent1 4 3 12" xfId="14401"/>
    <cellStyle name="40% - Accent1 4 3 13" xfId="14402"/>
    <cellStyle name="40% - Accent1 4 3 14" xfId="14403"/>
    <cellStyle name="40% - Accent1 4 3 15" xfId="14404"/>
    <cellStyle name="40% - Accent1 4 3 16" xfId="14405"/>
    <cellStyle name="40% - Accent1 4 3 17" xfId="14406"/>
    <cellStyle name="40% - Accent1 4 3 18" xfId="14407"/>
    <cellStyle name="40% - Accent1 4 3 19" xfId="14408"/>
    <cellStyle name="40% - Accent1 4 3 2" xfId="14409"/>
    <cellStyle name="40% - Accent1 4 3 2 2" xfId="14410"/>
    <cellStyle name="40% - Accent1 4 3 20" xfId="14411"/>
    <cellStyle name="40% - Accent1 4 3 21" xfId="14412"/>
    <cellStyle name="40% - Accent1 4 3 22" xfId="14413"/>
    <cellStyle name="40% - Accent1 4 3 23" xfId="14414"/>
    <cellStyle name="40% - Accent1 4 3 24" xfId="14415"/>
    <cellStyle name="40% - Accent1 4 3 25" xfId="14416"/>
    <cellStyle name="40% - Accent1 4 3 26" xfId="14417"/>
    <cellStyle name="40% - Accent1 4 3 27" xfId="14418"/>
    <cellStyle name="40% - Accent1 4 3 28" xfId="14419"/>
    <cellStyle name="40% - Accent1 4 3 29" xfId="14420"/>
    <cellStyle name="40% - Accent1 4 3 3" xfId="14421"/>
    <cellStyle name="40% - Accent1 4 3 30" xfId="14422"/>
    <cellStyle name="40% - Accent1 4 3 31" xfId="14423"/>
    <cellStyle name="40% - Accent1 4 3 32" xfId="14424"/>
    <cellStyle name="40% - Accent1 4 3 33" xfId="14425"/>
    <cellStyle name="40% - Accent1 4 3 34" xfId="14426"/>
    <cellStyle name="40% - Accent1 4 3 35" xfId="14427"/>
    <cellStyle name="40% - Accent1 4 3 36" xfId="14428"/>
    <cellStyle name="40% - Accent1 4 3 37" xfId="14429"/>
    <cellStyle name="40% - Accent1 4 3 38" xfId="14430"/>
    <cellStyle name="40% - Accent1 4 3 39" xfId="14431"/>
    <cellStyle name="40% - Accent1 4 3 4" xfId="14432"/>
    <cellStyle name="40% - Accent1 4 3 40" xfId="14433"/>
    <cellStyle name="40% - Accent1 4 3 41" xfId="14434"/>
    <cellStyle name="40% - Accent1 4 3 42" xfId="14435"/>
    <cellStyle name="40% - Accent1 4 3 43" xfId="14436"/>
    <cellStyle name="40% - Accent1 4 3 44" xfId="14437"/>
    <cellStyle name="40% - Accent1 4 3 45" xfId="14438"/>
    <cellStyle name="40% - Accent1 4 3 46" xfId="14439"/>
    <cellStyle name="40% - Accent1 4 3 47" xfId="14440"/>
    <cellStyle name="40% - Accent1 4 3 48" xfId="14441"/>
    <cellStyle name="40% - Accent1 4 3 49" xfId="14442"/>
    <cellStyle name="40% - Accent1 4 3 5" xfId="14443"/>
    <cellStyle name="40% - Accent1 4 3 50" xfId="14444"/>
    <cellStyle name="40% - Accent1 4 3 51" xfId="14445"/>
    <cellStyle name="40% - Accent1 4 3 52" xfId="14446"/>
    <cellStyle name="40% - Accent1 4 3 53" xfId="14447"/>
    <cellStyle name="40% - Accent1 4 3 54" xfId="14448"/>
    <cellStyle name="40% - Accent1 4 3 55" xfId="14449"/>
    <cellStyle name="40% - Accent1 4 3 6" xfId="14450"/>
    <cellStyle name="40% - Accent1 4 3 7" xfId="14451"/>
    <cellStyle name="40% - Accent1 4 3 8" xfId="14452"/>
    <cellStyle name="40% - Accent1 4 3 9" xfId="14453"/>
    <cellStyle name="40% - Accent1 4 4" xfId="58364"/>
    <cellStyle name="40% - Accent1 5" xfId="14454"/>
    <cellStyle name="40% - Accent1 5 2" xfId="14455"/>
    <cellStyle name="40% - Accent1 5 2 10" xfId="14456"/>
    <cellStyle name="40% - Accent1 5 2 11" xfId="14457"/>
    <cellStyle name="40% - Accent1 5 2 12" xfId="14458"/>
    <cellStyle name="40% - Accent1 5 2 13" xfId="14459"/>
    <cellStyle name="40% - Accent1 5 2 14" xfId="14460"/>
    <cellStyle name="40% - Accent1 5 2 15" xfId="14461"/>
    <cellStyle name="40% - Accent1 5 2 16" xfId="14462"/>
    <cellStyle name="40% - Accent1 5 2 17" xfId="14463"/>
    <cellStyle name="40% - Accent1 5 2 18" xfId="14464"/>
    <cellStyle name="40% - Accent1 5 2 19" xfId="14465"/>
    <cellStyle name="40% - Accent1 5 2 2" xfId="14466"/>
    <cellStyle name="40% - Accent1 5 2 2 2" xfId="14467"/>
    <cellStyle name="40% - Accent1 5 2 20" xfId="14468"/>
    <cellStyle name="40% - Accent1 5 2 21" xfId="14469"/>
    <cellStyle name="40% - Accent1 5 2 22" xfId="14470"/>
    <cellStyle name="40% - Accent1 5 2 23" xfId="14471"/>
    <cellStyle name="40% - Accent1 5 2 24" xfId="14472"/>
    <cellStyle name="40% - Accent1 5 2 25" xfId="14473"/>
    <cellStyle name="40% - Accent1 5 2 26" xfId="14474"/>
    <cellStyle name="40% - Accent1 5 2 27" xfId="14475"/>
    <cellStyle name="40% - Accent1 5 2 28" xfId="14476"/>
    <cellStyle name="40% - Accent1 5 2 29" xfId="14477"/>
    <cellStyle name="40% - Accent1 5 2 3" xfId="14478"/>
    <cellStyle name="40% - Accent1 5 2 30" xfId="14479"/>
    <cellStyle name="40% - Accent1 5 2 31" xfId="14480"/>
    <cellStyle name="40% - Accent1 5 2 32" xfId="14481"/>
    <cellStyle name="40% - Accent1 5 2 33" xfId="14482"/>
    <cellStyle name="40% - Accent1 5 2 34" xfId="14483"/>
    <cellStyle name="40% - Accent1 5 2 35" xfId="14484"/>
    <cellStyle name="40% - Accent1 5 2 36" xfId="14485"/>
    <cellStyle name="40% - Accent1 5 2 37" xfId="14486"/>
    <cellStyle name="40% - Accent1 5 2 38" xfId="14487"/>
    <cellStyle name="40% - Accent1 5 2 39" xfId="14488"/>
    <cellStyle name="40% - Accent1 5 2 4" xfId="14489"/>
    <cellStyle name="40% - Accent1 5 2 40" xfId="14490"/>
    <cellStyle name="40% - Accent1 5 2 41" xfId="14491"/>
    <cellStyle name="40% - Accent1 5 2 42" xfId="14492"/>
    <cellStyle name="40% - Accent1 5 2 43" xfId="14493"/>
    <cellStyle name="40% - Accent1 5 2 44" xfId="14494"/>
    <cellStyle name="40% - Accent1 5 2 45" xfId="14495"/>
    <cellStyle name="40% - Accent1 5 2 46" xfId="14496"/>
    <cellStyle name="40% - Accent1 5 2 47" xfId="14497"/>
    <cellStyle name="40% - Accent1 5 2 48" xfId="14498"/>
    <cellStyle name="40% - Accent1 5 2 49" xfId="14499"/>
    <cellStyle name="40% - Accent1 5 2 5" xfId="14500"/>
    <cellStyle name="40% - Accent1 5 2 50" xfId="14501"/>
    <cellStyle name="40% - Accent1 5 2 51" xfId="14502"/>
    <cellStyle name="40% - Accent1 5 2 52" xfId="14503"/>
    <cellStyle name="40% - Accent1 5 2 53" xfId="14504"/>
    <cellStyle name="40% - Accent1 5 2 54" xfId="14505"/>
    <cellStyle name="40% - Accent1 5 2 55" xfId="14506"/>
    <cellStyle name="40% - Accent1 5 2 6" xfId="14507"/>
    <cellStyle name="40% - Accent1 5 2 7" xfId="14508"/>
    <cellStyle name="40% - Accent1 5 2 8" xfId="14509"/>
    <cellStyle name="40% - Accent1 5 2 9" xfId="14510"/>
    <cellStyle name="40% - Accent1 5 3" xfId="14511"/>
    <cellStyle name="40% - Accent1 5 3 10" xfId="14512"/>
    <cellStyle name="40% - Accent1 5 3 11" xfId="14513"/>
    <cellStyle name="40% - Accent1 5 3 12" xfId="14514"/>
    <cellStyle name="40% - Accent1 5 3 13" xfId="14515"/>
    <cellStyle name="40% - Accent1 5 3 14" xfId="14516"/>
    <cellStyle name="40% - Accent1 5 3 15" xfId="14517"/>
    <cellStyle name="40% - Accent1 5 3 16" xfId="14518"/>
    <cellStyle name="40% - Accent1 5 3 17" xfId="14519"/>
    <cellStyle name="40% - Accent1 5 3 18" xfId="14520"/>
    <cellStyle name="40% - Accent1 5 3 19" xfId="14521"/>
    <cellStyle name="40% - Accent1 5 3 2" xfId="14522"/>
    <cellStyle name="40% - Accent1 5 3 2 2" xfId="14523"/>
    <cellStyle name="40% - Accent1 5 3 20" xfId="14524"/>
    <cellStyle name="40% - Accent1 5 3 21" xfId="14525"/>
    <cellStyle name="40% - Accent1 5 3 22" xfId="14526"/>
    <cellStyle name="40% - Accent1 5 3 23" xfId="14527"/>
    <cellStyle name="40% - Accent1 5 3 24" xfId="14528"/>
    <cellStyle name="40% - Accent1 5 3 25" xfId="14529"/>
    <cellStyle name="40% - Accent1 5 3 26" xfId="14530"/>
    <cellStyle name="40% - Accent1 5 3 27" xfId="14531"/>
    <cellStyle name="40% - Accent1 5 3 28" xfId="14532"/>
    <cellStyle name="40% - Accent1 5 3 29" xfId="14533"/>
    <cellStyle name="40% - Accent1 5 3 3" xfId="14534"/>
    <cellStyle name="40% - Accent1 5 3 30" xfId="14535"/>
    <cellStyle name="40% - Accent1 5 3 31" xfId="14536"/>
    <cellStyle name="40% - Accent1 5 3 32" xfId="14537"/>
    <cellStyle name="40% - Accent1 5 3 33" xfId="14538"/>
    <cellStyle name="40% - Accent1 5 3 34" xfId="14539"/>
    <cellStyle name="40% - Accent1 5 3 35" xfId="14540"/>
    <cellStyle name="40% - Accent1 5 3 36" xfId="14541"/>
    <cellStyle name="40% - Accent1 5 3 37" xfId="14542"/>
    <cellStyle name="40% - Accent1 5 3 38" xfId="14543"/>
    <cellStyle name="40% - Accent1 5 3 39" xfId="14544"/>
    <cellStyle name="40% - Accent1 5 3 4" xfId="14545"/>
    <cellStyle name="40% - Accent1 5 3 40" xfId="14546"/>
    <cellStyle name="40% - Accent1 5 3 41" xfId="14547"/>
    <cellStyle name="40% - Accent1 5 3 42" xfId="14548"/>
    <cellStyle name="40% - Accent1 5 3 43" xfId="14549"/>
    <cellStyle name="40% - Accent1 5 3 44" xfId="14550"/>
    <cellStyle name="40% - Accent1 5 3 45" xfId="14551"/>
    <cellStyle name="40% - Accent1 5 3 46" xfId="14552"/>
    <cellStyle name="40% - Accent1 5 3 47" xfId="14553"/>
    <cellStyle name="40% - Accent1 5 3 48" xfId="14554"/>
    <cellStyle name="40% - Accent1 5 3 49" xfId="14555"/>
    <cellStyle name="40% - Accent1 5 3 5" xfId="14556"/>
    <cellStyle name="40% - Accent1 5 3 50" xfId="14557"/>
    <cellStyle name="40% - Accent1 5 3 51" xfId="14558"/>
    <cellStyle name="40% - Accent1 5 3 52" xfId="14559"/>
    <cellStyle name="40% - Accent1 5 3 53" xfId="14560"/>
    <cellStyle name="40% - Accent1 5 3 54" xfId="14561"/>
    <cellStyle name="40% - Accent1 5 3 55" xfId="14562"/>
    <cellStyle name="40% - Accent1 5 3 6" xfId="14563"/>
    <cellStyle name="40% - Accent1 5 3 7" xfId="14564"/>
    <cellStyle name="40% - Accent1 5 3 8" xfId="14565"/>
    <cellStyle name="40% - Accent1 5 3 9" xfId="14566"/>
    <cellStyle name="40% - Accent1 6" xfId="14567"/>
    <cellStyle name="40% - Accent1 6 2" xfId="14568"/>
    <cellStyle name="40% - Accent1 6 2 10" xfId="14569"/>
    <cellStyle name="40% - Accent1 6 2 11" xfId="14570"/>
    <cellStyle name="40% - Accent1 6 2 12" xfId="14571"/>
    <cellStyle name="40% - Accent1 6 2 13" xfId="14572"/>
    <cellStyle name="40% - Accent1 6 2 14" xfId="14573"/>
    <cellStyle name="40% - Accent1 6 2 15" xfId="14574"/>
    <cellStyle name="40% - Accent1 6 2 16" xfId="14575"/>
    <cellStyle name="40% - Accent1 6 2 17" xfId="14576"/>
    <cellStyle name="40% - Accent1 6 2 18" xfId="14577"/>
    <cellStyle name="40% - Accent1 6 2 19" xfId="14578"/>
    <cellStyle name="40% - Accent1 6 2 2" xfId="14579"/>
    <cellStyle name="40% - Accent1 6 2 2 2" xfId="14580"/>
    <cellStyle name="40% - Accent1 6 2 20" xfId="14581"/>
    <cellStyle name="40% - Accent1 6 2 21" xfId="14582"/>
    <cellStyle name="40% - Accent1 6 2 22" xfId="14583"/>
    <cellStyle name="40% - Accent1 6 2 23" xfId="14584"/>
    <cellStyle name="40% - Accent1 6 2 24" xfId="14585"/>
    <cellStyle name="40% - Accent1 6 2 25" xfId="14586"/>
    <cellStyle name="40% - Accent1 6 2 26" xfId="14587"/>
    <cellStyle name="40% - Accent1 6 2 27" xfId="14588"/>
    <cellStyle name="40% - Accent1 6 2 28" xfId="14589"/>
    <cellStyle name="40% - Accent1 6 2 29" xfId="14590"/>
    <cellStyle name="40% - Accent1 6 2 3" xfId="14591"/>
    <cellStyle name="40% - Accent1 6 2 30" xfId="14592"/>
    <cellStyle name="40% - Accent1 6 2 31" xfId="14593"/>
    <cellStyle name="40% - Accent1 6 2 32" xfId="14594"/>
    <cellStyle name="40% - Accent1 6 2 33" xfId="14595"/>
    <cellStyle name="40% - Accent1 6 2 34" xfId="14596"/>
    <cellStyle name="40% - Accent1 6 2 35" xfId="14597"/>
    <cellStyle name="40% - Accent1 6 2 36" xfId="14598"/>
    <cellStyle name="40% - Accent1 6 2 37" xfId="14599"/>
    <cellStyle name="40% - Accent1 6 2 38" xfId="14600"/>
    <cellStyle name="40% - Accent1 6 2 39" xfId="14601"/>
    <cellStyle name="40% - Accent1 6 2 4" xfId="14602"/>
    <cellStyle name="40% - Accent1 6 2 40" xfId="14603"/>
    <cellStyle name="40% - Accent1 6 2 41" xfId="14604"/>
    <cellStyle name="40% - Accent1 6 2 42" xfId="14605"/>
    <cellStyle name="40% - Accent1 6 2 43" xfId="14606"/>
    <cellStyle name="40% - Accent1 6 2 44" xfId="14607"/>
    <cellStyle name="40% - Accent1 6 2 45" xfId="14608"/>
    <cellStyle name="40% - Accent1 6 2 46" xfId="14609"/>
    <cellStyle name="40% - Accent1 6 2 47" xfId="14610"/>
    <cellStyle name="40% - Accent1 6 2 48" xfId="14611"/>
    <cellStyle name="40% - Accent1 6 2 49" xfId="14612"/>
    <cellStyle name="40% - Accent1 6 2 5" xfId="14613"/>
    <cellStyle name="40% - Accent1 6 2 50" xfId="14614"/>
    <cellStyle name="40% - Accent1 6 2 51" xfId="14615"/>
    <cellStyle name="40% - Accent1 6 2 52" xfId="14616"/>
    <cellStyle name="40% - Accent1 6 2 53" xfId="14617"/>
    <cellStyle name="40% - Accent1 6 2 54" xfId="14618"/>
    <cellStyle name="40% - Accent1 6 2 55" xfId="14619"/>
    <cellStyle name="40% - Accent1 6 2 6" xfId="14620"/>
    <cellStyle name="40% - Accent1 6 2 7" xfId="14621"/>
    <cellStyle name="40% - Accent1 6 2 8" xfId="14622"/>
    <cellStyle name="40% - Accent1 6 2 9" xfId="14623"/>
    <cellStyle name="40% - Accent1 6 3" xfId="14624"/>
    <cellStyle name="40% - Accent1 6 3 10" xfId="14625"/>
    <cellStyle name="40% - Accent1 6 3 11" xfId="14626"/>
    <cellStyle name="40% - Accent1 6 3 12" xfId="14627"/>
    <cellStyle name="40% - Accent1 6 3 13" xfId="14628"/>
    <cellStyle name="40% - Accent1 6 3 14" xfId="14629"/>
    <cellStyle name="40% - Accent1 6 3 15" xfId="14630"/>
    <cellStyle name="40% - Accent1 6 3 16" xfId="14631"/>
    <cellStyle name="40% - Accent1 6 3 17" xfId="14632"/>
    <cellStyle name="40% - Accent1 6 3 18" xfId="14633"/>
    <cellStyle name="40% - Accent1 6 3 19" xfId="14634"/>
    <cellStyle name="40% - Accent1 6 3 2" xfId="14635"/>
    <cellStyle name="40% - Accent1 6 3 2 2" xfId="14636"/>
    <cellStyle name="40% - Accent1 6 3 20" xfId="14637"/>
    <cellStyle name="40% - Accent1 6 3 21" xfId="14638"/>
    <cellStyle name="40% - Accent1 6 3 22" xfId="14639"/>
    <cellStyle name="40% - Accent1 6 3 23" xfId="14640"/>
    <cellStyle name="40% - Accent1 6 3 24" xfId="14641"/>
    <cellStyle name="40% - Accent1 6 3 25" xfId="14642"/>
    <cellStyle name="40% - Accent1 6 3 26" xfId="14643"/>
    <cellStyle name="40% - Accent1 6 3 27" xfId="14644"/>
    <cellStyle name="40% - Accent1 6 3 28" xfId="14645"/>
    <cellStyle name="40% - Accent1 6 3 29" xfId="14646"/>
    <cellStyle name="40% - Accent1 6 3 3" xfId="14647"/>
    <cellStyle name="40% - Accent1 6 3 30" xfId="14648"/>
    <cellStyle name="40% - Accent1 6 3 31" xfId="14649"/>
    <cellStyle name="40% - Accent1 6 3 32" xfId="14650"/>
    <cellStyle name="40% - Accent1 6 3 33" xfId="14651"/>
    <cellStyle name="40% - Accent1 6 3 34" xfId="14652"/>
    <cellStyle name="40% - Accent1 6 3 35" xfId="14653"/>
    <cellStyle name="40% - Accent1 6 3 36" xfId="14654"/>
    <cellStyle name="40% - Accent1 6 3 37" xfId="14655"/>
    <cellStyle name="40% - Accent1 6 3 38" xfId="14656"/>
    <cellStyle name="40% - Accent1 6 3 39" xfId="14657"/>
    <cellStyle name="40% - Accent1 6 3 4" xfId="14658"/>
    <cellStyle name="40% - Accent1 6 3 40" xfId="14659"/>
    <cellStyle name="40% - Accent1 6 3 41" xfId="14660"/>
    <cellStyle name="40% - Accent1 6 3 42" xfId="14661"/>
    <cellStyle name="40% - Accent1 6 3 43" xfId="14662"/>
    <cellStyle name="40% - Accent1 6 3 44" xfId="14663"/>
    <cellStyle name="40% - Accent1 6 3 45" xfId="14664"/>
    <cellStyle name="40% - Accent1 6 3 46" xfId="14665"/>
    <cellStyle name="40% - Accent1 6 3 47" xfId="14666"/>
    <cellStyle name="40% - Accent1 6 3 48" xfId="14667"/>
    <cellStyle name="40% - Accent1 6 3 49" xfId="14668"/>
    <cellStyle name="40% - Accent1 6 3 5" xfId="14669"/>
    <cellStyle name="40% - Accent1 6 3 50" xfId="14670"/>
    <cellStyle name="40% - Accent1 6 3 51" xfId="14671"/>
    <cellStyle name="40% - Accent1 6 3 52" xfId="14672"/>
    <cellStyle name="40% - Accent1 6 3 53" xfId="14673"/>
    <cellStyle name="40% - Accent1 6 3 54" xfId="14674"/>
    <cellStyle name="40% - Accent1 6 3 55" xfId="14675"/>
    <cellStyle name="40% - Accent1 6 3 6" xfId="14676"/>
    <cellStyle name="40% - Accent1 6 3 7" xfId="14677"/>
    <cellStyle name="40% - Accent1 6 3 8" xfId="14678"/>
    <cellStyle name="40% - Accent1 6 3 9" xfId="14679"/>
    <cellStyle name="40% - Accent1 7" xfId="14680"/>
    <cellStyle name="40% - Accent1 7 2" xfId="14681"/>
    <cellStyle name="40% - Accent1 7 2 10" xfId="14682"/>
    <cellStyle name="40% - Accent1 7 2 11" xfId="14683"/>
    <cellStyle name="40% - Accent1 7 2 12" xfId="14684"/>
    <cellStyle name="40% - Accent1 7 2 13" xfId="14685"/>
    <cellStyle name="40% - Accent1 7 2 14" xfId="14686"/>
    <cellStyle name="40% - Accent1 7 2 15" xfId="14687"/>
    <cellStyle name="40% - Accent1 7 2 16" xfId="14688"/>
    <cellStyle name="40% - Accent1 7 2 17" xfId="14689"/>
    <cellStyle name="40% - Accent1 7 2 18" xfId="14690"/>
    <cellStyle name="40% - Accent1 7 2 19" xfId="14691"/>
    <cellStyle name="40% - Accent1 7 2 2" xfId="14692"/>
    <cellStyle name="40% - Accent1 7 2 2 2" xfId="14693"/>
    <cellStyle name="40% - Accent1 7 2 20" xfId="14694"/>
    <cellStyle name="40% - Accent1 7 2 21" xfId="14695"/>
    <cellStyle name="40% - Accent1 7 2 22" xfId="14696"/>
    <cellStyle name="40% - Accent1 7 2 23" xfId="14697"/>
    <cellStyle name="40% - Accent1 7 2 24" xfId="14698"/>
    <cellStyle name="40% - Accent1 7 2 25" xfId="14699"/>
    <cellStyle name="40% - Accent1 7 2 26" xfId="14700"/>
    <cellStyle name="40% - Accent1 7 2 27" xfId="14701"/>
    <cellStyle name="40% - Accent1 7 2 28" xfId="14702"/>
    <cellStyle name="40% - Accent1 7 2 29" xfId="14703"/>
    <cellStyle name="40% - Accent1 7 2 3" xfId="14704"/>
    <cellStyle name="40% - Accent1 7 2 30" xfId="14705"/>
    <cellStyle name="40% - Accent1 7 2 31" xfId="14706"/>
    <cellStyle name="40% - Accent1 7 2 32" xfId="14707"/>
    <cellStyle name="40% - Accent1 7 2 33" xfId="14708"/>
    <cellStyle name="40% - Accent1 7 2 34" xfId="14709"/>
    <cellStyle name="40% - Accent1 7 2 35" xfId="14710"/>
    <cellStyle name="40% - Accent1 7 2 36" xfId="14711"/>
    <cellStyle name="40% - Accent1 7 2 37" xfId="14712"/>
    <cellStyle name="40% - Accent1 7 2 38" xfId="14713"/>
    <cellStyle name="40% - Accent1 7 2 39" xfId="14714"/>
    <cellStyle name="40% - Accent1 7 2 4" xfId="14715"/>
    <cellStyle name="40% - Accent1 7 2 40" xfId="14716"/>
    <cellStyle name="40% - Accent1 7 2 41" xfId="14717"/>
    <cellStyle name="40% - Accent1 7 2 42" xfId="14718"/>
    <cellStyle name="40% - Accent1 7 2 43" xfId="14719"/>
    <cellStyle name="40% - Accent1 7 2 44" xfId="14720"/>
    <cellStyle name="40% - Accent1 7 2 45" xfId="14721"/>
    <cellStyle name="40% - Accent1 7 2 46" xfId="14722"/>
    <cellStyle name="40% - Accent1 7 2 47" xfId="14723"/>
    <cellStyle name="40% - Accent1 7 2 48" xfId="14724"/>
    <cellStyle name="40% - Accent1 7 2 49" xfId="14725"/>
    <cellStyle name="40% - Accent1 7 2 5" xfId="14726"/>
    <cellStyle name="40% - Accent1 7 2 50" xfId="14727"/>
    <cellStyle name="40% - Accent1 7 2 51" xfId="14728"/>
    <cellStyle name="40% - Accent1 7 2 52" xfId="14729"/>
    <cellStyle name="40% - Accent1 7 2 53" xfId="14730"/>
    <cellStyle name="40% - Accent1 7 2 54" xfId="14731"/>
    <cellStyle name="40% - Accent1 7 2 55" xfId="14732"/>
    <cellStyle name="40% - Accent1 7 2 6" xfId="14733"/>
    <cellStyle name="40% - Accent1 7 2 7" xfId="14734"/>
    <cellStyle name="40% - Accent1 7 2 8" xfId="14735"/>
    <cellStyle name="40% - Accent1 7 2 9" xfId="14736"/>
    <cellStyle name="40% - Accent1 7 3" xfId="14737"/>
    <cellStyle name="40% - Accent1 7 3 10" xfId="14738"/>
    <cellStyle name="40% - Accent1 7 3 11" xfId="14739"/>
    <cellStyle name="40% - Accent1 7 3 12" xfId="14740"/>
    <cellStyle name="40% - Accent1 7 3 13" xfId="14741"/>
    <cellStyle name="40% - Accent1 7 3 14" xfId="14742"/>
    <cellStyle name="40% - Accent1 7 3 15" xfId="14743"/>
    <cellStyle name="40% - Accent1 7 3 16" xfId="14744"/>
    <cellStyle name="40% - Accent1 7 3 17" xfId="14745"/>
    <cellStyle name="40% - Accent1 7 3 18" xfId="14746"/>
    <cellStyle name="40% - Accent1 7 3 19" xfId="14747"/>
    <cellStyle name="40% - Accent1 7 3 2" xfId="14748"/>
    <cellStyle name="40% - Accent1 7 3 2 2" xfId="14749"/>
    <cellStyle name="40% - Accent1 7 3 20" xfId="14750"/>
    <cellStyle name="40% - Accent1 7 3 21" xfId="14751"/>
    <cellStyle name="40% - Accent1 7 3 22" xfId="14752"/>
    <cellStyle name="40% - Accent1 7 3 23" xfId="14753"/>
    <cellStyle name="40% - Accent1 7 3 24" xfId="14754"/>
    <cellStyle name="40% - Accent1 7 3 25" xfId="14755"/>
    <cellStyle name="40% - Accent1 7 3 26" xfId="14756"/>
    <cellStyle name="40% - Accent1 7 3 27" xfId="14757"/>
    <cellStyle name="40% - Accent1 7 3 28" xfId="14758"/>
    <cellStyle name="40% - Accent1 7 3 29" xfId="14759"/>
    <cellStyle name="40% - Accent1 7 3 3" xfId="14760"/>
    <cellStyle name="40% - Accent1 7 3 30" xfId="14761"/>
    <cellStyle name="40% - Accent1 7 3 31" xfId="14762"/>
    <cellStyle name="40% - Accent1 7 3 32" xfId="14763"/>
    <cellStyle name="40% - Accent1 7 3 33" xfId="14764"/>
    <cellStyle name="40% - Accent1 7 3 34" xfId="14765"/>
    <cellStyle name="40% - Accent1 7 3 35" xfId="14766"/>
    <cellStyle name="40% - Accent1 7 3 36" xfId="14767"/>
    <cellStyle name="40% - Accent1 7 3 37" xfId="14768"/>
    <cellStyle name="40% - Accent1 7 3 38" xfId="14769"/>
    <cellStyle name="40% - Accent1 7 3 39" xfId="14770"/>
    <cellStyle name="40% - Accent1 7 3 4" xfId="14771"/>
    <cellStyle name="40% - Accent1 7 3 40" xfId="14772"/>
    <cellStyle name="40% - Accent1 7 3 41" xfId="14773"/>
    <cellStyle name="40% - Accent1 7 3 42" xfId="14774"/>
    <cellStyle name="40% - Accent1 7 3 43" xfId="14775"/>
    <cellStyle name="40% - Accent1 7 3 44" xfId="14776"/>
    <cellStyle name="40% - Accent1 7 3 45" xfId="14777"/>
    <cellStyle name="40% - Accent1 7 3 46" xfId="14778"/>
    <cellStyle name="40% - Accent1 7 3 47" xfId="14779"/>
    <cellStyle name="40% - Accent1 7 3 48" xfId="14780"/>
    <cellStyle name="40% - Accent1 7 3 49" xfId="14781"/>
    <cellStyle name="40% - Accent1 7 3 5" xfId="14782"/>
    <cellStyle name="40% - Accent1 7 3 50" xfId="14783"/>
    <cellStyle name="40% - Accent1 7 3 51" xfId="14784"/>
    <cellStyle name="40% - Accent1 7 3 52" xfId="14785"/>
    <cellStyle name="40% - Accent1 7 3 53" xfId="14786"/>
    <cellStyle name="40% - Accent1 7 3 54" xfId="14787"/>
    <cellStyle name="40% - Accent1 7 3 55" xfId="14788"/>
    <cellStyle name="40% - Accent1 7 3 6" xfId="14789"/>
    <cellStyle name="40% - Accent1 7 3 7" xfId="14790"/>
    <cellStyle name="40% - Accent1 7 3 8" xfId="14791"/>
    <cellStyle name="40% - Accent1 7 3 9" xfId="14792"/>
    <cellStyle name="40% - Accent1 8" xfId="14793"/>
    <cellStyle name="40% - Accent1 8 2" xfId="14794"/>
    <cellStyle name="40% - Accent1 8 2 10" xfId="14795"/>
    <cellStyle name="40% - Accent1 8 2 11" xfId="14796"/>
    <cellStyle name="40% - Accent1 8 2 12" xfId="14797"/>
    <cellStyle name="40% - Accent1 8 2 13" xfId="14798"/>
    <cellStyle name="40% - Accent1 8 2 14" xfId="14799"/>
    <cellStyle name="40% - Accent1 8 2 15" xfId="14800"/>
    <cellStyle name="40% - Accent1 8 2 16" xfId="14801"/>
    <cellStyle name="40% - Accent1 8 2 17" xfId="14802"/>
    <cellStyle name="40% - Accent1 8 2 18" xfId="14803"/>
    <cellStyle name="40% - Accent1 8 2 19" xfId="14804"/>
    <cellStyle name="40% - Accent1 8 2 2" xfId="14805"/>
    <cellStyle name="40% - Accent1 8 2 2 2" xfId="14806"/>
    <cellStyle name="40% - Accent1 8 2 20" xfId="14807"/>
    <cellStyle name="40% - Accent1 8 2 21" xfId="14808"/>
    <cellStyle name="40% - Accent1 8 2 22" xfId="14809"/>
    <cellStyle name="40% - Accent1 8 2 23" xfId="14810"/>
    <cellStyle name="40% - Accent1 8 2 24" xfId="14811"/>
    <cellStyle name="40% - Accent1 8 2 25" xfId="14812"/>
    <cellStyle name="40% - Accent1 8 2 26" xfId="14813"/>
    <cellStyle name="40% - Accent1 8 2 27" xfId="14814"/>
    <cellStyle name="40% - Accent1 8 2 28" xfId="14815"/>
    <cellStyle name="40% - Accent1 8 2 29" xfId="14816"/>
    <cellStyle name="40% - Accent1 8 2 3" xfId="14817"/>
    <cellStyle name="40% - Accent1 8 2 30" xfId="14818"/>
    <cellStyle name="40% - Accent1 8 2 31" xfId="14819"/>
    <cellStyle name="40% - Accent1 8 2 32" xfId="14820"/>
    <cellStyle name="40% - Accent1 8 2 33" xfId="14821"/>
    <cellStyle name="40% - Accent1 8 2 34" xfId="14822"/>
    <cellStyle name="40% - Accent1 8 2 35" xfId="14823"/>
    <cellStyle name="40% - Accent1 8 2 36" xfId="14824"/>
    <cellStyle name="40% - Accent1 8 2 37" xfId="14825"/>
    <cellStyle name="40% - Accent1 8 2 38" xfId="14826"/>
    <cellStyle name="40% - Accent1 8 2 39" xfId="14827"/>
    <cellStyle name="40% - Accent1 8 2 4" xfId="14828"/>
    <cellStyle name="40% - Accent1 8 2 40" xfId="14829"/>
    <cellStyle name="40% - Accent1 8 2 41" xfId="14830"/>
    <cellStyle name="40% - Accent1 8 2 42" xfId="14831"/>
    <cellStyle name="40% - Accent1 8 2 43" xfId="14832"/>
    <cellStyle name="40% - Accent1 8 2 44" xfId="14833"/>
    <cellStyle name="40% - Accent1 8 2 45" xfId="14834"/>
    <cellStyle name="40% - Accent1 8 2 46" xfId="14835"/>
    <cellStyle name="40% - Accent1 8 2 47" xfId="14836"/>
    <cellStyle name="40% - Accent1 8 2 48" xfId="14837"/>
    <cellStyle name="40% - Accent1 8 2 49" xfId="14838"/>
    <cellStyle name="40% - Accent1 8 2 5" xfId="14839"/>
    <cellStyle name="40% - Accent1 8 2 50" xfId="14840"/>
    <cellStyle name="40% - Accent1 8 2 51" xfId="14841"/>
    <cellStyle name="40% - Accent1 8 2 52" xfId="14842"/>
    <cellStyle name="40% - Accent1 8 2 53" xfId="14843"/>
    <cellStyle name="40% - Accent1 8 2 54" xfId="14844"/>
    <cellStyle name="40% - Accent1 8 2 55" xfId="14845"/>
    <cellStyle name="40% - Accent1 8 2 6" xfId="14846"/>
    <cellStyle name="40% - Accent1 8 2 7" xfId="14847"/>
    <cellStyle name="40% - Accent1 8 2 8" xfId="14848"/>
    <cellStyle name="40% - Accent1 8 2 9" xfId="14849"/>
    <cellStyle name="40% - Accent1 8 3" xfId="14850"/>
    <cellStyle name="40% - Accent1 8 3 10" xfId="14851"/>
    <cellStyle name="40% - Accent1 8 3 11" xfId="14852"/>
    <cellStyle name="40% - Accent1 8 3 12" xfId="14853"/>
    <cellStyle name="40% - Accent1 8 3 13" xfId="14854"/>
    <cellStyle name="40% - Accent1 8 3 14" xfId="14855"/>
    <cellStyle name="40% - Accent1 8 3 15" xfId="14856"/>
    <cellStyle name="40% - Accent1 8 3 16" xfId="14857"/>
    <cellStyle name="40% - Accent1 8 3 17" xfId="14858"/>
    <cellStyle name="40% - Accent1 8 3 18" xfId="14859"/>
    <cellStyle name="40% - Accent1 8 3 19" xfId="14860"/>
    <cellStyle name="40% - Accent1 8 3 2" xfId="14861"/>
    <cellStyle name="40% - Accent1 8 3 2 2" xfId="14862"/>
    <cellStyle name="40% - Accent1 8 3 20" xfId="14863"/>
    <cellStyle name="40% - Accent1 8 3 21" xfId="14864"/>
    <cellStyle name="40% - Accent1 8 3 22" xfId="14865"/>
    <cellStyle name="40% - Accent1 8 3 23" xfId="14866"/>
    <cellStyle name="40% - Accent1 8 3 24" xfId="14867"/>
    <cellStyle name="40% - Accent1 8 3 25" xfId="14868"/>
    <cellStyle name="40% - Accent1 8 3 26" xfId="14869"/>
    <cellStyle name="40% - Accent1 8 3 27" xfId="14870"/>
    <cellStyle name="40% - Accent1 8 3 28" xfId="14871"/>
    <cellStyle name="40% - Accent1 8 3 29" xfId="14872"/>
    <cellStyle name="40% - Accent1 8 3 3" xfId="14873"/>
    <cellStyle name="40% - Accent1 8 3 30" xfId="14874"/>
    <cellStyle name="40% - Accent1 8 3 31" xfId="14875"/>
    <cellStyle name="40% - Accent1 8 3 32" xfId="14876"/>
    <cellStyle name="40% - Accent1 8 3 33" xfId="14877"/>
    <cellStyle name="40% - Accent1 8 3 34" xfId="14878"/>
    <cellStyle name="40% - Accent1 8 3 35" xfId="14879"/>
    <cellStyle name="40% - Accent1 8 3 36" xfId="14880"/>
    <cellStyle name="40% - Accent1 8 3 37" xfId="14881"/>
    <cellStyle name="40% - Accent1 8 3 38" xfId="14882"/>
    <cellStyle name="40% - Accent1 8 3 39" xfId="14883"/>
    <cellStyle name="40% - Accent1 8 3 4" xfId="14884"/>
    <cellStyle name="40% - Accent1 8 3 40" xfId="14885"/>
    <cellStyle name="40% - Accent1 8 3 41" xfId="14886"/>
    <cellStyle name="40% - Accent1 8 3 42" xfId="14887"/>
    <cellStyle name="40% - Accent1 8 3 43" xfId="14888"/>
    <cellStyle name="40% - Accent1 8 3 44" xfId="14889"/>
    <cellStyle name="40% - Accent1 8 3 45" xfId="14890"/>
    <cellStyle name="40% - Accent1 8 3 46" xfId="14891"/>
    <cellStyle name="40% - Accent1 8 3 47" xfId="14892"/>
    <cellStyle name="40% - Accent1 8 3 48" xfId="14893"/>
    <cellStyle name="40% - Accent1 8 3 49" xfId="14894"/>
    <cellStyle name="40% - Accent1 8 3 5" xfId="14895"/>
    <cellStyle name="40% - Accent1 8 3 50" xfId="14896"/>
    <cellStyle name="40% - Accent1 8 3 51" xfId="14897"/>
    <cellStyle name="40% - Accent1 8 3 52" xfId="14898"/>
    <cellStyle name="40% - Accent1 8 3 53" xfId="14899"/>
    <cellStyle name="40% - Accent1 8 3 54" xfId="14900"/>
    <cellStyle name="40% - Accent1 8 3 55" xfId="14901"/>
    <cellStyle name="40% - Accent1 8 3 6" xfId="14902"/>
    <cellStyle name="40% - Accent1 8 3 7" xfId="14903"/>
    <cellStyle name="40% - Accent1 8 3 8" xfId="14904"/>
    <cellStyle name="40% - Accent1 8 3 9" xfId="14905"/>
    <cellStyle name="40% - Accent1 9" xfId="14906"/>
    <cellStyle name="40% - Accent1 9 2" xfId="14907"/>
    <cellStyle name="40% - Accent1 9 2 10" xfId="14908"/>
    <cellStyle name="40% - Accent1 9 2 11" xfId="14909"/>
    <cellStyle name="40% - Accent1 9 2 12" xfId="14910"/>
    <cellStyle name="40% - Accent1 9 2 13" xfId="14911"/>
    <cellStyle name="40% - Accent1 9 2 14" xfId="14912"/>
    <cellStyle name="40% - Accent1 9 2 15" xfId="14913"/>
    <cellStyle name="40% - Accent1 9 2 16" xfId="14914"/>
    <cellStyle name="40% - Accent1 9 2 17" xfId="14915"/>
    <cellStyle name="40% - Accent1 9 2 18" xfId="14916"/>
    <cellStyle name="40% - Accent1 9 2 19" xfId="14917"/>
    <cellStyle name="40% - Accent1 9 2 2" xfId="14918"/>
    <cellStyle name="40% - Accent1 9 2 2 2" xfId="14919"/>
    <cellStyle name="40% - Accent1 9 2 20" xfId="14920"/>
    <cellStyle name="40% - Accent1 9 2 21" xfId="14921"/>
    <cellStyle name="40% - Accent1 9 2 22" xfId="14922"/>
    <cellStyle name="40% - Accent1 9 2 23" xfId="14923"/>
    <cellStyle name="40% - Accent1 9 2 24" xfId="14924"/>
    <cellStyle name="40% - Accent1 9 2 25" xfId="14925"/>
    <cellStyle name="40% - Accent1 9 2 26" xfId="14926"/>
    <cellStyle name="40% - Accent1 9 2 27" xfId="14927"/>
    <cellStyle name="40% - Accent1 9 2 28" xfId="14928"/>
    <cellStyle name="40% - Accent1 9 2 29" xfId="14929"/>
    <cellStyle name="40% - Accent1 9 2 3" xfId="14930"/>
    <cellStyle name="40% - Accent1 9 2 30" xfId="14931"/>
    <cellStyle name="40% - Accent1 9 2 31" xfId="14932"/>
    <cellStyle name="40% - Accent1 9 2 32" xfId="14933"/>
    <cellStyle name="40% - Accent1 9 2 33" xfId="14934"/>
    <cellStyle name="40% - Accent1 9 2 34" xfId="14935"/>
    <cellStyle name="40% - Accent1 9 2 35" xfId="14936"/>
    <cellStyle name="40% - Accent1 9 2 36" xfId="14937"/>
    <cellStyle name="40% - Accent1 9 2 37" xfId="14938"/>
    <cellStyle name="40% - Accent1 9 2 38" xfId="14939"/>
    <cellStyle name="40% - Accent1 9 2 39" xfId="14940"/>
    <cellStyle name="40% - Accent1 9 2 4" xfId="14941"/>
    <cellStyle name="40% - Accent1 9 2 40" xfId="14942"/>
    <cellStyle name="40% - Accent1 9 2 41" xfId="14943"/>
    <cellStyle name="40% - Accent1 9 2 42" xfId="14944"/>
    <cellStyle name="40% - Accent1 9 2 43" xfId="14945"/>
    <cellStyle name="40% - Accent1 9 2 44" xfId="14946"/>
    <cellStyle name="40% - Accent1 9 2 45" xfId="14947"/>
    <cellStyle name="40% - Accent1 9 2 46" xfId="14948"/>
    <cellStyle name="40% - Accent1 9 2 47" xfId="14949"/>
    <cellStyle name="40% - Accent1 9 2 48" xfId="14950"/>
    <cellStyle name="40% - Accent1 9 2 49" xfId="14951"/>
    <cellStyle name="40% - Accent1 9 2 5" xfId="14952"/>
    <cellStyle name="40% - Accent1 9 2 50" xfId="14953"/>
    <cellStyle name="40% - Accent1 9 2 51" xfId="14954"/>
    <cellStyle name="40% - Accent1 9 2 52" xfId="14955"/>
    <cellStyle name="40% - Accent1 9 2 53" xfId="14956"/>
    <cellStyle name="40% - Accent1 9 2 54" xfId="14957"/>
    <cellStyle name="40% - Accent1 9 2 55" xfId="14958"/>
    <cellStyle name="40% - Accent1 9 2 6" xfId="14959"/>
    <cellStyle name="40% - Accent1 9 2 7" xfId="14960"/>
    <cellStyle name="40% - Accent1 9 2 8" xfId="14961"/>
    <cellStyle name="40% - Accent1 9 2 9" xfId="14962"/>
    <cellStyle name="40% - Accent1 9 3" xfId="14963"/>
    <cellStyle name="40% - Accent1 9 3 10" xfId="14964"/>
    <cellStyle name="40% - Accent1 9 3 11" xfId="14965"/>
    <cellStyle name="40% - Accent1 9 3 12" xfId="14966"/>
    <cellStyle name="40% - Accent1 9 3 13" xfId="14967"/>
    <cellStyle name="40% - Accent1 9 3 14" xfId="14968"/>
    <cellStyle name="40% - Accent1 9 3 15" xfId="14969"/>
    <cellStyle name="40% - Accent1 9 3 16" xfId="14970"/>
    <cellStyle name="40% - Accent1 9 3 17" xfId="14971"/>
    <cellStyle name="40% - Accent1 9 3 18" xfId="14972"/>
    <cellStyle name="40% - Accent1 9 3 19" xfId="14973"/>
    <cellStyle name="40% - Accent1 9 3 2" xfId="14974"/>
    <cellStyle name="40% - Accent1 9 3 2 2" xfId="14975"/>
    <cellStyle name="40% - Accent1 9 3 20" xfId="14976"/>
    <cellStyle name="40% - Accent1 9 3 21" xfId="14977"/>
    <cellStyle name="40% - Accent1 9 3 22" xfId="14978"/>
    <cellStyle name="40% - Accent1 9 3 23" xfId="14979"/>
    <cellStyle name="40% - Accent1 9 3 24" xfId="14980"/>
    <cellStyle name="40% - Accent1 9 3 25" xfId="14981"/>
    <cellStyle name="40% - Accent1 9 3 26" xfId="14982"/>
    <cellStyle name="40% - Accent1 9 3 27" xfId="14983"/>
    <cellStyle name="40% - Accent1 9 3 28" xfId="14984"/>
    <cellStyle name="40% - Accent1 9 3 29" xfId="14985"/>
    <cellStyle name="40% - Accent1 9 3 3" xfId="14986"/>
    <cellStyle name="40% - Accent1 9 3 30" xfId="14987"/>
    <cellStyle name="40% - Accent1 9 3 31" xfId="14988"/>
    <cellStyle name="40% - Accent1 9 3 32" xfId="14989"/>
    <cellStyle name="40% - Accent1 9 3 33" xfId="14990"/>
    <cellStyle name="40% - Accent1 9 3 34" xfId="14991"/>
    <cellStyle name="40% - Accent1 9 3 35" xfId="14992"/>
    <cellStyle name="40% - Accent1 9 3 36" xfId="14993"/>
    <cellStyle name="40% - Accent1 9 3 37" xfId="14994"/>
    <cellStyle name="40% - Accent1 9 3 38" xfId="14995"/>
    <cellStyle name="40% - Accent1 9 3 39" xfId="14996"/>
    <cellStyle name="40% - Accent1 9 3 4" xfId="14997"/>
    <cellStyle name="40% - Accent1 9 3 40" xfId="14998"/>
    <cellStyle name="40% - Accent1 9 3 41" xfId="14999"/>
    <cellStyle name="40% - Accent1 9 3 42" xfId="15000"/>
    <cellStyle name="40% - Accent1 9 3 43" xfId="15001"/>
    <cellStyle name="40% - Accent1 9 3 44" xfId="15002"/>
    <cellStyle name="40% - Accent1 9 3 45" xfId="15003"/>
    <cellStyle name="40% - Accent1 9 3 46" xfId="15004"/>
    <cellStyle name="40% - Accent1 9 3 47" xfId="15005"/>
    <cellStyle name="40% - Accent1 9 3 48" xfId="15006"/>
    <cellStyle name="40% - Accent1 9 3 49" xfId="15007"/>
    <cellStyle name="40% - Accent1 9 3 5" xfId="15008"/>
    <cellStyle name="40% - Accent1 9 3 50" xfId="15009"/>
    <cellStyle name="40% - Accent1 9 3 51" xfId="15010"/>
    <cellStyle name="40% - Accent1 9 3 52" xfId="15011"/>
    <cellStyle name="40% - Accent1 9 3 53" xfId="15012"/>
    <cellStyle name="40% - Accent1 9 3 54" xfId="15013"/>
    <cellStyle name="40% - Accent1 9 3 55" xfId="15014"/>
    <cellStyle name="40% - Accent1 9 3 6" xfId="15015"/>
    <cellStyle name="40% - Accent1 9 3 7" xfId="15016"/>
    <cellStyle name="40% - Accent1 9 3 8" xfId="15017"/>
    <cellStyle name="40% - Accent1 9 3 9" xfId="15018"/>
    <cellStyle name="40% - Accent2 10" xfId="15019"/>
    <cellStyle name="40% - Accent2 10 2" xfId="15020"/>
    <cellStyle name="40% - Accent2 10 2 10" xfId="15021"/>
    <cellStyle name="40% - Accent2 10 2 11" xfId="15022"/>
    <cellStyle name="40% - Accent2 10 2 12" xfId="15023"/>
    <cellStyle name="40% - Accent2 10 2 13" xfId="15024"/>
    <cellStyle name="40% - Accent2 10 2 14" xfId="15025"/>
    <cellStyle name="40% - Accent2 10 2 15" xfId="15026"/>
    <cellStyle name="40% - Accent2 10 2 16" xfId="15027"/>
    <cellStyle name="40% - Accent2 10 2 17" xfId="15028"/>
    <cellStyle name="40% - Accent2 10 2 18" xfId="15029"/>
    <cellStyle name="40% - Accent2 10 2 19" xfId="15030"/>
    <cellStyle name="40% - Accent2 10 2 2" xfId="15031"/>
    <cellStyle name="40% - Accent2 10 2 2 2" xfId="15032"/>
    <cellStyle name="40% - Accent2 10 2 20" xfId="15033"/>
    <cellStyle name="40% - Accent2 10 2 21" xfId="15034"/>
    <cellStyle name="40% - Accent2 10 2 22" xfId="15035"/>
    <cellStyle name="40% - Accent2 10 2 23" xfId="15036"/>
    <cellStyle name="40% - Accent2 10 2 24" xfId="15037"/>
    <cellStyle name="40% - Accent2 10 2 25" xfId="15038"/>
    <cellStyle name="40% - Accent2 10 2 26" xfId="15039"/>
    <cellStyle name="40% - Accent2 10 2 27" xfId="15040"/>
    <cellStyle name="40% - Accent2 10 2 28" xfId="15041"/>
    <cellStyle name="40% - Accent2 10 2 29" xfId="15042"/>
    <cellStyle name="40% - Accent2 10 2 3" xfId="15043"/>
    <cellStyle name="40% - Accent2 10 2 30" xfId="15044"/>
    <cellStyle name="40% - Accent2 10 2 31" xfId="15045"/>
    <cellStyle name="40% - Accent2 10 2 32" xfId="15046"/>
    <cellStyle name="40% - Accent2 10 2 33" xfId="15047"/>
    <cellStyle name="40% - Accent2 10 2 34" xfId="15048"/>
    <cellStyle name="40% - Accent2 10 2 35" xfId="15049"/>
    <cellStyle name="40% - Accent2 10 2 36" xfId="15050"/>
    <cellStyle name="40% - Accent2 10 2 37" xfId="15051"/>
    <cellStyle name="40% - Accent2 10 2 38" xfId="15052"/>
    <cellStyle name="40% - Accent2 10 2 39" xfId="15053"/>
    <cellStyle name="40% - Accent2 10 2 4" xfId="15054"/>
    <cellStyle name="40% - Accent2 10 2 40" xfId="15055"/>
    <cellStyle name="40% - Accent2 10 2 41" xfId="15056"/>
    <cellStyle name="40% - Accent2 10 2 42" xfId="15057"/>
    <cellStyle name="40% - Accent2 10 2 43" xfId="15058"/>
    <cellStyle name="40% - Accent2 10 2 44" xfId="15059"/>
    <cellStyle name="40% - Accent2 10 2 45" xfId="15060"/>
    <cellStyle name="40% - Accent2 10 2 46" xfId="15061"/>
    <cellStyle name="40% - Accent2 10 2 47" xfId="15062"/>
    <cellStyle name="40% - Accent2 10 2 48" xfId="15063"/>
    <cellStyle name="40% - Accent2 10 2 49" xfId="15064"/>
    <cellStyle name="40% - Accent2 10 2 5" xfId="15065"/>
    <cellStyle name="40% - Accent2 10 2 50" xfId="15066"/>
    <cellStyle name="40% - Accent2 10 2 51" xfId="15067"/>
    <cellStyle name="40% - Accent2 10 2 52" xfId="15068"/>
    <cellStyle name="40% - Accent2 10 2 53" xfId="15069"/>
    <cellStyle name="40% - Accent2 10 2 54" xfId="15070"/>
    <cellStyle name="40% - Accent2 10 2 55" xfId="15071"/>
    <cellStyle name="40% - Accent2 10 2 6" xfId="15072"/>
    <cellStyle name="40% - Accent2 10 2 7" xfId="15073"/>
    <cellStyle name="40% - Accent2 10 2 8" xfId="15074"/>
    <cellStyle name="40% - Accent2 10 2 9" xfId="15075"/>
    <cellStyle name="40% - Accent2 10 3" xfId="15076"/>
    <cellStyle name="40% - Accent2 10 3 10" xfId="15077"/>
    <cellStyle name="40% - Accent2 10 3 11" xfId="15078"/>
    <cellStyle name="40% - Accent2 10 3 12" xfId="15079"/>
    <cellStyle name="40% - Accent2 10 3 13" xfId="15080"/>
    <cellStyle name="40% - Accent2 10 3 14" xfId="15081"/>
    <cellStyle name="40% - Accent2 10 3 15" xfId="15082"/>
    <cellStyle name="40% - Accent2 10 3 16" xfId="15083"/>
    <cellStyle name="40% - Accent2 10 3 17" xfId="15084"/>
    <cellStyle name="40% - Accent2 10 3 18" xfId="15085"/>
    <cellStyle name="40% - Accent2 10 3 19" xfId="15086"/>
    <cellStyle name="40% - Accent2 10 3 2" xfId="15087"/>
    <cellStyle name="40% - Accent2 10 3 2 2" xfId="15088"/>
    <cellStyle name="40% - Accent2 10 3 20" xfId="15089"/>
    <cellStyle name="40% - Accent2 10 3 21" xfId="15090"/>
    <cellStyle name="40% - Accent2 10 3 22" xfId="15091"/>
    <cellStyle name="40% - Accent2 10 3 23" xfId="15092"/>
    <cellStyle name="40% - Accent2 10 3 24" xfId="15093"/>
    <cellStyle name="40% - Accent2 10 3 25" xfId="15094"/>
    <cellStyle name="40% - Accent2 10 3 26" xfId="15095"/>
    <cellStyle name="40% - Accent2 10 3 27" xfId="15096"/>
    <cellStyle name="40% - Accent2 10 3 28" xfId="15097"/>
    <cellStyle name="40% - Accent2 10 3 29" xfId="15098"/>
    <cellStyle name="40% - Accent2 10 3 3" xfId="15099"/>
    <cellStyle name="40% - Accent2 10 3 30" xfId="15100"/>
    <cellStyle name="40% - Accent2 10 3 31" xfId="15101"/>
    <cellStyle name="40% - Accent2 10 3 32" xfId="15102"/>
    <cellStyle name="40% - Accent2 10 3 33" xfId="15103"/>
    <cellStyle name="40% - Accent2 10 3 34" xfId="15104"/>
    <cellStyle name="40% - Accent2 10 3 35" xfId="15105"/>
    <cellStyle name="40% - Accent2 10 3 36" xfId="15106"/>
    <cellStyle name="40% - Accent2 10 3 37" xfId="15107"/>
    <cellStyle name="40% - Accent2 10 3 38" xfId="15108"/>
    <cellStyle name="40% - Accent2 10 3 39" xfId="15109"/>
    <cellStyle name="40% - Accent2 10 3 4" xfId="15110"/>
    <cellStyle name="40% - Accent2 10 3 40" xfId="15111"/>
    <cellStyle name="40% - Accent2 10 3 41" xfId="15112"/>
    <cellStyle name="40% - Accent2 10 3 42" xfId="15113"/>
    <cellStyle name="40% - Accent2 10 3 43" xfId="15114"/>
    <cellStyle name="40% - Accent2 10 3 44" xfId="15115"/>
    <cellStyle name="40% - Accent2 10 3 45" xfId="15116"/>
    <cellStyle name="40% - Accent2 10 3 46" xfId="15117"/>
    <cellStyle name="40% - Accent2 10 3 47" xfId="15118"/>
    <cellStyle name="40% - Accent2 10 3 48" xfId="15119"/>
    <cellStyle name="40% - Accent2 10 3 49" xfId="15120"/>
    <cellStyle name="40% - Accent2 10 3 5" xfId="15121"/>
    <cellStyle name="40% - Accent2 10 3 50" xfId="15122"/>
    <cellStyle name="40% - Accent2 10 3 51" xfId="15123"/>
    <cellStyle name="40% - Accent2 10 3 52" xfId="15124"/>
    <cellStyle name="40% - Accent2 10 3 53" xfId="15125"/>
    <cellStyle name="40% - Accent2 10 3 54" xfId="15126"/>
    <cellStyle name="40% - Accent2 10 3 55" xfId="15127"/>
    <cellStyle name="40% - Accent2 10 3 6" xfId="15128"/>
    <cellStyle name="40% - Accent2 10 3 7" xfId="15129"/>
    <cellStyle name="40% - Accent2 10 3 8" xfId="15130"/>
    <cellStyle name="40% - Accent2 10 3 9" xfId="15131"/>
    <cellStyle name="40% - Accent2 11" xfId="15132"/>
    <cellStyle name="40% - Accent2 11 2" xfId="15133"/>
    <cellStyle name="40% - Accent2 11 2 10" xfId="15134"/>
    <cellStyle name="40% - Accent2 11 2 11" xfId="15135"/>
    <cellStyle name="40% - Accent2 11 2 12" xfId="15136"/>
    <cellStyle name="40% - Accent2 11 2 13" xfId="15137"/>
    <cellStyle name="40% - Accent2 11 2 14" xfId="15138"/>
    <cellStyle name="40% - Accent2 11 2 15" xfId="15139"/>
    <cellStyle name="40% - Accent2 11 2 16" xfId="15140"/>
    <cellStyle name="40% - Accent2 11 2 17" xfId="15141"/>
    <cellStyle name="40% - Accent2 11 2 18" xfId="15142"/>
    <cellStyle name="40% - Accent2 11 2 19" xfId="15143"/>
    <cellStyle name="40% - Accent2 11 2 2" xfId="15144"/>
    <cellStyle name="40% - Accent2 11 2 2 2" xfId="15145"/>
    <cellStyle name="40% - Accent2 11 2 20" xfId="15146"/>
    <cellStyle name="40% - Accent2 11 2 21" xfId="15147"/>
    <cellStyle name="40% - Accent2 11 2 22" xfId="15148"/>
    <cellStyle name="40% - Accent2 11 2 23" xfId="15149"/>
    <cellStyle name="40% - Accent2 11 2 24" xfId="15150"/>
    <cellStyle name="40% - Accent2 11 2 25" xfId="15151"/>
    <cellStyle name="40% - Accent2 11 2 26" xfId="15152"/>
    <cellStyle name="40% - Accent2 11 2 27" xfId="15153"/>
    <cellStyle name="40% - Accent2 11 2 28" xfId="15154"/>
    <cellStyle name="40% - Accent2 11 2 29" xfId="15155"/>
    <cellStyle name="40% - Accent2 11 2 3" xfId="15156"/>
    <cellStyle name="40% - Accent2 11 2 30" xfId="15157"/>
    <cellStyle name="40% - Accent2 11 2 31" xfId="15158"/>
    <cellStyle name="40% - Accent2 11 2 32" xfId="15159"/>
    <cellStyle name="40% - Accent2 11 2 33" xfId="15160"/>
    <cellStyle name="40% - Accent2 11 2 34" xfId="15161"/>
    <cellStyle name="40% - Accent2 11 2 35" xfId="15162"/>
    <cellStyle name="40% - Accent2 11 2 36" xfId="15163"/>
    <cellStyle name="40% - Accent2 11 2 37" xfId="15164"/>
    <cellStyle name="40% - Accent2 11 2 38" xfId="15165"/>
    <cellStyle name="40% - Accent2 11 2 39" xfId="15166"/>
    <cellStyle name="40% - Accent2 11 2 4" xfId="15167"/>
    <cellStyle name="40% - Accent2 11 2 40" xfId="15168"/>
    <cellStyle name="40% - Accent2 11 2 41" xfId="15169"/>
    <cellStyle name="40% - Accent2 11 2 42" xfId="15170"/>
    <cellStyle name="40% - Accent2 11 2 43" xfId="15171"/>
    <cellStyle name="40% - Accent2 11 2 44" xfId="15172"/>
    <cellStyle name="40% - Accent2 11 2 45" xfId="15173"/>
    <cellStyle name="40% - Accent2 11 2 46" xfId="15174"/>
    <cellStyle name="40% - Accent2 11 2 47" xfId="15175"/>
    <cellStyle name="40% - Accent2 11 2 48" xfId="15176"/>
    <cellStyle name="40% - Accent2 11 2 49" xfId="15177"/>
    <cellStyle name="40% - Accent2 11 2 5" xfId="15178"/>
    <cellStyle name="40% - Accent2 11 2 50" xfId="15179"/>
    <cellStyle name="40% - Accent2 11 2 51" xfId="15180"/>
    <cellStyle name="40% - Accent2 11 2 52" xfId="15181"/>
    <cellStyle name="40% - Accent2 11 2 53" xfId="15182"/>
    <cellStyle name="40% - Accent2 11 2 54" xfId="15183"/>
    <cellStyle name="40% - Accent2 11 2 55" xfId="15184"/>
    <cellStyle name="40% - Accent2 11 2 6" xfId="15185"/>
    <cellStyle name="40% - Accent2 11 2 7" xfId="15186"/>
    <cellStyle name="40% - Accent2 11 2 8" xfId="15187"/>
    <cellStyle name="40% - Accent2 11 2 9" xfId="15188"/>
    <cellStyle name="40% - Accent2 11 3" xfId="15189"/>
    <cellStyle name="40% - Accent2 11 3 10" xfId="15190"/>
    <cellStyle name="40% - Accent2 11 3 11" xfId="15191"/>
    <cellStyle name="40% - Accent2 11 3 12" xfId="15192"/>
    <cellStyle name="40% - Accent2 11 3 13" xfId="15193"/>
    <cellStyle name="40% - Accent2 11 3 14" xfId="15194"/>
    <cellStyle name="40% - Accent2 11 3 15" xfId="15195"/>
    <cellStyle name="40% - Accent2 11 3 16" xfId="15196"/>
    <cellStyle name="40% - Accent2 11 3 17" xfId="15197"/>
    <cellStyle name="40% - Accent2 11 3 18" xfId="15198"/>
    <cellStyle name="40% - Accent2 11 3 19" xfId="15199"/>
    <cellStyle name="40% - Accent2 11 3 2" xfId="15200"/>
    <cellStyle name="40% - Accent2 11 3 2 2" xfId="15201"/>
    <cellStyle name="40% - Accent2 11 3 20" xfId="15202"/>
    <cellStyle name="40% - Accent2 11 3 21" xfId="15203"/>
    <cellStyle name="40% - Accent2 11 3 22" xfId="15204"/>
    <cellStyle name="40% - Accent2 11 3 23" xfId="15205"/>
    <cellStyle name="40% - Accent2 11 3 24" xfId="15206"/>
    <cellStyle name="40% - Accent2 11 3 25" xfId="15207"/>
    <cellStyle name="40% - Accent2 11 3 26" xfId="15208"/>
    <cellStyle name="40% - Accent2 11 3 27" xfId="15209"/>
    <cellStyle name="40% - Accent2 11 3 28" xfId="15210"/>
    <cellStyle name="40% - Accent2 11 3 29" xfId="15211"/>
    <cellStyle name="40% - Accent2 11 3 3" xfId="15212"/>
    <cellStyle name="40% - Accent2 11 3 30" xfId="15213"/>
    <cellStyle name="40% - Accent2 11 3 31" xfId="15214"/>
    <cellStyle name="40% - Accent2 11 3 32" xfId="15215"/>
    <cellStyle name="40% - Accent2 11 3 33" xfId="15216"/>
    <cellStyle name="40% - Accent2 11 3 34" xfId="15217"/>
    <cellStyle name="40% - Accent2 11 3 35" xfId="15218"/>
    <cellStyle name="40% - Accent2 11 3 36" xfId="15219"/>
    <cellStyle name="40% - Accent2 11 3 37" xfId="15220"/>
    <cellStyle name="40% - Accent2 11 3 38" xfId="15221"/>
    <cellStyle name="40% - Accent2 11 3 39" xfId="15222"/>
    <cellStyle name="40% - Accent2 11 3 4" xfId="15223"/>
    <cellStyle name="40% - Accent2 11 3 40" xfId="15224"/>
    <cellStyle name="40% - Accent2 11 3 41" xfId="15225"/>
    <cellStyle name="40% - Accent2 11 3 42" xfId="15226"/>
    <cellStyle name="40% - Accent2 11 3 43" xfId="15227"/>
    <cellStyle name="40% - Accent2 11 3 44" xfId="15228"/>
    <cellStyle name="40% - Accent2 11 3 45" xfId="15229"/>
    <cellStyle name="40% - Accent2 11 3 46" xfId="15230"/>
    <cellStyle name="40% - Accent2 11 3 47" xfId="15231"/>
    <cellStyle name="40% - Accent2 11 3 48" xfId="15232"/>
    <cellStyle name="40% - Accent2 11 3 49" xfId="15233"/>
    <cellStyle name="40% - Accent2 11 3 5" xfId="15234"/>
    <cellStyle name="40% - Accent2 11 3 50" xfId="15235"/>
    <cellStyle name="40% - Accent2 11 3 51" xfId="15236"/>
    <cellStyle name="40% - Accent2 11 3 52" xfId="15237"/>
    <cellStyle name="40% - Accent2 11 3 53" xfId="15238"/>
    <cellStyle name="40% - Accent2 11 3 54" xfId="15239"/>
    <cellStyle name="40% - Accent2 11 3 55" xfId="15240"/>
    <cellStyle name="40% - Accent2 11 3 6" xfId="15241"/>
    <cellStyle name="40% - Accent2 11 3 7" xfId="15242"/>
    <cellStyle name="40% - Accent2 11 3 8" xfId="15243"/>
    <cellStyle name="40% - Accent2 11 3 9" xfId="15244"/>
    <cellStyle name="40% - Accent2 12" xfId="15245"/>
    <cellStyle name="40% - Accent2 12 2" xfId="15246"/>
    <cellStyle name="40% - Accent2 12 2 10" xfId="15247"/>
    <cellStyle name="40% - Accent2 12 2 11" xfId="15248"/>
    <cellStyle name="40% - Accent2 12 2 12" xfId="15249"/>
    <cellStyle name="40% - Accent2 12 2 13" xfId="15250"/>
    <cellStyle name="40% - Accent2 12 2 14" xfId="15251"/>
    <cellStyle name="40% - Accent2 12 2 15" xfId="15252"/>
    <cellStyle name="40% - Accent2 12 2 16" xfId="15253"/>
    <cellStyle name="40% - Accent2 12 2 17" xfId="15254"/>
    <cellStyle name="40% - Accent2 12 2 18" xfId="15255"/>
    <cellStyle name="40% - Accent2 12 2 19" xfId="15256"/>
    <cellStyle name="40% - Accent2 12 2 2" xfId="15257"/>
    <cellStyle name="40% - Accent2 12 2 2 2" xfId="15258"/>
    <cellStyle name="40% - Accent2 12 2 20" xfId="15259"/>
    <cellStyle name="40% - Accent2 12 2 21" xfId="15260"/>
    <cellStyle name="40% - Accent2 12 2 22" xfId="15261"/>
    <cellStyle name="40% - Accent2 12 2 23" xfId="15262"/>
    <cellStyle name="40% - Accent2 12 2 24" xfId="15263"/>
    <cellStyle name="40% - Accent2 12 2 25" xfId="15264"/>
    <cellStyle name="40% - Accent2 12 2 26" xfId="15265"/>
    <cellStyle name="40% - Accent2 12 2 27" xfId="15266"/>
    <cellStyle name="40% - Accent2 12 2 28" xfId="15267"/>
    <cellStyle name="40% - Accent2 12 2 29" xfId="15268"/>
    <cellStyle name="40% - Accent2 12 2 3" xfId="15269"/>
    <cellStyle name="40% - Accent2 12 2 30" xfId="15270"/>
    <cellStyle name="40% - Accent2 12 2 31" xfId="15271"/>
    <cellStyle name="40% - Accent2 12 2 32" xfId="15272"/>
    <cellStyle name="40% - Accent2 12 2 33" xfId="15273"/>
    <cellStyle name="40% - Accent2 12 2 34" xfId="15274"/>
    <cellStyle name="40% - Accent2 12 2 35" xfId="15275"/>
    <cellStyle name="40% - Accent2 12 2 36" xfId="15276"/>
    <cellStyle name="40% - Accent2 12 2 37" xfId="15277"/>
    <cellStyle name="40% - Accent2 12 2 38" xfId="15278"/>
    <cellStyle name="40% - Accent2 12 2 39" xfId="15279"/>
    <cellStyle name="40% - Accent2 12 2 4" xfId="15280"/>
    <cellStyle name="40% - Accent2 12 2 40" xfId="15281"/>
    <cellStyle name="40% - Accent2 12 2 41" xfId="15282"/>
    <cellStyle name="40% - Accent2 12 2 42" xfId="15283"/>
    <cellStyle name="40% - Accent2 12 2 43" xfId="15284"/>
    <cellStyle name="40% - Accent2 12 2 44" xfId="15285"/>
    <cellStyle name="40% - Accent2 12 2 45" xfId="15286"/>
    <cellStyle name="40% - Accent2 12 2 46" xfId="15287"/>
    <cellStyle name="40% - Accent2 12 2 47" xfId="15288"/>
    <cellStyle name="40% - Accent2 12 2 48" xfId="15289"/>
    <cellStyle name="40% - Accent2 12 2 49" xfId="15290"/>
    <cellStyle name="40% - Accent2 12 2 5" xfId="15291"/>
    <cellStyle name="40% - Accent2 12 2 50" xfId="15292"/>
    <cellStyle name="40% - Accent2 12 2 51" xfId="15293"/>
    <cellStyle name="40% - Accent2 12 2 52" xfId="15294"/>
    <cellStyle name="40% - Accent2 12 2 53" xfId="15295"/>
    <cellStyle name="40% - Accent2 12 2 54" xfId="15296"/>
    <cellStyle name="40% - Accent2 12 2 55" xfId="15297"/>
    <cellStyle name="40% - Accent2 12 2 6" xfId="15298"/>
    <cellStyle name="40% - Accent2 12 2 7" xfId="15299"/>
    <cellStyle name="40% - Accent2 12 2 8" xfId="15300"/>
    <cellStyle name="40% - Accent2 12 2 9" xfId="15301"/>
    <cellStyle name="40% - Accent2 12 3" xfId="15302"/>
    <cellStyle name="40% - Accent2 12 3 10" xfId="15303"/>
    <cellStyle name="40% - Accent2 12 3 11" xfId="15304"/>
    <cellStyle name="40% - Accent2 12 3 12" xfId="15305"/>
    <cellStyle name="40% - Accent2 12 3 13" xfId="15306"/>
    <cellStyle name="40% - Accent2 12 3 14" xfId="15307"/>
    <cellStyle name="40% - Accent2 12 3 15" xfId="15308"/>
    <cellStyle name="40% - Accent2 12 3 16" xfId="15309"/>
    <cellStyle name="40% - Accent2 12 3 17" xfId="15310"/>
    <cellStyle name="40% - Accent2 12 3 18" xfId="15311"/>
    <cellStyle name="40% - Accent2 12 3 19" xfId="15312"/>
    <cellStyle name="40% - Accent2 12 3 2" xfId="15313"/>
    <cellStyle name="40% - Accent2 12 3 2 2" xfId="15314"/>
    <cellStyle name="40% - Accent2 12 3 20" xfId="15315"/>
    <cellStyle name="40% - Accent2 12 3 21" xfId="15316"/>
    <cellStyle name="40% - Accent2 12 3 22" xfId="15317"/>
    <cellStyle name="40% - Accent2 12 3 23" xfId="15318"/>
    <cellStyle name="40% - Accent2 12 3 24" xfId="15319"/>
    <cellStyle name="40% - Accent2 12 3 25" xfId="15320"/>
    <cellStyle name="40% - Accent2 12 3 26" xfId="15321"/>
    <cellStyle name="40% - Accent2 12 3 27" xfId="15322"/>
    <cellStyle name="40% - Accent2 12 3 28" xfId="15323"/>
    <cellStyle name="40% - Accent2 12 3 29" xfId="15324"/>
    <cellStyle name="40% - Accent2 12 3 3" xfId="15325"/>
    <cellStyle name="40% - Accent2 12 3 30" xfId="15326"/>
    <cellStyle name="40% - Accent2 12 3 31" xfId="15327"/>
    <cellStyle name="40% - Accent2 12 3 32" xfId="15328"/>
    <cellStyle name="40% - Accent2 12 3 33" xfId="15329"/>
    <cellStyle name="40% - Accent2 12 3 34" xfId="15330"/>
    <cellStyle name="40% - Accent2 12 3 35" xfId="15331"/>
    <cellStyle name="40% - Accent2 12 3 36" xfId="15332"/>
    <cellStyle name="40% - Accent2 12 3 37" xfId="15333"/>
    <cellStyle name="40% - Accent2 12 3 38" xfId="15334"/>
    <cellStyle name="40% - Accent2 12 3 39" xfId="15335"/>
    <cellStyle name="40% - Accent2 12 3 4" xfId="15336"/>
    <cellStyle name="40% - Accent2 12 3 40" xfId="15337"/>
    <cellStyle name="40% - Accent2 12 3 41" xfId="15338"/>
    <cellStyle name="40% - Accent2 12 3 42" xfId="15339"/>
    <cellStyle name="40% - Accent2 12 3 43" xfId="15340"/>
    <cellStyle name="40% - Accent2 12 3 44" xfId="15341"/>
    <cellStyle name="40% - Accent2 12 3 45" xfId="15342"/>
    <cellStyle name="40% - Accent2 12 3 46" xfId="15343"/>
    <cellStyle name="40% - Accent2 12 3 47" xfId="15344"/>
    <cellStyle name="40% - Accent2 12 3 48" xfId="15345"/>
    <cellStyle name="40% - Accent2 12 3 49" xfId="15346"/>
    <cellStyle name="40% - Accent2 12 3 5" xfId="15347"/>
    <cellStyle name="40% - Accent2 12 3 50" xfId="15348"/>
    <cellStyle name="40% - Accent2 12 3 51" xfId="15349"/>
    <cellStyle name="40% - Accent2 12 3 52" xfId="15350"/>
    <cellStyle name="40% - Accent2 12 3 53" xfId="15351"/>
    <cellStyle name="40% - Accent2 12 3 54" xfId="15352"/>
    <cellStyle name="40% - Accent2 12 3 55" xfId="15353"/>
    <cellStyle name="40% - Accent2 12 3 6" xfId="15354"/>
    <cellStyle name="40% - Accent2 12 3 7" xfId="15355"/>
    <cellStyle name="40% - Accent2 12 3 8" xfId="15356"/>
    <cellStyle name="40% - Accent2 12 3 9" xfId="15357"/>
    <cellStyle name="40% - Accent2 13" xfId="15358"/>
    <cellStyle name="40% - Accent2 13 2" xfId="15359"/>
    <cellStyle name="40% - Accent2 13 2 10" xfId="15360"/>
    <cellStyle name="40% - Accent2 13 2 11" xfId="15361"/>
    <cellStyle name="40% - Accent2 13 2 12" xfId="15362"/>
    <cellStyle name="40% - Accent2 13 2 13" xfId="15363"/>
    <cellStyle name="40% - Accent2 13 2 14" xfId="15364"/>
    <cellStyle name="40% - Accent2 13 2 15" xfId="15365"/>
    <cellStyle name="40% - Accent2 13 2 16" xfId="15366"/>
    <cellStyle name="40% - Accent2 13 2 17" xfId="15367"/>
    <cellStyle name="40% - Accent2 13 2 18" xfId="15368"/>
    <cellStyle name="40% - Accent2 13 2 19" xfId="15369"/>
    <cellStyle name="40% - Accent2 13 2 2" xfId="15370"/>
    <cellStyle name="40% - Accent2 13 2 2 2" xfId="15371"/>
    <cellStyle name="40% - Accent2 13 2 20" xfId="15372"/>
    <cellStyle name="40% - Accent2 13 2 21" xfId="15373"/>
    <cellStyle name="40% - Accent2 13 2 22" xfId="15374"/>
    <cellStyle name="40% - Accent2 13 2 23" xfId="15375"/>
    <cellStyle name="40% - Accent2 13 2 24" xfId="15376"/>
    <cellStyle name="40% - Accent2 13 2 25" xfId="15377"/>
    <cellStyle name="40% - Accent2 13 2 26" xfId="15378"/>
    <cellStyle name="40% - Accent2 13 2 27" xfId="15379"/>
    <cellStyle name="40% - Accent2 13 2 28" xfId="15380"/>
    <cellStyle name="40% - Accent2 13 2 29" xfId="15381"/>
    <cellStyle name="40% - Accent2 13 2 3" xfId="15382"/>
    <cellStyle name="40% - Accent2 13 2 30" xfId="15383"/>
    <cellStyle name="40% - Accent2 13 2 31" xfId="15384"/>
    <cellStyle name="40% - Accent2 13 2 32" xfId="15385"/>
    <cellStyle name="40% - Accent2 13 2 33" xfId="15386"/>
    <cellStyle name="40% - Accent2 13 2 34" xfId="15387"/>
    <cellStyle name="40% - Accent2 13 2 35" xfId="15388"/>
    <cellStyle name="40% - Accent2 13 2 36" xfId="15389"/>
    <cellStyle name="40% - Accent2 13 2 37" xfId="15390"/>
    <cellStyle name="40% - Accent2 13 2 38" xfId="15391"/>
    <cellStyle name="40% - Accent2 13 2 39" xfId="15392"/>
    <cellStyle name="40% - Accent2 13 2 4" xfId="15393"/>
    <cellStyle name="40% - Accent2 13 2 40" xfId="15394"/>
    <cellStyle name="40% - Accent2 13 2 41" xfId="15395"/>
    <cellStyle name="40% - Accent2 13 2 42" xfId="15396"/>
    <cellStyle name="40% - Accent2 13 2 43" xfId="15397"/>
    <cellStyle name="40% - Accent2 13 2 44" xfId="15398"/>
    <cellStyle name="40% - Accent2 13 2 45" xfId="15399"/>
    <cellStyle name="40% - Accent2 13 2 46" xfId="15400"/>
    <cellStyle name="40% - Accent2 13 2 47" xfId="15401"/>
    <cellStyle name="40% - Accent2 13 2 48" xfId="15402"/>
    <cellStyle name="40% - Accent2 13 2 49" xfId="15403"/>
    <cellStyle name="40% - Accent2 13 2 5" xfId="15404"/>
    <cellStyle name="40% - Accent2 13 2 50" xfId="15405"/>
    <cellStyle name="40% - Accent2 13 2 51" xfId="15406"/>
    <cellStyle name="40% - Accent2 13 2 52" xfId="15407"/>
    <cellStyle name="40% - Accent2 13 2 53" xfId="15408"/>
    <cellStyle name="40% - Accent2 13 2 54" xfId="15409"/>
    <cellStyle name="40% - Accent2 13 2 55" xfId="15410"/>
    <cellStyle name="40% - Accent2 13 2 6" xfId="15411"/>
    <cellStyle name="40% - Accent2 13 2 7" xfId="15412"/>
    <cellStyle name="40% - Accent2 13 2 8" xfId="15413"/>
    <cellStyle name="40% - Accent2 13 2 9" xfId="15414"/>
    <cellStyle name="40% - Accent2 13 3" xfId="15415"/>
    <cellStyle name="40% - Accent2 13 3 10" xfId="15416"/>
    <cellStyle name="40% - Accent2 13 3 11" xfId="15417"/>
    <cellStyle name="40% - Accent2 13 3 12" xfId="15418"/>
    <cellStyle name="40% - Accent2 13 3 13" xfId="15419"/>
    <cellStyle name="40% - Accent2 13 3 14" xfId="15420"/>
    <cellStyle name="40% - Accent2 13 3 15" xfId="15421"/>
    <cellStyle name="40% - Accent2 13 3 16" xfId="15422"/>
    <cellStyle name="40% - Accent2 13 3 17" xfId="15423"/>
    <cellStyle name="40% - Accent2 13 3 18" xfId="15424"/>
    <cellStyle name="40% - Accent2 13 3 19" xfId="15425"/>
    <cellStyle name="40% - Accent2 13 3 2" xfId="15426"/>
    <cellStyle name="40% - Accent2 13 3 2 2" xfId="15427"/>
    <cellStyle name="40% - Accent2 13 3 20" xfId="15428"/>
    <cellStyle name="40% - Accent2 13 3 21" xfId="15429"/>
    <cellStyle name="40% - Accent2 13 3 22" xfId="15430"/>
    <cellStyle name="40% - Accent2 13 3 23" xfId="15431"/>
    <cellStyle name="40% - Accent2 13 3 24" xfId="15432"/>
    <cellStyle name="40% - Accent2 13 3 25" xfId="15433"/>
    <cellStyle name="40% - Accent2 13 3 26" xfId="15434"/>
    <cellStyle name="40% - Accent2 13 3 27" xfId="15435"/>
    <cellStyle name="40% - Accent2 13 3 28" xfId="15436"/>
    <cellStyle name="40% - Accent2 13 3 29" xfId="15437"/>
    <cellStyle name="40% - Accent2 13 3 3" xfId="15438"/>
    <cellStyle name="40% - Accent2 13 3 30" xfId="15439"/>
    <cellStyle name="40% - Accent2 13 3 31" xfId="15440"/>
    <cellStyle name="40% - Accent2 13 3 32" xfId="15441"/>
    <cellStyle name="40% - Accent2 13 3 33" xfId="15442"/>
    <cellStyle name="40% - Accent2 13 3 34" xfId="15443"/>
    <cellStyle name="40% - Accent2 13 3 35" xfId="15444"/>
    <cellStyle name="40% - Accent2 13 3 36" xfId="15445"/>
    <cellStyle name="40% - Accent2 13 3 37" xfId="15446"/>
    <cellStyle name="40% - Accent2 13 3 38" xfId="15447"/>
    <cellStyle name="40% - Accent2 13 3 39" xfId="15448"/>
    <cellStyle name="40% - Accent2 13 3 4" xfId="15449"/>
    <cellStyle name="40% - Accent2 13 3 40" xfId="15450"/>
    <cellStyle name="40% - Accent2 13 3 41" xfId="15451"/>
    <cellStyle name="40% - Accent2 13 3 42" xfId="15452"/>
    <cellStyle name="40% - Accent2 13 3 43" xfId="15453"/>
    <cellStyle name="40% - Accent2 13 3 44" xfId="15454"/>
    <cellStyle name="40% - Accent2 13 3 45" xfId="15455"/>
    <cellStyle name="40% - Accent2 13 3 46" xfId="15456"/>
    <cellStyle name="40% - Accent2 13 3 47" xfId="15457"/>
    <cellStyle name="40% - Accent2 13 3 48" xfId="15458"/>
    <cellStyle name="40% - Accent2 13 3 49" xfId="15459"/>
    <cellStyle name="40% - Accent2 13 3 5" xfId="15460"/>
    <cellStyle name="40% - Accent2 13 3 50" xfId="15461"/>
    <cellStyle name="40% - Accent2 13 3 51" xfId="15462"/>
    <cellStyle name="40% - Accent2 13 3 52" xfId="15463"/>
    <cellStyle name="40% - Accent2 13 3 53" xfId="15464"/>
    <cellStyle name="40% - Accent2 13 3 54" xfId="15465"/>
    <cellStyle name="40% - Accent2 13 3 55" xfId="15466"/>
    <cellStyle name="40% - Accent2 13 3 6" xfId="15467"/>
    <cellStyle name="40% - Accent2 13 3 7" xfId="15468"/>
    <cellStyle name="40% - Accent2 13 3 8" xfId="15469"/>
    <cellStyle name="40% - Accent2 13 3 9" xfId="15470"/>
    <cellStyle name="40% - Accent2 14" xfId="15471"/>
    <cellStyle name="40% - Accent2 14 2" xfId="15472"/>
    <cellStyle name="40% - Accent2 14 2 10" xfId="15473"/>
    <cellStyle name="40% - Accent2 14 2 11" xfId="15474"/>
    <cellStyle name="40% - Accent2 14 2 12" xfId="15475"/>
    <cellStyle name="40% - Accent2 14 2 13" xfId="15476"/>
    <cellStyle name="40% - Accent2 14 2 14" xfId="15477"/>
    <cellStyle name="40% - Accent2 14 2 15" xfId="15478"/>
    <cellStyle name="40% - Accent2 14 2 16" xfId="15479"/>
    <cellStyle name="40% - Accent2 14 2 17" xfId="15480"/>
    <cellStyle name="40% - Accent2 14 2 18" xfId="15481"/>
    <cellStyle name="40% - Accent2 14 2 19" xfId="15482"/>
    <cellStyle name="40% - Accent2 14 2 2" xfId="15483"/>
    <cellStyle name="40% - Accent2 14 2 2 2" xfId="15484"/>
    <cellStyle name="40% - Accent2 14 2 20" xfId="15485"/>
    <cellStyle name="40% - Accent2 14 2 21" xfId="15486"/>
    <cellStyle name="40% - Accent2 14 2 22" xfId="15487"/>
    <cellStyle name="40% - Accent2 14 2 23" xfId="15488"/>
    <cellStyle name="40% - Accent2 14 2 24" xfId="15489"/>
    <cellStyle name="40% - Accent2 14 2 25" xfId="15490"/>
    <cellStyle name="40% - Accent2 14 2 26" xfId="15491"/>
    <cellStyle name="40% - Accent2 14 2 27" xfId="15492"/>
    <cellStyle name="40% - Accent2 14 2 28" xfId="15493"/>
    <cellStyle name="40% - Accent2 14 2 29" xfId="15494"/>
    <cellStyle name="40% - Accent2 14 2 3" xfId="15495"/>
    <cellStyle name="40% - Accent2 14 2 30" xfId="15496"/>
    <cellStyle name="40% - Accent2 14 2 31" xfId="15497"/>
    <cellStyle name="40% - Accent2 14 2 32" xfId="15498"/>
    <cellStyle name="40% - Accent2 14 2 33" xfId="15499"/>
    <cellStyle name="40% - Accent2 14 2 34" xfId="15500"/>
    <cellStyle name="40% - Accent2 14 2 35" xfId="15501"/>
    <cellStyle name="40% - Accent2 14 2 36" xfId="15502"/>
    <cellStyle name="40% - Accent2 14 2 37" xfId="15503"/>
    <cellStyle name="40% - Accent2 14 2 38" xfId="15504"/>
    <cellStyle name="40% - Accent2 14 2 39" xfId="15505"/>
    <cellStyle name="40% - Accent2 14 2 4" xfId="15506"/>
    <cellStyle name="40% - Accent2 14 2 40" xfId="15507"/>
    <cellStyle name="40% - Accent2 14 2 41" xfId="15508"/>
    <cellStyle name="40% - Accent2 14 2 42" xfId="15509"/>
    <cellStyle name="40% - Accent2 14 2 43" xfId="15510"/>
    <cellStyle name="40% - Accent2 14 2 44" xfId="15511"/>
    <cellStyle name="40% - Accent2 14 2 45" xfId="15512"/>
    <cellStyle name="40% - Accent2 14 2 46" xfId="15513"/>
    <cellStyle name="40% - Accent2 14 2 47" xfId="15514"/>
    <cellStyle name="40% - Accent2 14 2 48" xfId="15515"/>
    <cellStyle name="40% - Accent2 14 2 49" xfId="15516"/>
    <cellStyle name="40% - Accent2 14 2 5" xfId="15517"/>
    <cellStyle name="40% - Accent2 14 2 50" xfId="15518"/>
    <cellStyle name="40% - Accent2 14 2 51" xfId="15519"/>
    <cellStyle name="40% - Accent2 14 2 52" xfId="15520"/>
    <cellStyle name="40% - Accent2 14 2 53" xfId="15521"/>
    <cellStyle name="40% - Accent2 14 2 54" xfId="15522"/>
    <cellStyle name="40% - Accent2 14 2 55" xfId="15523"/>
    <cellStyle name="40% - Accent2 14 2 6" xfId="15524"/>
    <cellStyle name="40% - Accent2 14 2 7" xfId="15525"/>
    <cellStyle name="40% - Accent2 14 2 8" xfId="15526"/>
    <cellStyle name="40% - Accent2 14 2 9" xfId="15527"/>
    <cellStyle name="40% - Accent2 14 3" xfId="15528"/>
    <cellStyle name="40% - Accent2 14 3 10" xfId="15529"/>
    <cellStyle name="40% - Accent2 14 3 11" xfId="15530"/>
    <cellStyle name="40% - Accent2 14 3 12" xfId="15531"/>
    <cellStyle name="40% - Accent2 14 3 13" xfId="15532"/>
    <cellStyle name="40% - Accent2 14 3 14" xfId="15533"/>
    <cellStyle name="40% - Accent2 14 3 15" xfId="15534"/>
    <cellStyle name="40% - Accent2 14 3 16" xfId="15535"/>
    <cellStyle name="40% - Accent2 14 3 17" xfId="15536"/>
    <cellStyle name="40% - Accent2 14 3 18" xfId="15537"/>
    <cellStyle name="40% - Accent2 14 3 19" xfId="15538"/>
    <cellStyle name="40% - Accent2 14 3 2" xfId="15539"/>
    <cellStyle name="40% - Accent2 14 3 2 2" xfId="15540"/>
    <cellStyle name="40% - Accent2 14 3 20" xfId="15541"/>
    <cellStyle name="40% - Accent2 14 3 21" xfId="15542"/>
    <cellStyle name="40% - Accent2 14 3 22" xfId="15543"/>
    <cellStyle name="40% - Accent2 14 3 23" xfId="15544"/>
    <cellStyle name="40% - Accent2 14 3 24" xfId="15545"/>
    <cellStyle name="40% - Accent2 14 3 25" xfId="15546"/>
    <cellStyle name="40% - Accent2 14 3 26" xfId="15547"/>
    <cellStyle name="40% - Accent2 14 3 27" xfId="15548"/>
    <cellStyle name="40% - Accent2 14 3 28" xfId="15549"/>
    <cellStyle name="40% - Accent2 14 3 29" xfId="15550"/>
    <cellStyle name="40% - Accent2 14 3 3" xfId="15551"/>
    <cellStyle name="40% - Accent2 14 3 30" xfId="15552"/>
    <cellStyle name="40% - Accent2 14 3 31" xfId="15553"/>
    <cellStyle name="40% - Accent2 14 3 32" xfId="15554"/>
    <cellStyle name="40% - Accent2 14 3 33" xfId="15555"/>
    <cellStyle name="40% - Accent2 14 3 34" xfId="15556"/>
    <cellStyle name="40% - Accent2 14 3 35" xfId="15557"/>
    <cellStyle name="40% - Accent2 14 3 36" xfId="15558"/>
    <cellStyle name="40% - Accent2 14 3 37" xfId="15559"/>
    <cellStyle name="40% - Accent2 14 3 38" xfId="15560"/>
    <cellStyle name="40% - Accent2 14 3 39" xfId="15561"/>
    <cellStyle name="40% - Accent2 14 3 4" xfId="15562"/>
    <cellStyle name="40% - Accent2 14 3 40" xfId="15563"/>
    <cellStyle name="40% - Accent2 14 3 41" xfId="15564"/>
    <cellStyle name="40% - Accent2 14 3 42" xfId="15565"/>
    <cellStyle name="40% - Accent2 14 3 43" xfId="15566"/>
    <cellStyle name="40% - Accent2 14 3 44" xfId="15567"/>
    <cellStyle name="40% - Accent2 14 3 45" xfId="15568"/>
    <cellStyle name="40% - Accent2 14 3 46" xfId="15569"/>
    <cellStyle name="40% - Accent2 14 3 47" xfId="15570"/>
    <cellStyle name="40% - Accent2 14 3 48" xfId="15571"/>
    <cellStyle name="40% - Accent2 14 3 49" xfId="15572"/>
    <cellStyle name="40% - Accent2 14 3 5" xfId="15573"/>
    <cellStyle name="40% - Accent2 14 3 50" xfId="15574"/>
    <cellStyle name="40% - Accent2 14 3 51" xfId="15575"/>
    <cellStyle name="40% - Accent2 14 3 52" xfId="15576"/>
    <cellStyle name="40% - Accent2 14 3 53" xfId="15577"/>
    <cellStyle name="40% - Accent2 14 3 54" xfId="15578"/>
    <cellStyle name="40% - Accent2 14 3 55" xfId="15579"/>
    <cellStyle name="40% - Accent2 14 3 6" xfId="15580"/>
    <cellStyle name="40% - Accent2 14 3 7" xfId="15581"/>
    <cellStyle name="40% - Accent2 14 3 8" xfId="15582"/>
    <cellStyle name="40% - Accent2 14 3 9" xfId="15583"/>
    <cellStyle name="40% - Accent2 15" xfId="15584"/>
    <cellStyle name="40% - Accent2 15 2" xfId="15585"/>
    <cellStyle name="40% - Accent2 15 2 10" xfId="15586"/>
    <cellStyle name="40% - Accent2 15 2 11" xfId="15587"/>
    <cellStyle name="40% - Accent2 15 2 12" xfId="15588"/>
    <cellStyle name="40% - Accent2 15 2 13" xfId="15589"/>
    <cellStyle name="40% - Accent2 15 2 14" xfId="15590"/>
    <cellStyle name="40% - Accent2 15 2 15" xfId="15591"/>
    <cellStyle name="40% - Accent2 15 2 16" xfId="15592"/>
    <cellStyle name="40% - Accent2 15 2 17" xfId="15593"/>
    <cellStyle name="40% - Accent2 15 2 18" xfId="15594"/>
    <cellStyle name="40% - Accent2 15 2 19" xfId="15595"/>
    <cellStyle name="40% - Accent2 15 2 2" xfId="15596"/>
    <cellStyle name="40% - Accent2 15 2 2 2" xfId="15597"/>
    <cellStyle name="40% - Accent2 15 2 20" xfId="15598"/>
    <cellStyle name="40% - Accent2 15 2 21" xfId="15599"/>
    <cellStyle name="40% - Accent2 15 2 22" xfId="15600"/>
    <cellStyle name="40% - Accent2 15 2 23" xfId="15601"/>
    <cellStyle name="40% - Accent2 15 2 24" xfId="15602"/>
    <cellStyle name="40% - Accent2 15 2 25" xfId="15603"/>
    <cellStyle name="40% - Accent2 15 2 26" xfId="15604"/>
    <cellStyle name="40% - Accent2 15 2 27" xfId="15605"/>
    <cellStyle name="40% - Accent2 15 2 28" xfId="15606"/>
    <cellStyle name="40% - Accent2 15 2 29" xfId="15607"/>
    <cellStyle name="40% - Accent2 15 2 3" xfId="15608"/>
    <cellStyle name="40% - Accent2 15 2 30" xfId="15609"/>
    <cellStyle name="40% - Accent2 15 2 31" xfId="15610"/>
    <cellStyle name="40% - Accent2 15 2 32" xfId="15611"/>
    <cellStyle name="40% - Accent2 15 2 33" xfId="15612"/>
    <cellStyle name="40% - Accent2 15 2 34" xfId="15613"/>
    <cellStyle name="40% - Accent2 15 2 35" xfId="15614"/>
    <cellStyle name="40% - Accent2 15 2 36" xfId="15615"/>
    <cellStyle name="40% - Accent2 15 2 37" xfId="15616"/>
    <cellStyle name="40% - Accent2 15 2 38" xfId="15617"/>
    <cellStyle name="40% - Accent2 15 2 39" xfId="15618"/>
    <cellStyle name="40% - Accent2 15 2 4" xfId="15619"/>
    <cellStyle name="40% - Accent2 15 2 40" xfId="15620"/>
    <cellStyle name="40% - Accent2 15 2 41" xfId="15621"/>
    <cellStyle name="40% - Accent2 15 2 42" xfId="15622"/>
    <cellStyle name="40% - Accent2 15 2 43" xfId="15623"/>
    <cellStyle name="40% - Accent2 15 2 44" xfId="15624"/>
    <cellStyle name="40% - Accent2 15 2 45" xfId="15625"/>
    <cellStyle name="40% - Accent2 15 2 46" xfId="15626"/>
    <cellStyle name="40% - Accent2 15 2 47" xfId="15627"/>
    <cellStyle name="40% - Accent2 15 2 48" xfId="15628"/>
    <cellStyle name="40% - Accent2 15 2 49" xfId="15629"/>
    <cellStyle name="40% - Accent2 15 2 5" xfId="15630"/>
    <cellStyle name="40% - Accent2 15 2 50" xfId="15631"/>
    <cellStyle name="40% - Accent2 15 2 51" xfId="15632"/>
    <cellStyle name="40% - Accent2 15 2 52" xfId="15633"/>
    <cellStyle name="40% - Accent2 15 2 53" xfId="15634"/>
    <cellStyle name="40% - Accent2 15 2 54" xfId="15635"/>
    <cellStyle name="40% - Accent2 15 2 55" xfId="15636"/>
    <cellStyle name="40% - Accent2 15 2 6" xfId="15637"/>
    <cellStyle name="40% - Accent2 15 2 7" xfId="15638"/>
    <cellStyle name="40% - Accent2 15 2 8" xfId="15639"/>
    <cellStyle name="40% - Accent2 15 2 9" xfId="15640"/>
    <cellStyle name="40% - Accent2 15 3" xfId="15641"/>
    <cellStyle name="40% - Accent2 15 3 10" xfId="15642"/>
    <cellStyle name="40% - Accent2 15 3 11" xfId="15643"/>
    <cellStyle name="40% - Accent2 15 3 12" xfId="15644"/>
    <cellStyle name="40% - Accent2 15 3 13" xfId="15645"/>
    <cellStyle name="40% - Accent2 15 3 14" xfId="15646"/>
    <cellStyle name="40% - Accent2 15 3 15" xfId="15647"/>
    <cellStyle name="40% - Accent2 15 3 16" xfId="15648"/>
    <cellStyle name="40% - Accent2 15 3 17" xfId="15649"/>
    <cellStyle name="40% - Accent2 15 3 18" xfId="15650"/>
    <cellStyle name="40% - Accent2 15 3 19" xfId="15651"/>
    <cellStyle name="40% - Accent2 15 3 2" xfId="15652"/>
    <cellStyle name="40% - Accent2 15 3 2 2" xfId="15653"/>
    <cellStyle name="40% - Accent2 15 3 20" xfId="15654"/>
    <cellStyle name="40% - Accent2 15 3 21" xfId="15655"/>
    <cellStyle name="40% - Accent2 15 3 22" xfId="15656"/>
    <cellStyle name="40% - Accent2 15 3 23" xfId="15657"/>
    <cellStyle name="40% - Accent2 15 3 24" xfId="15658"/>
    <cellStyle name="40% - Accent2 15 3 25" xfId="15659"/>
    <cellStyle name="40% - Accent2 15 3 26" xfId="15660"/>
    <cellStyle name="40% - Accent2 15 3 27" xfId="15661"/>
    <cellStyle name="40% - Accent2 15 3 28" xfId="15662"/>
    <cellStyle name="40% - Accent2 15 3 29" xfId="15663"/>
    <cellStyle name="40% - Accent2 15 3 3" xfId="15664"/>
    <cellStyle name="40% - Accent2 15 3 30" xfId="15665"/>
    <cellStyle name="40% - Accent2 15 3 31" xfId="15666"/>
    <cellStyle name="40% - Accent2 15 3 32" xfId="15667"/>
    <cellStyle name="40% - Accent2 15 3 33" xfId="15668"/>
    <cellStyle name="40% - Accent2 15 3 34" xfId="15669"/>
    <cellStyle name="40% - Accent2 15 3 35" xfId="15670"/>
    <cellStyle name="40% - Accent2 15 3 36" xfId="15671"/>
    <cellStyle name="40% - Accent2 15 3 37" xfId="15672"/>
    <cellStyle name="40% - Accent2 15 3 38" xfId="15673"/>
    <cellStyle name="40% - Accent2 15 3 39" xfId="15674"/>
    <cellStyle name="40% - Accent2 15 3 4" xfId="15675"/>
    <cellStyle name="40% - Accent2 15 3 40" xfId="15676"/>
    <cellStyle name="40% - Accent2 15 3 41" xfId="15677"/>
    <cellStyle name="40% - Accent2 15 3 42" xfId="15678"/>
    <cellStyle name="40% - Accent2 15 3 43" xfId="15679"/>
    <cellStyle name="40% - Accent2 15 3 44" xfId="15680"/>
    <cellStyle name="40% - Accent2 15 3 45" xfId="15681"/>
    <cellStyle name="40% - Accent2 15 3 46" xfId="15682"/>
    <cellStyle name="40% - Accent2 15 3 47" xfId="15683"/>
    <cellStyle name="40% - Accent2 15 3 48" xfId="15684"/>
    <cellStyle name="40% - Accent2 15 3 49" xfId="15685"/>
    <cellStyle name="40% - Accent2 15 3 5" xfId="15686"/>
    <cellStyle name="40% - Accent2 15 3 50" xfId="15687"/>
    <cellStyle name="40% - Accent2 15 3 51" xfId="15688"/>
    <cellStyle name="40% - Accent2 15 3 52" xfId="15689"/>
    <cellStyle name="40% - Accent2 15 3 53" xfId="15690"/>
    <cellStyle name="40% - Accent2 15 3 54" xfId="15691"/>
    <cellStyle name="40% - Accent2 15 3 55" xfId="15692"/>
    <cellStyle name="40% - Accent2 15 3 6" xfId="15693"/>
    <cellStyle name="40% - Accent2 15 3 7" xfId="15694"/>
    <cellStyle name="40% - Accent2 15 3 8" xfId="15695"/>
    <cellStyle name="40% - Accent2 15 3 9" xfId="15696"/>
    <cellStyle name="40% - Accent2 16" xfId="15697"/>
    <cellStyle name="40% - Accent2 16 2" xfId="15698"/>
    <cellStyle name="40% - Accent2 16 2 10" xfId="15699"/>
    <cellStyle name="40% - Accent2 16 2 11" xfId="15700"/>
    <cellStyle name="40% - Accent2 16 2 12" xfId="15701"/>
    <cellStyle name="40% - Accent2 16 2 13" xfId="15702"/>
    <cellStyle name="40% - Accent2 16 2 14" xfId="15703"/>
    <cellStyle name="40% - Accent2 16 2 15" xfId="15704"/>
    <cellStyle name="40% - Accent2 16 2 16" xfId="15705"/>
    <cellStyle name="40% - Accent2 16 2 17" xfId="15706"/>
    <cellStyle name="40% - Accent2 16 2 18" xfId="15707"/>
    <cellStyle name="40% - Accent2 16 2 19" xfId="15708"/>
    <cellStyle name="40% - Accent2 16 2 2" xfId="15709"/>
    <cellStyle name="40% - Accent2 16 2 2 2" xfId="15710"/>
    <cellStyle name="40% - Accent2 16 2 20" xfId="15711"/>
    <cellStyle name="40% - Accent2 16 2 21" xfId="15712"/>
    <cellStyle name="40% - Accent2 16 2 22" xfId="15713"/>
    <cellStyle name="40% - Accent2 16 2 23" xfId="15714"/>
    <cellStyle name="40% - Accent2 16 2 24" xfId="15715"/>
    <cellStyle name="40% - Accent2 16 2 25" xfId="15716"/>
    <cellStyle name="40% - Accent2 16 2 26" xfId="15717"/>
    <cellStyle name="40% - Accent2 16 2 27" xfId="15718"/>
    <cellStyle name="40% - Accent2 16 2 28" xfId="15719"/>
    <cellStyle name="40% - Accent2 16 2 29" xfId="15720"/>
    <cellStyle name="40% - Accent2 16 2 3" xfId="15721"/>
    <cellStyle name="40% - Accent2 16 2 30" xfId="15722"/>
    <cellStyle name="40% - Accent2 16 2 31" xfId="15723"/>
    <cellStyle name="40% - Accent2 16 2 32" xfId="15724"/>
    <cellStyle name="40% - Accent2 16 2 33" xfId="15725"/>
    <cellStyle name="40% - Accent2 16 2 34" xfId="15726"/>
    <cellStyle name="40% - Accent2 16 2 35" xfId="15727"/>
    <cellStyle name="40% - Accent2 16 2 36" xfId="15728"/>
    <cellStyle name="40% - Accent2 16 2 37" xfId="15729"/>
    <cellStyle name="40% - Accent2 16 2 38" xfId="15730"/>
    <cellStyle name="40% - Accent2 16 2 39" xfId="15731"/>
    <cellStyle name="40% - Accent2 16 2 4" xfId="15732"/>
    <cellStyle name="40% - Accent2 16 2 40" xfId="15733"/>
    <cellStyle name="40% - Accent2 16 2 41" xfId="15734"/>
    <cellStyle name="40% - Accent2 16 2 42" xfId="15735"/>
    <cellStyle name="40% - Accent2 16 2 43" xfId="15736"/>
    <cellStyle name="40% - Accent2 16 2 44" xfId="15737"/>
    <cellStyle name="40% - Accent2 16 2 45" xfId="15738"/>
    <cellStyle name="40% - Accent2 16 2 46" xfId="15739"/>
    <cellStyle name="40% - Accent2 16 2 47" xfId="15740"/>
    <cellStyle name="40% - Accent2 16 2 48" xfId="15741"/>
    <cellStyle name="40% - Accent2 16 2 49" xfId="15742"/>
    <cellStyle name="40% - Accent2 16 2 5" xfId="15743"/>
    <cellStyle name="40% - Accent2 16 2 50" xfId="15744"/>
    <cellStyle name="40% - Accent2 16 2 51" xfId="15745"/>
    <cellStyle name="40% - Accent2 16 2 52" xfId="15746"/>
    <cellStyle name="40% - Accent2 16 2 53" xfId="15747"/>
    <cellStyle name="40% - Accent2 16 2 54" xfId="15748"/>
    <cellStyle name="40% - Accent2 16 2 55" xfId="15749"/>
    <cellStyle name="40% - Accent2 16 2 6" xfId="15750"/>
    <cellStyle name="40% - Accent2 16 2 7" xfId="15751"/>
    <cellStyle name="40% - Accent2 16 2 8" xfId="15752"/>
    <cellStyle name="40% - Accent2 16 2 9" xfId="15753"/>
    <cellStyle name="40% - Accent2 16 3" xfId="15754"/>
    <cellStyle name="40% - Accent2 16 3 10" xfId="15755"/>
    <cellStyle name="40% - Accent2 16 3 11" xfId="15756"/>
    <cellStyle name="40% - Accent2 16 3 12" xfId="15757"/>
    <cellStyle name="40% - Accent2 16 3 13" xfId="15758"/>
    <cellStyle name="40% - Accent2 16 3 14" xfId="15759"/>
    <cellStyle name="40% - Accent2 16 3 15" xfId="15760"/>
    <cellStyle name="40% - Accent2 16 3 16" xfId="15761"/>
    <cellStyle name="40% - Accent2 16 3 17" xfId="15762"/>
    <cellStyle name="40% - Accent2 16 3 18" xfId="15763"/>
    <cellStyle name="40% - Accent2 16 3 19" xfId="15764"/>
    <cellStyle name="40% - Accent2 16 3 2" xfId="15765"/>
    <cellStyle name="40% - Accent2 16 3 2 2" xfId="15766"/>
    <cellStyle name="40% - Accent2 16 3 20" xfId="15767"/>
    <cellStyle name="40% - Accent2 16 3 21" xfId="15768"/>
    <cellStyle name="40% - Accent2 16 3 22" xfId="15769"/>
    <cellStyle name="40% - Accent2 16 3 23" xfId="15770"/>
    <cellStyle name="40% - Accent2 16 3 24" xfId="15771"/>
    <cellStyle name="40% - Accent2 16 3 25" xfId="15772"/>
    <cellStyle name="40% - Accent2 16 3 26" xfId="15773"/>
    <cellStyle name="40% - Accent2 16 3 27" xfId="15774"/>
    <cellStyle name="40% - Accent2 16 3 28" xfId="15775"/>
    <cellStyle name="40% - Accent2 16 3 29" xfId="15776"/>
    <cellStyle name="40% - Accent2 16 3 3" xfId="15777"/>
    <cellStyle name="40% - Accent2 16 3 30" xfId="15778"/>
    <cellStyle name="40% - Accent2 16 3 31" xfId="15779"/>
    <cellStyle name="40% - Accent2 16 3 32" xfId="15780"/>
    <cellStyle name="40% - Accent2 16 3 33" xfId="15781"/>
    <cellStyle name="40% - Accent2 16 3 34" xfId="15782"/>
    <cellStyle name="40% - Accent2 16 3 35" xfId="15783"/>
    <cellStyle name="40% - Accent2 16 3 36" xfId="15784"/>
    <cellStyle name="40% - Accent2 16 3 37" xfId="15785"/>
    <cellStyle name="40% - Accent2 16 3 38" xfId="15786"/>
    <cellStyle name="40% - Accent2 16 3 39" xfId="15787"/>
    <cellStyle name="40% - Accent2 16 3 4" xfId="15788"/>
    <cellStyle name="40% - Accent2 16 3 40" xfId="15789"/>
    <cellStyle name="40% - Accent2 16 3 41" xfId="15790"/>
    <cellStyle name="40% - Accent2 16 3 42" xfId="15791"/>
    <cellStyle name="40% - Accent2 16 3 43" xfId="15792"/>
    <cellStyle name="40% - Accent2 16 3 44" xfId="15793"/>
    <cellStyle name="40% - Accent2 16 3 45" xfId="15794"/>
    <cellStyle name="40% - Accent2 16 3 46" xfId="15795"/>
    <cellStyle name="40% - Accent2 16 3 47" xfId="15796"/>
    <cellStyle name="40% - Accent2 16 3 48" xfId="15797"/>
    <cellStyle name="40% - Accent2 16 3 49" xfId="15798"/>
    <cellStyle name="40% - Accent2 16 3 5" xfId="15799"/>
    <cellStyle name="40% - Accent2 16 3 50" xfId="15800"/>
    <cellStyle name="40% - Accent2 16 3 51" xfId="15801"/>
    <cellStyle name="40% - Accent2 16 3 52" xfId="15802"/>
    <cellStyle name="40% - Accent2 16 3 53" xfId="15803"/>
    <cellStyle name="40% - Accent2 16 3 54" xfId="15804"/>
    <cellStyle name="40% - Accent2 16 3 55" xfId="15805"/>
    <cellStyle name="40% - Accent2 16 3 6" xfId="15806"/>
    <cellStyle name="40% - Accent2 16 3 7" xfId="15807"/>
    <cellStyle name="40% - Accent2 16 3 8" xfId="15808"/>
    <cellStyle name="40% - Accent2 16 3 9" xfId="15809"/>
    <cellStyle name="40% - Accent2 17" xfId="15810"/>
    <cellStyle name="40% - Accent2 17 2" xfId="15811"/>
    <cellStyle name="40% - Accent2 17 2 10" xfId="15812"/>
    <cellStyle name="40% - Accent2 17 2 11" xfId="15813"/>
    <cellStyle name="40% - Accent2 17 2 12" xfId="15814"/>
    <cellStyle name="40% - Accent2 17 2 13" xfId="15815"/>
    <cellStyle name="40% - Accent2 17 2 14" xfId="15816"/>
    <cellStyle name="40% - Accent2 17 2 15" xfId="15817"/>
    <cellStyle name="40% - Accent2 17 2 16" xfId="15818"/>
    <cellStyle name="40% - Accent2 17 2 17" xfId="15819"/>
    <cellStyle name="40% - Accent2 17 2 18" xfId="15820"/>
    <cellStyle name="40% - Accent2 17 2 19" xfId="15821"/>
    <cellStyle name="40% - Accent2 17 2 2" xfId="15822"/>
    <cellStyle name="40% - Accent2 17 2 2 2" xfId="15823"/>
    <cellStyle name="40% - Accent2 17 2 20" xfId="15824"/>
    <cellStyle name="40% - Accent2 17 2 21" xfId="15825"/>
    <cellStyle name="40% - Accent2 17 2 22" xfId="15826"/>
    <cellStyle name="40% - Accent2 17 2 23" xfId="15827"/>
    <cellStyle name="40% - Accent2 17 2 24" xfId="15828"/>
    <cellStyle name="40% - Accent2 17 2 25" xfId="15829"/>
    <cellStyle name="40% - Accent2 17 2 26" xfId="15830"/>
    <cellStyle name="40% - Accent2 17 2 27" xfId="15831"/>
    <cellStyle name="40% - Accent2 17 2 28" xfId="15832"/>
    <cellStyle name="40% - Accent2 17 2 29" xfId="15833"/>
    <cellStyle name="40% - Accent2 17 2 3" xfId="15834"/>
    <cellStyle name="40% - Accent2 17 2 30" xfId="15835"/>
    <cellStyle name="40% - Accent2 17 2 31" xfId="15836"/>
    <cellStyle name="40% - Accent2 17 2 32" xfId="15837"/>
    <cellStyle name="40% - Accent2 17 2 33" xfId="15838"/>
    <cellStyle name="40% - Accent2 17 2 34" xfId="15839"/>
    <cellStyle name="40% - Accent2 17 2 35" xfId="15840"/>
    <cellStyle name="40% - Accent2 17 2 36" xfId="15841"/>
    <cellStyle name="40% - Accent2 17 2 37" xfId="15842"/>
    <cellStyle name="40% - Accent2 17 2 38" xfId="15843"/>
    <cellStyle name="40% - Accent2 17 2 39" xfId="15844"/>
    <cellStyle name="40% - Accent2 17 2 4" xfId="15845"/>
    <cellStyle name="40% - Accent2 17 2 40" xfId="15846"/>
    <cellStyle name="40% - Accent2 17 2 41" xfId="15847"/>
    <cellStyle name="40% - Accent2 17 2 42" xfId="15848"/>
    <cellStyle name="40% - Accent2 17 2 43" xfId="15849"/>
    <cellStyle name="40% - Accent2 17 2 44" xfId="15850"/>
    <cellStyle name="40% - Accent2 17 2 45" xfId="15851"/>
    <cellStyle name="40% - Accent2 17 2 46" xfId="15852"/>
    <cellStyle name="40% - Accent2 17 2 47" xfId="15853"/>
    <cellStyle name="40% - Accent2 17 2 48" xfId="15854"/>
    <cellStyle name="40% - Accent2 17 2 49" xfId="15855"/>
    <cellStyle name="40% - Accent2 17 2 5" xfId="15856"/>
    <cellStyle name="40% - Accent2 17 2 50" xfId="15857"/>
    <cellStyle name="40% - Accent2 17 2 51" xfId="15858"/>
    <cellStyle name="40% - Accent2 17 2 52" xfId="15859"/>
    <cellStyle name="40% - Accent2 17 2 53" xfId="15860"/>
    <cellStyle name="40% - Accent2 17 2 54" xfId="15861"/>
    <cellStyle name="40% - Accent2 17 2 55" xfId="15862"/>
    <cellStyle name="40% - Accent2 17 2 6" xfId="15863"/>
    <cellStyle name="40% - Accent2 17 2 7" xfId="15864"/>
    <cellStyle name="40% - Accent2 17 2 8" xfId="15865"/>
    <cellStyle name="40% - Accent2 17 2 9" xfId="15866"/>
    <cellStyle name="40% - Accent2 17 3" xfId="15867"/>
    <cellStyle name="40% - Accent2 17 3 10" xfId="15868"/>
    <cellStyle name="40% - Accent2 17 3 11" xfId="15869"/>
    <cellStyle name="40% - Accent2 17 3 12" xfId="15870"/>
    <cellStyle name="40% - Accent2 17 3 13" xfId="15871"/>
    <cellStyle name="40% - Accent2 17 3 14" xfId="15872"/>
    <cellStyle name="40% - Accent2 17 3 15" xfId="15873"/>
    <cellStyle name="40% - Accent2 17 3 16" xfId="15874"/>
    <cellStyle name="40% - Accent2 17 3 17" xfId="15875"/>
    <cellStyle name="40% - Accent2 17 3 18" xfId="15876"/>
    <cellStyle name="40% - Accent2 17 3 19" xfId="15877"/>
    <cellStyle name="40% - Accent2 17 3 2" xfId="15878"/>
    <cellStyle name="40% - Accent2 17 3 2 2" xfId="15879"/>
    <cellStyle name="40% - Accent2 17 3 20" xfId="15880"/>
    <cellStyle name="40% - Accent2 17 3 21" xfId="15881"/>
    <cellStyle name="40% - Accent2 17 3 22" xfId="15882"/>
    <cellStyle name="40% - Accent2 17 3 23" xfId="15883"/>
    <cellStyle name="40% - Accent2 17 3 24" xfId="15884"/>
    <cellStyle name="40% - Accent2 17 3 25" xfId="15885"/>
    <cellStyle name="40% - Accent2 17 3 26" xfId="15886"/>
    <cellStyle name="40% - Accent2 17 3 27" xfId="15887"/>
    <cellStyle name="40% - Accent2 17 3 28" xfId="15888"/>
    <cellStyle name="40% - Accent2 17 3 29" xfId="15889"/>
    <cellStyle name="40% - Accent2 17 3 3" xfId="15890"/>
    <cellStyle name="40% - Accent2 17 3 30" xfId="15891"/>
    <cellStyle name="40% - Accent2 17 3 31" xfId="15892"/>
    <cellStyle name="40% - Accent2 17 3 32" xfId="15893"/>
    <cellStyle name="40% - Accent2 17 3 33" xfId="15894"/>
    <cellStyle name="40% - Accent2 17 3 34" xfId="15895"/>
    <cellStyle name="40% - Accent2 17 3 35" xfId="15896"/>
    <cellStyle name="40% - Accent2 17 3 36" xfId="15897"/>
    <cellStyle name="40% - Accent2 17 3 37" xfId="15898"/>
    <cellStyle name="40% - Accent2 17 3 38" xfId="15899"/>
    <cellStyle name="40% - Accent2 17 3 39" xfId="15900"/>
    <cellStyle name="40% - Accent2 17 3 4" xfId="15901"/>
    <cellStyle name="40% - Accent2 17 3 40" xfId="15902"/>
    <cellStyle name="40% - Accent2 17 3 41" xfId="15903"/>
    <cellStyle name="40% - Accent2 17 3 42" xfId="15904"/>
    <cellStyle name="40% - Accent2 17 3 43" xfId="15905"/>
    <cellStyle name="40% - Accent2 17 3 44" xfId="15906"/>
    <cellStyle name="40% - Accent2 17 3 45" xfId="15907"/>
    <cellStyle name="40% - Accent2 17 3 46" xfId="15908"/>
    <cellStyle name="40% - Accent2 17 3 47" xfId="15909"/>
    <cellStyle name="40% - Accent2 17 3 48" xfId="15910"/>
    <cellStyle name="40% - Accent2 17 3 49" xfId="15911"/>
    <cellStyle name="40% - Accent2 17 3 5" xfId="15912"/>
    <cellStyle name="40% - Accent2 17 3 50" xfId="15913"/>
    <cellStyle name="40% - Accent2 17 3 51" xfId="15914"/>
    <cellStyle name="40% - Accent2 17 3 52" xfId="15915"/>
    <cellStyle name="40% - Accent2 17 3 53" xfId="15916"/>
    <cellStyle name="40% - Accent2 17 3 54" xfId="15917"/>
    <cellStyle name="40% - Accent2 17 3 55" xfId="15918"/>
    <cellStyle name="40% - Accent2 17 3 6" xfId="15919"/>
    <cellStyle name="40% - Accent2 17 3 7" xfId="15920"/>
    <cellStyle name="40% - Accent2 17 3 8" xfId="15921"/>
    <cellStyle name="40% - Accent2 17 3 9" xfId="15922"/>
    <cellStyle name="40% - Accent2 18" xfId="15923"/>
    <cellStyle name="40% - Accent2 18 2" xfId="15924"/>
    <cellStyle name="40% - Accent2 18 2 10" xfId="15925"/>
    <cellStyle name="40% - Accent2 18 2 11" xfId="15926"/>
    <cellStyle name="40% - Accent2 18 2 12" xfId="15927"/>
    <cellStyle name="40% - Accent2 18 2 13" xfId="15928"/>
    <cellStyle name="40% - Accent2 18 2 14" xfId="15929"/>
    <cellStyle name="40% - Accent2 18 2 15" xfId="15930"/>
    <cellStyle name="40% - Accent2 18 2 16" xfId="15931"/>
    <cellStyle name="40% - Accent2 18 2 17" xfId="15932"/>
    <cellStyle name="40% - Accent2 18 2 18" xfId="15933"/>
    <cellStyle name="40% - Accent2 18 2 19" xfId="15934"/>
    <cellStyle name="40% - Accent2 18 2 2" xfId="15935"/>
    <cellStyle name="40% - Accent2 18 2 2 2" xfId="15936"/>
    <cellStyle name="40% - Accent2 18 2 20" xfId="15937"/>
    <cellStyle name="40% - Accent2 18 2 21" xfId="15938"/>
    <cellStyle name="40% - Accent2 18 2 22" xfId="15939"/>
    <cellStyle name="40% - Accent2 18 2 23" xfId="15940"/>
    <cellStyle name="40% - Accent2 18 2 24" xfId="15941"/>
    <cellStyle name="40% - Accent2 18 2 25" xfId="15942"/>
    <cellStyle name="40% - Accent2 18 2 26" xfId="15943"/>
    <cellStyle name="40% - Accent2 18 2 27" xfId="15944"/>
    <cellStyle name="40% - Accent2 18 2 28" xfId="15945"/>
    <cellStyle name="40% - Accent2 18 2 29" xfId="15946"/>
    <cellStyle name="40% - Accent2 18 2 3" xfId="15947"/>
    <cellStyle name="40% - Accent2 18 2 30" xfId="15948"/>
    <cellStyle name="40% - Accent2 18 2 31" xfId="15949"/>
    <cellStyle name="40% - Accent2 18 2 32" xfId="15950"/>
    <cellStyle name="40% - Accent2 18 2 33" xfId="15951"/>
    <cellStyle name="40% - Accent2 18 2 34" xfId="15952"/>
    <cellStyle name="40% - Accent2 18 2 35" xfId="15953"/>
    <cellStyle name="40% - Accent2 18 2 36" xfId="15954"/>
    <cellStyle name="40% - Accent2 18 2 37" xfId="15955"/>
    <cellStyle name="40% - Accent2 18 2 38" xfId="15956"/>
    <cellStyle name="40% - Accent2 18 2 39" xfId="15957"/>
    <cellStyle name="40% - Accent2 18 2 4" xfId="15958"/>
    <cellStyle name="40% - Accent2 18 2 40" xfId="15959"/>
    <cellStyle name="40% - Accent2 18 2 41" xfId="15960"/>
    <cellStyle name="40% - Accent2 18 2 42" xfId="15961"/>
    <cellStyle name="40% - Accent2 18 2 43" xfId="15962"/>
    <cellStyle name="40% - Accent2 18 2 44" xfId="15963"/>
    <cellStyle name="40% - Accent2 18 2 45" xfId="15964"/>
    <cellStyle name="40% - Accent2 18 2 46" xfId="15965"/>
    <cellStyle name="40% - Accent2 18 2 47" xfId="15966"/>
    <cellStyle name="40% - Accent2 18 2 48" xfId="15967"/>
    <cellStyle name="40% - Accent2 18 2 49" xfId="15968"/>
    <cellStyle name="40% - Accent2 18 2 5" xfId="15969"/>
    <cellStyle name="40% - Accent2 18 2 50" xfId="15970"/>
    <cellStyle name="40% - Accent2 18 2 51" xfId="15971"/>
    <cellStyle name="40% - Accent2 18 2 52" xfId="15972"/>
    <cellStyle name="40% - Accent2 18 2 53" xfId="15973"/>
    <cellStyle name="40% - Accent2 18 2 54" xfId="15974"/>
    <cellStyle name="40% - Accent2 18 2 55" xfId="15975"/>
    <cellStyle name="40% - Accent2 18 2 6" xfId="15976"/>
    <cellStyle name="40% - Accent2 18 2 7" xfId="15977"/>
    <cellStyle name="40% - Accent2 18 2 8" xfId="15978"/>
    <cellStyle name="40% - Accent2 18 2 9" xfId="15979"/>
    <cellStyle name="40% - Accent2 18 3" xfId="15980"/>
    <cellStyle name="40% - Accent2 18 3 10" xfId="15981"/>
    <cellStyle name="40% - Accent2 18 3 11" xfId="15982"/>
    <cellStyle name="40% - Accent2 18 3 12" xfId="15983"/>
    <cellStyle name="40% - Accent2 18 3 13" xfId="15984"/>
    <cellStyle name="40% - Accent2 18 3 14" xfId="15985"/>
    <cellStyle name="40% - Accent2 18 3 15" xfId="15986"/>
    <cellStyle name="40% - Accent2 18 3 16" xfId="15987"/>
    <cellStyle name="40% - Accent2 18 3 17" xfId="15988"/>
    <cellStyle name="40% - Accent2 18 3 18" xfId="15989"/>
    <cellStyle name="40% - Accent2 18 3 19" xfId="15990"/>
    <cellStyle name="40% - Accent2 18 3 2" xfId="15991"/>
    <cellStyle name="40% - Accent2 18 3 2 2" xfId="15992"/>
    <cellStyle name="40% - Accent2 18 3 20" xfId="15993"/>
    <cellStyle name="40% - Accent2 18 3 21" xfId="15994"/>
    <cellStyle name="40% - Accent2 18 3 22" xfId="15995"/>
    <cellStyle name="40% - Accent2 18 3 23" xfId="15996"/>
    <cellStyle name="40% - Accent2 18 3 24" xfId="15997"/>
    <cellStyle name="40% - Accent2 18 3 25" xfId="15998"/>
    <cellStyle name="40% - Accent2 18 3 26" xfId="15999"/>
    <cellStyle name="40% - Accent2 18 3 27" xfId="16000"/>
    <cellStyle name="40% - Accent2 18 3 28" xfId="16001"/>
    <cellStyle name="40% - Accent2 18 3 29" xfId="16002"/>
    <cellStyle name="40% - Accent2 18 3 3" xfId="16003"/>
    <cellStyle name="40% - Accent2 18 3 30" xfId="16004"/>
    <cellStyle name="40% - Accent2 18 3 31" xfId="16005"/>
    <cellStyle name="40% - Accent2 18 3 32" xfId="16006"/>
    <cellStyle name="40% - Accent2 18 3 33" xfId="16007"/>
    <cellStyle name="40% - Accent2 18 3 34" xfId="16008"/>
    <cellStyle name="40% - Accent2 18 3 35" xfId="16009"/>
    <cellStyle name="40% - Accent2 18 3 36" xfId="16010"/>
    <cellStyle name="40% - Accent2 18 3 37" xfId="16011"/>
    <cellStyle name="40% - Accent2 18 3 38" xfId="16012"/>
    <cellStyle name="40% - Accent2 18 3 39" xfId="16013"/>
    <cellStyle name="40% - Accent2 18 3 4" xfId="16014"/>
    <cellStyle name="40% - Accent2 18 3 40" xfId="16015"/>
    <cellStyle name="40% - Accent2 18 3 41" xfId="16016"/>
    <cellStyle name="40% - Accent2 18 3 42" xfId="16017"/>
    <cellStyle name="40% - Accent2 18 3 43" xfId="16018"/>
    <cellStyle name="40% - Accent2 18 3 44" xfId="16019"/>
    <cellStyle name="40% - Accent2 18 3 45" xfId="16020"/>
    <cellStyle name="40% - Accent2 18 3 46" xfId="16021"/>
    <cellStyle name="40% - Accent2 18 3 47" xfId="16022"/>
    <cellStyle name="40% - Accent2 18 3 48" xfId="16023"/>
    <cellStyle name="40% - Accent2 18 3 49" xfId="16024"/>
    <cellStyle name="40% - Accent2 18 3 5" xfId="16025"/>
    <cellStyle name="40% - Accent2 18 3 50" xfId="16026"/>
    <cellStyle name="40% - Accent2 18 3 51" xfId="16027"/>
    <cellStyle name="40% - Accent2 18 3 52" xfId="16028"/>
    <cellStyle name="40% - Accent2 18 3 53" xfId="16029"/>
    <cellStyle name="40% - Accent2 18 3 54" xfId="16030"/>
    <cellStyle name="40% - Accent2 18 3 55" xfId="16031"/>
    <cellStyle name="40% - Accent2 18 3 6" xfId="16032"/>
    <cellStyle name="40% - Accent2 18 3 7" xfId="16033"/>
    <cellStyle name="40% - Accent2 18 3 8" xfId="16034"/>
    <cellStyle name="40% - Accent2 18 3 9" xfId="16035"/>
    <cellStyle name="40% - Accent2 19" xfId="16036"/>
    <cellStyle name="40% - Accent2 2" xfId="16037"/>
    <cellStyle name="40% - Accent2 2 2" xfId="16038"/>
    <cellStyle name="40% - Accent2 2 2 2" xfId="16039"/>
    <cellStyle name="40% - Accent2 2 2 2 10" xfId="16040"/>
    <cellStyle name="40% - Accent2 2 2 2 11" xfId="16041"/>
    <cellStyle name="40% - Accent2 2 2 2 12" xfId="16042"/>
    <cellStyle name="40% - Accent2 2 2 2 13" xfId="16043"/>
    <cellStyle name="40% - Accent2 2 2 2 14" xfId="16044"/>
    <cellStyle name="40% - Accent2 2 2 2 15" xfId="16045"/>
    <cellStyle name="40% - Accent2 2 2 2 16" xfId="16046"/>
    <cellStyle name="40% - Accent2 2 2 2 17" xfId="16047"/>
    <cellStyle name="40% - Accent2 2 2 2 18" xfId="16048"/>
    <cellStyle name="40% - Accent2 2 2 2 19" xfId="16049"/>
    <cellStyle name="40% - Accent2 2 2 2 2" xfId="16050"/>
    <cellStyle name="40% - Accent2 2 2 2 2 2" xfId="16051"/>
    <cellStyle name="40% - Accent2 2 2 2 20" xfId="16052"/>
    <cellStyle name="40% - Accent2 2 2 2 21" xfId="16053"/>
    <cellStyle name="40% - Accent2 2 2 2 22" xfId="16054"/>
    <cellStyle name="40% - Accent2 2 2 2 23" xfId="16055"/>
    <cellStyle name="40% - Accent2 2 2 2 24" xfId="16056"/>
    <cellStyle name="40% - Accent2 2 2 2 25" xfId="16057"/>
    <cellStyle name="40% - Accent2 2 2 2 26" xfId="16058"/>
    <cellStyle name="40% - Accent2 2 2 2 27" xfId="16059"/>
    <cellStyle name="40% - Accent2 2 2 2 28" xfId="16060"/>
    <cellStyle name="40% - Accent2 2 2 2 29" xfId="16061"/>
    <cellStyle name="40% - Accent2 2 2 2 3" xfId="16062"/>
    <cellStyle name="40% - Accent2 2 2 2 30" xfId="16063"/>
    <cellStyle name="40% - Accent2 2 2 2 31" xfId="16064"/>
    <cellStyle name="40% - Accent2 2 2 2 32" xfId="16065"/>
    <cellStyle name="40% - Accent2 2 2 2 33" xfId="16066"/>
    <cellStyle name="40% - Accent2 2 2 2 34" xfId="16067"/>
    <cellStyle name="40% - Accent2 2 2 2 35" xfId="16068"/>
    <cellStyle name="40% - Accent2 2 2 2 36" xfId="16069"/>
    <cellStyle name="40% - Accent2 2 2 2 37" xfId="16070"/>
    <cellStyle name="40% - Accent2 2 2 2 38" xfId="16071"/>
    <cellStyle name="40% - Accent2 2 2 2 39" xfId="16072"/>
    <cellStyle name="40% - Accent2 2 2 2 4" xfId="16073"/>
    <cellStyle name="40% - Accent2 2 2 2 40" xfId="16074"/>
    <cellStyle name="40% - Accent2 2 2 2 41" xfId="16075"/>
    <cellStyle name="40% - Accent2 2 2 2 42" xfId="16076"/>
    <cellStyle name="40% - Accent2 2 2 2 43" xfId="16077"/>
    <cellStyle name="40% - Accent2 2 2 2 44" xfId="16078"/>
    <cellStyle name="40% - Accent2 2 2 2 45" xfId="16079"/>
    <cellStyle name="40% - Accent2 2 2 2 46" xfId="16080"/>
    <cellStyle name="40% - Accent2 2 2 2 47" xfId="16081"/>
    <cellStyle name="40% - Accent2 2 2 2 48" xfId="16082"/>
    <cellStyle name="40% - Accent2 2 2 2 49" xfId="16083"/>
    <cellStyle name="40% - Accent2 2 2 2 5" xfId="16084"/>
    <cellStyle name="40% - Accent2 2 2 2 50" xfId="16085"/>
    <cellStyle name="40% - Accent2 2 2 2 51" xfId="16086"/>
    <cellStyle name="40% - Accent2 2 2 2 52" xfId="16087"/>
    <cellStyle name="40% - Accent2 2 2 2 53" xfId="16088"/>
    <cellStyle name="40% - Accent2 2 2 2 54" xfId="16089"/>
    <cellStyle name="40% - Accent2 2 2 2 55" xfId="16090"/>
    <cellStyle name="40% - Accent2 2 2 2 6" xfId="16091"/>
    <cellStyle name="40% - Accent2 2 2 2 7" xfId="16092"/>
    <cellStyle name="40% - Accent2 2 2 2 8" xfId="16093"/>
    <cellStyle name="40% - Accent2 2 2 2 9" xfId="16094"/>
    <cellStyle name="40% - Accent2 2 2 2_PM Okt 2014 Plan VS Actual Planning Workshop" xfId="16095"/>
    <cellStyle name="40% - Accent2 2 2 3" xfId="16096"/>
    <cellStyle name="40% - Accent2 2 2 3 10" xfId="16097"/>
    <cellStyle name="40% - Accent2 2 2 3 11" xfId="16098"/>
    <cellStyle name="40% - Accent2 2 2 3 12" xfId="16099"/>
    <cellStyle name="40% - Accent2 2 2 3 13" xfId="16100"/>
    <cellStyle name="40% - Accent2 2 2 3 14" xfId="16101"/>
    <cellStyle name="40% - Accent2 2 2 3 15" xfId="16102"/>
    <cellStyle name="40% - Accent2 2 2 3 16" xfId="16103"/>
    <cellStyle name="40% - Accent2 2 2 3 17" xfId="16104"/>
    <cellStyle name="40% - Accent2 2 2 3 18" xfId="16105"/>
    <cellStyle name="40% - Accent2 2 2 3 19" xfId="16106"/>
    <cellStyle name="40% - Accent2 2 2 3 2" xfId="16107"/>
    <cellStyle name="40% - Accent2 2 2 3 2 2" xfId="16108"/>
    <cellStyle name="40% - Accent2 2 2 3 20" xfId="16109"/>
    <cellStyle name="40% - Accent2 2 2 3 21" xfId="16110"/>
    <cellStyle name="40% - Accent2 2 2 3 22" xfId="16111"/>
    <cellStyle name="40% - Accent2 2 2 3 23" xfId="16112"/>
    <cellStyle name="40% - Accent2 2 2 3 24" xfId="16113"/>
    <cellStyle name="40% - Accent2 2 2 3 25" xfId="16114"/>
    <cellStyle name="40% - Accent2 2 2 3 26" xfId="16115"/>
    <cellStyle name="40% - Accent2 2 2 3 27" xfId="16116"/>
    <cellStyle name="40% - Accent2 2 2 3 28" xfId="16117"/>
    <cellStyle name="40% - Accent2 2 2 3 29" xfId="16118"/>
    <cellStyle name="40% - Accent2 2 2 3 3" xfId="16119"/>
    <cellStyle name="40% - Accent2 2 2 3 30" xfId="16120"/>
    <cellStyle name="40% - Accent2 2 2 3 31" xfId="16121"/>
    <cellStyle name="40% - Accent2 2 2 3 32" xfId="16122"/>
    <cellStyle name="40% - Accent2 2 2 3 33" xfId="16123"/>
    <cellStyle name="40% - Accent2 2 2 3 34" xfId="16124"/>
    <cellStyle name="40% - Accent2 2 2 3 35" xfId="16125"/>
    <cellStyle name="40% - Accent2 2 2 3 36" xfId="16126"/>
    <cellStyle name="40% - Accent2 2 2 3 37" xfId="16127"/>
    <cellStyle name="40% - Accent2 2 2 3 38" xfId="16128"/>
    <cellStyle name="40% - Accent2 2 2 3 39" xfId="16129"/>
    <cellStyle name="40% - Accent2 2 2 3 4" xfId="16130"/>
    <cellStyle name="40% - Accent2 2 2 3 40" xfId="16131"/>
    <cellStyle name="40% - Accent2 2 2 3 41" xfId="16132"/>
    <cellStyle name="40% - Accent2 2 2 3 42" xfId="16133"/>
    <cellStyle name="40% - Accent2 2 2 3 43" xfId="16134"/>
    <cellStyle name="40% - Accent2 2 2 3 44" xfId="16135"/>
    <cellStyle name="40% - Accent2 2 2 3 45" xfId="16136"/>
    <cellStyle name="40% - Accent2 2 2 3 46" xfId="16137"/>
    <cellStyle name="40% - Accent2 2 2 3 47" xfId="16138"/>
    <cellStyle name="40% - Accent2 2 2 3 48" xfId="16139"/>
    <cellStyle name="40% - Accent2 2 2 3 49" xfId="16140"/>
    <cellStyle name="40% - Accent2 2 2 3 5" xfId="16141"/>
    <cellStyle name="40% - Accent2 2 2 3 50" xfId="16142"/>
    <cellStyle name="40% - Accent2 2 2 3 51" xfId="16143"/>
    <cellStyle name="40% - Accent2 2 2 3 52" xfId="16144"/>
    <cellStyle name="40% - Accent2 2 2 3 53" xfId="16145"/>
    <cellStyle name="40% - Accent2 2 2 3 54" xfId="16146"/>
    <cellStyle name="40% - Accent2 2 2 3 55" xfId="16147"/>
    <cellStyle name="40% - Accent2 2 2 3 6" xfId="16148"/>
    <cellStyle name="40% - Accent2 2 2 3 7" xfId="16149"/>
    <cellStyle name="40% - Accent2 2 2 3 8" xfId="16150"/>
    <cellStyle name="40% - Accent2 2 2 3 9" xfId="16151"/>
    <cellStyle name="40% - Accent2 2 3" xfId="16152"/>
    <cellStyle name="40% - Accent2 2 3 10" xfId="16153"/>
    <cellStyle name="40% - Accent2 2 3 11" xfId="16154"/>
    <cellStyle name="40% - Accent2 2 3 12" xfId="16155"/>
    <cellStyle name="40% - Accent2 2 3 13" xfId="16156"/>
    <cellStyle name="40% - Accent2 2 3 14" xfId="16157"/>
    <cellStyle name="40% - Accent2 2 3 15" xfId="16158"/>
    <cellStyle name="40% - Accent2 2 3 16" xfId="16159"/>
    <cellStyle name="40% - Accent2 2 3 17" xfId="16160"/>
    <cellStyle name="40% - Accent2 2 3 18" xfId="16161"/>
    <cellStyle name="40% - Accent2 2 3 19" xfId="16162"/>
    <cellStyle name="40% - Accent2 2 3 2" xfId="16163"/>
    <cellStyle name="40% - Accent2 2 3 2 2" xfId="16164"/>
    <cellStyle name="40% - Accent2 2 3 2_PM Okt 2014 Plan VS Actual Planning Workshop" xfId="16165"/>
    <cellStyle name="40% - Accent2 2 3 20" xfId="16166"/>
    <cellStyle name="40% - Accent2 2 3 21" xfId="16167"/>
    <cellStyle name="40% - Accent2 2 3 22" xfId="16168"/>
    <cellStyle name="40% - Accent2 2 3 23" xfId="16169"/>
    <cellStyle name="40% - Accent2 2 3 24" xfId="16170"/>
    <cellStyle name="40% - Accent2 2 3 25" xfId="16171"/>
    <cellStyle name="40% - Accent2 2 3 26" xfId="16172"/>
    <cellStyle name="40% - Accent2 2 3 27" xfId="16173"/>
    <cellStyle name="40% - Accent2 2 3 28" xfId="16174"/>
    <cellStyle name="40% - Accent2 2 3 29" xfId="16175"/>
    <cellStyle name="40% - Accent2 2 3 3" xfId="16176"/>
    <cellStyle name="40% - Accent2 2 3 30" xfId="16177"/>
    <cellStyle name="40% - Accent2 2 3 31" xfId="16178"/>
    <cellStyle name="40% - Accent2 2 3 32" xfId="16179"/>
    <cellStyle name="40% - Accent2 2 3 33" xfId="16180"/>
    <cellStyle name="40% - Accent2 2 3 34" xfId="16181"/>
    <cellStyle name="40% - Accent2 2 3 35" xfId="16182"/>
    <cellStyle name="40% - Accent2 2 3 36" xfId="16183"/>
    <cellStyle name="40% - Accent2 2 3 37" xfId="16184"/>
    <cellStyle name="40% - Accent2 2 3 38" xfId="16185"/>
    <cellStyle name="40% - Accent2 2 3 39" xfId="16186"/>
    <cellStyle name="40% - Accent2 2 3 4" xfId="16187"/>
    <cellStyle name="40% - Accent2 2 3 40" xfId="16188"/>
    <cellStyle name="40% - Accent2 2 3 41" xfId="16189"/>
    <cellStyle name="40% - Accent2 2 3 42" xfId="16190"/>
    <cellStyle name="40% - Accent2 2 3 43" xfId="16191"/>
    <cellStyle name="40% - Accent2 2 3 44" xfId="16192"/>
    <cellStyle name="40% - Accent2 2 3 45" xfId="16193"/>
    <cellStyle name="40% - Accent2 2 3 46" xfId="16194"/>
    <cellStyle name="40% - Accent2 2 3 47" xfId="16195"/>
    <cellStyle name="40% - Accent2 2 3 48" xfId="16196"/>
    <cellStyle name="40% - Accent2 2 3 49" xfId="16197"/>
    <cellStyle name="40% - Accent2 2 3 5" xfId="16198"/>
    <cellStyle name="40% - Accent2 2 3 50" xfId="16199"/>
    <cellStyle name="40% - Accent2 2 3 51" xfId="16200"/>
    <cellStyle name="40% - Accent2 2 3 52" xfId="16201"/>
    <cellStyle name="40% - Accent2 2 3 53" xfId="16202"/>
    <cellStyle name="40% - Accent2 2 3 54" xfId="16203"/>
    <cellStyle name="40% - Accent2 2 3 55" xfId="16204"/>
    <cellStyle name="40% - Accent2 2 3 6" xfId="16205"/>
    <cellStyle name="40% - Accent2 2 3 7" xfId="16206"/>
    <cellStyle name="40% - Accent2 2 3 8" xfId="16207"/>
    <cellStyle name="40% - Accent2 2 3 9" xfId="16208"/>
    <cellStyle name="40% - Accent2 2 4" xfId="16209"/>
    <cellStyle name="40% - Accent2 2 4 2" xfId="16210"/>
    <cellStyle name="40% - Accent2 2 5" xfId="16211"/>
    <cellStyle name="40% - Accent2 2_Asset monitoring board" xfId="16212"/>
    <cellStyle name="40% - Accent2 3" xfId="16213"/>
    <cellStyle name="40% - Accent2 3 2" xfId="16214"/>
    <cellStyle name="40% - Accent2 3 2 10" xfId="16215"/>
    <cellStyle name="40% - Accent2 3 2 11" xfId="16216"/>
    <cellStyle name="40% - Accent2 3 2 12" xfId="16217"/>
    <cellStyle name="40% - Accent2 3 2 13" xfId="16218"/>
    <cellStyle name="40% - Accent2 3 2 14" xfId="16219"/>
    <cellStyle name="40% - Accent2 3 2 15" xfId="16220"/>
    <cellStyle name="40% - Accent2 3 2 16" xfId="16221"/>
    <cellStyle name="40% - Accent2 3 2 17" xfId="16222"/>
    <cellStyle name="40% - Accent2 3 2 18" xfId="16223"/>
    <cellStyle name="40% - Accent2 3 2 19" xfId="16224"/>
    <cellStyle name="40% - Accent2 3 2 2" xfId="16225"/>
    <cellStyle name="40% - Accent2 3 2 2 2" xfId="16226"/>
    <cellStyle name="40% - Accent2 3 2 20" xfId="16227"/>
    <cellStyle name="40% - Accent2 3 2 21" xfId="16228"/>
    <cellStyle name="40% - Accent2 3 2 22" xfId="16229"/>
    <cellStyle name="40% - Accent2 3 2 23" xfId="16230"/>
    <cellStyle name="40% - Accent2 3 2 24" xfId="16231"/>
    <cellStyle name="40% - Accent2 3 2 25" xfId="16232"/>
    <cellStyle name="40% - Accent2 3 2 26" xfId="16233"/>
    <cellStyle name="40% - Accent2 3 2 27" xfId="16234"/>
    <cellStyle name="40% - Accent2 3 2 28" xfId="16235"/>
    <cellStyle name="40% - Accent2 3 2 29" xfId="16236"/>
    <cellStyle name="40% - Accent2 3 2 3" xfId="16237"/>
    <cellStyle name="40% - Accent2 3 2 30" xfId="16238"/>
    <cellStyle name="40% - Accent2 3 2 31" xfId="16239"/>
    <cellStyle name="40% - Accent2 3 2 32" xfId="16240"/>
    <cellStyle name="40% - Accent2 3 2 33" xfId="16241"/>
    <cellStyle name="40% - Accent2 3 2 34" xfId="16242"/>
    <cellStyle name="40% - Accent2 3 2 35" xfId="16243"/>
    <cellStyle name="40% - Accent2 3 2 36" xfId="16244"/>
    <cellStyle name="40% - Accent2 3 2 37" xfId="16245"/>
    <cellStyle name="40% - Accent2 3 2 38" xfId="16246"/>
    <cellStyle name="40% - Accent2 3 2 39" xfId="16247"/>
    <cellStyle name="40% - Accent2 3 2 4" xfId="16248"/>
    <cellStyle name="40% - Accent2 3 2 40" xfId="16249"/>
    <cellStyle name="40% - Accent2 3 2 41" xfId="16250"/>
    <cellStyle name="40% - Accent2 3 2 42" xfId="16251"/>
    <cellStyle name="40% - Accent2 3 2 43" xfId="16252"/>
    <cellStyle name="40% - Accent2 3 2 44" xfId="16253"/>
    <cellStyle name="40% - Accent2 3 2 45" xfId="16254"/>
    <cellStyle name="40% - Accent2 3 2 46" xfId="16255"/>
    <cellStyle name="40% - Accent2 3 2 47" xfId="16256"/>
    <cellStyle name="40% - Accent2 3 2 48" xfId="16257"/>
    <cellStyle name="40% - Accent2 3 2 49" xfId="16258"/>
    <cellStyle name="40% - Accent2 3 2 5" xfId="16259"/>
    <cellStyle name="40% - Accent2 3 2 50" xfId="16260"/>
    <cellStyle name="40% - Accent2 3 2 51" xfId="16261"/>
    <cellStyle name="40% - Accent2 3 2 52" xfId="16262"/>
    <cellStyle name="40% - Accent2 3 2 53" xfId="16263"/>
    <cellStyle name="40% - Accent2 3 2 54" xfId="16264"/>
    <cellStyle name="40% - Accent2 3 2 55" xfId="16265"/>
    <cellStyle name="40% - Accent2 3 2 6" xfId="16266"/>
    <cellStyle name="40% - Accent2 3 2 7" xfId="16267"/>
    <cellStyle name="40% - Accent2 3 2 8" xfId="16268"/>
    <cellStyle name="40% - Accent2 3 2 9" xfId="16269"/>
    <cellStyle name="40% - Accent2 3 3" xfId="16270"/>
    <cellStyle name="40% - Accent2 3 3 10" xfId="16271"/>
    <cellStyle name="40% - Accent2 3 3 11" xfId="16272"/>
    <cellStyle name="40% - Accent2 3 3 12" xfId="16273"/>
    <cellStyle name="40% - Accent2 3 3 13" xfId="16274"/>
    <cellStyle name="40% - Accent2 3 3 14" xfId="16275"/>
    <cellStyle name="40% - Accent2 3 3 15" xfId="16276"/>
    <cellStyle name="40% - Accent2 3 3 16" xfId="16277"/>
    <cellStyle name="40% - Accent2 3 3 17" xfId="16278"/>
    <cellStyle name="40% - Accent2 3 3 18" xfId="16279"/>
    <cellStyle name="40% - Accent2 3 3 19" xfId="16280"/>
    <cellStyle name="40% - Accent2 3 3 2" xfId="16281"/>
    <cellStyle name="40% - Accent2 3 3 2 2" xfId="16282"/>
    <cellStyle name="40% - Accent2 3 3 20" xfId="16283"/>
    <cellStyle name="40% - Accent2 3 3 21" xfId="16284"/>
    <cellStyle name="40% - Accent2 3 3 22" xfId="16285"/>
    <cellStyle name="40% - Accent2 3 3 23" xfId="16286"/>
    <cellStyle name="40% - Accent2 3 3 24" xfId="16287"/>
    <cellStyle name="40% - Accent2 3 3 25" xfId="16288"/>
    <cellStyle name="40% - Accent2 3 3 26" xfId="16289"/>
    <cellStyle name="40% - Accent2 3 3 27" xfId="16290"/>
    <cellStyle name="40% - Accent2 3 3 28" xfId="16291"/>
    <cellStyle name="40% - Accent2 3 3 29" xfId="16292"/>
    <cellStyle name="40% - Accent2 3 3 3" xfId="16293"/>
    <cellStyle name="40% - Accent2 3 3 30" xfId="16294"/>
    <cellStyle name="40% - Accent2 3 3 31" xfId="16295"/>
    <cellStyle name="40% - Accent2 3 3 32" xfId="16296"/>
    <cellStyle name="40% - Accent2 3 3 33" xfId="16297"/>
    <cellStyle name="40% - Accent2 3 3 34" xfId="16298"/>
    <cellStyle name="40% - Accent2 3 3 35" xfId="16299"/>
    <cellStyle name="40% - Accent2 3 3 36" xfId="16300"/>
    <cellStyle name="40% - Accent2 3 3 37" xfId="16301"/>
    <cellStyle name="40% - Accent2 3 3 38" xfId="16302"/>
    <cellStyle name="40% - Accent2 3 3 39" xfId="16303"/>
    <cellStyle name="40% - Accent2 3 3 4" xfId="16304"/>
    <cellStyle name="40% - Accent2 3 3 40" xfId="16305"/>
    <cellStyle name="40% - Accent2 3 3 41" xfId="16306"/>
    <cellStyle name="40% - Accent2 3 3 42" xfId="16307"/>
    <cellStyle name="40% - Accent2 3 3 43" xfId="16308"/>
    <cellStyle name="40% - Accent2 3 3 44" xfId="16309"/>
    <cellStyle name="40% - Accent2 3 3 45" xfId="16310"/>
    <cellStyle name="40% - Accent2 3 3 46" xfId="16311"/>
    <cellStyle name="40% - Accent2 3 3 47" xfId="16312"/>
    <cellStyle name="40% - Accent2 3 3 48" xfId="16313"/>
    <cellStyle name="40% - Accent2 3 3 49" xfId="16314"/>
    <cellStyle name="40% - Accent2 3 3 5" xfId="16315"/>
    <cellStyle name="40% - Accent2 3 3 50" xfId="16316"/>
    <cellStyle name="40% - Accent2 3 3 51" xfId="16317"/>
    <cellStyle name="40% - Accent2 3 3 52" xfId="16318"/>
    <cellStyle name="40% - Accent2 3 3 53" xfId="16319"/>
    <cellStyle name="40% - Accent2 3 3 54" xfId="16320"/>
    <cellStyle name="40% - Accent2 3 3 55" xfId="16321"/>
    <cellStyle name="40% - Accent2 3 3 6" xfId="16322"/>
    <cellStyle name="40% - Accent2 3 3 7" xfId="16323"/>
    <cellStyle name="40% - Accent2 3 3 8" xfId="16324"/>
    <cellStyle name="40% - Accent2 3 3 9" xfId="16325"/>
    <cellStyle name="40% - Accent2 4" xfId="16326"/>
    <cellStyle name="40% - Accent2 4 2" xfId="16327"/>
    <cellStyle name="40% - Accent2 4 2 10" xfId="16328"/>
    <cellStyle name="40% - Accent2 4 2 11" xfId="16329"/>
    <cellStyle name="40% - Accent2 4 2 12" xfId="16330"/>
    <cellStyle name="40% - Accent2 4 2 13" xfId="16331"/>
    <cellStyle name="40% - Accent2 4 2 14" xfId="16332"/>
    <cellStyle name="40% - Accent2 4 2 15" xfId="16333"/>
    <cellStyle name="40% - Accent2 4 2 16" xfId="16334"/>
    <cellStyle name="40% - Accent2 4 2 17" xfId="16335"/>
    <cellStyle name="40% - Accent2 4 2 18" xfId="16336"/>
    <cellStyle name="40% - Accent2 4 2 19" xfId="16337"/>
    <cellStyle name="40% - Accent2 4 2 2" xfId="16338"/>
    <cellStyle name="40% - Accent2 4 2 2 2" xfId="16339"/>
    <cellStyle name="40% - Accent2 4 2 20" xfId="16340"/>
    <cellStyle name="40% - Accent2 4 2 21" xfId="16341"/>
    <cellStyle name="40% - Accent2 4 2 22" xfId="16342"/>
    <cellStyle name="40% - Accent2 4 2 23" xfId="16343"/>
    <cellStyle name="40% - Accent2 4 2 24" xfId="16344"/>
    <cellStyle name="40% - Accent2 4 2 25" xfId="16345"/>
    <cellStyle name="40% - Accent2 4 2 26" xfId="16346"/>
    <cellStyle name="40% - Accent2 4 2 27" xfId="16347"/>
    <cellStyle name="40% - Accent2 4 2 28" xfId="16348"/>
    <cellStyle name="40% - Accent2 4 2 29" xfId="16349"/>
    <cellStyle name="40% - Accent2 4 2 3" xfId="16350"/>
    <cellStyle name="40% - Accent2 4 2 30" xfId="16351"/>
    <cellStyle name="40% - Accent2 4 2 31" xfId="16352"/>
    <cellStyle name="40% - Accent2 4 2 32" xfId="16353"/>
    <cellStyle name="40% - Accent2 4 2 33" xfId="16354"/>
    <cellStyle name="40% - Accent2 4 2 34" xfId="16355"/>
    <cellStyle name="40% - Accent2 4 2 35" xfId="16356"/>
    <cellStyle name="40% - Accent2 4 2 36" xfId="16357"/>
    <cellStyle name="40% - Accent2 4 2 37" xfId="16358"/>
    <cellStyle name="40% - Accent2 4 2 38" xfId="16359"/>
    <cellStyle name="40% - Accent2 4 2 39" xfId="16360"/>
    <cellStyle name="40% - Accent2 4 2 4" xfId="16361"/>
    <cellStyle name="40% - Accent2 4 2 40" xfId="16362"/>
    <cellStyle name="40% - Accent2 4 2 41" xfId="16363"/>
    <cellStyle name="40% - Accent2 4 2 42" xfId="16364"/>
    <cellStyle name="40% - Accent2 4 2 43" xfId="16365"/>
    <cellStyle name="40% - Accent2 4 2 44" xfId="16366"/>
    <cellStyle name="40% - Accent2 4 2 45" xfId="16367"/>
    <cellStyle name="40% - Accent2 4 2 46" xfId="16368"/>
    <cellStyle name="40% - Accent2 4 2 47" xfId="16369"/>
    <cellStyle name="40% - Accent2 4 2 48" xfId="16370"/>
    <cellStyle name="40% - Accent2 4 2 49" xfId="16371"/>
    <cellStyle name="40% - Accent2 4 2 5" xfId="16372"/>
    <cellStyle name="40% - Accent2 4 2 50" xfId="16373"/>
    <cellStyle name="40% - Accent2 4 2 51" xfId="16374"/>
    <cellStyle name="40% - Accent2 4 2 52" xfId="16375"/>
    <cellStyle name="40% - Accent2 4 2 53" xfId="16376"/>
    <cellStyle name="40% - Accent2 4 2 54" xfId="16377"/>
    <cellStyle name="40% - Accent2 4 2 55" xfId="16378"/>
    <cellStyle name="40% - Accent2 4 2 6" xfId="16379"/>
    <cellStyle name="40% - Accent2 4 2 7" xfId="16380"/>
    <cellStyle name="40% - Accent2 4 2 8" xfId="16381"/>
    <cellStyle name="40% - Accent2 4 2 9" xfId="16382"/>
    <cellStyle name="40% - Accent2 4 3" xfId="16383"/>
    <cellStyle name="40% - Accent2 4 3 10" xfId="16384"/>
    <cellStyle name="40% - Accent2 4 3 11" xfId="16385"/>
    <cellStyle name="40% - Accent2 4 3 12" xfId="16386"/>
    <cellStyle name="40% - Accent2 4 3 13" xfId="16387"/>
    <cellStyle name="40% - Accent2 4 3 14" xfId="16388"/>
    <cellStyle name="40% - Accent2 4 3 15" xfId="16389"/>
    <cellStyle name="40% - Accent2 4 3 16" xfId="16390"/>
    <cellStyle name="40% - Accent2 4 3 17" xfId="16391"/>
    <cellStyle name="40% - Accent2 4 3 18" xfId="16392"/>
    <cellStyle name="40% - Accent2 4 3 19" xfId="16393"/>
    <cellStyle name="40% - Accent2 4 3 2" xfId="16394"/>
    <cellStyle name="40% - Accent2 4 3 2 2" xfId="16395"/>
    <cellStyle name="40% - Accent2 4 3 20" xfId="16396"/>
    <cellStyle name="40% - Accent2 4 3 21" xfId="16397"/>
    <cellStyle name="40% - Accent2 4 3 22" xfId="16398"/>
    <cellStyle name="40% - Accent2 4 3 23" xfId="16399"/>
    <cellStyle name="40% - Accent2 4 3 24" xfId="16400"/>
    <cellStyle name="40% - Accent2 4 3 25" xfId="16401"/>
    <cellStyle name="40% - Accent2 4 3 26" xfId="16402"/>
    <cellStyle name="40% - Accent2 4 3 27" xfId="16403"/>
    <cellStyle name="40% - Accent2 4 3 28" xfId="16404"/>
    <cellStyle name="40% - Accent2 4 3 29" xfId="16405"/>
    <cellStyle name="40% - Accent2 4 3 3" xfId="16406"/>
    <cellStyle name="40% - Accent2 4 3 30" xfId="16407"/>
    <cellStyle name="40% - Accent2 4 3 31" xfId="16408"/>
    <cellStyle name="40% - Accent2 4 3 32" xfId="16409"/>
    <cellStyle name="40% - Accent2 4 3 33" xfId="16410"/>
    <cellStyle name="40% - Accent2 4 3 34" xfId="16411"/>
    <cellStyle name="40% - Accent2 4 3 35" xfId="16412"/>
    <cellStyle name="40% - Accent2 4 3 36" xfId="16413"/>
    <cellStyle name="40% - Accent2 4 3 37" xfId="16414"/>
    <cellStyle name="40% - Accent2 4 3 38" xfId="16415"/>
    <cellStyle name="40% - Accent2 4 3 39" xfId="16416"/>
    <cellStyle name="40% - Accent2 4 3 4" xfId="16417"/>
    <cellStyle name="40% - Accent2 4 3 40" xfId="16418"/>
    <cellStyle name="40% - Accent2 4 3 41" xfId="16419"/>
    <cellStyle name="40% - Accent2 4 3 42" xfId="16420"/>
    <cellStyle name="40% - Accent2 4 3 43" xfId="16421"/>
    <cellStyle name="40% - Accent2 4 3 44" xfId="16422"/>
    <cellStyle name="40% - Accent2 4 3 45" xfId="16423"/>
    <cellStyle name="40% - Accent2 4 3 46" xfId="16424"/>
    <cellStyle name="40% - Accent2 4 3 47" xfId="16425"/>
    <cellStyle name="40% - Accent2 4 3 48" xfId="16426"/>
    <cellStyle name="40% - Accent2 4 3 49" xfId="16427"/>
    <cellStyle name="40% - Accent2 4 3 5" xfId="16428"/>
    <cellStyle name="40% - Accent2 4 3 50" xfId="16429"/>
    <cellStyle name="40% - Accent2 4 3 51" xfId="16430"/>
    <cellStyle name="40% - Accent2 4 3 52" xfId="16431"/>
    <cellStyle name="40% - Accent2 4 3 53" xfId="16432"/>
    <cellStyle name="40% - Accent2 4 3 54" xfId="16433"/>
    <cellStyle name="40% - Accent2 4 3 55" xfId="16434"/>
    <cellStyle name="40% - Accent2 4 3 6" xfId="16435"/>
    <cellStyle name="40% - Accent2 4 3 7" xfId="16436"/>
    <cellStyle name="40% - Accent2 4 3 8" xfId="16437"/>
    <cellStyle name="40% - Accent2 4 3 9" xfId="16438"/>
    <cellStyle name="40% - Accent2 4 4" xfId="58365"/>
    <cellStyle name="40% - Accent2 5" xfId="16439"/>
    <cellStyle name="40% - Accent2 5 2" xfId="16440"/>
    <cellStyle name="40% - Accent2 5 2 10" xfId="16441"/>
    <cellStyle name="40% - Accent2 5 2 11" xfId="16442"/>
    <cellStyle name="40% - Accent2 5 2 12" xfId="16443"/>
    <cellStyle name="40% - Accent2 5 2 13" xfId="16444"/>
    <cellStyle name="40% - Accent2 5 2 14" xfId="16445"/>
    <cellStyle name="40% - Accent2 5 2 15" xfId="16446"/>
    <cellStyle name="40% - Accent2 5 2 16" xfId="16447"/>
    <cellStyle name="40% - Accent2 5 2 17" xfId="16448"/>
    <cellStyle name="40% - Accent2 5 2 18" xfId="16449"/>
    <cellStyle name="40% - Accent2 5 2 19" xfId="16450"/>
    <cellStyle name="40% - Accent2 5 2 2" xfId="16451"/>
    <cellStyle name="40% - Accent2 5 2 2 2" xfId="16452"/>
    <cellStyle name="40% - Accent2 5 2 20" xfId="16453"/>
    <cellStyle name="40% - Accent2 5 2 21" xfId="16454"/>
    <cellStyle name="40% - Accent2 5 2 22" xfId="16455"/>
    <cellStyle name="40% - Accent2 5 2 23" xfId="16456"/>
    <cellStyle name="40% - Accent2 5 2 24" xfId="16457"/>
    <cellStyle name="40% - Accent2 5 2 25" xfId="16458"/>
    <cellStyle name="40% - Accent2 5 2 26" xfId="16459"/>
    <cellStyle name="40% - Accent2 5 2 27" xfId="16460"/>
    <cellStyle name="40% - Accent2 5 2 28" xfId="16461"/>
    <cellStyle name="40% - Accent2 5 2 29" xfId="16462"/>
    <cellStyle name="40% - Accent2 5 2 3" xfId="16463"/>
    <cellStyle name="40% - Accent2 5 2 30" xfId="16464"/>
    <cellStyle name="40% - Accent2 5 2 31" xfId="16465"/>
    <cellStyle name="40% - Accent2 5 2 32" xfId="16466"/>
    <cellStyle name="40% - Accent2 5 2 33" xfId="16467"/>
    <cellStyle name="40% - Accent2 5 2 34" xfId="16468"/>
    <cellStyle name="40% - Accent2 5 2 35" xfId="16469"/>
    <cellStyle name="40% - Accent2 5 2 36" xfId="16470"/>
    <cellStyle name="40% - Accent2 5 2 37" xfId="16471"/>
    <cellStyle name="40% - Accent2 5 2 38" xfId="16472"/>
    <cellStyle name="40% - Accent2 5 2 39" xfId="16473"/>
    <cellStyle name="40% - Accent2 5 2 4" xfId="16474"/>
    <cellStyle name="40% - Accent2 5 2 40" xfId="16475"/>
    <cellStyle name="40% - Accent2 5 2 41" xfId="16476"/>
    <cellStyle name="40% - Accent2 5 2 42" xfId="16477"/>
    <cellStyle name="40% - Accent2 5 2 43" xfId="16478"/>
    <cellStyle name="40% - Accent2 5 2 44" xfId="16479"/>
    <cellStyle name="40% - Accent2 5 2 45" xfId="16480"/>
    <cellStyle name="40% - Accent2 5 2 46" xfId="16481"/>
    <cellStyle name="40% - Accent2 5 2 47" xfId="16482"/>
    <cellStyle name="40% - Accent2 5 2 48" xfId="16483"/>
    <cellStyle name="40% - Accent2 5 2 49" xfId="16484"/>
    <cellStyle name="40% - Accent2 5 2 5" xfId="16485"/>
    <cellStyle name="40% - Accent2 5 2 50" xfId="16486"/>
    <cellStyle name="40% - Accent2 5 2 51" xfId="16487"/>
    <cellStyle name="40% - Accent2 5 2 52" xfId="16488"/>
    <cellStyle name="40% - Accent2 5 2 53" xfId="16489"/>
    <cellStyle name="40% - Accent2 5 2 54" xfId="16490"/>
    <cellStyle name="40% - Accent2 5 2 55" xfId="16491"/>
    <cellStyle name="40% - Accent2 5 2 6" xfId="16492"/>
    <cellStyle name="40% - Accent2 5 2 7" xfId="16493"/>
    <cellStyle name="40% - Accent2 5 2 8" xfId="16494"/>
    <cellStyle name="40% - Accent2 5 2 9" xfId="16495"/>
    <cellStyle name="40% - Accent2 5 3" xfId="16496"/>
    <cellStyle name="40% - Accent2 5 3 10" xfId="16497"/>
    <cellStyle name="40% - Accent2 5 3 11" xfId="16498"/>
    <cellStyle name="40% - Accent2 5 3 12" xfId="16499"/>
    <cellStyle name="40% - Accent2 5 3 13" xfId="16500"/>
    <cellStyle name="40% - Accent2 5 3 14" xfId="16501"/>
    <cellStyle name="40% - Accent2 5 3 15" xfId="16502"/>
    <cellStyle name="40% - Accent2 5 3 16" xfId="16503"/>
    <cellStyle name="40% - Accent2 5 3 17" xfId="16504"/>
    <cellStyle name="40% - Accent2 5 3 18" xfId="16505"/>
    <cellStyle name="40% - Accent2 5 3 19" xfId="16506"/>
    <cellStyle name="40% - Accent2 5 3 2" xfId="16507"/>
    <cellStyle name="40% - Accent2 5 3 2 2" xfId="16508"/>
    <cellStyle name="40% - Accent2 5 3 20" xfId="16509"/>
    <cellStyle name="40% - Accent2 5 3 21" xfId="16510"/>
    <cellStyle name="40% - Accent2 5 3 22" xfId="16511"/>
    <cellStyle name="40% - Accent2 5 3 23" xfId="16512"/>
    <cellStyle name="40% - Accent2 5 3 24" xfId="16513"/>
    <cellStyle name="40% - Accent2 5 3 25" xfId="16514"/>
    <cellStyle name="40% - Accent2 5 3 26" xfId="16515"/>
    <cellStyle name="40% - Accent2 5 3 27" xfId="16516"/>
    <cellStyle name="40% - Accent2 5 3 28" xfId="16517"/>
    <cellStyle name="40% - Accent2 5 3 29" xfId="16518"/>
    <cellStyle name="40% - Accent2 5 3 3" xfId="16519"/>
    <cellStyle name="40% - Accent2 5 3 30" xfId="16520"/>
    <cellStyle name="40% - Accent2 5 3 31" xfId="16521"/>
    <cellStyle name="40% - Accent2 5 3 32" xfId="16522"/>
    <cellStyle name="40% - Accent2 5 3 33" xfId="16523"/>
    <cellStyle name="40% - Accent2 5 3 34" xfId="16524"/>
    <cellStyle name="40% - Accent2 5 3 35" xfId="16525"/>
    <cellStyle name="40% - Accent2 5 3 36" xfId="16526"/>
    <cellStyle name="40% - Accent2 5 3 37" xfId="16527"/>
    <cellStyle name="40% - Accent2 5 3 38" xfId="16528"/>
    <cellStyle name="40% - Accent2 5 3 39" xfId="16529"/>
    <cellStyle name="40% - Accent2 5 3 4" xfId="16530"/>
    <cellStyle name="40% - Accent2 5 3 40" xfId="16531"/>
    <cellStyle name="40% - Accent2 5 3 41" xfId="16532"/>
    <cellStyle name="40% - Accent2 5 3 42" xfId="16533"/>
    <cellStyle name="40% - Accent2 5 3 43" xfId="16534"/>
    <cellStyle name="40% - Accent2 5 3 44" xfId="16535"/>
    <cellStyle name="40% - Accent2 5 3 45" xfId="16536"/>
    <cellStyle name="40% - Accent2 5 3 46" xfId="16537"/>
    <cellStyle name="40% - Accent2 5 3 47" xfId="16538"/>
    <cellStyle name="40% - Accent2 5 3 48" xfId="16539"/>
    <cellStyle name="40% - Accent2 5 3 49" xfId="16540"/>
    <cellStyle name="40% - Accent2 5 3 5" xfId="16541"/>
    <cellStyle name="40% - Accent2 5 3 50" xfId="16542"/>
    <cellStyle name="40% - Accent2 5 3 51" xfId="16543"/>
    <cellStyle name="40% - Accent2 5 3 52" xfId="16544"/>
    <cellStyle name="40% - Accent2 5 3 53" xfId="16545"/>
    <cellStyle name="40% - Accent2 5 3 54" xfId="16546"/>
    <cellStyle name="40% - Accent2 5 3 55" xfId="16547"/>
    <cellStyle name="40% - Accent2 5 3 6" xfId="16548"/>
    <cellStyle name="40% - Accent2 5 3 7" xfId="16549"/>
    <cellStyle name="40% - Accent2 5 3 8" xfId="16550"/>
    <cellStyle name="40% - Accent2 5 3 9" xfId="16551"/>
    <cellStyle name="40% - Accent2 6" xfId="16552"/>
    <cellStyle name="40% - Accent2 6 2" xfId="16553"/>
    <cellStyle name="40% - Accent2 6 2 10" xfId="16554"/>
    <cellStyle name="40% - Accent2 6 2 11" xfId="16555"/>
    <cellStyle name="40% - Accent2 6 2 12" xfId="16556"/>
    <cellStyle name="40% - Accent2 6 2 13" xfId="16557"/>
    <cellStyle name="40% - Accent2 6 2 14" xfId="16558"/>
    <cellStyle name="40% - Accent2 6 2 15" xfId="16559"/>
    <cellStyle name="40% - Accent2 6 2 16" xfId="16560"/>
    <cellStyle name="40% - Accent2 6 2 17" xfId="16561"/>
    <cellStyle name="40% - Accent2 6 2 18" xfId="16562"/>
    <cellStyle name="40% - Accent2 6 2 19" xfId="16563"/>
    <cellStyle name="40% - Accent2 6 2 2" xfId="16564"/>
    <cellStyle name="40% - Accent2 6 2 2 2" xfId="16565"/>
    <cellStyle name="40% - Accent2 6 2 20" xfId="16566"/>
    <cellStyle name="40% - Accent2 6 2 21" xfId="16567"/>
    <cellStyle name="40% - Accent2 6 2 22" xfId="16568"/>
    <cellStyle name="40% - Accent2 6 2 23" xfId="16569"/>
    <cellStyle name="40% - Accent2 6 2 24" xfId="16570"/>
    <cellStyle name="40% - Accent2 6 2 25" xfId="16571"/>
    <cellStyle name="40% - Accent2 6 2 26" xfId="16572"/>
    <cellStyle name="40% - Accent2 6 2 27" xfId="16573"/>
    <cellStyle name="40% - Accent2 6 2 28" xfId="16574"/>
    <cellStyle name="40% - Accent2 6 2 29" xfId="16575"/>
    <cellStyle name="40% - Accent2 6 2 3" xfId="16576"/>
    <cellStyle name="40% - Accent2 6 2 30" xfId="16577"/>
    <cellStyle name="40% - Accent2 6 2 31" xfId="16578"/>
    <cellStyle name="40% - Accent2 6 2 32" xfId="16579"/>
    <cellStyle name="40% - Accent2 6 2 33" xfId="16580"/>
    <cellStyle name="40% - Accent2 6 2 34" xfId="16581"/>
    <cellStyle name="40% - Accent2 6 2 35" xfId="16582"/>
    <cellStyle name="40% - Accent2 6 2 36" xfId="16583"/>
    <cellStyle name="40% - Accent2 6 2 37" xfId="16584"/>
    <cellStyle name="40% - Accent2 6 2 38" xfId="16585"/>
    <cellStyle name="40% - Accent2 6 2 39" xfId="16586"/>
    <cellStyle name="40% - Accent2 6 2 4" xfId="16587"/>
    <cellStyle name="40% - Accent2 6 2 40" xfId="16588"/>
    <cellStyle name="40% - Accent2 6 2 41" xfId="16589"/>
    <cellStyle name="40% - Accent2 6 2 42" xfId="16590"/>
    <cellStyle name="40% - Accent2 6 2 43" xfId="16591"/>
    <cellStyle name="40% - Accent2 6 2 44" xfId="16592"/>
    <cellStyle name="40% - Accent2 6 2 45" xfId="16593"/>
    <cellStyle name="40% - Accent2 6 2 46" xfId="16594"/>
    <cellStyle name="40% - Accent2 6 2 47" xfId="16595"/>
    <cellStyle name="40% - Accent2 6 2 48" xfId="16596"/>
    <cellStyle name="40% - Accent2 6 2 49" xfId="16597"/>
    <cellStyle name="40% - Accent2 6 2 5" xfId="16598"/>
    <cellStyle name="40% - Accent2 6 2 50" xfId="16599"/>
    <cellStyle name="40% - Accent2 6 2 51" xfId="16600"/>
    <cellStyle name="40% - Accent2 6 2 52" xfId="16601"/>
    <cellStyle name="40% - Accent2 6 2 53" xfId="16602"/>
    <cellStyle name="40% - Accent2 6 2 54" xfId="16603"/>
    <cellStyle name="40% - Accent2 6 2 55" xfId="16604"/>
    <cellStyle name="40% - Accent2 6 2 6" xfId="16605"/>
    <cellStyle name="40% - Accent2 6 2 7" xfId="16606"/>
    <cellStyle name="40% - Accent2 6 2 8" xfId="16607"/>
    <cellStyle name="40% - Accent2 6 2 9" xfId="16608"/>
    <cellStyle name="40% - Accent2 6 3" xfId="16609"/>
    <cellStyle name="40% - Accent2 6 3 10" xfId="16610"/>
    <cellStyle name="40% - Accent2 6 3 11" xfId="16611"/>
    <cellStyle name="40% - Accent2 6 3 12" xfId="16612"/>
    <cellStyle name="40% - Accent2 6 3 13" xfId="16613"/>
    <cellStyle name="40% - Accent2 6 3 14" xfId="16614"/>
    <cellStyle name="40% - Accent2 6 3 15" xfId="16615"/>
    <cellStyle name="40% - Accent2 6 3 16" xfId="16616"/>
    <cellStyle name="40% - Accent2 6 3 17" xfId="16617"/>
    <cellStyle name="40% - Accent2 6 3 18" xfId="16618"/>
    <cellStyle name="40% - Accent2 6 3 19" xfId="16619"/>
    <cellStyle name="40% - Accent2 6 3 2" xfId="16620"/>
    <cellStyle name="40% - Accent2 6 3 2 2" xfId="16621"/>
    <cellStyle name="40% - Accent2 6 3 20" xfId="16622"/>
    <cellStyle name="40% - Accent2 6 3 21" xfId="16623"/>
    <cellStyle name="40% - Accent2 6 3 22" xfId="16624"/>
    <cellStyle name="40% - Accent2 6 3 23" xfId="16625"/>
    <cellStyle name="40% - Accent2 6 3 24" xfId="16626"/>
    <cellStyle name="40% - Accent2 6 3 25" xfId="16627"/>
    <cellStyle name="40% - Accent2 6 3 26" xfId="16628"/>
    <cellStyle name="40% - Accent2 6 3 27" xfId="16629"/>
    <cellStyle name="40% - Accent2 6 3 28" xfId="16630"/>
    <cellStyle name="40% - Accent2 6 3 29" xfId="16631"/>
    <cellStyle name="40% - Accent2 6 3 3" xfId="16632"/>
    <cellStyle name="40% - Accent2 6 3 30" xfId="16633"/>
    <cellStyle name="40% - Accent2 6 3 31" xfId="16634"/>
    <cellStyle name="40% - Accent2 6 3 32" xfId="16635"/>
    <cellStyle name="40% - Accent2 6 3 33" xfId="16636"/>
    <cellStyle name="40% - Accent2 6 3 34" xfId="16637"/>
    <cellStyle name="40% - Accent2 6 3 35" xfId="16638"/>
    <cellStyle name="40% - Accent2 6 3 36" xfId="16639"/>
    <cellStyle name="40% - Accent2 6 3 37" xfId="16640"/>
    <cellStyle name="40% - Accent2 6 3 38" xfId="16641"/>
    <cellStyle name="40% - Accent2 6 3 39" xfId="16642"/>
    <cellStyle name="40% - Accent2 6 3 4" xfId="16643"/>
    <cellStyle name="40% - Accent2 6 3 40" xfId="16644"/>
    <cellStyle name="40% - Accent2 6 3 41" xfId="16645"/>
    <cellStyle name="40% - Accent2 6 3 42" xfId="16646"/>
    <cellStyle name="40% - Accent2 6 3 43" xfId="16647"/>
    <cellStyle name="40% - Accent2 6 3 44" xfId="16648"/>
    <cellStyle name="40% - Accent2 6 3 45" xfId="16649"/>
    <cellStyle name="40% - Accent2 6 3 46" xfId="16650"/>
    <cellStyle name="40% - Accent2 6 3 47" xfId="16651"/>
    <cellStyle name="40% - Accent2 6 3 48" xfId="16652"/>
    <cellStyle name="40% - Accent2 6 3 49" xfId="16653"/>
    <cellStyle name="40% - Accent2 6 3 5" xfId="16654"/>
    <cellStyle name="40% - Accent2 6 3 50" xfId="16655"/>
    <cellStyle name="40% - Accent2 6 3 51" xfId="16656"/>
    <cellStyle name="40% - Accent2 6 3 52" xfId="16657"/>
    <cellStyle name="40% - Accent2 6 3 53" xfId="16658"/>
    <cellStyle name="40% - Accent2 6 3 54" xfId="16659"/>
    <cellStyle name="40% - Accent2 6 3 55" xfId="16660"/>
    <cellStyle name="40% - Accent2 6 3 6" xfId="16661"/>
    <cellStyle name="40% - Accent2 6 3 7" xfId="16662"/>
    <cellStyle name="40% - Accent2 6 3 8" xfId="16663"/>
    <cellStyle name="40% - Accent2 6 3 9" xfId="16664"/>
    <cellStyle name="40% - Accent2 7" xfId="16665"/>
    <cellStyle name="40% - Accent2 7 2" xfId="16666"/>
    <cellStyle name="40% - Accent2 7 2 10" xfId="16667"/>
    <cellStyle name="40% - Accent2 7 2 11" xfId="16668"/>
    <cellStyle name="40% - Accent2 7 2 12" xfId="16669"/>
    <cellStyle name="40% - Accent2 7 2 13" xfId="16670"/>
    <cellStyle name="40% - Accent2 7 2 14" xfId="16671"/>
    <cellStyle name="40% - Accent2 7 2 15" xfId="16672"/>
    <cellStyle name="40% - Accent2 7 2 16" xfId="16673"/>
    <cellStyle name="40% - Accent2 7 2 17" xfId="16674"/>
    <cellStyle name="40% - Accent2 7 2 18" xfId="16675"/>
    <cellStyle name="40% - Accent2 7 2 19" xfId="16676"/>
    <cellStyle name="40% - Accent2 7 2 2" xfId="16677"/>
    <cellStyle name="40% - Accent2 7 2 2 2" xfId="16678"/>
    <cellStyle name="40% - Accent2 7 2 20" xfId="16679"/>
    <cellStyle name="40% - Accent2 7 2 21" xfId="16680"/>
    <cellStyle name="40% - Accent2 7 2 22" xfId="16681"/>
    <cellStyle name="40% - Accent2 7 2 23" xfId="16682"/>
    <cellStyle name="40% - Accent2 7 2 24" xfId="16683"/>
    <cellStyle name="40% - Accent2 7 2 25" xfId="16684"/>
    <cellStyle name="40% - Accent2 7 2 26" xfId="16685"/>
    <cellStyle name="40% - Accent2 7 2 27" xfId="16686"/>
    <cellStyle name="40% - Accent2 7 2 28" xfId="16687"/>
    <cellStyle name="40% - Accent2 7 2 29" xfId="16688"/>
    <cellStyle name="40% - Accent2 7 2 3" xfId="16689"/>
    <cellStyle name="40% - Accent2 7 2 30" xfId="16690"/>
    <cellStyle name="40% - Accent2 7 2 31" xfId="16691"/>
    <cellStyle name="40% - Accent2 7 2 32" xfId="16692"/>
    <cellStyle name="40% - Accent2 7 2 33" xfId="16693"/>
    <cellStyle name="40% - Accent2 7 2 34" xfId="16694"/>
    <cellStyle name="40% - Accent2 7 2 35" xfId="16695"/>
    <cellStyle name="40% - Accent2 7 2 36" xfId="16696"/>
    <cellStyle name="40% - Accent2 7 2 37" xfId="16697"/>
    <cellStyle name="40% - Accent2 7 2 38" xfId="16698"/>
    <cellStyle name="40% - Accent2 7 2 39" xfId="16699"/>
    <cellStyle name="40% - Accent2 7 2 4" xfId="16700"/>
    <cellStyle name="40% - Accent2 7 2 40" xfId="16701"/>
    <cellStyle name="40% - Accent2 7 2 41" xfId="16702"/>
    <cellStyle name="40% - Accent2 7 2 42" xfId="16703"/>
    <cellStyle name="40% - Accent2 7 2 43" xfId="16704"/>
    <cellStyle name="40% - Accent2 7 2 44" xfId="16705"/>
    <cellStyle name="40% - Accent2 7 2 45" xfId="16706"/>
    <cellStyle name="40% - Accent2 7 2 46" xfId="16707"/>
    <cellStyle name="40% - Accent2 7 2 47" xfId="16708"/>
    <cellStyle name="40% - Accent2 7 2 48" xfId="16709"/>
    <cellStyle name="40% - Accent2 7 2 49" xfId="16710"/>
    <cellStyle name="40% - Accent2 7 2 5" xfId="16711"/>
    <cellStyle name="40% - Accent2 7 2 50" xfId="16712"/>
    <cellStyle name="40% - Accent2 7 2 51" xfId="16713"/>
    <cellStyle name="40% - Accent2 7 2 52" xfId="16714"/>
    <cellStyle name="40% - Accent2 7 2 53" xfId="16715"/>
    <cellStyle name="40% - Accent2 7 2 54" xfId="16716"/>
    <cellStyle name="40% - Accent2 7 2 55" xfId="16717"/>
    <cellStyle name="40% - Accent2 7 2 6" xfId="16718"/>
    <cellStyle name="40% - Accent2 7 2 7" xfId="16719"/>
    <cellStyle name="40% - Accent2 7 2 8" xfId="16720"/>
    <cellStyle name="40% - Accent2 7 2 9" xfId="16721"/>
    <cellStyle name="40% - Accent2 7 3" xfId="16722"/>
    <cellStyle name="40% - Accent2 7 3 10" xfId="16723"/>
    <cellStyle name="40% - Accent2 7 3 11" xfId="16724"/>
    <cellStyle name="40% - Accent2 7 3 12" xfId="16725"/>
    <cellStyle name="40% - Accent2 7 3 13" xfId="16726"/>
    <cellStyle name="40% - Accent2 7 3 14" xfId="16727"/>
    <cellStyle name="40% - Accent2 7 3 15" xfId="16728"/>
    <cellStyle name="40% - Accent2 7 3 16" xfId="16729"/>
    <cellStyle name="40% - Accent2 7 3 17" xfId="16730"/>
    <cellStyle name="40% - Accent2 7 3 18" xfId="16731"/>
    <cellStyle name="40% - Accent2 7 3 19" xfId="16732"/>
    <cellStyle name="40% - Accent2 7 3 2" xfId="16733"/>
    <cellStyle name="40% - Accent2 7 3 2 2" xfId="16734"/>
    <cellStyle name="40% - Accent2 7 3 20" xfId="16735"/>
    <cellStyle name="40% - Accent2 7 3 21" xfId="16736"/>
    <cellStyle name="40% - Accent2 7 3 22" xfId="16737"/>
    <cellStyle name="40% - Accent2 7 3 23" xfId="16738"/>
    <cellStyle name="40% - Accent2 7 3 24" xfId="16739"/>
    <cellStyle name="40% - Accent2 7 3 25" xfId="16740"/>
    <cellStyle name="40% - Accent2 7 3 26" xfId="16741"/>
    <cellStyle name="40% - Accent2 7 3 27" xfId="16742"/>
    <cellStyle name="40% - Accent2 7 3 28" xfId="16743"/>
    <cellStyle name="40% - Accent2 7 3 29" xfId="16744"/>
    <cellStyle name="40% - Accent2 7 3 3" xfId="16745"/>
    <cellStyle name="40% - Accent2 7 3 30" xfId="16746"/>
    <cellStyle name="40% - Accent2 7 3 31" xfId="16747"/>
    <cellStyle name="40% - Accent2 7 3 32" xfId="16748"/>
    <cellStyle name="40% - Accent2 7 3 33" xfId="16749"/>
    <cellStyle name="40% - Accent2 7 3 34" xfId="16750"/>
    <cellStyle name="40% - Accent2 7 3 35" xfId="16751"/>
    <cellStyle name="40% - Accent2 7 3 36" xfId="16752"/>
    <cellStyle name="40% - Accent2 7 3 37" xfId="16753"/>
    <cellStyle name="40% - Accent2 7 3 38" xfId="16754"/>
    <cellStyle name="40% - Accent2 7 3 39" xfId="16755"/>
    <cellStyle name="40% - Accent2 7 3 4" xfId="16756"/>
    <cellStyle name="40% - Accent2 7 3 40" xfId="16757"/>
    <cellStyle name="40% - Accent2 7 3 41" xfId="16758"/>
    <cellStyle name="40% - Accent2 7 3 42" xfId="16759"/>
    <cellStyle name="40% - Accent2 7 3 43" xfId="16760"/>
    <cellStyle name="40% - Accent2 7 3 44" xfId="16761"/>
    <cellStyle name="40% - Accent2 7 3 45" xfId="16762"/>
    <cellStyle name="40% - Accent2 7 3 46" xfId="16763"/>
    <cellStyle name="40% - Accent2 7 3 47" xfId="16764"/>
    <cellStyle name="40% - Accent2 7 3 48" xfId="16765"/>
    <cellStyle name="40% - Accent2 7 3 49" xfId="16766"/>
    <cellStyle name="40% - Accent2 7 3 5" xfId="16767"/>
    <cellStyle name="40% - Accent2 7 3 50" xfId="16768"/>
    <cellStyle name="40% - Accent2 7 3 51" xfId="16769"/>
    <cellStyle name="40% - Accent2 7 3 52" xfId="16770"/>
    <cellStyle name="40% - Accent2 7 3 53" xfId="16771"/>
    <cellStyle name="40% - Accent2 7 3 54" xfId="16772"/>
    <cellStyle name="40% - Accent2 7 3 55" xfId="16773"/>
    <cellStyle name="40% - Accent2 7 3 6" xfId="16774"/>
    <cellStyle name="40% - Accent2 7 3 7" xfId="16775"/>
    <cellStyle name="40% - Accent2 7 3 8" xfId="16776"/>
    <cellStyle name="40% - Accent2 7 3 9" xfId="16777"/>
    <cellStyle name="40% - Accent2 8" xfId="16778"/>
    <cellStyle name="40% - Accent2 8 2" xfId="16779"/>
    <cellStyle name="40% - Accent2 8 2 10" xfId="16780"/>
    <cellStyle name="40% - Accent2 8 2 11" xfId="16781"/>
    <cellStyle name="40% - Accent2 8 2 12" xfId="16782"/>
    <cellStyle name="40% - Accent2 8 2 13" xfId="16783"/>
    <cellStyle name="40% - Accent2 8 2 14" xfId="16784"/>
    <cellStyle name="40% - Accent2 8 2 15" xfId="16785"/>
    <cellStyle name="40% - Accent2 8 2 16" xfId="16786"/>
    <cellStyle name="40% - Accent2 8 2 17" xfId="16787"/>
    <cellStyle name="40% - Accent2 8 2 18" xfId="16788"/>
    <cellStyle name="40% - Accent2 8 2 19" xfId="16789"/>
    <cellStyle name="40% - Accent2 8 2 2" xfId="16790"/>
    <cellStyle name="40% - Accent2 8 2 2 2" xfId="16791"/>
    <cellStyle name="40% - Accent2 8 2 20" xfId="16792"/>
    <cellStyle name="40% - Accent2 8 2 21" xfId="16793"/>
    <cellStyle name="40% - Accent2 8 2 22" xfId="16794"/>
    <cellStyle name="40% - Accent2 8 2 23" xfId="16795"/>
    <cellStyle name="40% - Accent2 8 2 24" xfId="16796"/>
    <cellStyle name="40% - Accent2 8 2 25" xfId="16797"/>
    <cellStyle name="40% - Accent2 8 2 26" xfId="16798"/>
    <cellStyle name="40% - Accent2 8 2 27" xfId="16799"/>
    <cellStyle name="40% - Accent2 8 2 28" xfId="16800"/>
    <cellStyle name="40% - Accent2 8 2 29" xfId="16801"/>
    <cellStyle name="40% - Accent2 8 2 3" xfId="16802"/>
    <cellStyle name="40% - Accent2 8 2 30" xfId="16803"/>
    <cellStyle name="40% - Accent2 8 2 31" xfId="16804"/>
    <cellStyle name="40% - Accent2 8 2 32" xfId="16805"/>
    <cellStyle name="40% - Accent2 8 2 33" xfId="16806"/>
    <cellStyle name="40% - Accent2 8 2 34" xfId="16807"/>
    <cellStyle name="40% - Accent2 8 2 35" xfId="16808"/>
    <cellStyle name="40% - Accent2 8 2 36" xfId="16809"/>
    <cellStyle name="40% - Accent2 8 2 37" xfId="16810"/>
    <cellStyle name="40% - Accent2 8 2 38" xfId="16811"/>
    <cellStyle name="40% - Accent2 8 2 39" xfId="16812"/>
    <cellStyle name="40% - Accent2 8 2 4" xfId="16813"/>
    <cellStyle name="40% - Accent2 8 2 40" xfId="16814"/>
    <cellStyle name="40% - Accent2 8 2 41" xfId="16815"/>
    <cellStyle name="40% - Accent2 8 2 42" xfId="16816"/>
    <cellStyle name="40% - Accent2 8 2 43" xfId="16817"/>
    <cellStyle name="40% - Accent2 8 2 44" xfId="16818"/>
    <cellStyle name="40% - Accent2 8 2 45" xfId="16819"/>
    <cellStyle name="40% - Accent2 8 2 46" xfId="16820"/>
    <cellStyle name="40% - Accent2 8 2 47" xfId="16821"/>
    <cellStyle name="40% - Accent2 8 2 48" xfId="16822"/>
    <cellStyle name="40% - Accent2 8 2 49" xfId="16823"/>
    <cellStyle name="40% - Accent2 8 2 5" xfId="16824"/>
    <cellStyle name="40% - Accent2 8 2 50" xfId="16825"/>
    <cellStyle name="40% - Accent2 8 2 51" xfId="16826"/>
    <cellStyle name="40% - Accent2 8 2 52" xfId="16827"/>
    <cellStyle name="40% - Accent2 8 2 53" xfId="16828"/>
    <cellStyle name="40% - Accent2 8 2 54" xfId="16829"/>
    <cellStyle name="40% - Accent2 8 2 55" xfId="16830"/>
    <cellStyle name="40% - Accent2 8 2 6" xfId="16831"/>
    <cellStyle name="40% - Accent2 8 2 7" xfId="16832"/>
    <cellStyle name="40% - Accent2 8 2 8" xfId="16833"/>
    <cellStyle name="40% - Accent2 8 2 9" xfId="16834"/>
    <cellStyle name="40% - Accent2 8 3" xfId="16835"/>
    <cellStyle name="40% - Accent2 8 3 10" xfId="16836"/>
    <cellStyle name="40% - Accent2 8 3 11" xfId="16837"/>
    <cellStyle name="40% - Accent2 8 3 12" xfId="16838"/>
    <cellStyle name="40% - Accent2 8 3 13" xfId="16839"/>
    <cellStyle name="40% - Accent2 8 3 14" xfId="16840"/>
    <cellStyle name="40% - Accent2 8 3 15" xfId="16841"/>
    <cellStyle name="40% - Accent2 8 3 16" xfId="16842"/>
    <cellStyle name="40% - Accent2 8 3 17" xfId="16843"/>
    <cellStyle name="40% - Accent2 8 3 18" xfId="16844"/>
    <cellStyle name="40% - Accent2 8 3 19" xfId="16845"/>
    <cellStyle name="40% - Accent2 8 3 2" xfId="16846"/>
    <cellStyle name="40% - Accent2 8 3 2 2" xfId="16847"/>
    <cellStyle name="40% - Accent2 8 3 20" xfId="16848"/>
    <cellStyle name="40% - Accent2 8 3 21" xfId="16849"/>
    <cellStyle name="40% - Accent2 8 3 22" xfId="16850"/>
    <cellStyle name="40% - Accent2 8 3 23" xfId="16851"/>
    <cellStyle name="40% - Accent2 8 3 24" xfId="16852"/>
    <cellStyle name="40% - Accent2 8 3 25" xfId="16853"/>
    <cellStyle name="40% - Accent2 8 3 26" xfId="16854"/>
    <cellStyle name="40% - Accent2 8 3 27" xfId="16855"/>
    <cellStyle name="40% - Accent2 8 3 28" xfId="16856"/>
    <cellStyle name="40% - Accent2 8 3 29" xfId="16857"/>
    <cellStyle name="40% - Accent2 8 3 3" xfId="16858"/>
    <cellStyle name="40% - Accent2 8 3 30" xfId="16859"/>
    <cellStyle name="40% - Accent2 8 3 31" xfId="16860"/>
    <cellStyle name="40% - Accent2 8 3 32" xfId="16861"/>
    <cellStyle name="40% - Accent2 8 3 33" xfId="16862"/>
    <cellStyle name="40% - Accent2 8 3 34" xfId="16863"/>
    <cellStyle name="40% - Accent2 8 3 35" xfId="16864"/>
    <cellStyle name="40% - Accent2 8 3 36" xfId="16865"/>
    <cellStyle name="40% - Accent2 8 3 37" xfId="16866"/>
    <cellStyle name="40% - Accent2 8 3 38" xfId="16867"/>
    <cellStyle name="40% - Accent2 8 3 39" xfId="16868"/>
    <cellStyle name="40% - Accent2 8 3 4" xfId="16869"/>
    <cellStyle name="40% - Accent2 8 3 40" xfId="16870"/>
    <cellStyle name="40% - Accent2 8 3 41" xfId="16871"/>
    <cellStyle name="40% - Accent2 8 3 42" xfId="16872"/>
    <cellStyle name="40% - Accent2 8 3 43" xfId="16873"/>
    <cellStyle name="40% - Accent2 8 3 44" xfId="16874"/>
    <cellStyle name="40% - Accent2 8 3 45" xfId="16875"/>
    <cellStyle name="40% - Accent2 8 3 46" xfId="16876"/>
    <cellStyle name="40% - Accent2 8 3 47" xfId="16877"/>
    <cellStyle name="40% - Accent2 8 3 48" xfId="16878"/>
    <cellStyle name="40% - Accent2 8 3 49" xfId="16879"/>
    <cellStyle name="40% - Accent2 8 3 5" xfId="16880"/>
    <cellStyle name="40% - Accent2 8 3 50" xfId="16881"/>
    <cellStyle name="40% - Accent2 8 3 51" xfId="16882"/>
    <cellStyle name="40% - Accent2 8 3 52" xfId="16883"/>
    <cellStyle name="40% - Accent2 8 3 53" xfId="16884"/>
    <cellStyle name="40% - Accent2 8 3 54" xfId="16885"/>
    <cellStyle name="40% - Accent2 8 3 55" xfId="16886"/>
    <cellStyle name="40% - Accent2 8 3 6" xfId="16887"/>
    <cellStyle name="40% - Accent2 8 3 7" xfId="16888"/>
    <cellStyle name="40% - Accent2 8 3 8" xfId="16889"/>
    <cellStyle name="40% - Accent2 8 3 9" xfId="16890"/>
    <cellStyle name="40% - Accent2 9" xfId="16891"/>
    <cellStyle name="40% - Accent2 9 2" xfId="16892"/>
    <cellStyle name="40% - Accent2 9 2 10" xfId="16893"/>
    <cellStyle name="40% - Accent2 9 2 11" xfId="16894"/>
    <cellStyle name="40% - Accent2 9 2 12" xfId="16895"/>
    <cellStyle name="40% - Accent2 9 2 13" xfId="16896"/>
    <cellStyle name="40% - Accent2 9 2 14" xfId="16897"/>
    <cellStyle name="40% - Accent2 9 2 15" xfId="16898"/>
    <cellStyle name="40% - Accent2 9 2 16" xfId="16899"/>
    <cellStyle name="40% - Accent2 9 2 17" xfId="16900"/>
    <cellStyle name="40% - Accent2 9 2 18" xfId="16901"/>
    <cellStyle name="40% - Accent2 9 2 19" xfId="16902"/>
    <cellStyle name="40% - Accent2 9 2 2" xfId="16903"/>
    <cellStyle name="40% - Accent2 9 2 2 2" xfId="16904"/>
    <cellStyle name="40% - Accent2 9 2 20" xfId="16905"/>
    <cellStyle name="40% - Accent2 9 2 21" xfId="16906"/>
    <cellStyle name="40% - Accent2 9 2 22" xfId="16907"/>
    <cellStyle name="40% - Accent2 9 2 23" xfId="16908"/>
    <cellStyle name="40% - Accent2 9 2 24" xfId="16909"/>
    <cellStyle name="40% - Accent2 9 2 25" xfId="16910"/>
    <cellStyle name="40% - Accent2 9 2 26" xfId="16911"/>
    <cellStyle name="40% - Accent2 9 2 27" xfId="16912"/>
    <cellStyle name="40% - Accent2 9 2 28" xfId="16913"/>
    <cellStyle name="40% - Accent2 9 2 29" xfId="16914"/>
    <cellStyle name="40% - Accent2 9 2 3" xfId="16915"/>
    <cellStyle name="40% - Accent2 9 2 30" xfId="16916"/>
    <cellStyle name="40% - Accent2 9 2 31" xfId="16917"/>
    <cellStyle name="40% - Accent2 9 2 32" xfId="16918"/>
    <cellStyle name="40% - Accent2 9 2 33" xfId="16919"/>
    <cellStyle name="40% - Accent2 9 2 34" xfId="16920"/>
    <cellStyle name="40% - Accent2 9 2 35" xfId="16921"/>
    <cellStyle name="40% - Accent2 9 2 36" xfId="16922"/>
    <cellStyle name="40% - Accent2 9 2 37" xfId="16923"/>
    <cellStyle name="40% - Accent2 9 2 38" xfId="16924"/>
    <cellStyle name="40% - Accent2 9 2 39" xfId="16925"/>
    <cellStyle name="40% - Accent2 9 2 4" xfId="16926"/>
    <cellStyle name="40% - Accent2 9 2 40" xfId="16927"/>
    <cellStyle name="40% - Accent2 9 2 41" xfId="16928"/>
    <cellStyle name="40% - Accent2 9 2 42" xfId="16929"/>
    <cellStyle name="40% - Accent2 9 2 43" xfId="16930"/>
    <cellStyle name="40% - Accent2 9 2 44" xfId="16931"/>
    <cellStyle name="40% - Accent2 9 2 45" xfId="16932"/>
    <cellStyle name="40% - Accent2 9 2 46" xfId="16933"/>
    <cellStyle name="40% - Accent2 9 2 47" xfId="16934"/>
    <cellStyle name="40% - Accent2 9 2 48" xfId="16935"/>
    <cellStyle name="40% - Accent2 9 2 49" xfId="16936"/>
    <cellStyle name="40% - Accent2 9 2 5" xfId="16937"/>
    <cellStyle name="40% - Accent2 9 2 50" xfId="16938"/>
    <cellStyle name="40% - Accent2 9 2 51" xfId="16939"/>
    <cellStyle name="40% - Accent2 9 2 52" xfId="16940"/>
    <cellStyle name="40% - Accent2 9 2 53" xfId="16941"/>
    <cellStyle name="40% - Accent2 9 2 54" xfId="16942"/>
    <cellStyle name="40% - Accent2 9 2 55" xfId="16943"/>
    <cellStyle name="40% - Accent2 9 2 6" xfId="16944"/>
    <cellStyle name="40% - Accent2 9 2 7" xfId="16945"/>
    <cellStyle name="40% - Accent2 9 2 8" xfId="16946"/>
    <cellStyle name="40% - Accent2 9 2 9" xfId="16947"/>
    <cellStyle name="40% - Accent2 9 3" xfId="16948"/>
    <cellStyle name="40% - Accent2 9 3 10" xfId="16949"/>
    <cellStyle name="40% - Accent2 9 3 11" xfId="16950"/>
    <cellStyle name="40% - Accent2 9 3 12" xfId="16951"/>
    <cellStyle name="40% - Accent2 9 3 13" xfId="16952"/>
    <cellStyle name="40% - Accent2 9 3 14" xfId="16953"/>
    <cellStyle name="40% - Accent2 9 3 15" xfId="16954"/>
    <cellStyle name="40% - Accent2 9 3 16" xfId="16955"/>
    <cellStyle name="40% - Accent2 9 3 17" xfId="16956"/>
    <cellStyle name="40% - Accent2 9 3 18" xfId="16957"/>
    <cellStyle name="40% - Accent2 9 3 19" xfId="16958"/>
    <cellStyle name="40% - Accent2 9 3 2" xfId="16959"/>
    <cellStyle name="40% - Accent2 9 3 2 2" xfId="16960"/>
    <cellStyle name="40% - Accent2 9 3 20" xfId="16961"/>
    <cellStyle name="40% - Accent2 9 3 21" xfId="16962"/>
    <cellStyle name="40% - Accent2 9 3 22" xfId="16963"/>
    <cellStyle name="40% - Accent2 9 3 23" xfId="16964"/>
    <cellStyle name="40% - Accent2 9 3 24" xfId="16965"/>
    <cellStyle name="40% - Accent2 9 3 25" xfId="16966"/>
    <cellStyle name="40% - Accent2 9 3 26" xfId="16967"/>
    <cellStyle name="40% - Accent2 9 3 27" xfId="16968"/>
    <cellStyle name="40% - Accent2 9 3 28" xfId="16969"/>
    <cellStyle name="40% - Accent2 9 3 29" xfId="16970"/>
    <cellStyle name="40% - Accent2 9 3 3" xfId="16971"/>
    <cellStyle name="40% - Accent2 9 3 30" xfId="16972"/>
    <cellStyle name="40% - Accent2 9 3 31" xfId="16973"/>
    <cellStyle name="40% - Accent2 9 3 32" xfId="16974"/>
    <cellStyle name="40% - Accent2 9 3 33" xfId="16975"/>
    <cellStyle name="40% - Accent2 9 3 34" xfId="16976"/>
    <cellStyle name="40% - Accent2 9 3 35" xfId="16977"/>
    <cellStyle name="40% - Accent2 9 3 36" xfId="16978"/>
    <cellStyle name="40% - Accent2 9 3 37" xfId="16979"/>
    <cellStyle name="40% - Accent2 9 3 38" xfId="16980"/>
    <cellStyle name="40% - Accent2 9 3 39" xfId="16981"/>
    <cellStyle name="40% - Accent2 9 3 4" xfId="16982"/>
    <cellStyle name="40% - Accent2 9 3 40" xfId="16983"/>
    <cellStyle name="40% - Accent2 9 3 41" xfId="16984"/>
    <cellStyle name="40% - Accent2 9 3 42" xfId="16985"/>
    <cellStyle name="40% - Accent2 9 3 43" xfId="16986"/>
    <cellStyle name="40% - Accent2 9 3 44" xfId="16987"/>
    <cellStyle name="40% - Accent2 9 3 45" xfId="16988"/>
    <cellStyle name="40% - Accent2 9 3 46" xfId="16989"/>
    <cellStyle name="40% - Accent2 9 3 47" xfId="16990"/>
    <cellStyle name="40% - Accent2 9 3 48" xfId="16991"/>
    <cellStyle name="40% - Accent2 9 3 49" xfId="16992"/>
    <cellStyle name="40% - Accent2 9 3 5" xfId="16993"/>
    <cellStyle name="40% - Accent2 9 3 50" xfId="16994"/>
    <cellStyle name="40% - Accent2 9 3 51" xfId="16995"/>
    <cellStyle name="40% - Accent2 9 3 52" xfId="16996"/>
    <cellStyle name="40% - Accent2 9 3 53" xfId="16997"/>
    <cellStyle name="40% - Accent2 9 3 54" xfId="16998"/>
    <cellStyle name="40% - Accent2 9 3 55" xfId="16999"/>
    <cellStyle name="40% - Accent2 9 3 6" xfId="17000"/>
    <cellStyle name="40% - Accent2 9 3 7" xfId="17001"/>
    <cellStyle name="40% - Accent2 9 3 8" xfId="17002"/>
    <cellStyle name="40% - Accent2 9 3 9" xfId="17003"/>
    <cellStyle name="40% - Accent3 10" xfId="17004"/>
    <cellStyle name="40% - Accent3 10 2" xfId="17005"/>
    <cellStyle name="40% - Accent3 10 2 10" xfId="17006"/>
    <cellStyle name="40% - Accent3 10 2 11" xfId="17007"/>
    <cellStyle name="40% - Accent3 10 2 12" xfId="17008"/>
    <cellStyle name="40% - Accent3 10 2 13" xfId="17009"/>
    <cellStyle name="40% - Accent3 10 2 14" xfId="17010"/>
    <cellStyle name="40% - Accent3 10 2 15" xfId="17011"/>
    <cellStyle name="40% - Accent3 10 2 16" xfId="17012"/>
    <cellStyle name="40% - Accent3 10 2 17" xfId="17013"/>
    <cellStyle name="40% - Accent3 10 2 18" xfId="17014"/>
    <cellStyle name="40% - Accent3 10 2 19" xfId="17015"/>
    <cellStyle name="40% - Accent3 10 2 2" xfId="17016"/>
    <cellStyle name="40% - Accent3 10 2 2 2" xfId="17017"/>
    <cellStyle name="40% - Accent3 10 2 20" xfId="17018"/>
    <cellStyle name="40% - Accent3 10 2 21" xfId="17019"/>
    <cellStyle name="40% - Accent3 10 2 22" xfId="17020"/>
    <cellStyle name="40% - Accent3 10 2 23" xfId="17021"/>
    <cellStyle name="40% - Accent3 10 2 24" xfId="17022"/>
    <cellStyle name="40% - Accent3 10 2 25" xfId="17023"/>
    <cellStyle name="40% - Accent3 10 2 26" xfId="17024"/>
    <cellStyle name="40% - Accent3 10 2 27" xfId="17025"/>
    <cellStyle name="40% - Accent3 10 2 28" xfId="17026"/>
    <cellStyle name="40% - Accent3 10 2 29" xfId="17027"/>
    <cellStyle name="40% - Accent3 10 2 3" xfId="17028"/>
    <cellStyle name="40% - Accent3 10 2 30" xfId="17029"/>
    <cellStyle name="40% - Accent3 10 2 31" xfId="17030"/>
    <cellStyle name="40% - Accent3 10 2 32" xfId="17031"/>
    <cellStyle name="40% - Accent3 10 2 33" xfId="17032"/>
    <cellStyle name="40% - Accent3 10 2 34" xfId="17033"/>
    <cellStyle name="40% - Accent3 10 2 35" xfId="17034"/>
    <cellStyle name="40% - Accent3 10 2 36" xfId="17035"/>
    <cellStyle name="40% - Accent3 10 2 37" xfId="17036"/>
    <cellStyle name="40% - Accent3 10 2 38" xfId="17037"/>
    <cellStyle name="40% - Accent3 10 2 39" xfId="17038"/>
    <cellStyle name="40% - Accent3 10 2 4" xfId="17039"/>
    <cellStyle name="40% - Accent3 10 2 40" xfId="17040"/>
    <cellStyle name="40% - Accent3 10 2 41" xfId="17041"/>
    <cellStyle name="40% - Accent3 10 2 42" xfId="17042"/>
    <cellStyle name="40% - Accent3 10 2 43" xfId="17043"/>
    <cellStyle name="40% - Accent3 10 2 44" xfId="17044"/>
    <cellStyle name="40% - Accent3 10 2 45" xfId="17045"/>
    <cellStyle name="40% - Accent3 10 2 46" xfId="17046"/>
    <cellStyle name="40% - Accent3 10 2 47" xfId="17047"/>
    <cellStyle name="40% - Accent3 10 2 48" xfId="17048"/>
    <cellStyle name="40% - Accent3 10 2 49" xfId="17049"/>
    <cellStyle name="40% - Accent3 10 2 5" xfId="17050"/>
    <cellStyle name="40% - Accent3 10 2 50" xfId="17051"/>
    <cellStyle name="40% - Accent3 10 2 51" xfId="17052"/>
    <cellStyle name="40% - Accent3 10 2 52" xfId="17053"/>
    <cellStyle name="40% - Accent3 10 2 53" xfId="17054"/>
    <cellStyle name="40% - Accent3 10 2 54" xfId="17055"/>
    <cellStyle name="40% - Accent3 10 2 55" xfId="17056"/>
    <cellStyle name="40% - Accent3 10 2 6" xfId="17057"/>
    <cellStyle name="40% - Accent3 10 2 7" xfId="17058"/>
    <cellStyle name="40% - Accent3 10 2 8" xfId="17059"/>
    <cellStyle name="40% - Accent3 10 2 9" xfId="17060"/>
    <cellStyle name="40% - Accent3 10 3" xfId="17061"/>
    <cellStyle name="40% - Accent3 10 3 10" xfId="17062"/>
    <cellStyle name="40% - Accent3 10 3 11" xfId="17063"/>
    <cellStyle name="40% - Accent3 10 3 12" xfId="17064"/>
    <cellStyle name="40% - Accent3 10 3 13" xfId="17065"/>
    <cellStyle name="40% - Accent3 10 3 14" xfId="17066"/>
    <cellStyle name="40% - Accent3 10 3 15" xfId="17067"/>
    <cellStyle name="40% - Accent3 10 3 16" xfId="17068"/>
    <cellStyle name="40% - Accent3 10 3 17" xfId="17069"/>
    <cellStyle name="40% - Accent3 10 3 18" xfId="17070"/>
    <cellStyle name="40% - Accent3 10 3 19" xfId="17071"/>
    <cellStyle name="40% - Accent3 10 3 2" xfId="17072"/>
    <cellStyle name="40% - Accent3 10 3 2 2" xfId="17073"/>
    <cellStyle name="40% - Accent3 10 3 20" xfId="17074"/>
    <cellStyle name="40% - Accent3 10 3 21" xfId="17075"/>
    <cellStyle name="40% - Accent3 10 3 22" xfId="17076"/>
    <cellStyle name="40% - Accent3 10 3 23" xfId="17077"/>
    <cellStyle name="40% - Accent3 10 3 24" xfId="17078"/>
    <cellStyle name="40% - Accent3 10 3 25" xfId="17079"/>
    <cellStyle name="40% - Accent3 10 3 26" xfId="17080"/>
    <cellStyle name="40% - Accent3 10 3 27" xfId="17081"/>
    <cellStyle name="40% - Accent3 10 3 28" xfId="17082"/>
    <cellStyle name="40% - Accent3 10 3 29" xfId="17083"/>
    <cellStyle name="40% - Accent3 10 3 3" xfId="17084"/>
    <cellStyle name="40% - Accent3 10 3 30" xfId="17085"/>
    <cellStyle name="40% - Accent3 10 3 31" xfId="17086"/>
    <cellStyle name="40% - Accent3 10 3 32" xfId="17087"/>
    <cellStyle name="40% - Accent3 10 3 33" xfId="17088"/>
    <cellStyle name="40% - Accent3 10 3 34" xfId="17089"/>
    <cellStyle name="40% - Accent3 10 3 35" xfId="17090"/>
    <cellStyle name="40% - Accent3 10 3 36" xfId="17091"/>
    <cellStyle name="40% - Accent3 10 3 37" xfId="17092"/>
    <cellStyle name="40% - Accent3 10 3 38" xfId="17093"/>
    <cellStyle name="40% - Accent3 10 3 39" xfId="17094"/>
    <cellStyle name="40% - Accent3 10 3 4" xfId="17095"/>
    <cellStyle name="40% - Accent3 10 3 40" xfId="17096"/>
    <cellStyle name="40% - Accent3 10 3 41" xfId="17097"/>
    <cellStyle name="40% - Accent3 10 3 42" xfId="17098"/>
    <cellStyle name="40% - Accent3 10 3 43" xfId="17099"/>
    <cellStyle name="40% - Accent3 10 3 44" xfId="17100"/>
    <cellStyle name="40% - Accent3 10 3 45" xfId="17101"/>
    <cellStyle name="40% - Accent3 10 3 46" xfId="17102"/>
    <cellStyle name="40% - Accent3 10 3 47" xfId="17103"/>
    <cellStyle name="40% - Accent3 10 3 48" xfId="17104"/>
    <cellStyle name="40% - Accent3 10 3 49" xfId="17105"/>
    <cellStyle name="40% - Accent3 10 3 5" xfId="17106"/>
    <cellStyle name="40% - Accent3 10 3 50" xfId="17107"/>
    <cellStyle name="40% - Accent3 10 3 51" xfId="17108"/>
    <cellStyle name="40% - Accent3 10 3 52" xfId="17109"/>
    <cellStyle name="40% - Accent3 10 3 53" xfId="17110"/>
    <cellStyle name="40% - Accent3 10 3 54" xfId="17111"/>
    <cellStyle name="40% - Accent3 10 3 55" xfId="17112"/>
    <cellStyle name="40% - Accent3 10 3 6" xfId="17113"/>
    <cellStyle name="40% - Accent3 10 3 7" xfId="17114"/>
    <cellStyle name="40% - Accent3 10 3 8" xfId="17115"/>
    <cellStyle name="40% - Accent3 10 3 9" xfId="17116"/>
    <cellStyle name="40% - Accent3 11" xfId="17117"/>
    <cellStyle name="40% - Accent3 11 2" xfId="17118"/>
    <cellStyle name="40% - Accent3 11 2 10" xfId="17119"/>
    <cellStyle name="40% - Accent3 11 2 11" xfId="17120"/>
    <cellStyle name="40% - Accent3 11 2 12" xfId="17121"/>
    <cellStyle name="40% - Accent3 11 2 13" xfId="17122"/>
    <cellStyle name="40% - Accent3 11 2 14" xfId="17123"/>
    <cellStyle name="40% - Accent3 11 2 15" xfId="17124"/>
    <cellStyle name="40% - Accent3 11 2 16" xfId="17125"/>
    <cellStyle name="40% - Accent3 11 2 17" xfId="17126"/>
    <cellStyle name="40% - Accent3 11 2 18" xfId="17127"/>
    <cellStyle name="40% - Accent3 11 2 19" xfId="17128"/>
    <cellStyle name="40% - Accent3 11 2 2" xfId="17129"/>
    <cellStyle name="40% - Accent3 11 2 2 2" xfId="17130"/>
    <cellStyle name="40% - Accent3 11 2 20" xfId="17131"/>
    <cellStyle name="40% - Accent3 11 2 21" xfId="17132"/>
    <cellStyle name="40% - Accent3 11 2 22" xfId="17133"/>
    <cellStyle name="40% - Accent3 11 2 23" xfId="17134"/>
    <cellStyle name="40% - Accent3 11 2 24" xfId="17135"/>
    <cellStyle name="40% - Accent3 11 2 25" xfId="17136"/>
    <cellStyle name="40% - Accent3 11 2 26" xfId="17137"/>
    <cellStyle name="40% - Accent3 11 2 27" xfId="17138"/>
    <cellStyle name="40% - Accent3 11 2 28" xfId="17139"/>
    <cellStyle name="40% - Accent3 11 2 29" xfId="17140"/>
    <cellStyle name="40% - Accent3 11 2 3" xfId="17141"/>
    <cellStyle name="40% - Accent3 11 2 30" xfId="17142"/>
    <cellStyle name="40% - Accent3 11 2 31" xfId="17143"/>
    <cellStyle name="40% - Accent3 11 2 32" xfId="17144"/>
    <cellStyle name="40% - Accent3 11 2 33" xfId="17145"/>
    <cellStyle name="40% - Accent3 11 2 34" xfId="17146"/>
    <cellStyle name="40% - Accent3 11 2 35" xfId="17147"/>
    <cellStyle name="40% - Accent3 11 2 36" xfId="17148"/>
    <cellStyle name="40% - Accent3 11 2 37" xfId="17149"/>
    <cellStyle name="40% - Accent3 11 2 38" xfId="17150"/>
    <cellStyle name="40% - Accent3 11 2 39" xfId="17151"/>
    <cellStyle name="40% - Accent3 11 2 4" xfId="17152"/>
    <cellStyle name="40% - Accent3 11 2 40" xfId="17153"/>
    <cellStyle name="40% - Accent3 11 2 41" xfId="17154"/>
    <cellStyle name="40% - Accent3 11 2 42" xfId="17155"/>
    <cellStyle name="40% - Accent3 11 2 43" xfId="17156"/>
    <cellStyle name="40% - Accent3 11 2 44" xfId="17157"/>
    <cellStyle name="40% - Accent3 11 2 45" xfId="17158"/>
    <cellStyle name="40% - Accent3 11 2 46" xfId="17159"/>
    <cellStyle name="40% - Accent3 11 2 47" xfId="17160"/>
    <cellStyle name="40% - Accent3 11 2 48" xfId="17161"/>
    <cellStyle name="40% - Accent3 11 2 49" xfId="17162"/>
    <cellStyle name="40% - Accent3 11 2 5" xfId="17163"/>
    <cellStyle name="40% - Accent3 11 2 50" xfId="17164"/>
    <cellStyle name="40% - Accent3 11 2 51" xfId="17165"/>
    <cellStyle name="40% - Accent3 11 2 52" xfId="17166"/>
    <cellStyle name="40% - Accent3 11 2 53" xfId="17167"/>
    <cellStyle name="40% - Accent3 11 2 54" xfId="17168"/>
    <cellStyle name="40% - Accent3 11 2 55" xfId="17169"/>
    <cellStyle name="40% - Accent3 11 2 6" xfId="17170"/>
    <cellStyle name="40% - Accent3 11 2 7" xfId="17171"/>
    <cellStyle name="40% - Accent3 11 2 8" xfId="17172"/>
    <cellStyle name="40% - Accent3 11 2 9" xfId="17173"/>
    <cellStyle name="40% - Accent3 11 3" xfId="17174"/>
    <cellStyle name="40% - Accent3 11 3 10" xfId="17175"/>
    <cellStyle name="40% - Accent3 11 3 11" xfId="17176"/>
    <cellStyle name="40% - Accent3 11 3 12" xfId="17177"/>
    <cellStyle name="40% - Accent3 11 3 13" xfId="17178"/>
    <cellStyle name="40% - Accent3 11 3 14" xfId="17179"/>
    <cellStyle name="40% - Accent3 11 3 15" xfId="17180"/>
    <cellStyle name="40% - Accent3 11 3 16" xfId="17181"/>
    <cellStyle name="40% - Accent3 11 3 17" xfId="17182"/>
    <cellStyle name="40% - Accent3 11 3 18" xfId="17183"/>
    <cellStyle name="40% - Accent3 11 3 19" xfId="17184"/>
    <cellStyle name="40% - Accent3 11 3 2" xfId="17185"/>
    <cellStyle name="40% - Accent3 11 3 2 2" xfId="17186"/>
    <cellStyle name="40% - Accent3 11 3 20" xfId="17187"/>
    <cellStyle name="40% - Accent3 11 3 21" xfId="17188"/>
    <cellStyle name="40% - Accent3 11 3 22" xfId="17189"/>
    <cellStyle name="40% - Accent3 11 3 23" xfId="17190"/>
    <cellStyle name="40% - Accent3 11 3 24" xfId="17191"/>
    <cellStyle name="40% - Accent3 11 3 25" xfId="17192"/>
    <cellStyle name="40% - Accent3 11 3 26" xfId="17193"/>
    <cellStyle name="40% - Accent3 11 3 27" xfId="17194"/>
    <cellStyle name="40% - Accent3 11 3 28" xfId="17195"/>
    <cellStyle name="40% - Accent3 11 3 29" xfId="17196"/>
    <cellStyle name="40% - Accent3 11 3 3" xfId="17197"/>
    <cellStyle name="40% - Accent3 11 3 30" xfId="17198"/>
    <cellStyle name="40% - Accent3 11 3 31" xfId="17199"/>
    <cellStyle name="40% - Accent3 11 3 32" xfId="17200"/>
    <cellStyle name="40% - Accent3 11 3 33" xfId="17201"/>
    <cellStyle name="40% - Accent3 11 3 34" xfId="17202"/>
    <cellStyle name="40% - Accent3 11 3 35" xfId="17203"/>
    <cellStyle name="40% - Accent3 11 3 36" xfId="17204"/>
    <cellStyle name="40% - Accent3 11 3 37" xfId="17205"/>
    <cellStyle name="40% - Accent3 11 3 38" xfId="17206"/>
    <cellStyle name="40% - Accent3 11 3 39" xfId="17207"/>
    <cellStyle name="40% - Accent3 11 3 4" xfId="17208"/>
    <cellStyle name="40% - Accent3 11 3 40" xfId="17209"/>
    <cellStyle name="40% - Accent3 11 3 41" xfId="17210"/>
    <cellStyle name="40% - Accent3 11 3 42" xfId="17211"/>
    <cellStyle name="40% - Accent3 11 3 43" xfId="17212"/>
    <cellStyle name="40% - Accent3 11 3 44" xfId="17213"/>
    <cellStyle name="40% - Accent3 11 3 45" xfId="17214"/>
    <cellStyle name="40% - Accent3 11 3 46" xfId="17215"/>
    <cellStyle name="40% - Accent3 11 3 47" xfId="17216"/>
    <cellStyle name="40% - Accent3 11 3 48" xfId="17217"/>
    <cellStyle name="40% - Accent3 11 3 49" xfId="17218"/>
    <cellStyle name="40% - Accent3 11 3 5" xfId="17219"/>
    <cellStyle name="40% - Accent3 11 3 50" xfId="17220"/>
    <cellStyle name="40% - Accent3 11 3 51" xfId="17221"/>
    <cellStyle name="40% - Accent3 11 3 52" xfId="17222"/>
    <cellStyle name="40% - Accent3 11 3 53" xfId="17223"/>
    <cellStyle name="40% - Accent3 11 3 54" xfId="17224"/>
    <cellStyle name="40% - Accent3 11 3 55" xfId="17225"/>
    <cellStyle name="40% - Accent3 11 3 6" xfId="17226"/>
    <cellStyle name="40% - Accent3 11 3 7" xfId="17227"/>
    <cellStyle name="40% - Accent3 11 3 8" xfId="17228"/>
    <cellStyle name="40% - Accent3 11 3 9" xfId="17229"/>
    <cellStyle name="40% - Accent3 12" xfId="17230"/>
    <cellStyle name="40% - Accent3 12 2" xfId="17231"/>
    <cellStyle name="40% - Accent3 12 2 10" xfId="17232"/>
    <cellStyle name="40% - Accent3 12 2 11" xfId="17233"/>
    <cellStyle name="40% - Accent3 12 2 12" xfId="17234"/>
    <cellStyle name="40% - Accent3 12 2 13" xfId="17235"/>
    <cellStyle name="40% - Accent3 12 2 14" xfId="17236"/>
    <cellStyle name="40% - Accent3 12 2 15" xfId="17237"/>
    <cellStyle name="40% - Accent3 12 2 16" xfId="17238"/>
    <cellStyle name="40% - Accent3 12 2 17" xfId="17239"/>
    <cellStyle name="40% - Accent3 12 2 18" xfId="17240"/>
    <cellStyle name="40% - Accent3 12 2 19" xfId="17241"/>
    <cellStyle name="40% - Accent3 12 2 2" xfId="17242"/>
    <cellStyle name="40% - Accent3 12 2 2 2" xfId="17243"/>
    <cellStyle name="40% - Accent3 12 2 20" xfId="17244"/>
    <cellStyle name="40% - Accent3 12 2 21" xfId="17245"/>
    <cellStyle name="40% - Accent3 12 2 22" xfId="17246"/>
    <cellStyle name="40% - Accent3 12 2 23" xfId="17247"/>
    <cellStyle name="40% - Accent3 12 2 24" xfId="17248"/>
    <cellStyle name="40% - Accent3 12 2 25" xfId="17249"/>
    <cellStyle name="40% - Accent3 12 2 26" xfId="17250"/>
    <cellStyle name="40% - Accent3 12 2 27" xfId="17251"/>
    <cellStyle name="40% - Accent3 12 2 28" xfId="17252"/>
    <cellStyle name="40% - Accent3 12 2 29" xfId="17253"/>
    <cellStyle name="40% - Accent3 12 2 3" xfId="17254"/>
    <cellStyle name="40% - Accent3 12 2 30" xfId="17255"/>
    <cellStyle name="40% - Accent3 12 2 31" xfId="17256"/>
    <cellStyle name="40% - Accent3 12 2 32" xfId="17257"/>
    <cellStyle name="40% - Accent3 12 2 33" xfId="17258"/>
    <cellStyle name="40% - Accent3 12 2 34" xfId="17259"/>
    <cellStyle name="40% - Accent3 12 2 35" xfId="17260"/>
    <cellStyle name="40% - Accent3 12 2 36" xfId="17261"/>
    <cellStyle name="40% - Accent3 12 2 37" xfId="17262"/>
    <cellStyle name="40% - Accent3 12 2 38" xfId="17263"/>
    <cellStyle name="40% - Accent3 12 2 39" xfId="17264"/>
    <cellStyle name="40% - Accent3 12 2 4" xfId="17265"/>
    <cellStyle name="40% - Accent3 12 2 40" xfId="17266"/>
    <cellStyle name="40% - Accent3 12 2 41" xfId="17267"/>
    <cellStyle name="40% - Accent3 12 2 42" xfId="17268"/>
    <cellStyle name="40% - Accent3 12 2 43" xfId="17269"/>
    <cellStyle name="40% - Accent3 12 2 44" xfId="17270"/>
    <cellStyle name="40% - Accent3 12 2 45" xfId="17271"/>
    <cellStyle name="40% - Accent3 12 2 46" xfId="17272"/>
    <cellStyle name="40% - Accent3 12 2 47" xfId="17273"/>
    <cellStyle name="40% - Accent3 12 2 48" xfId="17274"/>
    <cellStyle name="40% - Accent3 12 2 49" xfId="17275"/>
    <cellStyle name="40% - Accent3 12 2 5" xfId="17276"/>
    <cellStyle name="40% - Accent3 12 2 50" xfId="17277"/>
    <cellStyle name="40% - Accent3 12 2 51" xfId="17278"/>
    <cellStyle name="40% - Accent3 12 2 52" xfId="17279"/>
    <cellStyle name="40% - Accent3 12 2 53" xfId="17280"/>
    <cellStyle name="40% - Accent3 12 2 54" xfId="17281"/>
    <cellStyle name="40% - Accent3 12 2 55" xfId="17282"/>
    <cellStyle name="40% - Accent3 12 2 6" xfId="17283"/>
    <cellStyle name="40% - Accent3 12 2 7" xfId="17284"/>
    <cellStyle name="40% - Accent3 12 2 8" xfId="17285"/>
    <cellStyle name="40% - Accent3 12 2 9" xfId="17286"/>
    <cellStyle name="40% - Accent3 12 3" xfId="17287"/>
    <cellStyle name="40% - Accent3 12 3 10" xfId="17288"/>
    <cellStyle name="40% - Accent3 12 3 11" xfId="17289"/>
    <cellStyle name="40% - Accent3 12 3 12" xfId="17290"/>
    <cellStyle name="40% - Accent3 12 3 13" xfId="17291"/>
    <cellStyle name="40% - Accent3 12 3 14" xfId="17292"/>
    <cellStyle name="40% - Accent3 12 3 15" xfId="17293"/>
    <cellStyle name="40% - Accent3 12 3 16" xfId="17294"/>
    <cellStyle name="40% - Accent3 12 3 17" xfId="17295"/>
    <cellStyle name="40% - Accent3 12 3 18" xfId="17296"/>
    <cellStyle name="40% - Accent3 12 3 19" xfId="17297"/>
    <cellStyle name="40% - Accent3 12 3 2" xfId="17298"/>
    <cellStyle name="40% - Accent3 12 3 2 2" xfId="17299"/>
    <cellStyle name="40% - Accent3 12 3 20" xfId="17300"/>
    <cellStyle name="40% - Accent3 12 3 21" xfId="17301"/>
    <cellStyle name="40% - Accent3 12 3 22" xfId="17302"/>
    <cellStyle name="40% - Accent3 12 3 23" xfId="17303"/>
    <cellStyle name="40% - Accent3 12 3 24" xfId="17304"/>
    <cellStyle name="40% - Accent3 12 3 25" xfId="17305"/>
    <cellStyle name="40% - Accent3 12 3 26" xfId="17306"/>
    <cellStyle name="40% - Accent3 12 3 27" xfId="17307"/>
    <cellStyle name="40% - Accent3 12 3 28" xfId="17308"/>
    <cellStyle name="40% - Accent3 12 3 29" xfId="17309"/>
    <cellStyle name="40% - Accent3 12 3 3" xfId="17310"/>
    <cellStyle name="40% - Accent3 12 3 30" xfId="17311"/>
    <cellStyle name="40% - Accent3 12 3 31" xfId="17312"/>
    <cellStyle name="40% - Accent3 12 3 32" xfId="17313"/>
    <cellStyle name="40% - Accent3 12 3 33" xfId="17314"/>
    <cellStyle name="40% - Accent3 12 3 34" xfId="17315"/>
    <cellStyle name="40% - Accent3 12 3 35" xfId="17316"/>
    <cellStyle name="40% - Accent3 12 3 36" xfId="17317"/>
    <cellStyle name="40% - Accent3 12 3 37" xfId="17318"/>
    <cellStyle name="40% - Accent3 12 3 38" xfId="17319"/>
    <cellStyle name="40% - Accent3 12 3 39" xfId="17320"/>
    <cellStyle name="40% - Accent3 12 3 4" xfId="17321"/>
    <cellStyle name="40% - Accent3 12 3 40" xfId="17322"/>
    <cellStyle name="40% - Accent3 12 3 41" xfId="17323"/>
    <cellStyle name="40% - Accent3 12 3 42" xfId="17324"/>
    <cellStyle name="40% - Accent3 12 3 43" xfId="17325"/>
    <cellStyle name="40% - Accent3 12 3 44" xfId="17326"/>
    <cellStyle name="40% - Accent3 12 3 45" xfId="17327"/>
    <cellStyle name="40% - Accent3 12 3 46" xfId="17328"/>
    <cellStyle name="40% - Accent3 12 3 47" xfId="17329"/>
    <cellStyle name="40% - Accent3 12 3 48" xfId="17330"/>
    <cellStyle name="40% - Accent3 12 3 49" xfId="17331"/>
    <cellStyle name="40% - Accent3 12 3 5" xfId="17332"/>
    <cellStyle name="40% - Accent3 12 3 50" xfId="17333"/>
    <cellStyle name="40% - Accent3 12 3 51" xfId="17334"/>
    <cellStyle name="40% - Accent3 12 3 52" xfId="17335"/>
    <cellStyle name="40% - Accent3 12 3 53" xfId="17336"/>
    <cellStyle name="40% - Accent3 12 3 54" xfId="17337"/>
    <cellStyle name="40% - Accent3 12 3 55" xfId="17338"/>
    <cellStyle name="40% - Accent3 12 3 6" xfId="17339"/>
    <cellStyle name="40% - Accent3 12 3 7" xfId="17340"/>
    <cellStyle name="40% - Accent3 12 3 8" xfId="17341"/>
    <cellStyle name="40% - Accent3 12 3 9" xfId="17342"/>
    <cellStyle name="40% - Accent3 13" xfId="17343"/>
    <cellStyle name="40% - Accent3 13 2" xfId="17344"/>
    <cellStyle name="40% - Accent3 13 2 10" xfId="17345"/>
    <cellStyle name="40% - Accent3 13 2 11" xfId="17346"/>
    <cellStyle name="40% - Accent3 13 2 12" xfId="17347"/>
    <cellStyle name="40% - Accent3 13 2 13" xfId="17348"/>
    <cellStyle name="40% - Accent3 13 2 14" xfId="17349"/>
    <cellStyle name="40% - Accent3 13 2 15" xfId="17350"/>
    <cellStyle name="40% - Accent3 13 2 16" xfId="17351"/>
    <cellStyle name="40% - Accent3 13 2 17" xfId="17352"/>
    <cellStyle name="40% - Accent3 13 2 18" xfId="17353"/>
    <cellStyle name="40% - Accent3 13 2 19" xfId="17354"/>
    <cellStyle name="40% - Accent3 13 2 2" xfId="17355"/>
    <cellStyle name="40% - Accent3 13 2 2 2" xfId="17356"/>
    <cellStyle name="40% - Accent3 13 2 20" xfId="17357"/>
    <cellStyle name="40% - Accent3 13 2 21" xfId="17358"/>
    <cellStyle name="40% - Accent3 13 2 22" xfId="17359"/>
    <cellStyle name="40% - Accent3 13 2 23" xfId="17360"/>
    <cellStyle name="40% - Accent3 13 2 24" xfId="17361"/>
    <cellStyle name="40% - Accent3 13 2 25" xfId="17362"/>
    <cellStyle name="40% - Accent3 13 2 26" xfId="17363"/>
    <cellStyle name="40% - Accent3 13 2 27" xfId="17364"/>
    <cellStyle name="40% - Accent3 13 2 28" xfId="17365"/>
    <cellStyle name="40% - Accent3 13 2 29" xfId="17366"/>
    <cellStyle name="40% - Accent3 13 2 3" xfId="17367"/>
    <cellStyle name="40% - Accent3 13 2 30" xfId="17368"/>
    <cellStyle name="40% - Accent3 13 2 31" xfId="17369"/>
    <cellStyle name="40% - Accent3 13 2 32" xfId="17370"/>
    <cellStyle name="40% - Accent3 13 2 33" xfId="17371"/>
    <cellStyle name="40% - Accent3 13 2 34" xfId="17372"/>
    <cellStyle name="40% - Accent3 13 2 35" xfId="17373"/>
    <cellStyle name="40% - Accent3 13 2 36" xfId="17374"/>
    <cellStyle name="40% - Accent3 13 2 37" xfId="17375"/>
    <cellStyle name="40% - Accent3 13 2 38" xfId="17376"/>
    <cellStyle name="40% - Accent3 13 2 39" xfId="17377"/>
    <cellStyle name="40% - Accent3 13 2 4" xfId="17378"/>
    <cellStyle name="40% - Accent3 13 2 40" xfId="17379"/>
    <cellStyle name="40% - Accent3 13 2 41" xfId="17380"/>
    <cellStyle name="40% - Accent3 13 2 42" xfId="17381"/>
    <cellStyle name="40% - Accent3 13 2 43" xfId="17382"/>
    <cellStyle name="40% - Accent3 13 2 44" xfId="17383"/>
    <cellStyle name="40% - Accent3 13 2 45" xfId="17384"/>
    <cellStyle name="40% - Accent3 13 2 46" xfId="17385"/>
    <cellStyle name="40% - Accent3 13 2 47" xfId="17386"/>
    <cellStyle name="40% - Accent3 13 2 48" xfId="17387"/>
    <cellStyle name="40% - Accent3 13 2 49" xfId="17388"/>
    <cellStyle name="40% - Accent3 13 2 5" xfId="17389"/>
    <cellStyle name="40% - Accent3 13 2 50" xfId="17390"/>
    <cellStyle name="40% - Accent3 13 2 51" xfId="17391"/>
    <cellStyle name="40% - Accent3 13 2 52" xfId="17392"/>
    <cellStyle name="40% - Accent3 13 2 53" xfId="17393"/>
    <cellStyle name="40% - Accent3 13 2 54" xfId="17394"/>
    <cellStyle name="40% - Accent3 13 2 55" xfId="17395"/>
    <cellStyle name="40% - Accent3 13 2 6" xfId="17396"/>
    <cellStyle name="40% - Accent3 13 2 7" xfId="17397"/>
    <cellStyle name="40% - Accent3 13 2 8" xfId="17398"/>
    <cellStyle name="40% - Accent3 13 2 9" xfId="17399"/>
    <cellStyle name="40% - Accent3 13 3" xfId="17400"/>
    <cellStyle name="40% - Accent3 13 3 10" xfId="17401"/>
    <cellStyle name="40% - Accent3 13 3 11" xfId="17402"/>
    <cellStyle name="40% - Accent3 13 3 12" xfId="17403"/>
    <cellStyle name="40% - Accent3 13 3 13" xfId="17404"/>
    <cellStyle name="40% - Accent3 13 3 14" xfId="17405"/>
    <cellStyle name="40% - Accent3 13 3 15" xfId="17406"/>
    <cellStyle name="40% - Accent3 13 3 16" xfId="17407"/>
    <cellStyle name="40% - Accent3 13 3 17" xfId="17408"/>
    <cellStyle name="40% - Accent3 13 3 18" xfId="17409"/>
    <cellStyle name="40% - Accent3 13 3 19" xfId="17410"/>
    <cellStyle name="40% - Accent3 13 3 2" xfId="17411"/>
    <cellStyle name="40% - Accent3 13 3 2 2" xfId="17412"/>
    <cellStyle name="40% - Accent3 13 3 20" xfId="17413"/>
    <cellStyle name="40% - Accent3 13 3 21" xfId="17414"/>
    <cellStyle name="40% - Accent3 13 3 22" xfId="17415"/>
    <cellStyle name="40% - Accent3 13 3 23" xfId="17416"/>
    <cellStyle name="40% - Accent3 13 3 24" xfId="17417"/>
    <cellStyle name="40% - Accent3 13 3 25" xfId="17418"/>
    <cellStyle name="40% - Accent3 13 3 26" xfId="17419"/>
    <cellStyle name="40% - Accent3 13 3 27" xfId="17420"/>
    <cellStyle name="40% - Accent3 13 3 28" xfId="17421"/>
    <cellStyle name="40% - Accent3 13 3 29" xfId="17422"/>
    <cellStyle name="40% - Accent3 13 3 3" xfId="17423"/>
    <cellStyle name="40% - Accent3 13 3 30" xfId="17424"/>
    <cellStyle name="40% - Accent3 13 3 31" xfId="17425"/>
    <cellStyle name="40% - Accent3 13 3 32" xfId="17426"/>
    <cellStyle name="40% - Accent3 13 3 33" xfId="17427"/>
    <cellStyle name="40% - Accent3 13 3 34" xfId="17428"/>
    <cellStyle name="40% - Accent3 13 3 35" xfId="17429"/>
    <cellStyle name="40% - Accent3 13 3 36" xfId="17430"/>
    <cellStyle name="40% - Accent3 13 3 37" xfId="17431"/>
    <cellStyle name="40% - Accent3 13 3 38" xfId="17432"/>
    <cellStyle name="40% - Accent3 13 3 39" xfId="17433"/>
    <cellStyle name="40% - Accent3 13 3 4" xfId="17434"/>
    <cellStyle name="40% - Accent3 13 3 40" xfId="17435"/>
    <cellStyle name="40% - Accent3 13 3 41" xfId="17436"/>
    <cellStyle name="40% - Accent3 13 3 42" xfId="17437"/>
    <cellStyle name="40% - Accent3 13 3 43" xfId="17438"/>
    <cellStyle name="40% - Accent3 13 3 44" xfId="17439"/>
    <cellStyle name="40% - Accent3 13 3 45" xfId="17440"/>
    <cellStyle name="40% - Accent3 13 3 46" xfId="17441"/>
    <cellStyle name="40% - Accent3 13 3 47" xfId="17442"/>
    <cellStyle name="40% - Accent3 13 3 48" xfId="17443"/>
    <cellStyle name="40% - Accent3 13 3 49" xfId="17444"/>
    <cellStyle name="40% - Accent3 13 3 5" xfId="17445"/>
    <cellStyle name="40% - Accent3 13 3 50" xfId="17446"/>
    <cellStyle name="40% - Accent3 13 3 51" xfId="17447"/>
    <cellStyle name="40% - Accent3 13 3 52" xfId="17448"/>
    <cellStyle name="40% - Accent3 13 3 53" xfId="17449"/>
    <cellStyle name="40% - Accent3 13 3 54" xfId="17450"/>
    <cellStyle name="40% - Accent3 13 3 55" xfId="17451"/>
    <cellStyle name="40% - Accent3 13 3 6" xfId="17452"/>
    <cellStyle name="40% - Accent3 13 3 7" xfId="17453"/>
    <cellStyle name="40% - Accent3 13 3 8" xfId="17454"/>
    <cellStyle name="40% - Accent3 13 3 9" xfId="17455"/>
    <cellStyle name="40% - Accent3 14" xfId="17456"/>
    <cellStyle name="40% - Accent3 14 2" xfId="17457"/>
    <cellStyle name="40% - Accent3 14 2 10" xfId="17458"/>
    <cellStyle name="40% - Accent3 14 2 11" xfId="17459"/>
    <cellStyle name="40% - Accent3 14 2 12" xfId="17460"/>
    <cellStyle name="40% - Accent3 14 2 13" xfId="17461"/>
    <cellStyle name="40% - Accent3 14 2 14" xfId="17462"/>
    <cellStyle name="40% - Accent3 14 2 15" xfId="17463"/>
    <cellStyle name="40% - Accent3 14 2 16" xfId="17464"/>
    <cellStyle name="40% - Accent3 14 2 17" xfId="17465"/>
    <cellStyle name="40% - Accent3 14 2 18" xfId="17466"/>
    <cellStyle name="40% - Accent3 14 2 19" xfId="17467"/>
    <cellStyle name="40% - Accent3 14 2 2" xfId="17468"/>
    <cellStyle name="40% - Accent3 14 2 2 2" xfId="17469"/>
    <cellStyle name="40% - Accent3 14 2 20" xfId="17470"/>
    <cellStyle name="40% - Accent3 14 2 21" xfId="17471"/>
    <cellStyle name="40% - Accent3 14 2 22" xfId="17472"/>
    <cellStyle name="40% - Accent3 14 2 23" xfId="17473"/>
    <cellStyle name="40% - Accent3 14 2 24" xfId="17474"/>
    <cellStyle name="40% - Accent3 14 2 25" xfId="17475"/>
    <cellStyle name="40% - Accent3 14 2 26" xfId="17476"/>
    <cellStyle name="40% - Accent3 14 2 27" xfId="17477"/>
    <cellStyle name="40% - Accent3 14 2 28" xfId="17478"/>
    <cellStyle name="40% - Accent3 14 2 29" xfId="17479"/>
    <cellStyle name="40% - Accent3 14 2 3" xfId="17480"/>
    <cellStyle name="40% - Accent3 14 2 30" xfId="17481"/>
    <cellStyle name="40% - Accent3 14 2 31" xfId="17482"/>
    <cellStyle name="40% - Accent3 14 2 32" xfId="17483"/>
    <cellStyle name="40% - Accent3 14 2 33" xfId="17484"/>
    <cellStyle name="40% - Accent3 14 2 34" xfId="17485"/>
    <cellStyle name="40% - Accent3 14 2 35" xfId="17486"/>
    <cellStyle name="40% - Accent3 14 2 36" xfId="17487"/>
    <cellStyle name="40% - Accent3 14 2 37" xfId="17488"/>
    <cellStyle name="40% - Accent3 14 2 38" xfId="17489"/>
    <cellStyle name="40% - Accent3 14 2 39" xfId="17490"/>
    <cellStyle name="40% - Accent3 14 2 4" xfId="17491"/>
    <cellStyle name="40% - Accent3 14 2 40" xfId="17492"/>
    <cellStyle name="40% - Accent3 14 2 41" xfId="17493"/>
    <cellStyle name="40% - Accent3 14 2 42" xfId="17494"/>
    <cellStyle name="40% - Accent3 14 2 43" xfId="17495"/>
    <cellStyle name="40% - Accent3 14 2 44" xfId="17496"/>
    <cellStyle name="40% - Accent3 14 2 45" xfId="17497"/>
    <cellStyle name="40% - Accent3 14 2 46" xfId="17498"/>
    <cellStyle name="40% - Accent3 14 2 47" xfId="17499"/>
    <cellStyle name="40% - Accent3 14 2 48" xfId="17500"/>
    <cellStyle name="40% - Accent3 14 2 49" xfId="17501"/>
    <cellStyle name="40% - Accent3 14 2 5" xfId="17502"/>
    <cellStyle name="40% - Accent3 14 2 50" xfId="17503"/>
    <cellStyle name="40% - Accent3 14 2 51" xfId="17504"/>
    <cellStyle name="40% - Accent3 14 2 52" xfId="17505"/>
    <cellStyle name="40% - Accent3 14 2 53" xfId="17506"/>
    <cellStyle name="40% - Accent3 14 2 54" xfId="17507"/>
    <cellStyle name="40% - Accent3 14 2 55" xfId="17508"/>
    <cellStyle name="40% - Accent3 14 2 6" xfId="17509"/>
    <cellStyle name="40% - Accent3 14 2 7" xfId="17510"/>
    <cellStyle name="40% - Accent3 14 2 8" xfId="17511"/>
    <cellStyle name="40% - Accent3 14 2 9" xfId="17512"/>
    <cellStyle name="40% - Accent3 14 3" xfId="17513"/>
    <cellStyle name="40% - Accent3 14 3 10" xfId="17514"/>
    <cellStyle name="40% - Accent3 14 3 11" xfId="17515"/>
    <cellStyle name="40% - Accent3 14 3 12" xfId="17516"/>
    <cellStyle name="40% - Accent3 14 3 13" xfId="17517"/>
    <cellStyle name="40% - Accent3 14 3 14" xfId="17518"/>
    <cellStyle name="40% - Accent3 14 3 15" xfId="17519"/>
    <cellStyle name="40% - Accent3 14 3 16" xfId="17520"/>
    <cellStyle name="40% - Accent3 14 3 17" xfId="17521"/>
    <cellStyle name="40% - Accent3 14 3 18" xfId="17522"/>
    <cellStyle name="40% - Accent3 14 3 19" xfId="17523"/>
    <cellStyle name="40% - Accent3 14 3 2" xfId="17524"/>
    <cellStyle name="40% - Accent3 14 3 2 2" xfId="17525"/>
    <cellStyle name="40% - Accent3 14 3 20" xfId="17526"/>
    <cellStyle name="40% - Accent3 14 3 21" xfId="17527"/>
    <cellStyle name="40% - Accent3 14 3 22" xfId="17528"/>
    <cellStyle name="40% - Accent3 14 3 23" xfId="17529"/>
    <cellStyle name="40% - Accent3 14 3 24" xfId="17530"/>
    <cellStyle name="40% - Accent3 14 3 25" xfId="17531"/>
    <cellStyle name="40% - Accent3 14 3 26" xfId="17532"/>
    <cellStyle name="40% - Accent3 14 3 27" xfId="17533"/>
    <cellStyle name="40% - Accent3 14 3 28" xfId="17534"/>
    <cellStyle name="40% - Accent3 14 3 29" xfId="17535"/>
    <cellStyle name="40% - Accent3 14 3 3" xfId="17536"/>
    <cellStyle name="40% - Accent3 14 3 30" xfId="17537"/>
    <cellStyle name="40% - Accent3 14 3 31" xfId="17538"/>
    <cellStyle name="40% - Accent3 14 3 32" xfId="17539"/>
    <cellStyle name="40% - Accent3 14 3 33" xfId="17540"/>
    <cellStyle name="40% - Accent3 14 3 34" xfId="17541"/>
    <cellStyle name="40% - Accent3 14 3 35" xfId="17542"/>
    <cellStyle name="40% - Accent3 14 3 36" xfId="17543"/>
    <cellStyle name="40% - Accent3 14 3 37" xfId="17544"/>
    <cellStyle name="40% - Accent3 14 3 38" xfId="17545"/>
    <cellStyle name="40% - Accent3 14 3 39" xfId="17546"/>
    <cellStyle name="40% - Accent3 14 3 4" xfId="17547"/>
    <cellStyle name="40% - Accent3 14 3 40" xfId="17548"/>
    <cellStyle name="40% - Accent3 14 3 41" xfId="17549"/>
    <cellStyle name="40% - Accent3 14 3 42" xfId="17550"/>
    <cellStyle name="40% - Accent3 14 3 43" xfId="17551"/>
    <cellStyle name="40% - Accent3 14 3 44" xfId="17552"/>
    <cellStyle name="40% - Accent3 14 3 45" xfId="17553"/>
    <cellStyle name="40% - Accent3 14 3 46" xfId="17554"/>
    <cellStyle name="40% - Accent3 14 3 47" xfId="17555"/>
    <cellStyle name="40% - Accent3 14 3 48" xfId="17556"/>
    <cellStyle name="40% - Accent3 14 3 49" xfId="17557"/>
    <cellStyle name="40% - Accent3 14 3 5" xfId="17558"/>
    <cellStyle name="40% - Accent3 14 3 50" xfId="17559"/>
    <cellStyle name="40% - Accent3 14 3 51" xfId="17560"/>
    <cellStyle name="40% - Accent3 14 3 52" xfId="17561"/>
    <cellStyle name="40% - Accent3 14 3 53" xfId="17562"/>
    <cellStyle name="40% - Accent3 14 3 54" xfId="17563"/>
    <cellStyle name="40% - Accent3 14 3 55" xfId="17564"/>
    <cellStyle name="40% - Accent3 14 3 6" xfId="17565"/>
    <cellStyle name="40% - Accent3 14 3 7" xfId="17566"/>
    <cellStyle name="40% - Accent3 14 3 8" xfId="17567"/>
    <cellStyle name="40% - Accent3 14 3 9" xfId="17568"/>
    <cellStyle name="40% - Accent3 15" xfId="17569"/>
    <cellStyle name="40% - Accent3 15 2" xfId="17570"/>
    <cellStyle name="40% - Accent3 15 2 10" xfId="17571"/>
    <cellStyle name="40% - Accent3 15 2 11" xfId="17572"/>
    <cellStyle name="40% - Accent3 15 2 12" xfId="17573"/>
    <cellStyle name="40% - Accent3 15 2 13" xfId="17574"/>
    <cellStyle name="40% - Accent3 15 2 14" xfId="17575"/>
    <cellStyle name="40% - Accent3 15 2 15" xfId="17576"/>
    <cellStyle name="40% - Accent3 15 2 16" xfId="17577"/>
    <cellStyle name="40% - Accent3 15 2 17" xfId="17578"/>
    <cellStyle name="40% - Accent3 15 2 18" xfId="17579"/>
    <cellStyle name="40% - Accent3 15 2 19" xfId="17580"/>
    <cellStyle name="40% - Accent3 15 2 2" xfId="17581"/>
    <cellStyle name="40% - Accent3 15 2 2 2" xfId="17582"/>
    <cellStyle name="40% - Accent3 15 2 20" xfId="17583"/>
    <cellStyle name="40% - Accent3 15 2 21" xfId="17584"/>
    <cellStyle name="40% - Accent3 15 2 22" xfId="17585"/>
    <cellStyle name="40% - Accent3 15 2 23" xfId="17586"/>
    <cellStyle name="40% - Accent3 15 2 24" xfId="17587"/>
    <cellStyle name="40% - Accent3 15 2 25" xfId="17588"/>
    <cellStyle name="40% - Accent3 15 2 26" xfId="17589"/>
    <cellStyle name="40% - Accent3 15 2 27" xfId="17590"/>
    <cellStyle name="40% - Accent3 15 2 28" xfId="17591"/>
    <cellStyle name="40% - Accent3 15 2 29" xfId="17592"/>
    <cellStyle name="40% - Accent3 15 2 3" xfId="17593"/>
    <cellStyle name="40% - Accent3 15 2 30" xfId="17594"/>
    <cellStyle name="40% - Accent3 15 2 31" xfId="17595"/>
    <cellStyle name="40% - Accent3 15 2 32" xfId="17596"/>
    <cellStyle name="40% - Accent3 15 2 33" xfId="17597"/>
    <cellStyle name="40% - Accent3 15 2 34" xfId="17598"/>
    <cellStyle name="40% - Accent3 15 2 35" xfId="17599"/>
    <cellStyle name="40% - Accent3 15 2 36" xfId="17600"/>
    <cellStyle name="40% - Accent3 15 2 37" xfId="17601"/>
    <cellStyle name="40% - Accent3 15 2 38" xfId="17602"/>
    <cellStyle name="40% - Accent3 15 2 39" xfId="17603"/>
    <cellStyle name="40% - Accent3 15 2 4" xfId="17604"/>
    <cellStyle name="40% - Accent3 15 2 40" xfId="17605"/>
    <cellStyle name="40% - Accent3 15 2 41" xfId="17606"/>
    <cellStyle name="40% - Accent3 15 2 42" xfId="17607"/>
    <cellStyle name="40% - Accent3 15 2 43" xfId="17608"/>
    <cellStyle name="40% - Accent3 15 2 44" xfId="17609"/>
    <cellStyle name="40% - Accent3 15 2 45" xfId="17610"/>
    <cellStyle name="40% - Accent3 15 2 46" xfId="17611"/>
    <cellStyle name="40% - Accent3 15 2 47" xfId="17612"/>
    <cellStyle name="40% - Accent3 15 2 48" xfId="17613"/>
    <cellStyle name="40% - Accent3 15 2 49" xfId="17614"/>
    <cellStyle name="40% - Accent3 15 2 5" xfId="17615"/>
    <cellStyle name="40% - Accent3 15 2 50" xfId="17616"/>
    <cellStyle name="40% - Accent3 15 2 51" xfId="17617"/>
    <cellStyle name="40% - Accent3 15 2 52" xfId="17618"/>
    <cellStyle name="40% - Accent3 15 2 53" xfId="17619"/>
    <cellStyle name="40% - Accent3 15 2 54" xfId="17620"/>
    <cellStyle name="40% - Accent3 15 2 55" xfId="17621"/>
    <cellStyle name="40% - Accent3 15 2 6" xfId="17622"/>
    <cellStyle name="40% - Accent3 15 2 7" xfId="17623"/>
    <cellStyle name="40% - Accent3 15 2 8" xfId="17624"/>
    <cellStyle name="40% - Accent3 15 2 9" xfId="17625"/>
    <cellStyle name="40% - Accent3 15 3" xfId="17626"/>
    <cellStyle name="40% - Accent3 15 3 10" xfId="17627"/>
    <cellStyle name="40% - Accent3 15 3 11" xfId="17628"/>
    <cellStyle name="40% - Accent3 15 3 12" xfId="17629"/>
    <cellStyle name="40% - Accent3 15 3 13" xfId="17630"/>
    <cellStyle name="40% - Accent3 15 3 14" xfId="17631"/>
    <cellStyle name="40% - Accent3 15 3 15" xfId="17632"/>
    <cellStyle name="40% - Accent3 15 3 16" xfId="17633"/>
    <cellStyle name="40% - Accent3 15 3 17" xfId="17634"/>
    <cellStyle name="40% - Accent3 15 3 18" xfId="17635"/>
    <cellStyle name="40% - Accent3 15 3 19" xfId="17636"/>
    <cellStyle name="40% - Accent3 15 3 2" xfId="17637"/>
    <cellStyle name="40% - Accent3 15 3 2 2" xfId="17638"/>
    <cellStyle name="40% - Accent3 15 3 20" xfId="17639"/>
    <cellStyle name="40% - Accent3 15 3 21" xfId="17640"/>
    <cellStyle name="40% - Accent3 15 3 22" xfId="17641"/>
    <cellStyle name="40% - Accent3 15 3 23" xfId="17642"/>
    <cellStyle name="40% - Accent3 15 3 24" xfId="17643"/>
    <cellStyle name="40% - Accent3 15 3 25" xfId="17644"/>
    <cellStyle name="40% - Accent3 15 3 26" xfId="17645"/>
    <cellStyle name="40% - Accent3 15 3 27" xfId="17646"/>
    <cellStyle name="40% - Accent3 15 3 28" xfId="17647"/>
    <cellStyle name="40% - Accent3 15 3 29" xfId="17648"/>
    <cellStyle name="40% - Accent3 15 3 3" xfId="17649"/>
    <cellStyle name="40% - Accent3 15 3 30" xfId="17650"/>
    <cellStyle name="40% - Accent3 15 3 31" xfId="17651"/>
    <cellStyle name="40% - Accent3 15 3 32" xfId="17652"/>
    <cellStyle name="40% - Accent3 15 3 33" xfId="17653"/>
    <cellStyle name="40% - Accent3 15 3 34" xfId="17654"/>
    <cellStyle name="40% - Accent3 15 3 35" xfId="17655"/>
    <cellStyle name="40% - Accent3 15 3 36" xfId="17656"/>
    <cellStyle name="40% - Accent3 15 3 37" xfId="17657"/>
    <cellStyle name="40% - Accent3 15 3 38" xfId="17658"/>
    <cellStyle name="40% - Accent3 15 3 39" xfId="17659"/>
    <cellStyle name="40% - Accent3 15 3 4" xfId="17660"/>
    <cellStyle name="40% - Accent3 15 3 40" xfId="17661"/>
    <cellStyle name="40% - Accent3 15 3 41" xfId="17662"/>
    <cellStyle name="40% - Accent3 15 3 42" xfId="17663"/>
    <cellStyle name="40% - Accent3 15 3 43" xfId="17664"/>
    <cellStyle name="40% - Accent3 15 3 44" xfId="17665"/>
    <cellStyle name="40% - Accent3 15 3 45" xfId="17666"/>
    <cellStyle name="40% - Accent3 15 3 46" xfId="17667"/>
    <cellStyle name="40% - Accent3 15 3 47" xfId="17668"/>
    <cellStyle name="40% - Accent3 15 3 48" xfId="17669"/>
    <cellStyle name="40% - Accent3 15 3 49" xfId="17670"/>
    <cellStyle name="40% - Accent3 15 3 5" xfId="17671"/>
    <cellStyle name="40% - Accent3 15 3 50" xfId="17672"/>
    <cellStyle name="40% - Accent3 15 3 51" xfId="17673"/>
    <cellStyle name="40% - Accent3 15 3 52" xfId="17674"/>
    <cellStyle name="40% - Accent3 15 3 53" xfId="17675"/>
    <cellStyle name="40% - Accent3 15 3 54" xfId="17676"/>
    <cellStyle name="40% - Accent3 15 3 55" xfId="17677"/>
    <cellStyle name="40% - Accent3 15 3 6" xfId="17678"/>
    <cellStyle name="40% - Accent3 15 3 7" xfId="17679"/>
    <cellStyle name="40% - Accent3 15 3 8" xfId="17680"/>
    <cellStyle name="40% - Accent3 15 3 9" xfId="17681"/>
    <cellStyle name="40% - Accent3 16" xfId="17682"/>
    <cellStyle name="40% - Accent3 16 2" xfId="17683"/>
    <cellStyle name="40% - Accent3 16 2 10" xfId="17684"/>
    <cellStyle name="40% - Accent3 16 2 11" xfId="17685"/>
    <cellStyle name="40% - Accent3 16 2 12" xfId="17686"/>
    <cellStyle name="40% - Accent3 16 2 13" xfId="17687"/>
    <cellStyle name="40% - Accent3 16 2 14" xfId="17688"/>
    <cellStyle name="40% - Accent3 16 2 15" xfId="17689"/>
    <cellStyle name="40% - Accent3 16 2 16" xfId="17690"/>
    <cellStyle name="40% - Accent3 16 2 17" xfId="17691"/>
    <cellStyle name="40% - Accent3 16 2 18" xfId="17692"/>
    <cellStyle name="40% - Accent3 16 2 19" xfId="17693"/>
    <cellStyle name="40% - Accent3 16 2 2" xfId="17694"/>
    <cellStyle name="40% - Accent3 16 2 2 2" xfId="17695"/>
    <cellStyle name="40% - Accent3 16 2 20" xfId="17696"/>
    <cellStyle name="40% - Accent3 16 2 21" xfId="17697"/>
    <cellStyle name="40% - Accent3 16 2 22" xfId="17698"/>
    <cellStyle name="40% - Accent3 16 2 23" xfId="17699"/>
    <cellStyle name="40% - Accent3 16 2 24" xfId="17700"/>
    <cellStyle name="40% - Accent3 16 2 25" xfId="17701"/>
    <cellStyle name="40% - Accent3 16 2 26" xfId="17702"/>
    <cellStyle name="40% - Accent3 16 2 27" xfId="17703"/>
    <cellStyle name="40% - Accent3 16 2 28" xfId="17704"/>
    <cellStyle name="40% - Accent3 16 2 29" xfId="17705"/>
    <cellStyle name="40% - Accent3 16 2 3" xfId="17706"/>
    <cellStyle name="40% - Accent3 16 2 30" xfId="17707"/>
    <cellStyle name="40% - Accent3 16 2 31" xfId="17708"/>
    <cellStyle name="40% - Accent3 16 2 32" xfId="17709"/>
    <cellStyle name="40% - Accent3 16 2 33" xfId="17710"/>
    <cellStyle name="40% - Accent3 16 2 34" xfId="17711"/>
    <cellStyle name="40% - Accent3 16 2 35" xfId="17712"/>
    <cellStyle name="40% - Accent3 16 2 36" xfId="17713"/>
    <cellStyle name="40% - Accent3 16 2 37" xfId="17714"/>
    <cellStyle name="40% - Accent3 16 2 38" xfId="17715"/>
    <cellStyle name="40% - Accent3 16 2 39" xfId="17716"/>
    <cellStyle name="40% - Accent3 16 2 4" xfId="17717"/>
    <cellStyle name="40% - Accent3 16 2 40" xfId="17718"/>
    <cellStyle name="40% - Accent3 16 2 41" xfId="17719"/>
    <cellStyle name="40% - Accent3 16 2 42" xfId="17720"/>
    <cellStyle name="40% - Accent3 16 2 43" xfId="17721"/>
    <cellStyle name="40% - Accent3 16 2 44" xfId="17722"/>
    <cellStyle name="40% - Accent3 16 2 45" xfId="17723"/>
    <cellStyle name="40% - Accent3 16 2 46" xfId="17724"/>
    <cellStyle name="40% - Accent3 16 2 47" xfId="17725"/>
    <cellStyle name="40% - Accent3 16 2 48" xfId="17726"/>
    <cellStyle name="40% - Accent3 16 2 49" xfId="17727"/>
    <cellStyle name="40% - Accent3 16 2 5" xfId="17728"/>
    <cellStyle name="40% - Accent3 16 2 50" xfId="17729"/>
    <cellStyle name="40% - Accent3 16 2 51" xfId="17730"/>
    <cellStyle name="40% - Accent3 16 2 52" xfId="17731"/>
    <cellStyle name="40% - Accent3 16 2 53" xfId="17732"/>
    <cellStyle name="40% - Accent3 16 2 54" xfId="17733"/>
    <cellStyle name="40% - Accent3 16 2 55" xfId="17734"/>
    <cellStyle name="40% - Accent3 16 2 6" xfId="17735"/>
    <cellStyle name="40% - Accent3 16 2 7" xfId="17736"/>
    <cellStyle name="40% - Accent3 16 2 8" xfId="17737"/>
    <cellStyle name="40% - Accent3 16 2 9" xfId="17738"/>
    <cellStyle name="40% - Accent3 16 3" xfId="17739"/>
    <cellStyle name="40% - Accent3 16 3 10" xfId="17740"/>
    <cellStyle name="40% - Accent3 16 3 11" xfId="17741"/>
    <cellStyle name="40% - Accent3 16 3 12" xfId="17742"/>
    <cellStyle name="40% - Accent3 16 3 13" xfId="17743"/>
    <cellStyle name="40% - Accent3 16 3 14" xfId="17744"/>
    <cellStyle name="40% - Accent3 16 3 15" xfId="17745"/>
    <cellStyle name="40% - Accent3 16 3 16" xfId="17746"/>
    <cellStyle name="40% - Accent3 16 3 17" xfId="17747"/>
    <cellStyle name="40% - Accent3 16 3 18" xfId="17748"/>
    <cellStyle name="40% - Accent3 16 3 19" xfId="17749"/>
    <cellStyle name="40% - Accent3 16 3 2" xfId="17750"/>
    <cellStyle name="40% - Accent3 16 3 2 2" xfId="17751"/>
    <cellStyle name="40% - Accent3 16 3 20" xfId="17752"/>
    <cellStyle name="40% - Accent3 16 3 21" xfId="17753"/>
    <cellStyle name="40% - Accent3 16 3 22" xfId="17754"/>
    <cellStyle name="40% - Accent3 16 3 23" xfId="17755"/>
    <cellStyle name="40% - Accent3 16 3 24" xfId="17756"/>
    <cellStyle name="40% - Accent3 16 3 25" xfId="17757"/>
    <cellStyle name="40% - Accent3 16 3 26" xfId="17758"/>
    <cellStyle name="40% - Accent3 16 3 27" xfId="17759"/>
    <cellStyle name="40% - Accent3 16 3 28" xfId="17760"/>
    <cellStyle name="40% - Accent3 16 3 29" xfId="17761"/>
    <cellStyle name="40% - Accent3 16 3 3" xfId="17762"/>
    <cellStyle name="40% - Accent3 16 3 30" xfId="17763"/>
    <cellStyle name="40% - Accent3 16 3 31" xfId="17764"/>
    <cellStyle name="40% - Accent3 16 3 32" xfId="17765"/>
    <cellStyle name="40% - Accent3 16 3 33" xfId="17766"/>
    <cellStyle name="40% - Accent3 16 3 34" xfId="17767"/>
    <cellStyle name="40% - Accent3 16 3 35" xfId="17768"/>
    <cellStyle name="40% - Accent3 16 3 36" xfId="17769"/>
    <cellStyle name="40% - Accent3 16 3 37" xfId="17770"/>
    <cellStyle name="40% - Accent3 16 3 38" xfId="17771"/>
    <cellStyle name="40% - Accent3 16 3 39" xfId="17772"/>
    <cellStyle name="40% - Accent3 16 3 4" xfId="17773"/>
    <cellStyle name="40% - Accent3 16 3 40" xfId="17774"/>
    <cellStyle name="40% - Accent3 16 3 41" xfId="17775"/>
    <cellStyle name="40% - Accent3 16 3 42" xfId="17776"/>
    <cellStyle name="40% - Accent3 16 3 43" xfId="17777"/>
    <cellStyle name="40% - Accent3 16 3 44" xfId="17778"/>
    <cellStyle name="40% - Accent3 16 3 45" xfId="17779"/>
    <cellStyle name="40% - Accent3 16 3 46" xfId="17780"/>
    <cellStyle name="40% - Accent3 16 3 47" xfId="17781"/>
    <cellStyle name="40% - Accent3 16 3 48" xfId="17782"/>
    <cellStyle name="40% - Accent3 16 3 49" xfId="17783"/>
    <cellStyle name="40% - Accent3 16 3 5" xfId="17784"/>
    <cellStyle name="40% - Accent3 16 3 50" xfId="17785"/>
    <cellStyle name="40% - Accent3 16 3 51" xfId="17786"/>
    <cellStyle name="40% - Accent3 16 3 52" xfId="17787"/>
    <cellStyle name="40% - Accent3 16 3 53" xfId="17788"/>
    <cellStyle name="40% - Accent3 16 3 54" xfId="17789"/>
    <cellStyle name="40% - Accent3 16 3 55" xfId="17790"/>
    <cellStyle name="40% - Accent3 16 3 6" xfId="17791"/>
    <cellStyle name="40% - Accent3 16 3 7" xfId="17792"/>
    <cellStyle name="40% - Accent3 16 3 8" xfId="17793"/>
    <cellStyle name="40% - Accent3 16 3 9" xfId="17794"/>
    <cellStyle name="40% - Accent3 17" xfId="17795"/>
    <cellStyle name="40% - Accent3 17 2" xfId="17796"/>
    <cellStyle name="40% - Accent3 17 2 10" xfId="17797"/>
    <cellStyle name="40% - Accent3 17 2 11" xfId="17798"/>
    <cellStyle name="40% - Accent3 17 2 12" xfId="17799"/>
    <cellStyle name="40% - Accent3 17 2 13" xfId="17800"/>
    <cellStyle name="40% - Accent3 17 2 14" xfId="17801"/>
    <cellStyle name="40% - Accent3 17 2 15" xfId="17802"/>
    <cellStyle name="40% - Accent3 17 2 16" xfId="17803"/>
    <cellStyle name="40% - Accent3 17 2 17" xfId="17804"/>
    <cellStyle name="40% - Accent3 17 2 18" xfId="17805"/>
    <cellStyle name="40% - Accent3 17 2 19" xfId="17806"/>
    <cellStyle name="40% - Accent3 17 2 2" xfId="17807"/>
    <cellStyle name="40% - Accent3 17 2 2 2" xfId="17808"/>
    <cellStyle name="40% - Accent3 17 2 20" xfId="17809"/>
    <cellStyle name="40% - Accent3 17 2 21" xfId="17810"/>
    <cellStyle name="40% - Accent3 17 2 22" xfId="17811"/>
    <cellStyle name="40% - Accent3 17 2 23" xfId="17812"/>
    <cellStyle name="40% - Accent3 17 2 24" xfId="17813"/>
    <cellStyle name="40% - Accent3 17 2 25" xfId="17814"/>
    <cellStyle name="40% - Accent3 17 2 26" xfId="17815"/>
    <cellStyle name="40% - Accent3 17 2 27" xfId="17816"/>
    <cellStyle name="40% - Accent3 17 2 28" xfId="17817"/>
    <cellStyle name="40% - Accent3 17 2 29" xfId="17818"/>
    <cellStyle name="40% - Accent3 17 2 3" xfId="17819"/>
    <cellStyle name="40% - Accent3 17 2 30" xfId="17820"/>
    <cellStyle name="40% - Accent3 17 2 31" xfId="17821"/>
    <cellStyle name="40% - Accent3 17 2 32" xfId="17822"/>
    <cellStyle name="40% - Accent3 17 2 33" xfId="17823"/>
    <cellStyle name="40% - Accent3 17 2 34" xfId="17824"/>
    <cellStyle name="40% - Accent3 17 2 35" xfId="17825"/>
    <cellStyle name="40% - Accent3 17 2 36" xfId="17826"/>
    <cellStyle name="40% - Accent3 17 2 37" xfId="17827"/>
    <cellStyle name="40% - Accent3 17 2 38" xfId="17828"/>
    <cellStyle name="40% - Accent3 17 2 39" xfId="17829"/>
    <cellStyle name="40% - Accent3 17 2 4" xfId="17830"/>
    <cellStyle name="40% - Accent3 17 2 40" xfId="17831"/>
    <cellStyle name="40% - Accent3 17 2 41" xfId="17832"/>
    <cellStyle name="40% - Accent3 17 2 42" xfId="17833"/>
    <cellStyle name="40% - Accent3 17 2 43" xfId="17834"/>
    <cellStyle name="40% - Accent3 17 2 44" xfId="17835"/>
    <cellStyle name="40% - Accent3 17 2 45" xfId="17836"/>
    <cellStyle name="40% - Accent3 17 2 46" xfId="17837"/>
    <cellStyle name="40% - Accent3 17 2 47" xfId="17838"/>
    <cellStyle name="40% - Accent3 17 2 48" xfId="17839"/>
    <cellStyle name="40% - Accent3 17 2 49" xfId="17840"/>
    <cellStyle name="40% - Accent3 17 2 5" xfId="17841"/>
    <cellStyle name="40% - Accent3 17 2 50" xfId="17842"/>
    <cellStyle name="40% - Accent3 17 2 51" xfId="17843"/>
    <cellStyle name="40% - Accent3 17 2 52" xfId="17844"/>
    <cellStyle name="40% - Accent3 17 2 53" xfId="17845"/>
    <cellStyle name="40% - Accent3 17 2 54" xfId="17846"/>
    <cellStyle name="40% - Accent3 17 2 55" xfId="17847"/>
    <cellStyle name="40% - Accent3 17 2 6" xfId="17848"/>
    <cellStyle name="40% - Accent3 17 2 7" xfId="17849"/>
    <cellStyle name="40% - Accent3 17 2 8" xfId="17850"/>
    <cellStyle name="40% - Accent3 17 2 9" xfId="17851"/>
    <cellStyle name="40% - Accent3 17 3" xfId="17852"/>
    <cellStyle name="40% - Accent3 17 3 10" xfId="17853"/>
    <cellStyle name="40% - Accent3 17 3 11" xfId="17854"/>
    <cellStyle name="40% - Accent3 17 3 12" xfId="17855"/>
    <cellStyle name="40% - Accent3 17 3 13" xfId="17856"/>
    <cellStyle name="40% - Accent3 17 3 14" xfId="17857"/>
    <cellStyle name="40% - Accent3 17 3 15" xfId="17858"/>
    <cellStyle name="40% - Accent3 17 3 16" xfId="17859"/>
    <cellStyle name="40% - Accent3 17 3 17" xfId="17860"/>
    <cellStyle name="40% - Accent3 17 3 18" xfId="17861"/>
    <cellStyle name="40% - Accent3 17 3 19" xfId="17862"/>
    <cellStyle name="40% - Accent3 17 3 2" xfId="17863"/>
    <cellStyle name="40% - Accent3 17 3 2 2" xfId="17864"/>
    <cellStyle name="40% - Accent3 17 3 20" xfId="17865"/>
    <cellStyle name="40% - Accent3 17 3 21" xfId="17866"/>
    <cellStyle name="40% - Accent3 17 3 22" xfId="17867"/>
    <cellStyle name="40% - Accent3 17 3 23" xfId="17868"/>
    <cellStyle name="40% - Accent3 17 3 24" xfId="17869"/>
    <cellStyle name="40% - Accent3 17 3 25" xfId="17870"/>
    <cellStyle name="40% - Accent3 17 3 26" xfId="17871"/>
    <cellStyle name="40% - Accent3 17 3 27" xfId="17872"/>
    <cellStyle name="40% - Accent3 17 3 28" xfId="17873"/>
    <cellStyle name="40% - Accent3 17 3 29" xfId="17874"/>
    <cellStyle name="40% - Accent3 17 3 3" xfId="17875"/>
    <cellStyle name="40% - Accent3 17 3 30" xfId="17876"/>
    <cellStyle name="40% - Accent3 17 3 31" xfId="17877"/>
    <cellStyle name="40% - Accent3 17 3 32" xfId="17878"/>
    <cellStyle name="40% - Accent3 17 3 33" xfId="17879"/>
    <cellStyle name="40% - Accent3 17 3 34" xfId="17880"/>
    <cellStyle name="40% - Accent3 17 3 35" xfId="17881"/>
    <cellStyle name="40% - Accent3 17 3 36" xfId="17882"/>
    <cellStyle name="40% - Accent3 17 3 37" xfId="17883"/>
    <cellStyle name="40% - Accent3 17 3 38" xfId="17884"/>
    <cellStyle name="40% - Accent3 17 3 39" xfId="17885"/>
    <cellStyle name="40% - Accent3 17 3 4" xfId="17886"/>
    <cellStyle name="40% - Accent3 17 3 40" xfId="17887"/>
    <cellStyle name="40% - Accent3 17 3 41" xfId="17888"/>
    <cellStyle name="40% - Accent3 17 3 42" xfId="17889"/>
    <cellStyle name="40% - Accent3 17 3 43" xfId="17890"/>
    <cellStyle name="40% - Accent3 17 3 44" xfId="17891"/>
    <cellStyle name="40% - Accent3 17 3 45" xfId="17892"/>
    <cellStyle name="40% - Accent3 17 3 46" xfId="17893"/>
    <cellStyle name="40% - Accent3 17 3 47" xfId="17894"/>
    <cellStyle name="40% - Accent3 17 3 48" xfId="17895"/>
    <cellStyle name="40% - Accent3 17 3 49" xfId="17896"/>
    <cellStyle name="40% - Accent3 17 3 5" xfId="17897"/>
    <cellStyle name="40% - Accent3 17 3 50" xfId="17898"/>
    <cellStyle name="40% - Accent3 17 3 51" xfId="17899"/>
    <cellStyle name="40% - Accent3 17 3 52" xfId="17900"/>
    <cellStyle name="40% - Accent3 17 3 53" xfId="17901"/>
    <cellStyle name="40% - Accent3 17 3 54" xfId="17902"/>
    <cellStyle name="40% - Accent3 17 3 55" xfId="17903"/>
    <cellStyle name="40% - Accent3 17 3 6" xfId="17904"/>
    <cellStyle name="40% - Accent3 17 3 7" xfId="17905"/>
    <cellStyle name="40% - Accent3 17 3 8" xfId="17906"/>
    <cellStyle name="40% - Accent3 17 3 9" xfId="17907"/>
    <cellStyle name="40% - Accent3 18" xfId="17908"/>
    <cellStyle name="40% - Accent3 18 2" xfId="17909"/>
    <cellStyle name="40% - Accent3 18 2 10" xfId="17910"/>
    <cellStyle name="40% - Accent3 18 2 11" xfId="17911"/>
    <cellStyle name="40% - Accent3 18 2 12" xfId="17912"/>
    <cellStyle name="40% - Accent3 18 2 13" xfId="17913"/>
    <cellStyle name="40% - Accent3 18 2 14" xfId="17914"/>
    <cellStyle name="40% - Accent3 18 2 15" xfId="17915"/>
    <cellStyle name="40% - Accent3 18 2 16" xfId="17916"/>
    <cellStyle name="40% - Accent3 18 2 17" xfId="17917"/>
    <cellStyle name="40% - Accent3 18 2 18" xfId="17918"/>
    <cellStyle name="40% - Accent3 18 2 19" xfId="17919"/>
    <cellStyle name="40% - Accent3 18 2 2" xfId="17920"/>
    <cellStyle name="40% - Accent3 18 2 2 2" xfId="17921"/>
    <cellStyle name="40% - Accent3 18 2 20" xfId="17922"/>
    <cellStyle name="40% - Accent3 18 2 21" xfId="17923"/>
    <cellStyle name="40% - Accent3 18 2 22" xfId="17924"/>
    <cellStyle name="40% - Accent3 18 2 23" xfId="17925"/>
    <cellStyle name="40% - Accent3 18 2 24" xfId="17926"/>
    <cellStyle name="40% - Accent3 18 2 25" xfId="17927"/>
    <cellStyle name="40% - Accent3 18 2 26" xfId="17928"/>
    <cellStyle name="40% - Accent3 18 2 27" xfId="17929"/>
    <cellStyle name="40% - Accent3 18 2 28" xfId="17930"/>
    <cellStyle name="40% - Accent3 18 2 29" xfId="17931"/>
    <cellStyle name="40% - Accent3 18 2 3" xfId="17932"/>
    <cellStyle name="40% - Accent3 18 2 30" xfId="17933"/>
    <cellStyle name="40% - Accent3 18 2 31" xfId="17934"/>
    <cellStyle name="40% - Accent3 18 2 32" xfId="17935"/>
    <cellStyle name="40% - Accent3 18 2 33" xfId="17936"/>
    <cellStyle name="40% - Accent3 18 2 34" xfId="17937"/>
    <cellStyle name="40% - Accent3 18 2 35" xfId="17938"/>
    <cellStyle name="40% - Accent3 18 2 36" xfId="17939"/>
    <cellStyle name="40% - Accent3 18 2 37" xfId="17940"/>
    <cellStyle name="40% - Accent3 18 2 38" xfId="17941"/>
    <cellStyle name="40% - Accent3 18 2 39" xfId="17942"/>
    <cellStyle name="40% - Accent3 18 2 4" xfId="17943"/>
    <cellStyle name="40% - Accent3 18 2 40" xfId="17944"/>
    <cellStyle name="40% - Accent3 18 2 41" xfId="17945"/>
    <cellStyle name="40% - Accent3 18 2 42" xfId="17946"/>
    <cellStyle name="40% - Accent3 18 2 43" xfId="17947"/>
    <cellStyle name="40% - Accent3 18 2 44" xfId="17948"/>
    <cellStyle name="40% - Accent3 18 2 45" xfId="17949"/>
    <cellStyle name="40% - Accent3 18 2 46" xfId="17950"/>
    <cellStyle name="40% - Accent3 18 2 47" xfId="17951"/>
    <cellStyle name="40% - Accent3 18 2 48" xfId="17952"/>
    <cellStyle name="40% - Accent3 18 2 49" xfId="17953"/>
    <cellStyle name="40% - Accent3 18 2 5" xfId="17954"/>
    <cellStyle name="40% - Accent3 18 2 50" xfId="17955"/>
    <cellStyle name="40% - Accent3 18 2 51" xfId="17956"/>
    <cellStyle name="40% - Accent3 18 2 52" xfId="17957"/>
    <cellStyle name="40% - Accent3 18 2 53" xfId="17958"/>
    <cellStyle name="40% - Accent3 18 2 54" xfId="17959"/>
    <cellStyle name="40% - Accent3 18 2 55" xfId="17960"/>
    <cellStyle name="40% - Accent3 18 2 6" xfId="17961"/>
    <cellStyle name="40% - Accent3 18 2 7" xfId="17962"/>
    <cellStyle name="40% - Accent3 18 2 8" xfId="17963"/>
    <cellStyle name="40% - Accent3 18 2 9" xfId="17964"/>
    <cellStyle name="40% - Accent3 18 3" xfId="17965"/>
    <cellStyle name="40% - Accent3 18 3 10" xfId="17966"/>
    <cellStyle name="40% - Accent3 18 3 11" xfId="17967"/>
    <cellStyle name="40% - Accent3 18 3 12" xfId="17968"/>
    <cellStyle name="40% - Accent3 18 3 13" xfId="17969"/>
    <cellStyle name="40% - Accent3 18 3 14" xfId="17970"/>
    <cellStyle name="40% - Accent3 18 3 15" xfId="17971"/>
    <cellStyle name="40% - Accent3 18 3 16" xfId="17972"/>
    <cellStyle name="40% - Accent3 18 3 17" xfId="17973"/>
    <cellStyle name="40% - Accent3 18 3 18" xfId="17974"/>
    <cellStyle name="40% - Accent3 18 3 19" xfId="17975"/>
    <cellStyle name="40% - Accent3 18 3 2" xfId="17976"/>
    <cellStyle name="40% - Accent3 18 3 2 2" xfId="17977"/>
    <cellStyle name="40% - Accent3 18 3 20" xfId="17978"/>
    <cellStyle name="40% - Accent3 18 3 21" xfId="17979"/>
    <cellStyle name="40% - Accent3 18 3 22" xfId="17980"/>
    <cellStyle name="40% - Accent3 18 3 23" xfId="17981"/>
    <cellStyle name="40% - Accent3 18 3 24" xfId="17982"/>
    <cellStyle name="40% - Accent3 18 3 25" xfId="17983"/>
    <cellStyle name="40% - Accent3 18 3 26" xfId="17984"/>
    <cellStyle name="40% - Accent3 18 3 27" xfId="17985"/>
    <cellStyle name="40% - Accent3 18 3 28" xfId="17986"/>
    <cellStyle name="40% - Accent3 18 3 29" xfId="17987"/>
    <cellStyle name="40% - Accent3 18 3 3" xfId="17988"/>
    <cellStyle name="40% - Accent3 18 3 30" xfId="17989"/>
    <cellStyle name="40% - Accent3 18 3 31" xfId="17990"/>
    <cellStyle name="40% - Accent3 18 3 32" xfId="17991"/>
    <cellStyle name="40% - Accent3 18 3 33" xfId="17992"/>
    <cellStyle name="40% - Accent3 18 3 34" xfId="17993"/>
    <cellStyle name="40% - Accent3 18 3 35" xfId="17994"/>
    <cellStyle name="40% - Accent3 18 3 36" xfId="17995"/>
    <cellStyle name="40% - Accent3 18 3 37" xfId="17996"/>
    <cellStyle name="40% - Accent3 18 3 38" xfId="17997"/>
    <cellStyle name="40% - Accent3 18 3 39" xfId="17998"/>
    <cellStyle name="40% - Accent3 18 3 4" xfId="17999"/>
    <cellStyle name="40% - Accent3 18 3 40" xfId="18000"/>
    <cellStyle name="40% - Accent3 18 3 41" xfId="18001"/>
    <cellStyle name="40% - Accent3 18 3 42" xfId="18002"/>
    <cellStyle name="40% - Accent3 18 3 43" xfId="18003"/>
    <cellStyle name="40% - Accent3 18 3 44" xfId="18004"/>
    <cellStyle name="40% - Accent3 18 3 45" xfId="18005"/>
    <cellStyle name="40% - Accent3 18 3 46" xfId="18006"/>
    <cellStyle name="40% - Accent3 18 3 47" xfId="18007"/>
    <cellStyle name="40% - Accent3 18 3 48" xfId="18008"/>
    <cellStyle name="40% - Accent3 18 3 49" xfId="18009"/>
    <cellStyle name="40% - Accent3 18 3 5" xfId="18010"/>
    <cellStyle name="40% - Accent3 18 3 50" xfId="18011"/>
    <cellStyle name="40% - Accent3 18 3 51" xfId="18012"/>
    <cellStyle name="40% - Accent3 18 3 52" xfId="18013"/>
    <cellStyle name="40% - Accent3 18 3 53" xfId="18014"/>
    <cellStyle name="40% - Accent3 18 3 54" xfId="18015"/>
    <cellStyle name="40% - Accent3 18 3 55" xfId="18016"/>
    <cellStyle name="40% - Accent3 18 3 6" xfId="18017"/>
    <cellStyle name="40% - Accent3 18 3 7" xfId="18018"/>
    <cellStyle name="40% - Accent3 18 3 8" xfId="18019"/>
    <cellStyle name="40% - Accent3 18 3 9" xfId="18020"/>
    <cellStyle name="40% - Accent3 19" xfId="18021"/>
    <cellStyle name="40% - Accent3 2" xfId="18022"/>
    <cellStyle name="40% - Accent3 2 2" xfId="18023"/>
    <cellStyle name="40% - Accent3 2 2 2" xfId="18024"/>
    <cellStyle name="40% - Accent3 2 2 2 10" xfId="18025"/>
    <cellStyle name="40% - Accent3 2 2 2 11" xfId="18026"/>
    <cellStyle name="40% - Accent3 2 2 2 12" xfId="18027"/>
    <cellStyle name="40% - Accent3 2 2 2 13" xfId="18028"/>
    <cellStyle name="40% - Accent3 2 2 2 14" xfId="18029"/>
    <cellStyle name="40% - Accent3 2 2 2 15" xfId="18030"/>
    <cellStyle name="40% - Accent3 2 2 2 16" xfId="18031"/>
    <cellStyle name="40% - Accent3 2 2 2 17" xfId="18032"/>
    <cellStyle name="40% - Accent3 2 2 2 18" xfId="18033"/>
    <cellStyle name="40% - Accent3 2 2 2 19" xfId="18034"/>
    <cellStyle name="40% - Accent3 2 2 2 2" xfId="18035"/>
    <cellStyle name="40% - Accent3 2 2 2 2 2" xfId="18036"/>
    <cellStyle name="40% - Accent3 2 2 2 20" xfId="18037"/>
    <cellStyle name="40% - Accent3 2 2 2 21" xfId="18038"/>
    <cellStyle name="40% - Accent3 2 2 2 22" xfId="18039"/>
    <cellStyle name="40% - Accent3 2 2 2 23" xfId="18040"/>
    <cellStyle name="40% - Accent3 2 2 2 24" xfId="18041"/>
    <cellStyle name="40% - Accent3 2 2 2 25" xfId="18042"/>
    <cellStyle name="40% - Accent3 2 2 2 26" xfId="18043"/>
    <cellStyle name="40% - Accent3 2 2 2 27" xfId="18044"/>
    <cellStyle name="40% - Accent3 2 2 2 28" xfId="18045"/>
    <cellStyle name="40% - Accent3 2 2 2 29" xfId="18046"/>
    <cellStyle name="40% - Accent3 2 2 2 3" xfId="18047"/>
    <cellStyle name="40% - Accent3 2 2 2 30" xfId="18048"/>
    <cellStyle name="40% - Accent3 2 2 2 31" xfId="18049"/>
    <cellStyle name="40% - Accent3 2 2 2 32" xfId="18050"/>
    <cellStyle name="40% - Accent3 2 2 2 33" xfId="18051"/>
    <cellStyle name="40% - Accent3 2 2 2 34" xfId="18052"/>
    <cellStyle name="40% - Accent3 2 2 2 35" xfId="18053"/>
    <cellStyle name="40% - Accent3 2 2 2 36" xfId="18054"/>
    <cellStyle name="40% - Accent3 2 2 2 37" xfId="18055"/>
    <cellStyle name="40% - Accent3 2 2 2 38" xfId="18056"/>
    <cellStyle name="40% - Accent3 2 2 2 39" xfId="18057"/>
    <cellStyle name="40% - Accent3 2 2 2 4" xfId="18058"/>
    <cellStyle name="40% - Accent3 2 2 2 40" xfId="18059"/>
    <cellStyle name="40% - Accent3 2 2 2 41" xfId="18060"/>
    <cellStyle name="40% - Accent3 2 2 2 42" xfId="18061"/>
    <cellStyle name="40% - Accent3 2 2 2 43" xfId="18062"/>
    <cellStyle name="40% - Accent3 2 2 2 44" xfId="18063"/>
    <cellStyle name="40% - Accent3 2 2 2 45" xfId="18064"/>
    <cellStyle name="40% - Accent3 2 2 2 46" xfId="18065"/>
    <cellStyle name="40% - Accent3 2 2 2 47" xfId="18066"/>
    <cellStyle name="40% - Accent3 2 2 2 48" xfId="18067"/>
    <cellStyle name="40% - Accent3 2 2 2 49" xfId="18068"/>
    <cellStyle name="40% - Accent3 2 2 2 5" xfId="18069"/>
    <cellStyle name="40% - Accent3 2 2 2 50" xfId="18070"/>
    <cellStyle name="40% - Accent3 2 2 2 51" xfId="18071"/>
    <cellStyle name="40% - Accent3 2 2 2 52" xfId="18072"/>
    <cellStyle name="40% - Accent3 2 2 2 53" xfId="18073"/>
    <cellStyle name="40% - Accent3 2 2 2 54" xfId="18074"/>
    <cellStyle name="40% - Accent3 2 2 2 55" xfId="18075"/>
    <cellStyle name="40% - Accent3 2 2 2 6" xfId="18076"/>
    <cellStyle name="40% - Accent3 2 2 2 7" xfId="18077"/>
    <cellStyle name="40% - Accent3 2 2 2 8" xfId="18078"/>
    <cellStyle name="40% - Accent3 2 2 2 9" xfId="18079"/>
    <cellStyle name="40% - Accent3 2 2 2_PM Okt 2014 Plan VS Actual Planning Workshop" xfId="18080"/>
    <cellStyle name="40% - Accent3 2 2 3" xfId="18081"/>
    <cellStyle name="40% - Accent3 2 2 3 10" xfId="18082"/>
    <cellStyle name="40% - Accent3 2 2 3 11" xfId="18083"/>
    <cellStyle name="40% - Accent3 2 2 3 12" xfId="18084"/>
    <cellStyle name="40% - Accent3 2 2 3 13" xfId="18085"/>
    <cellStyle name="40% - Accent3 2 2 3 14" xfId="18086"/>
    <cellStyle name="40% - Accent3 2 2 3 15" xfId="18087"/>
    <cellStyle name="40% - Accent3 2 2 3 16" xfId="18088"/>
    <cellStyle name="40% - Accent3 2 2 3 17" xfId="18089"/>
    <cellStyle name="40% - Accent3 2 2 3 18" xfId="18090"/>
    <cellStyle name="40% - Accent3 2 2 3 19" xfId="18091"/>
    <cellStyle name="40% - Accent3 2 2 3 2" xfId="18092"/>
    <cellStyle name="40% - Accent3 2 2 3 2 2" xfId="18093"/>
    <cellStyle name="40% - Accent3 2 2 3 20" xfId="18094"/>
    <cellStyle name="40% - Accent3 2 2 3 21" xfId="18095"/>
    <cellStyle name="40% - Accent3 2 2 3 22" xfId="18096"/>
    <cellStyle name="40% - Accent3 2 2 3 23" xfId="18097"/>
    <cellStyle name="40% - Accent3 2 2 3 24" xfId="18098"/>
    <cellStyle name="40% - Accent3 2 2 3 25" xfId="18099"/>
    <cellStyle name="40% - Accent3 2 2 3 26" xfId="18100"/>
    <cellStyle name="40% - Accent3 2 2 3 27" xfId="18101"/>
    <cellStyle name="40% - Accent3 2 2 3 28" xfId="18102"/>
    <cellStyle name="40% - Accent3 2 2 3 29" xfId="18103"/>
    <cellStyle name="40% - Accent3 2 2 3 3" xfId="18104"/>
    <cellStyle name="40% - Accent3 2 2 3 30" xfId="18105"/>
    <cellStyle name="40% - Accent3 2 2 3 31" xfId="18106"/>
    <cellStyle name="40% - Accent3 2 2 3 32" xfId="18107"/>
    <cellStyle name="40% - Accent3 2 2 3 33" xfId="18108"/>
    <cellStyle name="40% - Accent3 2 2 3 34" xfId="18109"/>
    <cellStyle name="40% - Accent3 2 2 3 35" xfId="18110"/>
    <cellStyle name="40% - Accent3 2 2 3 36" xfId="18111"/>
    <cellStyle name="40% - Accent3 2 2 3 37" xfId="18112"/>
    <cellStyle name="40% - Accent3 2 2 3 38" xfId="18113"/>
    <cellStyle name="40% - Accent3 2 2 3 39" xfId="18114"/>
    <cellStyle name="40% - Accent3 2 2 3 4" xfId="18115"/>
    <cellStyle name="40% - Accent3 2 2 3 40" xfId="18116"/>
    <cellStyle name="40% - Accent3 2 2 3 41" xfId="18117"/>
    <cellStyle name="40% - Accent3 2 2 3 42" xfId="18118"/>
    <cellStyle name="40% - Accent3 2 2 3 43" xfId="18119"/>
    <cellStyle name="40% - Accent3 2 2 3 44" xfId="18120"/>
    <cellStyle name="40% - Accent3 2 2 3 45" xfId="18121"/>
    <cellStyle name="40% - Accent3 2 2 3 46" xfId="18122"/>
    <cellStyle name="40% - Accent3 2 2 3 47" xfId="18123"/>
    <cellStyle name="40% - Accent3 2 2 3 48" xfId="18124"/>
    <cellStyle name="40% - Accent3 2 2 3 49" xfId="18125"/>
    <cellStyle name="40% - Accent3 2 2 3 5" xfId="18126"/>
    <cellStyle name="40% - Accent3 2 2 3 50" xfId="18127"/>
    <cellStyle name="40% - Accent3 2 2 3 51" xfId="18128"/>
    <cellStyle name="40% - Accent3 2 2 3 52" xfId="18129"/>
    <cellStyle name="40% - Accent3 2 2 3 53" xfId="18130"/>
    <cellStyle name="40% - Accent3 2 2 3 54" xfId="18131"/>
    <cellStyle name="40% - Accent3 2 2 3 55" xfId="18132"/>
    <cellStyle name="40% - Accent3 2 2 3 6" xfId="18133"/>
    <cellStyle name="40% - Accent3 2 2 3 7" xfId="18134"/>
    <cellStyle name="40% - Accent3 2 2 3 8" xfId="18135"/>
    <cellStyle name="40% - Accent3 2 2 3 9" xfId="18136"/>
    <cellStyle name="40% - Accent3 2 3" xfId="18137"/>
    <cellStyle name="40% - Accent3 2 3 10" xfId="18138"/>
    <cellStyle name="40% - Accent3 2 3 11" xfId="18139"/>
    <cellStyle name="40% - Accent3 2 3 12" xfId="18140"/>
    <cellStyle name="40% - Accent3 2 3 13" xfId="18141"/>
    <cellStyle name="40% - Accent3 2 3 14" xfId="18142"/>
    <cellStyle name="40% - Accent3 2 3 15" xfId="18143"/>
    <cellStyle name="40% - Accent3 2 3 16" xfId="18144"/>
    <cellStyle name="40% - Accent3 2 3 17" xfId="18145"/>
    <cellStyle name="40% - Accent3 2 3 18" xfId="18146"/>
    <cellStyle name="40% - Accent3 2 3 19" xfId="18147"/>
    <cellStyle name="40% - Accent3 2 3 2" xfId="18148"/>
    <cellStyle name="40% - Accent3 2 3 2 2" xfId="18149"/>
    <cellStyle name="40% - Accent3 2 3 2_PM Okt 2014 Plan VS Actual Planning Workshop" xfId="18150"/>
    <cellStyle name="40% - Accent3 2 3 20" xfId="18151"/>
    <cellStyle name="40% - Accent3 2 3 21" xfId="18152"/>
    <cellStyle name="40% - Accent3 2 3 22" xfId="18153"/>
    <cellStyle name="40% - Accent3 2 3 23" xfId="18154"/>
    <cellStyle name="40% - Accent3 2 3 24" xfId="18155"/>
    <cellStyle name="40% - Accent3 2 3 25" xfId="18156"/>
    <cellStyle name="40% - Accent3 2 3 26" xfId="18157"/>
    <cellStyle name="40% - Accent3 2 3 27" xfId="18158"/>
    <cellStyle name="40% - Accent3 2 3 28" xfId="18159"/>
    <cellStyle name="40% - Accent3 2 3 29" xfId="18160"/>
    <cellStyle name="40% - Accent3 2 3 3" xfId="18161"/>
    <cellStyle name="40% - Accent3 2 3 30" xfId="18162"/>
    <cellStyle name="40% - Accent3 2 3 31" xfId="18163"/>
    <cellStyle name="40% - Accent3 2 3 32" xfId="18164"/>
    <cellStyle name="40% - Accent3 2 3 33" xfId="18165"/>
    <cellStyle name="40% - Accent3 2 3 34" xfId="18166"/>
    <cellStyle name="40% - Accent3 2 3 35" xfId="18167"/>
    <cellStyle name="40% - Accent3 2 3 36" xfId="18168"/>
    <cellStyle name="40% - Accent3 2 3 37" xfId="18169"/>
    <cellStyle name="40% - Accent3 2 3 38" xfId="18170"/>
    <cellStyle name="40% - Accent3 2 3 39" xfId="18171"/>
    <cellStyle name="40% - Accent3 2 3 4" xfId="18172"/>
    <cellStyle name="40% - Accent3 2 3 40" xfId="18173"/>
    <cellStyle name="40% - Accent3 2 3 41" xfId="18174"/>
    <cellStyle name="40% - Accent3 2 3 42" xfId="18175"/>
    <cellStyle name="40% - Accent3 2 3 43" xfId="18176"/>
    <cellStyle name="40% - Accent3 2 3 44" xfId="18177"/>
    <cellStyle name="40% - Accent3 2 3 45" xfId="18178"/>
    <cellStyle name="40% - Accent3 2 3 46" xfId="18179"/>
    <cellStyle name="40% - Accent3 2 3 47" xfId="18180"/>
    <cellStyle name="40% - Accent3 2 3 48" xfId="18181"/>
    <cellStyle name="40% - Accent3 2 3 49" xfId="18182"/>
    <cellStyle name="40% - Accent3 2 3 5" xfId="18183"/>
    <cellStyle name="40% - Accent3 2 3 50" xfId="18184"/>
    <cellStyle name="40% - Accent3 2 3 51" xfId="18185"/>
    <cellStyle name="40% - Accent3 2 3 52" xfId="18186"/>
    <cellStyle name="40% - Accent3 2 3 53" xfId="18187"/>
    <cellStyle name="40% - Accent3 2 3 54" xfId="18188"/>
    <cellStyle name="40% - Accent3 2 3 55" xfId="18189"/>
    <cellStyle name="40% - Accent3 2 3 6" xfId="18190"/>
    <cellStyle name="40% - Accent3 2 3 7" xfId="18191"/>
    <cellStyle name="40% - Accent3 2 3 8" xfId="18192"/>
    <cellStyle name="40% - Accent3 2 3 9" xfId="18193"/>
    <cellStyle name="40% - Accent3 2 4" xfId="18194"/>
    <cellStyle name="40% - Accent3 2 4 2" xfId="18195"/>
    <cellStyle name="40% - Accent3 2 5" xfId="18196"/>
    <cellStyle name="40% - Accent3 2_Asset monitoring board" xfId="18197"/>
    <cellStyle name="40% - Accent3 3" xfId="18198"/>
    <cellStyle name="40% - Accent3 3 2" xfId="18199"/>
    <cellStyle name="40% - Accent3 3 2 10" xfId="18200"/>
    <cellStyle name="40% - Accent3 3 2 11" xfId="18201"/>
    <cellStyle name="40% - Accent3 3 2 12" xfId="18202"/>
    <cellStyle name="40% - Accent3 3 2 13" xfId="18203"/>
    <cellStyle name="40% - Accent3 3 2 14" xfId="18204"/>
    <cellStyle name="40% - Accent3 3 2 15" xfId="18205"/>
    <cellStyle name="40% - Accent3 3 2 16" xfId="18206"/>
    <cellStyle name="40% - Accent3 3 2 17" xfId="18207"/>
    <cellStyle name="40% - Accent3 3 2 18" xfId="18208"/>
    <cellStyle name="40% - Accent3 3 2 19" xfId="18209"/>
    <cellStyle name="40% - Accent3 3 2 2" xfId="18210"/>
    <cellStyle name="40% - Accent3 3 2 2 2" xfId="18211"/>
    <cellStyle name="40% - Accent3 3 2 20" xfId="18212"/>
    <cellStyle name="40% - Accent3 3 2 21" xfId="18213"/>
    <cellStyle name="40% - Accent3 3 2 22" xfId="18214"/>
    <cellStyle name="40% - Accent3 3 2 23" xfId="18215"/>
    <cellStyle name="40% - Accent3 3 2 24" xfId="18216"/>
    <cellStyle name="40% - Accent3 3 2 25" xfId="18217"/>
    <cellStyle name="40% - Accent3 3 2 26" xfId="18218"/>
    <cellStyle name="40% - Accent3 3 2 27" xfId="18219"/>
    <cellStyle name="40% - Accent3 3 2 28" xfId="18220"/>
    <cellStyle name="40% - Accent3 3 2 29" xfId="18221"/>
    <cellStyle name="40% - Accent3 3 2 3" xfId="18222"/>
    <cellStyle name="40% - Accent3 3 2 30" xfId="18223"/>
    <cellStyle name="40% - Accent3 3 2 31" xfId="18224"/>
    <cellStyle name="40% - Accent3 3 2 32" xfId="18225"/>
    <cellStyle name="40% - Accent3 3 2 33" xfId="18226"/>
    <cellStyle name="40% - Accent3 3 2 34" xfId="18227"/>
    <cellStyle name="40% - Accent3 3 2 35" xfId="18228"/>
    <cellStyle name="40% - Accent3 3 2 36" xfId="18229"/>
    <cellStyle name="40% - Accent3 3 2 37" xfId="18230"/>
    <cellStyle name="40% - Accent3 3 2 38" xfId="18231"/>
    <cellStyle name="40% - Accent3 3 2 39" xfId="18232"/>
    <cellStyle name="40% - Accent3 3 2 4" xfId="18233"/>
    <cellStyle name="40% - Accent3 3 2 40" xfId="18234"/>
    <cellStyle name="40% - Accent3 3 2 41" xfId="18235"/>
    <cellStyle name="40% - Accent3 3 2 42" xfId="18236"/>
    <cellStyle name="40% - Accent3 3 2 43" xfId="18237"/>
    <cellStyle name="40% - Accent3 3 2 44" xfId="18238"/>
    <cellStyle name="40% - Accent3 3 2 45" xfId="18239"/>
    <cellStyle name="40% - Accent3 3 2 46" xfId="18240"/>
    <cellStyle name="40% - Accent3 3 2 47" xfId="18241"/>
    <cellStyle name="40% - Accent3 3 2 48" xfId="18242"/>
    <cellStyle name="40% - Accent3 3 2 49" xfId="18243"/>
    <cellStyle name="40% - Accent3 3 2 5" xfId="18244"/>
    <cellStyle name="40% - Accent3 3 2 50" xfId="18245"/>
    <cellStyle name="40% - Accent3 3 2 51" xfId="18246"/>
    <cellStyle name="40% - Accent3 3 2 52" xfId="18247"/>
    <cellStyle name="40% - Accent3 3 2 53" xfId="18248"/>
    <cellStyle name="40% - Accent3 3 2 54" xfId="18249"/>
    <cellStyle name="40% - Accent3 3 2 55" xfId="18250"/>
    <cellStyle name="40% - Accent3 3 2 6" xfId="18251"/>
    <cellStyle name="40% - Accent3 3 2 7" xfId="18252"/>
    <cellStyle name="40% - Accent3 3 2 8" xfId="18253"/>
    <cellStyle name="40% - Accent3 3 2 9" xfId="18254"/>
    <cellStyle name="40% - Accent3 3 3" xfId="18255"/>
    <cellStyle name="40% - Accent3 3 3 10" xfId="18256"/>
    <cellStyle name="40% - Accent3 3 3 11" xfId="18257"/>
    <cellStyle name="40% - Accent3 3 3 12" xfId="18258"/>
    <cellStyle name="40% - Accent3 3 3 13" xfId="18259"/>
    <cellStyle name="40% - Accent3 3 3 14" xfId="18260"/>
    <cellStyle name="40% - Accent3 3 3 15" xfId="18261"/>
    <cellStyle name="40% - Accent3 3 3 16" xfId="18262"/>
    <cellStyle name="40% - Accent3 3 3 17" xfId="18263"/>
    <cellStyle name="40% - Accent3 3 3 18" xfId="18264"/>
    <cellStyle name="40% - Accent3 3 3 19" xfId="18265"/>
    <cellStyle name="40% - Accent3 3 3 2" xfId="18266"/>
    <cellStyle name="40% - Accent3 3 3 2 2" xfId="18267"/>
    <cellStyle name="40% - Accent3 3 3 20" xfId="18268"/>
    <cellStyle name="40% - Accent3 3 3 21" xfId="18269"/>
    <cellStyle name="40% - Accent3 3 3 22" xfId="18270"/>
    <cellStyle name="40% - Accent3 3 3 23" xfId="18271"/>
    <cellStyle name="40% - Accent3 3 3 24" xfId="18272"/>
    <cellStyle name="40% - Accent3 3 3 25" xfId="18273"/>
    <cellStyle name="40% - Accent3 3 3 26" xfId="18274"/>
    <cellStyle name="40% - Accent3 3 3 27" xfId="18275"/>
    <cellStyle name="40% - Accent3 3 3 28" xfId="18276"/>
    <cellStyle name="40% - Accent3 3 3 29" xfId="18277"/>
    <cellStyle name="40% - Accent3 3 3 3" xfId="18278"/>
    <cellStyle name="40% - Accent3 3 3 30" xfId="18279"/>
    <cellStyle name="40% - Accent3 3 3 31" xfId="18280"/>
    <cellStyle name="40% - Accent3 3 3 32" xfId="18281"/>
    <cellStyle name="40% - Accent3 3 3 33" xfId="18282"/>
    <cellStyle name="40% - Accent3 3 3 34" xfId="18283"/>
    <cellStyle name="40% - Accent3 3 3 35" xfId="18284"/>
    <cellStyle name="40% - Accent3 3 3 36" xfId="18285"/>
    <cellStyle name="40% - Accent3 3 3 37" xfId="18286"/>
    <cellStyle name="40% - Accent3 3 3 38" xfId="18287"/>
    <cellStyle name="40% - Accent3 3 3 39" xfId="18288"/>
    <cellStyle name="40% - Accent3 3 3 4" xfId="18289"/>
    <cellStyle name="40% - Accent3 3 3 40" xfId="18290"/>
    <cellStyle name="40% - Accent3 3 3 41" xfId="18291"/>
    <cellStyle name="40% - Accent3 3 3 42" xfId="18292"/>
    <cellStyle name="40% - Accent3 3 3 43" xfId="18293"/>
    <cellStyle name="40% - Accent3 3 3 44" xfId="18294"/>
    <cellStyle name="40% - Accent3 3 3 45" xfId="18295"/>
    <cellStyle name="40% - Accent3 3 3 46" xfId="18296"/>
    <cellStyle name="40% - Accent3 3 3 47" xfId="18297"/>
    <cellStyle name="40% - Accent3 3 3 48" xfId="18298"/>
    <cellStyle name="40% - Accent3 3 3 49" xfId="18299"/>
    <cellStyle name="40% - Accent3 3 3 5" xfId="18300"/>
    <cellStyle name="40% - Accent3 3 3 50" xfId="18301"/>
    <cellStyle name="40% - Accent3 3 3 51" xfId="18302"/>
    <cellStyle name="40% - Accent3 3 3 52" xfId="18303"/>
    <cellStyle name="40% - Accent3 3 3 53" xfId="18304"/>
    <cellStyle name="40% - Accent3 3 3 54" xfId="18305"/>
    <cellStyle name="40% - Accent3 3 3 55" xfId="18306"/>
    <cellStyle name="40% - Accent3 3 3 6" xfId="18307"/>
    <cellStyle name="40% - Accent3 3 3 7" xfId="18308"/>
    <cellStyle name="40% - Accent3 3 3 8" xfId="18309"/>
    <cellStyle name="40% - Accent3 3 3 9" xfId="18310"/>
    <cellStyle name="40% - Accent3 4" xfId="18311"/>
    <cellStyle name="40% - Accent3 4 2" xfId="18312"/>
    <cellStyle name="40% - Accent3 4 2 10" xfId="18313"/>
    <cellStyle name="40% - Accent3 4 2 11" xfId="18314"/>
    <cellStyle name="40% - Accent3 4 2 12" xfId="18315"/>
    <cellStyle name="40% - Accent3 4 2 13" xfId="18316"/>
    <cellStyle name="40% - Accent3 4 2 14" xfId="18317"/>
    <cellStyle name="40% - Accent3 4 2 15" xfId="18318"/>
    <cellStyle name="40% - Accent3 4 2 16" xfId="18319"/>
    <cellStyle name="40% - Accent3 4 2 17" xfId="18320"/>
    <cellStyle name="40% - Accent3 4 2 18" xfId="18321"/>
    <cellStyle name="40% - Accent3 4 2 19" xfId="18322"/>
    <cellStyle name="40% - Accent3 4 2 2" xfId="18323"/>
    <cellStyle name="40% - Accent3 4 2 2 2" xfId="18324"/>
    <cellStyle name="40% - Accent3 4 2 20" xfId="18325"/>
    <cellStyle name="40% - Accent3 4 2 21" xfId="18326"/>
    <cellStyle name="40% - Accent3 4 2 22" xfId="18327"/>
    <cellStyle name="40% - Accent3 4 2 23" xfId="18328"/>
    <cellStyle name="40% - Accent3 4 2 24" xfId="18329"/>
    <cellStyle name="40% - Accent3 4 2 25" xfId="18330"/>
    <cellStyle name="40% - Accent3 4 2 26" xfId="18331"/>
    <cellStyle name="40% - Accent3 4 2 27" xfId="18332"/>
    <cellStyle name="40% - Accent3 4 2 28" xfId="18333"/>
    <cellStyle name="40% - Accent3 4 2 29" xfId="18334"/>
    <cellStyle name="40% - Accent3 4 2 3" xfId="18335"/>
    <cellStyle name="40% - Accent3 4 2 30" xfId="18336"/>
    <cellStyle name="40% - Accent3 4 2 31" xfId="18337"/>
    <cellStyle name="40% - Accent3 4 2 32" xfId="18338"/>
    <cellStyle name="40% - Accent3 4 2 33" xfId="18339"/>
    <cellStyle name="40% - Accent3 4 2 34" xfId="18340"/>
    <cellStyle name="40% - Accent3 4 2 35" xfId="18341"/>
    <cellStyle name="40% - Accent3 4 2 36" xfId="18342"/>
    <cellStyle name="40% - Accent3 4 2 37" xfId="18343"/>
    <cellStyle name="40% - Accent3 4 2 38" xfId="18344"/>
    <cellStyle name="40% - Accent3 4 2 39" xfId="18345"/>
    <cellStyle name="40% - Accent3 4 2 4" xfId="18346"/>
    <cellStyle name="40% - Accent3 4 2 40" xfId="18347"/>
    <cellStyle name="40% - Accent3 4 2 41" xfId="18348"/>
    <cellStyle name="40% - Accent3 4 2 42" xfId="18349"/>
    <cellStyle name="40% - Accent3 4 2 43" xfId="18350"/>
    <cellStyle name="40% - Accent3 4 2 44" xfId="18351"/>
    <cellStyle name="40% - Accent3 4 2 45" xfId="18352"/>
    <cellStyle name="40% - Accent3 4 2 46" xfId="18353"/>
    <cellStyle name="40% - Accent3 4 2 47" xfId="18354"/>
    <cellStyle name="40% - Accent3 4 2 48" xfId="18355"/>
    <cellStyle name="40% - Accent3 4 2 49" xfId="18356"/>
    <cellStyle name="40% - Accent3 4 2 5" xfId="18357"/>
    <cellStyle name="40% - Accent3 4 2 50" xfId="18358"/>
    <cellStyle name="40% - Accent3 4 2 51" xfId="18359"/>
    <cellStyle name="40% - Accent3 4 2 52" xfId="18360"/>
    <cellStyle name="40% - Accent3 4 2 53" xfId="18361"/>
    <cellStyle name="40% - Accent3 4 2 54" xfId="18362"/>
    <cellStyle name="40% - Accent3 4 2 55" xfId="18363"/>
    <cellStyle name="40% - Accent3 4 2 6" xfId="18364"/>
    <cellStyle name="40% - Accent3 4 2 7" xfId="18365"/>
    <cellStyle name="40% - Accent3 4 2 8" xfId="18366"/>
    <cellStyle name="40% - Accent3 4 2 9" xfId="18367"/>
    <cellStyle name="40% - Accent3 4 3" xfId="18368"/>
    <cellStyle name="40% - Accent3 4 3 10" xfId="18369"/>
    <cellStyle name="40% - Accent3 4 3 11" xfId="18370"/>
    <cellStyle name="40% - Accent3 4 3 12" xfId="18371"/>
    <cellStyle name="40% - Accent3 4 3 13" xfId="18372"/>
    <cellStyle name="40% - Accent3 4 3 14" xfId="18373"/>
    <cellStyle name="40% - Accent3 4 3 15" xfId="18374"/>
    <cellStyle name="40% - Accent3 4 3 16" xfId="18375"/>
    <cellStyle name="40% - Accent3 4 3 17" xfId="18376"/>
    <cellStyle name="40% - Accent3 4 3 18" xfId="18377"/>
    <cellStyle name="40% - Accent3 4 3 19" xfId="18378"/>
    <cellStyle name="40% - Accent3 4 3 2" xfId="18379"/>
    <cellStyle name="40% - Accent3 4 3 2 2" xfId="18380"/>
    <cellStyle name="40% - Accent3 4 3 20" xfId="18381"/>
    <cellStyle name="40% - Accent3 4 3 21" xfId="18382"/>
    <cellStyle name="40% - Accent3 4 3 22" xfId="18383"/>
    <cellStyle name="40% - Accent3 4 3 23" xfId="18384"/>
    <cellStyle name="40% - Accent3 4 3 24" xfId="18385"/>
    <cellStyle name="40% - Accent3 4 3 25" xfId="18386"/>
    <cellStyle name="40% - Accent3 4 3 26" xfId="18387"/>
    <cellStyle name="40% - Accent3 4 3 27" xfId="18388"/>
    <cellStyle name="40% - Accent3 4 3 28" xfId="18389"/>
    <cellStyle name="40% - Accent3 4 3 29" xfId="18390"/>
    <cellStyle name="40% - Accent3 4 3 3" xfId="18391"/>
    <cellStyle name="40% - Accent3 4 3 30" xfId="18392"/>
    <cellStyle name="40% - Accent3 4 3 31" xfId="18393"/>
    <cellStyle name="40% - Accent3 4 3 32" xfId="18394"/>
    <cellStyle name="40% - Accent3 4 3 33" xfId="18395"/>
    <cellStyle name="40% - Accent3 4 3 34" xfId="18396"/>
    <cellStyle name="40% - Accent3 4 3 35" xfId="18397"/>
    <cellStyle name="40% - Accent3 4 3 36" xfId="18398"/>
    <cellStyle name="40% - Accent3 4 3 37" xfId="18399"/>
    <cellStyle name="40% - Accent3 4 3 38" xfId="18400"/>
    <cellStyle name="40% - Accent3 4 3 39" xfId="18401"/>
    <cellStyle name="40% - Accent3 4 3 4" xfId="18402"/>
    <cellStyle name="40% - Accent3 4 3 40" xfId="18403"/>
    <cellStyle name="40% - Accent3 4 3 41" xfId="18404"/>
    <cellStyle name="40% - Accent3 4 3 42" xfId="18405"/>
    <cellStyle name="40% - Accent3 4 3 43" xfId="18406"/>
    <cellStyle name="40% - Accent3 4 3 44" xfId="18407"/>
    <cellStyle name="40% - Accent3 4 3 45" xfId="18408"/>
    <cellStyle name="40% - Accent3 4 3 46" xfId="18409"/>
    <cellStyle name="40% - Accent3 4 3 47" xfId="18410"/>
    <cellStyle name="40% - Accent3 4 3 48" xfId="18411"/>
    <cellStyle name="40% - Accent3 4 3 49" xfId="18412"/>
    <cellStyle name="40% - Accent3 4 3 5" xfId="18413"/>
    <cellStyle name="40% - Accent3 4 3 50" xfId="18414"/>
    <cellStyle name="40% - Accent3 4 3 51" xfId="18415"/>
    <cellStyle name="40% - Accent3 4 3 52" xfId="18416"/>
    <cellStyle name="40% - Accent3 4 3 53" xfId="18417"/>
    <cellStyle name="40% - Accent3 4 3 54" xfId="18418"/>
    <cellStyle name="40% - Accent3 4 3 55" xfId="18419"/>
    <cellStyle name="40% - Accent3 4 3 6" xfId="18420"/>
    <cellStyle name="40% - Accent3 4 3 7" xfId="18421"/>
    <cellStyle name="40% - Accent3 4 3 8" xfId="18422"/>
    <cellStyle name="40% - Accent3 4 3 9" xfId="18423"/>
    <cellStyle name="40% - Accent3 4 4" xfId="58366"/>
    <cellStyle name="40% - Accent3 5" xfId="18424"/>
    <cellStyle name="40% - Accent3 5 2" xfId="18425"/>
    <cellStyle name="40% - Accent3 5 2 10" xfId="18426"/>
    <cellStyle name="40% - Accent3 5 2 11" xfId="18427"/>
    <cellStyle name="40% - Accent3 5 2 12" xfId="18428"/>
    <cellStyle name="40% - Accent3 5 2 13" xfId="18429"/>
    <cellStyle name="40% - Accent3 5 2 14" xfId="18430"/>
    <cellStyle name="40% - Accent3 5 2 15" xfId="18431"/>
    <cellStyle name="40% - Accent3 5 2 16" xfId="18432"/>
    <cellStyle name="40% - Accent3 5 2 17" xfId="18433"/>
    <cellStyle name="40% - Accent3 5 2 18" xfId="18434"/>
    <cellStyle name="40% - Accent3 5 2 19" xfId="18435"/>
    <cellStyle name="40% - Accent3 5 2 2" xfId="18436"/>
    <cellStyle name="40% - Accent3 5 2 2 2" xfId="18437"/>
    <cellStyle name="40% - Accent3 5 2 20" xfId="18438"/>
    <cellStyle name="40% - Accent3 5 2 21" xfId="18439"/>
    <cellStyle name="40% - Accent3 5 2 22" xfId="18440"/>
    <cellStyle name="40% - Accent3 5 2 23" xfId="18441"/>
    <cellStyle name="40% - Accent3 5 2 24" xfId="18442"/>
    <cellStyle name="40% - Accent3 5 2 25" xfId="18443"/>
    <cellStyle name="40% - Accent3 5 2 26" xfId="18444"/>
    <cellStyle name="40% - Accent3 5 2 27" xfId="18445"/>
    <cellStyle name="40% - Accent3 5 2 28" xfId="18446"/>
    <cellStyle name="40% - Accent3 5 2 29" xfId="18447"/>
    <cellStyle name="40% - Accent3 5 2 3" xfId="18448"/>
    <cellStyle name="40% - Accent3 5 2 30" xfId="18449"/>
    <cellStyle name="40% - Accent3 5 2 31" xfId="18450"/>
    <cellStyle name="40% - Accent3 5 2 32" xfId="18451"/>
    <cellStyle name="40% - Accent3 5 2 33" xfId="18452"/>
    <cellStyle name="40% - Accent3 5 2 34" xfId="18453"/>
    <cellStyle name="40% - Accent3 5 2 35" xfId="18454"/>
    <cellStyle name="40% - Accent3 5 2 36" xfId="18455"/>
    <cellStyle name="40% - Accent3 5 2 37" xfId="18456"/>
    <cellStyle name="40% - Accent3 5 2 38" xfId="18457"/>
    <cellStyle name="40% - Accent3 5 2 39" xfId="18458"/>
    <cellStyle name="40% - Accent3 5 2 4" xfId="18459"/>
    <cellStyle name="40% - Accent3 5 2 40" xfId="18460"/>
    <cellStyle name="40% - Accent3 5 2 41" xfId="18461"/>
    <cellStyle name="40% - Accent3 5 2 42" xfId="18462"/>
    <cellStyle name="40% - Accent3 5 2 43" xfId="18463"/>
    <cellStyle name="40% - Accent3 5 2 44" xfId="18464"/>
    <cellStyle name="40% - Accent3 5 2 45" xfId="18465"/>
    <cellStyle name="40% - Accent3 5 2 46" xfId="18466"/>
    <cellStyle name="40% - Accent3 5 2 47" xfId="18467"/>
    <cellStyle name="40% - Accent3 5 2 48" xfId="18468"/>
    <cellStyle name="40% - Accent3 5 2 49" xfId="18469"/>
    <cellStyle name="40% - Accent3 5 2 5" xfId="18470"/>
    <cellStyle name="40% - Accent3 5 2 50" xfId="18471"/>
    <cellStyle name="40% - Accent3 5 2 51" xfId="18472"/>
    <cellStyle name="40% - Accent3 5 2 52" xfId="18473"/>
    <cellStyle name="40% - Accent3 5 2 53" xfId="18474"/>
    <cellStyle name="40% - Accent3 5 2 54" xfId="18475"/>
    <cellStyle name="40% - Accent3 5 2 55" xfId="18476"/>
    <cellStyle name="40% - Accent3 5 2 6" xfId="18477"/>
    <cellStyle name="40% - Accent3 5 2 7" xfId="18478"/>
    <cellStyle name="40% - Accent3 5 2 8" xfId="18479"/>
    <cellStyle name="40% - Accent3 5 2 9" xfId="18480"/>
    <cellStyle name="40% - Accent3 5 3" xfId="18481"/>
    <cellStyle name="40% - Accent3 5 3 10" xfId="18482"/>
    <cellStyle name="40% - Accent3 5 3 11" xfId="18483"/>
    <cellStyle name="40% - Accent3 5 3 12" xfId="18484"/>
    <cellStyle name="40% - Accent3 5 3 13" xfId="18485"/>
    <cellStyle name="40% - Accent3 5 3 14" xfId="18486"/>
    <cellStyle name="40% - Accent3 5 3 15" xfId="18487"/>
    <cellStyle name="40% - Accent3 5 3 16" xfId="18488"/>
    <cellStyle name="40% - Accent3 5 3 17" xfId="18489"/>
    <cellStyle name="40% - Accent3 5 3 18" xfId="18490"/>
    <cellStyle name="40% - Accent3 5 3 19" xfId="18491"/>
    <cellStyle name="40% - Accent3 5 3 2" xfId="18492"/>
    <cellStyle name="40% - Accent3 5 3 2 2" xfId="18493"/>
    <cellStyle name="40% - Accent3 5 3 20" xfId="18494"/>
    <cellStyle name="40% - Accent3 5 3 21" xfId="18495"/>
    <cellStyle name="40% - Accent3 5 3 22" xfId="18496"/>
    <cellStyle name="40% - Accent3 5 3 23" xfId="18497"/>
    <cellStyle name="40% - Accent3 5 3 24" xfId="18498"/>
    <cellStyle name="40% - Accent3 5 3 25" xfId="18499"/>
    <cellStyle name="40% - Accent3 5 3 26" xfId="18500"/>
    <cellStyle name="40% - Accent3 5 3 27" xfId="18501"/>
    <cellStyle name="40% - Accent3 5 3 28" xfId="18502"/>
    <cellStyle name="40% - Accent3 5 3 29" xfId="18503"/>
    <cellStyle name="40% - Accent3 5 3 3" xfId="18504"/>
    <cellStyle name="40% - Accent3 5 3 30" xfId="18505"/>
    <cellStyle name="40% - Accent3 5 3 31" xfId="18506"/>
    <cellStyle name="40% - Accent3 5 3 32" xfId="18507"/>
    <cellStyle name="40% - Accent3 5 3 33" xfId="18508"/>
    <cellStyle name="40% - Accent3 5 3 34" xfId="18509"/>
    <cellStyle name="40% - Accent3 5 3 35" xfId="18510"/>
    <cellStyle name="40% - Accent3 5 3 36" xfId="18511"/>
    <cellStyle name="40% - Accent3 5 3 37" xfId="18512"/>
    <cellStyle name="40% - Accent3 5 3 38" xfId="18513"/>
    <cellStyle name="40% - Accent3 5 3 39" xfId="18514"/>
    <cellStyle name="40% - Accent3 5 3 4" xfId="18515"/>
    <cellStyle name="40% - Accent3 5 3 40" xfId="18516"/>
    <cellStyle name="40% - Accent3 5 3 41" xfId="18517"/>
    <cellStyle name="40% - Accent3 5 3 42" xfId="18518"/>
    <cellStyle name="40% - Accent3 5 3 43" xfId="18519"/>
    <cellStyle name="40% - Accent3 5 3 44" xfId="18520"/>
    <cellStyle name="40% - Accent3 5 3 45" xfId="18521"/>
    <cellStyle name="40% - Accent3 5 3 46" xfId="18522"/>
    <cellStyle name="40% - Accent3 5 3 47" xfId="18523"/>
    <cellStyle name="40% - Accent3 5 3 48" xfId="18524"/>
    <cellStyle name="40% - Accent3 5 3 49" xfId="18525"/>
    <cellStyle name="40% - Accent3 5 3 5" xfId="18526"/>
    <cellStyle name="40% - Accent3 5 3 50" xfId="18527"/>
    <cellStyle name="40% - Accent3 5 3 51" xfId="18528"/>
    <cellStyle name="40% - Accent3 5 3 52" xfId="18529"/>
    <cellStyle name="40% - Accent3 5 3 53" xfId="18530"/>
    <cellStyle name="40% - Accent3 5 3 54" xfId="18531"/>
    <cellStyle name="40% - Accent3 5 3 55" xfId="18532"/>
    <cellStyle name="40% - Accent3 5 3 6" xfId="18533"/>
    <cellStyle name="40% - Accent3 5 3 7" xfId="18534"/>
    <cellStyle name="40% - Accent3 5 3 8" xfId="18535"/>
    <cellStyle name="40% - Accent3 5 3 9" xfId="18536"/>
    <cellStyle name="40% - Accent3 6" xfId="18537"/>
    <cellStyle name="40% - Accent3 6 2" xfId="18538"/>
    <cellStyle name="40% - Accent3 6 2 10" xfId="18539"/>
    <cellStyle name="40% - Accent3 6 2 11" xfId="18540"/>
    <cellStyle name="40% - Accent3 6 2 12" xfId="18541"/>
    <cellStyle name="40% - Accent3 6 2 13" xfId="18542"/>
    <cellStyle name="40% - Accent3 6 2 14" xfId="18543"/>
    <cellStyle name="40% - Accent3 6 2 15" xfId="18544"/>
    <cellStyle name="40% - Accent3 6 2 16" xfId="18545"/>
    <cellStyle name="40% - Accent3 6 2 17" xfId="18546"/>
    <cellStyle name="40% - Accent3 6 2 18" xfId="18547"/>
    <cellStyle name="40% - Accent3 6 2 19" xfId="18548"/>
    <cellStyle name="40% - Accent3 6 2 2" xfId="18549"/>
    <cellStyle name="40% - Accent3 6 2 2 2" xfId="18550"/>
    <cellStyle name="40% - Accent3 6 2 20" xfId="18551"/>
    <cellStyle name="40% - Accent3 6 2 21" xfId="18552"/>
    <cellStyle name="40% - Accent3 6 2 22" xfId="18553"/>
    <cellStyle name="40% - Accent3 6 2 23" xfId="18554"/>
    <cellStyle name="40% - Accent3 6 2 24" xfId="18555"/>
    <cellStyle name="40% - Accent3 6 2 25" xfId="18556"/>
    <cellStyle name="40% - Accent3 6 2 26" xfId="18557"/>
    <cellStyle name="40% - Accent3 6 2 27" xfId="18558"/>
    <cellStyle name="40% - Accent3 6 2 28" xfId="18559"/>
    <cellStyle name="40% - Accent3 6 2 29" xfId="18560"/>
    <cellStyle name="40% - Accent3 6 2 3" xfId="18561"/>
    <cellStyle name="40% - Accent3 6 2 30" xfId="18562"/>
    <cellStyle name="40% - Accent3 6 2 31" xfId="18563"/>
    <cellStyle name="40% - Accent3 6 2 32" xfId="18564"/>
    <cellStyle name="40% - Accent3 6 2 33" xfId="18565"/>
    <cellStyle name="40% - Accent3 6 2 34" xfId="18566"/>
    <cellStyle name="40% - Accent3 6 2 35" xfId="18567"/>
    <cellStyle name="40% - Accent3 6 2 36" xfId="18568"/>
    <cellStyle name="40% - Accent3 6 2 37" xfId="18569"/>
    <cellStyle name="40% - Accent3 6 2 38" xfId="18570"/>
    <cellStyle name="40% - Accent3 6 2 39" xfId="18571"/>
    <cellStyle name="40% - Accent3 6 2 4" xfId="18572"/>
    <cellStyle name="40% - Accent3 6 2 40" xfId="18573"/>
    <cellStyle name="40% - Accent3 6 2 41" xfId="18574"/>
    <cellStyle name="40% - Accent3 6 2 42" xfId="18575"/>
    <cellStyle name="40% - Accent3 6 2 43" xfId="18576"/>
    <cellStyle name="40% - Accent3 6 2 44" xfId="18577"/>
    <cellStyle name="40% - Accent3 6 2 45" xfId="18578"/>
    <cellStyle name="40% - Accent3 6 2 46" xfId="18579"/>
    <cellStyle name="40% - Accent3 6 2 47" xfId="18580"/>
    <cellStyle name="40% - Accent3 6 2 48" xfId="18581"/>
    <cellStyle name="40% - Accent3 6 2 49" xfId="18582"/>
    <cellStyle name="40% - Accent3 6 2 5" xfId="18583"/>
    <cellStyle name="40% - Accent3 6 2 50" xfId="18584"/>
    <cellStyle name="40% - Accent3 6 2 51" xfId="18585"/>
    <cellStyle name="40% - Accent3 6 2 52" xfId="18586"/>
    <cellStyle name="40% - Accent3 6 2 53" xfId="18587"/>
    <cellStyle name="40% - Accent3 6 2 54" xfId="18588"/>
    <cellStyle name="40% - Accent3 6 2 55" xfId="18589"/>
    <cellStyle name="40% - Accent3 6 2 6" xfId="18590"/>
    <cellStyle name="40% - Accent3 6 2 7" xfId="18591"/>
    <cellStyle name="40% - Accent3 6 2 8" xfId="18592"/>
    <cellStyle name="40% - Accent3 6 2 9" xfId="18593"/>
    <cellStyle name="40% - Accent3 6 3" xfId="18594"/>
    <cellStyle name="40% - Accent3 6 3 10" xfId="18595"/>
    <cellStyle name="40% - Accent3 6 3 11" xfId="18596"/>
    <cellStyle name="40% - Accent3 6 3 12" xfId="18597"/>
    <cellStyle name="40% - Accent3 6 3 13" xfId="18598"/>
    <cellStyle name="40% - Accent3 6 3 14" xfId="18599"/>
    <cellStyle name="40% - Accent3 6 3 15" xfId="18600"/>
    <cellStyle name="40% - Accent3 6 3 16" xfId="18601"/>
    <cellStyle name="40% - Accent3 6 3 17" xfId="18602"/>
    <cellStyle name="40% - Accent3 6 3 18" xfId="18603"/>
    <cellStyle name="40% - Accent3 6 3 19" xfId="18604"/>
    <cellStyle name="40% - Accent3 6 3 2" xfId="18605"/>
    <cellStyle name="40% - Accent3 6 3 2 2" xfId="18606"/>
    <cellStyle name="40% - Accent3 6 3 20" xfId="18607"/>
    <cellStyle name="40% - Accent3 6 3 21" xfId="18608"/>
    <cellStyle name="40% - Accent3 6 3 22" xfId="18609"/>
    <cellStyle name="40% - Accent3 6 3 23" xfId="18610"/>
    <cellStyle name="40% - Accent3 6 3 24" xfId="18611"/>
    <cellStyle name="40% - Accent3 6 3 25" xfId="18612"/>
    <cellStyle name="40% - Accent3 6 3 26" xfId="18613"/>
    <cellStyle name="40% - Accent3 6 3 27" xfId="18614"/>
    <cellStyle name="40% - Accent3 6 3 28" xfId="18615"/>
    <cellStyle name="40% - Accent3 6 3 29" xfId="18616"/>
    <cellStyle name="40% - Accent3 6 3 3" xfId="18617"/>
    <cellStyle name="40% - Accent3 6 3 30" xfId="18618"/>
    <cellStyle name="40% - Accent3 6 3 31" xfId="18619"/>
    <cellStyle name="40% - Accent3 6 3 32" xfId="18620"/>
    <cellStyle name="40% - Accent3 6 3 33" xfId="18621"/>
    <cellStyle name="40% - Accent3 6 3 34" xfId="18622"/>
    <cellStyle name="40% - Accent3 6 3 35" xfId="18623"/>
    <cellStyle name="40% - Accent3 6 3 36" xfId="18624"/>
    <cellStyle name="40% - Accent3 6 3 37" xfId="18625"/>
    <cellStyle name="40% - Accent3 6 3 38" xfId="18626"/>
    <cellStyle name="40% - Accent3 6 3 39" xfId="18627"/>
    <cellStyle name="40% - Accent3 6 3 4" xfId="18628"/>
    <cellStyle name="40% - Accent3 6 3 40" xfId="18629"/>
    <cellStyle name="40% - Accent3 6 3 41" xfId="18630"/>
    <cellStyle name="40% - Accent3 6 3 42" xfId="18631"/>
    <cellStyle name="40% - Accent3 6 3 43" xfId="18632"/>
    <cellStyle name="40% - Accent3 6 3 44" xfId="18633"/>
    <cellStyle name="40% - Accent3 6 3 45" xfId="18634"/>
    <cellStyle name="40% - Accent3 6 3 46" xfId="18635"/>
    <cellStyle name="40% - Accent3 6 3 47" xfId="18636"/>
    <cellStyle name="40% - Accent3 6 3 48" xfId="18637"/>
    <cellStyle name="40% - Accent3 6 3 49" xfId="18638"/>
    <cellStyle name="40% - Accent3 6 3 5" xfId="18639"/>
    <cellStyle name="40% - Accent3 6 3 50" xfId="18640"/>
    <cellStyle name="40% - Accent3 6 3 51" xfId="18641"/>
    <cellStyle name="40% - Accent3 6 3 52" xfId="18642"/>
    <cellStyle name="40% - Accent3 6 3 53" xfId="18643"/>
    <cellStyle name="40% - Accent3 6 3 54" xfId="18644"/>
    <cellStyle name="40% - Accent3 6 3 55" xfId="18645"/>
    <cellStyle name="40% - Accent3 6 3 6" xfId="18646"/>
    <cellStyle name="40% - Accent3 6 3 7" xfId="18647"/>
    <cellStyle name="40% - Accent3 6 3 8" xfId="18648"/>
    <cellStyle name="40% - Accent3 6 3 9" xfId="18649"/>
    <cellStyle name="40% - Accent3 7" xfId="18650"/>
    <cellStyle name="40% - Accent3 7 2" xfId="18651"/>
    <cellStyle name="40% - Accent3 7 2 10" xfId="18652"/>
    <cellStyle name="40% - Accent3 7 2 11" xfId="18653"/>
    <cellStyle name="40% - Accent3 7 2 12" xfId="18654"/>
    <cellStyle name="40% - Accent3 7 2 13" xfId="18655"/>
    <cellStyle name="40% - Accent3 7 2 14" xfId="18656"/>
    <cellStyle name="40% - Accent3 7 2 15" xfId="18657"/>
    <cellStyle name="40% - Accent3 7 2 16" xfId="18658"/>
    <cellStyle name="40% - Accent3 7 2 17" xfId="18659"/>
    <cellStyle name="40% - Accent3 7 2 18" xfId="18660"/>
    <cellStyle name="40% - Accent3 7 2 19" xfId="18661"/>
    <cellStyle name="40% - Accent3 7 2 2" xfId="18662"/>
    <cellStyle name="40% - Accent3 7 2 2 2" xfId="18663"/>
    <cellStyle name="40% - Accent3 7 2 20" xfId="18664"/>
    <cellStyle name="40% - Accent3 7 2 21" xfId="18665"/>
    <cellStyle name="40% - Accent3 7 2 22" xfId="18666"/>
    <cellStyle name="40% - Accent3 7 2 23" xfId="18667"/>
    <cellStyle name="40% - Accent3 7 2 24" xfId="18668"/>
    <cellStyle name="40% - Accent3 7 2 25" xfId="18669"/>
    <cellStyle name="40% - Accent3 7 2 26" xfId="18670"/>
    <cellStyle name="40% - Accent3 7 2 27" xfId="18671"/>
    <cellStyle name="40% - Accent3 7 2 28" xfId="18672"/>
    <cellStyle name="40% - Accent3 7 2 29" xfId="18673"/>
    <cellStyle name="40% - Accent3 7 2 3" xfId="18674"/>
    <cellStyle name="40% - Accent3 7 2 30" xfId="18675"/>
    <cellStyle name="40% - Accent3 7 2 31" xfId="18676"/>
    <cellStyle name="40% - Accent3 7 2 32" xfId="18677"/>
    <cellStyle name="40% - Accent3 7 2 33" xfId="18678"/>
    <cellStyle name="40% - Accent3 7 2 34" xfId="18679"/>
    <cellStyle name="40% - Accent3 7 2 35" xfId="18680"/>
    <cellStyle name="40% - Accent3 7 2 36" xfId="18681"/>
    <cellStyle name="40% - Accent3 7 2 37" xfId="18682"/>
    <cellStyle name="40% - Accent3 7 2 38" xfId="18683"/>
    <cellStyle name="40% - Accent3 7 2 39" xfId="18684"/>
    <cellStyle name="40% - Accent3 7 2 4" xfId="18685"/>
    <cellStyle name="40% - Accent3 7 2 40" xfId="18686"/>
    <cellStyle name="40% - Accent3 7 2 41" xfId="18687"/>
    <cellStyle name="40% - Accent3 7 2 42" xfId="18688"/>
    <cellStyle name="40% - Accent3 7 2 43" xfId="18689"/>
    <cellStyle name="40% - Accent3 7 2 44" xfId="18690"/>
    <cellStyle name="40% - Accent3 7 2 45" xfId="18691"/>
    <cellStyle name="40% - Accent3 7 2 46" xfId="18692"/>
    <cellStyle name="40% - Accent3 7 2 47" xfId="18693"/>
    <cellStyle name="40% - Accent3 7 2 48" xfId="18694"/>
    <cellStyle name="40% - Accent3 7 2 49" xfId="18695"/>
    <cellStyle name="40% - Accent3 7 2 5" xfId="18696"/>
    <cellStyle name="40% - Accent3 7 2 50" xfId="18697"/>
    <cellStyle name="40% - Accent3 7 2 51" xfId="18698"/>
    <cellStyle name="40% - Accent3 7 2 52" xfId="18699"/>
    <cellStyle name="40% - Accent3 7 2 53" xfId="18700"/>
    <cellStyle name="40% - Accent3 7 2 54" xfId="18701"/>
    <cellStyle name="40% - Accent3 7 2 55" xfId="18702"/>
    <cellStyle name="40% - Accent3 7 2 6" xfId="18703"/>
    <cellStyle name="40% - Accent3 7 2 7" xfId="18704"/>
    <cellStyle name="40% - Accent3 7 2 8" xfId="18705"/>
    <cellStyle name="40% - Accent3 7 2 9" xfId="18706"/>
    <cellStyle name="40% - Accent3 7 3" xfId="18707"/>
    <cellStyle name="40% - Accent3 7 3 10" xfId="18708"/>
    <cellStyle name="40% - Accent3 7 3 11" xfId="18709"/>
    <cellStyle name="40% - Accent3 7 3 12" xfId="18710"/>
    <cellStyle name="40% - Accent3 7 3 13" xfId="18711"/>
    <cellStyle name="40% - Accent3 7 3 14" xfId="18712"/>
    <cellStyle name="40% - Accent3 7 3 15" xfId="18713"/>
    <cellStyle name="40% - Accent3 7 3 16" xfId="18714"/>
    <cellStyle name="40% - Accent3 7 3 17" xfId="18715"/>
    <cellStyle name="40% - Accent3 7 3 18" xfId="18716"/>
    <cellStyle name="40% - Accent3 7 3 19" xfId="18717"/>
    <cellStyle name="40% - Accent3 7 3 2" xfId="18718"/>
    <cellStyle name="40% - Accent3 7 3 2 2" xfId="18719"/>
    <cellStyle name="40% - Accent3 7 3 20" xfId="18720"/>
    <cellStyle name="40% - Accent3 7 3 21" xfId="18721"/>
    <cellStyle name="40% - Accent3 7 3 22" xfId="18722"/>
    <cellStyle name="40% - Accent3 7 3 23" xfId="18723"/>
    <cellStyle name="40% - Accent3 7 3 24" xfId="18724"/>
    <cellStyle name="40% - Accent3 7 3 25" xfId="18725"/>
    <cellStyle name="40% - Accent3 7 3 26" xfId="18726"/>
    <cellStyle name="40% - Accent3 7 3 27" xfId="18727"/>
    <cellStyle name="40% - Accent3 7 3 28" xfId="18728"/>
    <cellStyle name="40% - Accent3 7 3 29" xfId="18729"/>
    <cellStyle name="40% - Accent3 7 3 3" xfId="18730"/>
    <cellStyle name="40% - Accent3 7 3 30" xfId="18731"/>
    <cellStyle name="40% - Accent3 7 3 31" xfId="18732"/>
    <cellStyle name="40% - Accent3 7 3 32" xfId="18733"/>
    <cellStyle name="40% - Accent3 7 3 33" xfId="18734"/>
    <cellStyle name="40% - Accent3 7 3 34" xfId="18735"/>
    <cellStyle name="40% - Accent3 7 3 35" xfId="18736"/>
    <cellStyle name="40% - Accent3 7 3 36" xfId="18737"/>
    <cellStyle name="40% - Accent3 7 3 37" xfId="18738"/>
    <cellStyle name="40% - Accent3 7 3 38" xfId="18739"/>
    <cellStyle name="40% - Accent3 7 3 39" xfId="18740"/>
    <cellStyle name="40% - Accent3 7 3 4" xfId="18741"/>
    <cellStyle name="40% - Accent3 7 3 40" xfId="18742"/>
    <cellStyle name="40% - Accent3 7 3 41" xfId="18743"/>
    <cellStyle name="40% - Accent3 7 3 42" xfId="18744"/>
    <cellStyle name="40% - Accent3 7 3 43" xfId="18745"/>
    <cellStyle name="40% - Accent3 7 3 44" xfId="18746"/>
    <cellStyle name="40% - Accent3 7 3 45" xfId="18747"/>
    <cellStyle name="40% - Accent3 7 3 46" xfId="18748"/>
    <cellStyle name="40% - Accent3 7 3 47" xfId="18749"/>
    <cellStyle name="40% - Accent3 7 3 48" xfId="18750"/>
    <cellStyle name="40% - Accent3 7 3 49" xfId="18751"/>
    <cellStyle name="40% - Accent3 7 3 5" xfId="18752"/>
    <cellStyle name="40% - Accent3 7 3 50" xfId="18753"/>
    <cellStyle name="40% - Accent3 7 3 51" xfId="18754"/>
    <cellStyle name="40% - Accent3 7 3 52" xfId="18755"/>
    <cellStyle name="40% - Accent3 7 3 53" xfId="18756"/>
    <cellStyle name="40% - Accent3 7 3 54" xfId="18757"/>
    <cellStyle name="40% - Accent3 7 3 55" xfId="18758"/>
    <cellStyle name="40% - Accent3 7 3 6" xfId="18759"/>
    <cellStyle name="40% - Accent3 7 3 7" xfId="18760"/>
    <cellStyle name="40% - Accent3 7 3 8" xfId="18761"/>
    <cellStyle name="40% - Accent3 7 3 9" xfId="18762"/>
    <cellStyle name="40% - Accent3 8" xfId="18763"/>
    <cellStyle name="40% - Accent3 8 2" xfId="18764"/>
    <cellStyle name="40% - Accent3 8 2 10" xfId="18765"/>
    <cellStyle name="40% - Accent3 8 2 11" xfId="18766"/>
    <cellStyle name="40% - Accent3 8 2 12" xfId="18767"/>
    <cellStyle name="40% - Accent3 8 2 13" xfId="18768"/>
    <cellStyle name="40% - Accent3 8 2 14" xfId="18769"/>
    <cellStyle name="40% - Accent3 8 2 15" xfId="18770"/>
    <cellStyle name="40% - Accent3 8 2 16" xfId="18771"/>
    <cellStyle name="40% - Accent3 8 2 17" xfId="18772"/>
    <cellStyle name="40% - Accent3 8 2 18" xfId="18773"/>
    <cellStyle name="40% - Accent3 8 2 19" xfId="18774"/>
    <cellStyle name="40% - Accent3 8 2 2" xfId="18775"/>
    <cellStyle name="40% - Accent3 8 2 2 2" xfId="18776"/>
    <cellStyle name="40% - Accent3 8 2 20" xfId="18777"/>
    <cellStyle name="40% - Accent3 8 2 21" xfId="18778"/>
    <cellStyle name="40% - Accent3 8 2 22" xfId="18779"/>
    <cellStyle name="40% - Accent3 8 2 23" xfId="18780"/>
    <cellStyle name="40% - Accent3 8 2 24" xfId="18781"/>
    <cellStyle name="40% - Accent3 8 2 25" xfId="18782"/>
    <cellStyle name="40% - Accent3 8 2 26" xfId="18783"/>
    <cellStyle name="40% - Accent3 8 2 27" xfId="18784"/>
    <cellStyle name="40% - Accent3 8 2 28" xfId="18785"/>
    <cellStyle name="40% - Accent3 8 2 29" xfId="18786"/>
    <cellStyle name="40% - Accent3 8 2 3" xfId="18787"/>
    <cellStyle name="40% - Accent3 8 2 30" xfId="18788"/>
    <cellStyle name="40% - Accent3 8 2 31" xfId="18789"/>
    <cellStyle name="40% - Accent3 8 2 32" xfId="18790"/>
    <cellStyle name="40% - Accent3 8 2 33" xfId="18791"/>
    <cellStyle name="40% - Accent3 8 2 34" xfId="18792"/>
    <cellStyle name="40% - Accent3 8 2 35" xfId="18793"/>
    <cellStyle name="40% - Accent3 8 2 36" xfId="18794"/>
    <cellStyle name="40% - Accent3 8 2 37" xfId="18795"/>
    <cellStyle name="40% - Accent3 8 2 38" xfId="18796"/>
    <cellStyle name="40% - Accent3 8 2 39" xfId="18797"/>
    <cellStyle name="40% - Accent3 8 2 4" xfId="18798"/>
    <cellStyle name="40% - Accent3 8 2 40" xfId="18799"/>
    <cellStyle name="40% - Accent3 8 2 41" xfId="18800"/>
    <cellStyle name="40% - Accent3 8 2 42" xfId="18801"/>
    <cellStyle name="40% - Accent3 8 2 43" xfId="18802"/>
    <cellStyle name="40% - Accent3 8 2 44" xfId="18803"/>
    <cellStyle name="40% - Accent3 8 2 45" xfId="18804"/>
    <cellStyle name="40% - Accent3 8 2 46" xfId="18805"/>
    <cellStyle name="40% - Accent3 8 2 47" xfId="18806"/>
    <cellStyle name="40% - Accent3 8 2 48" xfId="18807"/>
    <cellStyle name="40% - Accent3 8 2 49" xfId="18808"/>
    <cellStyle name="40% - Accent3 8 2 5" xfId="18809"/>
    <cellStyle name="40% - Accent3 8 2 50" xfId="18810"/>
    <cellStyle name="40% - Accent3 8 2 51" xfId="18811"/>
    <cellStyle name="40% - Accent3 8 2 52" xfId="18812"/>
    <cellStyle name="40% - Accent3 8 2 53" xfId="18813"/>
    <cellStyle name="40% - Accent3 8 2 54" xfId="18814"/>
    <cellStyle name="40% - Accent3 8 2 55" xfId="18815"/>
    <cellStyle name="40% - Accent3 8 2 6" xfId="18816"/>
    <cellStyle name="40% - Accent3 8 2 7" xfId="18817"/>
    <cellStyle name="40% - Accent3 8 2 8" xfId="18818"/>
    <cellStyle name="40% - Accent3 8 2 9" xfId="18819"/>
    <cellStyle name="40% - Accent3 8 3" xfId="18820"/>
    <cellStyle name="40% - Accent3 8 3 10" xfId="18821"/>
    <cellStyle name="40% - Accent3 8 3 11" xfId="18822"/>
    <cellStyle name="40% - Accent3 8 3 12" xfId="18823"/>
    <cellStyle name="40% - Accent3 8 3 13" xfId="18824"/>
    <cellStyle name="40% - Accent3 8 3 14" xfId="18825"/>
    <cellStyle name="40% - Accent3 8 3 15" xfId="18826"/>
    <cellStyle name="40% - Accent3 8 3 16" xfId="18827"/>
    <cellStyle name="40% - Accent3 8 3 17" xfId="18828"/>
    <cellStyle name="40% - Accent3 8 3 18" xfId="18829"/>
    <cellStyle name="40% - Accent3 8 3 19" xfId="18830"/>
    <cellStyle name="40% - Accent3 8 3 2" xfId="18831"/>
    <cellStyle name="40% - Accent3 8 3 2 2" xfId="18832"/>
    <cellStyle name="40% - Accent3 8 3 20" xfId="18833"/>
    <cellStyle name="40% - Accent3 8 3 21" xfId="18834"/>
    <cellStyle name="40% - Accent3 8 3 22" xfId="18835"/>
    <cellStyle name="40% - Accent3 8 3 23" xfId="18836"/>
    <cellStyle name="40% - Accent3 8 3 24" xfId="18837"/>
    <cellStyle name="40% - Accent3 8 3 25" xfId="18838"/>
    <cellStyle name="40% - Accent3 8 3 26" xfId="18839"/>
    <cellStyle name="40% - Accent3 8 3 27" xfId="18840"/>
    <cellStyle name="40% - Accent3 8 3 28" xfId="18841"/>
    <cellStyle name="40% - Accent3 8 3 29" xfId="18842"/>
    <cellStyle name="40% - Accent3 8 3 3" xfId="18843"/>
    <cellStyle name="40% - Accent3 8 3 30" xfId="18844"/>
    <cellStyle name="40% - Accent3 8 3 31" xfId="18845"/>
    <cellStyle name="40% - Accent3 8 3 32" xfId="18846"/>
    <cellStyle name="40% - Accent3 8 3 33" xfId="18847"/>
    <cellStyle name="40% - Accent3 8 3 34" xfId="18848"/>
    <cellStyle name="40% - Accent3 8 3 35" xfId="18849"/>
    <cellStyle name="40% - Accent3 8 3 36" xfId="18850"/>
    <cellStyle name="40% - Accent3 8 3 37" xfId="18851"/>
    <cellStyle name="40% - Accent3 8 3 38" xfId="18852"/>
    <cellStyle name="40% - Accent3 8 3 39" xfId="18853"/>
    <cellStyle name="40% - Accent3 8 3 4" xfId="18854"/>
    <cellStyle name="40% - Accent3 8 3 40" xfId="18855"/>
    <cellStyle name="40% - Accent3 8 3 41" xfId="18856"/>
    <cellStyle name="40% - Accent3 8 3 42" xfId="18857"/>
    <cellStyle name="40% - Accent3 8 3 43" xfId="18858"/>
    <cellStyle name="40% - Accent3 8 3 44" xfId="18859"/>
    <cellStyle name="40% - Accent3 8 3 45" xfId="18860"/>
    <cellStyle name="40% - Accent3 8 3 46" xfId="18861"/>
    <cellStyle name="40% - Accent3 8 3 47" xfId="18862"/>
    <cellStyle name="40% - Accent3 8 3 48" xfId="18863"/>
    <cellStyle name="40% - Accent3 8 3 49" xfId="18864"/>
    <cellStyle name="40% - Accent3 8 3 5" xfId="18865"/>
    <cellStyle name="40% - Accent3 8 3 50" xfId="18866"/>
    <cellStyle name="40% - Accent3 8 3 51" xfId="18867"/>
    <cellStyle name="40% - Accent3 8 3 52" xfId="18868"/>
    <cellStyle name="40% - Accent3 8 3 53" xfId="18869"/>
    <cellStyle name="40% - Accent3 8 3 54" xfId="18870"/>
    <cellStyle name="40% - Accent3 8 3 55" xfId="18871"/>
    <cellStyle name="40% - Accent3 8 3 6" xfId="18872"/>
    <cellStyle name="40% - Accent3 8 3 7" xfId="18873"/>
    <cellStyle name="40% - Accent3 8 3 8" xfId="18874"/>
    <cellStyle name="40% - Accent3 8 3 9" xfId="18875"/>
    <cellStyle name="40% - Accent3 9" xfId="18876"/>
    <cellStyle name="40% - Accent3 9 2" xfId="18877"/>
    <cellStyle name="40% - Accent3 9 2 10" xfId="18878"/>
    <cellStyle name="40% - Accent3 9 2 11" xfId="18879"/>
    <cellStyle name="40% - Accent3 9 2 12" xfId="18880"/>
    <cellStyle name="40% - Accent3 9 2 13" xfId="18881"/>
    <cellStyle name="40% - Accent3 9 2 14" xfId="18882"/>
    <cellStyle name="40% - Accent3 9 2 15" xfId="18883"/>
    <cellStyle name="40% - Accent3 9 2 16" xfId="18884"/>
    <cellStyle name="40% - Accent3 9 2 17" xfId="18885"/>
    <cellStyle name="40% - Accent3 9 2 18" xfId="18886"/>
    <cellStyle name="40% - Accent3 9 2 19" xfId="18887"/>
    <cellStyle name="40% - Accent3 9 2 2" xfId="18888"/>
    <cellStyle name="40% - Accent3 9 2 2 2" xfId="18889"/>
    <cellStyle name="40% - Accent3 9 2 20" xfId="18890"/>
    <cellStyle name="40% - Accent3 9 2 21" xfId="18891"/>
    <cellStyle name="40% - Accent3 9 2 22" xfId="18892"/>
    <cellStyle name="40% - Accent3 9 2 23" xfId="18893"/>
    <cellStyle name="40% - Accent3 9 2 24" xfId="18894"/>
    <cellStyle name="40% - Accent3 9 2 25" xfId="18895"/>
    <cellStyle name="40% - Accent3 9 2 26" xfId="18896"/>
    <cellStyle name="40% - Accent3 9 2 27" xfId="18897"/>
    <cellStyle name="40% - Accent3 9 2 28" xfId="18898"/>
    <cellStyle name="40% - Accent3 9 2 29" xfId="18899"/>
    <cellStyle name="40% - Accent3 9 2 3" xfId="18900"/>
    <cellStyle name="40% - Accent3 9 2 30" xfId="18901"/>
    <cellStyle name="40% - Accent3 9 2 31" xfId="18902"/>
    <cellStyle name="40% - Accent3 9 2 32" xfId="18903"/>
    <cellStyle name="40% - Accent3 9 2 33" xfId="18904"/>
    <cellStyle name="40% - Accent3 9 2 34" xfId="18905"/>
    <cellStyle name="40% - Accent3 9 2 35" xfId="18906"/>
    <cellStyle name="40% - Accent3 9 2 36" xfId="18907"/>
    <cellStyle name="40% - Accent3 9 2 37" xfId="18908"/>
    <cellStyle name="40% - Accent3 9 2 38" xfId="18909"/>
    <cellStyle name="40% - Accent3 9 2 39" xfId="18910"/>
    <cellStyle name="40% - Accent3 9 2 4" xfId="18911"/>
    <cellStyle name="40% - Accent3 9 2 40" xfId="18912"/>
    <cellStyle name="40% - Accent3 9 2 41" xfId="18913"/>
    <cellStyle name="40% - Accent3 9 2 42" xfId="18914"/>
    <cellStyle name="40% - Accent3 9 2 43" xfId="18915"/>
    <cellStyle name="40% - Accent3 9 2 44" xfId="18916"/>
    <cellStyle name="40% - Accent3 9 2 45" xfId="18917"/>
    <cellStyle name="40% - Accent3 9 2 46" xfId="18918"/>
    <cellStyle name="40% - Accent3 9 2 47" xfId="18919"/>
    <cellStyle name="40% - Accent3 9 2 48" xfId="18920"/>
    <cellStyle name="40% - Accent3 9 2 49" xfId="18921"/>
    <cellStyle name="40% - Accent3 9 2 5" xfId="18922"/>
    <cellStyle name="40% - Accent3 9 2 50" xfId="18923"/>
    <cellStyle name="40% - Accent3 9 2 51" xfId="18924"/>
    <cellStyle name="40% - Accent3 9 2 52" xfId="18925"/>
    <cellStyle name="40% - Accent3 9 2 53" xfId="18926"/>
    <cellStyle name="40% - Accent3 9 2 54" xfId="18927"/>
    <cellStyle name="40% - Accent3 9 2 55" xfId="18928"/>
    <cellStyle name="40% - Accent3 9 2 6" xfId="18929"/>
    <cellStyle name="40% - Accent3 9 2 7" xfId="18930"/>
    <cellStyle name="40% - Accent3 9 2 8" xfId="18931"/>
    <cellStyle name="40% - Accent3 9 2 9" xfId="18932"/>
    <cellStyle name="40% - Accent3 9 3" xfId="18933"/>
    <cellStyle name="40% - Accent3 9 3 10" xfId="18934"/>
    <cellStyle name="40% - Accent3 9 3 11" xfId="18935"/>
    <cellStyle name="40% - Accent3 9 3 12" xfId="18936"/>
    <cellStyle name="40% - Accent3 9 3 13" xfId="18937"/>
    <cellStyle name="40% - Accent3 9 3 14" xfId="18938"/>
    <cellStyle name="40% - Accent3 9 3 15" xfId="18939"/>
    <cellStyle name="40% - Accent3 9 3 16" xfId="18940"/>
    <cellStyle name="40% - Accent3 9 3 17" xfId="18941"/>
    <cellStyle name="40% - Accent3 9 3 18" xfId="18942"/>
    <cellStyle name="40% - Accent3 9 3 19" xfId="18943"/>
    <cellStyle name="40% - Accent3 9 3 2" xfId="18944"/>
    <cellStyle name="40% - Accent3 9 3 2 2" xfId="18945"/>
    <cellStyle name="40% - Accent3 9 3 20" xfId="18946"/>
    <cellStyle name="40% - Accent3 9 3 21" xfId="18947"/>
    <cellStyle name="40% - Accent3 9 3 22" xfId="18948"/>
    <cellStyle name="40% - Accent3 9 3 23" xfId="18949"/>
    <cellStyle name="40% - Accent3 9 3 24" xfId="18950"/>
    <cellStyle name="40% - Accent3 9 3 25" xfId="18951"/>
    <cellStyle name="40% - Accent3 9 3 26" xfId="18952"/>
    <cellStyle name="40% - Accent3 9 3 27" xfId="18953"/>
    <cellStyle name="40% - Accent3 9 3 28" xfId="18954"/>
    <cellStyle name="40% - Accent3 9 3 29" xfId="18955"/>
    <cellStyle name="40% - Accent3 9 3 3" xfId="18956"/>
    <cellStyle name="40% - Accent3 9 3 30" xfId="18957"/>
    <cellStyle name="40% - Accent3 9 3 31" xfId="18958"/>
    <cellStyle name="40% - Accent3 9 3 32" xfId="18959"/>
    <cellStyle name="40% - Accent3 9 3 33" xfId="18960"/>
    <cellStyle name="40% - Accent3 9 3 34" xfId="18961"/>
    <cellStyle name="40% - Accent3 9 3 35" xfId="18962"/>
    <cellStyle name="40% - Accent3 9 3 36" xfId="18963"/>
    <cellStyle name="40% - Accent3 9 3 37" xfId="18964"/>
    <cellStyle name="40% - Accent3 9 3 38" xfId="18965"/>
    <cellStyle name="40% - Accent3 9 3 39" xfId="18966"/>
    <cellStyle name="40% - Accent3 9 3 4" xfId="18967"/>
    <cellStyle name="40% - Accent3 9 3 40" xfId="18968"/>
    <cellStyle name="40% - Accent3 9 3 41" xfId="18969"/>
    <cellStyle name="40% - Accent3 9 3 42" xfId="18970"/>
    <cellStyle name="40% - Accent3 9 3 43" xfId="18971"/>
    <cellStyle name="40% - Accent3 9 3 44" xfId="18972"/>
    <cellStyle name="40% - Accent3 9 3 45" xfId="18973"/>
    <cellStyle name="40% - Accent3 9 3 46" xfId="18974"/>
    <cellStyle name="40% - Accent3 9 3 47" xfId="18975"/>
    <cellStyle name="40% - Accent3 9 3 48" xfId="18976"/>
    <cellStyle name="40% - Accent3 9 3 49" xfId="18977"/>
    <cellStyle name="40% - Accent3 9 3 5" xfId="18978"/>
    <cellStyle name="40% - Accent3 9 3 50" xfId="18979"/>
    <cellStyle name="40% - Accent3 9 3 51" xfId="18980"/>
    <cellStyle name="40% - Accent3 9 3 52" xfId="18981"/>
    <cellStyle name="40% - Accent3 9 3 53" xfId="18982"/>
    <cellStyle name="40% - Accent3 9 3 54" xfId="18983"/>
    <cellStyle name="40% - Accent3 9 3 55" xfId="18984"/>
    <cellStyle name="40% - Accent3 9 3 6" xfId="18985"/>
    <cellStyle name="40% - Accent3 9 3 7" xfId="18986"/>
    <cellStyle name="40% - Accent3 9 3 8" xfId="18987"/>
    <cellStyle name="40% - Accent3 9 3 9" xfId="18988"/>
    <cellStyle name="40% - Accent4 10" xfId="18989"/>
    <cellStyle name="40% - Accent4 10 2" xfId="18990"/>
    <cellStyle name="40% - Accent4 10 2 10" xfId="18991"/>
    <cellStyle name="40% - Accent4 10 2 11" xfId="18992"/>
    <cellStyle name="40% - Accent4 10 2 12" xfId="18993"/>
    <cellStyle name="40% - Accent4 10 2 13" xfId="18994"/>
    <cellStyle name="40% - Accent4 10 2 14" xfId="18995"/>
    <cellStyle name="40% - Accent4 10 2 15" xfId="18996"/>
    <cellStyle name="40% - Accent4 10 2 16" xfId="18997"/>
    <cellStyle name="40% - Accent4 10 2 17" xfId="18998"/>
    <cellStyle name="40% - Accent4 10 2 18" xfId="18999"/>
    <cellStyle name="40% - Accent4 10 2 19" xfId="19000"/>
    <cellStyle name="40% - Accent4 10 2 2" xfId="19001"/>
    <cellStyle name="40% - Accent4 10 2 2 2" xfId="19002"/>
    <cellStyle name="40% - Accent4 10 2 20" xfId="19003"/>
    <cellStyle name="40% - Accent4 10 2 21" xfId="19004"/>
    <cellStyle name="40% - Accent4 10 2 22" xfId="19005"/>
    <cellStyle name="40% - Accent4 10 2 23" xfId="19006"/>
    <cellStyle name="40% - Accent4 10 2 24" xfId="19007"/>
    <cellStyle name="40% - Accent4 10 2 25" xfId="19008"/>
    <cellStyle name="40% - Accent4 10 2 26" xfId="19009"/>
    <cellStyle name="40% - Accent4 10 2 27" xfId="19010"/>
    <cellStyle name="40% - Accent4 10 2 28" xfId="19011"/>
    <cellStyle name="40% - Accent4 10 2 29" xfId="19012"/>
    <cellStyle name="40% - Accent4 10 2 3" xfId="19013"/>
    <cellStyle name="40% - Accent4 10 2 30" xfId="19014"/>
    <cellStyle name="40% - Accent4 10 2 31" xfId="19015"/>
    <cellStyle name="40% - Accent4 10 2 32" xfId="19016"/>
    <cellStyle name="40% - Accent4 10 2 33" xfId="19017"/>
    <cellStyle name="40% - Accent4 10 2 34" xfId="19018"/>
    <cellStyle name="40% - Accent4 10 2 35" xfId="19019"/>
    <cellStyle name="40% - Accent4 10 2 36" xfId="19020"/>
    <cellStyle name="40% - Accent4 10 2 37" xfId="19021"/>
    <cellStyle name="40% - Accent4 10 2 38" xfId="19022"/>
    <cellStyle name="40% - Accent4 10 2 39" xfId="19023"/>
    <cellStyle name="40% - Accent4 10 2 4" xfId="19024"/>
    <cellStyle name="40% - Accent4 10 2 40" xfId="19025"/>
    <cellStyle name="40% - Accent4 10 2 41" xfId="19026"/>
    <cellStyle name="40% - Accent4 10 2 42" xfId="19027"/>
    <cellStyle name="40% - Accent4 10 2 43" xfId="19028"/>
    <cellStyle name="40% - Accent4 10 2 44" xfId="19029"/>
    <cellStyle name="40% - Accent4 10 2 45" xfId="19030"/>
    <cellStyle name="40% - Accent4 10 2 46" xfId="19031"/>
    <cellStyle name="40% - Accent4 10 2 47" xfId="19032"/>
    <cellStyle name="40% - Accent4 10 2 48" xfId="19033"/>
    <cellStyle name="40% - Accent4 10 2 49" xfId="19034"/>
    <cellStyle name="40% - Accent4 10 2 5" xfId="19035"/>
    <cellStyle name="40% - Accent4 10 2 50" xfId="19036"/>
    <cellStyle name="40% - Accent4 10 2 51" xfId="19037"/>
    <cellStyle name="40% - Accent4 10 2 52" xfId="19038"/>
    <cellStyle name="40% - Accent4 10 2 53" xfId="19039"/>
    <cellStyle name="40% - Accent4 10 2 54" xfId="19040"/>
    <cellStyle name="40% - Accent4 10 2 55" xfId="19041"/>
    <cellStyle name="40% - Accent4 10 2 6" xfId="19042"/>
    <cellStyle name="40% - Accent4 10 2 7" xfId="19043"/>
    <cellStyle name="40% - Accent4 10 2 8" xfId="19044"/>
    <cellStyle name="40% - Accent4 10 2 9" xfId="19045"/>
    <cellStyle name="40% - Accent4 10 3" xfId="19046"/>
    <cellStyle name="40% - Accent4 10 3 10" xfId="19047"/>
    <cellStyle name="40% - Accent4 10 3 11" xfId="19048"/>
    <cellStyle name="40% - Accent4 10 3 12" xfId="19049"/>
    <cellStyle name="40% - Accent4 10 3 13" xfId="19050"/>
    <cellStyle name="40% - Accent4 10 3 14" xfId="19051"/>
    <cellStyle name="40% - Accent4 10 3 15" xfId="19052"/>
    <cellStyle name="40% - Accent4 10 3 16" xfId="19053"/>
    <cellStyle name="40% - Accent4 10 3 17" xfId="19054"/>
    <cellStyle name="40% - Accent4 10 3 18" xfId="19055"/>
    <cellStyle name="40% - Accent4 10 3 19" xfId="19056"/>
    <cellStyle name="40% - Accent4 10 3 2" xfId="19057"/>
    <cellStyle name="40% - Accent4 10 3 2 2" xfId="19058"/>
    <cellStyle name="40% - Accent4 10 3 20" xfId="19059"/>
    <cellStyle name="40% - Accent4 10 3 21" xfId="19060"/>
    <cellStyle name="40% - Accent4 10 3 22" xfId="19061"/>
    <cellStyle name="40% - Accent4 10 3 23" xfId="19062"/>
    <cellStyle name="40% - Accent4 10 3 24" xfId="19063"/>
    <cellStyle name="40% - Accent4 10 3 25" xfId="19064"/>
    <cellStyle name="40% - Accent4 10 3 26" xfId="19065"/>
    <cellStyle name="40% - Accent4 10 3 27" xfId="19066"/>
    <cellStyle name="40% - Accent4 10 3 28" xfId="19067"/>
    <cellStyle name="40% - Accent4 10 3 29" xfId="19068"/>
    <cellStyle name="40% - Accent4 10 3 3" xfId="19069"/>
    <cellStyle name="40% - Accent4 10 3 30" xfId="19070"/>
    <cellStyle name="40% - Accent4 10 3 31" xfId="19071"/>
    <cellStyle name="40% - Accent4 10 3 32" xfId="19072"/>
    <cellStyle name="40% - Accent4 10 3 33" xfId="19073"/>
    <cellStyle name="40% - Accent4 10 3 34" xfId="19074"/>
    <cellStyle name="40% - Accent4 10 3 35" xfId="19075"/>
    <cellStyle name="40% - Accent4 10 3 36" xfId="19076"/>
    <cellStyle name="40% - Accent4 10 3 37" xfId="19077"/>
    <cellStyle name="40% - Accent4 10 3 38" xfId="19078"/>
    <cellStyle name="40% - Accent4 10 3 39" xfId="19079"/>
    <cellStyle name="40% - Accent4 10 3 4" xfId="19080"/>
    <cellStyle name="40% - Accent4 10 3 40" xfId="19081"/>
    <cellStyle name="40% - Accent4 10 3 41" xfId="19082"/>
    <cellStyle name="40% - Accent4 10 3 42" xfId="19083"/>
    <cellStyle name="40% - Accent4 10 3 43" xfId="19084"/>
    <cellStyle name="40% - Accent4 10 3 44" xfId="19085"/>
    <cellStyle name="40% - Accent4 10 3 45" xfId="19086"/>
    <cellStyle name="40% - Accent4 10 3 46" xfId="19087"/>
    <cellStyle name="40% - Accent4 10 3 47" xfId="19088"/>
    <cellStyle name="40% - Accent4 10 3 48" xfId="19089"/>
    <cellStyle name="40% - Accent4 10 3 49" xfId="19090"/>
    <cellStyle name="40% - Accent4 10 3 5" xfId="19091"/>
    <cellStyle name="40% - Accent4 10 3 50" xfId="19092"/>
    <cellStyle name="40% - Accent4 10 3 51" xfId="19093"/>
    <cellStyle name="40% - Accent4 10 3 52" xfId="19094"/>
    <cellStyle name="40% - Accent4 10 3 53" xfId="19095"/>
    <cellStyle name="40% - Accent4 10 3 54" xfId="19096"/>
    <cellStyle name="40% - Accent4 10 3 55" xfId="19097"/>
    <cellStyle name="40% - Accent4 10 3 6" xfId="19098"/>
    <cellStyle name="40% - Accent4 10 3 7" xfId="19099"/>
    <cellStyle name="40% - Accent4 10 3 8" xfId="19100"/>
    <cellStyle name="40% - Accent4 10 3 9" xfId="19101"/>
    <cellStyle name="40% - Accent4 11" xfId="19102"/>
    <cellStyle name="40% - Accent4 11 2" xfId="19103"/>
    <cellStyle name="40% - Accent4 11 2 10" xfId="19104"/>
    <cellStyle name="40% - Accent4 11 2 11" xfId="19105"/>
    <cellStyle name="40% - Accent4 11 2 12" xfId="19106"/>
    <cellStyle name="40% - Accent4 11 2 13" xfId="19107"/>
    <cellStyle name="40% - Accent4 11 2 14" xfId="19108"/>
    <cellStyle name="40% - Accent4 11 2 15" xfId="19109"/>
    <cellStyle name="40% - Accent4 11 2 16" xfId="19110"/>
    <cellStyle name="40% - Accent4 11 2 17" xfId="19111"/>
    <cellStyle name="40% - Accent4 11 2 18" xfId="19112"/>
    <cellStyle name="40% - Accent4 11 2 19" xfId="19113"/>
    <cellStyle name="40% - Accent4 11 2 2" xfId="19114"/>
    <cellStyle name="40% - Accent4 11 2 2 2" xfId="19115"/>
    <cellStyle name="40% - Accent4 11 2 20" xfId="19116"/>
    <cellStyle name="40% - Accent4 11 2 21" xfId="19117"/>
    <cellStyle name="40% - Accent4 11 2 22" xfId="19118"/>
    <cellStyle name="40% - Accent4 11 2 23" xfId="19119"/>
    <cellStyle name="40% - Accent4 11 2 24" xfId="19120"/>
    <cellStyle name="40% - Accent4 11 2 25" xfId="19121"/>
    <cellStyle name="40% - Accent4 11 2 26" xfId="19122"/>
    <cellStyle name="40% - Accent4 11 2 27" xfId="19123"/>
    <cellStyle name="40% - Accent4 11 2 28" xfId="19124"/>
    <cellStyle name="40% - Accent4 11 2 29" xfId="19125"/>
    <cellStyle name="40% - Accent4 11 2 3" xfId="19126"/>
    <cellStyle name="40% - Accent4 11 2 30" xfId="19127"/>
    <cellStyle name="40% - Accent4 11 2 31" xfId="19128"/>
    <cellStyle name="40% - Accent4 11 2 32" xfId="19129"/>
    <cellStyle name="40% - Accent4 11 2 33" xfId="19130"/>
    <cellStyle name="40% - Accent4 11 2 34" xfId="19131"/>
    <cellStyle name="40% - Accent4 11 2 35" xfId="19132"/>
    <cellStyle name="40% - Accent4 11 2 36" xfId="19133"/>
    <cellStyle name="40% - Accent4 11 2 37" xfId="19134"/>
    <cellStyle name="40% - Accent4 11 2 38" xfId="19135"/>
    <cellStyle name="40% - Accent4 11 2 39" xfId="19136"/>
    <cellStyle name="40% - Accent4 11 2 4" xfId="19137"/>
    <cellStyle name="40% - Accent4 11 2 40" xfId="19138"/>
    <cellStyle name="40% - Accent4 11 2 41" xfId="19139"/>
    <cellStyle name="40% - Accent4 11 2 42" xfId="19140"/>
    <cellStyle name="40% - Accent4 11 2 43" xfId="19141"/>
    <cellStyle name="40% - Accent4 11 2 44" xfId="19142"/>
    <cellStyle name="40% - Accent4 11 2 45" xfId="19143"/>
    <cellStyle name="40% - Accent4 11 2 46" xfId="19144"/>
    <cellStyle name="40% - Accent4 11 2 47" xfId="19145"/>
    <cellStyle name="40% - Accent4 11 2 48" xfId="19146"/>
    <cellStyle name="40% - Accent4 11 2 49" xfId="19147"/>
    <cellStyle name="40% - Accent4 11 2 5" xfId="19148"/>
    <cellStyle name="40% - Accent4 11 2 50" xfId="19149"/>
    <cellStyle name="40% - Accent4 11 2 51" xfId="19150"/>
    <cellStyle name="40% - Accent4 11 2 52" xfId="19151"/>
    <cellStyle name="40% - Accent4 11 2 53" xfId="19152"/>
    <cellStyle name="40% - Accent4 11 2 54" xfId="19153"/>
    <cellStyle name="40% - Accent4 11 2 55" xfId="19154"/>
    <cellStyle name="40% - Accent4 11 2 6" xfId="19155"/>
    <cellStyle name="40% - Accent4 11 2 7" xfId="19156"/>
    <cellStyle name="40% - Accent4 11 2 8" xfId="19157"/>
    <cellStyle name="40% - Accent4 11 2 9" xfId="19158"/>
    <cellStyle name="40% - Accent4 11 3" xfId="19159"/>
    <cellStyle name="40% - Accent4 11 3 10" xfId="19160"/>
    <cellStyle name="40% - Accent4 11 3 11" xfId="19161"/>
    <cellStyle name="40% - Accent4 11 3 12" xfId="19162"/>
    <cellStyle name="40% - Accent4 11 3 13" xfId="19163"/>
    <cellStyle name="40% - Accent4 11 3 14" xfId="19164"/>
    <cellStyle name="40% - Accent4 11 3 15" xfId="19165"/>
    <cellStyle name="40% - Accent4 11 3 16" xfId="19166"/>
    <cellStyle name="40% - Accent4 11 3 17" xfId="19167"/>
    <cellStyle name="40% - Accent4 11 3 18" xfId="19168"/>
    <cellStyle name="40% - Accent4 11 3 19" xfId="19169"/>
    <cellStyle name="40% - Accent4 11 3 2" xfId="19170"/>
    <cellStyle name="40% - Accent4 11 3 2 2" xfId="19171"/>
    <cellStyle name="40% - Accent4 11 3 20" xfId="19172"/>
    <cellStyle name="40% - Accent4 11 3 21" xfId="19173"/>
    <cellStyle name="40% - Accent4 11 3 22" xfId="19174"/>
    <cellStyle name="40% - Accent4 11 3 23" xfId="19175"/>
    <cellStyle name="40% - Accent4 11 3 24" xfId="19176"/>
    <cellStyle name="40% - Accent4 11 3 25" xfId="19177"/>
    <cellStyle name="40% - Accent4 11 3 26" xfId="19178"/>
    <cellStyle name="40% - Accent4 11 3 27" xfId="19179"/>
    <cellStyle name="40% - Accent4 11 3 28" xfId="19180"/>
    <cellStyle name="40% - Accent4 11 3 29" xfId="19181"/>
    <cellStyle name="40% - Accent4 11 3 3" xfId="19182"/>
    <cellStyle name="40% - Accent4 11 3 30" xfId="19183"/>
    <cellStyle name="40% - Accent4 11 3 31" xfId="19184"/>
    <cellStyle name="40% - Accent4 11 3 32" xfId="19185"/>
    <cellStyle name="40% - Accent4 11 3 33" xfId="19186"/>
    <cellStyle name="40% - Accent4 11 3 34" xfId="19187"/>
    <cellStyle name="40% - Accent4 11 3 35" xfId="19188"/>
    <cellStyle name="40% - Accent4 11 3 36" xfId="19189"/>
    <cellStyle name="40% - Accent4 11 3 37" xfId="19190"/>
    <cellStyle name="40% - Accent4 11 3 38" xfId="19191"/>
    <cellStyle name="40% - Accent4 11 3 39" xfId="19192"/>
    <cellStyle name="40% - Accent4 11 3 4" xfId="19193"/>
    <cellStyle name="40% - Accent4 11 3 40" xfId="19194"/>
    <cellStyle name="40% - Accent4 11 3 41" xfId="19195"/>
    <cellStyle name="40% - Accent4 11 3 42" xfId="19196"/>
    <cellStyle name="40% - Accent4 11 3 43" xfId="19197"/>
    <cellStyle name="40% - Accent4 11 3 44" xfId="19198"/>
    <cellStyle name="40% - Accent4 11 3 45" xfId="19199"/>
    <cellStyle name="40% - Accent4 11 3 46" xfId="19200"/>
    <cellStyle name="40% - Accent4 11 3 47" xfId="19201"/>
    <cellStyle name="40% - Accent4 11 3 48" xfId="19202"/>
    <cellStyle name="40% - Accent4 11 3 49" xfId="19203"/>
    <cellStyle name="40% - Accent4 11 3 5" xfId="19204"/>
    <cellStyle name="40% - Accent4 11 3 50" xfId="19205"/>
    <cellStyle name="40% - Accent4 11 3 51" xfId="19206"/>
    <cellStyle name="40% - Accent4 11 3 52" xfId="19207"/>
    <cellStyle name="40% - Accent4 11 3 53" xfId="19208"/>
    <cellStyle name="40% - Accent4 11 3 54" xfId="19209"/>
    <cellStyle name="40% - Accent4 11 3 55" xfId="19210"/>
    <cellStyle name="40% - Accent4 11 3 6" xfId="19211"/>
    <cellStyle name="40% - Accent4 11 3 7" xfId="19212"/>
    <cellStyle name="40% - Accent4 11 3 8" xfId="19213"/>
    <cellStyle name="40% - Accent4 11 3 9" xfId="19214"/>
    <cellStyle name="40% - Accent4 12" xfId="19215"/>
    <cellStyle name="40% - Accent4 12 2" xfId="19216"/>
    <cellStyle name="40% - Accent4 12 2 10" xfId="19217"/>
    <cellStyle name="40% - Accent4 12 2 11" xfId="19218"/>
    <cellStyle name="40% - Accent4 12 2 12" xfId="19219"/>
    <cellStyle name="40% - Accent4 12 2 13" xfId="19220"/>
    <cellStyle name="40% - Accent4 12 2 14" xfId="19221"/>
    <cellStyle name="40% - Accent4 12 2 15" xfId="19222"/>
    <cellStyle name="40% - Accent4 12 2 16" xfId="19223"/>
    <cellStyle name="40% - Accent4 12 2 17" xfId="19224"/>
    <cellStyle name="40% - Accent4 12 2 18" xfId="19225"/>
    <cellStyle name="40% - Accent4 12 2 19" xfId="19226"/>
    <cellStyle name="40% - Accent4 12 2 2" xfId="19227"/>
    <cellStyle name="40% - Accent4 12 2 2 2" xfId="19228"/>
    <cellStyle name="40% - Accent4 12 2 20" xfId="19229"/>
    <cellStyle name="40% - Accent4 12 2 21" xfId="19230"/>
    <cellStyle name="40% - Accent4 12 2 22" xfId="19231"/>
    <cellStyle name="40% - Accent4 12 2 23" xfId="19232"/>
    <cellStyle name="40% - Accent4 12 2 24" xfId="19233"/>
    <cellStyle name="40% - Accent4 12 2 25" xfId="19234"/>
    <cellStyle name="40% - Accent4 12 2 26" xfId="19235"/>
    <cellStyle name="40% - Accent4 12 2 27" xfId="19236"/>
    <cellStyle name="40% - Accent4 12 2 28" xfId="19237"/>
    <cellStyle name="40% - Accent4 12 2 29" xfId="19238"/>
    <cellStyle name="40% - Accent4 12 2 3" xfId="19239"/>
    <cellStyle name="40% - Accent4 12 2 30" xfId="19240"/>
    <cellStyle name="40% - Accent4 12 2 31" xfId="19241"/>
    <cellStyle name="40% - Accent4 12 2 32" xfId="19242"/>
    <cellStyle name="40% - Accent4 12 2 33" xfId="19243"/>
    <cellStyle name="40% - Accent4 12 2 34" xfId="19244"/>
    <cellStyle name="40% - Accent4 12 2 35" xfId="19245"/>
    <cellStyle name="40% - Accent4 12 2 36" xfId="19246"/>
    <cellStyle name="40% - Accent4 12 2 37" xfId="19247"/>
    <cellStyle name="40% - Accent4 12 2 38" xfId="19248"/>
    <cellStyle name="40% - Accent4 12 2 39" xfId="19249"/>
    <cellStyle name="40% - Accent4 12 2 4" xfId="19250"/>
    <cellStyle name="40% - Accent4 12 2 40" xfId="19251"/>
    <cellStyle name="40% - Accent4 12 2 41" xfId="19252"/>
    <cellStyle name="40% - Accent4 12 2 42" xfId="19253"/>
    <cellStyle name="40% - Accent4 12 2 43" xfId="19254"/>
    <cellStyle name="40% - Accent4 12 2 44" xfId="19255"/>
    <cellStyle name="40% - Accent4 12 2 45" xfId="19256"/>
    <cellStyle name="40% - Accent4 12 2 46" xfId="19257"/>
    <cellStyle name="40% - Accent4 12 2 47" xfId="19258"/>
    <cellStyle name="40% - Accent4 12 2 48" xfId="19259"/>
    <cellStyle name="40% - Accent4 12 2 49" xfId="19260"/>
    <cellStyle name="40% - Accent4 12 2 5" xfId="19261"/>
    <cellStyle name="40% - Accent4 12 2 50" xfId="19262"/>
    <cellStyle name="40% - Accent4 12 2 51" xfId="19263"/>
    <cellStyle name="40% - Accent4 12 2 52" xfId="19264"/>
    <cellStyle name="40% - Accent4 12 2 53" xfId="19265"/>
    <cellStyle name="40% - Accent4 12 2 54" xfId="19266"/>
    <cellStyle name="40% - Accent4 12 2 55" xfId="19267"/>
    <cellStyle name="40% - Accent4 12 2 6" xfId="19268"/>
    <cellStyle name="40% - Accent4 12 2 7" xfId="19269"/>
    <cellStyle name="40% - Accent4 12 2 8" xfId="19270"/>
    <cellStyle name="40% - Accent4 12 2 9" xfId="19271"/>
    <cellStyle name="40% - Accent4 12 3" xfId="19272"/>
    <cellStyle name="40% - Accent4 12 3 10" xfId="19273"/>
    <cellStyle name="40% - Accent4 12 3 11" xfId="19274"/>
    <cellStyle name="40% - Accent4 12 3 12" xfId="19275"/>
    <cellStyle name="40% - Accent4 12 3 13" xfId="19276"/>
    <cellStyle name="40% - Accent4 12 3 14" xfId="19277"/>
    <cellStyle name="40% - Accent4 12 3 15" xfId="19278"/>
    <cellStyle name="40% - Accent4 12 3 16" xfId="19279"/>
    <cellStyle name="40% - Accent4 12 3 17" xfId="19280"/>
    <cellStyle name="40% - Accent4 12 3 18" xfId="19281"/>
    <cellStyle name="40% - Accent4 12 3 19" xfId="19282"/>
    <cellStyle name="40% - Accent4 12 3 2" xfId="19283"/>
    <cellStyle name="40% - Accent4 12 3 2 2" xfId="19284"/>
    <cellStyle name="40% - Accent4 12 3 20" xfId="19285"/>
    <cellStyle name="40% - Accent4 12 3 21" xfId="19286"/>
    <cellStyle name="40% - Accent4 12 3 22" xfId="19287"/>
    <cellStyle name="40% - Accent4 12 3 23" xfId="19288"/>
    <cellStyle name="40% - Accent4 12 3 24" xfId="19289"/>
    <cellStyle name="40% - Accent4 12 3 25" xfId="19290"/>
    <cellStyle name="40% - Accent4 12 3 26" xfId="19291"/>
    <cellStyle name="40% - Accent4 12 3 27" xfId="19292"/>
    <cellStyle name="40% - Accent4 12 3 28" xfId="19293"/>
    <cellStyle name="40% - Accent4 12 3 29" xfId="19294"/>
    <cellStyle name="40% - Accent4 12 3 3" xfId="19295"/>
    <cellStyle name="40% - Accent4 12 3 30" xfId="19296"/>
    <cellStyle name="40% - Accent4 12 3 31" xfId="19297"/>
    <cellStyle name="40% - Accent4 12 3 32" xfId="19298"/>
    <cellStyle name="40% - Accent4 12 3 33" xfId="19299"/>
    <cellStyle name="40% - Accent4 12 3 34" xfId="19300"/>
    <cellStyle name="40% - Accent4 12 3 35" xfId="19301"/>
    <cellStyle name="40% - Accent4 12 3 36" xfId="19302"/>
    <cellStyle name="40% - Accent4 12 3 37" xfId="19303"/>
    <cellStyle name="40% - Accent4 12 3 38" xfId="19304"/>
    <cellStyle name="40% - Accent4 12 3 39" xfId="19305"/>
    <cellStyle name="40% - Accent4 12 3 4" xfId="19306"/>
    <cellStyle name="40% - Accent4 12 3 40" xfId="19307"/>
    <cellStyle name="40% - Accent4 12 3 41" xfId="19308"/>
    <cellStyle name="40% - Accent4 12 3 42" xfId="19309"/>
    <cellStyle name="40% - Accent4 12 3 43" xfId="19310"/>
    <cellStyle name="40% - Accent4 12 3 44" xfId="19311"/>
    <cellStyle name="40% - Accent4 12 3 45" xfId="19312"/>
    <cellStyle name="40% - Accent4 12 3 46" xfId="19313"/>
    <cellStyle name="40% - Accent4 12 3 47" xfId="19314"/>
    <cellStyle name="40% - Accent4 12 3 48" xfId="19315"/>
    <cellStyle name="40% - Accent4 12 3 49" xfId="19316"/>
    <cellStyle name="40% - Accent4 12 3 5" xfId="19317"/>
    <cellStyle name="40% - Accent4 12 3 50" xfId="19318"/>
    <cellStyle name="40% - Accent4 12 3 51" xfId="19319"/>
    <cellStyle name="40% - Accent4 12 3 52" xfId="19320"/>
    <cellStyle name="40% - Accent4 12 3 53" xfId="19321"/>
    <cellStyle name="40% - Accent4 12 3 54" xfId="19322"/>
    <cellStyle name="40% - Accent4 12 3 55" xfId="19323"/>
    <cellStyle name="40% - Accent4 12 3 6" xfId="19324"/>
    <cellStyle name="40% - Accent4 12 3 7" xfId="19325"/>
    <cellStyle name="40% - Accent4 12 3 8" xfId="19326"/>
    <cellStyle name="40% - Accent4 12 3 9" xfId="19327"/>
    <cellStyle name="40% - Accent4 13" xfId="19328"/>
    <cellStyle name="40% - Accent4 13 2" xfId="19329"/>
    <cellStyle name="40% - Accent4 13 2 10" xfId="19330"/>
    <cellStyle name="40% - Accent4 13 2 11" xfId="19331"/>
    <cellStyle name="40% - Accent4 13 2 12" xfId="19332"/>
    <cellStyle name="40% - Accent4 13 2 13" xfId="19333"/>
    <cellStyle name="40% - Accent4 13 2 14" xfId="19334"/>
    <cellStyle name="40% - Accent4 13 2 15" xfId="19335"/>
    <cellStyle name="40% - Accent4 13 2 16" xfId="19336"/>
    <cellStyle name="40% - Accent4 13 2 17" xfId="19337"/>
    <cellStyle name="40% - Accent4 13 2 18" xfId="19338"/>
    <cellStyle name="40% - Accent4 13 2 19" xfId="19339"/>
    <cellStyle name="40% - Accent4 13 2 2" xfId="19340"/>
    <cellStyle name="40% - Accent4 13 2 2 2" xfId="19341"/>
    <cellStyle name="40% - Accent4 13 2 20" xfId="19342"/>
    <cellStyle name="40% - Accent4 13 2 21" xfId="19343"/>
    <cellStyle name="40% - Accent4 13 2 22" xfId="19344"/>
    <cellStyle name="40% - Accent4 13 2 23" xfId="19345"/>
    <cellStyle name="40% - Accent4 13 2 24" xfId="19346"/>
    <cellStyle name="40% - Accent4 13 2 25" xfId="19347"/>
    <cellStyle name="40% - Accent4 13 2 26" xfId="19348"/>
    <cellStyle name="40% - Accent4 13 2 27" xfId="19349"/>
    <cellStyle name="40% - Accent4 13 2 28" xfId="19350"/>
    <cellStyle name="40% - Accent4 13 2 29" xfId="19351"/>
    <cellStyle name="40% - Accent4 13 2 3" xfId="19352"/>
    <cellStyle name="40% - Accent4 13 2 30" xfId="19353"/>
    <cellStyle name="40% - Accent4 13 2 31" xfId="19354"/>
    <cellStyle name="40% - Accent4 13 2 32" xfId="19355"/>
    <cellStyle name="40% - Accent4 13 2 33" xfId="19356"/>
    <cellStyle name="40% - Accent4 13 2 34" xfId="19357"/>
    <cellStyle name="40% - Accent4 13 2 35" xfId="19358"/>
    <cellStyle name="40% - Accent4 13 2 36" xfId="19359"/>
    <cellStyle name="40% - Accent4 13 2 37" xfId="19360"/>
    <cellStyle name="40% - Accent4 13 2 38" xfId="19361"/>
    <cellStyle name="40% - Accent4 13 2 39" xfId="19362"/>
    <cellStyle name="40% - Accent4 13 2 4" xfId="19363"/>
    <cellStyle name="40% - Accent4 13 2 40" xfId="19364"/>
    <cellStyle name="40% - Accent4 13 2 41" xfId="19365"/>
    <cellStyle name="40% - Accent4 13 2 42" xfId="19366"/>
    <cellStyle name="40% - Accent4 13 2 43" xfId="19367"/>
    <cellStyle name="40% - Accent4 13 2 44" xfId="19368"/>
    <cellStyle name="40% - Accent4 13 2 45" xfId="19369"/>
    <cellStyle name="40% - Accent4 13 2 46" xfId="19370"/>
    <cellStyle name="40% - Accent4 13 2 47" xfId="19371"/>
    <cellStyle name="40% - Accent4 13 2 48" xfId="19372"/>
    <cellStyle name="40% - Accent4 13 2 49" xfId="19373"/>
    <cellStyle name="40% - Accent4 13 2 5" xfId="19374"/>
    <cellStyle name="40% - Accent4 13 2 50" xfId="19375"/>
    <cellStyle name="40% - Accent4 13 2 51" xfId="19376"/>
    <cellStyle name="40% - Accent4 13 2 52" xfId="19377"/>
    <cellStyle name="40% - Accent4 13 2 53" xfId="19378"/>
    <cellStyle name="40% - Accent4 13 2 54" xfId="19379"/>
    <cellStyle name="40% - Accent4 13 2 55" xfId="19380"/>
    <cellStyle name="40% - Accent4 13 2 6" xfId="19381"/>
    <cellStyle name="40% - Accent4 13 2 7" xfId="19382"/>
    <cellStyle name="40% - Accent4 13 2 8" xfId="19383"/>
    <cellStyle name="40% - Accent4 13 2 9" xfId="19384"/>
    <cellStyle name="40% - Accent4 13 3" xfId="19385"/>
    <cellStyle name="40% - Accent4 13 3 10" xfId="19386"/>
    <cellStyle name="40% - Accent4 13 3 11" xfId="19387"/>
    <cellStyle name="40% - Accent4 13 3 12" xfId="19388"/>
    <cellStyle name="40% - Accent4 13 3 13" xfId="19389"/>
    <cellStyle name="40% - Accent4 13 3 14" xfId="19390"/>
    <cellStyle name="40% - Accent4 13 3 15" xfId="19391"/>
    <cellStyle name="40% - Accent4 13 3 16" xfId="19392"/>
    <cellStyle name="40% - Accent4 13 3 17" xfId="19393"/>
    <cellStyle name="40% - Accent4 13 3 18" xfId="19394"/>
    <cellStyle name="40% - Accent4 13 3 19" xfId="19395"/>
    <cellStyle name="40% - Accent4 13 3 2" xfId="19396"/>
    <cellStyle name="40% - Accent4 13 3 2 2" xfId="19397"/>
    <cellStyle name="40% - Accent4 13 3 20" xfId="19398"/>
    <cellStyle name="40% - Accent4 13 3 21" xfId="19399"/>
    <cellStyle name="40% - Accent4 13 3 22" xfId="19400"/>
    <cellStyle name="40% - Accent4 13 3 23" xfId="19401"/>
    <cellStyle name="40% - Accent4 13 3 24" xfId="19402"/>
    <cellStyle name="40% - Accent4 13 3 25" xfId="19403"/>
    <cellStyle name="40% - Accent4 13 3 26" xfId="19404"/>
    <cellStyle name="40% - Accent4 13 3 27" xfId="19405"/>
    <cellStyle name="40% - Accent4 13 3 28" xfId="19406"/>
    <cellStyle name="40% - Accent4 13 3 29" xfId="19407"/>
    <cellStyle name="40% - Accent4 13 3 3" xfId="19408"/>
    <cellStyle name="40% - Accent4 13 3 30" xfId="19409"/>
    <cellStyle name="40% - Accent4 13 3 31" xfId="19410"/>
    <cellStyle name="40% - Accent4 13 3 32" xfId="19411"/>
    <cellStyle name="40% - Accent4 13 3 33" xfId="19412"/>
    <cellStyle name="40% - Accent4 13 3 34" xfId="19413"/>
    <cellStyle name="40% - Accent4 13 3 35" xfId="19414"/>
    <cellStyle name="40% - Accent4 13 3 36" xfId="19415"/>
    <cellStyle name="40% - Accent4 13 3 37" xfId="19416"/>
    <cellStyle name="40% - Accent4 13 3 38" xfId="19417"/>
    <cellStyle name="40% - Accent4 13 3 39" xfId="19418"/>
    <cellStyle name="40% - Accent4 13 3 4" xfId="19419"/>
    <cellStyle name="40% - Accent4 13 3 40" xfId="19420"/>
    <cellStyle name="40% - Accent4 13 3 41" xfId="19421"/>
    <cellStyle name="40% - Accent4 13 3 42" xfId="19422"/>
    <cellStyle name="40% - Accent4 13 3 43" xfId="19423"/>
    <cellStyle name="40% - Accent4 13 3 44" xfId="19424"/>
    <cellStyle name="40% - Accent4 13 3 45" xfId="19425"/>
    <cellStyle name="40% - Accent4 13 3 46" xfId="19426"/>
    <cellStyle name="40% - Accent4 13 3 47" xfId="19427"/>
    <cellStyle name="40% - Accent4 13 3 48" xfId="19428"/>
    <cellStyle name="40% - Accent4 13 3 49" xfId="19429"/>
    <cellStyle name="40% - Accent4 13 3 5" xfId="19430"/>
    <cellStyle name="40% - Accent4 13 3 50" xfId="19431"/>
    <cellStyle name="40% - Accent4 13 3 51" xfId="19432"/>
    <cellStyle name="40% - Accent4 13 3 52" xfId="19433"/>
    <cellStyle name="40% - Accent4 13 3 53" xfId="19434"/>
    <cellStyle name="40% - Accent4 13 3 54" xfId="19435"/>
    <cellStyle name="40% - Accent4 13 3 55" xfId="19436"/>
    <cellStyle name="40% - Accent4 13 3 6" xfId="19437"/>
    <cellStyle name="40% - Accent4 13 3 7" xfId="19438"/>
    <cellStyle name="40% - Accent4 13 3 8" xfId="19439"/>
    <cellStyle name="40% - Accent4 13 3 9" xfId="19440"/>
    <cellStyle name="40% - Accent4 14" xfId="19441"/>
    <cellStyle name="40% - Accent4 14 2" xfId="19442"/>
    <cellStyle name="40% - Accent4 14 2 10" xfId="19443"/>
    <cellStyle name="40% - Accent4 14 2 11" xfId="19444"/>
    <cellStyle name="40% - Accent4 14 2 12" xfId="19445"/>
    <cellStyle name="40% - Accent4 14 2 13" xfId="19446"/>
    <cellStyle name="40% - Accent4 14 2 14" xfId="19447"/>
    <cellStyle name="40% - Accent4 14 2 15" xfId="19448"/>
    <cellStyle name="40% - Accent4 14 2 16" xfId="19449"/>
    <cellStyle name="40% - Accent4 14 2 17" xfId="19450"/>
    <cellStyle name="40% - Accent4 14 2 18" xfId="19451"/>
    <cellStyle name="40% - Accent4 14 2 19" xfId="19452"/>
    <cellStyle name="40% - Accent4 14 2 2" xfId="19453"/>
    <cellStyle name="40% - Accent4 14 2 2 2" xfId="19454"/>
    <cellStyle name="40% - Accent4 14 2 20" xfId="19455"/>
    <cellStyle name="40% - Accent4 14 2 21" xfId="19456"/>
    <cellStyle name="40% - Accent4 14 2 22" xfId="19457"/>
    <cellStyle name="40% - Accent4 14 2 23" xfId="19458"/>
    <cellStyle name="40% - Accent4 14 2 24" xfId="19459"/>
    <cellStyle name="40% - Accent4 14 2 25" xfId="19460"/>
    <cellStyle name="40% - Accent4 14 2 26" xfId="19461"/>
    <cellStyle name="40% - Accent4 14 2 27" xfId="19462"/>
    <cellStyle name="40% - Accent4 14 2 28" xfId="19463"/>
    <cellStyle name="40% - Accent4 14 2 29" xfId="19464"/>
    <cellStyle name="40% - Accent4 14 2 3" xfId="19465"/>
    <cellStyle name="40% - Accent4 14 2 30" xfId="19466"/>
    <cellStyle name="40% - Accent4 14 2 31" xfId="19467"/>
    <cellStyle name="40% - Accent4 14 2 32" xfId="19468"/>
    <cellStyle name="40% - Accent4 14 2 33" xfId="19469"/>
    <cellStyle name="40% - Accent4 14 2 34" xfId="19470"/>
    <cellStyle name="40% - Accent4 14 2 35" xfId="19471"/>
    <cellStyle name="40% - Accent4 14 2 36" xfId="19472"/>
    <cellStyle name="40% - Accent4 14 2 37" xfId="19473"/>
    <cellStyle name="40% - Accent4 14 2 38" xfId="19474"/>
    <cellStyle name="40% - Accent4 14 2 39" xfId="19475"/>
    <cellStyle name="40% - Accent4 14 2 4" xfId="19476"/>
    <cellStyle name="40% - Accent4 14 2 40" xfId="19477"/>
    <cellStyle name="40% - Accent4 14 2 41" xfId="19478"/>
    <cellStyle name="40% - Accent4 14 2 42" xfId="19479"/>
    <cellStyle name="40% - Accent4 14 2 43" xfId="19480"/>
    <cellStyle name="40% - Accent4 14 2 44" xfId="19481"/>
    <cellStyle name="40% - Accent4 14 2 45" xfId="19482"/>
    <cellStyle name="40% - Accent4 14 2 46" xfId="19483"/>
    <cellStyle name="40% - Accent4 14 2 47" xfId="19484"/>
    <cellStyle name="40% - Accent4 14 2 48" xfId="19485"/>
    <cellStyle name="40% - Accent4 14 2 49" xfId="19486"/>
    <cellStyle name="40% - Accent4 14 2 5" xfId="19487"/>
    <cellStyle name="40% - Accent4 14 2 50" xfId="19488"/>
    <cellStyle name="40% - Accent4 14 2 51" xfId="19489"/>
    <cellStyle name="40% - Accent4 14 2 52" xfId="19490"/>
    <cellStyle name="40% - Accent4 14 2 53" xfId="19491"/>
    <cellStyle name="40% - Accent4 14 2 54" xfId="19492"/>
    <cellStyle name="40% - Accent4 14 2 55" xfId="19493"/>
    <cellStyle name="40% - Accent4 14 2 6" xfId="19494"/>
    <cellStyle name="40% - Accent4 14 2 7" xfId="19495"/>
    <cellStyle name="40% - Accent4 14 2 8" xfId="19496"/>
    <cellStyle name="40% - Accent4 14 2 9" xfId="19497"/>
    <cellStyle name="40% - Accent4 14 3" xfId="19498"/>
    <cellStyle name="40% - Accent4 14 3 10" xfId="19499"/>
    <cellStyle name="40% - Accent4 14 3 11" xfId="19500"/>
    <cellStyle name="40% - Accent4 14 3 12" xfId="19501"/>
    <cellStyle name="40% - Accent4 14 3 13" xfId="19502"/>
    <cellStyle name="40% - Accent4 14 3 14" xfId="19503"/>
    <cellStyle name="40% - Accent4 14 3 15" xfId="19504"/>
    <cellStyle name="40% - Accent4 14 3 16" xfId="19505"/>
    <cellStyle name="40% - Accent4 14 3 17" xfId="19506"/>
    <cellStyle name="40% - Accent4 14 3 18" xfId="19507"/>
    <cellStyle name="40% - Accent4 14 3 19" xfId="19508"/>
    <cellStyle name="40% - Accent4 14 3 2" xfId="19509"/>
    <cellStyle name="40% - Accent4 14 3 2 2" xfId="19510"/>
    <cellStyle name="40% - Accent4 14 3 20" xfId="19511"/>
    <cellStyle name="40% - Accent4 14 3 21" xfId="19512"/>
    <cellStyle name="40% - Accent4 14 3 22" xfId="19513"/>
    <cellStyle name="40% - Accent4 14 3 23" xfId="19514"/>
    <cellStyle name="40% - Accent4 14 3 24" xfId="19515"/>
    <cellStyle name="40% - Accent4 14 3 25" xfId="19516"/>
    <cellStyle name="40% - Accent4 14 3 26" xfId="19517"/>
    <cellStyle name="40% - Accent4 14 3 27" xfId="19518"/>
    <cellStyle name="40% - Accent4 14 3 28" xfId="19519"/>
    <cellStyle name="40% - Accent4 14 3 29" xfId="19520"/>
    <cellStyle name="40% - Accent4 14 3 3" xfId="19521"/>
    <cellStyle name="40% - Accent4 14 3 30" xfId="19522"/>
    <cellStyle name="40% - Accent4 14 3 31" xfId="19523"/>
    <cellStyle name="40% - Accent4 14 3 32" xfId="19524"/>
    <cellStyle name="40% - Accent4 14 3 33" xfId="19525"/>
    <cellStyle name="40% - Accent4 14 3 34" xfId="19526"/>
    <cellStyle name="40% - Accent4 14 3 35" xfId="19527"/>
    <cellStyle name="40% - Accent4 14 3 36" xfId="19528"/>
    <cellStyle name="40% - Accent4 14 3 37" xfId="19529"/>
    <cellStyle name="40% - Accent4 14 3 38" xfId="19530"/>
    <cellStyle name="40% - Accent4 14 3 39" xfId="19531"/>
    <cellStyle name="40% - Accent4 14 3 4" xfId="19532"/>
    <cellStyle name="40% - Accent4 14 3 40" xfId="19533"/>
    <cellStyle name="40% - Accent4 14 3 41" xfId="19534"/>
    <cellStyle name="40% - Accent4 14 3 42" xfId="19535"/>
    <cellStyle name="40% - Accent4 14 3 43" xfId="19536"/>
    <cellStyle name="40% - Accent4 14 3 44" xfId="19537"/>
    <cellStyle name="40% - Accent4 14 3 45" xfId="19538"/>
    <cellStyle name="40% - Accent4 14 3 46" xfId="19539"/>
    <cellStyle name="40% - Accent4 14 3 47" xfId="19540"/>
    <cellStyle name="40% - Accent4 14 3 48" xfId="19541"/>
    <cellStyle name="40% - Accent4 14 3 49" xfId="19542"/>
    <cellStyle name="40% - Accent4 14 3 5" xfId="19543"/>
    <cellStyle name="40% - Accent4 14 3 50" xfId="19544"/>
    <cellStyle name="40% - Accent4 14 3 51" xfId="19545"/>
    <cellStyle name="40% - Accent4 14 3 52" xfId="19546"/>
    <cellStyle name="40% - Accent4 14 3 53" xfId="19547"/>
    <cellStyle name="40% - Accent4 14 3 54" xfId="19548"/>
    <cellStyle name="40% - Accent4 14 3 55" xfId="19549"/>
    <cellStyle name="40% - Accent4 14 3 6" xfId="19550"/>
    <cellStyle name="40% - Accent4 14 3 7" xfId="19551"/>
    <cellStyle name="40% - Accent4 14 3 8" xfId="19552"/>
    <cellStyle name="40% - Accent4 14 3 9" xfId="19553"/>
    <cellStyle name="40% - Accent4 15" xfId="19554"/>
    <cellStyle name="40% - Accent4 15 2" xfId="19555"/>
    <cellStyle name="40% - Accent4 15 2 10" xfId="19556"/>
    <cellStyle name="40% - Accent4 15 2 11" xfId="19557"/>
    <cellStyle name="40% - Accent4 15 2 12" xfId="19558"/>
    <cellStyle name="40% - Accent4 15 2 13" xfId="19559"/>
    <cellStyle name="40% - Accent4 15 2 14" xfId="19560"/>
    <cellStyle name="40% - Accent4 15 2 15" xfId="19561"/>
    <cellStyle name="40% - Accent4 15 2 16" xfId="19562"/>
    <cellStyle name="40% - Accent4 15 2 17" xfId="19563"/>
    <cellStyle name="40% - Accent4 15 2 18" xfId="19564"/>
    <cellStyle name="40% - Accent4 15 2 19" xfId="19565"/>
    <cellStyle name="40% - Accent4 15 2 2" xfId="19566"/>
    <cellStyle name="40% - Accent4 15 2 2 2" xfId="19567"/>
    <cellStyle name="40% - Accent4 15 2 20" xfId="19568"/>
    <cellStyle name="40% - Accent4 15 2 21" xfId="19569"/>
    <cellStyle name="40% - Accent4 15 2 22" xfId="19570"/>
    <cellStyle name="40% - Accent4 15 2 23" xfId="19571"/>
    <cellStyle name="40% - Accent4 15 2 24" xfId="19572"/>
    <cellStyle name="40% - Accent4 15 2 25" xfId="19573"/>
    <cellStyle name="40% - Accent4 15 2 26" xfId="19574"/>
    <cellStyle name="40% - Accent4 15 2 27" xfId="19575"/>
    <cellStyle name="40% - Accent4 15 2 28" xfId="19576"/>
    <cellStyle name="40% - Accent4 15 2 29" xfId="19577"/>
    <cellStyle name="40% - Accent4 15 2 3" xfId="19578"/>
    <cellStyle name="40% - Accent4 15 2 30" xfId="19579"/>
    <cellStyle name="40% - Accent4 15 2 31" xfId="19580"/>
    <cellStyle name="40% - Accent4 15 2 32" xfId="19581"/>
    <cellStyle name="40% - Accent4 15 2 33" xfId="19582"/>
    <cellStyle name="40% - Accent4 15 2 34" xfId="19583"/>
    <cellStyle name="40% - Accent4 15 2 35" xfId="19584"/>
    <cellStyle name="40% - Accent4 15 2 36" xfId="19585"/>
    <cellStyle name="40% - Accent4 15 2 37" xfId="19586"/>
    <cellStyle name="40% - Accent4 15 2 38" xfId="19587"/>
    <cellStyle name="40% - Accent4 15 2 39" xfId="19588"/>
    <cellStyle name="40% - Accent4 15 2 4" xfId="19589"/>
    <cellStyle name="40% - Accent4 15 2 40" xfId="19590"/>
    <cellStyle name="40% - Accent4 15 2 41" xfId="19591"/>
    <cellStyle name="40% - Accent4 15 2 42" xfId="19592"/>
    <cellStyle name="40% - Accent4 15 2 43" xfId="19593"/>
    <cellStyle name="40% - Accent4 15 2 44" xfId="19594"/>
    <cellStyle name="40% - Accent4 15 2 45" xfId="19595"/>
    <cellStyle name="40% - Accent4 15 2 46" xfId="19596"/>
    <cellStyle name="40% - Accent4 15 2 47" xfId="19597"/>
    <cellStyle name="40% - Accent4 15 2 48" xfId="19598"/>
    <cellStyle name="40% - Accent4 15 2 49" xfId="19599"/>
    <cellStyle name="40% - Accent4 15 2 5" xfId="19600"/>
    <cellStyle name="40% - Accent4 15 2 50" xfId="19601"/>
    <cellStyle name="40% - Accent4 15 2 51" xfId="19602"/>
    <cellStyle name="40% - Accent4 15 2 52" xfId="19603"/>
    <cellStyle name="40% - Accent4 15 2 53" xfId="19604"/>
    <cellStyle name="40% - Accent4 15 2 54" xfId="19605"/>
    <cellStyle name="40% - Accent4 15 2 55" xfId="19606"/>
    <cellStyle name="40% - Accent4 15 2 6" xfId="19607"/>
    <cellStyle name="40% - Accent4 15 2 7" xfId="19608"/>
    <cellStyle name="40% - Accent4 15 2 8" xfId="19609"/>
    <cellStyle name="40% - Accent4 15 2 9" xfId="19610"/>
    <cellStyle name="40% - Accent4 15 3" xfId="19611"/>
    <cellStyle name="40% - Accent4 15 3 10" xfId="19612"/>
    <cellStyle name="40% - Accent4 15 3 11" xfId="19613"/>
    <cellStyle name="40% - Accent4 15 3 12" xfId="19614"/>
    <cellStyle name="40% - Accent4 15 3 13" xfId="19615"/>
    <cellStyle name="40% - Accent4 15 3 14" xfId="19616"/>
    <cellStyle name="40% - Accent4 15 3 15" xfId="19617"/>
    <cellStyle name="40% - Accent4 15 3 16" xfId="19618"/>
    <cellStyle name="40% - Accent4 15 3 17" xfId="19619"/>
    <cellStyle name="40% - Accent4 15 3 18" xfId="19620"/>
    <cellStyle name="40% - Accent4 15 3 19" xfId="19621"/>
    <cellStyle name="40% - Accent4 15 3 2" xfId="19622"/>
    <cellStyle name="40% - Accent4 15 3 2 2" xfId="19623"/>
    <cellStyle name="40% - Accent4 15 3 20" xfId="19624"/>
    <cellStyle name="40% - Accent4 15 3 21" xfId="19625"/>
    <cellStyle name="40% - Accent4 15 3 22" xfId="19626"/>
    <cellStyle name="40% - Accent4 15 3 23" xfId="19627"/>
    <cellStyle name="40% - Accent4 15 3 24" xfId="19628"/>
    <cellStyle name="40% - Accent4 15 3 25" xfId="19629"/>
    <cellStyle name="40% - Accent4 15 3 26" xfId="19630"/>
    <cellStyle name="40% - Accent4 15 3 27" xfId="19631"/>
    <cellStyle name="40% - Accent4 15 3 28" xfId="19632"/>
    <cellStyle name="40% - Accent4 15 3 29" xfId="19633"/>
    <cellStyle name="40% - Accent4 15 3 3" xfId="19634"/>
    <cellStyle name="40% - Accent4 15 3 30" xfId="19635"/>
    <cellStyle name="40% - Accent4 15 3 31" xfId="19636"/>
    <cellStyle name="40% - Accent4 15 3 32" xfId="19637"/>
    <cellStyle name="40% - Accent4 15 3 33" xfId="19638"/>
    <cellStyle name="40% - Accent4 15 3 34" xfId="19639"/>
    <cellStyle name="40% - Accent4 15 3 35" xfId="19640"/>
    <cellStyle name="40% - Accent4 15 3 36" xfId="19641"/>
    <cellStyle name="40% - Accent4 15 3 37" xfId="19642"/>
    <cellStyle name="40% - Accent4 15 3 38" xfId="19643"/>
    <cellStyle name="40% - Accent4 15 3 39" xfId="19644"/>
    <cellStyle name="40% - Accent4 15 3 4" xfId="19645"/>
    <cellStyle name="40% - Accent4 15 3 40" xfId="19646"/>
    <cellStyle name="40% - Accent4 15 3 41" xfId="19647"/>
    <cellStyle name="40% - Accent4 15 3 42" xfId="19648"/>
    <cellStyle name="40% - Accent4 15 3 43" xfId="19649"/>
    <cellStyle name="40% - Accent4 15 3 44" xfId="19650"/>
    <cellStyle name="40% - Accent4 15 3 45" xfId="19651"/>
    <cellStyle name="40% - Accent4 15 3 46" xfId="19652"/>
    <cellStyle name="40% - Accent4 15 3 47" xfId="19653"/>
    <cellStyle name="40% - Accent4 15 3 48" xfId="19654"/>
    <cellStyle name="40% - Accent4 15 3 49" xfId="19655"/>
    <cellStyle name="40% - Accent4 15 3 5" xfId="19656"/>
    <cellStyle name="40% - Accent4 15 3 50" xfId="19657"/>
    <cellStyle name="40% - Accent4 15 3 51" xfId="19658"/>
    <cellStyle name="40% - Accent4 15 3 52" xfId="19659"/>
    <cellStyle name="40% - Accent4 15 3 53" xfId="19660"/>
    <cellStyle name="40% - Accent4 15 3 54" xfId="19661"/>
    <cellStyle name="40% - Accent4 15 3 55" xfId="19662"/>
    <cellStyle name="40% - Accent4 15 3 6" xfId="19663"/>
    <cellStyle name="40% - Accent4 15 3 7" xfId="19664"/>
    <cellStyle name="40% - Accent4 15 3 8" xfId="19665"/>
    <cellStyle name="40% - Accent4 15 3 9" xfId="19666"/>
    <cellStyle name="40% - Accent4 16" xfId="19667"/>
    <cellStyle name="40% - Accent4 16 2" xfId="19668"/>
    <cellStyle name="40% - Accent4 16 2 10" xfId="19669"/>
    <cellStyle name="40% - Accent4 16 2 11" xfId="19670"/>
    <cellStyle name="40% - Accent4 16 2 12" xfId="19671"/>
    <cellStyle name="40% - Accent4 16 2 13" xfId="19672"/>
    <cellStyle name="40% - Accent4 16 2 14" xfId="19673"/>
    <cellStyle name="40% - Accent4 16 2 15" xfId="19674"/>
    <cellStyle name="40% - Accent4 16 2 16" xfId="19675"/>
    <cellStyle name="40% - Accent4 16 2 17" xfId="19676"/>
    <cellStyle name="40% - Accent4 16 2 18" xfId="19677"/>
    <cellStyle name="40% - Accent4 16 2 19" xfId="19678"/>
    <cellStyle name="40% - Accent4 16 2 2" xfId="19679"/>
    <cellStyle name="40% - Accent4 16 2 2 2" xfId="19680"/>
    <cellStyle name="40% - Accent4 16 2 20" xfId="19681"/>
    <cellStyle name="40% - Accent4 16 2 21" xfId="19682"/>
    <cellStyle name="40% - Accent4 16 2 22" xfId="19683"/>
    <cellStyle name="40% - Accent4 16 2 23" xfId="19684"/>
    <cellStyle name="40% - Accent4 16 2 24" xfId="19685"/>
    <cellStyle name="40% - Accent4 16 2 25" xfId="19686"/>
    <cellStyle name="40% - Accent4 16 2 26" xfId="19687"/>
    <cellStyle name="40% - Accent4 16 2 27" xfId="19688"/>
    <cellStyle name="40% - Accent4 16 2 28" xfId="19689"/>
    <cellStyle name="40% - Accent4 16 2 29" xfId="19690"/>
    <cellStyle name="40% - Accent4 16 2 3" xfId="19691"/>
    <cellStyle name="40% - Accent4 16 2 30" xfId="19692"/>
    <cellStyle name="40% - Accent4 16 2 31" xfId="19693"/>
    <cellStyle name="40% - Accent4 16 2 32" xfId="19694"/>
    <cellStyle name="40% - Accent4 16 2 33" xfId="19695"/>
    <cellStyle name="40% - Accent4 16 2 34" xfId="19696"/>
    <cellStyle name="40% - Accent4 16 2 35" xfId="19697"/>
    <cellStyle name="40% - Accent4 16 2 36" xfId="19698"/>
    <cellStyle name="40% - Accent4 16 2 37" xfId="19699"/>
    <cellStyle name="40% - Accent4 16 2 38" xfId="19700"/>
    <cellStyle name="40% - Accent4 16 2 39" xfId="19701"/>
    <cellStyle name="40% - Accent4 16 2 4" xfId="19702"/>
    <cellStyle name="40% - Accent4 16 2 40" xfId="19703"/>
    <cellStyle name="40% - Accent4 16 2 41" xfId="19704"/>
    <cellStyle name="40% - Accent4 16 2 42" xfId="19705"/>
    <cellStyle name="40% - Accent4 16 2 43" xfId="19706"/>
    <cellStyle name="40% - Accent4 16 2 44" xfId="19707"/>
    <cellStyle name="40% - Accent4 16 2 45" xfId="19708"/>
    <cellStyle name="40% - Accent4 16 2 46" xfId="19709"/>
    <cellStyle name="40% - Accent4 16 2 47" xfId="19710"/>
    <cellStyle name="40% - Accent4 16 2 48" xfId="19711"/>
    <cellStyle name="40% - Accent4 16 2 49" xfId="19712"/>
    <cellStyle name="40% - Accent4 16 2 5" xfId="19713"/>
    <cellStyle name="40% - Accent4 16 2 50" xfId="19714"/>
    <cellStyle name="40% - Accent4 16 2 51" xfId="19715"/>
    <cellStyle name="40% - Accent4 16 2 52" xfId="19716"/>
    <cellStyle name="40% - Accent4 16 2 53" xfId="19717"/>
    <cellStyle name="40% - Accent4 16 2 54" xfId="19718"/>
    <cellStyle name="40% - Accent4 16 2 55" xfId="19719"/>
    <cellStyle name="40% - Accent4 16 2 6" xfId="19720"/>
    <cellStyle name="40% - Accent4 16 2 7" xfId="19721"/>
    <cellStyle name="40% - Accent4 16 2 8" xfId="19722"/>
    <cellStyle name="40% - Accent4 16 2 9" xfId="19723"/>
    <cellStyle name="40% - Accent4 16 3" xfId="19724"/>
    <cellStyle name="40% - Accent4 16 3 10" xfId="19725"/>
    <cellStyle name="40% - Accent4 16 3 11" xfId="19726"/>
    <cellStyle name="40% - Accent4 16 3 12" xfId="19727"/>
    <cellStyle name="40% - Accent4 16 3 13" xfId="19728"/>
    <cellStyle name="40% - Accent4 16 3 14" xfId="19729"/>
    <cellStyle name="40% - Accent4 16 3 15" xfId="19730"/>
    <cellStyle name="40% - Accent4 16 3 16" xfId="19731"/>
    <cellStyle name="40% - Accent4 16 3 17" xfId="19732"/>
    <cellStyle name="40% - Accent4 16 3 18" xfId="19733"/>
    <cellStyle name="40% - Accent4 16 3 19" xfId="19734"/>
    <cellStyle name="40% - Accent4 16 3 2" xfId="19735"/>
    <cellStyle name="40% - Accent4 16 3 2 2" xfId="19736"/>
    <cellStyle name="40% - Accent4 16 3 20" xfId="19737"/>
    <cellStyle name="40% - Accent4 16 3 21" xfId="19738"/>
    <cellStyle name="40% - Accent4 16 3 22" xfId="19739"/>
    <cellStyle name="40% - Accent4 16 3 23" xfId="19740"/>
    <cellStyle name="40% - Accent4 16 3 24" xfId="19741"/>
    <cellStyle name="40% - Accent4 16 3 25" xfId="19742"/>
    <cellStyle name="40% - Accent4 16 3 26" xfId="19743"/>
    <cellStyle name="40% - Accent4 16 3 27" xfId="19744"/>
    <cellStyle name="40% - Accent4 16 3 28" xfId="19745"/>
    <cellStyle name="40% - Accent4 16 3 29" xfId="19746"/>
    <cellStyle name="40% - Accent4 16 3 3" xfId="19747"/>
    <cellStyle name="40% - Accent4 16 3 30" xfId="19748"/>
    <cellStyle name="40% - Accent4 16 3 31" xfId="19749"/>
    <cellStyle name="40% - Accent4 16 3 32" xfId="19750"/>
    <cellStyle name="40% - Accent4 16 3 33" xfId="19751"/>
    <cellStyle name="40% - Accent4 16 3 34" xfId="19752"/>
    <cellStyle name="40% - Accent4 16 3 35" xfId="19753"/>
    <cellStyle name="40% - Accent4 16 3 36" xfId="19754"/>
    <cellStyle name="40% - Accent4 16 3 37" xfId="19755"/>
    <cellStyle name="40% - Accent4 16 3 38" xfId="19756"/>
    <cellStyle name="40% - Accent4 16 3 39" xfId="19757"/>
    <cellStyle name="40% - Accent4 16 3 4" xfId="19758"/>
    <cellStyle name="40% - Accent4 16 3 40" xfId="19759"/>
    <cellStyle name="40% - Accent4 16 3 41" xfId="19760"/>
    <cellStyle name="40% - Accent4 16 3 42" xfId="19761"/>
    <cellStyle name="40% - Accent4 16 3 43" xfId="19762"/>
    <cellStyle name="40% - Accent4 16 3 44" xfId="19763"/>
    <cellStyle name="40% - Accent4 16 3 45" xfId="19764"/>
    <cellStyle name="40% - Accent4 16 3 46" xfId="19765"/>
    <cellStyle name="40% - Accent4 16 3 47" xfId="19766"/>
    <cellStyle name="40% - Accent4 16 3 48" xfId="19767"/>
    <cellStyle name="40% - Accent4 16 3 49" xfId="19768"/>
    <cellStyle name="40% - Accent4 16 3 5" xfId="19769"/>
    <cellStyle name="40% - Accent4 16 3 50" xfId="19770"/>
    <cellStyle name="40% - Accent4 16 3 51" xfId="19771"/>
    <cellStyle name="40% - Accent4 16 3 52" xfId="19772"/>
    <cellStyle name="40% - Accent4 16 3 53" xfId="19773"/>
    <cellStyle name="40% - Accent4 16 3 54" xfId="19774"/>
    <cellStyle name="40% - Accent4 16 3 55" xfId="19775"/>
    <cellStyle name="40% - Accent4 16 3 6" xfId="19776"/>
    <cellStyle name="40% - Accent4 16 3 7" xfId="19777"/>
    <cellStyle name="40% - Accent4 16 3 8" xfId="19778"/>
    <cellStyle name="40% - Accent4 16 3 9" xfId="19779"/>
    <cellStyle name="40% - Accent4 17" xfId="19780"/>
    <cellStyle name="40% - Accent4 17 2" xfId="19781"/>
    <cellStyle name="40% - Accent4 17 2 10" xfId="19782"/>
    <cellStyle name="40% - Accent4 17 2 11" xfId="19783"/>
    <cellStyle name="40% - Accent4 17 2 12" xfId="19784"/>
    <cellStyle name="40% - Accent4 17 2 13" xfId="19785"/>
    <cellStyle name="40% - Accent4 17 2 14" xfId="19786"/>
    <cellStyle name="40% - Accent4 17 2 15" xfId="19787"/>
    <cellStyle name="40% - Accent4 17 2 16" xfId="19788"/>
    <cellStyle name="40% - Accent4 17 2 17" xfId="19789"/>
    <cellStyle name="40% - Accent4 17 2 18" xfId="19790"/>
    <cellStyle name="40% - Accent4 17 2 19" xfId="19791"/>
    <cellStyle name="40% - Accent4 17 2 2" xfId="19792"/>
    <cellStyle name="40% - Accent4 17 2 2 2" xfId="19793"/>
    <cellStyle name="40% - Accent4 17 2 20" xfId="19794"/>
    <cellStyle name="40% - Accent4 17 2 21" xfId="19795"/>
    <cellStyle name="40% - Accent4 17 2 22" xfId="19796"/>
    <cellStyle name="40% - Accent4 17 2 23" xfId="19797"/>
    <cellStyle name="40% - Accent4 17 2 24" xfId="19798"/>
    <cellStyle name="40% - Accent4 17 2 25" xfId="19799"/>
    <cellStyle name="40% - Accent4 17 2 26" xfId="19800"/>
    <cellStyle name="40% - Accent4 17 2 27" xfId="19801"/>
    <cellStyle name="40% - Accent4 17 2 28" xfId="19802"/>
    <cellStyle name="40% - Accent4 17 2 29" xfId="19803"/>
    <cellStyle name="40% - Accent4 17 2 3" xfId="19804"/>
    <cellStyle name="40% - Accent4 17 2 30" xfId="19805"/>
    <cellStyle name="40% - Accent4 17 2 31" xfId="19806"/>
    <cellStyle name="40% - Accent4 17 2 32" xfId="19807"/>
    <cellStyle name="40% - Accent4 17 2 33" xfId="19808"/>
    <cellStyle name="40% - Accent4 17 2 34" xfId="19809"/>
    <cellStyle name="40% - Accent4 17 2 35" xfId="19810"/>
    <cellStyle name="40% - Accent4 17 2 36" xfId="19811"/>
    <cellStyle name="40% - Accent4 17 2 37" xfId="19812"/>
    <cellStyle name="40% - Accent4 17 2 38" xfId="19813"/>
    <cellStyle name="40% - Accent4 17 2 39" xfId="19814"/>
    <cellStyle name="40% - Accent4 17 2 4" xfId="19815"/>
    <cellStyle name="40% - Accent4 17 2 40" xfId="19816"/>
    <cellStyle name="40% - Accent4 17 2 41" xfId="19817"/>
    <cellStyle name="40% - Accent4 17 2 42" xfId="19818"/>
    <cellStyle name="40% - Accent4 17 2 43" xfId="19819"/>
    <cellStyle name="40% - Accent4 17 2 44" xfId="19820"/>
    <cellStyle name="40% - Accent4 17 2 45" xfId="19821"/>
    <cellStyle name="40% - Accent4 17 2 46" xfId="19822"/>
    <cellStyle name="40% - Accent4 17 2 47" xfId="19823"/>
    <cellStyle name="40% - Accent4 17 2 48" xfId="19824"/>
    <cellStyle name="40% - Accent4 17 2 49" xfId="19825"/>
    <cellStyle name="40% - Accent4 17 2 5" xfId="19826"/>
    <cellStyle name="40% - Accent4 17 2 50" xfId="19827"/>
    <cellStyle name="40% - Accent4 17 2 51" xfId="19828"/>
    <cellStyle name="40% - Accent4 17 2 52" xfId="19829"/>
    <cellStyle name="40% - Accent4 17 2 53" xfId="19830"/>
    <cellStyle name="40% - Accent4 17 2 54" xfId="19831"/>
    <cellStyle name="40% - Accent4 17 2 55" xfId="19832"/>
    <cellStyle name="40% - Accent4 17 2 6" xfId="19833"/>
    <cellStyle name="40% - Accent4 17 2 7" xfId="19834"/>
    <cellStyle name="40% - Accent4 17 2 8" xfId="19835"/>
    <cellStyle name="40% - Accent4 17 2 9" xfId="19836"/>
    <cellStyle name="40% - Accent4 17 3" xfId="19837"/>
    <cellStyle name="40% - Accent4 17 3 10" xfId="19838"/>
    <cellStyle name="40% - Accent4 17 3 11" xfId="19839"/>
    <cellStyle name="40% - Accent4 17 3 12" xfId="19840"/>
    <cellStyle name="40% - Accent4 17 3 13" xfId="19841"/>
    <cellStyle name="40% - Accent4 17 3 14" xfId="19842"/>
    <cellStyle name="40% - Accent4 17 3 15" xfId="19843"/>
    <cellStyle name="40% - Accent4 17 3 16" xfId="19844"/>
    <cellStyle name="40% - Accent4 17 3 17" xfId="19845"/>
    <cellStyle name="40% - Accent4 17 3 18" xfId="19846"/>
    <cellStyle name="40% - Accent4 17 3 19" xfId="19847"/>
    <cellStyle name="40% - Accent4 17 3 2" xfId="19848"/>
    <cellStyle name="40% - Accent4 17 3 2 2" xfId="19849"/>
    <cellStyle name="40% - Accent4 17 3 20" xfId="19850"/>
    <cellStyle name="40% - Accent4 17 3 21" xfId="19851"/>
    <cellStyle name="40% - Accent4 17 3 22" xfId="19852"/>
    <cellStyle name="40% - Accent4 17 3 23" xfId="19853"/>
    <cellStyle name="40% - Accent4 17 3 24" xfId="19854"/>
    <cellStyle name="40% - Accent4 17 3 25" xfId="19855"/>
    <cellStyle name="40% - Accent4 17 3 26" xfId="19856"/>
    <cellStyle name="40% - Accent4 17 3 27" xfId="19857"/>
    <cellStyle name="40% - Accent4 17 3 28" xfId="19858"/>
    <cellStyle name="40% - Accent4 17 3 29" xfId="19859"/>
    <cellStyle name="40% - Accent4 17 3 3" xfId="19860"/>
    <cellStyle name="40% - Accent4 17 3 30" xfId="19861"/>
    <cellStyle name="40% - Accent4 17 3 31" xfId="19862"/>
    <cellStyle name="40% - Accent4 17 3 32" xfId="19863"/>
    <cellStyle name="40% - Accent4 17 3 33" xfId="19864"/>
    <cellStyle name="40% - Accent4 17 3 34" xfId="19865"/>
    <cellStyle name="40% - Accent4 17 3 35" xfId="19866"/>
    <cellStyle name="40% - Accent4 17 3 36" xfId="19867"/>
    <cellStyle name="40% - Accent4 17 3 37" xfId="19868"/>
    <cellStyle name="40% - Accent4 17 3 38" xfId="19869"/>
    <cellStyle name="40% - Accent4 17 3 39" xfId="19870"/>
    <cellStyle name="40% - Accent4 17 3 4" xfId="19871"/>
    <cellStyle name="40% - Accent4 17 3 40" xfId="19872"/>
    <cellStyle name="40% - Accent4 17 3 41" xfId="19873"/>
    <cellStyle name="40% - Accent4 17 3 42" xfId="19874"/>
    <cellStyle name="40% - Accent4 17 3 43" xfId="19875"/>
    <cellStyle name="40% - Accent4 17 3 44" xfId="19876"/>
    <cellStyle name="40% - Accent4 17 3 45" xfId="19877"/>
    <cellStyle name="40% - Accent4 17 3 46" xfId="19878"/>
    <cellStyle name="40% - Accent4 17 3 47" xfId="19879"/>
    <cellStyle name="40% - Accent4 17 3 48" xfId="19880"/>
    <cellStyle name="40% - Accent4 17 3 49" xfId="19881"/>
    <cellStyle name="40% - Accent4 17 3 5" xfId="19882"/>
    <cellStyle name="40% - Accent4 17 3 50" xfId="19883"/>
    <cellStyle name="40% - Accent4 17 3 51" xfId="19884"/>
    <cellStyle name="40% - Accent4 17 3 52" xfId="19885"/>
    <cellStyle name="40% - Accent4 17 3 53" xfId="19886"/>
    <cellStyle name="40% - Accent4 17 3 54" xfId="19887"/>
    <cellStyle name="40% - Accent4 17 3 55" xfId="19888"/>
    <cellStyle name="40% - Accent4 17 3 6" xfId="19889"/>
    <cellStyle name="40% - Accent4 17 3 7" xfId="19890"/>
    <cellStyle name="40% - Accent4 17 3 8" xfId="19891"/>
    <cellStyle name="40% - Accent4 17 3 9" xfId="19892"/>
    <cellStyle name="40% - Accent4 18" xfId="19893"/>
    <cellStyle name="40% - Accent4 18 2" xfId="19894"/>
    <cellStyle name="40% - Accent4 18 2 10" xfId="19895"/>
    <cellStyle name="40% - Accent4 18 2 11" xfId="19896"/>
    <cellStyle name="40% - Accent4 18 2 12" xfId="19897"/>
    <cellStyle name="40% - Accent4 18 2 13" xfId="19898"/>
    <cellStyle name="40% - Accent4 18 2 14" xfId="19899"/>
    <cellStyle name="40% - Accent4 18 2 15" xfId="19900"/>
    <cellStyle name="40% - Accent4 18 2 16" xfId="19901"/>
    <cellStyle name="40% - Accent4 18 2 17" xfId="19902"/>
    <cellStyle name="40% - Accent4 18 2 18" xfId="19903"/>
    <cellStyle name="40% - Accent4 18 2 19" xfId="19904"/>
    <cellStyle name="40% - Accent4 18 2 2" xfId="19905"/>
    <cellStyle name="40% - Accent4 18 2 2 2" xfId="19906"/>
    <cellStyle name="40% - Accent4 18 2 20" xfId="19907"/>
    <cellStyle name="40% - Accent4 18 2 21" xfId="19908"/>
    <cellStyle name="40% - Accent4 18 2 22" xfId="19909"/>
    <cellStyle name="40% - Accent4 18 2 23" xfId="19910"/>
    <cellStyle name="40% - Accent4 18 2 24" xfId="19911"/>
    <cellStyle name="40% - Accent4 18 2 25" xfId="19912"/>
    <cellStyle name="40% - Accent4 18 2 26" xfId="19913"/>
    <cellStyle name="40% - Accent4 18 2 27" xfId="19914"/>
    <cellStyle name="40% - Accent4 18 2 28" xfId="19915"/>
    <cellStyle name="40% - Accent4 18 2 29" xfId="19916"/>
    <cellStyle name="40% - Accent4 18 2 3" xfId="19917"/>
    <cellStyle name="40% - Accent4 18 2 30" xfId="19918"/>
    <cellStyle name="40% - Accent4 18 2 31" xfId="19919"/>
    <cellStyle name="40% - Accent4 18 2 32" xfId="19920"/>
    <cellStyle name="40% - Accent4 18 2 33" xfId="19921"/>
    <cellStyle name="40% - Accent4 18 2 34" xfId="19922"/>
    <cellStyle name="40% - Accent4 18 2 35" xfId="19923"/>
    <cellStyle name="40% - Accent4 18 2 36" xfId="19924"/>
    <cellStyle name="40% - Accent4 18 2 37" xfId="19925"/>
    <cellStyle name="40% - Accent4 18 2 38" xfId="19926"/>
    <cellStyle name="40% - Accent4 18 2 39" xfId="19927"/>
    <cellStyle name="40% - Accent4 18 2 4" xfId="19928"/>
    <cellStyle name="40% - Accent4 18 2 40" xfId="19929"/>
    <cellStyle name="40% - Accent4 18 2 41" xfId="19930"/>
    <cellStyle name="40% - Accent4 18 2 42" xfId="19931"/>
    <cellStyle name="40% - Accent4 18 2 43" xfId="19932"/>
    <cellStyle name="40% - Accent4 18 2 44" xfId="19933"/>
    <cellStyle name="40% - Accent4 18 2 45" xfId="19934"/>
    <cellStyle name="40% - Accent4 18 2 46" xfId="19935"/>
    <cellStyle name="40% - Accent4 18 2 47" xfId="19936"/>
    <cellStyle name="40% - Accent4 18 2 48" xfId="19937"/>
    <cellStyle name="40% - Accent4 18 2 49" xfId="19938"/>
    <cellStyle name="40% - Accent4 18 2 5" xfId="19939"/>
    <cellStyle name="40% - Accent4 18 2 50" xfId="19940"/>
    <cellStyle name="40% - Accent4 18 2 51" xfId="19941"/>
    <cellStyle name="40% - Accent4 18 2 52" xfId="19942"/>
    <cellStyle name="40% - Accent4 18 2 53" xfId="19943"/>
    <cellStyle name="40% - Accent4 18 2 54" xfId="19944"/>
    <cellStyle name="40% - Accent4 18 2 55" xfId="19945"/>
    <cellStyle name="40% - Accent4 18 2 6" xfId="19946"/>
    <cellStyle name="40% - Accent4 18 2 7" xfId="19947"/>
    <cellStyle name="40% - Accent4 18 2 8" xfId="19948"/>
    <cellStyle name="40% - Accent4 18 2 9" xfId="19949"/>
    <cellStyle name="40% - Accent4 18 3" xfId="19950"/>
    <cellStyle name="40% - Accent4 18 3 10" xfId="19951"/>
    <cellStyle name="40% - Accent4 18 3 11" xfId="19952"/>
    <cellStyle name="40% - Accent4 18 3 12" xfId="19953"/>
    <cellStyle name="40% - Accent4 18 3 13" xfId="19954"/>
    <cellStyle name="40% - Accent4 18 3 14" xfId="19955"/>
    <cellStyle name="40% - Accent4 18 3 15" xfId="19956"/>
    <cellStyle name="40% - Accent4 18 3 16" xfId="19957"/>
    <cellStyle name="40% - Accent4 18 3 17" xfId="19958"/>
    <cellStyle name="40% - Accent4 18 3 18" xfId="19959"/>
    <cellStyle name="40% - Accent4 18 3 19" xfId="19960"/>
    <cellStyle name="40% - Accent4 18 3 2" xfId="19961"/>
    <cellStyle name="40% - Accent4 18 3 2 2" xfId="19962"/>
    <cellStyle name="40% - Accent4 18 3 20" xfId="19963"/>
    <cellStyle name="40% - Accent4 18 3 21" xfId="19964"/>
    <cellStyle name="40% - Accent4 18 3 22" xfId="19965"/>
    <cellStyle name="40% - Accent4 18 3 23" xfId="19966"/>
    <cellStyle name="40% - Accent4 18 3 24" xfId="19967"/>
    <cellStyle name="40% - Accent4 18 3 25" xfId="19968"/>
    <cellStyle name="40% - Accent4 18 3 26" xfId="19969"/>
    <cellStyle name="40% - Accent4 18 3 27" xfId="19970"/>
    <cellStyle name="40% - Accent4 18 3 28" xfId="19971"/>
    <cellStyle name="40% - Accent4 18 3 29" xfId="19972"/>
    <cellStyle name="40% - Accent4 18 3 3" xfId="19973"/>
    <cellStyle name="40% - Accent4 18 3 30" xfId="19974"/>
    <cellStyle name="40% - Accent4 18 3 31" xfId="19975"/>
    <cellStyle name="40% - Accent4 18 3 32" xfId="19976"/>
    <cellStyle name="40% - Accent4 18 3 33" xfId="19977"/>
    <cellStyle name="40% - Accent4 18 3 34" xfId="19978"/>
    <cellStyle name="40% - Accent4 18 3 35" xfId="19979"/>
    <cellStyle name="40% - Accent4 18 3 36" xfId="19980"/>
    <cellStyle name="40% - Accent4 18 3 37" xfId="19981"/>
    <cellStyle name="40% - Accent4 18 3 38" xfId="19982"/>
    <cellStyle name="40% - Accent4 18 3 39" xfId="19983"/>
    <cellStyle name="40% - Accent4 18 3 4" xfId="19984"/>
    <cellStyle name="40% - Accent4 18 3 40" xfId="19985"/>
    <cellStyle name="40% - Accent4 18 3 41" xfId="19986"/>
    <cellStyle name="40% - Accent4 18 3 42" xfId="19987"/>
    <cellStyle name="40% - Accent4 18 3 43" xfId="19988"/>
    <cellStyle name="40% - Accent4 18 3 44" xfId="19989"/>
    <cellStyle name="40% - Accent4 18 3 45" xfId="19990"/>
    <cellStyle name="40% - Accent4 18 3 46" xfId="19991"/>
    <cellStyle name="40% - Accent4 18 3 47" xfId="19992"/>
    <cellStyle name="40% - Accent4 18 3 48" xfId="19993"/>
    <cellStyle name="40% - Accent4 18 3 49" xfId="19994"/>
    <cellStyle name="40% - Accent4 18 3 5" xfId="19995"/>
    <cellStyle name="40% - Accent4 18 3 50" xfId="19996"/>
    <cellStyle name="40% - Accent4 18 3 51" xfId="19997"/>
    <cellStyle name="40% - Accent4 18 3 52" xfId="19998"/>
    <cellStyle name="40% - Accent4 18 3 53" xfId="19999"/>
    <cellStyle name="40% - Accent4 18 3 54" xfId="20000"/>
    <cellStyle name="40% - Accent4 18 3 55" xfId="20001"/>
    <cellStyle name="40% - Accent4 18 3 6" xfId="20002"/>
    <cellStyle name="40% - Accent4 18 3 7" xfId="20003"/>
    <cellStyle name="40% - Accent4 18 3 8" xfId="20004"/>
    <cellStyle name="40% - Accent4 18 3 9" xfId="20005"/>
    <cellStyle name="40% - Accent4 19" xfId="20006"/>
    <cellStyle name="40% - Accent4 2" xfId="20007"/>
    <cellStyle name="40% - Accent4 2 2" xfId="20008"/>
    <cellStyle name="40% - Accent4 2 2 2" xfId="20009"/>
    <cellStyle name="40% - Accent4 2 2 2 10" xfId="20010"/>
    <cellStyle name="40% - Accent4 2 2 2 11" xfId="20011"/>
    <cellStyle name="40% - Accent4 2 2 2 12" xfId="20012"/>
    <cellStyle name="40% - Accent4 2 2 2 13" xfId="20013"/>
    <cellStyle name="40% - Accent4 2 2 2 14" xfId="20014"/>
    <cellStyle name="40% - Accent4 2 2 2 15" xfId="20015"/>
    <cellStyle name="40% - Accent4 2 2 2 16" xfId="20016"/>
    <cellStyle name="40% - Accent4 2 2 2 17" xfId="20017"/>
    <cellStyle name="40% - Accent4 2 2 2 18" xfId="20018"/>
    <cellStyle name="40% - Accent4 2 2 2 19" xfId="20019"/>
    <cellStyle name="40% - Accent4 2 2 2 2" xfId="20020"/>
    <cellStyle name="40% - Accent4 2 2 2 2 2" xfId="20021"/>
    <cellStyle name="40% - Accent4 2 2 2 20" xfId="20022"/>
    <cellStyle name="40% - Accent4 2 2 2 21" xfId="20023"/>
    <cellStyle name="40% - Accent4 2 2 2 22" xfId="20024"/>
    <cellStyle name="40% - Accent4 2 2 2 23" xfId="20025"/>
    <cellStyle name="40% - Accent4 2 2 2 24" xfId="20026"/>
    <cellStyle name="40% - Accent4 2 2 2 25" xfId="20027"/>
    <cellStyle name="40% - Accent4 2 2 2 26" xfId="20028"/>
    <cellStyle name="40% - Accent4 2 2 2 27" xfId="20029"/>
    <cellStyle name="40% - Accent4 2 2 2 28" xfId="20030"/>
    <cellStyle name="40% - Accent4 2 2 2 29" xfId="20031"/>
    <cellStyle name="40% - Accent4 2 2 2 3" xfId="20032"/>
    <cellStyle name="40% - Accent4 2 2 2 30" xfId="20033"/>
    <cellStyle name="40% - Accent4 2 2 2 31" xfId="20034"/>
    <cellStyle name="40% - Accent4 2 2 2 32" xfId="20035"/>
    <cellStyle name="40% - Accent4 2 2 2 33" xfId="20036"/>
    <cellStyle name="40% - Accent4 2 2 2 34" xfId="20037"/>
    <cellStyle name="40% - Accent4 2 2 2 35" xfId="20038"/>
    <cellStyle name="40% - Accent4 2 2 2 36" xfId="20039"/>
    <cellStyle name="40% - Accent4 2 2 2 37" xfId="20040"/>
    <cellStyle name="40% - Accent4 2 2 2 38" xfId="20041"/>
    <cellStyle name="40% - Accent4 2 2 2 39" xfId="20042"/>
    <cellStyle name="40% - Accent4 2 2 2 4" xfId="20043"/>
    <cellStyle name="40% - Accent4 2 2 2 40" xfId="20044"/>
    <cellStyle name="40% - Accent4 2 2 2 41" xfId="20045"/>
    <cellStyle name="40% - Accent4 2 2 2 42" xfId="20046"/>
    <cellStyle name="40% - Accent4 2 2 2 43" xfId="20047"/>
    <cellStyle name="40% - Accent4 2 2 2 44" xfId="20048"/>
    <cellStyle name="40% - Accent4 2 2 2 45" xfId="20049"/>
    <cellStyle name="40% - Accent4 2 2 2 46" xfId="20050"/>
    <cellStyle name="40% - Accent4 2 2 2 47" xfId="20051"/>
    <cellStyle name="40% - Accent4 2 2 2 48" xfId="20052"/>
    <cellStyle name="40% - Accent4 2 2 2 49" xfId="20053"/>
    <cellStyle name="40% - Accent4 2 2 2 5" xfId="20054"/>
    <cellStyle name="40% - Accent4 2 2 2 50" xfId="20055"/>
    <cellStyle name="40% - Accent4 2 2 2 51" xfId="20056"/>
    <cellStyle name="40% - Accent4 2 2 2 52" xfId="20057"/>
    <cellStyle name="40% - Accent4 2 2 2 53" xfId="20058"/>
    <cellStyle name="40% - Accent4 2 2 2 54" xfId="20059"/>
    <cellStyle name="40% - Accent4 2 2 2 55" xfId="20060"/>
    <cellStyle name="40% - Accent4 2 2 2 6" xfId="20061"/>
    <cellStyle name="40% - Accent4 2 2 2 7" xfId="20062"/>
    <cellStyle name="40% - Accent4 2 2 2 8" xfId="20063"/>
    <cellStyle name="40% - Accent4 2 2 2 9" xfId="20064"/>
    <cellStyle name="40% - Accent4 2 2 2_PM Okt 2014 Plan VS Actual Planning Workshop" xfId="20065"/>
    <cellStyle name="40% - Accent4 2 2 3" xfId="20066"/>
    <cellStyle name="40% - Accent4 2 2 3 10" xfId="20067"/>
    <cellStyle name="40% - Accent4 2 2 3 11" xfId="20068"/>
    <cellStyle name="40% - Accent4 2 2 3 12" xfId="20069"/>
    <cellStyle name="40% - Accent4 2 2 3 13" xfId="20070"/>
    <cellStyle name="40% - Accent4 2 2 3 14" xfId="20071"/>
    <cellStyle name="40% - Accent4 2 2 3 15" xfId="20072"/>
    <cellStyle name="40% - Accent4 2 2 3 16" xfId="20073"/>
    <cellStyle name="40% - Accent4 2 2 3 17" xfId="20074"/>
    <cellStyle name="40% - Accent4 2 2 3 18" xfId="20075"/>
    <cellStyle name="40% - Accent4 2 2 3 19" xfId="20076"/>
    <cellStyle name="40% - Accent4 2 2 3 2" xfId="20077"/>
    <cellStyle name="40% - Accent4 2 2 3 2 2" xfId="20078"/>
    <cellStyle name="40% - Accent4 2 2 3 20" xfId="20079"/>
    <cellStyle name="40% - Accent4 2 2 3 21" xfId="20080"/>
    <cellStyle name="40% - Accent4 2 2 3 22" xfId="20081"/>
    <cellStyle name="40% - Accent4 2 2 3 23" xfId="20082"/>
    <cellStyle name="40% - Accent4 2 2 3 24" xfId="20083"/>
    <cellStyle name="40% - Accent4 2 2 3 25" xfId="20084"/>
    <cellStyle name="40% - Accent4 2 2 3 26" xfId="20085"/>
    <cellStyle name="40% - Accent4 2 2 3 27" xfId="20086"/>
    <cellStyle name="40% - Accent4 2 2 3 28" xfId="20087"/>
    <cellStyle name="40% - Accent4 2 2 3 29" xfId="20088"/>
    <cellStyle name="40% - Accent4 2 2 3 3" xfId="20089"/>
    <cellStyle name="40% - Accent4 2 2 3 30" xfId="20090"/>
    <cellStyle name="40% - Accent4 2 2 3 31" xfId="20091"/>
    <cellStyle name="40% - Accent4 2 2 3 32" xfId="20092"/>
    <cellStyle name="40% - Accent4 2 2 3 33" xfId="20093"/>
    <cellStyle name="40% - Accent4 2 2 3 34" xfId="20094"/>
    <cellStyle name="40% - Accent4 2 2 3 35" xfId="20095"/>
    <cellStyle name="40% - Accent4 2 2 3 36" xfId="20096"/>
    <cellStyle name="40% - Accent4 2 2 3 37" xfId="20097"/>
    <cellStyle name="40% - Accent4 2 2 3 38" xfId="20098"/>
    <cellStyle name="40% - Accent4 2 2 3 39" xfId="20099"/>
    <cellStyle name="40% - Accent4 2 2 3 4" xfId="20100"/>
    <cellStyle name="40% - Accent4 2 2 3 40" xfId="20101"/>
    <cellStyle name="40% - Accent4 2 2 3 41" xfId="20102"/>
    <cellStyle name="40% - Accent4 2 2 3 42" xfId="20103"/>
    <cellStyle name="40% - Accent4 2 2 3 43" xfId="20104"/>
    <cellStyle name="40% - Accent4 2 2 3 44" xfId="20105"/>
    <cellStyle name="40% - Accent4 2 2 3 45" xfId="20106"/>
    <cellStyle name="40% - Accent4 2 2 3 46" xfId="20107"/>
    <cellStyle name="40% - Accent4 2 2 3 47" xfId="20108"/>
    <cellStyle name="40% - Accent4 2 2 3 48" xfId="20109"/>
    <cellStyle name="40% - Accent4 2 2 3 49" xfId="20110"/>
    <cellStyle name="40% - Accent4 2 2 3 5" xfId="20111"/>
    <cellStyle name="40% - Accent4 2 2 3 50" xfId="20112"/>
    <cellStyle name="40% - Accent4 2 2 3 51" xfId="20113"/>
    <cellStyle name="40% - Accent4 2 2 3 52" xfId="20114"/>
    <cellStyle name="40% - Accent4 2 2 3 53" xfId="20115"/>
    <cellStyle name="40% - Accent4 2 2 3 54" xfId="20116"/>
    <cellStyle name="40% - Accent4 2 2 3 55" xfId="20117"/>
    <cellStyle name="40% - Accent4 2 2 3 6" xfId="20118"/>
    <cellStyle name="40% - Accent4 2 2 3 7" xfId="20119"/>
    <cellStyle name="40% - Accent4 2 2 3 8" xfId="20120"/>
    <cellStyle name="40% - Accent4 2 2 3 9" xfId="20121"/>
    <cellStyle name="40% - Accent4 2 3" xfId="20122"/>
    <cellStyle name="40% - Accent4 2 3 10" xfId="20123"/>
    <cellStyle name="40% - Accent4 2 3 11" xfId="20124"/>
    <cellStyle name="40% - Accent4 2 3 12" xfId="20125"/>
    <cellStyle name="40% - Accent4 2 3 13" xfId="20126"/>
    <cellStyle name="40% - Accent4 2 3 14" xfId="20127"/>
    <cellStyle name="40% - Accent4 2 3 15" xfId="20128"/>
    <cellStyle name="40% - Accent4 2 3 16" xfId="20129"/>
    <cellStyle name="40% - Accent4 2 3 17" xfId="20130"/>
    <cellStyle name="40% - Accent4 2 3 18" xfId="20131"/>
    <cellStyle name="40% - Accent4 2 3 19" xfId="20132"/>
    <cellStyle name="40% - Accent4 2 3 2" xfId="20133"/>
    <cellStyle name="40% - Accent4 2 3 2 2" xfId="20134"/>
    <cellStyle name="40% - Accent4 2 3 2_PM Okt 2014 Plan VS Actual Planning Workshop" xfId="20135"/>
    <cellStyle name="40% - Accent4 2 3 20" xfId="20136"/>
    <cellStyle name="40% - Accent4 2 3 21" xfId="20137"/>
    <cellStyle name="40% - Accent4 2 3 22" xfId="20138"/>
    <cellStyle name="40% - Accent4 2 3 23" xfId="20139"/>
    <cellStyle name="40% - Accent4 2 3 24" xfId="20140"/>
    <cellStyle name="40% - Accent4 2 3 25" xfId="20141"/>
    <cellStyle name="40% - Accent4 2 3 26" xfId="20142"/>
    <cellStyle name="40% - Accent4 2 3 27" xfId="20143"/>
    <cellStyle name="40% - Accent4 2 3 28" xfId="20144"/>
    <cellStyle name="40% - Accent4 2 3 29" xfId="20145"/>
    <cellStyle name="40% - Accent4 2 3 3" xfId="20146"/>
    <cellStyle name="40% - Accent4 2 3 30" xfId="20147"/>
    <cellStyle name="40% - Accent4 2 3 31" xfId="20148"/>
    <cellStyle name="40% - Accent4 2 3 32" xfId="20149"/>
    <cellStyle name="40% - Accent4 2 3 33" xfId="20150"/>
    <cellStyle name="40% - Accent4 2 3 34" xfId="20151"/>
    <cellStyle name="40% - Accent4 2 3 35" xfId="20152"/>
    <cellStyle name="40% - Accent4 2 3 36" xfId="20153"/>
    <cellStyle name="40% - Accent4 2 3 37" xfId="20154"/>
    <cellStyle name="40% - Accent4 2 3 38" xfId="20155"/>
    <cellStyle name="40% - Accent4 2 3 39" xfId="20156"/>
    <cellStyle name="40% - Accent4 2 3 4" xfId="20157"/>
    <cellStyle name="40% - Accent4 2 3 40" xfId="20158"/>
    <cellStyle name="40% - Accent4 2 3 41" xfId="20159"/>
    <cellStyle name="40% - Accent4 2 3 42" xfId="20160"/>
    <cellStyle name="40% - Accent4 2 3 43" xfId="20161"/>
    <cellStyle name="40% - Accent4 2 3 44" xfId="20162"/>
    <cellStyle name="40% - Accent4 2 3 45" xfId="20163"/>
    <cellStyle name="40% - Accent4 2 3 46" xfId="20164"/>
    <cellStyle name="40% - Accent4 2 3 47" xfId="20165"/>
    <cellStyle name="40% - Accent4 2 3 48" xfId="20166"/>
    <cellStyle name="40% - Accent4 2 3 49" xfId="20167"/>
    <cellStyle name="40% - Accent4 2 3 5" xfId="20168"/>
    <cellStyle name="40% - Accent4 2 3 50" xfId="20169"/>
    <cellStyle name="40% - Accent4 2 3 51" xfId="20170"/>
    <cellStyle name="40% - Accent4 2 3 52" xfId="20171"/>
    <cellStyle name="40% - Accent4 2 3 53" xfId="20172"/>
    <cellStyle name="40% - Accent4 2 3 54" xfId="20173"/>
    <cellStyle name="40% - Accent4 2 3 55" xfId="20174"/>
    <cellStyle name="40% - Accent4 2 3 6" xfId="20175"/>
    <cellStyle name="40% - Accent4 2 3 7" xfId="20176"/>
    <cellStyle name="40% - Accent4 2 3 8" xfId="20177"/>
    <cellStyle name="40% - Accent4 2 3 9" xfId="20178"/>
    <cellStyle name="40% - Accent4 2 4" xfId="20179"/>
    <cellStyle name="40% - Accent4 2 4 2" xfId="20180"/>
    <cellStyle name="40% - Accent4 2 5" xfId="20181"/>
    <cellStyle name="40% - Accent4 2_Asset monitoring board" xfId="20182"/>
    <cellStyle name="40% - Accent4 3" xfId="20183"/>
    <cellStyle name="40% - Accent4 3 2" xfId="20184"/>
    <cellStyle name="40% - Accent4 3 2 10" xfId="20185"/>
    <cellStyle name="40% - Accent4 3 2 11" xfId="20186"/>
    <cellStyle name="40% - Accent4 3 2 12" xfId="20187"/>
    <cellStyle name="40% - Accent4 3 2 13" xfId="20188"/>
    <cellStyle name="40% - Accent4 3 2 14" xfId="20189"/>
    <cellStyle name="40% - Accent4 3 2 15" xfId="20190"/>
    <cellStyle name="40% - Accent4 3 2 16" xfId="20191"/>
    <cellStyle name="40% - Accent4 3 2 17" xfId="20192"/>
    <cellStyle name="40% - Accent4 3 2 18" xfId="20193"/>
    <cellStyle name="40% - Accent4 3 2 19" xfId="20194"/>
    <cellStyle name="40% - Accent4 3 2 2" xfId="20195"/>
    <cellStyle name="40% - Accent4 3 2 2 2" xfId="20196"/>
    <cellStyle name="40% - Accent4 3 2 20" xfId="20197"/>
    <cellStyle name="40% - Accent4 3 2 21" xfId="20198"/>
    <cellStyle name="40% - Accent4 3 2 22" xfId="20199"/>
    <cellStyle name="40% - Accent4 3 2 23" xfId="20200"/>
    <cellStyle name="40% - Accent4 3 2 24" xfId="20201"/>
    <cellStyle name="40% - Accent4 3 2 25" xfId="20202"/>
    <cellStyle name="40% - Accent4 3 2 26" xfId="20203"/>
    <cellStyle name="40% - Accent4 3 2 27" xfId="20204"/>
    <cellStyle name="40% - Accent4 3 2 28" xfId="20205"/>
    <cellStyle name="40% - Accent4 3 2 29" xfId="20206"/>
    <cellStyle name="40% - Accent4 3 2 3" xfId="20207"/>
    <cellStyle name="40% - Accent4 3 2 30" xfId="20208"/>
    <cellStyle name="40% - Accent4 3 2 31" xfId="20209"/>
    <cellStyle name="40% - Accent4 3 2 32" xfId="20210"/>
    <cellStyle name="40% - Accent4 3 2 33" xfId="20211"/>
    <cellStyle name="40% - Accent4 3 2 34" xfId="20212"/>
    <cellStyle name="40% - Accent4 3 2 35" xfId="20213"/>
    <cellStyle name="40% - Accent4 3 2 36" xfId="20214"/>
    <cellStyle name="40% - Accent4 3 2 37" xfId="20215"/>
    <cellStyle name="40% - Accent4 3 2 38" xfId="20216"/>
    <cellStyle name="40% - Accent4 3 2 39" xfId="20217"/>
    <cellStyle name="40% - Accent4 3 2 4" xfId="20218"/>
    <cellStyle name="40% - Accent4 3 2 40" xfId="20219"/>
    <cellStyle name="40% - Accent4 3 2 41" xfId="20220"/>
    <cellStyle name="40% - Accent4 3 2 42" xfId="20221"/>
    <cellStyle name="40% - Accent4 3 2 43" xfId="20222"/>
    <cellStyle name="40% - Accent4 3 2 44" xfId="20223"/>
    <cellStyle name="40% - Accent4 3 2 45" xfId="20224"/>
    <cellStyle name="40% - Accent4 3 2 46" xfId="20225"/>
    <cellStyle name="40% - Accent4 3 2 47" xfId="20226"/>
    <cellStyle name="40% - Accent4 3 2 48" xfId="20227"/>
    <cellStyle name="40% - Accent4 3 2 49" xfId="20228"/>
    <cellStyle name="40% - Accent4 3 2 5" xfId="20229"/>
    <cellStyle name="40% - Accent4 3 2 50" xfId="20230"/>
    <cellStyle name="40% - Accent4 3 2 51" xfId="20231"/>
    <cellStyle name="40% - Accent4 3 2 52" xfId="20232"/>
    <cellStyle name="40% - Accent4 3 2 53" xfId="20233"/>
    <cellStyle name="40% - Accent4 3 2 54" xfId="20234"/>
    <cellStyle name="40% - Accent4 3 2 55" xfId="20235"/>
    <cellStyle name="40% - Accent4 3 2 6" xfId="20236"/>
    <cellStyle name="40% - Accent4 3 2 7" xfId="20237"/>
    <cellStyle name="40% - Accent4 3 2 8" xfId="20238"/>
    <cellStyle name="40% - Accent4 3 2 9" xfId="20239"/>
    <cellStyle name="40% - Accent4 3 3" xfId="20240"/>
    <cellStyle name="40% - Accent4 3 3 10" xfId="20241"/>
    <cellStyle name="40% - Accent4 3 3 11" xfId="20242"/>
    <cellStyle name="40% - Accent4 3 3 12" xfId="20243"/>
    <cellStyle name="40% - Accent4 3 3 13" xfId="20244"/>
    <cellStyle name="40% - Accent4 3 3 14" xfId="20245"/>
    <cellStyle name="40% - Accent4 3 3 15" xfId="20246"/>
    <cellStyle name="40% - Accent4 3 3 16" xfId="20247"/>
    <cellStyle name="40% - Accent4 3 3 17" xfId="20248"/>
    <cellStyle name="40% - Accent4 3 3 18" xfId="20249"/>
    <cellStyle name="40% - Accent4 3 3 19" xfId="20250"/>
    <cellStyle name="40% - Accent4 3 3 2" xfId="20251"/>
    <cellStyle name="40% - Accent4 3 3 2 2" xfId="20252"/>
    <cellStyle name="40% - Accent4 3 3 20" xfId="20253"/>
    <cellStyle name="40% - Accent4 3 3 21" xfId="20254"/>
    <cellStyle name="40% - Accent4 3 3 22" xfId="20255"/>
    <cellStyle name="40% - Accent4 3 3 23" xfId="20256"/>
    <cellStyle name="40% - Accent4 3 3 24" xfId="20257"/>
    <cellStyle name="40% - Accent4 3 3 25" xfId="20258"/>
    <cellStyle name="40% - Accent4 3 3 26" xfId="20259"/>
    <cellStyle name="40% - Accent4 3 3 27" xfId="20260"/>
    <cellStyle name="40% - Accent4 3 3 28" xfId="20261"/>
    <cellStyle name="40% - Accent4 3 3 29" xfId="20262"/>
    <cellStyle name="40% - Accent4 3 3 3" xfId="20263"/>
    <cellStyle name="40% - Accent4 3 3 30" xfId="20264"/>
    <cellStyle name="40% - Accent4 3 3 31" xfId="20265"/>
    <cellStyle name="40% - Accent4 3 3 32" xfId="20266"/>
    <cellStyle name="40% - Accent4 3 3 33" xfId="20267"/>
    <cellStyle name="40% - Accent4 3 3 34" xfId="20268"/>
    <cellStyle name="40% - Accent4 3 3 35" xfId="20269"/>
    <cellStyle name="40% - Accent4 3 3 36" xfId="20270"/>
    <cellStyle name="40% - Accent4 3 3 37" xfId="20271"/>
    <cellStyle name="40% - Accent4 3 3 38" xfId="20272"/>
    <cellStyle name="40% - Accent4 3 3 39" xfId="20273"/>
    <cellStyle name="40% - Accent4 3 3 4" xfId="20274"/>
    <cellStyle name="40% - Accent4 3 3 40" xfId="20275"/>
    <cellStyle name="40% - Accent4 3 3 41" xfId="20276"/>
    <cellStyle name="40% - Accent4 3 3 42" xfId="20277"/>
    <cellStyle name="40% - Accent4 3 3 43" xfId="20278"/>
    <cellStyle name="40% - Accent4 3 3 44" xfId="20279"/>
    <cellStyle name="40% - Accent4 3 3 45" xfId="20280"/>
    <cellStyle name="40% - Accent4 3 3 46" xfId="20281"/>
    <cellStyle name="40% - Accent4 3 3 47" xfId="20282"/>
    <cellStyle name="40% - Accent4 3 3 48" xfId="20283"/>
    <cellStyle name="40% - Accent4 3 3 49" xfId="20284"/>
    <cellStyle name="40% - Accent4 3 3 5" xfId="20285"/>
    <cellStyle name="40% - Accent4 3 3 50" xfId="20286"/>
    <cellStyle name="40% - Accent4 3 3 51" xfId="20287"/>
    <cellStyle name="40% - Accent4 3 3 52" xfId="20288"/>
    <cellStyle name="40% - Accent4 3 3 53" xfId="20289"/>
    <cellStyle name="40% - Accent4 3 3 54" xfId="20290"/>
    <cellStyle name="40% - Accent4 3 3 55" xfId="20291"/>
    <cellStyle name="40% - Accent4 3 3 6" xfId="20292"/>
    <cellStyle name="40% - Accent4 3 3 7" xfId="20293"/>
    <cellStyle name="40% - Accent4 3 3 8" xfId="20294"/>
    <cellStyle name="40% - Accent4 3 3 9" xfId="20295"/>
    <cellStyle name="40% - Accent4 4" xfId="20296"/>
    <cellStyle name="40% - Accent4 4 2" xfId="20297"/>
    <cellStyle name="40% - Accent4 4 2 10" xfId="20298"/>
    <cellStyle name="40% - Accent4 4 2 11" xfId="20299"/>
    <cellStyle name="40% - Accent4 4 2 12" xfId="20300"/>
    <cellStyle name="40% - Accent4 4 2 13" xfId="20301"/>
    <cellStyle name="40% - Accent4 4 2 14" xfId="20302"/>
    <cellStyle name="40% - Accent4 4 2 15" xfId="20303"/>
    <cellStyle name="40% - Accent4 4 2 16" xfId="20304"/>
    <cellStyle name="40% - Accent4 4 2 17" xfId="20305"/>
    <cellStyle name="40% - Accent4 4 2 18" xfId="20306"/>
    <cellStyle name="40% - Accent4 4 2 19" xfId="20307"/>
    <cellStyle name="40% - Accent4 4 2 2" xfId="20308"/>
    <cellStyle name="40% - Accent4 4 2 2 2" xfId="20309"/>
    <cellStyle name="40% - Accent4 4 2 20" xfId="20310"/>
    <cellStyle name="40% - Accent4 4 2 21" xfId="20311"/>
    <cellStyle name="40% - Accent4 4 2 22" xfId="20312"/>
    <cellStyle name="40% - Accent4 4 2 23" xfId="20313"/>
    <cellStyle name="40% - Accent4 4 2 24" xfId="20314"/>
    <cellStyle name="40% - Accent4 4 2 25" xfId="20315"/>
    <cellStyle name="40% - Accent4 4 2 26" xfId="20316"/>
    <cellStyle name="40% - Accent4 4 2 27" xfId="20317"/>
    <cellStyle name="40% - Accent4 4 2 28" xfId="20318"/>
    <cellStyle name="40% - Accent4 4 2 29" xfId="20319"/>
    <cellStyle name="40% - Accent4 4 2 3" xfId="20320"/>
    <cellStyle name="40% - Accent4 4 2 30" xfId="20321"/>
    <cellStyle name="40% - Accent4 4 2 31" xfId="20322"/>
    <cellStyle name="40% - Accent4 4 2 32" xfId="20323"/>
    <cellStyle name="40% - Accent4 4 2 33" xfId="20324"/>
    <cellStyle name="40% - Accent4 4 2 34" xfId="20325"/>
    <cellStyle name="40% - Accent4 4 2 35" xfId="20326"/>
    <cellStyle name="40% - Accent4 4 2 36" xfId="20327"/>
    <cellStyle name="40% - Accent4 4 2 37" xfId="20328"/>
    <cellStyle name="40% - Accent4 4 2 38" xfId="20329"/>
    <cellStyle name="40% - Accent4 4 2 39" xfId="20330"/>
    <cellStyle name="40% - Accent4 4 2 4" xfId="20331"/>
    <cellStyle name="40% - Accent4 4 2 40" xfId="20332"/>
    <cellStyle name="40% - Accent4 4 2 41" xfId="20333"/>
    <cellStyle name="40% - Accent4 4 2 42" xfId="20334"/>
    <cellStyle name="40% - Accent4 4 2 43" xfId="20335"/>
    <cellStyle name="40% - Accent4 4 2 44" xfId="20336"/>
    <cellStyle name="40% - Accent4 4 2 45" xfId="20337"/>
    <cellStyle name="40% - Accent4 4 2 46" xfId="20338"/>
    <cellStyle name="40% - Accent4 4 2 47" xfId="20339"/>
    <cellStyle name="40% - Accent4 4 2 48" xfId="20340"/>
    <cellStyle name="40% - Accent4 4 2 49" xfId="20341"/>
    <cellStyle name="40% - Accent4 4 2 5" xfId="20342"/>
    <cellStyle name="40% - Accent4 4 2 50" xfId="20343"/>
    <cellStyle name="40% - Accent4 4 2 51" xfId="20344"/>
    <cellStyle name="40% - Accent4 4 2 52" xfId="20345"/>
    <cellStyle name="40% - Accent4 4 2 53" xfId="20346"/>
    <cellStyle name="40% - Accent4 4 2 54" xfId="20347"/>
    <cellStyle name="40% - Accent4 4 2 55" xfId="20348"/>
    <cellStyle name="40% - Accent4 4 2 6" xfId="20349"/>
    <cellStyle name="40% - Accent4 4 2 7" xfId="20350"/>
    <cellStyle name="40% - Accent4 4 2 8" xfId="20351"/>
    <cellStyle name="40% - Accent4 4 2 9" xfId="20352"/>
    <cellStyle name="40% - Accent4 4 3" xfId="20353"/>
    <cellStyle name="40% - Accent4 4 3 10" xfId="20354"/>
    <cellStyle name="40% - Accent4 4 3 11" xfId="20355"/>
    <cellStyle name="40% - Accent4 4 3 12" xfId="20356"/>
    <cellStyle name="40% - Accent4 4 3 13" xfId="20357"/>
    <cellStyle name="40% - Accent4 4 3 14" xfId="20358"/>
    <cellStyle name="40% - Accent4 4 3 15" xfId="20359"/>
    <cellStyle name="40% - Accent4 4 3 16" xfId="20360"/>
    <cellStyle name="40% - Accent4 4 3 17" xfId="20361"/>
    <cellStyle name="40% - Accent4 4 3 18" xfId="20362"/>
    <cellStyle name="40% - Accent4 4 3 19" xfId="20363"/>
    <cellStyle name="40% - Accent4 4 3 2" xfId="20364"/>
    <cellStyle name="40% - Accent4 4 3 2 2" xfId="20365"/>
    <cellStyle name="40% - Accent4 4 3 20" xfId="20366"/>
    <cellStyle name="40% - Accent4 4 3 21" xfId="20367"/>
    <cellStyle name="40% - Accent4 4 3 22" xfId="20368"/>
    <cellStyle name="40% - Accent4 4 3 23" xfId="20369"/>
    <cellStyle name="40% - Accent4 4 3 24" xfId="20370"/>
    <cellStyle name="40% - Accent4 4 3 25" xfId="20371"/>
    <cellStyle name="40% - Accent4 4 3 26" xfId="20372"/>
    <cellStyle name="40% - Accent4 4 3 27" xfId="20373"/>
    <cellStyle name="40% - Accent4 4 3 28" xfId="20374"/>
    <cellStyle name="40% - Accent4 4 3 29" xfId="20375"/>
    <cellStyle name="40% - Accent4 4 3 3" xfId="20376"/>
    <cellStyle name="40% - Accent4 4 3 30" xfId="20377"/>
    <cellStyle name="40% - Accent4 4 3 31" xfId="20378"/>
    <cellStyle name="40% - Accent4 4 3 32" xfId="20379"/>
    <cellStyle name="40% - Accent4 4 3 33" xfId="20380"/>
    <cellStyle name="40% - Accent4 4 3 34" xfId="20381"/>
    <cellStyle name="40% - Accent4 4 3 35" xfId="20382"/>
    <cellStyle name="40% - Accent4 4 3 36" xfId="20383"/>
    <cellStyle name="40% - Accent4 4 3 37" xfId="20384"/>
    <cellStyle name="40% - Accent4 4 3 38" xfId="20385"/>
    <cellStyle name="40% - Accent4 4 3 39" xfId="20386"/>
    <cellStyle name="40% - Accent4 4 3 4" xfId="20387"/>
    <cellStyle name="40% - Accent4 4 3 40" xfId="20388"/>
    <cellStyle name="40% - Accent4 4 3 41" xfId="20389"/>
    <cellStyle name="40% - Accent4 4 3 42" xfId="20390"/>
    <cellStyle name="40% - Accent4 4 3 43" xfId="20391"/>
    <cellStyle name="40% - Accent4 4 3 44" xfId="20392"/>
    <cellStyle name="40% - Accent4 4 3 45" xfId="20393"/>
    <cellStyle name="40% - Accent4 4 3 46" xfId="20394"/>
    <cellStyle name="40% - Accent4 4 3 47" xfId="20395"/>
    <cellStyle name="40% - Accent4 4 3 48" xfId="20396"/>
    <cellStyle name="40% - Accent4 4 3 49" xfId="20397"/>
    <cellStyle name="40% - Accent4 4 3 5" xfId="20398"/>
    <cellStyle name="40% - Accent4 4 3 50" xfId="20399"/>
    <cellStyle name="40% - Accent4 4 3 51" xfId="20400"/>
    <cellStyle name="40% - Accent4 4 3 52" xfId="20401"/>
    <cellStyle name="40% - Accent4 4 3 53" xfId="20402"/>
    <cellStyle name="40% - Accent4 4 3 54" xfId="20403"/>
    <cellStyle name="40% - Accent4 4 3 55" xfId="20404"/>
    <cellStyle name="40% - Accent4 4 3 6" xfId="20405"/>
    <cellStyle name="40% - Accent4 4 3 7" xfId="20406"/>
    <cellStyle name="40% - Accent4 4 3 8" xfId="20407"/>
    <cellStyle name="40% - Accent4 4 3 9" xfId="20408"/>
    <cellStyle name="40% - Accent4 4 4" xfId="58367"/>
    <cellStyle name="40% - Accent4 5" xfId="20409"/>
    <cellStyle name="40% - Accent4 5 2" xfId="20410"/>
    <cellStyle name="40% - Accent4 5 2 10" xfId="20411"/>
    <cellStyle name="40% - Accent4 5 2 11" xfId="20412"/>
    <cellStyle name="40% - Accent4 5 2 12" xfId="20413"/>
    <cellStyle name="40% - Accent4 5 2 13" xfId="20414"/>
    <cellStyle name="40% - Accent4 5 2 14" xfId="20415"/>
    <cellStyle name="40% - Accent4 5 2 15" xfId="20416"/>
    <cellStyle name="40% - Accent4 5 2 16" xfId="20417"/>
    <cellStyle name="40% - Accent4 5 2 17" xfId="20418"/>
    <cellStyle name="40% - Accent4 5 2 18" xfId="20419"/>
    <cellStyle name="40% - Accent4 5 2 19" xfId="20420"/>
    <cellStyle name="40% - Accent4 5 2 2" xfId="20421"/>
    <cellStyle name="40% - Accent4 5 2 2 2" xfId="20422"/>
    <cellStyle name="40% - Accent4 5 2 20" xfId="20423"/>
    <cellStyle name="40% - Accent4 5 2 21" xfId="20424"/>
    <cellStyle name="40% - Accent4 5 2 22" xfId="20425"/>
    <cellStyle name="40% - Accent4 5 2 23" xfId="20426"/>
    <cellStyle name="40% - Accent4 5 2 24" xfId="20427"/>
    <cellStyle name="40% - Accent4 5 2 25" xfId="20428"/>
    <cellStyle name="40% - Accent4 5 2 26" xfId="20429"/>
    <cellStyle name="40% - Accent4 5 2 27" xfId="20430"/>
    <cellStyle name="40% - Accent4 5 2 28" xfId="20431"/>
    <cellStyle name="40% - Accent4 5 2 29" xfId="20432"/>
    <cellStyle name="40% - Accent4 5 2 3" xfId="20433"/>
    <cellStyle name="40% - Accent4 5 2 30" xfId="20434"/>
    <cellStyle name="40% - Accent4 5 2 31" xfId="20435"/>
    <cellStyle name="40% - Accent4 5 2 32" xfId="20436"/>
    <cellStyle name="40% - Accent4 5 2 33" xfId="20437"/>
    <cellStyle name="40% - Accent4 5 2 34" xfId="20438"/>
    <cellStyle name="40% - Accent4 5 2 35" xfId="20439"/>
    <cellStyle name="40% - Accent4 5 2 36" xfId="20440"/>
    <cellStyle name="40% - Accent4 5 2 37" xfId="20441"/>
    <cellStyle name="40% - Accent4 5 2 38" xfId="20442"/>
    <cellStyle name="40% - Accent4 5 2 39" xfId="20443"/>
    <cellStyle name="40% - Accent4 5 2 4" xfId="20444"/>
    <cellStyle name="40% - Accent4 5 2 40" xfId="20445"/>
    <cellStyle name="40% - Accent4 5 2 41" xfId="20446"/>
    <cellStyle name="40% - Accent4 5 2 42" xfId="20447"/>
    <cellStyle name="40% - Accent4 5 2 43" xfId="20448"/>
    <cellStyle name="40% - Accent4 5 2 44" xfId="20449"/>
    <cellStyle name="40% - Accent4 5 2 45" xfId="20450"/>
    <cellStyle name="40% - Accent4 5 2 46" xfId="20451"/>
    <cellStyle name="40% - Accent4 5 2 47" xfId="20452"/>
    <cellStyle name="40% - Accent4 5 2 48" xfId="20453"/>
    <cellStyle name="40% - Accent4 5 2 49" xfId="20454"/>
    <cellStyle name="40% - Accent4 5 2 5" xfId="20455"/>
    <cellStyle name="40% - Accent4 5 2 50" xfId="20456"/>
    <cellStyle name="40% - Accent4 5 2 51" xfId="20457"/>
    <cellStyle name="40% - Accent4 5 2 52" xfId="20458"/>
    <cellStyle name="40% - Accent4 5 2 53" xfId="20459"/>
    <cellStyle name="40% - Accent4 5 2 54" xfId="20460"/>
    <cellStyle name="40% - Accent4 5 2 55" xfId="20461"/>
    <cellStyle name="40% - Accent4 5 2 6" xfId="20462"/>
    <cellStyle name="40% - Accent4 5 2 7" xfId="20463"/>
    <cellStyle name="40% - Accent4 5 2 8" xfId="20464"/>
    <cellStyle name="40% - Accent4 5 2 9" xfId="20465"/>
    <cellStyle name="40% - Accent4 5 3" xfId="20466"/>
    <cellStyle name="40% - Accent4 5 3 10" xfId="20467"/>
    <cellStyle name="40% - Accent4 5 3 11" xfId="20468"/>
    <cellStyle name="40% - Accent4 5 3 12" xfId="20469"/>
    <cellStyle name="40% - Accent4 5 3 13" xfId="20470"/>
    <cellStyle name="40% - Accent4 5 3 14" xfId="20471"/>
    <cellStyle name="40% - Accent4 5 3 15" xfId="20472"/>
    <cellStyle name="40% - Accent4 5 3 16" xfId="20473"/>
    <cellStyle name="40% - Accent4 5 3 17" xfId="20474"/>
    <cellStyle name="40% - Accent4 5 3 18" xfId="20475"/>
    <cellStyle name="40% - Accent4 5 3 19" xfId="20476"/>
    <cellStyle name="40% - Accent4 5 3 2" xfId="20477"/>
    <cellStyle name="40% - Accent4 5 3 2 2" xfId="20478"/>
    <cellStyle name="40% - Accent4 5 3 20" xfId="20479"/>
    <cellStyle name="40% - Accent4 5 3 21" xfId="20480"/>
    <cellStyle name="40% - Accent4 5 3 22" xfId="20481"/>
    <cellStyle name="40% - Accent4 5 3 23" xfId="20482"/>
    <cellStyle name="40% - Accent4 5 3 24" xfId="20483"/>
    <cellStyle name="40% - Accent4 5 3 25" xfId="20484"/>
    <cellStyle name="40% - Accent4 5 3 26" xfId="20485"/>
    <cellStyle name="40% - Accent4 5 3 27" xfId="20486"/>
    <cellStyle name="40% - Accent4 5 3 28" xfId="20487"/>
    <cellStyle name="40% - Accent4 5 3 29" xfId="20488"/>
    <cellStyle name="40% - Accent4 5 3 3" xfId="20489"/>
    <cellStyle name="40% - Accent4 5 3 30" xfId="20490"/>
    <cellStyle name="40% - Accent4 5 3 31" xfId="20491"/>
    <cellStyle name="40% - Accent4 5 3 32" xfId="20492"/>
    <cellStyle name="40% - Accent4 5 3 33" xfId="20493"/>
    <cellStyle name="40% - Accent4 5 3 34" xfId="20494"/>
    <cellStyle name="40% - Accent4 5 3 35" xfId="20495"/>
    <cellStyle name="40% - Accent4 5 3 36" xfId="20496"/>
    <cellStyle name="40% - Accent4 5 3 37" xfId="20497"/>
    <cellStyle name="40% - Accent4 5 3 38" xfId="20498"/>
    <cellStyle name="40% - Accent4 5 3 39" xfId="20499"/>
    <cellStyle name="40% - Accent4 5 3 4" xfId="20500"/>
    <cellStyle name="40% - Accent4 5 3 40" xfId="20501"/>
    <cellStyle name="40% - Accent4 5 3 41" xfId="20502"/>
    <cellStyle name="40% - Accent4 5 3 42" xfId="20503"/>
    <cellStyle name="40% - Accent4 5 3 43" xfId="20504"/>
    <cellStyle name="40% - Accent4 5 3 44" xfId="20505"/>
    <cellStyle name="40% - Accent4 5 3 45" xfId="20506"/>
    <cellStyle name="40% - Accent4 5 3 46" xfId="20507"/>
    <cellStyle name="40% - Accent4 5 3 47" xfId="20508"/>
    <cellStyle name="40% - Accent4 5 3 48" xfId="20509"/>
    <cellStyle name="40% - Accent4 5 3 49" xfId="20510"/>
    <cellStyle name="40% - Accent4 5 3 5" xfId="20511"/>
    <cellStyle name="40% - Accent4 5 3 50" xfId="20512"/>
    <cellStyle name="40% - Accent4 5 3 51" xfId="20513"/>
    <cellStyle name="40% - Accent4 5 3 52" xfId="20514"/>
    <cellStyle name="40% - Accent4 5 3 53" xfId="20515"/>
    <cellStyle name="40% - Accent4 5 3 54" xfId="20516"/>
    <cellStyle name="40% - Accent4 5 3 55" xfId="20517"/>
    <cellStyle name="40% - Accent4 5 3 6" xfId="20518"/>
    <cellStyle name="40% - Accent4 5 3 7" xfId="20519"/>
    <cellStyle name="40% - Accent4 5 3 8" xfId="20520"/>
    <cellStyle name="40% - Accent4 5 3 9" xfId="20521"/>
    <cellStyle name="40% - Accent4 6" xfId="20522"/>
    <cellStyle name="40% - Accent4 6 2" xfId="20523"/>
    <cellStyle name="40% - Accent4 6 2 10" xfId="20524"/>
    <cellStyle name="40% - Accent4 6 2 11" xfId="20525"/>
    <cellStyle name="40% - Accent4 6 2 12" xfId="20526"/>
    <cellStyle name="40% - Accent4 6 2 13" xfId="20527"/>
    <cellStyle name="40% - Accent4 6 2 14" xfId="20528"/>
    <cellStyle name="40% - Accent4 6 2 15" xfId="20529"/>
    <cellStyle name="40% - Accent4 6 2 16" xfId="20530"/>
    <cellStyle name="40% - Accent4 6 2 17" xfId="20531"/>
    <cellStyle name="40% - Accent4 6 2 18" xfId="20532"/>
    <cellStyle name="40% - Accent4 6 2 19" xfId="20533"/>
    <cellStyle name="40% - Accent4 6 2 2" xfId="20534"/>
    <cellStyle name="40% - Accent4 6 2 2 2" xfId="20535"/>
    <cellStyle name="40% - Accent4 6 2 20" xfId="20536"/>
    <cellStyle name="40% - Accent4 6 2 21" xfId="20537"/>
    <cellStyle name="40% - Accent4 6 2 22" xfId="20538"/>
    <cellStyle name="40% - Accent4 6 2 23" xfId="20539"/>
    <cellStyle name="40% - Accent4 6 2 24" xfId="20540"/>
    <cellStyle name="40% - Accent4 6 2 25" xfId="20541"/>
    <cellStyle name="40% - Accent4 6 2 26" xfId="20542"/>
    <cellStyle name="40% - Accent4 6 2 27" xfId="20543"/>
    <cellStyle name="40% - Accent4 6 2 28" xfId="20544"/>
    <cellStyle name="40% - Accent4 6 2 29" xfId="20545"/>
    <cellStyle name="40% - Accent4 6 2 3" xfId="20546"/>
    <cellStyle name="40% - Accent4 6 2 30" xfId="20547"/>
    <cellStyle name="40% - Accent4 6 2 31" xfId="20548"/>
    <cellStyle name="40% - Accent4 6 2 32" xfId="20549"/>
    <cellStyle name="40% - Accent4 6 2 33" xfId="20550"/>
    <cellStyle name="40% - Accent4 6 2 34" xfId="20551"/>
    <cellStyle name="40% - Accent4 6 2 35" xfId="20552"/>
    <cellStyle name="40% - Accent4 6 2 36" xfId="20553"/>
    <cellStyle name="40% - Accent4 6 2 37" xfId="20554"/>
    <cellStyle name="40% - Accent4 6 2 38" xfId="20555"/>
    <cellStyle name="40% - Accent4 6 2 39" xfId="20556"/>
    <cellStyle name="40% - Accent4 6 2 4" xfId="20557"/>
    <cellStyle name="40% - Accent4 6 2 40" xfId="20558"/>
    <cellStyle name="40% - Accent4 6 2 41" xfId="20559"/>
    <cellStyle name="40% - Accent4 6 2 42" xfId="20560"/>
    <cellStyle name="40% - Accent4 6 2 43" xfId="20561"/>
    <cellStyle name="40% - Accent4 6 2 44" xfId="20562"/>
    <cellStyle name="40% - Accent4 6 2 45" xfId="20563"/>
    <cellStyle name="40% - Accent4 6 2 46" xfId="20564"/>
    <cellStyle name="40% - Accent4 6 2 47" xfId="20565"/>
    <cellStyle name="40% - Accent4 6 2 48" xfId="20566"/>
    <cellStyle name="40% - Accent4 6 2 49" xfId="20567"/>
    <cellStyle name="40% - Accent4 6 2 5" xfId="20568"/>
    <cellStyle name="40% - Accent4 6 2 50" xfId="20569"/>
    <cellStyle name="40% - Accent4 6 2 51" xfId="20570"/>
    <cellStyle name="40% - Accent4 6 2 52" xfId="20571"/>
    <cellStyle name="40% - Accent4 6 2 53" xfId="20572"/>
    <cellStyle name="40% - Accent4 6 2 54" xfId="20573"/>
    <cellStyle name="40% - Accent4 6 2 55" xfId="20574"/>
    <cellStyle name="40% - Accent4 6 2 6" xfId="20575"/>
    <cellStyle name="40% - Accent4 6 2 7" xfId="20576"/>
    <cellStyle name="40% - Accent4 6 2 8" xfId="20577"/>
    <cellStyle name="40% - Accent4 6 2 9" xfId="20578"/>
    <cellStyle name="40% - Accent4 6 3" xfId="20579"/>
    <cellStyle name="40% - Accent4 6 3 10" xfId="20580"/>
    <cellStyle name="40% - Accent4 6 3 11" xfId="20581"/>
    <cellStyle name="40% - Accent4 6 3 12" xfId="20582"/>
    <cellStyle name="40% - Accent4 6 3 13" xfId="20583"/>
    <cellStyle name="40% - Accent4 6 3 14" xfId="20584"/>
    <cellStyle name="40% - Accent4 6 3 15" xfId="20585"/>
    <cellStyle name="40% - Accent4 6 3 16" xfId="20586"/>
    <cellStyle name="40% - Accent4 6 3 17" xfId="20587"/>
    <cellStyle name="40% - Accent4 6 3 18" xfId="20588"/>
    <cellStyle name="40% - Accent4 6 3 19" xfId="20589"/>
    <cellStyle name="40% - Accent4 6 3 2" xfId="20590"/>
    <cellStyle name="40% - Accent4 6 3 2 2" xfId="20591"/>
    <cellStyle name="40% - Accent4 6 3 20" xfId="20592"/>
    <cellStyle name="40% - Accent4 6 3 21" xfId="20593"/>
    <cellStyle name="40% - Accent4 6 3 22" xfId="20594"/>
    <cellStyle name="40% - Accent4 6 3 23" xfId="20595"/>
    <cellStyle name="40% - Accent4 6 3 24" xfId="20596"/>
    <cellStyle name="40% - Accent4 6 3 25" xfId="20597"/>
    <cellStyle name="40% - Accent4 6 3 26" xfId="20598"/>
    <cellStyle name="40% - Accent4 6 3 27" xfId="20599"/>
    <cellStyle name="40% - Accent4 6 3 28" xfId="20600"/>
    <cellStyle name="40% - Accent4 6 3 29" xfId="20601"/>
    <cellStyle name="40% - Accent4 6 3 3" xfId="20602"/>
    <cellStyle name="40% - Accent4 6 3 30" xfId="20603"/>
    <cellStyle name="40% - Accent4 6 3 31" xfId="20604"/>
    <cellStyle name="40% - Accent4 6 3 32" xfId="20605"/>
    <cellStyle name="40% - Accent4 6 3 33" xfId="20606"/>
    <cellStyle name="40% - Accent4 6 3 34" xfId="20607"/>
    <cellStyle name="40% - Accent4 6 3 35" xfId="20608"/>
    <cellStyle name="40% - Accent4 6 3 36" xfId="20609"/>
    <cellStyle name="40% - Accent4 6 3 37" xfId="20610"/>
    <cellStyle name="40% - Accent4 6 3 38" xfId="20611"/>
    <cellStyle name="40% - Accent4 6 3 39" xfId="20612"/>
    <cellStyle name="40% - Accent4 6 3 4" xfId="20613"/>
    <cellStyle name="40% - Accent4 6 3 40" xfId="20614"/>
    <cellStyle name="40% - Accent4 6 3 41" xfId="20615"/>
    <cellStyle name="40% - Accent4 6 3 42" xfId="20616"/>
    <cellStyle name="40% - Accent4 6 3 43" xfId="20617"/>
    <cellStyle name="40% - Accent4 6 3 44" xfId="20618"/>
    <cellStyle name="40% - Accent4 6 3 45" xfId="20619"/>
    <cellStyle name="40% - Accent4 6 3 46" xfId="20620"/>
    <cellStyle name="40% - Accent4 6 3 47" xfId="20621"/>
    <cellStyle name="40% - Accent4 6 3 48" xfId="20622"/>
    <cellStyle name="40% - Accent4 6 3 49" xfId="20623"/>
    <cellStyle name="40% - Accent4 6 3 5" xfId="20624"/>
    <cellStyle name="40% - Accent4 6 3 50" xfId="20625"/>
    <cellStyle name="40% - Accent4 6 3 51" xfId="20626"/>
    <cellStyle name="40% - Accent4 6 3 52" xfId="20627"/>
    <cellStyle name="40% - Accent4 6 3 53" xfId="20628"/>
    <cellStyle name="40% - Accent4 6 3 54" xfId="20629"/>
    <cellStyle name="40% - Accent4 6 3 55" xfId="20630"/>
    <cellStyle name="40% - Accent4 6 3 6" xfId="20631"/>
    <cellStyle name="40% - Accent4 6 3 7" xfId="20632"/>
    <cellStyle name="40% - Accent4 6 3 8" xfId="20633"/>
    <cellStyle name="40% - Accent4 6 3 9" xfId="20634"/>
    <cellStyle name="40% - Accent4 7" xfId="20635"/>
    <cellStyle name="40% - Accent4 7 2" xfId="20636"/>
    <cellStyle name="40% - Accent4 7 2 10" xfId="20637"/>
    <cellStyle name="40% - Accent4 7 2 11" xfId="20638"/>
    <cellStyle name="40% - Accent4 7 2 12" xfId="20639"/>
    <cellStyle name="40% - Accent4 7 2 13" xfId="20640"/>
    <cellStyle name="40% - Accent4 7 2 14" xfId="20641"/>
    <cellStyle name="40% - Accent4 7 2 15" xfId="20642"/>
    <cellStyle name="40% - Accent4 7 2 16" xfId="20643"/>
    <cellStyle name="40% - Accent4 7 2 17" xfId="20644"/>
    <cellStyle name="40% - Accent4 7 2 18" xfId="20645"/>
    <cellStyle name="40% - Accent4 7 2 19" xfId="20646"/>
    <cellStyle name="40% - Accent4 7 2 2" xfId="20647"/>
    <cellStyle name="40% - Accent4 7 2 2 2" xfId="20648"/>
    <cellStyle name="40% - Accent4 7 2 20" xfId="20649"/>
    <cellStyle name="40% - Accent4 7 2 21" xfId="20650"/>
    <cellStyle name="40% - Accent4 7 2 22" xfId="20651"/>
    <cellStyle name="40% - Accent4 7 2 23" xfId="20652"/>
    <cellStyle name="40% - Accent4 7 2 24" xfId="20653"/>
    <cellStyle name="40% - Accent4 7 2 25" xfId="20654"/>
    <cellStyle name="40% - Accent4 7 2 26" xfId="20655"/>
    <cellStyle name="40% - Accent4 7 2 27" xfId="20656"/>
    <cellStyle name="40% - Accent4 7 2 28" xfId="20657"/>
    <cellStyle name="40% - Accent4 7 2 29" xfId="20658"/>
    <cellStyle name="40% - Accent4 7 2 3" xfId="20659"/>
    <cellStyle name="40% - Accent4 7 2 30" xfId="20660"/>
    <cellStyle name="40% - Accent4 7 2 31" xfId="20661"/>
    <cellStyle name="40% - Accent4 7 2 32" xfId="20662"/>
    <cellStyle name="40% - Accent4 7 2 33" xfId="20663"/>
    <cellStyle name="40% - Accent4 7 2 34" xfId="20664"/>
    <cellStyle name="40% - Accent4 7 2 35" xfId="20665"/>
    <cellStyle name="40% - Accent4 7 2 36" xfId="20666"/>
    <cellStyle name="40% - Accent4 7 2 37" xfId="20667"/>
    <cellStyle name="40% - Accent4 7 2 38" xfId="20668"/>
    <cellStyle name="40% - Accent4 7 2 39" xfId="20669"/>
    <cellStyle name="40% - Accent4 7 2 4" xfId="20670"/>
    <cellStyle name="40% - Accent4 7 2 40" xfId="20671"/>
    <cellStyle name="40% - Accent4 7 2 41" xfId="20672"/>
    <cellStyle name="40% - Accent4 7 2 42" xfId="20673"/>
    <cellStyle name="40% - Accent4 7 2 43" xfId="20674"/>
    <cellStyle name="40% - Accent4 7 2 44" xfId="20675"/>
    <cellStyle name="40% - Accent4 7 2 45" xfId="20676"/>
    <cellStyle name="40% - Accent4 7 2 46" xfId="20677"/>
    <cellStyle name="40% - Accent4 7 2 47" xfId="20678"/>
    <cellStyle name="40% - Accent4 7 2 48" xfId="20679"/>
    <cellStyle name="40% - Accent4 7 2 49" xfId="20680"/>
    <cellStyle name="40% - Accent4 7 2 5" xfId="20681"/>
    <cellStyle name="40% - Accent4 7 2 50" xfId="20682"/>
    <cellStyle name="40% - Accent4 7 2 51" xfId="20683"/>
    <cellStyle name="40% - Accent4 7 2 52" xfId="20684"/>
    <cellStyle name="40% - Accent4 7 2 53" xfId="20685"/>
    <cellStyle name="40% - Accent4 7 2 54" xfId="20686"/>
    <cellStyle name="40% - Accent4 7 2 55" xfId="20687"/>
    <cellStyle name="40% - Accent4 7 2 6" xfId="20688"/>
    <cellStyle name="40% - Accent4 7 2 7" xfId="20689"/>
    <cellStyle name="40% - Accent4 7 2 8" xfId="20690"/>
    <cellStyle name="40% - Accent4 7 2 9" xfId="20691"/>
    <cellStyle name="40% - Accent4 7 3" xfId="20692"/>
    <cellStyle name="40% - Accent4 7 3 10" xfId="20693"/>
    <cellStyle name="40% - Accent4 7 3 11" xfId="20694"/>
    <cellStyle name="40% - Accent4 7 3 12" xfId="20695"/>
    <cellStyle name="40% - Accent4 7 3 13" xfId="20696"/>
    <cellStyle name="40% - Accent4 7 3 14" xfId="20697"/>
    <cellStyle name="40% - Accent4 7 3 15" xfId="20698"/>
    <cellStyle name="40% - Accent4 7 3 16" xfId="20699"/>
    <cellStyle name="40% - Accent4 7 3 17" xfId="20700"/>
    <cellStyle name="40% - Accent4 7 3 18" xfId="20701"/>
    <cellStyle name="40% - Accent4 7 3 19" xfId="20702"/>
    <cellStyle name="40% - Accent4 7 3 2" xfId="20703"/>
    <cellStyle name="40% - Accent4 7 3 2 2" xfId="20704"/>
    <cellStyle name="40% - Accent4 7 3 20" xfId="20705"/>
    <cellStyle name="40% - Accent4 7 3 21" xfId="20706"/>
    <cellStyle name="40% - Accent4 7 3 22" xfId="20707"/>
    <cellStyle name="40% - Accent4 7 3 23" xfId="20708"/>
    <cellStyle name="40% - Accent4 7 3 24" xfId="20709"/>
    <cellStyle name="40% - Accent4 7 3 25" xfId="20710"/>
    <cellStyle name="40% - Accent4 7 3 26" xfId="20711"/>
    <cellStyle name="40% - Accent4 7 3 27" xfId="20712"/>
    <cellStyle name="40% - Accent4 7 3 28" xfId="20713"/>
    <cellStyle name="40% - Accent4 7 3 29" xfId="20714"/>
    <cellStyle name="40% - Accent4 7 3 3" xfId="20715"/>
    <cellStyle name="40% - Accent4 7 3 30" xfId="20716"/>
    <cellStyle name="40% - Accent4 7 3 31" xfId="20717"/>
    <cellStyle name="40% - Accent4 7 3 32" xfId="20718"/>
    <cellStyle name="40% - Accent4 7 3 33" xfId="20719"/>
    <cellStyle name="40% - Accent4 7 3 34" xfId="20720"/>
    <cellStyle name="40% - Accent4 7 3 35" xfId="20721"/>
    <cellStyle name="40% - Accent4 7 3 36" xfId="20722"/>
    <cellStyle name="40% - Accent4 7 3 37" xfId="20723"/>
    <cellStyle name="40% - Accent4 7 3 38" xfId="20724"/>
    <cellStyle name="40% - Accent4 7 3 39" xfId="20725"/>
    <cellStyle name="40% - Accent4 7 3 4" xfId="20726"/>
    <cellStyle name="40% - Accent4 7 3 40" xfId="20727"/>
    <cellStyle name="40% - Accent4 7 3 41" xfId="20728"/>
    <cellStyle name="40% - Accent4 7 3 42" xfId="20729"/>
    <cellStyle name="40% - Accent4 7 3 43" xfId="20730"/>
    <cellStyle name="40% - Accent4 7 3 44" xfId="20731"/>
    <cellStyle name="40% - Accent4 7 3 45" xfId="20732"/>
    <cellStyle name="40% - Accent4 7 3 46" xfId="20733"/>
    <cellStyle name="40% - Accent4 7 3 47" xfId="20734"/>
    <cellStyle name="40% - Accent4 7 3 48" xfId="20735"/>
    <cellStyle name="40% - Accent4 7 3 49" xfId="20736"/>
    <cellStyle name="40% - Accent4 7 3 5" xfId="20737"/>
    <cellStyle name="40% - Accent4 7 3 50" xfId="20738"/>
    <cellStyle name="40% - Accent4 7 3 51" xfId="20739"/>
    <cellStyle name="40% - Accent4 7 3 52" xfId="20740"/>
    <cellStyle name="40% - Accent4 7 3 53" xfId="20741"/>
    <cellStyle name="40% - Accent4 7 3 54" xfId="20742"/>
    <cellStyle name="40% - Accent4 7 3 55" xfId="20743"/>
    <cellStyle name="40% - Accent4 7 3 6" xfId="20744"/>
    <cellStyle name="40% - Accent4 7 3 7" xfId="20745"/>
    <cellStyle name="40% - Accent4 7 3 8" xfId="20746"/>
    <cellStyle name="40% - Accent4 7 3 9" xfId="20747"/>
    <cellStyle name="40% - Accent4 8" xfId="20748"/>
    <cellStyle name="40% - Accent4 8 2" xfId="20749"/>
    <cellStyle name="40% - Accent4 8 2 10" xfId="20750"/>
    <cellStyle name="40% - Accent4 8 2 11" xfId="20751"/>
    <cellStyle name="40% - Accent4 8 2 12" xfId="20752"/>
    <cellStyle name="40% - Accent4 8 2 13" xfId="20753"/>
    <cellStyle name="40% - Accent4 8 2 14" xfId="20754"/>
    <cellStyle name="40% - Accent4 8 2 15" xfId="20755"/>
    <cellStyle name="40% - Accent4 8 2 16" xfId="20756"/>
    <cellStyle name="40% - Accent4 8 2 17" xfId="20757"/>
    <cellStyle name="40% - Accent4 8 2 18" xfId="20758"/>
    <cellStyle name="40% - Accent4 8 2 19" xfId="20759"/>
    <cellStyle name="40% - Accent4 8 2 2" xfId="20760"/>
    <cellStyle name="40% - Accent4 8 2 2 2" xfId="20761"/>
    <cellStyle name="40% - Accent4 8 2 20" xfId="20762"/>
    <cellStyle name="40% - Accent4 8 2 21" xfId="20763"/>
    <cellStyle name="40% - Accent4 8 2 22" xfId="20764"/>
    <cellStyle name="40% - Accent4 8 2 23" xfId="20765"/>
    <cellStyle name="40% - Accent4 8 2 24" xfId="20766"/>
    <cellStyle name="40% - Accent4 8 2 25" xfId="20767"/>
    <cellStyle name="40% - Accent4 8 2 26" xfId="20768"/>
    <cellStyle name="40% - Accent4 8 2 27" xfId="20769"/>
    <cellStyle name="40% - Accent4 8 2 28" xfId="20770"/>
    <cellStyle name="40% - Accent4 8 2 29" xfId="20771"/>
    <cellStyle name="40% - Accent4 8 2 3" xfId="20772"/>
    <cellStyle name="40% - Accent4 8 2 30" xfId="20773"/>
    <cellStyle name="40% - Accent4 8 2 31" xfId="20774"/>
    <cellStyle name="40% - Accent4 8 2 32" xfId="20775"/>
    <cellStyle name="40% - Accent4 8 2 33" xfId="20776"/>
    <cellStyle name="40% - Accent4 8 2 34" xfId="20777"/>
    <cellStyle name="40% - Accent4 8 2 35" xfId="20778"/>
    <cellStyle name="40% - Accent4 8 2 36" xfId="20779"/>
    <cellStyle name="40% - Accent4 8 2 37" xfId="20780"/>
    <cellStyle name="40% - Accent4 8 2 38" xfId="20781"/>
    <cellStyle name="40% - Accent4 8 2 39" xfId="20782"/>
    <cellStyle name="40% - Accent4 8 2 4" xfId="20783"/>
    <cellStyle name="40% - Accent4 8 2 40" xfId="20784"/>
    <cellStyle name="40% - Accent4 8 2 41" xfId="20785"/>
    <cellStyle name="40% - Accent4 8 2 42" xfId="20786"/>
    <cellStyle name="40% - Accent4 8 2 43" xfId="20787"/>
    <cellStyle name="40% - Accent4 8 2 44" xfId="20788"/>
    <cellStyle name="40% - Accent4 8 2 45" xfId="20789"/>
    <cellStyle name="40% - Accent4 8 2 46" xfId="20790"/>
    <cellStyle name="40% - Accent4 8 2 47" xfId="20791"/>
    <cellStyle name="40% - Accent4 8 2 48" xfId="20792"/>
    <cellStyle name="40% - Accent4 8 2 49" xfId="20793"/>
    <cellStyle name="40% - Accent4 8 2 5" xfId="20794"/>
    <cellStyle name="40% - Accent4 8 2 50" xfId="20795"/>
    <cellStyle name="40% - Accent4 8 2 51" xfId="20796"/>
    <cellStyle name="40% - Accent4 8 2 52" xfId="20797"/>
    <cellStyle name="40% - Accent4 8 2 53" xfId="20798"/>
    <cellStyle name="40% - Accent4 8 2 54" xfId="20799"/>
    <cellStyle name="40% - Accent4 8 2 55" xfId="20800"/>
    <cellStyle name="40% - Accent4 8 2 6" xfId="20801"/>
    <cellStyle name="40% - Accent4 8 2 7" xfId="20802"/>
    <cellStyle name="40% - Accent4 8 2 8" xfId="20803"/>
    <cellStyle name="40% - Accent4 8 2 9" xfId="20804"/>
    <cellStyle name="40% - Accent4 8 3" xfId="20805"/>
    <cellStyle name="40% - Accent4 8 3 10" xfId="20806"/>
    <cellStyle name="40% - Accent4 8 3 11" xfId="20807"/>
    <cellStyle name="40% - Accent4 8 3 12" xfId="20808"/>
    <cellStyle name="40% - Accent4 8 3 13" xfId="20809"/>
    <cellStyle name="40% - Accent4 8 3 14" xfId="20810"/>
    <cellStyle name="40% - Accent4 8 3 15" xfId="20811"/>
    <cellStyle name="40% - Accent4 8 3 16" xfId="20812"/>
    <cellStyle name="40% - Accent4 8 3 17" xfId="20813"/>
    <cellStyle name="40% - Accent4 8 3 18" xfId="20814"/>
    <cellStyle name="40% - Accent4 8 3 19" xfId="20815"/>
    <cellStyle name="40% - Accent4 8 3 2" xfId="20816"/>
    <cellStyle name="40% - Accent4 8 3 2 2" xfId="20817"/>
    <cellStyle name="40% - Accent4 8 3 20" xfId="20818"/>
    <cellStyle name="40% - Accent4 8 3 21" xfId="20819"/>
    <cellStyle name="40% - Accent4 8 3 22" xfId="20820"/>
    <cellStyle name="40% - Accent4 8 3 23" xfId="20821"/>
    <cellStyle name="40% - Accent4 8 3 24" xfId="20822"/>
    <cellStyle name="40% - Accent4 8 3 25" xfId="20823"/>
    <cellStyle name="40% - Accent4 8 3 26" xfId="20824"/>
    <cellStyle name="40% - Accent4 8 3 27" xfId="20825"/>
    <cellStyle name="40% - Accent4 8 3 28" xfId="20826"/>
    <cellStyle name="40% - Accent4 8 3 29" xfId="20827"/>
    <cellStyle name="40% - Accent4 8 3 3" xfId="20828"/>
    <cellStyle name="40% - Accent4 8 3 30" xfId="20829"/>
    <cellStyle name="40% - Accent4 8 3 31" xfId="20830"/>
    <cellStyle name="40% - Accent4 8 3 32" xfId="20831"/>
    <cellStyle name="40% - Accent4 8 3 33" xfId="20832"/>
    <cellStyle name="40% - Accent4 8 3 34" xfId="20833"/>
    <cellStyle name="40% - Accent4 8 3 35" xfId="20834"/>
    <cellStyle name="40% - Accent4 8 3 36" xfId="20835"/>
    <cellStyle name="40% - Accent4 8 3 37" xfId="20836"/>
    <cellStyle name="40% - Accent4 8 3 38" xfId="20837"/>
    <cellStyle name="40% - Accent4 8 3 39" xfId="20838"/>
    <cellStyle name="40% - Accent4 8 3 4" xfId="20839"/>
    <cellStyle name="40% - Accent4 8 3 40" xfId="20840"/>
    <cellStyle name="40% - Accent4 8 3 41" xfId="20841"/>
    <cellStyle name="40% - Accent4 8 3 42" xfId="20842"/>
    <cellStyle name="40% - Accent4 8 3 43" xfId="20843"/>
    <cellStyle name="40% - Accent4 8 3 44" xfId="20844"/>
    <cellStyle name="40% - Accent4 8 3 45" xfId="20845"/>
    <cellStyle name="40% - Accent4 8 3 46" xfId="20846"/>
    <cellStyle name="40% - Accent4 8 3 47" xfId="20847"/>
    <cellStyle name="40% - Accent4 8 3 48" xfId="20848"/>
    <cellStyle name="40% - Accent4 8 3 49" xfId="20849"/>
    <cellStyle name="40% - Accent4 8 3 5" xfId="20850"/>
    <cellStyle name="40% - Accent4 8 3 50" xfId="20851"/>
    <cellStyle name="40% - Accent4 8 3 51" xfId="20852"/>
    <cellStyle name="40% - Accent4 8 3 52" xfId="20853"/>
    <cellStyle name="40% - Accent4 8 3 53" xfId="20854"/>
    <cellStyle name="40% - Accent4 8 3 54" xfId="20855"/>
    <cellStyle name="40% - Accent4 8 3 55" xfId="20856"/>
    <cellStyle name="40% - Accent4 8 3 6" xfId="20857"/>
    <cellStyle name="40% - Accent4 8 3 7" xfId="20858"/>
    <cellStyle name="40% - Accent4 8 3 8" xfId="20859"/>
    <cellStyle name="40% - Accent4 8 3 9" xfId="20860"/>
    <cellStyle name="40% - Accent4 9" xfId="20861"/>
    <cellStyle name="40% - Accent4 9 2" xfId="20862"/>
    <cellStyle name="40% - Accent4 9 2 10" xfId="20863"/>
    <cellStyle name="40% - Accent4 9 2 11" xfId="20864"/>
    <cellStyle name="40% - Accent4 9 2 12" xfId="20865"/>
    <cellStyle name="40% - Accent4 9 2 13" xfId="20866"/>
    <cellStyle name="40% - Accent4 9 2 14" xfId="20867"/>
    <cellStyle name="40% - Accent4 9 2 15" xfId="20868"/>
    <cellStyle name="40% - Accent4 9 2 16" xfId="20869"/>
    <cellStyle name="40% - Accent4 9 2 17" xfId="20870"/>
    <cellStyle name="40% - Accent4 9 2 18" xfId="20871"/>
    <cellStyle name="40% - Accent4 9 2 19" xfId="20872"/>
    <cellStyle name="40% - Accent4 9 2 2" xfId="20873"/>
    <cellStyle name="40% - Accent4 9 2 2 2" xfId="20874"/>
    <cellStyle name="40% - Accent4 9 2 20" xfId="20875"/>
    <cellStyle name="40% - Accent4 9 2 21" xfId="20876"/>
    <cellStyle name="40% - Accent4 9 2 22" xfId="20877"/>
    <cellStyle name="40% - Accent4 9 2 23" xfId="20878"/>
    <cellStyle name="40% - Accent4 9 2 24" xfId="20879"/>
    <cellStyle name="40% - Accent4 9 2 25" xfId="20880"/>
    <cellStyle name="40% - Accent4 9 2 26" xfId="20881"/>
    <cellStyle name="40% - Accent4 9 2 27" xfId="20882"/>
    <cellStyle name="40% - Accent4 9 2 28" xfId="20883"/>
    <cellStyle name="40% - Accent4 9 2 29" xfId="20884"/>
    <cellStyle name="40% - Accent4 9 2 3" xfId="20885"/>
    <cellStyle name="40% - Accent4 9 2 30" xfId="20886"/>
    <cellStyle name="40% - Accent4 9 2 31" xfId="20887"/>
    <cellStyle name="40% - Accent4 9 2 32" xfId="20888"/>
    <cellStyle name="40% - Accent4 9 2 33" xfId="20889"/>
    <cellStyle name="40% - Accent4 9 2 34" xfId="20890"/>
    <cellStyle name="40% - Accent4 9 2 35" xfId="20891"/>
    <cellStyle name="40% - Accent4 9 2 36" xfId="20892"/>
    <cellStyle name="40% - Accent4 9 2 37" xfId="20893"/>
    <cellStyle name="40% - Accent4 9 2 38" xfId="20894"/>
    <cellStyle name="40% - Accent4 9 2 39" xfId="20895"/>
    <cellStyle name="40% - Accent4 9 2 4" xfId="20896"/>
    <cellStyle name="40% - Accent4 9 2 40" xfId="20897"/>
    <cellStyle name="40% - Accent4 9 2 41" xfId="20898"/>
    <cellStyle name="40% - Accent4 9 2 42" xfId="20899"/>
    <cellStyle name="40% - Accent4 9 2 43" xfId="20900"/>
    <cellStyle name="40% - Accent4 9 2 44" xfId="20901"/>
    <cellStyle name="40% - Accent4 9 2 45" xfId="20902"/>
    <cellStyle name="40% - Accent4 9 2 46" xfId="20903"/>
    <cellStyle name="40% - Accent4 9 2 47" xfId="20904"/>
    <cellStyle name="40% - Accent4 9 2 48" xfId="20905"/>
    <cellStyle name="40% - Accent4 9 2 49" xfId="20906"/>
    <cellStyle name="40% - Accent4 9 2 5" xfId="20907"/>
    <cellStyle name="40% - Accent4 9 2 50" xfId="20908"/>
    <cellStyle name="40% - Accent4 9 2 51" xfId="20909"/>
    <cellStyle name="40% - Accent4 9 2 52" xfId="20910"/>
    <cellStyle name="40% - Accent4 9 2 53" xfId="20911"/>
    <cellStyle name="40% - Accent4 9 2 54" xfId="20912"/>
    <cellStyle name="40% - Accent4 9 2 55" xfId="20913"/>
    <cellStyle name="40% - Accent4 9 2 6" xfId="20914"/>
    <cellStyle name="40% - Accent4 9 2 7" xfId="20915"/>
    <cellStyle name="40% - Accent4 9 2 8" xfId="20916"/>
    <cellStyle name="40% - Accent4 9 2 9" xfId="20917"/>
    <cellStyle name="40% - Accent4 9 3" xfId="20918"/>
    <cellStyle name="40% - Accent4 9 3 10" xfId="20919"/>
    <cellStyle name="40% - Accent4 9 3 11" xfId="20920"/>
    <cellStyle name="40% - Accent4 9 3 12" xfId="20921"/>
    <cellStyle name="40% - Accent4 9 3 13" xfId="20922"/>
    <cellStyle name="40% - Accent4 9 3 14" xfId="20923"/>
    <cellStyle name="40% - Accent4 9 3 15" xfId="20924"/>
    <cellStyle name="40% - Accent4 9 3 16" xfId="20925"/>
    <cellStyle name="40% - Accent4 9 3 17" xfId="20926"/>
    <cellStyle name="40% - Accent4 9 3 18" xfId="20927"/>
    <cellStyle name="40% - Accent4 9 3 19" xfId="20928"/>
    <cellStyle name="40% - Accent4 9 3 2" xfId="20929"/>
    <cellStyle name="40% - Accent4 9 3 2 2" xfId="20930"/>
    <cellStyle name="40% - Accent4 9 3 20" xfId="20931"/>
    <cellStyle name="40% - Accent4 9 3 21" xfId="20932"/>
    <cellStyle name="40% - Accent4 9 3 22" xfId="20933"/>
    <cellStyle name="40% - Accent4 9 3 23" xfId="20934"/>
    <cellStyle name="40% - Accent4 9 3 24" xfId="20935"/>
    <cellStyle name="40% - Accent4 9 3 25" xfId="20936"/>
    <cellStyle name="40% - Accent4 9 3 26" xfId="20937"/>
    <cellStyle name="40% - Accent4 9 3 27" xfId="20938"/>
    <cellStyle name="40% - Accent4 9 3 28" xfId="20939"/>
    <cellStyle name="40% - Accent4 9 3 29" xfId="20940"/>
    <cellStyle name="40% - Accent4 9 3 3" xfId="20941"/>
    <cellStyle name="40% - Accent4 9 3 30" xfId="20942"/>
    <cellStyle name="40% - Accent4 9 3 31" xfId="20943"/>
    <cellStyle name="40% - Accent4 9 3 32" xfId="20944"/>
    <cellStyle name="40% - Accent4 9 3 33" xfId="20945"/>
    <cellStyle name="40% - Accent4 9 3 34" xfId="20946"/>
    <cellStyle name="40% - Accent4 9 3 35" xfId="20947"/>
    <cellStyle name="40% - Accent4 9 3 36" xfId="20948"/>
    <cellStyle name="40% - Accent4 9 3 37" xfId="20949"/>
    <cellStyle name="40% - Accent4 9 3 38" xfId="20950"/>
    <cellStyle name="40% - Accent4 9 3 39" xfId="20951"/>
    <cellStyle name="40% - Accent4 9 3 4" xfId="20952"/>
    <cellStyle name="40% - Accent4 9 3 40" xfId="20953"/>
    <cellStyle name="40% - Accent4 9 3 41" xfId="20954"/>
    <cellStyle name="40% - Accent4 9 3 42" xfId="20955"/>
    <cellStyle name="40% - Accent4 9 3 43" xfId="20956"/>
    <cellStyle name="40% - Accent4 9 3 44" xfId="20957"/>
    <cellStyle name="40% - Accent4 9 3 45" xfId="20958"/>
    <cellStyle name="40% - Accent4 9 3 46" xfId="20959"/>
    <cellStyle name="40% - Accent4 9 3 47" xfId="20960"/>
    <cellStyle name="40% - Accent4 9 3 48" xfId="20961"/>
    <cellStyle name="40% - Accent4 9 3 49" xfId="20962"/>
    <cellStyle name="40% - Accent4 9 3 5" xfId="20963"/>
    <cellStyle name="40% - Accent4 9 3 50" xfId="20964"/>
    <cellStyle name="40% - Accent4 9 3 51" xfId="20965"/>
    <cellStyle name="40% - Accent4 9 3 52" xfId="20966"/>
    <cellStyle name="40% - Accent4 9 3 53" xfId="20967"/>
    <cellStyle name="40% - Accent4 9 3 54" xfId="20968"/>
    <cellStyle name="40% - Accent4 9 3 55" xfId="20969"/>
    <cellStyle name="40% - Accent4 9 3 6" xfId="20970"/>
    <cellStyle name="40% - Accent4 9 3 7" xfId="20971"/>
    <cellStyle name="40% - Accent4 9 3 8" xfId="20972"/>
    <cellStyle name="40% - Accent4 9 3 9" xfId="20973"/>
    <cellStyle name="40% - Accent5 10" xfId="20974"/>
    <cellStyle name="40% - Accent5 10 2" xfId="20975"/>
    <cellStyle name="40% - Accent5 10 2 10" xfId="20976"/>
    <cellStyle name="40% - Accent5 10 2 11" xfId="20977"/>
    <cellStyle name="40% - Accent5 10 2 12" xfId="20978"/>
    <cellStyle name="40% - Accent5 10 2 13" xfId="20979"/>
    <cellStyle name="40% - Accent5 10 2 14" xfId="20980"/>
    <cellStyle name="40% - Accent5 10 2 15" xfId="20981"/>
    <cellStyle name="40% - Accent5 10 2 16" xfId="20982"/>
    <cellStyle name="40% - Accent5 10 2 17" xfId="20983"/>
    <cellStyle name="40% - Accent5 10 2 18" xfId="20984"/>
    <cellStyle name="40% - Accent5 10 2 19" xfId="20985"/>
    <cellStyle name="40% - Accent5 10 2 2" xfId="20986"/>
    <cellStyle name="40% - Accent5 10 2 2 2" xfId="20987"/>
    <cellStyle name="40% - Accent5 10 2 20" xfId="20988"/>
    <cellStyle name="40% - Accent5 10 2 21" xfId="20989"/>
    <cellStyle name="40% - Accent5 10 2 22" xfId="20990"/>
    <cellStyle name="40% - Accent5 10 2 23" xfId="20991"/>
    <cellStyle name="40% - Accent5 10 2 24" xfId="20992"/>
    <cellStyle name="40% - Accent5 10 2 25" xfId="20993"/>
    <cellStyle name="40% - Accent5 10 2 26" xfId="20994"/>
    <cellStyle name="40% - Accent5 10 2 27" xfId="20995"/>
    <cellStyle name="40% - Accent5 10 2 28" xfId="20996"/>
    <cellStyle name="40% - Accent5 10 2 29" xfId="20997"/>
    <cellStyle name="40% - Accent5 10 2 3" xfId="20998"/>
    <cellStyle name="40% - Accent5 10 2 30" xfId="20999"/>
    <cellStyle name="40% - Accent5 10 2 31" xfId="21000"/>
    <cellStyle name="40% - Accent5 10 2 32" xfId="21001"/>
    <cellStyle name="40% - Accent5 10 2 33" xfId="21002"/>
    <cellStyle name="40% - Accent5 10 2 34" xfId="21003"/>
    <cellStyle name="40% - Accent5 10 2 35" xfId="21004"/>
    <cellStyle name="40% - Accent5 10 2 36" xfId="21005"/>
    <cellStyle name="40% - Accent5 10 2 37" xfId="21006"/>
    <cellStyle name="40% - Accent5 10 2 38" xfId="21007"/>
    <cellStyle name="40% - Accent5 10 2 39" xfId="21008"/>
    <cellStyle name="40% - Accent5 10 2 4" xfId="21009"/>
    <cellStyle name="40% - Accent5 10 2 40" xfId="21010"/>
    <cellStyle name="40% - Accent5 10 2 41" xfId="21011"/>
    <cellStyle name="40% - Accent5 10 2 42" xfId="21012"/>
    <cellStyle name="40% - Accent5 10 2 43" xfId="21013"/>
    <cellStyle name="40% - Accent5 10 2 44" xfId="21014"/>
    <cellStyle name="40% - Accent5 10 2 45" xfId="21015"/>
    <cellStyle name="40% - Accent5 10 2 46" xfId="21016"/>
    <cellStyle name="40% - Accent5 10 2 47" xfId="21017"/>
    <cellStyle name="40% - Accent5 10 2 48" xfId="21018"/>
    <cellStyle name="40% - Accent5 10 2 49" xfId="21019"/>
    <cellStyle name="40% - Accent5 10 2 5" xfId="21020"/>
    <cellStyle name="40% - Accent5 10 2 50" xfId="21021"/>
    <cellStyle name="40% - Accent5 10 2 51" xfId="21022"/>
    <cellStyle name="40% - Accent5 10 2 52" xfId="21023"/>
    <cellStyle name="40% - Accent5 10 2 53" xfId="21024"/>
    <cellStyle name="40% - Accent5 10 2 54" xfId="21025"/>
    <cellStyle name="40% - Accent5 10 2 55" xfId="21026"/>
    <cellStyle name="40% - Accent5 10 2 6" xfId="21027"/>
    <cellStyle name="40% - Accent5 10 2 7" xfId="21028"/>
    <cellStyle name="40% - Accent5 10 2 8" xfId="21029"/>
    <cellStyle name="40% - Accent5 10 2 9" xfId="21030"/>
    <cellStyle name="40% - Accent5 10 3" xfId="21031"/>
    <cellStyle name="40% - Accent5 10 3 10" xfId="21032"/>
    <cellStyle name="40% - Accent5 10 3 11" xfId="21033"/>
    <cellStyle name="40% - Accent5 10 3 12" xfId="21034"/>
    <cellStyle name="40% - Accent5 10 3 13" xfId="21035"/>
    <cellStyle name="40% - Accent5 10 3 14" xfId="21036"/>
    <cellStyle name="40% - Accent5 10 3 15" xfId="21037"/>
    <cellStyle name="40% - Accent5 10 3 16" xfId="21038"/>
    <cellStyle name="40% - Accent5 10 3 17" xfId="21039"/>
    <cellStyle name="40% - Accent5 10 3 18" xfId="21040"/>
    <cellStyle name="40% - Accent5 10 3 19" xfId="21041"/>
    <cellStyle name="40% - Accent5 10 3 2" xfId="21042"/>
    <cellStyle name="40% - Accent5 10 3 2 2" xfId="21043"/>
    <cellStyle name="40% - Accent5 10 3 20" xfId="21044"/>
    <cellStyle name="40% - Accent5 10 3 21" xfId="21045"/>
    <cellStyle name="40% - Accent5 10 3 22" xfId="21046"/>
    <cellStyle name="40% - Accent5 10 3 23" xfId="21047"/>
    <cellStyle name="40% - Accent5 10 3 24" xfId="21048"/>
    <cellStyle name="40% - Accent5 10 3 25" xfId="21049"/>
    <cellStyle name="40% - Accent5 10 3 26" xfId="21050"/>
    <cellStyle name="40% - Accent5 10 3 27" xfId="21051"/>
    <cellStyle name="40% - Accent5 10 3 28" xfId="21052"/>
    <cellStyle name="40% - Accent5 10 3 29" xfId="21053"/>
    <cellStyle name="40% - Accent5 10 3 3" xfId="21054"/>
    <cellStyle name="40% - Accent5 10 3 30" xfId="21055"/>
    <cellStyle name="40% - Accent5 10 3 31" xfId="21056"/>
    <cellStyle name="40% - Accent5 10 3 32" xfId="21057"/>
    <cellStyle name="40% - Accent5 10 3 33" xfId="21058"/>
    <cellStyle name="40% - Accent5 10 3 34" xfId="21059"/>
    <cellStyle name="40% - Accent5 10 3 35" xfId="21060"/>
    <cellStyle name="40% - Accent5 10 3 36" xfId="21061"/>
    <cellStyle name="40% - Accent5 10 3 37" xfId="21062"/>
    <cellStyle name="40% - Accent5 10 3 38" xfId="21063"/>
    <cellStyle name="40% - Accent5 10 3 39" xfId="21064"/>
    <cellStyle name="40% - Accent5 10 3 4" xfId="21065"/>
    <cellStyle name="40% - Accent5 10 3 40" xfId="21066"/>
    <cellStyle name="40% - Accent5 10 3 41" xfId="21067"/>
    <cellStyle name="40% - Accent5 10 3 42" xfId="21068"/>
    <cellStyle name="40% - Accent5 10 3 43" xfId="21069"/>
    <cellStyle name="40% - Accent5 10 3 44" xfId="21070"/>
    <cellStyle name="40% - Accent5 10 3 45" xfId="21071"/>
    <cellStyle name="40% - Accent5 10 3 46" xfId="21072"/>
    <cellStyle name="40% - Accent5 10 3 47" xfId="21073"/>
    <cellStyle name="40% - Accent5 10 3 48" xfId="21074"/>
    <cellStyle name="40% - Accent5 10 3 49" xfId="21075"/>
    <cellStyle name="40% - Accent5 10 3 5" xfId="21076"/>
    <cellStyle name="40% - Accent5 10 3 50" xfId="21077"/>
    <cellStyle name="40% - Accent5 10 3 51" xfId="21078"/>
    <cellStyle name="40% - Accent5 10 3 52" xfId="21079"/>
    <cellStyle name="40% - Accent5 10 3 53" xfId="21080"/>
    <cellStyle name="40% - Accent5 10 3 54" xfId="21081"/>
    <cellStyle name="40% - Accent5 10 3 55" xfId="21082"/>
    <cellStyle name="40% - Accent5 10 3 6" xfId="21083"/>
    <cellStyle name="40% - Accent5 10 3 7" xfId="21084"/>
    <cellStyle name="40% - Accent5 10 3 8" xfId="21085"/>
    <cellStyle name="40% - Accent5 10 3 9" xfId="21086"/>
    <cellStyle name="40% - Accent5 11" xfId="21087"/>
    <cellStyle name="40% - Accent5 11 2" xfId="21088"/>
    <cellStyle name="40% - Accent5 11 2 10" xfId="21089"/>
    <cellStyle name="40% - Accent5 11 2 11" xfId="21090"/>
    <cellStyle name="40% - Accent5 11 2 12" xfId="21091"/>
    <cellStyle name="40% - Accent5 11 2 13" xfId="21092"/>
    <cellStyle name="40% - Accent5 11 2 14" xfId="21093"/>
    <cellStyle name="40% - Accent5 11 2 15" xfId="21094"/>
    <cellStyle name="40% - Accent5 11 2 16" xfId="21095"/>
    <cellStyle name="40% - Accent5 11 2 17" xfId="21096"/>
    <cellStyle name="40% - Accent5 11 2 18" xfId="21097"/>
    <cellStyle name="40% - Accent5 11 2 19" xfId="21098"/>
    <cellStyle name="40% - Accent5 11 2 2" xfId="21099"/>
    <cellStyle name="40% - Accent5 11 2 2 2" xfId="21100"/>
    <cellStyle name="40% - Accent5 11 2 20" xfId="21101"/>
    <cellStyle name="40% - Accent5 11 2 21" xfId="21102"/>
    <cellStyle name="40% - Accent5 11 2 22" xfId="21103"/>
    <cellStyle name="40% - Accent5 11 2 23" xfId="21104"/>
    <cellStyle name="40% - Accent5 11 2 24" xfId="21105"/>
    <cellStyle name="40% - Accent5 11 2 25" xfId="21106"/>
    <cellStyle name="40% - Accent5 11 2 26" xfId="21107"/>
    <cellStyle name="40% - Accent5 11 2 27" xfId="21108"/>
    <cellStyle name="40% - Accent5 11 2 28" xfId="21109"/>
    <cellStyle name="40% - Accent5 11 2 29" xfId="21110"/>
    <cellStyle name="40% - Accent5 11 2 3" xfId="21111"/>
    <cellStyle name="40% - Accent5 11 2 30" xfId="21112"/>
    <cellStyle name="40% - Accent5 11 2 31" xfId="21113"/>
    <cellStyle name="40% - Accent5 11 2 32" xfId="21114"/>
    <cellStyle name="40% - Accent5 11 2 33" xfId="21115"/>
    <cellStyle name="40% - Accent5 11 2 34" xfId="21116"/>
    <cellStyle name="40% - Accent5 11 2 35" xfId="21117"/>
    <cellStyle name="40% - Accent5 11 2 36" xfId="21118"/>
    <cellStyle name="40% - Accent5 11 2 37" xfId="21119"/>
    <cellStyle name="40% - Accent5 11 2 38" xfId="21120"/>
    <cellStyle name="40% - Accent5 11 2 39" xfId="21121"/>
    <cellStyle name="40% - Accent5 11 2 4" xfId="21122"/>
    <cellStyle name="40% - Accent5 11 2 40" xfId="21123"/>
    <cellStyle name="40% - Accent5 11 2 41" xfId="21124"/>
    <cellStyle name="40% - Accent5 11 2 42" xfId="21125"/>
    <cellStyle name="40% - Accent5 11 2 43" xfId="21126"/>
    <cellStyle name="40% - Accent5 11 2 44" xfId="21127"/>
    <cellStyle name="40% - Accent5 11 2 45" xfId="21128"/>
    <cellStyle name="40% - Accent5 11 2 46" xfId="21129"/>
    <cellStyle name="40% - Accent5 11 2 47" xfId="21130"/>
    <cellStyle name="40% - Accent5 11 2 48" xfId="21131"/>
    <cellStyle name="40% - Accent5 11 2 49" xfId="21132"/>
    <cellStyle name="40% - Accent5 11 2 5" xfId="21133"/>
    <cellStyle name="40% - Accent5 11 2 50" xfId="21134"/>
    <cellStyle name="40% - Accent5 11 2 51" xfId="21135"/>
    <cellStyle name="40% - Accent5 11 2 52" xfId="21136"/>
    <cellStyle name="40% - Accent5 11 2 53" xfId="21137"/>
    <cellStyle name="40% - Accent5 11 2 54" xfId="21138"/>
    <cellStyle name="40% - Accent5 11 2 55" xfId="21139"/>
    <cellStyle name="40% - Accent5 11 2 6" xfId="21140"/>
    <cellStyle name="40% - Accent5 11 2 7" xfId="21141"/>
    <cellStyle name="40% - Accent5 11 2 8" xfId="21142"/>
    <cellStyle name="40% - Accent5 11 2 9" xfId="21143"/>
    <cellStyle name="40% - Accent5 11 3" xfId="21144"/>
    <cellStyle name="40% - Accent5 11 3 10" xfId="21145"/>
    <cellStyle name="40% - Accent5 11 3 11" xfId="21146"/>
    <cellStyle name="40% - Accent5 11 3 12" xfId="21147"/>
    <cellStyle name="40% - Accent5 11 3 13" xfId="21148"/>
    <cellStyle name="40% - Accent5 11 3 14" xfId="21149"/>
    <cellStyle name="40% - Accent5 11 3 15" xfId="21150"/>
    <cellStyle name="40% - Accent5 11 3 16" xfId="21151"/>
    <cellStyle name="40% - Accent5 11 3 17" xfId="21152"/>
    <cellStyle name="40% - Accent5 11 3 18" xfId="21153"/>
    <cellStyle name="40% - Accent5 11 3 19" xfId="21154"/>
    <cellStyle name="40% - Accent5 11 3 2" xfId="21155"/>
    <cellStyle name="40% - Accent5 11 3 2 2" xfId="21156"/>
    <cellStyle name="40% - Accent5 11 3 20" xfId="21157"/>
    <cellStyle name="40% - Accent5 11 3 21" xfId="21158"/>
    <cellStyle name="40% - Accent5 11 3 22" xfId="21159"/>
    <cellStyle name="40% - Accent5 11 3 23" xfId="21160"/>
    <cellStyle name="40% - Accent5 11 3 24" xfId="21161"/>
    <cellStyle name="40% - Accent5 11 3 25" xfId="21162"/>
    <cellStyle name="40% - Accent5 11 3 26" xfId="21163"/>
    <cellStyle name="40% - Accent5 11 3 27" xfId="21164"/>
    <cellStyle name="40% - Accent5 11 3 28" xfId="21165"/>
    <cellStyle name="40% - Accent5 11 3 29" xfId="21166"/>
    <cellStyle name="40% - Accent5 11 3 3" xfId="21167"/>
    <cellStyle name="40% - Accent5 11 3 30" xfId="21168"/>
    <cellStyle name="40% - Accent5 11 3 31" xfId="21169"/>
    <cellStyle name="40% - Accent5 11 3 32" xfId="21170"/>
    <cellStyle name="40% - Accent5 11 3 33" xfId="21171"/>
    <cellStyle name="40% - Accent5 11 3 34" xfId="21172"/>
    <cellStyle name="40% - Accent5 11 3 35" xfId="21173"/>
    <cellStyle name="40% - Accent5 11 3 36" xfId="21174"/>
    <cellStyle name="40% - Accent5 11 3 37" xfId="21175"/>
    <cellStyle name="40% - Accent5 11 3 38" xfId="21176"/>
    <cellStyle name="40% - Accent5 11 3 39" xfId="21177"/>
    <cellStyle name="40% - Accent5 11 3 4" xfId="21178"/>
    <cellStyle name="40% - Accent5 11 3 40" xfId="21179"/>
    <cellStyle name="40% - Accent5 11 3 41" xfId="21180"/>
    <cellStyle name="40% - Accent5 11 3 42" xfId="21181"/>
    <cellStyle name="40% - Accent5 11 3 43" xfId="21182"/>
    <cellStyle name="40% - Accent5 11 3 44" xfId="21183"/>
    <cellStyle name="40% - Accent5 11 3 45" xfId="21184"/>
    <cellStyle name="40% - Accent5 11 3 46" xfId="21185"/>
    <cellStyle name="40% - Accent5 11 3 47" xfId="21186"/>
    <cellStyle name="40% - Accent5 11 3 48" xfId="21187"/>
    <cellStyle name="40% - Accent5 11 3 49" xfId="21188"/>
    <cellStyle name="40% - Accent5 11 3 5" xfId="21189"/>
    <cellStyle name="40% - Accent5 11 3 50" xfId="21190"/>
    <cellStyle name="40% - Accent5 11 3 51" xfId="21191"/>
    <cellStyle name="40% - Accent5 11 3 52" xfId="21192"/>
    <cellStyle name="40% - Accent5 11 3 53" xfId="21193"/>
    <cellStyle name="40% - Accent5 11 3 54" xfId="21194"/>
    <cellStyle name="40% - Accent5 11 3 55" xfId="21195"/>
    <cellStyle name="40% - Accent5 11 3 6" xfId="21196"/>
    <cellStyle name="40% - Accent5 11 3 7" xfId="21197"/>
    <cellStyle name="40% - Accent5 11 3 8" xfId="21198"/>
    <cellStyle name="40% - Accent5 11 3 9" xfId="21199"/>
    <cellStyle name="40% - Accent5 12" xfId="21200"/>
    <cellStyle name="40% - Accent5 12 2" xfId="21201"/>
    <cellStyle name="40% - Accent5 12 2 10" xfId="21202"/>
    <cellStyle name="40% - Accent5 12 2 11" xfId="21203"/>
    <cellStyle name="40% - Accent5 12 2 12" xfId="21204"/>
    <cellStyle name="40% - Accent5 12 2 13" xfId="21205"/>
    <cellStyle name="40% - Accent5 12 2 14" xfId="21206"/>
    <cellStyle name="40% - Accent5 12 2 15" xfId="21207"/>
    <cellStyle name="40% - Accent5 12 2 16" xfId="21208"/>
    <cellStyle name="40% - Accent5 12 2 17" xfId="21209"/>
    <cellStyle name="40% - Accent5 12 2 18" xfId="21210"/>
    <cellStyle name="40% - Accent5 12 2 19" xfId="21211"/>
    <cellStyle name="40% - Accent5 12 2 2" xfId="21212"/>
    <cellStyle name="40% - Accent5 12 2 2 2" xfId="21213"/>
    <cellStyle name="40% - Accent5 12 2 20" xfId="21214"/>
    <cellStyle name="40% - Accent5 12 2 21" xfId="21215"/>
    <cellStyle name="40% - Accent5 12 2 22" xfId="21216"/>
    <cellStyle name="40% - Accent5 12 2 23" xfId="21217"/>
    <cellStyle name="40% - Accent5 12 2 24" xfId="21218"/>
    <cellStyle name="40% - Accent5 12 2 25" xfId="21219"/>
    <cellStyle name="40% - Accent5 12 2 26" xfId="21220"/>
    <cellStyle name="40% - Accent5 12 2 27" xfId="21221"/>
    <cellStyle name="40% - Accent5 12 2 28" xfId="21222"/>
    <cellStyle name="40% - Accent5 12 2 29" xfId="21223"/>
    <cellStyle name="40% - Accent5 12 2 3" xfId="21224"/>
    <cellStyle name="40% - Accent5 12 2 30" xfId="21225"/>
    <cellStyle name="40% - Accent5 12 2 31" xfId="21226"/>
    <cellStyle name="40% - Accent5 12 2 32" xfId="21227"/>
    <cellStyle name="40% - Accent5 12 2 33" xfId="21228"/>
    <cellStyle name="40% - Accent5 12 2 34" xfId="21229"/>
    <cellStyle name="40% - Accent5 12 2 35" xfId="21230"/>
    <cellStyle name="40% - Accent5 12 2 36" xfId="21231"/>
    <cellStyle name="40% - Accent5 12 2 37" xfId="21232"/>
    <cellStyle name="40% - Accent5 12 2 38" xfId="21233"/>
    <cellStyle name="40% - Accent5 12 2 39" xfId="21234"/>
    <cellStyle name="40% - Accent5 12 2 4" xfId="21235"/>
    <cellStyle name="40% - Accent5 12 2 40" xfId="21236"/>
    <cellStyle name="40% - Accent5 12 2 41" xfId="21237"/>
    <cellStyle name="40% - Accent5 12 2 42" xfId="21238"/>
    <cellStyle name="40% - Accent5 12 2 43" xfId="21239"/>
    <cellStyle name="40% - Accent5 12 2 44" xfId="21240"/>
    <cellStyle name="40% - Accent5 12 2 45" xfId="21241"/>
    <cellStyle name="40% - Accent5 12 2 46" xfId="21242"/>
    <cellStyle name="40% - Accent5 12 2 47" xfId="21243"/>
    <cellStyle name="40% - Accent5 12 2 48" xfId="21244"/>
    <cellStyle name="40% - Accent5 12 2 49" xfId="21245"/>
    <cellStyle name="40% - Accent5 12 2 5" xfId="21246"/>
    <cellStyle name="40% - Accent5 12 2 50" xfId="21247"/>
    <cellStyle name="40% - Accent5 12 2 51" xfId="21248"/>
    <cellStyle name="40% - Accent5 12 2 52" xfId="21249"/>
    <cellStyle name="40% - Accent5 12 2 53" xfId="21250"/>
    <cellStyle name="40% - Accent5 12 2 54" xfId="21251"/>
    <cellStyle name="40% - Accent5 12 2 55" xfId="21252"/>
    <cellStyle name="40% - Accent5 12 2 6" xfId="21253"/>
    <cellStyle name="40% - Accent5 12 2 7" xfId="21254"/>
    <cellStyle name="40% - Accent5 12 2 8" xfId="21255"/>
    <cellStyle name="40% - Accent5 12 2 9" xfId="21256"/>
    <cellStyle name="40% - Accent5 12 3" xfId="21257"/>
    <cellStyle name="40% - Accent5 12 3 10" xfId="21258"/>
    <cellStyle name="40% - Accent5 12 3 11" xfId="21259"/>
    <cellStyle name="40% - Accent5 12 3 12" xfId="21260"/>
    <cellStyle name="40% - Accent5 12 3 13" xfId="21261"/>
    <cellStyle name="40% - Accent5 12 3 14" xfId="21262"/>
    <cellStyle name="40% - Accent5 12 3 15" xfId="21263"/>
    <cellStyle name="40% - Accent5 12 3 16" xfId="21264"/>
    <cellStyle name="40% - Accent5 12 3 17" xfId="21265"/>
    <cellStyle name="40% - Accent5 12 3 18" xfId="21266"/>
    <cellStyle name="40% - Accent5 12 3 19" xfId="21267"/>
    <cellStyle name="40% - Accent5 12 3 2" xfId="21268"/>
    <cellStyle name="40% - Accent5 12 3 2 2" xfId="21269"/>
    <cellStyle name="40% - Accent5 12 3 20" xfId="21270"/>
    <cellStyle name="40% - Accent5 12 3 21" xfId="21271"/>
    <cellStyle name="40% - Accent5 12 3 22" xfId="21272"/>
    <cellStyle name="40% - Accent5 12 3 23" xfId="21273"/>
    <cellStyle name="40% - Accent5 12 3 24" xfId="21274"/>
    <cellStyle name="40% - Accent5 12 3 25" xfId="21275"/>
    <cellStyle name="40% - Accent5 12 3 26" xfId="21276"/>
    <cellStyle name="40% - Accent5 12 3 27" xfId="21277"/>
    <cellStyle name="40% - Accent5 12 3 28" xfId="21278"/>
    <cellStyle name="40% - Accent5 12 3 29" xfId="21279"/>
    <cellStyle name="40% - Accent5 12 3 3" xfId="21280"/>
    <cellStyle name="40% - Accent5 12 3 30" xfId="21281"/>
    <cellStyle name="40% - Accent5 12 3 31" xfId="21282"/>
    <cellStyle name="40% - Accent5 12 3 32" xfId="21283"/>
    <cellStyle name="40% - Accent5 12 3 33" xfId="21284"/>
    <cellStyle name="40% - Accent5 12 3 34" xfId="21285"/>
    <cellStyle name="40% - Accent5 12 3 35" xfId="21286"/>
    <cellStyle name="40% - Accent5 12 3 36" xfId="21287"/>
    <cellStyle name="40% - Accent5 12 3 37" xfId="21288"/>
    <cellStyle name="40% - Accent5 12 3 38" xfId="21289"/>
    <cellStyle name="40% - Accent5 12 3 39" xfId="21290"/>
    <cellStyle name="40% - Accent5 12 3 4" xfId="21291"/>
    <cellStyle name="40% - Accent5 12 3 40" xfId="21292"/>
    <cellStyle name="40% - Accent5 12 3 41" xfId="21293"/>
    <cellStyle name="40% - Accent5 12 3 42" xfId="21294"/>
    <cellStyle name="40% - Accent5 12 3 43" xfId="21295"/>
    <cellStyle name="40% - Accent5 12 3 44" xfId="21296"/>
    <cellStyle name="40% - Accent5 12 3 45" xfId="21297"/>
    <cellStyle name="40% - Accent5 12 3 46" xfId="21298"/>
    <cellStyle name="40% - Accent5 12 3 47" xfId="21299"/>
    <cellStyle name="40% - Accent5 12 3 48" xfId="21300"/>
    <cellStyle name="40% - Accent5 12 3 49" xfId="21301"/>
    <cellStyle name="40% - Accent5 12 3 5" xfId="21302"/>
    <cellStyle name="40% - Accent5 12 3 50" xfId="21303"/>
    <cellStyle name="40% - Accent5 12 3 51" xfId="21304"/>
    <cellStyle name="40% - Accent5 12 3 52" xfId="21305"/>
    <cellStyle name="40% - Accent5 12 3 53" xfId="21306"/>
    <cellStyle name="40% - Accent5 12 3 54" xfId="21307"/>
    <cellStyle name="40% - Accent5 12 3 55" xfId="21308"/>
    <cellStyle name="40% - Accent5 12 3 6" xfId="21309"/>
    <cellStyle name="40% - Accent5 12 3 7" xfId="21310"/>
    <cellStyle name="40% - Accent5 12 3 8" xfId="21311"/>
    <cellStyle name="40% - Accent5 12 3 9" xfId="21312"/>
    <cellStyle name="40% - Accent5 13" xfId="21313"/>
    <cellStyle name="40% - Accent5 13 2" xfId="21314"/>
    <cellStyle name="40% - Accent5 13 2 10" xfId="21315"/>
    <cellStyle name="40% - Accent5 13 2 11" xfId="21316"/>
    <cellStyle name="40% - Accent5 13 2 12" xfId="21317"/>
    <cellStyle name="40% - Accent5 13 2 13" xfId="21318"/>
    <cellStyle name="40% - Accent5 13 2 14" xfId="21319"/>
    <cellStyle name="40% - Accent5 13 2 15" xfId="21320"/>
    <cellStyle name="40% - Accent5 13 2 16" xfId="21321"/>
    <cellStyle name="40% - Accent5 13 2 17" xfId="21322"/>
    <cellStyle name="40% - Accent5 13 2 18" xfId="21323"/>
    <cellStyle name="40% - Accent5 13 2 19" xfId="21324"/>
    <cellStyle name="40% - Accent5 13 2 2" xfId="21325"/>
    <cellStyle name="40% - Accent5 13 2 2 2" xfId="21326"/>
    <cellStyle name="40% - Accent5 13 2 20" xfId="21327"/>
    <cellStyle name="40% - Accent5 13 2 21" xfId="21328"/>
    <cellStyle name="40% - Accent5 13 2 22" xfId="21329"/>
    <cellStyle name="40% - Accent5 13 2 23" xfId="21330"/>
    <cellStyle name="40% - Accent5 13 2 24" xfId="21331"/>
    <cellStyle name="40% - Accent5 13 2 25" xfId="21332"/>
    <cellStyle name="40% - Accent5 13 2 26" xfId="21333"/>
    <cellStyle name="40% - Accent5 13 2 27" xfId="21334"/>
    <cellStyle name="40% - Accent5 13 2 28" xfId="21335"/>
    <cellStyle name="40% - Accent5 13 2 29" xfId="21336"/>
    <cellStyle name="40% - Accent5 13 2 3" xfId="21337"/>
    <cellStyle name="40% - Accent5 13 2 30" xfId="21338"/>
    <cellStyle name="40% - Accent5 13 2 31" xfId="21339"/>
    <cellStyle name="40% - Accent5 13 2 32" xfId="21340"/>
    <cellStyle name="40% - Accent5 13 2 33" xfId="21341"/>
    <cellStyle name="40% - Accent5 13 2 34" xfId="21342"/>
    <cellStyle name="40% - Accent5 13 2 35" xfId="21343"/>
    <cellStyle name="40% - Accent5 13 2 36" xfId="21344"/>
    <cellStyle name="40% - Accent5 13 2 37" xfId="21345"/>
    <cellStyle name="40% - Accent5 13 2 38" xfId="21346"/>
    <cellStyle name="40% - Accent5 13 2 39" xfId="21347"/>
    <cellStyle name="40% - Accent5 13 2 4" xfId="21348"/>
    <cellStyle name="40% - Accent5 13 2 40" xfId="21349"/>
    <cellStyle name="40% - Accent5 13 2 41" xfId="21350"/>
    <cellStyle name="40% - Accent5 13 2 42" xfId="21351"/>
    <cellStyle name="40% - Accent5 13 2 43" xfId="21352"/>
    <cellStyle name="40% - Accent5 13 2 44" xfId="21353"/>
    <cellStyle name="40% - Accent5 13 2 45" xfId="21354"/>
    <cellStyle name="40% - Accent5 13 2 46" xfId="21355"/>
    <cellStyle name="40% - Accent5 13 2 47" xfId="21356"/>
    <cellStyle name="40% - Accent5 13 2 48" xfId="21357"/>
    <cellStyle name="40% - Accent5 13 2 49" xfId="21358"/>
    <cellStyle name="40% - Accent5 13 2 5" xfId="21359"/>
    <cellStyle name="40% - Accent5 13 2 50" xfId="21360"/>
    <cellStyle name="40% - Accent5 13 2 51" xfId="21361"/>
    <cellStyle name="40% - Accent5 13 2 52" xfId="21362"/>
    <cellStyle name="40% - Accent5 13 2 53" xfId="21363"/>
    <cellStyle name="40% - Accent5 13 2 54" xfId="21364"/>
    <cellStyle name="40% - Accent5 13 2 55" xfId="21365"/>
    <cellStyle name="40% - Accent5 13 2 6" xfId="21366"/>
    <cellStyle name="40% - Accent5 13 2 7" xfId="21367"/>
    <cellStyle name="40% - Accent5 13 2 8" xfId="21368"/>
    <cellStyle name="40% - Accent5 13 2 9" xfId="21369"/>
    <cellStyle name="40% - Accent5 13 3" xfId="21370"/>
    <cellStyle name="40% - Accent5 13 3 10" xfId="21371"/>
    <cellStyle name="40% - Accent5 13 3 11" xfId="21372"/>
    <cellStyle name="40% - Accent5 13 3 12" xfId="21373"/>
    <cellStyle name="40% - Accent5 13 3 13" xfId="21374"/>
    <cellStyle name="40% - Accent5 13 3 14" xfId="21375"/>
    <cellStyle name="40% - Accent5 13 3 15" xfId="21376"/>
    <cellStyle name="40% - Accent5 13 3 16" xfId="21377"/>
    <cellStyle name="40% - Accent5 13 3 17" xfId="21378"/>
    <cellStyle name="40% - Accent5 13 3 18" xfId="21379"/>
    <cellStyle name="40% - Accent5 13 3 19" xfId="21380"/>
    <cellStyle name="40% - Accent5 13 3 2" xfId="21381"/>
    <cellStyle name="40% - Accent5 13 3 2 2" xfId="21382"/>
    <cellStyle name="40% - Accent5 13 3 20" xfId="21383"/>
    <cellStyle name="40% - Accent5 13 3 21" xfId="21384"/>
    <cellStyle name="40% - Accent5 13 3 22" xfId="21385"/>
    <cellStyle name="40% - Accent5 13 3 23" xfId="21386"/>
    <cellStyle name="40% - Accent5 13 3 24" xfId="21387"/>
    <cellStyle name="40% - Accent5 13 3 25" xfId="21388"/>
    <cellStyle name="40% - Accent5 13 3 26" xfId="21389"/>
    <cellStyle name="40% - Accent5 13 3 27" xfId="21390"/>
    <cellStyle name="40% - Accent5 13 3 28" xfId="21391"/>
    <cellStyle name="40% - Accent5 13 3 29" xfId="21392"/>
    <cellStyle name="40% - Accent5 13 3 3" xfId="21393"/>
    <cellStyle name="40% - Accent5 13 3 30" xfId="21394"/>
    <cellStyle name="40% - Accent5 13 3 31" xfId="21395"/>
    <cellStyle name="40% - Accent5 13 3 32" xfId="21396"/>
    <cellStyle name="40% - Accent5 13 3 33" xfId="21397"/>
    <cellStyle name="40% - Accent5 13 3 34" xfId="21398"/>
    <cellStyle name="40% - Accent5 13 3 35" xfId="21399"/>
    <cellStyle name="40% - Accent5 13 3 36" xfId="21400"/>
    <cellStyle name="40% - Accent5 13 3 37" xfId="21401"/>
    <cellStyle name="40% - Accent5 13 3 38" xfId="21402"/>
    <cellStyle name="40% - Accent5 13 3 39" xfId="21403"/>
    <cellStyle name="40% - Accent5 13 3 4" xfId="21404"/>
    <cellStyle name="40% - Accent5 13 3 40" xfId="21405"/>
    <cellStyle name="40% - Accent5 13 3 41" xfId="21406"/>
    <cellStyle name="40% - Accent5 13 3 42" xfId="21407"/>
    <cellStyle name="40% - Accent5 13 3 43" xfId="21408"/>
    <cellStyle name="40% - Accent5 13 3 44" xfId="21409"/>
    <cellStyle name="40% - Accent5 13 3 45" xfId="21410"/>
    <cellStyle name="40% - Accent5 13 3 46" xfId="21411"/>
    <cellStyle name="40% - Accent5 13 3 47" xfId="21412"/>
    <cellStyle name="40% - Accent5 13 3 48" xfId="21413"/>
    <cellStyle name="40% - Accent5 13 3 49" xfId="21414"/>
    <cellStyle name="40% - Accent5 13 3 5" xfId="21415"/>
    <cellStyle name="40% - Accent5 13 3 50" xfId="21416"/>
    <cellStyle name="40% - Accent5 13 3 51" xfId="21417"/>
    <cellStyle name="40% - Accent5 13 3 52" xfId="21418"/>
    <cellStyle name="40% - Accent5 13 3 53" xfId="21419"/>
    <cellStyle name="40% - Accent5 13 3 54" xfId="21420"/>
    <cellStyle name="40% - Accent5 13 3 55" xfId="21421"/>
    <cellStyle name="40% - Accent5 13 3 6" xfId="21422"/>
    <cellStyle name="40% - Accent5 13 3 7" xfId="21423"/>
    <cellStyle name="40% - Accent5 13 3 8" xfId="21424"/>
    <cellStyle name="40% - Accent5 13 3 9" xfId="21425"/>
    <cellStyle name="40% - Accent5 14" xfId="21426"/>
    <cellStyle name="40% - Accent5 14 2" xfId="21427"/>
    <cellStyle name="40% - Accent5 14 2 10" xfId="21428"/>
    <cellStyle name="40% - Accent5 14 2 11" xfId="21429"/>
    <cellStyle name="40% - Accent5 14 2 12" xfId="21430"/>
    <cellStyle name="40% - Accent5 14 2 13" xfId="21431"/>
    <cellStyle name="40% - Accent5 14 2 14" xfId="21432"/>
    <cellStyle name="40% - Accent5 14 2 15" xfId="21433"/>
    <cellStyle name="40% - Accent5 14 2 16" xfId="21434"/>
    <cellStyle name="40% - Accent5 14 2 17" xfId="21435"/>
    <cellStyle name="40% - Accent5 14 2 18" xfId="21436"/>
    <cellStyle name="40% - Accent5 14 2 19" xfId="21437"/>
    <cellStyle name="40% - Accent5 14 2 2" xfId="21438"/>
    <cellStyle name="40% - Accent5 14 2 2 2" xfId="21439"/>
    <cellStyle name="40% - Accent5 14 2 20" xfId="21440"/>
    <cellStyle name="40% - Accent5 14 2 21" xfId="21441"/>
    <cellStyle name="40% - Accent5 14 2 22" xfId="21442"/>
    <cellStyle name="40% - Accent5 14 2 23" xfId="21443"/>
    <cellStyle name="40% - Accent5 14 2 24" xfId="21444"/>
    <cellStyle name="40% - Accent5 14 2 25" xfId="21445"/>
    <cellStyle name="40% - Accent5 14 2 26" xfId="21446"/>
    <cellStyle name="40% - Accent5 14 2 27" xfId="21447"/>
    <cellStyle name="40% - Accent5 14 2 28" xfId="21448"/>
    <cellStyle name="40% - Accent5 14 2 29" xfId="21449"/>
    <cellStyle name="40% - Accent5 14 2 3" xfId="21450"/>
    <cellStyle name="40% - Accent5 14 2 30" xfId="21451"/>
    <cellStyle name="40% - Accent5 14 2 31" xfId="21452"/>
    <cellStyle name="40% - Accent5 14 2 32" xfId="21453"/>
    <cellStyle name="40% - Accent5 14 2 33" xfId="21454"/>
    <cellStyle name="40% - Accent5 14 2 34" xfId="21455"/>
    <cellStyle name="40% - Accent5 14 2 35" xfId="21456"/>
    <cellStyle name="40% - Accent5 14 2 36" xfId="21457"/>
    <cellStyle name="40% - Accent5 14 2 37" xfId="21458"/>
    <cellStyle name="40% - Accent5 14 2 38" xfId="21459"/>
    <cellStyle name="40% - Accent5 14 2 39" xfId="21460"/>
    <cellStyle name="40% - Accent5 14 2 4" xfId="21461"/>
    <cellStyle name="40% - Accent5 14 2 40" xfId="21462"/>
    <cellStyle name="40% - Accent5 14 2 41" xfId="21463"/>
    <cellStyle name="40% - Accent5 14 2 42" xfId="21464"/>
    <cellStyle name="40% - Accent5 14 2 43" xfId="21465"/>
    <cellStyle name="40% - Accent5 14 2 44" xfId="21466"/>
    <cellStyle name="40% - Accent5 14 2 45" xfId="21467"/>
    <cellStyle name="40% - Accent5 14 2 46" xfId="21468"/>
    <cellStyle name="40% - Accent5 14 2 47" xfId="21469"/>
    <cellStyle name="40% - Accent5 14 2 48" xfId="21470"/>
    <cellStyle name="40% - Accent5 14 2 49" xfId="21471"/>
    <cellStyle name="40% - Accent5 14 2 5" xfId="21472"/>
    <cellStyle name="40% - Accent5 14 2 50" xfId="21473"/>
    <cellStyle name="40% - Accent5 14 2 51" xfId="21474"/>
    <cellStyle name="40% - Accent5 14 2 52" xfId="21475"/>
    <cellStyle name="40% - Accent5 14 2 53" xfId="21476"/>
    <cellStyle name="40% - Accent5 14 2 54" xfId="21477"/>
    <cellStyle name="40% - Accent5 14 2 55" xfId="21478"/>
    <cellStyle name="40% - Accent5 14 2 6" xfId="21479"/>
    <cellStyle name="40% - Accent5 14 2 7" xfId="21480"/>
    <cellStyle name="40% - Accent5 14 2 8" xfId="21481"/>
    <cellStyle name="40% - Accent5 14 2 9" xfId="21482"/>
    <cellStyle name="40% - Accent5 14 3" xfId="21483"/>
    <cellStyle name="40% - Accent5 14 3 10" xfId="21484"/>
    <cellStyle name="40% - Accent5 14 3 11" xfId="21485"/>
    <cellStyle name="40% - Accent5 14 3 12" xfId="21486"/>
    <cellStyle name="40% - Accent5 14 3 13" xfId="21487"/>
    <cellStyle name="40% - Accent5 14 3 14" xfId="21488"/>
    <cellStyle name="40% - Accent5 14 3 15" xfId="21489"/>
    <cellStyle name="40% - Accent5 14 3 16" xfId="21490"/>
    <cellStyle name="40% - Accent5 14 3 17" xfId="21491"/>
    <cellStyle name="40% - Accent5 14 3 18" xfId="21492"/>
    <cellStyle name="40% - Accent5 14 3 19" xfId="21493"/>
    <cellStyle name="40% - Accent5 14 3 2" xfId="21494"/>
    <cellStyle name="40% - Accent5 14 3 2 2" xfId="21495"/>
    <cellStyle name="40% - Accent5 14 3 20" xfId="21496"/>
    <cellStyle name="40% - Accent5 14 3 21" xfId="21497"/>
    <cellStyle name="40% - Accent5 14 3 22" xfId="21498"/>
    <cellStyle name="40% - Accent5 14 3 23" xfId="21499"/>
    <cellStyle name="40% - Accent5 14 3 24" xfId="21500"/>
    <cellStyle name="40% - Accent5 14 3 25" xfId="21501"/>
    <cellStyle name="40% - Accent5 14 3 26" xfId="21502"/>
    <cellStyle name="40% - Accent5 14 3 27" xfId="21503"/>
    <cellStyle name="40% - Accent5 14 3 28" xfId="21504"/>
    <cellStyle name="40% - Accent5 14 3 29" xfId="21505"/>
    <cellStyle name="40% - Accent5 14 3 3" xfId="21506"/>
    <cellStyle name="40% - Accent5 14 3 30" xfId="21507"/>
    <cellStyle name="40% - Accent5 14 3 31" xfId="21508"/>
    <cellStyle name="40% - Accent5 14 3 32" xfId="21509"/>
    <cellStyle name="40% - Accent5 14 3 33" xfId="21510"/>
    <cellStyle name="40% - Accent5 14 3 34" xfId="21511"/>
    <cellStyle name="40% - Accent5 14 3 35" xfId="21512"/>
    <cellStyle name="40% - Accent5 14 3 36" xfId="21513"/>
    <cellStyle name="40% - Accent5 14 3 37" xfId="21514"/>
    <cellStyle name="40% - Accent5 14 3 38" xfId="21515"/>
    <cellStyle name="40% - Accent5 14 3 39" xfId="21516"/>
    <cellStyle name="40% - Accent5 14 3 4" xfId="21517"/>
    <cellStyle name="40% - Accent5 14 3 40" xfId="21518"/>
    <cellStyle name="40% - Accent5 14 3 41" xfId="21519"/>
    <cellStyle name="40% - Accent5 14 3 42" xfId="21520"/>
    <cellStyle name="40% - Accent5 14 3 43" xfId="21521"/>
    <cellStyle name="40% - Accent5 14 3 44" xfId="21522"/>
    <cellStyle name="40% - Accent5 14 3 45" xfId="21523"/>
    <cellStyle name="40% - Accent5 14 3 46" xfId="21524"/>
    <cellStyle name="40% - Accent5 14 3 47" xfId="21525"/>
    <cellStyle name="40% - Accent5 14 3 48" xfId="21526"/>
    <cellStyle name="40% - Accent5 14 3 49" xfId="21527"/>
    <cellStyle name="40% - Accent5 14 3 5" xfId="21528"/>
    <cellStyle name="40% - Accent5 14 3 50" xfId="21529"/>
    <cellStyle name="40% - Accent5 14 3 51" xfId="21530"/>
    <cellStyle name="40% - Accent5 14 3 52" xfId="21531"/>
    <cellStyle name="40% - Accent5 14 3 53" xfId="21532"/>
    <cellStyle name="40% - Accent5 14 3 54" xfId="21533"/>
    <cellStyle name="40% - Accent5 14 3 55" xfId="21534"/>
    <cellStyle name="40% - Accent5 14 3 6" xfId="21535"/>
    <cellStyle name="40% - Accent5 14 3 7" xfId="21536"/>
    <cellStyle name="40% - Accent5 14 3 8" xfId="21537"/>
    <cellStyle name="40% - Accent5 14 3 9" xfId="21538"/>
    <cellStyle name="40% - Accent5 15" xfId="21539"/>
    <cellStyle name="40% - Accent5 15 2" xfId="21540"/>
    <cellStyle name="40% - Accent5 15 2 10" xfId="21541"/>
    <cellStyle name="40% - Accent5 15 2 11" xfId="21542"/>
    <cellStyle name="40% - Accent5 15 2 12" xfId="21543"/>
    <cellStyle name="40% - Accent5 15 2 13" xfId="21544"/>
    <cellStyle name="40% - Accent5 15 2 14" xfId="21545"/>
    <cellStyle name="40% - Accent5 15 2 15" xfId="21546"/>
    <cellStyle name="40% - Accent5 15 2 16" xfId="21547"/>
    <cellStyle name="40% - Accent5 15 2 17" xfId="21548"/>
    <cellStyle name="40% - Accent5 15 2 18" xfId="21549"/>
    <cellStyle name="40% - Accent5 15 2 19" xfId="21550"/>
    <cellStyle name="40% - Accent5 15 2 2" xfId="21551"/>
    <cellStyle name="40% - Accent5 15 2 2 2" xfId="21552"/>
    <cellStyle name="40% - Accent5 15 2 20" xfId="21553"/>
    <cellStyle name="40% - Accent5 15 2 21" xfId="21554"/>
    <cellStyle name="40% - Accent5 15 2 22" xfId="21555"/>
    <cellStyle name="40% - Accent5 15 2 23" xfId="21556"/>
    <cellStyle name="40% - Accent5 15 2 24" xfId="21557"/>
    <cellStyle name="40% - Accent5 15 2 25" xfId="21558"/>
    <cellStyle name="40% - Accent5 15 2 26" xfId="21559"/>
    <cellStyle name="40% - Accent5 15 2 27" xfId="21560"/>
    <cellStyle name="40% - Accent5 15 2 28" xfId="21561"/>
    <cellStyle name="40% - Accent5 15 2 29" xfId="21562"/>
    <cellStyle name="40% - Accent5 15 2 3" xfId="21563"/>
    <cellStyle name="40% - Accent5 15 2 30" xfId="21564"/>
    <cellStyle name="40% - Accent5 15 2 31" xfId="21565"/>
    <cellStyle name="40% - Accent5 15 2 32" xfId="21566"/>
    <cellStyle name="40% - Accent5 15 2 33" xfId="21567"/>
    <cellStyle name="40% - Accent5 15 2 34" xfId="21568"/>
    <cellStyle name="40% - Accent5 15 2 35" xfId="21569"/>
    <cellStyle name="40% - Accent5 15 2 36" xfId="21570"/>
    <cellStyle name="40% - Accent5 15 2 37" xfId="21571"/>
    <cellStyle name="40% - Accent5 15 2 38" xfId="21572"/>
    <cellStyle name="40% - Accent5 15 2 39" xfId="21573"/>
    <cellStyle name="40% - Accent5 15 2 4" xfId="21574"/>
    <cellStyle name="40% - Accent5 15 2 40" xfId="21575"/>
    <cellStyle name="40% - Accent5 15 2 41" xfId="21576"/>
    <cellStyle name="40% - Accent5 15 2 42" xfId="21577"/>
    <cellStyle name="40% - Accent5 15 2 43" xfId="21578"/>
    <cellStyle name="40% - Accent5 15 2 44" xfId="21579"/>
    <cellStyle name="40% - Accent5 15 2 45" xfId="21580"/>
    <cellStyle name="40% - Accent5 15 2 46" xfId="21581"/>
    <cellStyle name="40% - Accent5 15 2 47" xfId="21582"/>
    <cellStyle name="40% - Accent5 15 2 48" xfId="21583"/>
    <cellStyle name="40% - Accent5 15 2 49" xfId="21584"/>
    <cellStyle name="40% - Accent5 15 2 5" xfId="21585"/>
    <cellStyle name="40% - Accent5 15 2 50" xfId="21586"/>
    <cellStyle name="40% - Accent5 15 2 51" xfId="21587"/>
    <cellStyle name="40% - Accent5 15 2 52" xfId="21588"/>
    <cellStyle name="40% - Accent5 15 2 53" xfId="21589"/>
    <cellStyle name="40% - Accent5 15 2 54" xfId="21590"/>
    <cellStyle name="40% - Accent5 15 2 55" xfId="21591"/>
    <cellStyle name="40% - Accent5 15 2 6" xfId="21592"/>
    <cellStyle name="40% - Accent5 15 2 7" xfId="21593"/>
    <cellStyle name="40% - Accent5 15 2 8" xfId="21594"/>
    <cellStyle name="40% - Accent5 15 2 9" xfId="21595"/>
    <cellStyle name="40% - Accent5 15 3" xfId="21596"/>
    <cellStyle name="40% - Accent5 15 3 10" xfId="21597"/>
    <cellStyle name="40% - Accent5 15 3 11" xfId="21598"/>
    <cellStyle name="40% - Accent5 15 3 12" xfId="21599"/>
    <cellStyle name="40% - Accent5 15 3 13" xfId="21600"/>
    <cellStyle name="40% - Accent5 15 3 14" xfId="21601"/>
    <cellStyle name="40% - Accent5 15 3 15" xfId="21602"/>
    <cellStyle name="40% - Accent5 15 3 16" xfId="21603"/>
    <cellStyle name="40% - Accent5 15 3 17" xfId="21604"/>
    <cellStyle name="40% - Accent5 15 3 18" xfId="21605"/>
    <cellStyle name="40% - Accent5 15 3 19" xfId="21606"/>
    <cellStyle name="40% - Accent5 15 3 2" xfId="21607"/>
    <cellStyle name="40% - Accent5 15 3 2 2" xfId="21608"/>
    <cellStyle name="40% - Accent5 15 3 20" xfId="21609"/>
    <cellStyle name="40% - Accent5 15 3 21" xfId="21610"/>
    <cellStyle name="40% - Accent5 15 3 22" xfId="21611"/>
    <cellStyle name="40% - Accent5 15 3 23" xfId="21612"/>
    <cellStyle name="40% - Accent5 15 3 24" xfId="21613"/>
    <cellStyle name="40% - Accent5 15 3 25" xfId="21614"/>
    <cellStyle name="40% - Accent5 15 3 26" xfId="21615"/>
    <cellStyle name="40% - Accent5 15 3 27" xfId="21616"/>
    <cellStyle name="40% - Accent5 15 3 28" xfId="21617"/>
    <cellStyle name="40% - Accent5 15 3 29" xfId="21618"/>
    <cellStyle name="40% - Accent5 15 3 3" xfId="21619"/>
    <cellStyle name="40% - Accent5 15 3 30" xfId="21620"/>
    <cellStyle name="40% - Accent5 15 3 31" xfId="21621"/>
    <cellStyle name="40% - Accent5 15 3 32" xfId="21622"/>
    <cellStyle name="40% - Accent5 15 3 33" xfId="21623"/>
    <cellStyle name="40% - Accent5 15 3 34" xfId="21624"/>
    <cellStyle name="40% - Accent5 15 3 35" xfId="21625"/>
    <cellStyle name="40% - Accent5 15 3 36" xfId="21626"/>
    <cellStyle name="40% - Accent5 15 3 37" xfId="21627"/>
    <cellStyle name="40% - Accent5 15 3 38" xfId="21628"/>
    <cellStyle name="40% - Accent5 15 3 39" xfId="21629"/>
    <cellStyle name="40% - Accent5 15 3 4" xfId="21630"/>
    <cellStyle name="40% - Accent5 15 3 40" xfId="21631"/>
    <cellStyle name="40% - Accent5 15 3 41" xfId="21632"/>
    <cellStyle name="40% - Accent5 15 3 42" xfId="21633"/>
    <cellStyle name="40% - Accent5 15 3 43" xfId="21634"/>
    <cellStyle name="40% - Accent5 15 3 44" xfId="21635"/>
    <cellStyle name="40% - Accent5 15 3 45" xfId="21636"/>
    <cellStyle name="40% - Accent5 15 3 46" xfId="21637"/>
    <cellStyle name="40% - Accent5 15 3 47" xfId="21638"/>
    <cellStyle name="40% - Accent5 15 3 48" xfId="21639"/>
    <cellStyle name="40% - Accent5 15 3 49" xfId="21640"/>
    <cellStyle name="40% - Accent5 15 3 5" xfId="21641"/>
    <cellStyle name="40% - Accent5 15 3 50" xfId="21642"/>
    <cellStyle name="40% - Accent5 15 3 51" xfId="21643"/>
    <cellStyle name="40% - Accent5 15 3 52" xfId="21644"/>
    <cellStyle name="40% - Accent5 15 3 53" xfId="21645"/>
    <cellStyle name="40% - Accent5 15 3 54" xfId="21646"/>
    <cellStyle name="40% - Accent5 15 3 55" xfId="21647"/>
    <cellStyle name="40% - Accent5 15 3 6" xfId="21648"/>
    <cellStyle name="40% - Accent5 15 3 7" xfId="21649"/>
    <cellStyle name="40% - Accent5 15 3 8" xfId="21650"/>
    <cellStyle name="40% - Accent5 15 3 9" xfId="21651"/>
    <cellStyle name="40% - Accent5 16" xfId="21652"/>
    <cellStyle name="40% - Accent5 16 2" xfId="21653"/>
    <cellStyle name="40% - Accent5 16 2 10" xfId="21654"/>
    <cellStyle name="40% - Accent5 16 2 11" xfId="21655"/>
    <cellStyle name="40% - Accent5 16 2 12" xfId="21656"/>
    <cellStyle name="40% - Accent5 16 2 13" xfId="21657"/>
    <cellStyle name="40% - Accent5 16 2 14" xfId="21658"/>
    <cellStyle name="40% - Accent5 16 2 15" xfId="21659"/>
    <cellStyle name="40% - Accent5 16 2 16" xfId="21660"/>
    <cellStyle name="40% - Accent5 16 2 17" xfId="21661"/>
    <cellStyle name="40% - Accent5 16 2 18" xfId="21662"/>
    <cellStyle name="40% - Accent5 16 2 19" xfId="21663"/>
    <cellStyle name="40% - Accent5 16 2 2" xfId="21664"/>
    <cellStyle name="40% - Accent5 16 2 2 2" xfId="21665"/>
    <cellStyle name="40% - Accent5 16 2 20" xfId="21666"/>
    <cellStyle name="40% - Accent5 16 2 21" xfId="21667"/>
    <cellStyle name="40% - Accent5 16 2 22" xfId="21668"/>
    <cellStyle name="40% - Accent5 16 2 23" xfId="21669"/>
    <cellStyle name="40% - Accent5 16 2 24" xfId="21670"/>
    <cellStyle name="40% - Accent5 16 2 25" xfId="21671"/>
    <cellStyle name="40% - Accent5 16 2 26" xfId="21672"/>
    <cellStyle name="40% - Accent5 16 2 27" xfId="21673"/>
    <cellStyle name="40% - Accent5 16 2 28" xfId="21674"/>
    <cellStyle name="40% - Accent5 16 2 29" xfId="21675"/>
    <cellStyle name="40% - Accent5 16 2 3" xfId="21676"/>
    <cellStyle name="40% - Accent5 16 2 30" xfId="21677"/>
    <cellStyle name="40% - Accent5 16 2 31" xfId="21678"/>
    <cellStyle name="40% - Accent5 16 2 32" xfId="21679"/>
    <cellStyle name="40% - Accent5 16 2 33" xfId="21680"/>
    <cellStyle name="40% - Accent5 16 2 34" xfId="21681"/>
    <cellStyle name="40% - Accent5 16 2 35" xfId="21682"/>
    <cellStyle name="40% - Accent5 16 2 36" xfId="21683"/>
    <cellStyle name="40% - Accent5 16 2 37" xfId="21684"/>
    <cellStyle name="40% - Accent5 16 2 38" xfId="21685"/>
    <cellStyle name="40% - Accent5 16 2 39" xfId="21686"/>
    <cellStyle name="40% - Accent5 16 2 4" xfId="21687"/>
    <cellStyle name="40% - Accent5 16 2 40" xfId="21688"/>
    <cellStyle name="40% - Accent5 16 2 41" xfId="21689"/>
    <cellStyle name="40% - Accent5 16 2 42" xfId="21690"/>
    <cellStyle name="40% - Accent5 16 2 43" xfId="21691"/>
    <cellStyle name="40% - Accent5 16 2 44" xfId="21692"/>
    <cellStyle name="40% - Accent5 16 2 45" xfId="21693"/>
    <cellStyle name="40% - Accent5 16 2 46" xfId="21694"/>
    <cellStyle name="40% - Accent5 16 2 47" xfId="21695"/>
    <cellStyle name="40% - Accent5 16 2 48" xfId="21696"/>
    <cellStyle name="40% - Accent5 16 2 49" xfId="21697"/>
    <cellStyle name="40% - Accent5 16 2 5" xfId="21698"/>
    <cellStyle name="40% - Accent5 16 2 50" xfId="21699"/>
    <cellStyle name="40% - Accent5 16 2 51" xfId="21700"/>
    <cellStyle name="40% - Accent5 16 2 52" xfId="21701"/>
    <cellStyle name="40% - Accent5 16 2 53" xfId="21702"/>
    <cellStyle name="40% - Accent5 16 2 54" xfId="21703"/>
    <cellStyle name="40% - Accent5 16 2 55" xfId="21704"/>
    <cellStyle name="40% - Accent5 16 2 6" xfId="21705"/>
    <cellStyle name="40% - Accent5 16 2 7" xfId="21706"/>
    <cellStyle name="40% - Accent5 16 2 8" xfId="21707"/>
    <cellStyle name="40% - Accent5 16 2 9" xfId="21708"/>
    <cellStyle name="40% - Accent5 16 3" xfId="21709"/>
    <cellStyle name="40% - Accent5 16 3 10" xfId="21710"/>
    <cellStyle name="40% - Accent5 16 3 11" xfId="21711"/>
    <cellStyle name="40% - Accent5 16 3 12" xfId="21712"/>
    <cellStyle name="40% - Accent5 16 3 13" xfId="21713"/>
    <cellStyle name="40% - Accent5 16 3 14" xfId="21714"/>
    <cellStyle name="40% - Accent5 16 3 15" xfId="21715"/>
    <cellStyle name="40% - Accent5 16 3 16" xfId="21716"/>
    <cellStyle name="40% - Accent5 16 3 17" xfId="21717"/>
    <cellStyle name="40% - Accent5 16 3 18" xfId="21718"/>
    <cellStyle name="40% - Accent5 16 3 19" xfId="21719"/>
    <cellStyle name="40% - Accent5 16 3 2" xfId="21720"/>
    <cellStyle name="40% - Accent5 16 3 2 2" xfId="21721"/>
    <cellStyle name="40% - Accent5 16 3 20" xfId="21722"/>
    <cellStyle name="40% - Accent5 16 3 21" xfId="21723"/>
    <cellStyle name="40% - Accent5 16 3 22" xfId="21724"/>
    <cellStyle name="40% - Accent5 16 3 23" xfId="21725"/>
    <cellStyle name="40% - Accent5 16 3 24" xfId="21726"/>
    <cellStyle name="40% - Accent5 16 3 25" xfId="21727"/>
    <cellStyle name="40% - Accent5 16 3 26" xfId="21728"/>
    <cellStyle name="40% - Accent5 16 3 27" xfId="21729"/>
    <cellStyle name="40% - Accent5 16 3 28" xfId="21730"/>
    <cellStyle name="40% - Accent5 16 3 29" xfId="21731"/>
    <cellStyle name="40% - Accent5 16 3 3" xfId="21732"/>
    <cellStyle name="40% - Accent5 16 3 30" xfId="21733"/>
    <cellStyle name="40% - Accent5 16 3 31" xfId="21734"/>
    <cellStyle name="40% - Accent5 16 3 32" xfId="21735"/>
    <cellStyle name="40% - Accent5 16 3 33" xfId="21736"/>
    <cellStyle name="40% - Accent5 16 3 34" xfId="21737"/>
    <cellStyle name="40% - Accent5 16 3 35" xfId="21738"/>
    <cellStyle name="40% - Accent5 16 3 36" xfId="21739"/>
    <cellStyle name="40% - Accent5 16 3 37" xfId="21740"/>
    <cellStyle name="40% - Accent5 16 3 38" xfId="21741"/>
    <cellStyle name="40% - Accent5 16 3 39" xfId="21742"/>
    <cellStyle name="40% - Accent5 16 3 4" xfId="21743"/>
    <cellStyle name="40% - Accent5 16 3 40" xfId="21744"/>
    <cellStyle name="40% - Accent5 16 3 41" xfId="21745"/>
    <cellStyle name="40% - Accent5 16 3 42" xfId="21746"/>
    <cellStyle name="40% - Accent5 16 3 43" xfId="21747"/>
    <cellStyle name="40% - Accent5 16 3 44" xfId="21748"/>
    <cellStyle name="40% - Accent5 16 3 45" xfId="21749"/>
    <cellStyle name="40% - Accent5 16 3 46" xfId="21750"/>
    <cellStyle name="40% - Accent5 16 3 47" xfId="21751"/>
    <cellStyle name="40% - Accent5 16 3 48" xfId="21752"/>
    <cellStyle name="40% - Accent5 16 3 49" xfId="21753"/>
    <cellStyle name="40% - Accent5 16 3 5" xfId="21754"/>
    <cellStyle name="40% - Accent5 16 3 50" xfId="21755"/>
    <cellStyle name="40% - Accent5 16 3 51" xfId="21756"/>
    <cellStyle name="40% - Accent5 16 3 52" xfId="21757"/>
    <cellStyle name="40% - Accent5 16 3 53" xfId="21758"/>
    <cellStyle name="40% - Accent5 16 3 54" xfId="21759"/>
    <cellStyle name="40% - Accent5 16 3 55" xfId="21760"/>
    <cellStyle name="40% - Accent5 16 3 6" xfId="21761"/>
    <cellStyle name="40% - Accent5 16 3 7" xfId="21762"/>
    <cellStyle name="40% - Accent5 16 3 8" xfId="21763"/>
    <cellStyle name="40% - Accent5 16 3 9" xfId="21764"/>
    <cellStyle name="40% - Accent5 17" xfId="21765"/>
    <cellStyle name="40% - Accent5 17 2" xfId="21766"/>
    <cellStyle name="40% - Accent5 17 2 10" xfId="21767"/>
    <cellStyle name="40% - Accent5 17 2 11" xfId="21768"/>
    <cellStyle name="40% - Accent5 17 2 12" xfId="21769"/>
    <cellStyle name="40% - Accent5 17 2 13" xfId="21770"/>
    <cellStyle name="40% - Accent5 17 2 14" xfId="21771"/>
    <cellStyle name="40% - Accent5 17 2 15" xfId="21772"/>
    <cellStyle name="40% - Accent5 17 2 16" xfId="21773"/>
    <cellStyle name="40% - Accent5 17 2 17" xfId="21774"/>
    <cellStyle name="40% - Accent5 17 2 18" xfId="21775"/>
    <cellStyle name="40% - Accent5 17 2 19" xfId="21776"/>
    <cellStyle name="40% - Accent5 17 2 2" xfId="21777"/>
    <cellStyle name="40% - Accent5 17 2 2 2" xfId="21778"/>
    <cellStyle name="40% - Accent5 17 2 20" xfId="21779"/>
    <cellStyle name="40% - Accent5 17 2 21" xfId="21780"/>
    <cellStyle name="40% - Accent5 17 2 22" xfId="21781"/>
    <cellStyle name="40% - Accent5 17 2 23" xfId="21782"/>
    <cellStyle name="40% - Accent5 17 2 24" xfId="21783"/>
    <cellStyle name="40% - Accent5 17 2 25" xfId="21784"/>
    <cellStyle name="40% - Accent5 17 2 26" xfId="21785"/>
    <cellStyle name="40% - Accent5 17 2 27" xfId="21786"/>
    <cellStyle name="40% - Accent5 17 2 28" xfId="21787"/>
    <cellStyle name="40% - Accent5 17 2 29" xfId="21788"/>
    <cellStyle name="40% - Accent5 17 2 3" xfId="21789"/>
    <cellStyle name="40% - Accent5 17 2 30" xfId="21790"/>
    <cellStyle name="40% - Accent5 17 2 31" xfId="21791"/>
    <cellStyle name="40% - Accent5 17 2 32" xfId="21792"/>
    <cellStyle name="40% - Accent5 17 2 33" xfId="21793"/>
    <cellStyle name="40% - Accent5 17 2 34" xfId="21794"/>
    <cellStyle name="40% - Accent5 17 2 35" xfId="21795"/>
    <cellStyle name="40% - Accent5 17 2 36" xfId="21796"/>
    <cellStyle name="40% - Accent5 17 2 37" xfId="21797"/>
    <cellStyle name="40% - Accent5 17 2 38" xfId="21798"/>
    <cellStyle name="40% - Accent5 17 2 39" xfId="21799"/>
    <cellStyle name="40% - Accent5 17 2 4" xfId="21800"/>
    <cellStyle name="40% - Accent5 17 2 40" xfId="21801"/>
    <cellStyle name="40% - Accent5 17 2 41" xfId="21802"/>
    <cellStyle name="40% - Accent5 17 2 42" xfId="21803"/>
    <cellStyle name="40% - Accent5 17 2 43" xfId="21804"/>
    <cellStyle name="40% - Accent5 17 2 44" xfId="21805"/>
    <cellStyle name="40% - Accent5 17 2 45" xfId="21806"/>
    <cellStyle name="40% - Accent5 17 2 46" xfId="21807"/>
    <cellStyle name="40% - Accent5 17 2 47" xfId="21808"/>
    <cellStyle name="40% - Accent5 17 2 48" xfId="21809"/>
    <cellStyle name="40% - Accent5 17 2 49" xfId="21810"/>
    <cellStyle name="40% - Accent5 17 2 5" xfId="21811"/>
    <cellStyle name="40% - Accent5 17 2 50" xfId="21812"/>
    <cellStyle name="40% - Accent5 17 2 51" xfId="21813"/>
    <cellStyle name="40% - Accent5 17 2 52" xfId="21814"/>
    <cellStyle name="40% - Accent5 17 2 53" xfId="21815"/>
    <cellStyle name="40% - Accent5 17 2 54" xfId="21816"/>
    <cellStyle name="40% - Accent5 17 2 55" xfId="21817"/>
    <cellStyle name="40% - Accent5 17 2 6" xfId="21818"/>
    <cellStyle name="40% - Accent5 17 2 7" xfId="21819"/>
    <cellStyle name="40% - Accent5 17 2 8" xfId="21820"/>
    <cellStyle name="40% - Accent5 17 2 9" xfId="21821"/>
    <cellStyle name="40% - Accent5 17 3" xfId="21822"/>
    <cellStyle name="40% - Accent5 17 3 10" xfId="21823"/>
    <cellStyle name="40% - Accent5 17 3 11" xfId="21824"/>
    <cellStyle name="40% - Accent5 17 3 12" xfId="21825"/>
    <cellStyle name="40% - Accent5 17 3 13" xfId="21826"/>
    <cellStyle name="40% - Accent5 17 3 14" xfId="21827"/>
    <cellStyle name="40% - Accent5 17 3 15" xfId="21828"/>
    <cellStyle name="40% - Accent5 17 3 16" xfId="21829"/>
    <cellStyle name="40% - Accent5 17 3 17" xfId="21830"/>
    <cellStyle name="40% - Accent5 17 3 18" xfId="21831"/>
    <cellStyle name="40% - Accent5 17 3 19" xfId="21832"/>
    <cellStyle name="40% - Accent5 17 3 2" xfId="21833"/>
    <cellStyle name="40% - Accent5 17 3 2 2" xfId="21834"/>
    <cellStyle name="40% - Accent5 17 3 20" xfId="21835"/>
    <cellStyle name="40% - Accent5 17 3 21" xfId="21836"/>
    <cellStyle name="40% - Accent5 17 3 22" xfId="21837"/>
    <cellStyle name="40% - Accent5 17 3 23" xfId="21838"/>
    <cellStyle name="40% - Accent5 17 3 24" xfId="21839"/>
    <cellStyle name="40% - Accent5 17 3 25" xfId="21840"/>
    <cellStyle name="40% - Accent5 17 3 26" xfId="21841"/>
    <cellStyle name="40% - Accent5 17 3 27" xfId="21842"/>
    <cellStyle name="40% - Accent5 17 3 28" xfId="21843"/>
    <cellStyle name="40% - Accent5 17 3 29" xfId="21844"/>
    <cellStyle name="40% - Accent5 17 3 3" xfId="21845"/>
    <cellStyle name="40% - Accent5 17 3 30" xfId="21846"/>
    <cellStyle name="40% - Accent5 17 3 31" xfId="21847"/>
    <cellStyle name="40% - Accent5 17 3 32" xfId="21848"/>
    <cellStyle name="40% - Accent5 17 3 33" xfId="21849"/>
    <cellStyle name="40% - Accent5 17 3 34" xfId="21850"/>
    <cellStyle name="40% - Accent5 17 3 35" xfId="21851"/>
    <cellStyle name="40% - Accent5 17 3 36" xfId="21852"/>
    <cellStyle name="40% - Accent5 17 3 37" xfId="21853"/>
    <cellStyle name="40% - Accent5 17 3 38" xfId="21854"/>
    <cellStyle name="40% - Accent5 17 3 39" xfId="21855"/>
    <cellStyle name="40% - Accent5 17 3 4" xfId="21856"/>
    <cellStyle name="40% - Accent5 17 3 40" xfId="21857"/>
    <cellStyle name="40% - Accent5 17 3 41" xfId="21858"/>
    <cellStyle name="40% - Accent5 17 3 42" xfId="21859"/>
    <cellStyle name="40% - Accent5 17 3 43" xfId="21860"/>
    <cellStyle name="40% - Accent5 17 3 44" xfId="21861"/>
    <cellStyle name="40% - Accent5 17 3 45" xfId="21862"/>
    <cellStyle name="40% - Accent5 17 3 46" xfId="21863"/>
    <cellStyle name="40% - Accent5 17 3 47" xfId="21864"/>
    <cellStyle name="40% - Accent5 17 3 48" xfId="21865"/>
    <cellStyle name="40% - Accent5 17 3 49" xfId="21866"/>
    <cellStyle name="40% - Accent5 17 3 5" xfId="21867"/>
    <cellStyle name="40% - Accent5 17 3 50" xfId="21868"/>
    <cellStyle name="40% - Accent5 17 3 51" xfId="21869"/>
    <cellStyle name="40% - Accent5 17 3 52" xfId="21870"/>
    <cellStyle name="40% - Accent5 17 3 53" xfId="21871"/>
    <cellStyle name="40% - Accent5 17 3 54" xfId="21872"/>
    <cellStyle name="40% - Accent5 17 3 55" xfId="21873"/>
    <cellStyle name="40% - Accent5 17 3 6" xfId="21874"/>
    <cellStyle name="40% - Accent5 17 3 7" xfId="21875"/>
    <cellStyle name="40% - Accent5 17 3 8" xfId="21876"/>
    <cellStyle name="40% - Accent5 17 3 9" xfId="21877"/>
    <cellStyle name="40% - Accent5 18" xfId="21878"/>
    <cellStyle name="40% - Accent5 18 2" xfId="21879"/>
    <cellStyle name="40% - Accent5 18 2 10" xfId="21880"/>
    <cellStyle name="40% - Accent5 18 2 11" xfId="21881"/>
    <cellStyle name="40% - Accent5 18 2 12" xfId="21882"/>
    <cellStyle name="40% - Accent5 18 2 13" xfId="21883"/>
    <cellStyle name="40% - Accent5 18 2 14" xfId="21884"/>
    <cellStyle name="40% - Accent5 18 2 15" xfId="21885"/>
    <cellStyle name="40% - Accent5 18 2 16" xfId="21886"/>
    <cellStyle name="40% - Accent5 18 2 17" xfId="21887"/>
    <cellStyle name="40% - Accent5 18 2 18" xfId="21888"/>
    <cellStyle name="40% - Accent5 18 2 19" xfId="21889"/>
    <cellStyle name="40% - Accent5 18 2 2" xfId="21890"/>
    <cellStyle name="40% - Accent5 18 2 2 2" xfId="21891"/>
    <cellStyle name="40% - Accent5 18 2 20" xfId="21892"/>
    <cellStyle name="40% - Accent5 18 2 21" xfId="21893"/>
    <cellStyle name="40% - Accent5 18 2 22" xfId="21894"/>
    <cellStyle name="40% - Accent5 18 2 23" xfId="21895"/>
    <cellStyle name="40% - Accent5 18 2 24" xfId="21896"/>
    <cellStyle name="40% - Accent5 18 2 25" xfId="21897"/>
    <cellStyle name="40% - Accent5 18 2 26" xfId="21898"/>
    <cellStyle name="40% - Accent5 18 2 27" xfId="21899"/>
    <cellStyle name="40% - Accent5 18 2 28" xfId="21900"/>
    <cellStyle name="40% - Accent5 18 2 29" xfId="21901"/>
    <cellStyle name="40% - Accent5 18 2 3" xfId="21902"/>
    <cellStyle name="40% - Accent5 18 2 30" xfId="21903"/>
    <cellStyle name="40% - Accent5 18 2 31" xfId="21904"/>
    <cellStyle name="40% - Accent5 18 2 32" xfId="21905"/>
    <cellStyle name="40% - Accent5 18 2 33" xfId="21906"/>
    <cellStyle name="40% - Accent5 18 2 34" xfId="21907"/>
    <cellStyle name="40% - Accent5 18 2 35" xfId="21908"/>
    <cellStyle name="40% - Accent5 18 2 36" xfId="21909"/>
    <cellStyle name="40% - Accent5 18 2 37" xfId="21910"/>
    <cellStyle name="40% - Accent5 18 2 38" xfId="21911"/>
    <cellStyle name="40% - Accent5 18 2 39" xfId="21912"/>
    <cellStyle name="40% - Accent5 18 2 4" xfId="21913"/>
    <cellStyle name="40% - Accent5 18 2 40" xfId="21914"/>
    <cellStyle name="40% - Accent5 18 2 41" xfId="21915"/>
    <cellStyle name="40% - Accent5 18 2 42" xfId="21916"/>
    <cellStyle name="40% - Accent5 18 2 43" xfId="21917"/>
    <cellStyle name="40% - Accent5 18 2 44" xfId="21918"/>
    <cellStyle name="40% - Accent5 18 2 45" xfId="21919"/>
    <cellStyle name="40% - Accent5 18 2 46" xfId="21920"/>
    <cellStyle name="40% - Accent5 18 2 47" xfId="21921"/>
    <cellStyle name="40% - Accent5 18 2 48" xfId="21922"/>
    <cellStyle name="40% - Accent5 18 2 49" xfId="21923"/>
    <cellStyle name="40% - Accent5 18 2 5" xfId="21924"/>
    <cellStyle name="40% - Accent5 18 2 50" xfId="21925"/>
    <cellStyle name="40% - Accent5 18 2 51" xfId="21926"/>
    <cellStyle name="40% - Accent5 18 2 52" xfId="21927"/>
    <cellStyle name="40% - Accent5 18 2 53" xfId="21928"/>
    <cellStyle name="40% - Accent5 18 2 54" xfId="21929"/>
    <cellStyle name="40% - Accent5 18 2 55" xfId="21930"/>
    <cellStyle name="40% - Accent5 18 2 6" xfId="21931"/>
    <cellStyle name="40% - Accent5 18 2 7" xfId="21932"/>
    <cellStyle name="40% - Accent5 18 2 8" xfId="21933"/>
    <cellStyle name="40% - Accent5 18 2 9" xfId="21934"/>
    <cellStyle name="40% - Accent5 18 3" xfId="21935"/>
    <cellStyle name="40% - Accent5 18 3 10" xfId="21936"/>
    <cellStyle name="40% - Accent5 18 3 11" xfId="21937"/>
    <cellStyle name="40% - Accent5 18 3 12" xfId="21938"/>
    <cellStyle name="40% - Accent5 18 3 13" xfId="21939"/>
    <cellStyle name="40% - Accent5 18 3 14" xfId="21940"/>
    <cellStyle name="40% - Accent5 18 3 15" xfId="21941"/>
    <cellStyle name="40% - Accent5 18 3 16" xfId="21942"/>
    <cellStyle name="40% - Accent5 18 3 17" xfId="21943"/>
    <cellStyle name="40% - Accent5 18 3 18" xfId="21944"/>
    <cellStyle name="40% - Accent5 18 3 19" xfId="21945"/>
    <cellStyle name="40% - Accent5 18 3 2" xfId="21946"/>
    <cellStyle name="40% - Accent5 18 3 2 2" xfId="21947"/>
    <cellStyle name="40% - Accent5 18 3 20" xfId="21948"/>
    <cellStyle name="40% - Accent5 18 3 21" xfId="21949"/>
    <cellStyle name="40% - Accent5 18 3 22" xfId="21950"/>
    <cellStyle name="40% - Accent5 18 3 23" xfId="21951"/>
    <cellStyle name="40% - Accent5 18 3 24" xfId="21952"/>
    <cellStyle name="40% - Accent5 18 3 25" xfId="21953"/>
    <cellStyle name="40% - Accent5 18 3 26" xfId="21954"/>
    <cellStyle name="40% - Accent5 18 3 27" xfId="21955"/>
    <cellStyle name="40% - Accent5 18 3 28" xfId="21956"/>
    <cellStyle name="40% - Accent5 18 3 29" xfId="21957"/>
    <cellStyle name="40% - Accent5 18 3 3" xfId="21958"/>
    <cellStyle name="40% - Accent5 18 3 30" xfId="21959"/>
    <cellStyle name="40% - Accent5 18 3 31" xfId="21960"/>
    <cellStyle name="40% - Accent5 18 3 32" xfId="21961"/>
    <cellStyle name="40% - Accent5 18 3 33" xfId="21962"/>
    <cellStyle name="40% - Accent5 18 3 34" xfId="21963"/>
    <cellStyle name="40% - Accent5 18 3 35" xfId="21964"/>
    <cellStyle name="40% - Accent5 18 3 36" xfId="21965"/>
    <cellStyle name="40% - Accent5 18 3 37" xfId="21966"/>
    <cellStyle name="40% - Accent5 18 3 38" xfId="21967"/>
    <cellStyle name="40% - Accent5 18 3 39" xfId="21968"/>
    <cellStyle name="40% - Accent5 18 3 4" xfId="21969"/>
    <cellStyle name="40% - Accent5 18 3 40" xfId="21970"/>
    <cellStyle name="40% - Accent5 18 3 41" xfId="21971"/>
    <cellStyle name="40% - Accent5 18 3 42" xfId="21972"/>
    <cellStyle name="40% - Accent5 18 3 43" xfId="21973"/>
    <cellStyle name="40% - Accent5 18 3 44" xfId="21974"/>
    <cellStyle name="40% - Accent5 18 3 45" xfId="21975"/>
    <cellStyle name="40% - Accent5 18 3 46" xfId="21976"/>
    <cellStyle name="40% - Accent5 18 3 47" xfId="21977"/>
    <cellStyle name="40% - Accent5 18 3 48" xfId="21978"/>
    <cellStyle name="40% - Accent5 18 3 49" xfId="21979"/>
    <cellStyle name="40% - Accent5 18 3 5" xfId="21980"/>
    <cellStyle name="40% - Accent5 18 3 50" xfId="21981"/>
    <cellStyle name="40% - Accent5 18 3 51" xfId="21982"/>
    <cellStyle name="40% - Accent5 18 3 52" xfId="21983"/>
    <cellStyle name="40% - Accent5 18 3 53" xfId="21984"/>
    <cellStyle name="40% - Accent5 18 3 54" xfId="21985"/>
    <cellStyle name="40% - Accent5 18 3 55" xfId="21986"/>
    <cellStyle name="40% - Accent5 18 3 6" xfId="21987"/>
    <cellStyle name="40% - Accent5 18 3 7" xfId="21988"/>
    <cellStyle name="40% - Accent5 18 3 8" xfId="21989"/>
    <cellStyle name="40% - Accent5 18 3 9" xfId="21990"/>
    <cellStyle name="40% - Accent5 19" xfId="21991"/>
    <cellStyle name="40% - Accent5 2" xfId="21992"/>
    <cellStyle name="40% - Accent5 2 2" xfId="21993"/>
    <cellStyle name="40% - Accent5 2 2 2" xfId="21994"/>
    <cellStyle name="40% - Accent5 2 2 2 10" xfId="21995"/>
    <cellStyle name="40% - Accent5 2 2 2 11" xfId="21996"/>
    <cellStyle name="40% - Accent5 2 2 2 12" xfId="21997"/>
    <cellStyle name="40% - Accent5 2 2 2 13" xfId="21998"/>
    <cellStyle name="40% - Accent5 2 2 2 14" xfId="21999"/>
    <cellStyle name="40% - Accent5 2 2 2 15" xfId="22000"/>
    <cellStyle name="40% - Accent5 2 2 2 16" xfId="22001"/>
    <cellStyle name="40% - Accent5 2 2 2 17" xfId="22002"/>
    <cellStyle name="40% - Accent5 2 2 2 18" xfId="22003"/>
    <cellStyle name="40% - Accent5 2 2 2 19" xfId="22004"/>
    <cellStyle name="40% - Accent5 2 2 2 2" xfId="22005"/>
    <cellStyle name="40% - Accent5 2 2 2 2 2" xfId="22006"/>
    <cellStyle name="40% - Accent5 2 2 2 20" xfId="22007"/>
    <cellStyle name="40% - Accent5 2 2 2 21" xfId="22008"/>
    <cellStyle name="40% - Accent5 2 2 2 22" xfId="22009"/>
    <cellStyle name="40% - Accent5 2 2 2 23" xfId="22010"/>
    <cellStyle name="40% - Accent5 2 2 2 24" xfId="22011"/>
    <cellStyle name="40% - Accent5 2 2 2 25" xfId="22012"/>
    <cellStyle name="40% - Accent5 2 2 2 26" xfId="22013"/>
    <cellStyle name="40% - Accent5 2 2 2 27" xfId="22014"/>
    <cellStyle name="40% - Accent5 2 2 2 28" xfId="22015"/>
    <cellStyle name="40% - Accent5 2 2 2 29" xfId="22016"/>
    <cellStyle name="40% - Accent5 2 2 2 3" xfId="22017"/>
    <cellStyle name="40% - Accent5 2 2 2 30" xfId="22018"/>
    <cellStyle name="40% - Accent5 2 2 2 31" xfId="22019"/>
    <cellStyle name="40% - Accent5 2 2 2 32" xfId="22020"/>
    <cellStyle name="40% - Accent5 2 2 2 33" xfId="22021"/>
    <cellStyle name="40% - Accent5 2 2 2 34" xfId="22022"/>
    <cellStyle name="40% - Accent5 2 2 2 35" xfId="22023"/>
    <cellStyle name="40% - Accent5 2 2 2 36" xfId="22024"/>
    <cellStyle name="40% - Accent5 2 2 2 37" xfId="22025"/>
    <cellStyle name="40% - Accent5 2 2 2 38" xfId="22026"/>
    <cellStyle name="40% - Accent5 2 2 2 39" xfId="22027"/>
    <cellStyle name="40% - Accent5 2 2 2 4" xfId="22028"/>
    <cellStyle name="40% - Accent5 2 2 2 40" xfId="22029"/>
    <cellStyle name="40% - Accent5 2 2 2 41" xfId="22030"/>
    <cellStyle name="40% - Accent5 2 2 2 42" xfId="22031"/>
    <cellStyle name="40% - Accent5 2 2 2 43" xfId="22032"/>
    <cellStyle name="40% - Accent5 2 2 2 44" xfId="22033"/>
    <cellStyle name="40% - Accent5 2 2 2 45" xfId="22034"/>
    <cellStyle name="40% - Accent5 2 2 2 46" xfId="22035"/>
    <cellStyle name="40% - Accent5 2 2 2 47" xfId="22036"/>
    <cellStyle name="40% - Accent5 2 2 2 48" xfId="22037"/>
    <cellStyle name="40% - Accent5 2 2 2 49" xfId="22038"/>
    <cellStyle name="40% - Accent5 2 2 2 5" xfId="22039"/>
    <cellStyle name="40% - Accent5 2 2 2 50" xfId="22040"/>
    <cellStyle name="40% - Accent5 2 2 2 51" xfId="22041"/>
    <cellStyle name="40% - Accent5 2 2 2 52" xfId="22042"/>
    <cellStyle name="40% - Accent5 2 2 2 53" xfId="22043"/>
    <cellStyle name="40% - Accent5 2 2 2 54" xfId="22044"/>
    <cellStyle name="40% - Accent5 2 2 2 55" xfId="22045"/>
    <cellStyle name="40% - Accent5 2 2 2 6" xfId="22046"/>
    <cellStyle name="40% - Accent5 2 2 2 7" xfId="22047"/>
    <cellStyle name="40% - Accent5 2 2 2 8" xfId="22048"/>
    <cellStyle name="40% - Accent5 2 2 2 9" xfId="22049"/>
    <cellStyle name="40% - Accent5 2 2 2_PM Okt 2014 Plan VS Actual Planning Workshop" xfId="22050"/>
    <cellStyle name="40% - Accent5 2 2 3" xfId="22051"/>
    <cellStyle name="40% - Accent5 2 2 3 10" xfId="22052"/>
    <cellStyle name="40% - Accent5 2 2 3 11" xfId="22053"/>
    <cellStyle name="40% - Accent5 2 2 3 12" xfId="22054"/>
    <cellStyle name="40% - Accent5 2 2 3 13" xfId="22055"/>
    <cellStyle name="40% - Accent5 2 2 3 14" xfId="22056"/>
    <cellStyle name="40% - Accent5 2 2 3 15" xfId="22057"/>
    <cellStyle name="40% - Accent5 2 2 3 16" xfId="22058"/>
    <cellStyle name="40% - Accent5 2 2 3 17" xfId="22059"/>
    <cellStyle name="40% - Accent5 2 2 3 18" xfId="22060"/>
    <cellStyle name="40% - Accent5 2 2 3 19" xfId="22061"/>
    <cellStyle name="40% - Accent5 2 2 3 2" xfId="22062"/>
    <cellStyle name="40% - Accent5 2 2 3 2 2" xfId="22063"/>
    <cellStyle name="40% - Accent5 2 2 3 20" xfId="22064"/>
    <cellStyle name="40% - Accent5 2 2 3 21" xfId="22065"/>
    <cellStyle name="40% - Accent5 2 2 3 22" xfId="22066"/>
    <cellStyle name="40% - Accent5 2 2 3 23" xfId="22067"/>
    <cellStyle name="40% - Accent5 2 2 3 24" xfId="22068"/>
    <cellStyle name="40% - Accent5 2 2 3 25" xfId="22069"/>
    <cellStyle name="40% - Accent5 2 2 3 26" xfId="22070"/>
    <cellStyle name="40% - Accent5 2 2 3 27" xfId="22071"/>
    <cellStyle name="40% - Accent5 2 2 3 28" xfId="22072"/>
    <cellStyle name="40% - Accent5 2 2 3 29" xfId="22073"/>
    <cellStyle name="40% - Accent5 2 2 3 3" xfId="22074"/>
    <cellStyle name="40% - Accent5 2 2 3 30" xfId="22075"/>
    <cellStyle name="40% - Accent5 2 2 3 31" xfId="22076"/>
    <cellStyle name="40% - Accent5 2 2 3 32" xfId="22077"/>
    <cellStyle name="40% - Accent5 2 2 3 33" xfId="22078"/>
    <cellStyle name="40% - Accent5 2 2 3 34" xfId="22079"/>
    <cellStyle name="40% - Accent5 2 2 3 35" xfId="22080"/>
    <cellStyle name="40% - Accent5 2 2 3 36" xfId="22081"/>
    <cellStyle name="40% - Accent5 2 2 3 37" xfId="22082"/>
    <cellStyle name="40% - Accent5 2 2 3 38" xfId="22083"/>
    <cellStyle name="40% - Accent5 2 2 3 39" xfId="22084"/>
    <cellStyle name="40% - Accent5 2 2 3 4" xfId="22085"/>
    <cellStyle name="40% - Accent5 2 2 3 40" xfId="22086"/>
    <cellStyle name="40% - Accent5 2 2 3 41" xfId="22087"/>
    <cellStyle name="40% - Accent5 2 2 3 42" xfId="22088"/>
    <cellStyle name="40% - Accent5 2 2 3 43" xfId="22089"/>
    <cellStyle name="40% - Accent5 2 2 3 44" xfId="22090"/>
    <cellStyle name="40% - Accent5 2 2 3 45" xfId="22091"/>
    <cellStyle name="40% - Accent5 2 2 3 46" xfId="22092"/>
    <cellStyle name="40% - Accent5 2 2 3 47" xfId="22093"/>
    <cellStyle name="40% - Accent5 2 2 3 48" xfId="22094"/>
    <cellStyle name="40% - Accent5 2 2 3 49" xfId="22095"/>
    <cellStyle name="40% - Accent5 2 2 3 5" xfId="22096"/>
    <cellStyle name="40% - Accent5 2 2 3 50" xfId="22097"/>
    <cellStyle name="40% - Accent5 2 2 3 51" xfId="22098"/>
    <cellStyle name="40% - Accent5 2 2 3 52" xfId="22099"/>
    <cellStyle name="40% - Accent5 2 2 3 53" xfId="22100"/>
    <cellStyle name="40% - Accent5 2 2 3 54" xfId="22101"/>
    <cellStyle name="40% - Accent5 2 2 3 55" xfId="22102"/>
    <cellStyle name="40% - Accent5 2 2 3 6" xfId="22103"/>
    <cellStyle name="40% - Accent5 2 2 3 7" xfId="22104"/>
    <cellStyle name="40% - Accent5 2 2 3 8" xfId="22105"/>
    <cellStyle name="40% - Accent5 2 2 3 9" xfId="22106"/>
    <cellStyle name="40% - Accent5 2 2_Format Template Preventive Maintenance" xfId="22107"/>
    <cellStyle name="40% - Accent5 2 3" xfId="22108"/>
    <cellStyle name="40% - Accent5 2 3 10" xfId="22109"/>
    <cellStyle name="40% - Accent5 2 3 11" xfId="22110"/>
    <cellStyle name="40% - Accent5 2 3 12" xfId="22111"/>
    <cellStyle name="40% - Accent5 2 3 13" xfId="22112"/>
    <cellStyle name="40% - Accent5 2 3 14" xfId="22113"/>
    <cellStyle name="40% - Accent5 2 3 15" xfId="22114"/>
    <cellStyle name="40% - Accent5 2 3 16" xfId="22115"/>
    <cellStyle name="40% - Accent5 2 3 17" xfId="22116"/>
    <cellStyle name="40% - Accent5 2 3 18" xfId="22117"/>
    <cellStyle name="40% - Accent5 2 3 19" xfId="22118"/>
    <cellStyle name="40% - Accent5 2 3 2" xfId="22119"/>
    <cellStyle name="40% - Accent5 2 3 2 2" xfId="22120"/>
    <cellStyle name="40% - Accent5 2 3 2_PM Okt 2014 Plan VS Actual Planning Workshop" xfId="22121"/>
    <cellStyle name="40% - Accent5 2 3 20" xfId="22122"/>
    <cellStyle name="40% - Accent5 2 3 21" xfId="22123"/>
    <cellStyle name="40% - Accent5 2 3 22" xfId="22124"/>
    <cellStyle name="40% - Accent5 2 3 23" xfId="22125"/>
    <cellStyle name="40% - Accent5 2 3 24" xfId="22126"/>
    <cellStyle name="40% - Accent5 2 3 25" xfId="22127"/>
    <cellStyle name="40% - Accent5 2 3 26" xfId="22128"/>
    <cellStyle name="40% - Accent5 2 3 27" xfId="22129"/>
    <cellStyle name="40% - Accent5 2 3 28" xfId="22130"/>
    <cellStyle name="40% - Accent5 2 3 29" xfId="22131"/>
    <cellStyle name="40% - Accent5 2 3 3" xfId="22132"/>
    <cellStyle name="40% - Accent5 2 3 30" xfId="22133"/>
    <cellStyle name="40% - Accent5 2 3 31" xfId="22134"/>
    <cellStyle name="40% - Accent5 2 3 32" xfId="22135"/>
    <cellStyle name="40% - Accent5 2 3 33" xfId="22136"/>
    <cellStyle name="40% - Accent5 2 3 34" xfId="22137"/>
    <cellStyle name="40% - Accent5 2 3 35" xfId="22138"/>
    <cellStyle name="40% - Accent5 2 3 36" xfId="22139"/>
    <cellStyle name="40% - Accent5 2 3 37" xfId="22140"/>
    <cellStyle name="40% - Accent5 2 3 38" xfId="22141"/>
    <cellStyle name="40% - Accent5 2 3 39" xfId="22142"/>
    <cellStyle name="40% - Accent5 2 3 4" xfId="22143"/>
    <cellStyle name="40% - Accent5 2 3 40" xfId="22144"/>
    <cellStyle name="40% - Accent5 2 3 41" xfId="22145"/>
    <cellStyle name="40% - Accent5 2 3 42" xfId="22146"/>
    <cellStyle name="40% - Accent5 2 3 43" xfId="22147"/>
    <cellStyle name="40% - Accent5 2 3 44" xfId="22148"/>
    <cellStyle name="40% - Accent5 2 3 45" xfId="22149"/>
    <cellStyle name="40% - Accent5 2 3 46" xfId="22150"/>
    <cellStyle name="40% - Accent5 2 3 47" xfId="22151"/>
    <cellStyle name="40% - Accent5 2 3 48" xfId="22152"/>
    <cellStyle name="40% - Accent5 2 3 49" xfId="22153"/>
    <cellStyle name="40% - Accent5 2 3 5" xfId="22154"/>
    <cellStyle name="40% - Accent5 2 3 50" xfId="22155"/>
    <cellStyle name="40% - Accent5 2 3 51" xfId="22156"/>
    <cellStyle name="40% - Accent5 2 3 52" xfId="22157"/>
    <cellStyle name="40% - Accent5 2 3 53" xfId="22158"/>
    <cellStyle name="40% - Accent5 2 3 54" xfId="22159"/>
    <cellStyle name="40% - Accent5 2 3 55" xfId="22160"/>
    <cellStyle name="40% - Accent5 2 3 6" xfId="22161"/>
    <cellStyle name="40% - Accent5 2 3 7" xfId="22162"/>
    <cellStyle name="40% - Accent5 2 3 8" xfId="22163"/>
    <cellStyle name="40% - Accent5 2 3 9" xfId="22164"/>
    <cellStyle name="40% - Accent5 2 3_Format Template Preventive Maintenance" xfId="22165"/>
    <cellStyle name="40% - Accent5 2 4" xfId="22166"/>
    <cellStyle name="40% - Accent5 2 4 2" xfId="22167"/>
    <cellStyle name="40% - Accent5 2 5" xfId="22168"/>
    <cellStyle name="40% - Accent5 2_Asset monitoring board" xfId="22169"/>
    <cellStyle name="40% - Accent5 3" xfId="22170"/>
    <cellStyle name="40% - Accent5 3 2" xfId="22171"/>
    <cellStyle name="40% - Accent5 3 2 10" xfId="22172"/>
    <cellStyle name="40% - Accent5 3 2 11" xfId="22173"/>
    <cellStyle name="40% - Accent5 3 2 12" xfId="22174"/>
    <cellStyle name="40% - Accent5 3 2 13" xfId="22175"/>
    <cellStyle name="40% - Accent5 3 2 14" xfId="22176"/>
    <cellStyle name="40% - Accent5 3 2 15" xfId="22177"/>
    <cellStyle name="40% - Accent5 3 2 16" xfId="22178"/>
    <cellStyle name="40% - Accent5 3 2 17" xfId="22179"/>
    <cellStyle name="40% - Accent5 3 2 18" xfId="22180"/>
    <cellStyle name="40% - Accent5 3 2 19" xfId="22181"/>
    <cellStyle name="40% - Accent5 3 2 2" xfId="22182"/>
    <cellStyle name="40% - Accent5 3 2 2 2" xfId="22183"/>
    <cellStyle name="40% - Accent5 3 2 20" xfId="22184"/>
    <cellStyle name="40% - Accent5 3 2 21" xfId="22185"/>
    <cellStyle name="40% - Accent5 3 2 22" xfId="22186"/>
    <cellStyle name="40% - Accent5 3 2 23" xfId="22187"/>
    <cellStyle name="40% - Accent5 3 2 24" xfId="22188"/>
    <cellStyle name="40% - Accent5 3 2 25" xfId="22189"/>
    <cellStyle name="40% - Accent5 3 2 26" xfId="22190"/>
    <cellStyle name="40% - Accent5 3 2 27" xfId="22191"/>
    <cellStyle name="40% - Accent5 3 2 28" xfId="22192"/>
    <cellStyle name="40% - Accent5 3 2 29" xfId="22193"/>
    <cellStyle name="40% - Accent5 3 2 3" xfId="22194"/>
    <cellStyle name="40% - Accent5 3 2 30" xfId="22195"/>
    <cellStyle name="40% - Accent5 3 2 31" xfId="22196"/>
    <cellStyle name="40% - Accent5 3 2 32" xfId="22197"/>
    <cellStyle name="40% - Accent5 3 2 33" xfId="22198"/>
    <cellStyle name="40% - Accent5 3 2 34" xfId="22199"/>
    <cellStyle name="40% - Accent5 3 2 35" xfId="22200"/>
    <cellStyle name="40% - Accent5 3 2 36" xfId="22201"/>
    <cellStyle name="40% - Accent5 3 2 37" xfId="22202"/>
    <cellStyle name="40% - Accent5 3 2 38" xfId="22203"/>
    <cellStyle name="40% - Accent5 3 2 39" xfId="22204"/>
    <cellStyle name="40% - Accent5 3 2 4" xfId="22205"/>
    <cellStyle name="40% - Accent5 3 2 40" xfId="22206"/>
    <cellStyle name="40% - Accent5 3 2 41" xfId="22207"/>
    <cellStyle name="40% - Accent5 3 2 42" xfId="22208"/>
    <cellStyle name="40% - Accent5 3 2 43" xfId="22209"/>
    <cellStyle name="40% - Accent5 3 2 44" xfId="22210"/>
    <cellStyle name="40% - Accent5 3 2 45" xfId="22211"/>
    <cellStyle name="40% - Accent5 3 2 46" xfId="22212"/>
    <cellStyle name="40% - Accent5 3 2 47" xfId="22213"/>
    <cellStyle name="40% - Accent5 3 2 48" xfId="22214"/>
    <cellStyle name="40% - Accent5 3 2 49" xfId="22215"/>
    <cellStyle name="40% - Accent5 3 2 5" xfId="22216"/>
    <cellStyle name="40% - Accent5 3 2 50" xfId="22217"/>
    <cellStyle name="40% - Accent5 3 2 51" xfId="22218"/>
    <cellStyle name="40% - Accent5 3 2 52" xfId="22219"/>
    <cellStyle name="40% - Accent5 3 2 53" xfId="22220"/>
    <cellStyle name="40% - Accent5 3 2 54" xfId="22221"/>
    <cellStyle name="40% - Accent5 3 2 55" xfId="22222"/>
    <cellStyle name="40% - Accent5 3 2 6" xfId="22223"/>
    <cellStyle name="40% - Accent5 3 2 7" xfId="22224"/>
    <cellStyle name="40% - Accent5 3 2 8" xfId="22225"/>
    <cellStyle name="40% - Accent5 3 2 9" xfId="22226"/>
    <cellStyle name="40% - Accent5 3 3" xfId="22227"/>
    <cellStyle name="40% - Accent5 3 3 10" xfId="22228"/>
    <cellStyle name="40% - Accent5 3 3 11" xfId="22229"/>
    <cellStyle name="40% - Accent5 3 3 12" xfId="22230"/>
    <cellStyle name="40% - Accent5 3 3 13" xfId="22231"/>
    <cellStyle name="40% - Accent5 3 3 14" xfId="22232"/>
    <cellStyle name="40% - Accent5 3 3 15" xfId="22233"/>
    <cellStyle name="40% - Accent5 3 3 16" xfId="22234"/>
    <cellStyle name="40% - Accent5 3 3 17" xfId="22235"/>
    <cellStyle name="40% - Accent5 3 3 18" xfId="22236"/>
    <cellStyle name="40% - Accent5 3 3 19" xfId="22237"/>
    <cellStyle name="40% - Accent5 3 3 2" xfId="22238"/>
    <cellStyle name="40% - Accent5 3 3 2 2" xfId="22239"/>
    <cellStyle name="40% - Accent5 3 3 20" xfId="22240"/>
    <cellStyle name="40% - Accent5 3 3 21" xfId="22241"/>
    <cellStyle name="40% - Accent5 3 3 22" xfId="22242"/>
    <cellStyle name="40% - Accent5 3 3 23" xfId="22243"/>
    <cellStyle name="40% - Accent5 3 3 24" xfId="22244"/>
    <cellStyle name="40% - Accent5 3 3 25" xfId="22245"/>
    <cellStyle name="40% - Accent5 3 3 26" xfId="22246"/>
    <cellStyle name="40% - Accent5 3 3 27" xfId="22247"/>
    <cellStyle name="40% - Accent5 3 3 28" xfId="22248"/>
    <cellStyle name="40% - Accent5 3 3 29" xfId="22249"/>
    <cellStyle name="40% - Accent5 3 3 3" xfId="22250"/>
    <cellStyle name="40% - Accent5 3 3 30" xfId="22251"/>
    <cellStyle name="40% - Accent5 3 3 31" xfId="22252"/>
    <cellStyle name="40% - Accent5 3 3 32" xfId="22253"/>
    <cellStyle name="40% - Accent5 3 3 33" xfId="22254"/>
    <cellStyle name="40% - Accent5 3 3 34" xfId="22255"/>
    <cellStyle name="40% - Accent5 3 3 35" xfId="22256"/>
    <cellStyle name="40% - Accent5 3 3 36" xfId="22257"/>
    <cellStyle name="40% - Accent5 3 3 37" xfId="22258"/>
    <cellStyle name="40% - Accent5 3 3 38" xfId="22259"/>
    <cellStyle name="40% - Accent5 3 3 39" xfId="22260"/>
    <cellStyle name="40% - Accent5 3 3 4" xfId="22261"/>
    <cellStyle name="40% - Accent5 3 3 40" xfId="22262"/>
    <cellStyle name="40% - Accent5 3 3 41" xfId="22263"/>
    <cellStyle name="40% - Accent5 3 3 42" xfId="22264"/>
    <cellStyle name="40% - Accent5 3 3 43" xfId="22265"/>
    <cellStyle name="40% - Accent5 3 3 44" xfId="22266"/>
    <cellStyle name="40% - Accent5 3 3 45" xfId="22267"/>
    <cellStyle name="40% - Accent5 3 3 46" xfId="22268"/>
    <cellStyle name="40% - Accent5 3 3 47" xfId="22269"/>
    <cellStyle name="40% - Accent5 3 3 48" xfId="22270"/>
    <cellStyle name="40% - Accent5 3 3 49" xfId="22271"/>
    <cellStyle name="40% - Accent5 3 3 5" xfId="22272"/>
    <cellStyle name="40% - Accent5 3 3 50" xfId="22273"/>
    <cellStyle name="40% - Accent5 3 3 51" xfId="22274"/>
    <cellStyle name="40% - Accent5 3 3 52" xfId="22275"/>
    <cellStyle name="40% - Accent5 3 3 53" xfId="22276"/>
    <cellStyle name="40% - Accent5 3 3 54" xfId="22277"/>
    <cellStyle name="40% - Accent5 3 3 55" xfId="22278"/>
    <cellStyle name="40% - Accent5 3 3 6" xfId="22279"/>
    <cellStyle name="40% - Accent5 3 3 7" xfId="22280"/>
    <cellStyle name="40% - Accent5 3 3 8" xfId="22281"/>
    <cellStyle name="40% - Accent5 3 3 9" xfId="22282"/>
    <cellStyle name="40% - Accent5 4" xfId="22283"/>
    <cellStyle name="40% - Accent5 4 2" xfId="22284"/>
    <cellStyle name="40% - Accent5 4 2 10" xfId="22285"/>
    <cellStyle name="40% - Accent5 4 2 11" xfId="22286"/>
    <cellStyle name="40% - Accent5 4 2 12" xfId="22287"/>
    <cellStyle name="40% - Accent5 4 2 13" xfId="22288"/>
    <cellStyle name="40% - Accent5 4 2 14" xfId="22289"/>
    <cellStyle name="40% - Accent5 4 2 15" xfId="22290"/>
    <cellStyle name="40% - Accent5 4 2 16" xfId="22291"/>
    <cellStyle name="40% - Accent5 4 2 17" xfId="22292"/>
    <cellStyle name="40% - Accent5 4 2 18" xfId="22293"/>
    <cellStyle name="40% - Accent5 4 2 19" xfId="22294"/>
    <cellStyle name="40% - Accent5 4 2 2" xfId="22295"/>
    <cellStyle name="40% - Accent5 4 2 2 2" xfId="22296"/>
    <cellStyle name="40% - Accent5 4 2 20" xfId="22297"/>
    <cellStyle name="40% - Accent5 4 2 21" xfId="22298"/>
    <cellStyle name="40% - Accent5 4 2 22" xfId="22299"/>
    <cellStyle name="40% - Accent5 4 2 23" xfId="22300"/>
    <cellStyle name="40% - Accent5 4 2 24" xfId="22301"/>
    <cellStyle name="40% - Accent5 4 2 25" xfId="22302"/>
    <cellStyle name="40% - Accent5 4 2 26" xfId="22303"/>
    <cellStyle name="40% - Accent5 4 2 27" xfId="22304"/>
    <cellStyle name="40% - Accent5 4 2 28" xfId="22305"/>
    <cellStyle name="40% - Accent5 4 2 29" xfId="22306"/>
    <cellStyle name="40% - Accent5 4 2 3" xfId="22307"/>
    <cellStyle name="40% - Accent5 4 2 30" xfId="22308"/>
    <cellStyle name="40% - Accent5 4 2 31" xfId="22309"/>
    <cellStyle name="40% - Accent5 4 2 32" xfId="22310"/>
    <cellStyle name="40% - Accent5 4 2 33" xfId="22311"/>
    <cellStyle name="40% - Accent5 4 2 34" xfId="22312"/>
    <cellStyle name="40% - Accent5 4 2 35" xfId="22313"/>
    <cellStyle name="40% - Accent5 4 2 36" xfId="22314"/>
    <cellStyle name="40% - Accent5 4 2 37" xfId="22315"/>
    <cellStyle name="40% - Accent5 4 2 38" xfId="22316"/>
    <cellStyle name="40% - Accent5 4 2 39" xfId="22317"/>
    <cellStyle name="40% - Accent5 4 2 4" xfId="22318"/>
    <cellStyle name="40% - Accent5 4 2 40" xfId="22319"/>
    <cellStyle name="40% - Accent5 4 2 41" xfId="22320"/>
    <cellStyle name="40% - Accent5 4 2 42" xfId="22321"/>
    <cellStyle name="40% - Accent5 4 2 43" xfId="22322"/>
    <cellStyle name="40% - Accent5 4 2 44" xfId="22323"/>
    <cellStyle name="40% - Accent5 4 2 45" xfId="22324"/>
    <cellStyle name="40% - Accent5 4 2 46" xfId="22325"/>
    <cellStyle name="40% - Accent5 4 2 47" xfId="22326"/>
    <cellStyle name="40% - Accent5 4 2 48" xfId="22327"/>
    <cellStyle name="40% - Accent5 4 2 49" xfId="22328"/>
    <cellStyle name="40% - Accent5 4 2 5" xfId="22329"/>
    <cellStyle name="40% - Accent5 4 2 50" xfId="22330"/>
    <cellStyle name="40% - Accent5 4 2 51" xfId="22331"/>
    <cellStyle name="40% - Accent5 4 2 52" xfId="22332"/>
    <cellStyle name="40% - Accent5 4 2 53" xfId="22333"/>
    <cellStyle name="40% - Accent5 4 2 54" xfId="22334"/>
    <cellStyle name="40% - Accent5 4 2 55" xfId="22335"/>
    <cellStyle name="40% - Accent5 4 2 6" xfId="22336"/>
    <cellStyle name="40% - Accent5 4 2 7" xfId="22337"/>
    <cellStyle name="40% - Accent5 4 2 8" xfId="22338"/>
    <cellStyle name="40% - Accent5 4 2 9" xfId="22339"/>
    <cellStyle name="40% - Accent5 4 3" xfId="22340"/>
    <cellStyle name="40% - Accent5 4 3 10" xfId="22341"/>
    <cellStyle name="40% - Accent5 4 3 11" xfId="22342"/>
    <cellStyle name="40% - Accent5 4 3 12" xfId="22343"/>
    <cellStyle name="40% - Accent5 4 3 13" xfId="22344"/>
    <cellStyle name="40% - Accent5 4 3 14" xfId="22345"/>
    <cellStyle name="40% - Accent5 4 3 15" xfId="22346"/>
    <cellStyle name="40% - Accent5 4 3 16" xfId="22347"/>
    <cellStyle name="40% - Accent5 4 3 17" xfId="22348"/>
    <cellStyle name="40% - Accent5 4 3 18" xfId="22349"/>
    <cellStyle name="40% - Accent5 4 3 19" xfId="22350"/>
    <cellStyle name="40% - Accent5 4 3 2" xfId="22351"/>
    <cellStyle name="40% - Accent5 4 3 2 2" xfId="22352"/>
    <cellStyle name="40% - Accent5 4 3 20" xfId="22353"/>
    <cellStyle name="40% - Accent5 4 3 21" xfId="22354"/>
    <cellStyle name="40% - Accent5 4 3 22" xfId="22355"/>
    <cellStyle name="40% - Accent5 4 3 23" xfId="22356"/>
    <cellStyle name="40% - Accent5 4 3 24" xfId="22357"/>
    <cellStyle name="40% - Accent5 4 3 25" xfId="22358"/>
    <cellStyle name="40% - Accent5 4 3 26" xfId="22359"/>
    <cellStyle name="40% - Accent5 4 3 27" xfId="22360"/>
    <cellStyle name="40% - Accent5 4 3 28" xfId="22361"/>
    <cellStyle name="40% - Accent5 4 3 29" xfId="22362"/>
    <cellStyle name="40% - Accent5 4 3 3" xfId="22363"/>
    <cellStyle name="40% - Accent5 4 3 30" xfId="22364"/>
    <cellStyle name="40% - Accent5 4 3 31" xfId="22365"/>
    <cellStyle name="40% - Accent5 4 3 32" xfId="22366"/>
    <cellStyle name="40% - Accent5 4 3 33" xfId="22367"/>
    <cellStyle name="40% - Accent5 4 3 34" xfId="22368"/>
    <cellStyle name="40% - Accent5 4 3 35" xfId="22369"/>
    <cellStyle name="40% - Accent5 4 3 36" xfId="22370"/>
    <cellStyle name="40% - Accent5 4 3 37" xfId="22371"/>
    <cellStyle name="40% - Accent5 4 3 38" xfId="22372"/>
    <cellStyle name="40% - Accent5 4 3 39" xfId="22373"/>
    <cellStyle name="40% - Accent5 4 3 4" xfId="22374"/>
    <cellStyle name="40% - Accent5 4 3 40" xfId="22375"/>
    <cellStyle name="40% - Accent5 4 3 41" xfId="22376"/>
    <cellStyle name="40% - Accent5 4 3 42" xfId="22377"/>
    <cellStyle name="40% - Accent5 4 3 43" xfId="22378"/>
    <cellStyle name="40% - Accent5 4 3 44" xfId="22379"/>
    <cellStyle name="40% - Accent5 4 3 45" xfId="22380"/>
    <cellStyle name="40% - Accent5 4 3 46" xfId="22381"/>
    <cellStyle name="40% - Accent5 4 3 47" xfId="22382"/>
    <cellStyle name="40% - Accent5 4 3 48" xfId="22383"/>
    <cellStyle name="40% - Accent5 4 3 49" xfId="22384"/>
    <cellStyle name="40% - Accent5 4 3 5" xfId="22385"/>
    <cellStyle name="40% - Accent5 4 3 50" xfId="22386"/>
    <cellStyle name="40% - Accent5 4 3 51" xfId="22387"/>
    <cellStyle name="40% - Accent5 4 3 52" xfId="22388"/>
    <cellStyle name="40% - Accent5 4 3 53" xfId="22389"/>
    <cellStyle name="40% - Accent5 4 3 54" xfId="22390"/>
    <cellStyle name="40% - Accent5 4 3 55" xfId="22391"/>
    <cellStyle name="40% - Accent5 4 3 6" xfId="22392"/>
    <cellStyle name="40% - Accent5 4 3 7" xfId="22393"/>
    <cellStyle name="40% - Accent5 4 3 8" xfId="22394"/>
    <cellStyle name="40% - Accent5 4 3 9" xfId="22395"/>
    <cellStyle name="40% - Accent5 4 4" xfId="58368"/>
    <cellStyle name="40% - Accent5 5" xfId="22396"/>
    <cellStyle name="40% - Accent5 5 2" xfId="22397"/>
    <cellStyle name="40% - Accent5 5 2 10" xfId="22398"/>
    <cellStyle name="40% - Accent5 5 2 11" xfId="22399"/>
    <cellStyle name="40% - Accent5 5 2 12" xfId="22400"/>
    <cellStyle name="40% - Accent5 5 2 13" xfId="22401"/>
    <cellStyle name="40% - Accent5 5 2 14" xfId="22402"/>
    <cellStyle name="40% - Accent5 5 2 15" xfId="22403"/>
    <cellStyle name="40% - Accent5 5 2 16" xfId="22404"/>
    <cellStyle name="40% - Accent5 5 2 17" xfId="22405"/>
    <cellStyle name="40% - Accent5 5 2 18" xfId="22406"/>
    <cellStyle name="40% - Accent5 5 2 19" xfId="22407"/>
    <cellStyle name="40% - Accent5 5 2 2" xfId="22408"/>
    <cellStyle name="40% - Accent5 5 2 2 2" xfId="22409"/>
    <cellStyle name="40% - Accent5 5 2 20" xfId="22410"/>
    <cellStyle name="40% - Accent5 5 2 21" xfId="22411"/>
    <cellStyle name="40% - Accent5 5 2 22" xfId="22412"/>
    <cellStyle name="40% - Accent5 5 2 23" xfId="22413"/>
    <cellStyle name="40% - Accent5 5 2 24" xfId="22414"/>
    <cellStyle name="40% - Accent5 5 2 25" xfId="22415"/>
    <cellStyle name="40% - Accent5 5 2 26" xfId="22416"/>
    <cellStyle name="40% - Accent5 5 2 27" xfId="22417"/>
    <cellStyle name="40% - Accent5 5 2 28" xfId="22418"/>
    <cellStyle name="40% - Accent5 5 2 29" xfId="22419"/>
    <cellStyle name="40% - Accent5 5 2 3" xfId="22420"/>
    <cellStyle name="40% - Accent5 5 2 30" xfId="22421"/>
    <cellStyle name="40% - Accent5 5 2 31" xfId="22422"/>
    <cellStyle name="40% - Accent5 5 2 32" xfId="22423"/>
    <cellStyle name="40% - Accent5 5 2 33" xfId="22424"/>
    <cellStyle name="40% - Accent5 5 2 34" xfId="22425"/>
    <cellStyle name="40% - Accent5 5 2 35" xfId="22426"/>
    <cellStyle name="40% - Accent5 5 2 36" xfId="22427"/>
    <cellStyle name="40% - Accent5 5 2 37" xfId="22428"/>
    <cellStyle name="40% - Accent5 5 2 38" xfId="22429"/>
    <cellStyle name="40% - Accent5 5 2 39" xfId="22430"/>
    <cellStyle name="40% - Accent5 5 2 4" xfId="22431"/>
    <cellStyle name="40% - Accent5 5 2 40" xfId="22432"/>
    <cellStyle name="40% - Accent5 5 2 41" xfId="22433"/>
    <cellStyle name="40% - Accent5 5 2 42" xfId="22434"/>
    <cellStyle name="40% - Accent5 5 2 43" xfId="22435"/>
    <cellStyle name="40% - Accent5 5 2 44" xfId="22436"/>
    <cellStyle name="40% - Accent5 5 2 45" xfId="22437"/>
    <cellStyle name="40% - Accent5 5 2 46" xfId="22438"/>
    <cellStyle name="40% - Accent5 5 2 47" xfId="22439"/>
    <cellStyle name="40% - Accent5 5 2 48" xfId="22440"/>
    <cellStyle name="40% - Accent5 5 2 49" xfId="22441"/>
    <cellStyle name="40% - Accent5 5 2 5" xfId="22442"/>
    <cellStyle name="40% - Accent5 5 2 50" xfId="22443"/>
    <cellStyle name="40% - Accent5 5 2 51" xfId="22444"/>
    <cellStyle name="40% - Accent5 5 2 52" xfId="22445"/>
    <cellStyle name="40% - Accent5 5 2 53" xfId="22446"/>
    <cellStyle name="40% - Accent5 5 2 54" xfId="22447"/>
    <cellStyle name="40% - Accent5 5 2 55" xfId="22448"/>
    <cellStyle name="40% - Accent5 5 2 6" xfId="22449"/>
    <cellStyle name="40% - Accent5 5 2 7" xfId="22450"/>
    <cellStyle name="40% - Accent5 5 2 8" xfId="22451"/>
    <cellStyle name="40% - Accent5 5 2 9" xfId="22452"/>
    <cellStyle name="40% - Accent5 5 3" xfId="22453"/>
    <cellStyle name="40% - Accent5 5 3 10" xfId="22454"/>
    <cellStyle name="40% - Accent5 5 3 11" xfId="22455"/>
    <cellStyle name="40% - Accent5 5 3 12" xfId="22456"/>
    <cellStyle name="40% - Accent5 5 3 13" xfId="22457"/>
    <cellStyle name="40% - Accent5 5 3 14" xfId="22458"/>
    <cellStyle name="40% - Accent5 5 3 15" xfId="22459"/>
    <cellStyle name="40% - Accent5 5 3 16" xfId="22460"/>
    <cellStyle name="40% - Accent5 5 3 17" xfId="22461"/>
    <cellStyle name="40% - Accent5 5 3 18" xfId="22462"/>
    <cellStyle name="40% - Accent5 5 3 19" xfId="22463"/>
    <cellStyle name="40% - Accent5 5 3 2" xfId="22464"/>
    <cellStyle name="40% - Accent5 5 3 2 2" xfId="22465"/>
    <cellStyle name="40% - Accent5 5 3 20" xfId="22466"/>
    <cellStyle name="40% - Accent5 5 3 21" xfId="22467"/>
    <cellStyle name="40% - Accent5 5 3 22" xfId="22468"/>
    <cellStyle name="40% - Accent5 5 3 23" xfId="22469"/>
    <cellStyle name="40% - Accent5 5 3 24" xfId="22470"/>
    <cellStyle name="40% - Accent5 5 3 25" xfId="22471"/>
    <cellStyle name="40% - Accent5 5 3 26" xfId="22472"/>
    <cellStyle name="40% - Accent5 5 3 27" xfId="22473"/>
    <cellStyle name="40% - Accent5 5 3 28" xfId="22474"/>
    <cellStyle name="40% - Accent5 5 3 29" xfId="22475"/>
    <cellStyle name="40% - Accent5 5 3 3" xfId="22476"/>
    <cellStyle name="40% - Accent5 5 3 30" xfId="22477"/>
    <cellStyle name="40% - Accent5 5 3 31" xfId="22478"/>
    <cellStyle name="40% - Accent5 5 3 32" xfId="22479"/>
    <cellStyle name="40% - Accent5 5 3 33" xfId="22480"/>
    <cellStyle name="40% - Accent5 5 3 34" xfId="22481"/>
    <cellStyle name="40% - Accent5 5 3 35" xfId="22482"/>
    <cellStyle name="40% - Accent5 5 3 36" xfId="22483"/>
    <cellStyle name="40% - Accent5 5 3 37" xfId="22484"/>
    <cellStyle name="40% - Accent5 5 3 38" xfId="22485"/>
    <cellStyle name="40% - Accent5 5 3 39" xfId="22486"/>
    <cellStyle name="40% - Accent5 5 3 4" xfId="22487"/>
    <cellStyle name="40% - Accent5 5 3 40" xfId="22488"/>
    <cellStyle name="40% - Accent5 5 3 41" xfId="22489"/>
    <cellStyle name="40% - Accent5 5 3 42" xfId="22490"/>
    <cellStyle name="40% - Accent5 5 3 43" xfId="22491"/>
    <cellStyle name="40% - Accent5 5 3 44" xfId="22492"/>
    <cellStyle name="40% - Accent5 5 3 45" xfId="22493"/>
    <cellStyle name="40% - Accent5 5 3 46" xfId="22494"/>
    <cellStyle name="40% - Accent5 5 3 47" xfId="22495"/>
    <cellStyle name="40% - Accent5 5 3 48" xfId="22496"/>
    <cellStyle name="40% - Accent5 5 3 49" xfId="22497"/>
    <cellStyle name="40% - Accent5 5 3 5" xfId="22498"/>
    <cellStyle name="40% - Accent5 5 3 50" xfId="22499"/>
    <cellStyle name="40% - Accent5 5 3 51" xfId="22500"/>
    <cellStyle name="40% - Accent5 5 3 52" xfId="22501"/>
    <cellStyle name="40% - Accent5 5 3 53" xfId="22502"/>
    <cellStyle name="40% - Accent5 5 3 54" xfId="22503"/>
    <cellStyle name="40% - Accent5 5 3 55" xfId="22504"/>
    <cellStyle name="40% - Accent5 5 3 6" xfId="22505"/>
    <cellStyle name="40% - Accent5 5 3 7" xfId="22506"/>
    <cellStyle name="40% - Accent5 5 3 8" xfId="22507"/>
    <cellStyle name="40% - Accent5 5 3 9" xfId="22508"/>
    <cellStyle name="40% - Accent5 6" xfId="22509"/>
    <cellStyle name="40% - Accent5 6 2" xfId="22510"/>
    <cellStyle name="40% - Accent5 6 2 10" xfId="22511"/>
    <cellStyle name="40% - Accent5 6 2 11" xfId="22512"/>
    <cellStyle name="40% - Accent5 6 2 12" xfId="22513"/>
    <cellStyle name="40% - Accent5 6 2 13" xfId="22514"/>
    <cellStyle name="40% - Accent5 6 2 14" xfId="22515"/>
    <cellStyle name="40% - Accent5 6 2 15" xfId="22516"/>
    <cellStyle name="40% - Accent5 6 2 16" xfId="22517"/>
    <cellStyle name="40% - Accent5 6 2 17" xfId="22518"/>
    <cellStyle name="40% - Accent5 6 2 18" xfId="22519"/>
    <cellStyle name="40% - Accent5 6 2 19" xfId="22520"/>
    <cellStyle name="40% - Accent5 6 2 2" xfId="22521"/>
    <cellStyle name="40% - Accent5 6 2 2 2" xfId="22522"/>
    <cellStyle name="40% - Accent5 6 2 20" xfId="22523"/>
    <cellStyle name="40% - Accent5 6 2 21" xfId="22524"/>
    <cellStyle name="40% - Accent5 6 2 22" xfId="22525"/>
    <cellStyle name="40% - Accent5 6 2 23" xfId="22526"/>
    <cellStyle name="40% - Accent5 6 2 24" xfId="22527"/>
    <cellStyle name="40% - Accent5 6 2 25" xfId="22528"/>
    <cellStyle name="40% - Accent5 6 2 26" xfId="22529"/>
    <cellStyle name="40% - Accent5 6 2 27" xfId="22530"/>
    <cellStyle name="40% - Accent5 6 2 28" xfId="22531"/>
    <cellStyle name="40% - Accent5 6 2 29" xfId="22532"/>
    <cellStyle name="40% - Accent5 6 2 3" xfId="22533"/>
    <cellStyle name="40% - Accent5 6 2 30" xfId="22534"/>
    <cellStyle name="40% - Accent5 6 2 31" xfId="22535"/>
    <cellStyle name="40% - Accent5 6 2 32" xfId="22536"/>
    <cellStyle name="40% - Accent5 6 2 33" xfId="22537"/>
    <cellStyle name="40% - Accent5 6 2 34" xfId="22538"/>
    <cellStyle name="40% - Accent5 6 2 35" xfId="22539"/>
    <cellStyle name="40% - Accent5 6 2 36" xfId="22540"/>
    <cellStyle name="40% - Accent5 6 2 37" xfId="22541"/>
    <cellStyle name="40% - Accent5 6 2 38" xfId="22542"/>
    <cellStyle name="40% - Accent5 6 2 39" xfId="22543"/>
    <cellStyle name="40% - Accent5 6 2 4" xfId="22544"/>
    <cellStyle name="40% - Accent5 6 2 40" xfId="22545"/>
    <cellStyle name="40% - Accent5 6 2 41" xfId="22546"/>
    <cellStyle name="40% - Accent5 6 2 42" xfId="22547"/>
    <cellStyle name="40% - Accent5 6 2 43" xfId="22548"/>
    <cellStyle name="40% - Accent5 6 2 44" xfId="22549"/>
    <cellStyle name="40% - Accent5 6 2 45" xfId="22550"/>
    <cellStyle name="40% - Accent5 6 2 46" xfId="22551"/>
    <cellStyle name="40% - Accent5 6 2 47" xfId="22552"/>
    <cellStyle name="40% - Accent5 6 2 48" xfId="22553"/>
    <cellStyle name="40% - Accent5 6 2 49" xfId="22554"/>
    <cellStyle name="40% - Accent5 6 2 5" xfId="22555"/>
    <cellStyle name="40% - Accent5 6 2 50" xfId="22556"/>
    <cellStyle name="40% - Accent5 6 2 51" xfId="22557"/>
    <cellStyle name="40% - Accent5 6 2 52" xfId="22558"/>
    <cellStyle name="40% - Accent5 6 2 53" xfId="22559"/>
    <cellStyle name="40% - Accent5 6 2 54" xfId="22560"/>
    <cellStyle name="40% - Accent5 6 2 55" xfId="22561"/>
    <cellStyle name="40% - Accent5 6 2 6" xfId="22562"/>
    <cellStyle name="40% - Accent5 6 2 7" xfId="22563"/>
    <cellStyle name="40% - Accent5 6 2 8" xfId="22564"/>
    <cellStyle name="40% - Accent5 6 2 9" xfId="22565"/>
    <cellStyle name="40% - Accent5 6 3" xfId="22566"/>
    <cellStyle name="40% - Accent5 6 3 10" xfId="22567"/>
    <cellStyle name="40% - Accent5 6 3 11" xfId="22568"/>
    <cellStyle name="40% - Accent5 6 3 12" xfId="22569"/>
    <cellStyle name="40% - Accent5 6 3 13" xfId="22570"/>
    <cellStyle name="40% - Accent5 6 3 14" xfId="22571"/>
    <cellStyle name="40% - Accent5 6 3 15" xfId="22572"/>
    <cellStyle name="40% - Accent5 6 3 16" xfId="22573"/>
    <cellStyle name="40% - Accent5 6 3 17" xfId="22574"/>
    <cellStyle name="40% - Accent5 6 3 18" xfId="22575"/>
    <cellStyle name="40% - Accent5 6 3 19" xfId="22576"/>
    <cellStyle name="40% - Accent5 6 3 2" xfId="22577"/>
    <cellStyle name="40% - Accent5 6 3 2 2" xfId="22578"/>
    <cellStyle name="40% - Accent5 6 3 20" xfId="22579"/>
    <cellStyle name="40% - Accent5 6 3 21" xfId="22580"/>
    <cellStyle name="40% - Accent5 6 3 22" xfId="22581"/>
    <cellStyle name="40% - Accent5 6 3 23" xfId="22582"/>
    <cellStyle name="40% - Accent5 6 3 24" xfId="22583"/>
    <cellStyle name="40% - Accent5 6 3 25" xfId="22584"/>
    <cellStyle name="40% - Accent5 6 3 26" xfId="22585"/>
    <cellStyle name="40% - Accent5 6 3 27" xfId="22586"/>
    <cellStyle name="40% - Accent5 6 3 28" xfId="22587"/>
    <cellStyle name="40% - Accent5 6 3 29" xfId="22588"/>
    <cellStyle name="40% - Accent5 6 3 3" xfId="22589"/>
    <cellStyle name="40% - Accent5 6 3 30" xfId="22590"/>
    <cellStyle name="40% - Accent5 6 3 31" xfId="22591"/>
    <cellStyle name="40% - Accent5 6 3 32" xfId="22592"/>
    <cellStyle name="40% - Accent5 6 3 33" xfId="22593"/>
    <cellStyle name="40% - Accent5 6 3 34" xfId="22594"/>
    <cellStyle name="40% - Accent5 6 3 35" xfId="22595"/>
    <cellStyle name="40% - Accent5 6 3 36" xfId="22596"/>
    <cellStyle name="40% - Accent5 6 3 37" xfId="22597"/>
    <cellStyle name="40% - Accent5 6 3 38" xfId="22598"/>
    <cellStyle name="40% - Accent5 6 3 39" xfId="22599"/>
    <cellStyle name="40% - Accent5 6 3 4" xfId="22600"/>
    <cellStyle name="40% - Accent5 6 3 40" xfId="22601"/>
    <cellStyle name="40% - Accent5 6 3 41" xfId="22602"/>
    <cellStyle name="40% - Accent5 6 3 42" xfId="22603"/>
    <cellStyle name="40% - Accent5 6 3 43" xfId="22604"/>
    <cellStyle name="40% - Accent5 6 3 44" xfId="22605"/>
    <cellStyle name="40% - Accent5 6 3 45" xfId="22606"/>
    <cellStyle name="40% - Accent5 6 3 46" xfId="22607"/>
    <cellStyle name="40% - Accent5 6 3 47" xfId="22608"/>
    <cellStyle name="40% - Accent5 6 3 48" xfId="22609"/>
    <cellStyle name="40% - Accent5 6 3 49" xfId="22610"/>
    <cellStyle name="40% - Accent5 6 3 5" xfId="22611"/>
    <cellStyle name="40% - Accent5 6 3 50" xfId="22612"/>
    <cellStyle name="40% - Accent5 6 3 51" xfId="22613"/>
    <cellStyle name="40% - Accent5 6 3 52" xfId="22614"/>
    <cellStyle name="40% - Accent5 6 3 53" xfId="22615"/>
    <cellStyle name="40% - Accent5 6 3 54" xfId="22616"/>
    <cellStyle name="40% - Accent5 6 3 55" xfId="22617"/>
    <cellStyle name="40% - Accent5 6 3 6" xfId="22618"/>
    <cellStyle name="40% - Accent5 6 3 7" xfId="22619"/>
    <cellStyle name="40% - Accent5 6 3 8" xfId="22620"/>
    <cellStyle name="40% - Accent5 6 3 9" xfId="22621"/>
    <cellStyle name="40% - Accent5 7" xfId="22622"/>
    <cellStyle name="40% - Accent5 7 2" xfId="22623"/>
    <cellStyle name="40% - Accent5 7 2 10" xfId="22624"/>
    <cellStyle name="40% - Accent5 7 2 11" xfId="22625"/>
    <cellStyle name="40% - Accent5 7 2 12" xfId="22626"/>
    <cellStyle name="40% - Accent5 7 2 13" xfId="22627"/>
    <cellStyle name="40% - Accent5 7 2 14" xfId="22628"/>
    <cellStyle name="40% - Accent5 7 2 15" xfId="22629"/>
    <cellStyle name="40% - Accent5 7 2 16" xfId="22630"/>
    <cellStyle name="40% - Accent5 7 2 17" xfId="22631"/>
    <cellStyle name="40% - Accent5 7 2 18" xfId="22632"/>
    <cellStyle name="40% - Accent5 7 2 19" xfId="22633"/>
    <cellStyle name="40% - Accent5 7 2 2" xfId="22634"/>
    <cellStyle name="40% - Accent5 7 2 2 2" xfId="22635"/>
    <cellStyle name="40% - Accent5 7 2 20" xfId="22636"/>
    <cellStyle name="40% - Accent5 7 2 21" xfId="22637"/>
    <cellStyle name="40% - Accent5 7 2 22" xfId="22638"/>
    <cellStyle name="40% - Accent5 7 2 23" xfId="22639"/>
    <cellStyle name="40% - Accent5 7 2 24" xfId="22640"/>
    <cellStyle name="40% - Accent5 7 2 25" xfId="22641"/>
    <cellStyle name="40% - Accent5 7 2 26" xfId="22642"/>
    <cellStyle name="40% - Accent5 7 2 27" xfId="22643"/>
    <cellStyle name="40% - Accent5 7 2 28" xfId="22644"/>
    <cellStyle name="40% - Accent5 7 2 29" xfId="22645"/>
    <cellStyle name="40% - Accent5 7 2 3" xfId="22646"/>
    <cellStyle name="40% - Accent5 7 2 30" xfId="22647"/>
    <cellStyle name="40% - Accent5 7 2 31" xfId="22648"/>
    <cellStyle name="40% - Accent5 7 2 32" xfId="22649"/>
    <cellStyle name="40% - Accent5 7 2 33" xfId="22650"/>
    <cellStyle name="40% - Accent5 7 2 34" xfId="22651"/>
    <cellStyle name="40% - Accent5 7 2 35" xfId="22652"/>
    <cellStyle name="40% - Accent5 7 2 36" xfId="22653"/>
    <cellStyle name="40% - Accent5 7 2 37" xfId="22654"/>
    <cellStyle name="40% - Accent5 7 2 38" xfId="22655"/>
    <cellStyle name="40% - Accent5 7 2 39" xfId="22656"/>
    <cellStyle name="40% - Accent5 7 2 4" xfId="22657"/>
    <cellStyle name="40% - Accent5 7 2 40" xfId="22658"/>
    <cellStyle name="40% - Accent5 7 2 41" xfId="22659"/>
    <cellStyle name="40% - Accent5 7 2 42" xfId="22660"/>
    <cellStyle name="40% - Accent5 7 2 43" xfId="22661"/>
    <cellStyle name="40% - Accent5 7 2 44" xfId="22662"/>
    <cellStyle name="40% - Accent5 7 2 45" xfId="22663"/>
    <cellStyle name="40% - Accent5 7 2 46" xfId="22664"/>
    <cellStyle name="40% - Accent5 7 2 47" xfId="22665"/>
    <cellStyle name="40% - Accent5 7 2 48" xfId="22666"/>
    <cellStyle name="40% - Accent5 7 2 49" xfId="22667"/>
    <cellStyle name="40% - Accent5 7 2 5" xfId="22668"/>
    <cellStyle name="40% - Accent5 7 2 50" xfId="22669"/>
    <cellStyle name="40% - Accent5 7 2 51" xfId="22670"/>
    <cellStyle name="40% - Accent5 7 2 52" xfId="22671"/>
    <cellStyle name="40% - Accent5 7 2 53" xfId="22672"/>
    <cellStyle name="40% - Accent5 7 2 54" xfId="22673"/>
    <cellStyle name="40% - Accent5 7 2 55" xfId="22674"/>
    <cellStyle name="40% - Accent5 7 2 6" xfId="22675"/>
    <cellStyle name="40% - Accent5 7 2 7" xfId="22676"/>
    <cellStyle name="40% - Accent5 7 2 8" xfId="22677"/>
    <cellStyle name="40% - Accent5 7 2 9" xfId="22678"/>
    <cellStyle name="40% - Accent5 7 3" xfId="22679"/>
    <cellStyle name="40% - Accent5 7 3 10" xfId="22680"/>
    <cellStyle name="40% - Accent5 7 3 11" xfId="22681"/>
    <cellStyle name="40% - Accent5 7 3 12" xfId="22682"/>
    <cellStyle name="40% - Accent5 7 3 13" xfId="22683"/>
    <cellStyle name="40% - Accent5 7 3 14" xfId="22684"/>
    <cellStyle name="40% - Accent5 7 3 15" xfId="22685"/>
    <cellStyle name="40% - Accent5 7 3 16" xfId="22686"/>
    <cellStyle name="40% - Accent5 7 3 17" xfId="22687"/>
    <cellStyle name="40% - Accent5 7 3 18" xfId="22688"/>
    <cellStyle name="40% - Accent5 7 3 19" xfId="22689"/>
    <cellStyle name="40% - Accent5 7 3 2" xfId="22690"/>
    <cellStyle name="40% - Accent5 7 3 2 2" xfId="22691"/>
    <cellStyle name="40% - Accent5 7 3 20" xfId="22692"/>
    <cellStyle name="40% - Accent5 7 3 21" xfId="22693"/>
    <cellStyle name="40% - Accent5 7 3 22" xfId="22694"/>
    <cellStyle name="40% - Accent5 7 3 23" xfId="22695"/>
    <cellStyle name="40% - Accent5 7 3 24" xfId="22696"/>
    <cellStyle name="40% - Accent5 7 3 25" xfId="22697"/>
    <cellStyle name="40% - Accent5 7 3 26" xfId="22698"/>
    <cellStyle name="40% - Accent5 7 3 27" xfId="22699"/>
    <cellStyle name="40% - Accent5 7 3 28" xfId="22700"/>
    <cellStyle name="40% - Accent5 7 3 29" xfId="22701"/>
    <cellStyle name="40% - Accent5 7 3 3" xfId="22702"/>
    <cellStyle name="40% - Accent5 7 3 30" xfId="22703"/>
    <cellStyle name="40% - Accent5 7 3 31" xfId="22704"/>
    <cellStyle name="40% - Accent5 7 3 32" xfId="22705"/>
    <cellStyle name="40% - Accent5 7 3 33" xfId="22706"/>
    <cellStyle name="40% - Accent5 7 3 34" xfId="22707"/>
    <cellStyle name="40% - Accent5 7 3 35" xfId="22708"/>
    <cellStyle name="40% - Accent5 7 3 36" xfId="22709"/>
    <cellStyle name="40% - Accent5 7 3 37" xfId="22710"/>
    <cellStyle name="40% - Accent5 7 3 38" xfId="22711"/>
    <cellStyle name="40% - Accent5 7 3 39" xfId="22712"/>
    <cellStyle name="40% - Accent5 7 3 4" xfId="22713"/>
    <cellStyle name="40% - Accent5 7 3 40" xfId="22714"/>
    <cellStyle name="40% - Accent5 7 3 41" xfId="22715"/>
    <cellStyle name="40% - Accent5 7 3 42" xfId="22716"/>
    <cellStyle name="40% - Accent5 7 3 43" xfId="22717"/>
    <cellStyle name="40% - Accent5 7 3 44" xfId="22718"/>
    <cellStyle name="40% - Accent5 7 3 45" xfId="22719"/>
    <cellStyle name="40% - Accent5 7 3 46" xfId="22720"/>
    <cellStyle name="40% - Accent5 7 3 47" xfId="22721"/>
    <cellStyle name="40% - Accent5 7 3 48" xfId="22722"/>
    <cellStyle name="40% - Accent5 7 3 49" xfId="22723"/>
    <cellStyle name="40% - Accent5 7 3 5" xfId="22724"/>
    <cellStyle name="40% - Accent5 7 3 50" xfId="22725"/>
    <cellStyle name="40% - Accent5 7 3 51" xfId="22726"/>
    <cellStyle name="40% - Accent5 7 3 52" xfId="22727"/>
    <cellStyle name="40% - Accent5 7 3 53" xfId="22728"/>
    <cellStyle name="40% - Accent5 7 3 54" xfId="22729"/>
    <cellStyle name="40% - Accent5 7 3 55" xfId="22730"/>
    <cellStyle name="40% - Accent5 7 3 6" xfId="22731"/>
    <cellStyle name="40% - Accent5 7 3 7" xfId="22732"/>
    <cellStyle name="40% - Accent5 7 3 8" xfId="22733"/>
    <cellStyle name="40% - Accent5 7 3 9" xfId="22734"/>
    <cellStyle name="40% - Accent5 8" xfId="22735"/>
    <cellStyle name="40% - Accent5 8 2" xfId="22736"/>
    <cellStyle name="40% - Accent5 8 2 10" xfId="22737"/>
    <cellStyle name="40% - Accent5 8 2 11" xfId="22738"/>
    <cellStyle name="40% - Accent5 8 2 12" xfId="22739"/>
    <cellStyle name="40% - Accent5 8 2 13" xfId="22740"/>
    <cellStyle name="40% - Accent5 8 2 14" xfId="22741"/>
    <cellStyle name="40% - Accent5 8 2 15" xfId="22742"/>
    <cellStyle name="40% - Accent5 8 2 16" xfId="22743"/>
    <cellStyle name="40% - Accent5 8 2 17" xfId="22744"/>
    <cellStyle name="40% - Accent5 8 2 18" xfId="22745"/>
    <cellStyle name="40% - Accent5 8 2 19" xfId="22746"/>
    <cellStyle name="40% - Accent5 8 2 2" xfId="22747"/>
    <cellStyle name="40% - Accent5 8 2 2 2" xfId="22748"/>
    <cellStyle name="40% - Accent5 8 2 20" xfId="22749"/>
    <cellStyle name="40% - Accent5 8 2 21" xfId="22750"/>
    <cellStyle name="40% - Accent5 8 2 22" xfId="22751"/>
    <cellStyle name="40% - Accent5 8 2 23" xfId="22752"/>
    <cellStyle name="40% - Accent5 8 2 24" xfId="22753"/>
    <cellStyle name="40% - Accent5 8 2 25" xfId="22754"/>
    <cellStyle name="40% - Accent5 8 2 26" xfId="22755"/>
    <cellStyle name="40% - Accent5 8 2 27" xfId="22756"/>
    <cellStyle name="40% - Accent5 8 2 28" xfId="22757"/>
    <cellStyle name="40% - Accent5 8 2 29" xfId="22758"/>
    <cellStyle name="40% - Accent5 8 2 3" xfId="22759"/>
    <cellStyle name="40% - Accent5 8 2 30" xfId="22760"/>
    <cellStyle name="40% - Accent5 8 2 31" xfId="22761"/>
    <cellStyle name="40% - Accent5 8 2 32" xfId="22762"/>
    <cellStyle name="40% - Accent5 8 2 33" xfId="22763"/>
    <cellStyle name="40% - Accent5 8 2 34" xfId="22764"/>
    <cellStyle name="40% - Accent5 8 2 35" xfId="22765"/>
    <cellStyle name="40% - Accent5 8 2 36" xfId="22766"/>
    <cellStyle name="40% - Accent5 8 2 37" xfId="22767"/>
    <cellStyle name="40% - Accent5 8 2 38" xfId="22768"/>
    <cellStyle name="40% - Accent5 8 2 39" xfId="22769"/>
    <cellStyle name="40% - Accent5 8 2 4" xfId="22770"/>
    <cellStyle name="40% - Accent5 8 2 40" xfId="22771"/>
    <cellStyle name="40% - Accent5 8 2 41" xfId="22772"/>
    <cellStyle name="40% - Accent5 8 2 42" xfId="22773"/>
    <cellStyle name="40% - Accent5 8 2 43" xfId="22774"/>
    <cellStyle name="40% - Accent5 8 2 44" xfId="22775"/>
    <cellStyle name="40% - Accent5 8 2 45" xfId="22776"/>
    <cellStyle name="40% - Accent5 8 2 46" xfId="22777"/>
    <cellStyle name="40% - Accent5 8 2 47" xfId="22778"/>
    <cellStyle name="40% - Accent5 8 2 48" xfId="22779"/>
    <cellStyle name="40% - Accent5 8 2 49" xfId="22780"/>
    <cellStyle name="40% - Accent5 8 2 5" xfId="22781"/>
    <cellStyle name="40% - Accent5 8 2 50" xfId="22782"/>
    <cellStyle name="40% - Accent5 8 2 51" xfId="22783"/>
    <cellStyle name="40% - Accent5 8 2 52" xfId="22784"/>
    <cellStyle name="40% - Accent5 8 2 53" xfId="22785"/>
    <cellStyle name="40% - Accent5 8 2 54" xfId="22786"/>
    <cellStyle name="40% - Accent5 8 2 55" xfId="22787"/>
    <cellStyle name="40% - Accent5 8 2 6" xfId="22788"/>
    <cellStyle name="40% - Accent5 8 2 7" xfId="22789"/>
    <cellStyle name="40% - Accent5 8 2 8" xfId="22790"/>
    <cellStyle name="40% - Accent5 8 2 9" xfId="22791"/>
    <cellStyle name="40% - Accent5 8 3" xfId="22792"/>
    <cellStyle name="40% - Accent5 8 3 10" xfId="22793"/>
    <cellStyle name="40% - Accent5 8 3 11" xfId="22794"/>
    <cellStyle name="40% - Accent5 8 3 12" xfId="22795"/>
    <cellStyle name="40% - Accent5 8 3 13" xfId="22796"/>
    <cellStyle name="40% - Accent5 8 3 14" xfId="22797"/>
    <cellStyle name="40% - Accent5 8 3 15" xfId="22798"/>
    <cellStyle name="40% - Accent5 8 3 16" xfId="22799"/>
    <cellStyle name="40% - Accent5 8 3 17" xfId="22800"/>
    <cellStyle name="40% - Accent5 8 3 18" xfId="22801"/>
    <cellStyle name="40% - Accent5 8 3 19" xfId="22802"/>
    <cellStyle name="40% - Accent5 8 3 2" xfId="22803"/>
    <cellStyle name="40% - Accent5 8 3 2 2" xfId="22804"/>
    <cellStyle name="40% - Accent5 8 3 20" xfId="22805"/>
    <cellStyle name="40% - Accent5 8 3 21" xfId="22806"/>
    <cellStyle name="40% - Accent5 8 3 22" xfId="22807"/>
    <cellStyle name="40% - Accent5 8 3 23" xfId="22808"/>
    <cellStyle name="40% - Accent5 8 3 24" xfId="22809"/>
    <cellStyle name="40% - Accent5 8 3 25" xfId="22810"/>
    <cellStyle name="40% - Accent5 8 3 26" xfId="22811"/>
    <cellStyle name="40% - Accent5 8 3 27" xfId="22812"/>
    <cellStyle name="40% - Accent5 8 3 28" xfId="22813"/>
    <cellStyle name="40% - Accent5 8 3 29" xfId="22814"/>
    <cellStyle name="40% - Accent5 8 3 3" xfId="22815"/>
    <cellStyle name="40% - Accent5 8 3 30" xfId="22816"/>
    <cellStyle name="40% - Accent5 8 3 31" xfId="22817"/>
    <cellStyle name="40% - Accent5 8 3 32" xfId="22818"/>
    <cellStyle name="40% - Accent5 8 3 33" xfId="22819"/>
    <cellStyle name="40% - Accent5 8 3 34" xfId="22820"/>
    <cellStyle name="40% - Accent5 8 3 35" xfId="22821"/>
    <cellStyle name="40% - Accent5 8 3 36" xfId="22822"/>
    <cellStyle name="40% - Accent5 8 3 37" xfId="22823"/>
    <cellStyle name="40% - Accent5 8 3 38" xfId="22824"/>
    <cellStyle name="40% - Accent5 8 3 39" xfId="22825"/>
    <cellStyle name="40% - Accent5 8 3 4" xfId="22826"/>
    <cellStyle name="40% - Accent5 8 3 40" xfId="22827"/>
    <cellStyle name="40% - Accent5 8 3 41" xfId="22828"/>
    <cellStyle name="40% - Accent5 8 3 42" xfId="22829"/>
    <cellStyle name="40% - Accent5 8 3 43" xfId="22830"/>
    <cellStyle name="40% - Accent5 8 3 44" xfId="22831"/>
    <cellStyle name="40% - Accent5 8 3 45" xfId="22832"/>
    <cellStyle name="40% - Accent5 8 3 46" xfId="22833"/>
    <cellStyle name="40% - Accent5 8 3 47" xfId="22834"/>
    <cellStyle name="40% - Accent5 8 3 48" xfId="22835"/>
    <cellStyle name="40% - Accent5 8 3 49" xfId="22836"/>
    <cellStyle name="40% - Accent5 8 3 5" xfId="22837"/>
    <cellStyle name="40% - Accent5 8 3 50" xfId="22838"/>
    <cellStyle name="40% - Accent5 8 3 51" xfId="22839"/>
    <cellStyle name="40% - Accent5 8 3 52" xfId="22840"/>
    <cellStyle name="40% - Accent5 8 3 53" xfId="22841"/>
    <cellStyle name="40% - Accent5 8 3 54" xfId="22842"/>
    <cellStyle name="40% - Accent5 8 3 55" xfId="22843"/>
    <cellStyle name="40% - Accent5 8 3 6" xfId="22844"/>
    <cellStyle name="40% - Accent5 8 3 7" xfId="22845"/>
    <cellStyle name="40% - Accent5 8 3 8" xfId="22846"/>
    <cellStyle name="40% - Accent5 8 3 9" xfId="22847"/>
    <cellStyle name="40% - Accent5 9" xfId="22848"/>
    <cellStyle name="40% - Accent5 9 2" xfId="22849"/>
    <cellStyle name="40% - Accent5 9 2 10" xfId="22850"/>
    <cellStyle name="40% - Accent5 9 2 11" xfId="22851"/>
    <cellStyle name="40% - Accent5 9 2 12" xfId="22852"/>
    <cellStyle name="40% - Accent5 9 2 13" xfId="22853"/>
    <cellStyle name="40% - Accent5 9 2 14" xfId="22854"/>
    <cellStyle name="40% - Accent5 9 2 15" xfId="22855"/>
    <cellStyle name="40% - Accent5 9 2 16" xfId="22856"/>
    <cellStyle name="40% - Accent5 9 2 17" xfId="22857"/>
    <cellStyle name="40% - Accent5 9 2 18" xfId="22858"/>
    <cellStyle name="40% - Accent5 9 2 19" xfId="22859"/>
    <cellStyle name="40% - Accent5 9 2 2" xfId="22860"/>
    <cellStyle name="40% - Accent5 9 2 2 2" xfId="22861"/>
    <cellStyle name="40% - Accent5 9 2 20" xfId="22862"/>
    <cellStyle name="40% - Accent5 9 2 21" xfId="22863"/>
    <cellStyle name="40% - Accent5 9 2 22" xfId="22864"/>
    <cellStyle name="40% - Accent5 9 2 23" xfId="22865"/>
    <cellStyle name="40% - Accent5 9 2 24" xfId="22866"/>
    <cellStyle name="40% - Accent5 9 2 25" xfId="22867"/>
    <cellStyle name="40% - Accent5 9 2 26" xfId="22868"/>
    <cellStyle name="40% - Accent5 9 2 27" xfId="22869"/>
    <cellStyle name="40% - Accent5 9 2 28" xfId="22870"/>
    <cellStyle name="40% - Accent5 9 2 29" xfId="22871"/>
    <cellStyle name="40% - Accent5 9 2 3" xfId="22872"/>
    <cellStyle name="40% - Accent5 9 2 30" xfId="22873"/>
    <cellStyle name="40% - Accent5 9 2 31" xfId="22874"/>
    <cellStyle name="40% - Accent5 9 2 32" xfId="22875"/>
    <cellStyle name="40% - Accent5 9 2 33" xfId="22876"/>
    <cellStyle name="40% - Accent5 9 2 34" xfId="22877"/>
    <cellStyle name="40% - Accent5 9 2 35" xfId="22878"/>
    <cellStyle name="40% - Accent5 9 2 36" xfId="22879"/>
    <cellStyle name="40% - Accent5 9 2 37" xfId="22880"/>
    <cellStyle name="40% - Accent5 9 2 38" xfId="22881"/>
    <cellStyle name="40% - Accent5 9 2 39" xfId="22882"/>
    <cellStyle name="40% - Accent5 9 2 4" xfId="22883"/>
    <cellStyle name="40% - Accent5 9 2 40" xfId="22884"/>
    <cellStyle name="40% - Accent5 9 2 41" xfId="22885"/>
    <cellStyle name="40% - Accent5 9 2 42" xfId="22886"/>
    <cellStyle name="40% - Accent5 9 2 43" xfId="22887"/>
    <cellStyle name="40% - Accent5 9 2 44" xfId="22888"/>
    <cellStyle name="40% - Accent5 9 2 45" xfId="22889"/>
    <cellStyle name="40% - Accent5 9 2 46" xfId="22890"/>
    <cellStyle name="40% - Accent5 9 2 47" xfId="22891"/>
    <cellStyle name="40% - Accent5 9 2 48" xfId="22892"/>
    <cellStyle name="40% - Accent5 9 2 49" xfId="22893"/>
    <cellStyle name="40% - Accent5 9 2 5" xfId="22894"/>
    <cellStyle name="40% - Accent5 9 2 50" xfId="22895"/>
    <cellStyle name="40% - Accent5 9 2 51" xfId="22896"/>
    <cellStyle name="40% - Accent5 9 2 52" xfId="22897"/>
    <cellStyle name="40% - Accent5 9 2 53" xfId="22898"/>
    <cellStyle name="40% - Accent5 9 2 54" xfId="22899"/>
    <cellStyle name="40% - Accent5 9 2 55" xfId="22900"/>
    <cellStyle name="40% - Accent5 9 2 6" xfId="22901"/>
    <cellStyle name="40% - Accent5 9 2 7" xfId="22902"/>
    <cellStyle name="40% - Accent5 9 2 8" xfId="22903"/>
    <cellStyle name="40% - Accent5 9 2 9" xfId="22904"/>
    <cellStyle name="40% - Accent5 9 3" xfId="22905"/>
    <cellStyle name="40% - Accent5 9 3 10" xfId="22906"/>
    <cellStyle name="40% - Accent5 9 3 11" xfId="22907"/>
    <cellStyle name="40% - Accent5 9 3 12" xfId="22908"/>
    <cellStyle name="40% - Accent5 9 3 13" xfId="22909"/>
    <cellStyle name="40% - Accent5 9 3 14" xfId="22910"/>
    <cellStyle name="40% - Accent5 9 3 15" xfId="22911"/>
    <cellStyle name="40% - Accent5 9 3 16" xfId="22912"/>
    <cellStyle name="40% - Accent5 9 3 17" xfId="22913"/>
    <cellStyle name="40% - Accent5 9 3 18" xfId="22914"/>
    <cellStyle name="40% - Accent5 9 3 19" xfId="22915"/>
    <cellStyle name="40% - Accent5 9 3 2" xfId="22916"/>
    <cellStyle name="40% - Accent5 9 3 2 2" xfId="22917"/>
    <cellStyle name="40% - Accent5 9 3 20" xfId="22918"/>
    <cellStyle name="40% - Accent5 9 3 21" xfId="22919"/>
    <cellStyle name="40% - Accent5 9 3 22" xfId="22920"/>
    <cellStyle name="40% - Accent5 9 3 23" xfId="22921"/>
    <cellStyle name="40% - Accent5 9 3 24" xfId="22922"/>
    <cellStyle name="40% - Accent5 9 3 25" xfId="22923"/>
    <cellStyle name="40% - Accent5 9 3 26" xfId="22924"/>
    <cellStyle name="40% - Accent5 9 3 27" xfId="22925"/>
    <cellStyle name="40% - Accent5 9 3 28" xfId="22926"/>
    <cellStyle name="40% - Accent5 9 3 29" xfId="22927"/>
    <cellStyle name="40% - Accent5 9 3 3" xfId="22928"/>
    <cellStyle name="40% - Accent5 9 3 30" xfId="22929"/>
    <cellStyle name="40% - Accent5 9 3 31" xfId="22930"/>
    <cellStyle name="40% - Accent5 9 3 32" xfId="22931"/>
    <cellStyle name="40% - Accent5 9 3 33" xfId="22932"/>
    <cellStyle name="40% - Accent5 9 3 34" xfId="22933"/>
    <cellStyle name="40% - Accent5 9 3 35" xfId="22934"/>
    <cellStyle name="40% - Accent5 9 3 36" xfId="22935"/>
    <cellStyle name="40% - Accent5 9 3 37" xfId="22936"/>
    <cellStyle name="40% - Accent5 9 3 38" xfId="22937"/>
    <cellStyle name="40% - Accent5 9 3 39" xfId="22938"/>
    <cellStyle name="40% - Accent5 9 3 4" xfId="22939"/>
    <cellStyle name="40% - Accent5 9 3 40" xfId="22940"/>
    <cellStyle name="40% - Accent5 9 3 41" xfId="22941"/>
    <cellStyle name="40% - Accent5 9 3 42" xfId="22942"/>
    <cellStyle name="40% - Accent5 9 3 43" xfId="22943"/>
    <cellStyle name="40% - Accent5 9 3 44" xfId="22944"/>
    <cellStyle name="40% - Accent5 9 3 45" xfId="22945"/>
    <cellStyle name="40% - Accent5 9 3 46" xfId="22946"/>
    <cellStyle name="40% - Accent5 9 3 47" xfId="22947"/>
    <cellStyle name="40% - Accent5 9 3 48" xfId="22948"/>
    <cellStyle name="40% - Accent5 9 3 49" xfId="22949"/>
    <cellStyle name="40% - Accent5 9 3 5" xfId="22950"/>
    <cellStyle name="40% - Accent5 9 3 50" xfId="22951"/>
    <cellStyle name="40% - Accent5 9 3 51" xfId="22952"/>
    <cellStyle name="40% - Accent5 9 3 52" xfId="22953"/>
    <cellStyle name="40% - Accent5 9 3 53" xfId="22954"/>
    <cellStyle name="40% - Accent5 9 3 54" xfId="22955"/>
    <cellStyle name="40% - Accent5 9 3 55" xfId="22956"/>
    <cellStyle name="40% - Accent5 9 3 6" xfId="22957"/>
    <cellStyle name="40% - Accent5 9 3 7" xfId="22958"/>
    <cellStyle name="40% - Accent5 9 3 8" xfId="22959"/>
    <cellStyle name="40% - Accent5 9 3 9" xfId="22960"/>
    <cellStyle name="40% - Accent6 10" xfId="22961"/>
    <cellStyle name="40% - Accent6 10 2" xfId="22962"/>
    <cellStyle name="40% - Accent6 10 2 10" xfId="22963"/>
    <cellStyle name="40% - Accent6 10 2 11" xfId="22964"/>
    <cellStyle name="40% - Accent6 10 2 12" xfId="22965"/>
    <cellStyle name="40% - Accent6 10 2 13" xfId="22966"/>
    <cellStyle name="40% - Accent6 10 2 14" xfId="22967"/>
    <cellStyle name="40% - Accent6 10 2 15" xfId="22968"/>
    <cellStyle name="40% - Accent6 10 2 16" xfId="22969"/>
    <cellStyle name="40% - Accent6 10 2 17" xfId="22970"/>
    <cellStyle name="40% - Accent6 10 2 18" xfId="22971"/>
    <cellStyle name="40% - Accent6 10 2 19" xfId="22972"/>
    <cellStyle name="40% - Accent6 10 2 2" xfId="22973"/>
    <cellStyle name="40% - Accent6 10 2 2 2" xfId="22974"/>
    <cellStyle name="40% - Accent6 10 2 20" xfId="22975"/>
    <cellStyle name="40% - Accent6 10 2 21" xfId="22976"/>
    <cellStyle name="40% - Accent6 10 2 22" xfId="22977"/>
    <cellStyle name="40% - Accent6 10 2 23" xfId="22978"/>
    <cellStyle name="40% - Accent6 10 2 24" xfId="22979"/>
    <cellStyle name="40% - Accent6 10 2 25" xfId="22980"/>
    <cellStyle name="40% - Accent6 10 2 26" xfId="22981"/>
    <cellStyle name="40% - Accent6 10 2 27" xfId="22982"/>
    <cellStyle name="40% - Accent6 10 2 28" xfId="22983"/>
    <cellStyle name="40% - Accent6 10 2 29" xfId="22984"/>
    <cellStyle name="40% - Accent6 10 2 3" xfId="22985"/>
    <cellStyle name="40% - Accent6 10 2 30" xfId="22986"/>
    <cellStyle name="40% - Accent6 10 2 31" xfId="22987"/>
    <cellStyle name="40% - Accent6 10 2 32" xfId="22988"/>
    <cellStyle name="40% - Accent6 10 2 33" xfId="22989"/>
    <cellStyle name="40% - Accent6 10 2 34" xfId="22990"/>
    <cellStyle name="40% - Accent6 10 2 35" xfId="22991"/>
    <cellStyle name="40% - Accent6 10 2 36" xfId="22992"/>
    <cellStyle name="40% - Accent6 10 2 37" xfId="22993"/>
    <cellStyle name="40% - Accent6 10 2 38" xfId="22994"/>
    <cellStyle name="40% - Accent6 10 2 39" xfId="22995"/>
    <cellStyle name="40% - Accent6 10 2 4" xfId="22996"/>
    <cellStyle name="40% - Accent6 10 2 40" xfId="22997"/>
    <cellStyle name="40% - Accent6 10 2 41" xfId="22998"/>
    <cellStyle name="40% - Accent6 10 2 42" xfId="22999"/>
    <cellStyle name="40% - Accent6 10 2 43" xfId="23000"/>
    <cellStyle name="40% - Accent6 10 2 44" xfId="23001"/>
    <cellStyle name="40% - Accent6 10 2 45" xfId="23002"/>
    <cellStyle name="40% - Accent6 10 2 46" xfId="23003"/>
    <cellStyle name="40% - Accent6 10 2 47" xfId="23004"/>
    <cellStyle name="40% - Accent6 10 2 48" xfId="23005"/>
    <cellStyle name="40% - Accent6 10 2 49" xfId="23006"/>
    <cellStyle name="40% - Accent6 10 2 5" xfId="23007"/>
    <cellStyle name="40% - Accent6 10 2 50" xfId="23008"/>
    <cellStyle name="40% - Accent6 10 2 51" xfId="23009"/>
    <cellStyle name="40% - Accent6 10 2 52" xfId="23010"/>
    <cellStyle name="40% - Accent6 10 2 53" xfId="23011"/>
    <cellStyle name="40% - Accent6 10 2 54" xfId="23012"/>
    <cellStyle name="40% - Accent6 10 2 55" xfId="23013"/>
    <cellStyle name="40% - Accent6 10 2 6" xfId="23014"/>
    <cellStyle name="40% - Accent6 10 2 7" xfId="23015"/>
    <cellStyle name="40% - Accent6 10 2 8" xfId="23016"/>
    <cellStyle name="40% - Accent6 10 2 9" xfId="23017"/>
    <cellStyle name="40% - Accent6 10 3" xfId="23018"/>
    <cellStyle name="40% - Accent6 10 3 10" xfId="23019"/>
    <cellStyle name="40% - Accent6 10 3 11" xfId="23020"/>
    <cellStyle name="40% - Accent6 10 3 12" xfId="23021"/>
    <cellStyle name="40% - Accent6 10 3 13" xfId="23022"/>
    <cellStyle name="40% - Accent6 10 3 14" xfId="23023"/>
    <cellStyle name="40% - Accent6 10 3 15" xfId="23024"/>
    <cellStyle name="40% - Accent6 10 3 16" xfId="23025"/>
    <cellStyle name="40% - Accent6 10 3 17" xfId="23026"/>
    <cellStyle name="40% - Accent6 10 3 18" xfId="23027"/>
    <cellStyle name="40% - Accent6 10 3 19" xfId="23028"/>
    <cellStyle name="40% - Accent6 10 3 2" xfId="23029"/>
    <cellStyle name="40% - Accent6 10 3 2 2" xfId="23030"/>
    <cellStyle name="40% - Accent6 10 3 20" xfId="23031"/>
    <cellStyle name="40% - Accent6 10 3 21" xfId="23032"/>
    <cellStyle name="40% - Accent6 10 3 22" xfId="23033"/>
    <cellStyle name="40% - Accent6 10 3 23" xfId="23034"/>
    <cellStyle name="40% - Accent6 10 3 24" xfId="23035"/>
    <cellStyle name="40% - Accent6 10 3 25" xfId="23036"/>
    <cellStyle name="40% - Accent6 10 3 26" xfId="23037"/>
    <cellStyle name="40% - Accent6 10 3 27" xfId="23038"/>
    <cellStyle name="40% - Accent6 10 3 28" xfId="23039"/>
    <cellStyle name="40% - Accent6 10 3 29" xfId="23040"/>
    <cellStyle name="40% - Accent6 10 3 3" xfId="23041"/>
    <cellStyle name="40% - Accent6 10 3 30" xfId="23042"/>
    <cellStyle name="40% - Accent6 10 3 31" xfId="23043"/>
    <cellStyle name="40% - Accent6 10 3 32" xfId="23044"/>
    <cellStyle name="40% - Accent6 10 3 33" xfId="23045"/>
    <cellStyle name="40% - Accent6 10 3 34" xfId="23046"/>
    <cellStyle name="40% - Accent6 10 3 35" xfId="23047"/>
    <cellStyle name="40% - Accent6 10 3 36" xfId="23048"/>
    <cellStyle name="40% - Accent6 10 3 37" xfId="23049"/>
    <cellStyle name="40% - Accent6 10 3 38" xfId="23050"/>
    <cellStyle name="40% - Accent6 10 3 39" xfId="23051"/>
    <cellStyle name="40% - Accent6 10 3 4" xfId="23052"/>
    <cellStyle name="40% - Accent6 10 3 40" xfId="23053"/>
    <cellStyle name="40% - Accent6 10 3 41" xfId="23054"/>
    <cellStyle name="40% - Accent6 10 3 42" xfId="23055"/>
    <cellStyle name="40% - Accent6 10 3 43" xfId="23056"/>
    <cellStyle name="40% - Accent6 10 3 44" xfId="23057"/>
    <cellStyle name="40% - Accent6 10 3 45" xfId="23058"/>
    <cellStyle name="40% - Accent6 10 3 46" xfId="23059"/>
    <cellStyle name="40% - Accent6 10 3 47" xfId="23060"/>
    <cellStyle name="40% - Accent6 10 3 48" xfId="23061"/>
    <cellStyle name="40% - Accent6 10 3 49" xfId="23062"/>
    <cellStyle name="40% - Accent6 10 3 5" xfId="23063"/>
    <cellStyle name="40% - Accent6 10 3 50" xfId="23064"/>
    <cellStyle name="40% - Accent6 10 3 51" xfId="23065"/>
    <cellStyle name="40% - Accent6 10 3 52" xfId="23066"/>
    <cellStyle name="40% - Accent6 10 3 53" xfId="23067"/>
    <cellStyle name="40% - Accent6 10 3 54" xfId="23068"/>
    <cellStyle name="40% - Accent6 10 3 55" xfId="23069"/>
    <cellStyle name="40% - Accent6 10 3 6" xfId="23070"/>
    <cellStyle name="40% - Accent6 10 3 7" xfId="23071"/>
    <cellStyle name="40% - Accent6 10 3 8" xfId="23072"/>
    <cellStyle name="40% - Accent6 10 3 9" xfId="23073"/>
    <cellStyle name="40% - Accent6 11" xfId="23074"/>
    <cellStyle name="40% - Accent6 11 2" xfId="23075"/>
    <cellStyle name="40% - Accent6 11 2 10" xfId="23076"/>
    <cellStyle name="40% - Accent6 11 2 11" xfId="23077"/>
    <cellStyle name="40% - Accent6 11 2 12" xfId="23078"/>
    <cellStyle name="40% - Accent6 11 2 13" xfId="23079"/>
    <cellStyle name="40% - Accent6 11 2 14" xfId="23080"/>
    <cellStyle name="40% - Accent6 11 2 15" xfId="23081"/>
    <cellStyle name="40% - Accent6 11 2 16" xfId="23082"/>
    <cellStyle name="40% - Accent6 11 2 17" xfId="23083"/>
    <cellStyle name="40% - Accent6 11 2 18" xfId="23084"/>
    <cellStyle name="40% - Accent6 11 2 19" xfId="23085"/>
    <cellStyle name="40% - Accent6 11 2 2" xfId="23086"/>
    <cellStyle name="40% - Accent6 11 2 2 2" xfId="23087"/>
    <cellStyle name="40% - Accent6 11 2 20" xfId="23088"/>
    <cellStyle name="40% - Accent6 11 2 21" xfId="23089"/>
    <cellStyle name="40% - Accent6 11 2 22" xfId="23090"/>
    <cellStyle name="40% - Accent6 11 2 23" xfId="23091"/>
    <cellStyle name="40% - Accent6 11 2 24" xfId="23092"/>
    <cellStyle name="40% - Accent6 11 2 25" xfId="23093"/>
    <cellStyle name="40% - Accent6 11 2 26" xfId="23094"/>
    <cellStyle name="40% - Accent6 11 2 27" xfId="23095"/>
    <cellStyle name="40% - Accent6 11 2 28" xfId="23096"/>
    <cellStyle name="40% - Accent6 11 2 29" xfId="23097"/>
    <cellStyle name="40% - Accent6 11 2 3" xfId="23098"/>
    <cellStyle name="40% - Accent6 11 2 30" xfId="23099"/>
    <cellStyle name="40% - Accent6 11 2 31" xfId="23100"/>
    <cellStyle name="40% - Accent6 11 2 32" xfId="23101"/>
    <cellStyle name="40% - Accent6 11 2 33" xfId="23102"/>
    <cellStyle name="40% - Accent6 11 2 34" xfId="23103"/>
    <cellStyle name="40% - Accent6 11 2 35" xfId="23104"/>
    <cellStyle name="40% - Accent6 11 2 36" xfId="23105"/>
    <cellStyle name="40% - Accent6 11 2 37" xfId="23106"/>
    <cellStyle name="40% - Accent6 11 2 38" xfId="23107"/>
    <cellStyle name="40% - Accent6 11 2 39" xfId="23108"/>
    <cellStyle name="40% - Accent6 11 2 4" xfId="23109"/>
    <cellStyle name="40% - Accent6 11 2 40" xfId="23110"/>
    <cellStyle name="40% - Accent6 11 2 41" xfId="23111"/>
    <cellStyle name="40% - Accent6 11 2 42" xfId="23112"/>
    <cellStyle name="40% - Accent6 11 2 43" xfId="23113"/>
    <cellStyle name="40% - Accent6 11 2 44" xfId="23114"/>
    <cellStyle name="40% - Accent6 11 2 45" xfId="23115"/>
    <cellStyle name="40% - Accent6 11 2 46" xfId="23116"/>
    <cellStyle name="40% - Accent6 11 2 47" xfId="23117"/>
    <cellStyle name="40% - Accent6 11 2 48" xfId="23118"/>
    <cellStyle name="40% - Accent6 11 2 49" xfId="23119"/>
    <cellStyle name="40% - Accent6 11 2 5" xfId="23120"/>
    <cellStyle name="40% - Accent6 11 2 50" xfId="23121"/>
    <cellStyle name="40% - Accent6 11 2 51" xfId="23122"/>
    <cellStyle name="40% - Accent6 11 2 52" xfId="23123"/>
    <cellStyle name="40% - Accent6 11 2 53" xfId="23124"/>
    <cellStyle name="40% - Accent6 11 2 54" xfId="23125"/>
    <cellStyle name="40% - Accent6 11 2 55" xfId="23126"/>
    <cellStyle name="40% - Accent6 11 2 6" xfId="23127"/>
    <cellStyle name="40% - Accent6 11 2 7" xfId="23128"/>
    <cellStyle name="40% - Accent6 11 2 8" xfId="23129"/>
    <cellStyle name="40% - Accent6 11 2 9" xfId="23130"/>
    <cellStyle name="40% - Accent6 11 3" xfId="23131"/>
    <cellStyle name="40% - Accent6 11 3 10" xfId="23132"/>
    <cellStyle name="40% - Accent6 11 3 11" xfId="23133"/>
    <cellStyle name="40% - Accent6 11 3 12" xfId="23134"/>
    <cellStyle name="40% - Accent6 11 3 13" xfId="23135"/>
    <cellStyle name="40% - Accent6 11 3 14" xfId="23136"/>
    <cellStyle name="40% - Accent6 11 3 15" xfId="23137"/>
    <cellStyle name="40% - Accent6 11 3 16" xfId="23138"/>
    <cellStyle name="40% - Accent6 11 3 17" xfId="23139"/>
    <cellStyle name="40% - Accent6 11 3 18" xfId="23140"/>
    <cellStyle name="40% - Accent6 11 3 19" xfId="23141"/>
    <cellStyle name="40% - Accent6 11 3 2" xfId="23142"/>
    <cellStyle name="40% - Accent6 11 3 2 2" xfId="23143"/>
    <cellStyle name="40% - Accent6 11 3 20" xfId="23144"/>
    <cellStyle name="40% - Accent6 11 3 21" xfId="23145"/>
    <cellStyle name="40% - Accent6 11 3 22" xfId="23146"/>
    <cellStyle name="40% - Accent6 11 3 23" xfId="23147"/>
    <cellStyle name="40% - Accent6 11 3 24" xfId="23148"/>
    <cellStyle name="40% - Accent6 11 3 25" xfId="23149"/>
    <cellStyle name="40% - Accent6 11 3 26" xfId="23150"/>
    <cellStyle name="40% - Accent6 11 3 27" xfId="23151"/>
    <cellStyle name="40% - Accent6 11 3 28" xfId="23152"/>
    <cellStyle name="40% - Accent6 11 3 29" xfId="23153"/>
    <cellStyle name="40% - Accent6 11 3 3" xfId="23154"/>
    <cellStyle name="40% - Accent6 11 3 30" xfId="23155"/>
    <cellStyle name="40% - Accent6 11 3 31" xfId="23156"/>
    <cellStyle name="40% - Accent6 11 3 32" xfId="23157"/>
    <cellStyle name="40% - Accent6 11 3 33" xfId="23158"/>
    <cellStyle name="40% - Accent6 11 3 34" xfId="23159"/>
    <cellStyle name="40% - Accent6 11 3 35" xfId="23160"/>
    <cellStyle name="40% - Accent6 11 3 36" xfId="23161"/>
    <cellStyle name="40% - Accent6 11 3 37" xfId="23162"/>
    <cellStyle name="40% - Accent6 11 3 38" xfId="23163"/>
    <cellStyle name="40% - Accent6 11 3 39" xfId="23164"/>
    <cellStyle name="40% - Accent6 11 3 4" xfId="23165"/>
    <cellStyle name="40% - Accent6 11 3 40" xfId="23166"/>
    <cellStyle name="40% - Accent6 11 3 41" xfId="23167"/>
    <cellStyle name="40% - Accent6 11 3 42" xfId="23168"/>
    <cellStyle name="40% - Accent6 11 3 43" xfId="23169"/>
    <cellStyle name="40% - Accent6 11 3 44" xfId="23170"/>
    <cellStyle name="40% - Accent6 11 3 45" xfId="23171"/>
    <cellStyle name="40% - Accent6 11 3 46" xfId="23172"/>
    <cellStyle name="40% - Accent6 11 3 47" xfId="23173"/>
    <cellStyle name="40% - Accent6 11 3 48" xfId="23174"/>
    <cellStyle name="40% - Accent6 11 3 49" xfId="23175"/>
    <cellStyle name="40% - Accent6 11 3 5" xfId="23176"/>
    <cellStyle name="40% - Accent6 11 3 50" xfId="23177"/>
    <cellStyle name="40% - Accent6 11 3 51" xfId="23178"/>
    <cellStyle name="40% - Accent6 11 3 52" xfId="23179"/>
    <cellStyle name="40% - Accent6 11 3 53" xfId="23180"/>
    <cellStyle name="40% - Accent6 11 3 54" xfId="23181"/>
    <cellStyle name="40% - Accent6 11 3 55" xfId="23182"/>
    <cellStyle name="40% - Accent6 11 3 6" xfId="23183"/>
    <cellStyle name="40% - Accent6 11 3 7" xfId="23184"/>
    <cellStyle name="40% - Accent6 11 3 8" xfId="23185"/>
    <cellStyle name="40% - Accent6 11 3 9" xfId="23186"/>
    <cellStyle name="40% - Accent6 12" xfId="23187"/>
    <cellStyle name="40% - Accent6 12 2" xfId="23188"/>
    <cellStyle name="40% - Accent6 12 2 10" xfId="23189"/>
    <cellStyle name="40% - Accent6 12 2 11" xfId="23190"/>
    <cellStyle name="40% - Accent6 12 2 12" xfId="23191"/>
    <cellStyle name="40% - Accent6 12 2 13" xfId="23192"/>
    <cellStyle name="40% - Accent6 12 2 14" xfId="23193"/>
    <cellStyle name="40% - Accent6 12 2 15" xfId="23194"/>
    <cellStyle name="40% - Accent6 12 2 16" xfId="23195"/>
    <cellStyle name="40% - Accent6 12 2 17" xfId="23196"/>
    <cellStyle name="40% - Accent6 12 2 18" xfId="23197"/>
    <cellStyle name="40% - Accent6 12 2 19" xfId="23198"/>
    <cellStyle name="40% - Accent6 12 2 2" xfId="23199"/>
    <cellStyle name="40% - Accent6 12 2 2 2" xfId="23200"/>
    <cellStyle name="40% - Accent6 12 2 20" xfId="23201"/>
    <cellStyle name="40% - Accent6 12 2 21" xfId="23202"/>
    <cellStyle name="40% - Accent6 12 2 22" xfId="23203"/>
    <cellStyle name="40% - Accent6 12 2 23" xfId="23204"/>
    <cellStyle name="40% - Accent6 12 2 24" xfId="23205"/>
    <cellStyle name="40% - Accent6 12 2 25" xfId="23206"/>
    <cellStyle name="40% - Accent6 12 2 26" xfId="23207"/>
    <cellStyle name="40% - Accent6 12 2 27" xfId="23208"/>
    <cellStyle name="40% - Accent6 12 2 28" xfId="23209"/>
    <cellStyle name="40% - Accent6 12 2 29" xfId="23210"/>
    <cellStyle name="40% - Accent6 12 2 3" xfId="23211"/>
    <cellStyle name="40% - Accent6 12 2 30" xfId="23212"/>
    <cellStyle name="40% - Accent6 12 2 31" xfId="23213"/>
    <cellStyle name="40% - Accent6 12 2 32" xfId="23214"/>
    <cellStyle name="40% - Accent6 12 2 33" xfId="23215"/>
    <cellStyle name="40% - Accent6 12 2 34" xfId="23216"/>
    <cellStyle name="40% - Accent6 12 2 35" xfId="23217"/>
    <cellStyle name="40% - Accent6 12 2 36" xfId="23218"/>
    <cellStyle name="40% - Accent6 12 2 37" xfId="23219"/>
    <cellStyle name="40% - Accent6 12 2 38" xfId="23220"/>
    <cellStyle name="40% - Accent6 12 2 39" xfId="23221"/>
    <cellStyle name="40% - Accent6 12 2 4" xfId="23222"/>
    <cellStyle name="40% - Accent6 12 2 40" xfId="23223"/>
    <cellStyle name="40% - Accent6 12 2 41" xfId="23224"/>
    <cellStyle name="40% - Accent6 12 2 42" xfId="23225"/>
    <cellStyle name="40% - Accent6 12 2 43" xfId="23226"/>
    <cellStyle name="40% - Accent6 12 2 44" xfId="23227"/>
    <cellStyle name="40% - Accent6 12 2 45" xfId="23228"/>
    <cellStyle name="40% - Accent6 12 2 46" xfId="23229"/>
    <cellStyle name="40% - Accent6 12 2 47" xfId="23230"/>
    <cellStyle name="40% - Accent6 12 2 48" xfId="23231"/>
    <cellStyle name="40% - Accent6 12 2 49" xfId="23232"/>
    <cellStyle name="40% - Accent6 12 2 5" xfId="23233"/>
    <cellStyle name="40% - Accent6 12 2 50" xfId="23234"/>
    <cellStyle name="40% - Accent6 12 2 51" xfId="23235"/>
    <cellStyle name="40% - Accent6 12 2 52" xfId="23236"/>
    <cellStyle name="40% - Accent6 12 2 53" xfId="23237"/>
    <cellStyle name="40% - Accent6 12 2 54" xfId="23238"/>
    <cellStyle name="40% - Accent6 12 2 55" xfId="23239"/>
    <cellStyle name="40% - Accent6 12 2 6" xfId="23240"/>
    <cellStyle name="40% - Accent6 12 2 7" xfId="23241"/>
    <cellStyle name="40% - Accent6 12 2 8" xfId="23242"/>
    <cellStyle name="40% - Accent6 12 2 9" xfId="23243"/>
    <cellStyle name="40% - Accent6 12 3" xfId="23244"/>
    <cellStyle name="40% - Accent6 12 3 10" xfId="23245"/>
    <cellStyle name="40% - Accent6 12 3 11" xfId="23246"/>
    <cellStyle name="40% - Accent6 12 3 12" xfId="23247"/>
    <cellStyle name="40% - Accent6 12 3 13" xfId="23248"/>
    <cellStyle name="40% - Accent6 12 3 14" xfId="23249"/>
    <cellStyle name="40% - Accent6 12 3 15" xfId="23250"/>
    <cellStyle name="40% - Accent6 12 3 16" xfId="23251"/>
    <cellStyle name="40% - Accent6 12 3 17" xfId="23252"/>
    <cellStyle name="40% - Accent6 12 3 18" xfId="23253"/>
    <cellStyle name="40% - Accent6 12 3 19" xfId="23254"/>
    <cellStyle name="40% - Accent6 12 3 2" xfId="23255"/>
    <cellStyle name="40% - Accent6 12 3 2 2" xfId="23256"/>
    <cellStyle name="40% - Accent6 12 3 20" xfId="23257"/>
    <cellStyle name="40% - Accent6 12 3 21" xfId="23258"/>
    <cellStyle name="40% - Accent6 12 3 22" xfId="23259"/>
    <cellStyle name="40% - Accent6 12 3 23" xfId="23260"/>
    <cellStyle name="40% - Accent6 12 3 24" xfId="23261"/>
    <cellStyle name="40% - Accent6 12 3 25" xfId="23262"/>
    <cellStyle name="40% - Accent6 12 3 26" xfId="23263"/>
    <cellStyle name="40% - Accent6 12 3 27" xfId="23264"/>
    <cellStyle name="40% - Accent6 12 3 28" xfId="23265"/>
    <cellStyle name="40% - Accent6 12 3 29" xfId="23266"/>
    <cellStyle name="40% - Accent6 12 3 3" xfId="23267"/>
    <cellStyle name="40% - Accent6 12 3 30" xfId="23268"/>
    <cellStyle name="40% - Accent6 12 3 31" xfId="23269"/>
    <cellStyle name="40% - Accent6 12 3 32" xfId="23270"/>
    <cellStyle name="40% - Accent6 12 3 33" xfId="23271"/>
    <cellStyle name="40% - Accent6 12 3 34" xfId="23272"/>
    <cellStyle name="40% - Accent6 12 3 35" xfId="23273"/>
    <cellStyle name="40% - Accent6 12 3 36" xfId="23274"/>
    <cellStyle name="40% - Accent6 12 3 37" xfId="23275"/>
    <cellStyle name="40% - Accent6 12 3 38" xfId="23276"/>
    <cellStyle name="40% - Accent6 12 3 39" xfId="23277"/>
    <cellStyle name="40% - Accent6 12 3 4" xfId="23278"/>
    <cellStyle name="40% - Accent6 12 3 40" xfId="23279"/>
    <cellStyle name="40% - Accent6 12 3 41" xfId="23280"/>
    <cellStyle name="40% - Accent6 12 3 42" xfId="23281"/>
    <cellStyle name="40% - Accent6 12 3 43" xfId="23282"/>
    <cellStyle name="40% - Accent6 12 3 44" xfId="23283"/>
    <cellStyle name="40% - Accent6 12 3 45" xfId="23284"/>
    <cellStyle name="40% - Accent6 12 3 46" xfId="23285"/>
    <cellStyle name="40% - Accent6 12 3 47" xfId="23286"/>
    <cellStyle name="40% - Accent6 12 3 48" xfId="23287"/>
    <cellStyle name="40% - Accent6 12 3 49" xfId="23288"/>
    <cellStyle name="40% - Accent6 12 3 5" xfId="23289"/>
    <cellStyle name="40% - Accent6 12 3 50" xfId="23290"/>
    <cellStyle name="40% - Accent6 12 3 51" xfId="23291"/>
    <cellStyle name="40% - Accent6 12 3 52" xfId="23292"/>
    <cellStyle name="40% - Accent6 12 3 53" xfId="23293"/>
    <cellStyle name="40% - Accent6 12 3 54" xfId="23294"/>
    <cellStyle name="40% - Accent6 12 3 55" xfId="23295"/>
    <cellStyle name="40% - Accent6 12 3 6" xfId="23296"/>
    <cellStyle name="40% - Accent6 12 3 7" xfId="23297"/>
    <cellStyle name="40% - Accent6 12 3 8" xfId="23298"/>
    <cellStyle name="40% - Accent6 12 3 9" xfId="23299"/>
    <cellStyle name="40% - Accent6 13" xfId="23300"/>
    <cellStyle name="40% - Accent6 13 2" xfId="23301"/>
    <cellStyle name="40% - Accent6 13 2 10" xfId="23302"/>
    <cellStyle name="40% - Accent6 13 2 11" xfId="23303"/>
    <cellStyle name="40% - Accent6 13 2 12" xfId="23304"/>
    <cellStyle name="40% - Accent6 13 2 13" xfId="23305"/>
    <cellStyle name="40% - Accent6 13 2 14" xfId="23306"/>
    <cellStyle name="40% - Accent6 13 2 15" xfId="23307"/>
    <cellStyle name="40% - Accent6 13 2 16" xfId="23308"/>
    <cellStyle name="40% - Accent6 13 2 17" xfId="23309"/>
    <cellStyle name="40% - Accent6 13 2 18" xfId="23310"/>
    <cellStyle name="40% - Accent6 13 2 19" xfId="23311"/>
    <cellStyle name="40% - Accent6 13 2 2" xfId="23312"/>
    <cellStyle name="40% - Accent6 13 2 2 2" xfId="23313"/>
    <cellStyle name="40% - Accent6 13 2 20" xfId="23314"/>
    <cellStyle name="40% - Accent6 13 2 21" xfId="23315"/>
    <cellStyle name="40% - Accent6 13 2 22" xfId="23316"/>
    <cellStyle name="40% - Accent6 13 2 23" xfId="23317"/>
    <cellStyle name="40% - Accent6 13 2 24" xfId="23318"/>
    <cellStyle name="40% - Accent6 13 2 25" xfId="23319"/>
    <cellStyle name="40% - Accent6 13 2 26" xfId="23320"/>
    <cellStyle name="40% - Accent6 13 2 27" xfId="23321"/>
    <cellStyle name="40% - Accent6 13 2 28" xfId="23322"/>
    <cellStyle name="40% - Accent6 13 2 29" xfId="23323"/>
    <cellStyle name="40% - Accent6 13 2 3" xfId="23324"/>
    <cellStyle name="40% - Accent6 13 2 30" xfId="23325"/>
    <cellStyle name="40% - Accent6 13 2 31" xfId="23326"/>
    <cellStyle name="40% - Accent6 13 2 32" xfId="23327"/>
    <cellStyle name="40% - Accent6 13 2 33" xfId="23328"/>
    <cellStyle name="40% - Accent6 13 2 34" xfId="23329"/>
    <cellStyle name="40% - Accent6 13 2 35" xfId="23330"/>
    <cellStyle name="40% - Accent6 13 2 36" xfId="23331"/>
    <cellStyle name="40% - Accent6 13 2 37" xfId="23332"/>
    <cellStyle name="40% - Accent6 13 2 38" xfId="23333"/>
    <cellStyle name="40% - Accent6 13 2 39" xfId="23334"/>
    <cellStyle name="40% - Accent6 13 2 4" xfId="23335"/>
    <cellStyle name="40% - Accent6 13 2 40" xfId="23336"/>
    <cellStyle name="40% - Accent6 13 2 41" xfId="23337"/>
    <cellStyle name="40% - Accent6 13 2 42" xfId="23338"/>
    <cellStyle name="40% - Accent6 13 2 43" xfId="23339"/>
    <cellStyle name="40% - Accent6 13 2 44" xfId="23340"/>
    <cellStyle name="40% - Accent6 13 2 45" xfId="23341"/>
    <cellStyle name="40% - Accent6 13 2 46" xfId="23342"/>
    <cellStyle name="40% - Accent6 13 2 47" xfId="23343"/>
    <cellStyle name="40% - Accent6 13 2 48" xfId="23344"/>
    <cellStyle name="40% - Accent6 13 2 49" xfId="23345"/>
    <cellStyle name="40% - Accent6 13 2 5" xfId="23346"/>
    <cellStyle name="40% - Accent6 13 2 50" xfId="23347"/>
    <cellStyle name="40% - Accent6 13 2 51" xfId="23348"/>
    <cellStyle name="40% - Accent6 13 2 52" xfId="23349"/>
    <cellStyle name="40% - Accent6 13 2 53" xfId="23350"/>
    <cellStyle name="40% - Accent6 13 2 54" xfId="23351"/>
    <cellStyle name="40% - Accent6 13 2 55" xfId="23352"/>
    <cellStyle name="40% - Accent6 13 2 6" xfId="23353"/>
    <cellStyle name="40% - Accent6 13 2 7" xfId="23354"/>
    <cellStyle name="40% - Accent6 13 2 8" xfId="23355"/>
    <cellStyle name="40% - Accent6 13 2 9" xfId="23356"/>
    <cellStyle name="40% - Accent6 13 3" xfId="23357"/>
    <cellStyle name="40% - Accent6 13 3 10" xfId="23358"/>
    <cellStyle name="40% - Accent6 13 3 11" xfId="23359"/>
    <cellStyle name="40% - Accent6 13 3 12" xfId="23360"/>
    <cellStyle name="40% - Accent6 13 3 13" xfId="23361"/>
    <cellStyle name="40% - Accent6 13 3 14" xfId="23362"/>
    <cellStyle name="40% - Accent6 13 3 15" xfId="23363"/>
    <cellStyle name="40% - Accent6 13 3 16" xfId="23364"/>
    <cellStyle name="40% - Accent6 13 3 17" xfId="23365"/>
    <cellStyle name="40% - Accent6 13 3 18" xfId="23366"/>
    <cellStyle name="40% - Accent6 13 3 19" xfId="23367"/>
    <cellStyle name="40% - Accent6 13 3 2" xfId="23368"/>
    <cellStyle name="40% - Accent6 13 3 2 2" xfId="23369"/>
    <cellStyle name="40% - Accent6 13 3 20" xfId="23370"/>
    <cellStyle name="40% - Accent6 13 3 21" xfId="23371"/>
    <cellStyle name="40% - Accent6 13 3 22" xfId="23372"/>
    <cellStyle name="40% - Accent6 13 3 23" xfId="23373"/>
    <cellStyle name="40% - Accent6 13 3 24" xfId="23374"/>
    <cellStyle name="40% - Accent6 13 3 25" xfId="23375"/>
    <cellStyle name="40% - Accent6 13 3 26" xfId="23376"/>
    <cellStyle name="40% - Accent6 13 3 27" xfId="23377"/>
    <cellStyle name="40% - Accent6 13 3 28" xfId="23378"/>
    <cellStyle name="40% - Accent6 13 3 29" xfId="23379"/>
    <cellStyle name="40% - Accent6 13 3 3" xfId="23380"/>
    <cellStyle name="40% - Accent6 13 3 30" xfId="23381"/>
    <cellStyle name="40% - Accent6 13 3 31" xfId="23382"/>
    <cellStyle name="40% - Accent6 13 3 32" xfId="23383"/>
    <cellStyle name="40% - Accent6 13 3 33" xfId="23384"/>
    <cellStyle name="40% - Accent6 13 3 34" xfId="23385"/>
    <cellStyle name="40% - Accent6 13 3 35" xfId="23386"/>
    <cellStyle name="40% - Accent6 13 3 36" xfId="23387"/>
    <cellStyle name="40% - Accent6 13 3 37" xfId="23388"/>
    <cellStyle name="40% - Accent6 13 3 38" xfId="23389"/>
    <cellStyle name="40% - Accent6 13 3 39" xfId="23390"/>
    <cellStyle name="40% - Accent6 13 3 4" xfId="23391"/>
    <cellStyle name="40% - Accent6 13 3 40" xfId="23392"/>
    <cellStyle name="40% - Accent6 13 3 41" xfId="23393"/>
    <cellStyle name="40% - Accent6 13 3 42" xfId="23394"/>
    <cellStyle name="40% - Accent6 13 3 43" xfId="23395"/>
    <cellStyle name="40% - Accent6 13 3 44" xfId="23396"/>
    <cellStyle name="40% - Accent6 13 3 45" xfId="23397"/>
    <cellStyle name="40% - Accent6 13 3 46" xfId="23398"/>
    <cellStyle name="40% - Accent6 13 3 47" xfId="23399"/>
    <cellStyle name="40% - Accent6 13 3 48" xfId="23400"/>
    <cellStyle name="40% - Accent6 13 3 49" xfId="23401"/>
    <cellStyle name="40% - Accent6 13 3 5" xfId="23402"/>
    <cellStyle name="40% - Accent6 13 3 50" xfId="23403"/>
    <cellStyle name="40% - Accent6 13 3 51" xfId="23404"/>
    <cellStyle name="40% - Accent6 13 3 52" xfId="23405"/>
    <cellStyle name="40% - Accent6 13 3 53" xfId="23406"/>
    <cellStyle name="40% - Accent6 13 3 54" xfId="23407"/>
    <cellStyle name="40% - Accent6 13 3 55" xfId="23408"/>
    <cellStyle name="40% - Accent6 13 3 6" xfId="23409"/>
    <cellStyle name="40% - Accent6 13 3 7" xfId="23410"/>
    <cellStyle name="40% - Accent6 13 3 8" xfId="23411"/>
    <cellStyle name="40% - Accent6 13 3 9" xfId="23412"/>
    <cellStyle name="40% - Accent6 14" xfId="23413"/>
    <cellStyle name="40% - Accent6 14 2" xfId="23414"/>
    <cellStyle name="40% - Accent6 14 2 10" xfId="23415"/>
    <cellStyle name="40% - Accent6 14 2 11" xfId="23416"/>
    <cellStyle name="40% - Accent6 14 2 12" xfId="23417"/>
    <cellStyle name="40% - Accent6 14 2 13" xfId="23418"/>
    <cellStyle name="40% - Accent6 14 2 14" xfId="23419"/>
    <cellStyle name="40% - Accent6 14 2 15" xfId="23420"/>
    <cellStyle name="40% - Accent6 14 2 16" xfId="23421"/>
    <cellStyle name="40% - Accent6 14 2 17" xfId="23422"/>
    <cellStyle name="40% - Accent6 14 2 18" xfId="23423"/>
    <cellStyle name="40% - Accent6 14 2 19" xfId="23424"/>
    <cellStyle name="40% - Accent6 14 2 2" xfId="23425"/>
    <cellStyle name="40% - Accent6 14 2 2 2" xfId="23426"/>
    <cellStyle name="40% - Accent6 14 2 20" xfId="23427"/>
    <cellStyle name="40% - Accent6 14 2 21" xfId="23428"/>
    <cellStyle name="40% - Accent6 14 2 22" xfId="23429"/>
    <cellStyle name="40% - Accent6 14 2 23" xfId="23430"/>
    <cellStyle name="40% - Accent6 14 2 24" xfId="23431"/>
    <cellStyle name="40% - Accent6 14 2 25" xfId="23432"/>
    <cellStyle name="40% - Accent6 14 2 26" xfId="23433"/>
    <cellStyle name="40% - Accent6 14 2 27" xfId="23434"/>
    <cellStyle name="40% - Accent6 14 2 28" xfId="23435"/>
    <cellStyle name="40% - Accent6 14 2 29" xfId="23436"/>
    <cellStyle name="40% - Accent6 14 2 3" xfId="23437"/>
    <cellStyle name="40% - Accent6 14 2 30" xfId="23438"/>
    <cellStyle name="40% - Accent6 14 2 31" xfId="23439"/>
    <cellStyle name="40% - Accent6 14 2 32" xfId="23440"/>
    <cellStyle name="40% - Accent6 14 2 33" xfId="23441"/>
    <cellStyle name="40% - Accent6 14 2 34" xfId="23442"/>
    <cellStyle name="40% - Accent6 14 2 35" xfId="23443"/>
    <cellStyle name="40% - Accent6 14 2 36" xfId="23444"/>
    <cellStyle name="40% - Accent6 14 2 37" xfId="23445"/>
    <cellStyle name="40% - Accent6 14 2 38" xfId="23446"/>
    <cellStyle name="40% - Accent6 14 2 39" xfId="23447"/>
    <cellStyle name="40% - Accent6 14 2 4" xfId="23448"/>
    <cellStyle name="40% - Accent6 14 2 40" xfId="23449"/>
    <cellStyle name="40% - Accent6 14 2 41" xfId="23450"/>
    <cellStyle name="40% - Accent6 14 2 42" xfId="23451"/>
    <cellStyle name="40% - Accent6 14 2 43" xfId="23452"/>
    <cellStyle name="40% - Accent6 14 2 44" xfId="23453"/>
    <cellStyle name="40% - Accent6 14 2 45" xfId="23454"/>
    <cellStyle name="40% - Accent6 14 2 46" xfId="23455"/>
    <cellStyle name="40% - Accent6 14 2 47" xfId="23456"/>
    <cellStyle name="40% - Accent6 14 2 48" xfId="23457"/>
    <cellStyle name="40% - Accent6 14 2 49" xfId="23458"/>
    <cellStyle name="40% - Accent6 14 2 5" xfId="23459"/>
    <cellStyle name="40% - Accent6 14 2 50" xfId="23460"/>
    <cellStyle name="40% - Accent6 14 2 51" xfId="23461"/>
    <cellStyle name="40% - Accent6 14 2 52" xfId="23462"/>
    <cellStyle name="40% - Accent6 14 2 53" xfId="23463"/>
    <cellStyle name="40% - Accent6 14 2 54" xfId="23464"/>
    <cellStyle name="40% - Accent6 14 2 55" xfId="23465"/>
    <cellStyle name="40% - Accent6 14 2 6" xfId="23466"/>
    <cellStyle name="40% - Accent6 14 2 7" xfId="23467"/>
    <cellStyle name="40% - Accent6 14 2 8" xfId="23468"/>
    <cellStyle name="40% - Accent6 14 2 9" xfId="23469"/>
    <cellStyle name="40% - Accent6 14 3" xfId="23470"/>
    <cellStyle name="40% - Accent6 14 3 10" xfId="23471"/>
    <cellStyle name="40% - Accent6 14 3 11" xfId="23472"/>
    <cellStyle name="40% - Accent6 14 3 12" xfId="23473"/>
    <cellStyle name="40% - Accent6 14 3 13" xfId="23474"/>
    <cellStyle name="40% - Accent6 14 3 14" xfId="23475"/>
    <cellStyle name="40% - Accent6 14 3 15" xfId="23476"/>
    <cellStyle name="40% - Accent6 14 3 16" xfId="23477"/>
    <cellStyle name="40% - Accent6 14 3 17" xfId="23478"/>
    <cellStyle name="40% - Accent6 14 3 18" xfId="23479"/>
    <cellStyle name="40% - Accent6 14 3 19" xfId="23480"/>
    <cellStyle name="40% - Accent6 14 3 2" xfId="23481"/>
    <cellStyle name="40% - Accent6 14 3 2 2" xfId="23482"/>
    <cellStyle name="40% - Accent6 14 3 20" xfId="23483"/>
    <cellStyle name="40% - Accent6 14 3 21" xfId="23484"/>
    <cellStyle name="40% - Accent6 14 3 22" xfId="23485"/>
    <cellStyle name="40% - Accent6 14 3 23" xfId="23486"/>
    <cellStyle name="40% - Accent6 14 3 24" xfId="23487"/>
    <cellStyle name="40% - Accent6 14 3 25" xfId="23488"/>
    <cellStyle name="40% - Accent6 14 3 26" xfId="23489"/>
    <cellStyle name="40% - Accent6 14 3 27" xfId="23490"/>
    <cellStyle name="40% - Accent6 14 3 28" xfId="23491"/>
    <cellStyle name="40% - Accent6 14 3 29" xfId="23492"/>
    <cellStyle name="40% - Accent6 14 3 3" xfId="23493"/>
    <cellStyle name="40% - Accent6 14 3 30" xfId="23494"/>
    <cellStyle name="40% - Accent6 14 3 31" xfId="23495"/>
    <cellStyle name="40% - Accent6 14 3 32" xfId="23496"/>
    <cellStyle name="40% - Accent6 14 3 33" xfId="23497"/>
    <cellStyle name="40% - Accent6 14 3 34" xfId="23498"/>
    <cellStyle name="40% - Accent6 14 3 35" xfId="23499"/>
    <cellStyle name="40% - Accent6 14 3 36" xfId="23500"/>
    <cellStyle name="40% - Accent6 14 3 37" xfId="23501"/>
    <cellStyle name="40% - Accent6 14 3 38" xfId="23502"/>
    <cellStyle name="40% - Accent6 14 3 39" xfId="23503"/>
    <cellStyle name="40% - Accent6 14 3 4" xfId="23504"/>
    <cellStyle name="40% - Accent6 14 3 40" xfId="23505"/>
    <cellStyle name="40% - Accent6 14 3 41" xfId="23506"/>
    <cellStyle name="40% - Accent6 14 3 42" xfId="23507"/>
    <cellStyle name="40% - Accent6 14 3 43" xfId="23508"/>
    <cellStyle name="40% - Accent6 14 3 44" xfId="23509"/>
    <cellStyle name="40% - Accent6 14 3 45" xfId="23510"/>
    <cellStyle name="40% - Accent6 14 3 46" xfId="23511"/>
    <cellStyle name="40% - Accent6 14 3 47" xfId="23512"/>
    <cellStyle name="40% - Accent6 14 3 48" xfId="23513"/>
    <cellStyle name="40% - Accent6 14 3 49" xfId="23514"/>
    <cellStyle name="40% - Accent6 14 3 5" xfId="23515"/>
    <cellStyle name="40% - Accent6 14 3 50" xfId="23516"/>
    <cellStyle name="40% - Accent6 14 3 51" xfId="23517"/>
    <cellStyle name="40% - Accent6 14 3 52" xfId="23518"/>
    <cellStyle name="40% - Accent6 14 3 53" xfId="23519"/>
    <cellStyle name="40% - Accent6 14 3 54" xfId="23520"/>
    <cellStyle name="40% - Accent6 14 3 55" xfId="23521"/>
    <cellStyle name="40% - Accent6 14 3 6" xfId="23522"/>
    <cellStyle name="40% - Accent6 14 3 7" xfId="23523"/>
    <cellStyle name="40% - Accent6 14 3 8" xfId="23524"/>
    <cellStyle name="40% - Accent6 14 3 9" xfId="23525"/>
    <cellStyle name="40% - Accent6 15" xfId="23526"/>
    <cellStyle name="40% - Accent6 15 2" xfId="23527"/>
    <cellStyle name="40% - Accent6 15 2 10" xfId="23528"/>
    <cellStyle name="40% - Accent6 15 2 11" xfId="23529"/>
    <cellStyle name="40% - Accent6 15 2 12" xfId="23530"/>
    <cellStyle name="40% - Accent6 15 2 13" xfId="23531"/>
    <cellStyle name="40% - Accent6 15 2 14" xfId="23532"/>
    <cellStyle name="40% - Accent6 15 2 15" xfId="23533"/>
    <cellStyle name="40% - Accent6 15 2 16" xfId="23534"/>
    <cellStyle name="40% - Accent6 15 2 17" xfId="23535"/>
    <cellStyle name="40% - Accent6 15 2 18" xfId="23536"/>
    <cellStyle name="40% - Accent6 15 2 19" xfId="23537"/>
    <cellStyle name="40% - Accent6 15 2 2" xfId="23538"/>
    <cellStyle name="40% - Accent6 15 2 2 2" xfId="23539"/>
    <cellStyle name="40% - Accent6 15 2 20" xfId="23540"/>
    <cellStyle name="40% - Accent6 15 2 21" xfId="23541"/>
    <cellStyle name="40% - Accent6 15 2 22" xfId="23542"/>
    <cellStyle name="40% - Accent6 15 2 23" xfId="23543"/>
    <cellStyle name="40% - Accent6 15 2 24" xfId="23544"/>
    <cellStyle name="40% - Accent6 15 2 25" xfId="23545"/>
    <cellStyle name="40% - Accent6 15 2 26" xfId="23546"/>
    <cellStyle name="40% - Accent6 15 2 27" xfId="23547"/>
    <cellStyle name="40% - Accent6 15 2 28" xfId="23548"/>
    <cellStyle name="40% - Accent6 15 2 29" xfId="23549"/>
    <cellStyle name="40% - Accent6 15 2 3" xfId="23550"/>
    <cellStyle name="40% - Accent6 15 2 30" xfId="23551"/>
    <cellStyle name="40% - Accent6 15 2 31" xfId="23552"/>
    <cellStyle name="40% - Accent6 15 2 32" xfId="23553"/>
    <cellStyle name="40% - Accent6 15 2 33" xfId="23554"/>
    <cellStyle name="40% - Accent6 15 2 34" xfId="23555"/>
    <cellStyle name="40% - Accent6 15 2 35" xfId="23556"/>
    <cellStyle name="40% - Accent6 15 2 36" xfId="23557"/>
    <cellStyle name="40% - Accent6 15 2 37" xfId="23558"/>
    <cellStyle name="40% - Accent6 15 2 38" xfId="23559"/>
    <cellStyle name="40% - Accent6 15 2 39" xfId="23560"/>
    <cellStyle name="40% - Accent6 15 2 4" xfId="23561"/>
    <cellStyle name="40% - Accent6 15 2 40" xfId="23562"/>
    <cellStyle name="40% - Accent6 15 2 41" xfId="23563"/>
    <cellStyle name="40% - Accent6 15 2 42" xfId="23564"/>
    <cellStyle name="40% - Accent6 15 2 43" xfId="23565"/>
    <cellStyle name="40% - Accent6 15 2 44" xfId="23566"/>
    <cellStyle name="40% - Accent6 15 2 45" xfId="23567"/>
    <cellStyle name="40% - Accent6 15 2 46" xfId="23568"/>
    <cellStyle name="40% - Accent6 15 2 47" xfId="23569"/>
    <cellStyle name="40% - Accent6 15 2 48" xfId="23570"/>
    <cellStyle name="40% - Accent6 15 2 49" xfId="23571"/>
    <cellStyle name="40% - Accent6 15 2 5" xfId="23572"/>
    <cellStyle name="40% - Accent6 15 2 50" xfId="23573"/>
    <cellStyle name="40% - Accent6 15 2 51" xfId="23574"/>
    <cellStyle name="40% - Accent6 15 2 52" xfId="23575"/>
    <cellStyle name="40% - Accent6 15 2 53" xfId="23576"/>
    <cellStyle name="40% - Accent6 15 2 54" xfId="23577"/>
    <cellStyle name="40% - Accent6 15 2 55" xfId="23578"/>
    <cellStyle name="40% - Accent6 15 2 6" xfId="23579"/>
    <cellStyle name="40% - Accent6 15 2 7" xfId="23580"/>
    <cellStyle name="40% - Accent6 15 2 8" xfId="23581"/>
    <cellStyle name="40% - Accent6 15 2 9" xfId="23582"/>
    <cellStyle name="40% - Accent6 15 3" xfId="23583"/>
    <cellStyle name="40% - Accent6 15 3 10" xfId="23584"/>
    <cellStyle name="40% - Accent6 15 3 11" xfId="23585"/>
    <cellStyle name="40% - Accent6 15 3 12" xfId="23586"/>
    <cellStyle name="40% - Accent6 15 3 13" xfId="23587"/>
    <cellStyle name="40% - Accent6 15 3 14" xfId="23588"/>
    <cellStyle name="40% - Accent6 15 3 15" xfId="23589"/>
    <cellStyle name="40% - Accent6 15 3 16" xfId="23590"/>
    <cellStyle name="40% - Accent6 15 3 17" xfId="23591"/>
    <cellStyle name="40% - Accent6 15 3 18" xfId="23592"/>
    <cellStyle name="40% - Accent6 15 3 19" xfId="23593"/>
    <cellStyle name="40% - Accent6 15 3 2" xfId="23594"/>
    <cellStyle name="40% - Accent6 15 3 2 2" xfId="23595"/>
    <cellStyle name="40% - Accent6 15 3 20" xfId="23596"/>
    <cellStyle name="40% - Accent6 15 3 21" xfId="23597"/>
    <cellStyle name="40% - Accent6 15 3 22" xfId="23598"/>
    <cellStyle name="40% - Accent6 15 3 23" xfId="23599"/>
    <cellStyle name="40% - Accent6 15 3 24" xfId="23600"/>
    <cellStyle name="40% - Accent6 15 3 25" xfId="23601"/>
    <cellStyle name="40% - Accent6 15 3 26" xfId="23602"/>
    <cellStyle name="40% - Accent6 15 3 27" xfId="23603"/>
    <cellStyle name="40% - Accent6 15 3 28" xfId="23604"/>
    <cellStyle name="40% - Accent6 15 3 29" xfId="23605"/>
    <cellStyle name="40% - Accent6 15 3 3" xfId="23606"/>
    <cellStyle name="40% - Accent6 15 3 30" xfId="23607"/>
    <cellStyle name="40% - Accent6 15 3 31" xfId="23608"/>
    <cellStyle name="40% - Accent6 15 3 32" xfId="23609"/>
    <cellStyle name="40% - Accent6 15 3 33" xfId="23610"/>
    <cellStyle name="40% - Accent6 15 3 34" xfId="23611"/>
    <cellStyle name="40% - Accent6 15 3 35" xfId="23612"/>
    <cellStyle name="40% - Accent6 15 3 36" xfId="23613"/>
    <cellStyle name="40% - Accent6 15 3 37" xfId="23614"/>
    <cellStyle name="40% - Accent6 15 3 38" xfId="23615"/>
    <cellStyle name="40% - Accent6 15 3 39" xfId="23616"/>
    <cellStyle name="40% - Accent6 15 3 4" xfId="23617"/>
    <cellStyle name="40% - Accent6 15 3 40" xfId="23618"/>
    <cellStyle name="40% - Accent6 15 3 41" xfId="23619"/>
    <cellStyle name="40% - Accent6 15 3 42" xfId="23620"/>
    <cellStyle name="40% - Accent6 15 3 43" xfId="23621"/>
    <cellStyle name="40% - Accent6 15 3 44" xfId="23622"/>
    <cellStyle name="40% - Accent6 15 3 45" xfId="23623"/>
    <cellStyle name="40% - Accent6 15 3 46" xfId="23624"/>
    <cellStyle name="40% - Accent6 15 3 47" xfId="23625"/>
    <cellStyle name="40% - Accent6 15 3 48" xfId="23626"/>
    <cellStyle name="40% - Accent6 15 3 49" xfId="23627"/>
    <cellStyle name="40% - Accent6 15 3 5" xfId="23628"/>
    <cellStyle name="40% - Accent6 15 3 50" xfId="23629"/>
    <cellStyle name="40% - Accent6 15 3 51" xfId="23630"/>
    <cellStyle name="40% - Accent6 15 3 52" xfId="23631"/>
    <cellStyle name="40% - Accent6 15 3 53" xfId="23632"/>
    <cellStyle name="40% - Accent6 15 3 54" xfId="23633"/>
    <cellStyle name="40% - Accent6 15 3 55" xfId="23634"/>
    <cellStyle name="40% - Accent6 15 3 6" xfId="23635"/>
    <cellStyle name="40% - Accent6 15 3 7" xfId="23636"/>
    <cellStyle name="40% - Accent6 15 3 8" xfId="23637"/>
    <cellStyle name="40% - Accent6 15 3 9" xfId="23638"/>
    <cellStyle name="40% - Accent6 16" xfId="23639"/>
    <cellStyle name="40% - Accent6 16 2" xfId="23640"/>
    <cellStyle name="40% - Accent6 16 2 10" xfId="23641"/>
    <cellStyle name="40% - Accent6 16 2 11" xfId="23642"/>
    <cellStyle name="40% - Accent6 16 2 12" xfId="23643"/>
    <cellStyle name="40% - Accent6 16 2 13" xfId="23644"/>
    <cellStyle name="40% - Accent6 16 2 14" xfId="23645"/>
    <cellStyle name="40% - Accent6 16 2 15" xfId="23646"/>
    <cellStyle name="40% - Accent6 16 2 16" xfId="23647"/>
    <cellStyle name="40% - Accent6 16 2 17" xfId="23648"/>
    <cellStyle name="40% - Accent6 16 2 18" xfId="23649"/>
    <cellStyle name="40% - Accent6 16 2 19" xfId="23650"/>
    <cellStyle name="40% - Accent6 16 2 2" xfId="23651"/>
    <cellStyle name="40% - Accent6 16 2 2 2" xfId="23652"/>
    <cellStyle name="40% - Accent6 16 2 20" xfId="23653"/>
    <cellStyle name="40% - Accent6 16 2 21" xfId="23654"/>
    <cellStyle name="40% - Accent6 16 2 22" xfId="23655"/>
    <cellStyle name="40% - Accent6 16 2 23" xfId="23656"/>
    <cellStyle name="40% - Accent6 16 2 24" xfId="23657"/>
    <cellStyle name="40% - Accent6 16 2 25" xfId="23658"/>
    <cellStyle name="40% - Accent6 16 2 26" xfId="23659"/>
    <cellStyle name="40% - Accent6 16 2 27" xfId="23660"/>
    <cellStyle name="40% - Accent6 16 2 28" xfId="23661"/>
    <cellStyle name="40% - Accent6 16 2 29" xfId="23662"/>
    <cellStyle name="40% - Accent6 16 2 3" xfId="23663"/>
    <cellStyle name="40% - Accent6 16 2 30" xfId="23664"/>
    <cellStyle name="40% - Accent6 16 2 31" xfId="23665"/>
    <cellStyle name="40% - Accent6 16 2 32" xfId="23666"/>
    <cellStyle name="40% - Accent6 16 2 33" xfId="23667"/>
    <cellStyle name="40% - Accent6 16 2 34" xfId="23668"/>
    <cellStyle name="40% - Accent6 16 2 35" xfId="23669"/>
    <cellStyle name="40% - Accent6 16 2 36" xfId="23670"/>
    <cellStyle name="40% - Accent6 16 2 37" xfId="23671"/>
    <cellStyle name="40% - Accent6 16 2 38" xfId="23672"/>
    <cellStyle name="40% - Accent6 16 2 39" xfId="23673"/>
    <cellStyle name="40% - Accent6 16 2 4" xfId="23674"/>
    <cellStyle name="40% - Accent6 16 2 40" xfId="23675"/>
    <cellStyle name="40% - Accent6 16 2 41" xfId="23676"/>
    <cellStyle name="40% - Accent6 16 2 42" xfId="23677"/>
    <cellStyle name="40% - Accent6 16 2 43" xfId="23678"/>
    <cellStyle name="40% - Accent6 16 2 44" xfId="23679"/>
    <cellStyle name="40% - Accent6 16 2 45" xfId="23680"/>
    <cellStyle name="40% - Accent6 16 2 46" xfId="23681"/>
    <cellStyle name="40% - Accent6 16 2 47" xfId="23682"/>
    <cellStyle name="40% - Accent6 16 2 48" xfId="23683"/>
    <cellStyle name="40% - Accent6 16 2 49" xfId="23684"/>
    <cellStyle name="40% - Accent6 16 2 5" xfId="23685"/>
    <cellStyle name="40% - Accent6 16 2 50" xfId="23686"/>
    <cellStyle name="40% - Accent6 16 2 51" xfId="23687"/>
    <cellStyle name="40% - Accent6 16 2 52" xfId="23688"/>
    <cellStyle name="40% - Accent6 16 2 53" xfId="23689"/>
    <cellStyle name="40% - Accent6 16 2 54" xfId="23690"/>
    <cellStyle name="40% - Accent6 16 2 55" xfId="23691"/>
    <cellStyle name="40% - Accent6 16 2 6" xfId="23692"/>
    <cellStyle name="40% - Accent6 16 2 7" xfId="23693"/>
    <cellStyle name="40% - Accent6 16 2 8" xfId="23694"/>
    <cellStyle name="40% - Accent6 16 2 9" xfId="23695"/>
    <cellStyle name="40% - Accent6 16 3" xfId="23696"/>
    <cellStyle name="40% - Accent6 16 3 10" xfId="23697"/>
    <cellStyle name="40% - Accent6 16 3 11" xfId="23698"/>
    <cellStyle name="40% - Accent6 16 3 12" xfId="23699"/>
    <cellStyle name="40% - Accent6 16 3 13" xfId="23700"/>
    <cellStyle name="40% - Accent6 16 3 14" xfId="23701"/>
    <cellStyle name="40% - Accent6 16 3 15" xfId="23702"/>
    <cellStyle name="40% - Accent6 16 3 16" xfId="23703"/>
    <cellStyle name="40% - Accent6 16 3 17" xfId="23704"/>
    <cellStyle name="40% - Accent6 16 3 18" xfId="23705"/>
    <cellStyle name="40% - Accent6 16 3 19" xfId="23706"/>
    <cellStyle name="40% - Accent6 16 3 2" xfId="23707"/>
    <cellStyle name="40% - Accent6 16 3 2 2" xfId="23708"/>
    <cellStyle name="40% - Accent6 16 3 20" xfId="23709"/>
    <cellStyle name="40% - Accent6 16 3 21" xfId="23710"/>
    <cellStyle name="40% - Accent6 16 3 22" xfId="23711"/>
    <cellStyle name="40% - Accent6 16 3 23" xfId="23712"/>
    <cellStyle name="40% - Accent6 16 3 24" xfId="23713"/>
    <cellStyle name="40% - Accent6 16 3 25" xfId="23714"/>
    <cellStyle name="40% - Accent6 16 3 26" xfId="23715"/>
    <cellStyle name="40% - Accent6 16 3 27" xfId="23716"/>
    <cellStyle name="40% - Accent6 16 3 28" xfId="23717"/>
    <cellStyle name="40% - Accent6 16 3 29" xfId="23718"/>
    <cellStyle name="40% - Accent6 16 3 3" xfId="23719"/>
    <cellStyle name="40% - Accent6 16 3 30" xfId="23720"/>
    <cellStyle name="40% - Accent6 16 3 31" xfId="23721"/>
    <cellStyle name="40% - Accent6 16 3 32" xfId="23722"/>
    <cellStyle name="40% - Accent6 16 3 33" xfId="23723"/>
    <cellStyle name="40% - Accent6 16 3 34" xfId="23724"/>
    <cellStyle name="40% - Accent6 16 3 35" xfId="23725"/>
    <cellStyle name="40% - Accent6 16 3 36" xfId="23726"/>
    <cellStyle name="40% - Accent6 16 3 37" xfId="23727"/>
    <cellStyle name="40% - Accent6 16 3 38" xfId="23728"/>
    <cellStyle name="40% - Accent6 16 3 39" xfId="23729"/>
    <cellStyle name="40% - Accent6 16 3 4" xfId="23730"/>
    <cellStyle name="40% - Accent6 16 3 40" xfId="23731"/>
    <cellStyle name="40% - Accent6 16 3 41" xfId="23732"/>
    <cellStyle name="40% - Accent6 16 3 42" xfId="23733"/>
    <cellStyle name="40% - Accent6 16 3 43" xfId="23734"/>
    <cellStyle name="40% - Accent6 16 3 44" xfId="23735"/>
    <cellStyle name="40% - Accent6 16 3 45" xfId="23736"/>
    <cellStyle name="40% - Accent6 16 3 46" xfId="23737"/>
    <cellStyle name="40% - Accent6 16 3 47" xfId="23738"/>
    <cellStyle name="40% - Accent6 16 3 48" xfId="23739"/>
    <cellStyle name="40% - Accent6 16 3 49" xfId="23740"/>
    <cellStyle name="40% - Accent6 16 3 5" xfId="23741"/>
    <cellStyle name="40% - Accent6 16 3 50" xfId="23742"/>
    <cellStyle name="40% - Accent6 16 3 51" xfId="23743"/>
    <cellStyle name="40% - Accent6 16 3 52" xfId="23744"/>
    <cellStyle name="40% - Accent6 16 3 53" xfId="23745"/>
    <cellStyle name="40% - Accent6 16 3 54" xfId="23746"/>
    <cellStyle name="40% - Accent6 16 3 55" xfId="23747"/>
    <cellStyle name="40% - Accent6 16 3 6" xfId="23748"/>
    <cellStyle name="40% - Accent6 16 3 7" xfId="23749"/>
    <cellStyle name="40% - Accent6 16 3 8" xfId="23750"/>
    <cellStyle name="40% - Accent6 16 3 9" xfId="23751"/>
    <cellStyle name="40% - Accent6 17" xfId="23752"/>
    <cellStyle name="40% - Accent6 17 2" xfId="23753"/>
    <cellStyle name="40% - Accent6 17 2 10" xfId="23754"/>
    <cellStyle name="40% - Accent6 17 2 11" xfId="23755"/>
    <cellStyle name="40% - Accent6 17 2 12" xfId="23756"/>
    <cellStyle name="40% - Accent6 17 2 13" xfId="23757"/>
    <cellStyle name="40% - Accent6 17 2 14" xfId="23758"/>
    <cellStyle name="40% - Accent6 17 2 15" xfId="23759"/>
    <cellStyle name="40% - Accent6 17 2 16" xfId="23760"/>
    <cellStyle name="40% - Accent6 17 2 17" xfId="23761"/>
    <cellStyle name="40% - Accent6 17 2 18" xfId="23762"/>
    <cellStyle name="40% - Accent6 17 2 19" xfId="23763"/>
    <cellStyle name="40% - Accent6 17 2 2" xfId="23764"/>
    <cellStyle name="40% - Accent6 17 2 2 2" xfId="23765"/>
    <cellStyle name="40% - Accent6 17 2 20" xfId="23766"/>
    <cellStyle name="40% - Accent6 17 2 21" xfId="23767"/>
    <cellStyle name="40% - Accent6 17 2 22" xfId="23768"/>
    <cellStyle name="40% - Accent6 17 2 23" xfId="23769"/>
    <cellStyle name="40% - Accent6 17 2 24" xfId="23770"/>
    <cellStyle name="40% - Accent6 17 2 25" xfId="23771"/>
    <cellStyle name="40% - Accent6 17 2 26" xfId="23772"/>
    <cellStyle name="40% - Accent6 17 2 27" xfId="23773"/>
    <cellStyle name="40% - Accent6 17 2 28" xfId="23774"/>
    <cellStyle name="40% - Accent6 17 2 29" xfId="23775"/>
    <cellStyle name="40% - Accent6 17 2 3" xfId="23776"/>
    <cellStyle name="40% - Accent6 17 2 30" xfId="23777"/>
    <cellStyle name="40% - Accent6 17 2 31" xfId="23778"/>
    <cellStyle name="40% - Accent6 17 2 32" xfId="23779"/>
    <cellStyle name="40% - Accent6 17 2 33" xfId="23780"/>
    <cellStyle name="40% - Accent6 17 2 34" xfId="23781"/>
    <cellStyle name="40% - Accent6 17 2 35" xfId="23782"/>
    <cellStyle name="40% - Accent6 17 2 36" xfId="23783"/>
    <cellStyle name="40% - Accent6 17 2 37" xfId="23784"/>
    <cellStyle name="40% - Accent6 17 2 38" xfId="23785"/>
    <cellStyle name="40% - Accent6 17 2 39" xfId="23786"/>
    <cellStyle name="40% - Accent6 17 2 4" xfId="23787"/>
    <cellStyle name="40% - Accent6 17 2 40" xfId="23788"/>
    <cellStyle name="40% - Accent6 17 2 41" xfId="23789"/>
    <cellStyle name="40% - Accent6 17 2 42" xfId="23790"/>
    <cellStyle name="40% - Accent6 17 2 43" xfId="23791"/>
    <cellStyle name="40% - Accent6 17 2 44" xfId="23792"/>
    <cellStyle name="40% - Accent6 17 2 45" xfId="23793"/>
    <cellStyle name="40% - Accent6 17 2 46" xfId="23794"/>
    <cellStyle name="40% - Accent6 17 2 47" xfId="23795"/>
    <cellStyle name="40% - Accent6 17 2 48" xfId="23796"/>
    <cellStyle name="40% - Accent6 17 2 49" xfId="23797"/>
    <cellStyle name="40% - Accent6 17 2 5" xfId="23798"/>
    <cellStyle name="40% - Accent6 17 2 50" xfId="23799"/>
    <cellStyle name="40% - Accent6 17 2 51" xfId="23800"/>
    <cellStyle name="40% - Accent6 17 2 52" xfId="23801"/>
    <cellStyle name="40% - Accent6 17 2 53" xfId="23802"/>
    <cellStyle name="40% - Accent6 17 2 54" xfId="23803"/>
    <cellStyle name="40% - Accent6 17 2 55" xfId="23804"/>
    <cellStyle name="40% - Accent6 17 2 6" xfId="23805"/>
    <cellStyle name="40% - Accent6 17 2 7" xfId="23806"/>
    <cellStyle name="40% - Accent6 17 2 8" xfId="23807"/>
    <cellStyle name="40% - Accent6 17 2 9" xfId="23808"/>
    <cellStyle name="40% - Accent6 17 3" xfId="23809"/>
    <cellStyle name="40% - Accent6 17 3 10" xfId="23810"/>
    <cellStyle name="40% - Accent6 17 3 11" xfId="23811"/>
    <cellStyle name="40% - Accent6 17 3 12" xfId="23812"/>
    <cellStyle name="40% - Accent6 17 3 13" xfId="23813"/>
    <cellStyle name="40% - Accent6 17 3 14" xfId="23814"/>
    <cellStyle name="40% - Accent6 17 3 15" xfId="23815"/>
    <cellStyle name="40% - Accent6 17 3 16" xfId="23816"/>
    <cellStyle name="40% - Accent6 17 3 17" xfId="23817"/>
    <cellStyle name="40% - Accent6 17 3 18" xfId="23818"/>
    <cellStyle name="40% - Accent6 17 3 19" xfId="23819"/>
    <cellStyle name="40% - Accent6 17 3 2" xfId="23820"/>
    <cellStyle name="40% - Accent6 17 3 2 2" xfId="23821"/>
    <cellStyle name="40% - Accent6 17 3 20" xfId="23822"/>
    <cellStyle name="40% - Accent6 17 3 21" xfId="23823"/>
    <cellStyle name="40% - Accent6 17 3 22" xfId="23824"/>
    <cellStyle name="40% - Accent6 17 3 23" xfId="23825"/>
    <cellStyle name="40% - Accent6 17 3 24" xfId="23826"/>
    <cellStyle name="40% - Accent6 17 3 25" xfId="23827"/>
    <cellStyle name="40% - Accent6 17 3 26" xfId="23828"/>
    <cellStyle name="40% - Accent6 17 3 27" xfId="23829"/>
    <cellStyle name="40% - Accent6 17 3 28" xfId="23830"/>
    <cellStyle name="40% - Accent6 17 3 29" xfId="23831"/>
    <cellStyle name="40% - Accent6 17 3 3" xfId="23832"/>
    <cellStyle name="40% - Accent6 17 3 30" xfId="23833"/>
    <cellStyle name="40% - Accent6 17 3 31" xfId="23834"/>
    <cellStyle name="40% - Accent6 17 3 32" xfId="23835"/>
    <cellStyle name="40% - Accent6 17 3 33" xfId="23836"/>
    <cellStyle name="40% - Accent6 17 3 34" xfId="23837"/>
    <cellStyle name="40% - Accent6 17 3 35" xfId="23838"/>
    <cellStyle name="40% - Accent6 17 3 36" xfId="23839"/>
    <cellStyle name="40% - Accent6 17 3 37" xfId="23840"/>
    <cellStyle name="40% - Accent6 17 3 38" xfId="23841"/>
    <cellStyle name="40% - Accent6 17 3 39" xfId="23842"/>
    <cellStyle name="40% - Accent6 17 3 4" xfId="23843"/>
    <cellStyle name="40% - Accent6 17 3 40" xfId="23844"/>
    <cellStyle name="40% - Accent6 17 3 41" xfId="23845"/>
    <cellStyle name="40% - Accent6 17 3 42" xfId="23846"/>
    <cellStyle name="40% - Accent6 17 3 43" xfId="23847"/>
    <cellStyle name="40% - Accent6 17 3 44" xfId="23848"/>
    <cellStyle name="40% - Accent6 17 3 45" xfId="23849"/>
    <cellStyle name="40% - Accent6 17 3 46" xfId="23850"/>
    <cellStyle name="40% - Accent6 17 3 47" xfId="23851"/>
    <cellStyle name="40% - Accent6 17 3 48" xfId="23852"/>
    <cellStyle name="40% - Accent6 17 3 49" xfId="23853"/>
    <cellStyle name="40% - Accent6 17 3 5" xfId="23854"/>
    <cellStyle name="40% - Accent6 17 3 50" xfId="23855"/>
    <cellStyle name="40% - Accent6 17 3 51" xfId="23856"/>
    <cellStyle name="40% - Accent6 17 3 52" xfId="23857"/>
    <cellStyle name="40% - Accent6 17 3 53" xfId="23858"/>
    <cellStyle name="40% - Accent6 17 3 54" xfId="23859"/>
    <cellStyle name="40% - Accent6 17 3 55" xfId="23860"/>
    <cellStyle name="40% - Accent6 17 3 6" xfId="23861"/>
    <cellStyle name="40% - Accent6 17 3 7" xfId="23862"/>
    <cellStyle name="40% - Accent6 17 3 8" xfId="23863"/>
    <cellStyle name="40% - Accent6 17 3 9" xfId="23864"/>
    <cellStyle name="40% - Accent6 18" xfId="23865"/>
    <cellStyle name="40% - Accent6 18 2" xfId="23866"/>
    <cellStyle name="40% - Accent6 18 2 10" xfId="23867"/>
    <cellStyle name="40% - Accent6 18 2 11" xfId="23868"/>
    <cellStyle name="40% - Accent6 18 2 12" xfId="23869"/>
    <cellStyle name="40% - Accent6 18 2 13" xfId="23870"/>
    <cellStyle name="40% - Accent6 18 2 14" xfId="23871"/>
    <cellStyle name="40% - Accent6 18 2 15" xfId="23872"/>
    <cellStyle name="40% - Accent6 18 2 16" xfId="23873"/>
    <cellStyle name="40% - Accent6 18 2 17" xfId="23874"/>
    <cellStyle name="40% - Accent6 18 2 18" xfId="23875"/>
    <cellStyle name="40% - Accent6 18 2 19" xfId="23876"/>
    <cellStyle name="40% - Accent6 18 2 2" xfId="23877"/>
    <cellStyle name="40% - Accent6 18 2 2 2" xfId="23878"/>
    <cellStyle name="40% - Accent6 18 2 20" xfId="23879"/>
    <cellStyle name="40% - Accent6 18 2 21" xfId="23880"/>
    <cellStyle name="40% - Accent6 18 2 22" xfId="23881"/>
    <cellStyle name="40% - Accent6 18 2 23" xfId="23882"/>
    <cellStyle name="40% - Accent6 18 2 24" xfId="23883"/>
    <cellStyle name="40% - Accent6 18 2 25" xfId="23884"/>
    <cellStyle name="40% - Accent6 18 2 26" xfId="23885"/>
    <cellStyle name="40% - Accent6 18 2 27" xfId="23886"/>
    <cellStyle name="40% - Accent6 18 2 28" xfId="23887"/>
    <cellStyle name="40% - Accent6 18 2 29" xfId="23888"/>
    <cellStyle name="40% - Accent6 18 2 3" xfId="23889"/>
    <cellStyle name="40% - Accent6 18 2 30" xfId="23890"/>
    <cellStyle name="40% - Accent6 18 2 31" xfId="23891"/>
    <cellStyle name="40% - Accent6 18 2 32" xfId="23892"/>
    <cellStyle name="40% - Accent6 18 2 33" xfId="23893"/>
    <cellStyle name="40% - Accent6 18 2 34" xfId="23894"/>
    <cellStyle name="40% - Accent6 18 2 35" xfId="23895"/>
    <cellStyle name="40% - Accent6 18 2 36" xfId="23896"/>
    <cellStyle name="40% - Accent6 18 2 37" xfId="23897"/>
    <cellStyle name="40% - Accent6 18 2 38" xfId="23898"/>
    <cellStyle name="40% - Accent6 18 2 39" xfId="23899"/>
    <cellStyle name="40% - Accent6 18 2 4" xfId="23900"/>
    <cellStyle name="40% - Accent6 18 2 40" xfId="23901"/>
    <cellStyle name="40% - Accent6 18 2 41" xfId="23902"/>
    <cellStyle name="40% - Accent6 18 2 42" xfId="23903"/>
    <cellStyle name="40% - Accent6 18 2 43" xfId="23904"/>
    <cellStyle name="40% - Accent6 18 2 44" xfId="23905"/>
    <cellStyle name="40% - Accent6 18 2 45" xfId="23906"/>
    <cellStyle name="40% - Accent6 18 2 46" xfId="23907"/>
    <cellStyle name="40% - Accent6 18 2 47" xfId="23908"/>
    <cellStyle name="40% - Accent6 18 2 48" xfId="23909"/>
    <cellStyle name="40% - Accent6 18 2 49" xfId="23910"/>
    <cellStyle name="40% - Accent6 18 2 5" xfId="23911"/>
    <cellStyle name="40% - Accent6 18 2 50" xfId="23912"/>
    <cellStyle name="40% - Accent6 18 2 51" xfId="23913"/>
    <cellStyle name="40% - Accent6 18 2 52" xfId="23914"/>
    <cellStyle name="40% - Accent6 18 2 53" xfId="23915"/>
    <cellStyle name="40% - Accent6 18 2 54" xfId="23916"/>
    <cellStyle name="40% - Accent6 18 2 55" xfId="23917"/>
    <cellStyle name="40% - Accent6 18 2 6" xfId="23918"/>
    <cellStyle name="40% - Accent6 18 2 7" xfId="23919"/>
    <cellStyle name="40% - Accent6 18 2 8" xfId="23920"/>
    <cellStyle name="40% - Accent6 18 2 9" xfId="23921"/>
    <cellStyle name="40% - Accent6 18 3" xfId="23922"/>
    <cellStyle name="40% - Accent6 18 3 10" xfId="23923"/>
    <cellStyle name="40% - Accent6 18 3 11" xfId="23924"/>
    <cellStyle name="40% - Accent6 18 3 12" xfId="23925"/>
    <cellStyle name="40% - Accent6 18 3 13" xfId="23926"/>
    <cellStyle name="40% - Accent6 18 3 14" xfId="23927"/>
    <cellStyle name="40% - Accent6 18 3 15" xfId="23928"/>
    <cellStyle name="40% - Accent6 18 3 16" xfId="23929"/>
    <cellStyle name="40% - Accent6 18 3 17" xfId="23930"/>
    <cellStyle name="40% - Accent6 18 3 18" xfId="23931"/>
    <cellStyle name="40% - Accent6 18 3 19" xfId="23932"/>
    <cellStyle name="40% - Accent6 18 3 2" xfId="23933"/>
    <cellStyle name="40% - Accent6 18 3 2 2" xfId="23934"/>
    <cellStyle name="40% - Accent6 18 3 20" xfId="23935"/>
    <cellStyle name="40% - Accent6 18 3 21" xfId="23936"/>
    <cellStyle name="40% - Accent6 18 3 22" xfId="23937"/>
    <cellStyle name="40% - Accent6 18 3 23" xfId="23938"/>
    <cellStyle name="40% - Accent6 18 3 24" xfId="23939"/>
    <cellStyle name="40% - Accent6 18 3 25" xfId="23940"/>
    <cellStyle name="40% - Accent6 18 3 26" xfId="23941"/>
    <cellStyle name="40% - Accent6 18 3 27" xfId="23942"/>
    <cellStyle name="40% - Accent6 18 3 28" xfId="23943"/>
    <cellStyle name="40% - Accent6 18 3 29" xfId="23944"/>
    <cellStyle name="40% - Accent6 18 3 3" xfId="23945"/>
    <cellStyle name="40% - Accent6 18 3 30" xfId="23946"/>
    <cellStyle name="40% - Accent6 18 3 31" xfId="23947"/>
    <cellStyle name="40% - Accent6 18 3 32" xfId="23948"/>
    <cellStyle name="40% - Accent6 18 3 33" xfId="23949"/>
    <cellStyle name="40% - Accent6 18 3 34" xfId="23950"/>
    <cellStyle name="40% - Accent6 18 3 35" xfId="23951"/>
    <cellStyle name="40% - Accent6 18 3 36" xfId="23952"/>
    <cellStyle name="40% - Accent6 18 3 37" xfId="23953"/>
    <cellStyle name="40% - Accent6 18 3 38" xfId="23954"/>
    <cellStyle name="40% - Accent6 18 3 39" xfId="23955"/>
    <cellStyle name="40% - Accent6 18 3 4" xfId="23956"/>
    <cellStyle name="40% - Accent6 18 3 40" xfId="23957"/>
    <cellStyle name="40% - Accent6 18 3 41" xfId="23958"/>
    <cellStyle name="40% - Accent6 18 3 42" xfId="23959"/>
    <cellStyle name="40% - Accent6 18 3 43" xfId="23960"/>
    <cellStyle name="40% - Accent6 18 3 44" xfId="23961"/>
    <cellStyle name="40% - Accent6 18 3 45" xfId="23962"/>
    <cellStyle name="40% - Accent6 18 3 46" xfId="23963"/>
    <cellStyle name="40% - Accent6 18 3 47" xfId="23964"/>
    <cellStyle name="40% - Accent6 18 3 48" xfId="23965"/>
    <cellStyle name="40% - Accent6 18 3 49" xfId="23966"/>
    <cellStyle name="40% - Accent6 18 3 5" xfId="23967"/>
    <cellStyle name="40% - Accent6 18 3 50" xfId="23968"/>
    <cellStyle name="40% - Accent6 18 3 51" xfId="23969"/>
    <cellStyle name="40% - Accent6 18 3 52" xfId="23970"/>
    <cellStyle name="40% - Accent6 18 3 53" xfId="23971"/>
    <cellStyle name="40% - Accent6 18 3 54" xfId="23972"/>
    <cellStyle name="40% - Accent6 18 3 55" xfId="23973"/>
    <cellStyle name="40% - Accent6 18 3 6" xfId="23974"/>
    <cellStyle name="40% - Accent6 18 3 7" xfId="23975"/>
    <cellStyle name="40% - Accent6 18 3 8" xfId="23976"/>
    <cellStyle name="40% - Accent6 18 3 9" xfId="23977"/>
    <cellStyle name="40% - Accent6 19" xfId="23978"/>
    <cellStyle name="40% - Accent6 2" xfId="23979"/>
    <cellStyle name="40% - Accent6 2 2" xfId="23980"/>
    <cellStyle name="40% - Accent6 2 2 2" xfId="23981"/>
    <cellStyle name="40% - Accent6 2 2 2 10" xfId="23982"/>
    <cellStyle name="40% - Accent6 2 2 2 11" xfId="23983"/>
    <cellStyle name="40% - Accent6 2 2 2 12" xfId="23984"/>
    <cellStyle name="40% - Accent6 2 2 2 13" xfId="23985"/>
    <cellStyle name="40% - Accent6 2 2 2 14" xfId="23986"/>
    <cellStyle name="40% - Accent6 2 2 2 15" xfId="23987"/>
    <cellStyle name="40% - Accent6 2 2 2 16" xfId="23988"/>
    <cellStyle name="40% - Accent6 2 2 2 17" xfId="23989"/>
    <cellStyle name="40% - Accent6 2 2 2 18" xfId="23990"/>
    <cellStyle name="40% - Accent6 2 2 2 19" xfId="23991"/>
    <cellStyle name="40% - Accent6 2 2 2 2" xfId="23992"/>
    <cellStyle name="40% - Accent6 2 2 2 2 2" xfId="23993"/>
    <cellStyle name="40% - Accent6 2 2 2 20" xfId="23994"/>
    <cellStyle name="40% - Accent6 2 2 2 21" xfId="23995"/>
    <cellStyle name="40% - Accent6 2 2 2 22" xfId="23996"/>
    <cellStyle name="40% - Accent6 2 2 2 23" xfId="23997"/>
    <cellStyle name="40% - Accent6 2 2 2 24" xfId="23998"/>
    <cellStyle name="40% - Accent6 2 2 2 25" xfId="23999"/>
    <cellStyle name="40% - Accent6 2 2 2 26" xfId="24000"/>
    <cellStyle name="40% - Accent6 2 2 2 27" xfId="24001"/>
    <cellStyle name="40% - Accent6 2 2 2 28" xfId="24002"/>
    <cellStyle name="40% - Accent6 2 2 2 29" xfId="24003"/>
    <cellStyle name="40% - Accent6 2 2 2 3" xfId="24004"/>
    <cellStyle name="40% - Accent6 2 2 2 30" xfId="24005"/>
    <cellStyle name="40% - Accent6 2 2 2 31" xfId="24006"/>
    <cellStyle name="40% - Accent6 2 2 2 32" xfId="24007"/>
    <cellStyle name="40% - Accent6 2 2 2 33" xfId="24008"/>
    <cellStyle name="40% - Accent6 2 2 2 34" xfId="24009"/>
    <cellStyle name="40% - Accent6 2 2 2 35" xfId="24010"/>
    <cellStyle name="40% - Accent6 2 2 2 36" xfId="24011"/>
    <cellStyle name="40% - Accent6 2 2 2 37" xfId="24012"/>
    <cellStyle name="40% - Accent6 2 2 2 38" xfId="24013"/>
    <cellStyle name="40% - Accent6 2 2 2 39" xfId="24014"/>
    <cellStyle name="40% - Accent6 2 2 2 4" xfId="24015"/>
    <cellStyle name="40% - Accent6 2 2 2 40" xfId="24016"/>
    <cellStyle name="40% - Accent6 2 2 2 41" xfId="24017"/>
    <cellStyle name="40% - Accent6 2 2 2 42" xfId="24018"/>
    <cellStyle name="40% - Accent6 2 2 2 43" xfId="24019"/>
    <cellStyle name="40% - Accent6 2 2 2 44" xfId="24020"/>
    <cellStyle name="40% - Accent6 2 2 2 45" xfId="24021"/>
    <cellStyle name="40% - Accent6 2 2 2 46" xfId="24022"/>
    <cellStyle name="40% - Accent6 2 2 2 47" xfId="24023"/>
    <cellStyle name="40% - Accent6 2 2 2 48" xfId="24024"/>
    <cellStyle name="40% - Accent6 2 2 2 49" xfId="24025"/>
    <cellStyle name="40% - Accent6 2 2 2 5" xfId="24026"/>
    <cellStyle name="40% - Accent6 2 2 2 50" xfId="24027"/>
    <cellStyle name="40% - Accent6 2 2 2 51" xfId="24028"/>
    <cellStyle name="40% - Accent6 2 2 2 52" xfId="24029"/>
    <cellStyle name="40% - Accent6 2 2 2 53" xfId="24030"/>
    <cellStyle name="40% - Accent6 2 2 2 54" xfId="24031"/>
    <cellStyle name="40% - Accent6 2 2 2 55" xfId="24032"/>
    <cellStyle name="40% - Accent6 2 2 2 6" xfId="24033"/>
    <cellStyle name="40% - Accent6 2 2 2 7" xfId="24034"/>
    <cellStyle name="40% - Accent6 2 2 2 8" xfId="24035"/>
    <cellStyle name="40% - Accent6 2 2 2 9" xfId="24036"/>
    <cellStyle name="40% - Accent6 2 2 2_PM Okt 2014 Plan VS Actual Planning Workshop" xfId="24037"/>
    <cellStyle name="40% - Accent6 2 2 3" xfId="24038"/>
    <cellStyle name="40% - Accent6 2 2 3 10" xfId="24039"/>
    <cellStyle name="40% - Accent6 2 2 3 11" xfId="24040"/>
    <cellStyle name="40% - Accent6 2 2 3 12" xfId="24041"/>
    <cellStyle name="40% - Accent6 2 2 3 13" xfId="24042"/>
    <cellStyle name="40% - Accent6 2 2 3 14" xfId="24043"/>
    <cellStyle name="40% - Accent6 2 2 3 15" xfId="24044"/>
    <cellStyle name="40% - Accent6 2 2 3 16" xfId="24045"/>
    <cellStyle name="40% - Accent6 2 2 3 17" xfId="24046"/>
    <cellStyle name="40% - Accent6 2 2 3 18" xfId="24047"/>
    <cellStyle name="40% - Accent6 2 2 3 19" xfId="24048"/>
    <cellStyle name="40% - Accent6 2 2 3 2" xfId="24049"/>
    <cellStyle name="40% - Accent6 2 2 3 2 2" xfId="24050"/>
    <cellStyle name="40% - Accent6 2 2 3 20" xfId="24051"/>
    <cellStyle name="40% - Accent6 2 2 3 21" xfId="24052"/>
    <cellStyle name="40% - Accent6 2 2 3 22" xfId="24053"/>
    <cellStyle name="40% - Accent6 2 2 3 23" xfId="24054"/>
    <cellStyle name="40% - Accent6 2 2 3 24" xfId="24055"/>
    <cellStyle name="40% - Accent6 2 2 3 25" xfId="24056"/>
    <cellStyle name="40% - Accent6 2 2 3 26" xfId="24057"/>
    <cellStyle name="40% - Accent6 2 2 3 27" xfId="24058"/>
    <cellStyle name="40% - Accent6 2 2 3 28" xfId="24059"/>
    <cellStyle name="40% - Accent6 2 2 3 29" xfId="24060"/>
    <cellStyle name="40% - Accent6 2 2 3 3" xfId="24061"/>
    <cellStyle name="40% - Accent6 2 2 3 30" xfId="24062"/>
    <cellStyle name="40% - Accent6 2 2 3 31" xfId="24063"/>
    <cellStyle name="40% - Accent6 2 2 3 32" xfId="24064"/>
    <cellStyle name="40% - Accent6 2 2 3 33" xfId="24065"/>
    <cellStyle name="40% - Accent6 2 2 3 34" xfId="24066"/>
    <cellStyle name="40% - Accent6 2 2 3 35" xfId="24067"/>
    <cellStyle name="40% - Accent6 2 2 3 36" xfId="24068"/>
    <cellStyle name="40% - Accent6 2 2 3 37" xfId="24069"/>
    <cellStyle name="40% - Accent6 2 2 3 38" xfId="24070"/>
    <cellStyle name="40% - Accent6 2 2 3 39" xfId="24071"/>
    <cellStyle name="40% - Accent6 2 2 3 4" xfId="24072"/>
    <cellStyle name="40% - Accent6 2 2 3 40" xfId="24073"/>
    <cellStyle name="40% - Accent6 2 2 3 41" xfId="24074"/>
    <cellStyle name="40% - Accent6 2 2 3 42" xfId="24075"/>
    <cellStyle name="40% - Accent6 2 2 3 43" xfId="24076"/>
    <cellStyle name="40% - Accent6 2 2 3 44" xfId="24077"/>
    <cellStyle name="40% - Accent6 2 2 3 45" xfId="24078"/>
    <cellStyle name="40% - Accent6 2 2 3 46" xfId="24079"/>
    <cellStyle name="40% - Accent6 2 2 3 47" xfId="24080"/>
    <cellStyle name="40% - Accent6 2 2 3 48" xfId="24081"/>
    <cellStyle name="40% - Accent6 2 2 3 49" xfId="24082"/>
    <cellStyle name="40% - Accent6 2 2 3 5" xfId="24083"/>
    <cellStyle name="40% - Accent6 2 2 3 50" xfId="24084"/>
    <cellStyle name="40% - Accent6 2 2 3 51" xfId="24085"/>
    <cellStyle name="40% - Accent6 2 2 3 52" xfId="24086"/>
    <cellStyle name="40% - Accent6 2 2 3 53" xfId="24087"/>
    <cellStyle name="40% - Accent6 2 2 3 54" xfId="24088"/>
    <cellStyle name="40% - Accent6 2 2 3 55" xfId="24089"/>
    <cellStyle name="40% - Accent6 2 2 3 6" xfId="24090"/>
    <cellStyle name="40% - Accent6 2 2 3 7" xfId="24091"/>
    <cellStyle name="40% - Accent6 2 2 3 8" xfId="24092"/>
    <cellStyle name="40% - Accent6 2 2 3 9" xfId="24093"/>
    <cellStyle name="40% - Accent6 2 3" xfId="24094"/>
    <cellStyle name="40% - Accent6 2 3 10" xfId="24095"/>
    <cellStyle name="40% - Accent6 2 3 11" xfId="24096"/>
    <cellStyle name="40% - Accent6 2 3 12" xfId="24097"/>
    <cellStyle name="40% - Accent6 2 3 13" xfId="24098"/>
    <cellStyle name="40% - Accent6 2 3 14" xfId="24099"/>
    <cellStyle name="40% - Accent6 2 3 15" xfId="24100"/>
    <cellStyle name="40% - Accent6 2 3 16" xfId="24101"/>
    <cellStyle name="40% - Accent6 2 3 17" xfId="24102"/>
    <cellStyle name="40% - Accent6 2 3 18" xfId="24103"/>
    <cellStyle name="40% - Accent6 2 3 19" xfId="24104"/>
    <cellStyle name="40% - Accent6 2 3 2" xfId="24105"/>
    <cellStyle name="40% - Accent6 2 3 2 2" xfId="24106"/>
    <cellStyle name="40% - Accent6 2 3 2_PM Okt 2014 Plan VS Actual Planning Workshop" xfId="24107"/>
    <cellStyle name="40% - Accent6 2 3 20" xfId="24108"/>
    <cellStyle name="40% - Accent6 2 3 21" xfId="24109"/>
    <cellStyle name="40% - Accent6 2 3 22" xfId="24110"/>
    <cellStyle name="40% - Accent6 2 3 23" xfId="24111"/>
    <cellStyle name="40% - Accent6 2 3 24" xfId="24112"/>
    <cellStyle name="40% - Accent6 2 3 25" xfId="24113"/>
    <cellStyle name="40% - Accent6 2 3 26" xfId="24114"/>
    <cellStyle name="40% - Accent6 2 3 27" xfId="24115"/>
    <cellStyle name="40% - Accent6 2 3 28" xfId="24116"/>
    <cellStyle name="40% - Accent6 2 3 29" xfId="24117"/>
    <cellStyle name="40% - Accent6 2 3 3" xfId="24118"/>
    <cellStyle name="40% - Accent6 2 3 30" xfId="24119"/>
    <cellStyle name="40% - Accent6 2 3 31" xfId="24120"/>
    <cellStyle name="40% - Accent6 2 3 32" xfId="24121"/>
    <cellStyle name="40% - Accent6 2 3 33" xfId="24122"/>
    <cellStyle name="40% - Accent6 2 3 34" xfId="24123"/>
    <cellStyle name="40% - Accent6 2 3 35" xfId="24124"/>
    <cellStyle name="40% - Accent6 2 3 36" xfId="24125"/>
    <cellStyle name="40% - Accent6 2 3 37" xfId="24126"/>
    <cellStyle name="40% - Accent6 2 3 38" xfId="24127"/>
    <cellStyle name="40% - Accent6 2 3 39" xfId="24128"/>
    <cellStyle name="40% - Accent6 2 3 4" xfId="24129"/>
    <cellStyle name="40% - Accent6 2 3 40" xfId="24130"/>
    <cellStyle name="40% - Accent6 2 3 41" xfId="24131"/>
    <cellStyle name="40% - Accent6 2 3 42" xfId="24132"/>
    <cellStyle name="40% - Accent6 2 3 43" xfId="24133"/>
    <cellStyle name="40% - Accent6 2 3 44" xfId="24134"/>
    <cellStyle name="40% - Accent6 2 3 45" xfId="24135"/>
    <cellStyle name="40% - Accent6 2 3 46" xfId="24136"/>
    <cellStyle name="40% - Accent6 2 3 47" xfId="24137"/>
    <cellStyle name="40% - Accent6 2 3 48" xfId="24138"/>
    <cellStyle name="40% - Accent6 2 3 49" xfId="24139"/>
    <cellStyle name="40% - Accent6 2 3 5" xfId="24140"/>
    <cellStyle name="40% - Accent6 2 3 50" xfId="24141"/>
    <cellStyle name="40% - Accent6 2 3 51" xfId="24142"/>
    <cellStyle name="40% - Accent6 2 3 52" xfId="24143"/>
    <cellStyle name="40% - Accent6 2 3 53" xfId="24144"/>
    <cellStyle name="40% - Accent6 2 3 54" xfId="24145"/>
    <cellStyle name="40% - Accent6 2 3 55" xfId="24146"/>
    <cellStyle name="40% - Accent6 2 3 6" xfId="24147"/>
    <cellStyle name="40% - Accent6 2 3 7" xfId="24148"/>
    <cellStyle name="40% - Accent6 2 3 8" xfId="24149"/>
    <cellStyle name="40% - Accent6 2 3 9" xfId="24150"/>
    <cellStyle name="40% - Accent6 2 4" xfId="24151"/>
    <cellStyle name="40% - Accent6 2 4 2" xfId="24152"/>
    <cellStyle name="40% - Accent6 2 5" xfId="24153"/>
    <cellStyle name="40% - Accent6 2_Asset monitoring board" xfId="24154"/>
    <cellStyle name="40% - Accent6 3" xfId="24155"/>
    <cellStyle name="40% - Accent6 3 2" xfId="24156"/>
    <cellStyle name="40% - Accent6 3 2 10" xfId="24157"/>
    <cellStyle name="40% - Accent6 3 2 11" xfId="24158"/>
    <cellStyle name="40% - Accent6 3 2 12" xfId="24159"/>
    <cellStyle name="40% - Accent6 3 2 13" xfId="24160"/>
    <cellStyle name="40% - Accent6 3 2 14" xfId="24161"/>
    <cellStyle name="40% - Accent6 3 2 15" xfId="24162"/>
    <cellStyle name="40% - Accent6 3 2 16" xfId="24163"/>
    <cellStyle name="40% - Accent6 3 2 17" xfId="24164"/>
    <cellStyle name="40% - Accent6 3 2 18" xfId="24165"/>
    <cellStyle name="40% - Accent6 3 2 19" xfId="24166"/>
    <cellStyle name="40% - Accent6 3 2 2" xfId="24167"/>
    <cellStyle name="40% - Accent6 3 2 2 2" xfId="24168"/>
    <cellStyle name="40% - Accent6 3 2 20" xfId="24169"/>
    <cellStyle name="40% - Accent6 3 2 21" xfId="24170"/>
    <cellStyle name="40% - Accent6 3 2 22" xfId="24171"/>
    <cellStyle name="40% - Accent6 3 2 23" xfId="24172"/>
    <cellStyle name="40% - Accent6 3 2 24" xfId="24173"/>
    <cellStyle name="40% - Accent6 3 2 25" xfId="24174"/>
    <cellStyle name="40% - Accent6 3 2 26" xfId="24175"/>
    <cellStyle name="40% - Accent6 3 2 27" xfId="24176"/>
    <cellStyle name="40% - Accent6 3 2 28" xfId="24177"/>
    <cellStyle name="40% - Accent6 3 2 29" xfId="24178"/>
    <cellStyle name="40% - Accent6 3 2 3" xfId="24179"/>
    <cellStyle name="40% - Accent6 3 2 30" xfId="24180"/>
    <cellStyle name="40% - Accent6 3 2 31" xfId="24181"/>
    <cellStyle name="40% - Accent6 3 2 32" xfId="24182"/>
    <cellStyle name="40% - Accent6 3 2 33" xfId="24183"/>
    <cellStyle name="40% - Accent6 3 2 34" xfId="24184"/>
    <cellStyle name="40% - Accent6 3 2 35" xfId="24185"/>
    <cellStyle name="40% - Accent6 3 2 36" xfId="24186"/>
    <cellStyle name="40% - Accent6 3 2 37" xfId="24187"/>
    <cellStyle name="40% - Accent6 3 2 38" xfId="24188"/>
    <cellStyle name="40% - Accent6 3 2 39" xfId="24189"/>
    <cellStyle name="40% - Accent6 3 2 4" xfId="24190"/>
    <cellStyle name="40% - Accent6 3 2 40" xfId="24191"/>
    <cellStyle name="40% - Accent6 3 2 41" xfId="24192"/>
    <cellStyle name="40% - Accent6 3 2 42" xfId="24193"/>
    <cellStyle name="40% - Accent6 3 2 43" xfId="24194"/>
    <cellStyle name="40% - Accent6 3 2 44" xfId="24195"/>
    <cellStyle name="40% - Accent6 3 2 45" xfId="24196"/>
    <cellStyle name="40% - Accent6 3 2 46" xfId="24197"/>
    <cellStyle name="40% - Accent6 3 2 47" xfId="24198"/>
    <cellStyle name="40% - Accent6 3 2 48" xfId="24199"/>
    <cellStyle name="40% - Accent6 3 2 49" xfId="24200"/>
    <cellStyle name="40% - Accent6 3 2 5" xfId="24201"/>
    <cellStyle name="40% - Accent6 3 2 50" xfId="24202"/>
    <cellStyle name="40% - Accent6 3 2 51" xfId="24203"/>
    <cellStyle name="40% - Accent6 3 2 52" xfId="24204"/>
    <cellStyle name="40% - Accent6 3 2 53" xfId="24205"/>
    <cellStyle name="40% - Accent6 3 2 54" xfId="24206"/>
    <cellStyle name="40% - Accent6 3 2 55" xfId="24207"/>
    <cellStyle name="40% - Accent6 3 2 6" xfId="24208"/>
    <cellStyle name="40% - Accent6 3 2 7" xfId="24209"/>
    <cellStyle name="40% - Accent6 3 2 8" xfId="24210"/>
    <cellStyle name="40% - Accent6 3 2 9" xfId="24211"/>
    <cellStyle name="40% - Accent6 3 3" xfId="24212"/>
    <cellStyle name="40% - Accent6 3 3 10" xfId="24213"/>
    <cellStyle name="40% - Accent6 3 3 11" xfId="24214"/>
    <cellStyle name="40% - Accent6 3 3 12" xfId="24215"/>
    <cellStyle name="40% - Accent6 3 3 13" xfId="24216"/>
    <cellStyle name="40% - Accent6 3 3 14" xfId="24217"/>
    <cellStyle name="40% - Accent6 3 3 15" xfId="24218"/>
    <cellStyle name="40% - Accent6 3 3 16" xfId="24219"/>
    <cellStyle name="40% - Accent6 3 3 17" xfId="24220"/>
    <cellStyle name="40% - Accent6 3 3 18" xfId="24221"/>
    <cellStyle name="40% - Accent6 3 3 19" xfId="24222"/>
    <cellStyle name="40% - Accent6 3 3 2" xfId="24223"/>
    <cellStyle name="40% - Accent6 3 3 2 2" xfId="24224"/>
    <cellStyle name="40% - Accent6 3 3 20" xfId="24225"/>
    <cellStyle name="40% - Accent6 3 3 21" xfId="24226"/>
    <cellStyle name="40% - Accent6 3 3 22" xfId="24227"/>
    <cellStyle name="40% - Accent6 3 3 23" xfId="24228"/>
    <cellStyle name="40% - Accent6 3 3 24" xfId="24229"/>
    <cellStyle name="40% - Accent6 3 3 25" xfId="24230"/>
    <cellStyle name="40% - Accent6 3 3 26" xfId="24231"/>
    <cellStyle name="40% - Accent6 3 3 27" xfId="24232"/>
    <cellStyle name="40% - Accent6 3 3 28" xfId="24233"/>
    <cellStyle name="40% - Accent6 3 3 29" xfId="24234"/>
    <cellStyle name="40% - Accent6 3 3 3" xfId="24235"/>
    <cellStyle name="40% - Accent6 3 3 30" xfId="24236"/>
    <cellStyle name="40% - Accent6 3 3 31" xfId="24237"/>
    <cellStyle name="40% - Accent6 3 3 32" xfId="24238"/>
    <cellStyle name="40% - Accent6 3 3 33" xfId="24239"/>
    <cellStyle name="40% - Accent6 3 3 34" xfId="24240"/>
    <cellStyle name="40% - Accent6 3 3 35" xfId="24241"/>
    <cellStyle name="40% - Accent6 3 3 36" xfId="24242"/>
    <cellStyle name="40% - Accent6 3 3 37" xfId="24243"/>
    <cellStyle name="40% - Accent6 3 3 38" xfId="24244"/>
    <cellStyle name="40% - Accent6 3 3 39" xfId="24245"/>
    <cellStyle name="40% - Accent6 3 3 4" xfId="24246"/>
    <cellStyle name="40% - Accent6 3 3 40" xfId="24247"/>
    <cellStyle name="40% - Accent6 3 3 41" xfId="24248"/>
    <cellStyle name="40% - Accent6 3 3 42" xfId="24249"/>
    <cellStyle name="40% - Accent6 3 3 43" xfId="24250"/>
    <cellStyle name="40% - Accent6 3 3 44" xfId="24251"/>
    <cellStyle name="40% - Accent6 3 3 45" xfId="24252"/>
    <cellStyle name="40% - Accent6 3 3 46" xfId="24253"/>
    <cellStyle name="40% - Accent6 3 3 47" xfId="24254"/>
    <cellStyle name="40% - Accent6 3 3 48" xfId="24255"/>
    <cellStyle name="40% - Accent6 3 3 49" xfId="24256"/>
    <cellStyle name="40% - Accent6 3 3 5" xfId="24257"/>
    <cellStyle name="40% - Accent6 3 3 50" xfId="24258"/>
    <cellStyle name="40% - Accent6 3 3 51" xfId="24259"/>
    <cellStyle name="40% - Accent6 3 3 52" xfId="24260"/>
    <cellStyle name="40% - Accent6 3 3 53" xfId="24261"/>
    <cellStyle name="40% - Accent6 3 3 54" xfId="24262"/>
    <cellStyle name="40% - Accent6 3 3 55" xfId="24263"/>
    <cellStyle name="40% - Accent6 3 3 6" xfId="24264"/>
    <cellStyle name="40% - Accent6 3 3 7" xfId="24265"/>
    <cellStyle name="40% - Accent6 3 3 8" xfId="24266"/>
    <cellStyle name="40% - Accent6 3 3 9" xfId="24267"/>
    <cellStyle name="40% - Accent6 4" xfId="24268"/>
    <cellStyle name="40% - Accent6 4 2" xfId="24269"/>
    <cellStyle name="40% - Accent6 4 2 10" xfId="24270"/>
    <cellStyle name="40% - Accent6 4 2 11" xfId="24271"/>
    <cellStyle name="40% - Accent6 4 2 12" xfId="24272"/>
    <cellStyle name="40% - Accent6 4 2 13" xfId="24273"/>
    <cellStyle name="40% - Accent6 4 2 14" xfId="24274"/>
    <cellStyle name="40% - Accent6 4 2 15" xfId="24275"/>
    <cellStyle name="40% - Accent6 4 2 16" xfId="24276"/>
    <cellStyle name="40% - Accent6 4 2 17" xfId="24277"/>
    <cellStyle name="40% - Accent6 4 2 18" xfId="24278"/>
    <cellStyle name="40% - Accent6 4 2 19" xfId="24279"/>
    <cellStyle name="40% - Accent6 4 2 2" xfId="24280"/>
    <cellStyle name="40% - Accent6 4 2 2 2" xfId="24281"/>
    <cellStyle name="40% - Accent6 4 2 20" xfId="24282"/>
    <cellStyle name="40% - Accent6 4 2 21" xfId="24283"/>
    <cellStyle name="40% - Accent6 4 2 22" xfId="24284"/>
    <cellStyle name="40% - Accent6 4 2 23" xfId="24285"/>
    <cellStyle name="40% - Accent6 4 2 24" xfId="24286"/>
    <cellStyle name="40% - Accent6 4 2 25" xfId="24287"/>
    <cellStyle name="40% - Accent6 4 2 26" xfId="24288"/>
    <cellStyle name="40% - Accent6 4 2 27" xfId="24289"/>
    <cellStyle name="40% - Accent6 4 2 28" xfId="24290"/>
    <cellStyle name="40% - Accent6 4 2 29" xfId="24291"/>
    <cellStyle name="40% - Accent6 4 2 3" xfId="24292"/>
    <cellStyle name="40% - Accent6 4 2 30" xfId="24293"/>
    <cellStyle name="40% - Accent6 4 2 31" xfId="24294"/>
    <cellStyle name="40% - Accent6 4 2 32" xfId="24295"/>
    <cellStyle name="40% - Accent6 4 2 33" xfId="24296"/>
    <cellStyle name="40% - Accent6 4 2 34" xfId="24297"/>
    <cellStyle name="40% - Accent6 4 2 35" xfId="24298"/>
    <cellStyle name="40% - Accent6 4 2 36" xfId="24299"/>
    <cellStyle name="40% - Accent6 4 2 37" xfId="24300"/>
    <cellStyle name="40% - Accent6 4 2 38" xfId="24301"/>
    <cellStyle name="40% - Accent6 4 2 39" xfId="24302"/>
    <cellStyle name="40% - Accent6 4 2 4" xfId="24303"/>
    <cellStyle name="40% - Accent6 4 2 40" xfId="24304"/>
    <cellStyle name="40% - Accent6 4 2 41" xfId="24305"/>
    <cellStyle name="40% - Accent6 4 2 42" xfId="24306"/>
    <cellStyle name="40% - Accent6 4 2 43" xfId="24307"/>
    <cellStyle name="40% - Accent6 4 2 44" xfId="24308"/>
    <cellStyle name="40% - Accent6 4 2 45" xfId="24309"/>
    <cellStyle name="40% - Accent6 4 2 46" xfId="24310"/>
    <cellStyle name="40% - Accent6 4 2 47" xfId="24311"/>
    <cellStyle name="40% - Accent6 4 2 48" xfId="24312"/>
    <cellStyle name="40% - Accent6 4 2 49" xfId="24313"/>
    <cellStyle name="40% - Accent6 4 2 5" xfId="24314"/>
    <cellStyle name="40% - Accent6 4 2 50" xfId="24315"/>
    <cellStyle name="40% - Accent6 4 2 51" xfId="24316"/>
    <cellStyle name="40% - Accent6 4 2 52" xfId="24317"/>
    <cellStyle name="40% - Accent6 4 2 53" xfId="24318"/>
    <cellStyle name="40% - Accent6 4 2 54" xfId="24319"/>
    <cellStyle name="40% - Accent6 4 2 55" xfId="24320"/>
    <cellStyle name="40% - Accent6 4 2 6" xfId="24321"/>
    <cellStyle name="40% - Accent6 4 2 7" xfId="24322"/>
    <cellStyle name="40% - Accent6 4 2 8" xfId="24323"/>
    <cellStyle name="40% - Accent6 4 2 9" xfId="24324"/>
    <cellStyle name="40% - Accent6 4 3" xfId="24325"/>
    <cellStyle name="40% - Accent6 4 3 10" xfId="24326"/>
    <cellStyle name="40% - Accent6 4 3 11" xfId="24327"/>
    <cellStyle name="40% - Accent6 4 3 12" xfId="24328"/>
    <cellStyle name="40% - Accent6 4 3 13" xfId="24329"/>
    <cellStyle name="40% - Accent6 4 3 14" xfId="24330"/>
    <cellStyle name="40% - Accent6 4 3 15" xfId="24331"/>
    <cellStyle name="40% - Accent6 4 3 16" xfId="24332"/>
    <cellStyle name="40% - Accent6 4 3 17" xfId="24333"/>
    <cellStyle name="40% - Accent6 4 3 18" xfId="24334"/>
    <cellStyle name="40% - Accent6 4 3 19" xfId="24335"/>
    <cellStyle name="40% - Accent6 4 3 2" xfId="24336"/>
    <cellStyle name="40% - Accent6 4 3 2 2" xfId="24337"/>
    <cellStyle name="40% - Accent6 4 3 20" xfId="24338"/>
    <cellStyle name="40% - Accent6 4 3 21" xfId="24339"/>
    <cellStyle name="40% - Accent6 4 3 22" xfId="24340"/>
    <cellStyle name="40% - Accent6 4 3 23" xfId="24341"/>
    <cellStyle name="40% - Accent6 4 3 24" xfId="24342"/>
    <cellStyle name="40% - Accent6 4 3 25" xfId="24343"/>
    <cellStyle name="40% - Accent6 4 3 26" xfId="24344"/>
    <cellStyle name="40% - Accent6 4 3 27" xfId="24345"/>
    <cellStyle name="40% - Accent6 4 3 28" xfId="24346"/>
    <cellStyle name="40% - Accent6 4 3 29" xfId="24347"/>
    <cellStyle name="40% - Accent6 4 3 3" xfId="24348"/>
    <cellStyle name="40% - Accent6 4 3 30" xfId="24349"/>
    <cellStyle name="40% - Accent6 4 3 31" xfId="24350"/>
    <cellStyle name="40% - Accent6 4 3 32" xfId="24351"/>
    <cellStyle name="40% - Accent6 4 3 33" xfId="24352"/>
    <cellStyle name="40% - Accent6 4 3 34" xfId="24353"/>
    <cellStyle name="40% - Accent6 4 3 35" xfId="24354"/>
    <cellStyle name="40% - Accent6 4 3 36" xfId="24355"/>
    <cellStyle name="40% - Accent6 4 3 37" xfId="24356"/>
    <cellStyle name="40% - Accent6 4 3 38" xfId="24357"/>
    <cellStyle name="40% - Accent6 4 3 39" xfId="24358"/>
    <cellStyle name="40% - Accent6 4 3 4" xfId="24359"/>
    <cellStyle name="40% - Accent6 4 3 40" xfId="24360"/>
    <cellStyle name="40% - Accent6 4 3 41" xfId="24361"/>
    <cellStyle name="40% - Accent6 4 3 42" xfId="24362"/>
    <cellStyle name="40% - Accent6 4 3 43" xfId="24363"/>
    <cellStyle name="40% - Accent6 4 3 44" xfId="24364"/>
    <cellStyle name="40% - Accent6 4 3 45" xfId="24365"/>
    <cellStyle name="40% - Accent6 4 3 46" xfId="24366"/>
    <cellStyle name="40% - Accent6 4 3 47" xfId="24367"/>
    <cellStyle name="40% - Accent6 4 3 48" xfId="24368"/>
    <cellStyle name="40% - Accent6 4 3 49" xfId="24369"/>
    <cellStyle name="40% - Accent6 4 3 5" xfId="24370"/>
    <cellStyle name="40% - Accent6 4 3 50" xfId="24371"/>
    <cellStyle name="40% - Accent6 4 3 51" xfId="24372"/>
    <cellStyle name="40% - Accent6 4 3 52" xfId="24373"/>
    <cellStyle name="40% - Accent6 4 3 53" xfId="24374"/>
    <cellStyle name="40% - Accent6 4 3 54" xfId="24375"/>
    <cellStyle name="40% - Accent6 4 3 55" xfId="24376"/>
    <cellStyle name="40% - Accent6 4 3 6" xfId="24377"/>
    <cellStyle name="40% - Accent6 4 3 7" xfId="24378"/>
    <cellStyle name="40% - Accent6 4 3 8" xfId="24379"/>
    <cellStyle name="40% - Accent6 4 3 9" xfId="24380"/>
    <cellStyle name="40% - Accent6 4 4" xfId="58369"/>
    <cellStyle name="40% - Accent6 5" xfId="24381"/>
    <cellStyle name="40% - Accent6 5 2" xfId="24382"/>
    <cellStyle name="40% - Accent6 5 2 10" xfId="24383"/>
    <cellStyle name="40% - Accent6 5 2 11" xfId="24384"/>
    <cellStyle name="40% - Accent6 5 2 12" xfId="24385"/>
    <cellStyle name="40% - Accent6 5 2 13" xfId="24386"/>
    <cellStyle name="40% - Accent6 5 2 14" xfId="24387"/>
    <cellStyle name="40% - Accent6 5 2 15" xfId="24388"/>
    <cellStyle name="40% - Accent6 5 2 16" xfId="24389"/>
    <cellStyle name="40% - Accent6 5 2 17" xfId="24390"/>
    <cellStyle name="40% - Accent6 5 2 18" xfId="24391"/>
    <cellStyle name="40% - Accent6 5 2 19" xfId="24392"/>
    <cellStyle name="40% - Accent6 5 2 2" xfId="24393"/>
    <cellStyle name="40% - Accent6 5 2 2 2" xfId="24394"/>
    <cellStyle name="40% - Accent6 5 2 20" xfId="24395"/>
    <cellStyle name="40% - Accent6 5 2 21" xfId="24396"/>
    <cellStyle name="40% - Accent6 5 2 22" xfId="24397"/>
    <cellStyle name="40% - Accent6 5 2 23" xfId="24398"/>
    <cellStyle name="40% - Accent6 5 2 24" xfId="24399"/>
    <cellStyle name="40% - Accent6 5 2 25" xfId="24400"/>
    <cellStyle name="40% - Accent6 5 2 26" xfId="24401"/>
    <cellStyle name="40% - Accent6 5 2 27" xfId="24402"/>
    <cellStyle name="40% - Accent6 5 2 28" xfId="24403"/>
    <cellStyle name="40% - Accent6 5 2 29" xfId="24404"/>
    <cellStyle name="40% - Accent6 5 2 3" xfId="24405"/>
    <cellStyle name="40% - Accent6 5 2 30" xfId="24406"/>
    <cellStyle name="40% - Accent6 5 2 31" xfId="24407"/>
    <cellStyle name="40% - Accent6 5 2 32" xfId="24408"/>
    <cellStyle name="40% - Accent6 5 2 33" xfId="24409"/>
    <cellStyle name="40% - Accent6 5 2 34" xfId="24410"/>
    <cellStyle name="40% - Accent6 5 2 35" xfId="24411"/>
    <cellStyle name="40% - Accent6 5 2 36" xfId="24412"/>
    <cellStyle name="40% - Accent6 5 2 37" xfId="24413"/>
    <cellStyle name="40% - Accent6 5 2 38" xfId="24414"/>
    <cellStyle name="40% - Accent6 5 2 39" xfId="24415"/>
    <cellStyle name="40% - Accent6 5 2 4" xfId="24416"/>
    <cellStyle name="40% - Accent6 5 2 40" xfId="24417"/>
    <cellStyle name="40% - Accent6 5 2 41" xfId="24418"/>
    <cellStyle name="40% - Accent6 5 2 42" xfId="24419"/>
    <cellStyle name="40% - Accent6 5 2 43" xfId="24420"/>
    <cellStyle name="40% - Accent6 5 2 44" xfId="24421"/>
    <cellStyle name="40% - Accent6 5 2 45" xfId="24422"/>
    <cellStyle name="40% - Accent6 5 2 46" xfId="24423"/>
    <cellStyle name="40% - Accent6 5 2 47" xfId="24424"/>
    <cellStyle name="40% - Accent6 5 2 48" xfId="24425"/>
    <cellStyle name="40% - Accent6 5 2 49" xfId="24426"/>
    <cellStyle name="40% - Accent6 5 2 5" xfId="24427"/>
    <cellStyle name="40% - Accent6 5 2 50" xfId="24428"/>
    <cellStyle name="40% - Accent6 5 2 51" xfId="24429"/>
    <cellStyle name="40% - Accent6 5 2 52" xfId="24430"/>
    <cellStyle name="40% - Accent6 5 2 53" xfId="24431"/>
    <cellStyle name="40% - Accent6 5 2 54" xfId="24432"/>
    <cellStyle name="40% - Accent6 5 2 55" xfId="24433"/>
    <cellStyle name="40% - Accent6 5 2 6" xfId="24434"/>
    <cellStyle name="40% - Accent6 5 2 7" xfId="24435"/>
    <cellStyle name="40% - Accent6 5 2 8" xfId="24436"/>
    <cellStyle name="40% - Accent6 5 2 9" xfId="24437"/>
    <cellStyle name="40% - Accent6 5 3" xfId="24438"/>
    <cellStyle name="40% - Accent6 5 3 10" xfId="24439"/>
    <cellStyle name="40% - Accent6 5 3 11" xfId="24440"/>
    <cellStyle name="40% - Accent6 5 3 12" xfId="24441"/>
    <cellStyle name="40% - Accent6 5 3 13" xfId="24442"/>
    <cellStyle name="40% - Accent6 5 3 14" xfId="24443"/>
    <cellStyle name="40% - Accent6 5 3 15" xfId="24444"/>
    <cellStyle name="40% - Accent6 5 3 16" xfId="24445"/>
    <cellStyle name="40% - Accent6 5 3 17" xfId="24446"/>
    <cellStyle name="40% - Accent6 5 3 18" xfId="24447"/>
    <cellStyle name="40% - Accent6 5 3 19" xfId="24448"/>
    <cellStyle name="40% - Accent6 5 3 2" xfId="24449"/>
    <cellStyle name="40% - Accent6 5 3 2 2" xfId="24450"/>
    <cellStyle name="40% - Accent6 5 3 20" xfId="24451"/>
    <cellStyle name="40% - Accent6 5 3 21" xfId="24452"/>
    <cellStyle name="40% - Accent6 5 3 22" xfId="24453"/>
    <cellStyle name="40% - Accent6 5 3 23" xfId="24454"/>
    <cellStyle name="40% - Accent6 5 3 24" xfId="24455"/>
    <cellStyle name="40% - Accent6 5 3 25" xfId="24456"/>
    <cellStyle name="40% - Accent6 5 3 26" xfId="24457"/>
    <cellStyle name="40% - Accent6 5 3 27" xfId="24458"/>
    <cellStyle name="40% - Accent6 5 3 28" xfId="24459"/>
    <cellStyle name="40% - Accent6 5 3 29" xfId="24460"/>
    <cellStyle name="40% - Accent6 5 3 3" xfId="24461"/>
    <cellStyle name="40% - Accent6 5 3 30" xfId="24462"/>
    <cellStyle name="40% - Accent6 5 3 31" xfId="24463"/>
    <cellStyle name="40% - Accent6 5 3 32" xfId="24464"/>
    <cellStyle name="40% - Accent6 5 3 33" xfId="24465"/>
    <cellStyle name="40% - Accent6 5 3 34" xfId="24466"/>
    <cellStyle name="40% - Accent6 5 3 35" xfId="24467"/>
    <cellStyle name="40% - Accent6 5 3 36" xfId="24468"/>
    <cellStyle name="40% - Accent6 5 3 37" xfId="24469"/>
    <cellStyle name="40% - Accent6 5 3 38" xfId="24470"/>
    <cellStyle name="40% - Accent6 5 3 39" xfId="24471"/>
    <cellStyle name="40% - Accent6 5 3 4" xfId="24472"/>
    <cellStyle name="40% - Accent6 5 3 40" xfId="24473"/>
    <cellStyle name="40% - Accent6 5 3 41" xfId="24474"/>
    <cellStyle name="40% - Accent6 5 3 42" xfId="24475"/>
    <cellStyle name="40% - Accent6 5 3 43" xfId="24476"/>
    <cellStyle name="40% - Accent6 5 3 44" xfId="24477"/>
    <cellStyle name="40% - Accent6 5 3 45" xfId="24478"/>
    <cellStyle name="40% - Accent6 5 3 46" xfId="24479"/>
    <cellStyle name="40% - Accent6 5 3 47" xfId="24480"/>
    <cellStyle name="40% - Accent6 5 3 48" xfId="24481"/>
    <cellStyle name="40% - Accent6 5 3 49" xfId="24482"/>
    <cellStyle name="40% - Accent6 5 3 5" xfId="24483"/>
    <cellStyle name="40% - Accent6 5 3 50" xfId="24484"/>
    <cellStyle name="40% - Accent6 5 3 51" xfId="24485"/>
    <cellStyle name="40% - Accent6 5 3 52" xfId="24486"/>
    <cellStyle name="40% - Accent6 5 3 53" xfId="24487"/>
    <cellStyle name="40% - Accent6 5 3 54" xfId="24488"/>
    <cellStyle name="40% - Accent6 5 3 55" xfId="24489"/>
    <cellStyle name="40% - Accent6 5 3 6" xfId="24490"/>
    <cellStyle name="40% - Accent6 5 3 7" xfId="24491"/>
    <cellStyle name="40% - Accent6 5 3 8" xfId="24492"/>
    <cellStyle name="40% - Accent6 5 3 9" xfId="24493"/>
    <cellStyle name="40% - Accent6 6" xfId="24494"/>
    <cellStyle name="40% - Accent6 6 2" xfId="24495"/>
    <cellStyle name="40% - Accent6 6 2 10" xfId="24496"/>
    <cellStyle name="40% - Accent6 6 2 11" xfId="24497"/>
    <cellStyle name="40% - Accent6 6 2 12" xfId="24498"/>
    <cellStyle name="40% - Accent6 6 2 13" xfId="24499"/>
    <cellStyle name="40% - Accent6 6 2 14" xfId="24500"/>
    <cellStyle name="40% - Accent6 6 2 15" xfId="24501"/>
    <cellStyle name="40% - Accent6 6 2 16" xfId="24502"/>
    <cellStyle name="40% - Accent6 6 2 17" xfId="24503"/>
    <cellStyle name="40% - Accent6 6 2 18" xfId="24504"/>
    <cellStyle name="40% - Accent6 6 2 19" xfId="24505"/>
    <cellStyle name="40% - Accent6 6 2 2" xfId="24506"/>
    <cellStyle name="40% - Accent6 6 2 2 2" xfId="24507"/>
    <cellStyle name="40% - Accent6 6 2 20" xfId="24508"/>
    <cellStyle name="40% - Accent6 6 2 21" xfId="24509"/>
    <cellStyle name="40% - Accent6 6 2 22" xfId="24510"/>
    <cellStyle name="40% - Accent6 6 2 23" xfId="24511"/>
    <cellStyle name="40% - Accent6 6 2 24" xfId="24512"/>
    <cellStyle name="40% - Accent6 6 2 25" xfId="24513"/>
    <cellStyle name="40% - Accent6 6 2 26" xfId="24514"/>
    <cellStyle name="40% - Accent6 6 2 27" xfId="24515"/>
    <cellStyle name="40% - Accent6 6 2 28" xfId="24516"/>
    <cellStyle name="40% - Accent6 6 2 29" xfId="24517"/>
    <cellStyle name="40% - Accent6 6 2 3" xfId="24518"/>
    <cellStyle name="40% - Accent6 6 2 30" xfId="24519"/>
    <cellStyle name="40% - Accent6 6 2 31" xfId="24520"/>
    <cellStyle name="40% - Accent6 6 2 32" xfId="24521"/>
    <cellStyle name="40% - Accent6 6 2 33" xfId="24522"/>
    <cellStyle name="40% - Accent6 6 2 34" xfId="24523"/>
    <cellStyle name="40% - Accent6 6 2 35" xfId="24524"/>
    <cellStyle name="40% - Accent6 6 2 36" xfId="24525"/>
    <cellStyle name="40% - Accent6 6 2 37" xfId="24526"/>
    <cellStyle name="40% - Accent6 6 2 38" xfId="24527"/>
    <cellStyle name="40% - Accent6 6 2 39" xfId="24528"/>
    <cellStyle name="40% - Accent6 6 2 4" xfId="24529"/>
    <cellStyle name="40% - Accent6 6 2 40" xfId="24530"/>
    <cellStyle name="40% - Accent6 6 2 41" xfId="24531"/>
    <cellStyle name="40% - Accent6 6 2 42" xfId="24532"/>
    <cellStyle name="40% - Accent6 6 2 43" xfId="24533"/>
    <cellStyle name="40% - Accent6 6 2 44" xfId="24534"/>
    <cellStyle name="40% - Accent6 6 2 45" xfId="24535"/>
    <cellStyle name="40% - Accent6 6 2 46" xfId="24536"/>
    <cellStyle name="40% - Accent6 6 2 47" xfId="24537"/>
    <cellStyle name="40% - Accent6 6 2 48" xfId="24538"/>
    <cellStyle name="40% - Accent6 6 2 49" xfId="24539"/>
    <cellStyle name="40% - Accent6 6 2 5" xfId="24540"/>
    <cellStyle name="40% - Accent6 6 2 50" xfId="24541"/>
    <cellStyle name="40% - Accent6 6 2 51" xfId="24542"/>
    <cellStyle name="40% - Accent6 6 2 52" xfId="24543"/>
    <cellStyle name="40% - Accent6 6 2 53" xfId="24544"/>
    <cellStyle name="40% - Accent6 6 2 54" xfId="24545"/>
    <cellStyle name="40% - Accent6 6 2 55" xfId="24546"/>
    <cellStyle name="40% - Accent6 6 2 6" xfId="24547"/>
    <cellStyle name="40% - Accent6 6 2 7" xfId="24548"/>
    <cellStyle name="40% - Accent6 6 2 8" xfId="24549"/>
    <cellStyle name="40% - Accent6 6 2 9" xfId="24550"/>
    <cellStyle name="40% - Accent6 6 3" xfId="24551"/>
    <cellStyle name="40% - Accent6 6 3 10" xfId="24552"/>
    <cellStyle name="40% - Accent6 6 3 11" xfId="24553"/>
    <cellStyle name="40% - Accent6 6 3 12" xfId="24554"/>
    <cellStyle name="40% - Accent6 6 3 13" xfId="24555"/>
    <cellStyle name="40% - Accent6 6 3 14" xfId="24556"/>
    <cellStyle name="40% - Accent6 6 3 15" xfId="24557"/>
    <cellStyle name="40% - Accent6 6 3 16" xfId="24558"/>
    <cellStyle name="40% - Accent6 6 3 17" xfId="24559"/>
    <cellStyle name="40% - Accent6 6 3 18" xfId="24560"/>
    <cellStyle name="40% - Accent6 6 3 19" xfId="24561"/>
    <cellStyle name="40% - Accent6 6 3 2" xfId="24562"/>
    <cellStyle name="40% - Accent6 6 3 2 2" xfId="24563"/>
    <cellStyle name="40% - Accent6 6 3 20" xfId="24564"/>
    <cellStyle name="40% - Accent6 6 3 21" xfId="24565"/>
    <cellStyle name="40% - Accent6 6 3 22" xfId="24566"/>
    <cellStyle name="40% - Accent6 6 3 23" xfId="24567"/>
    <cellStyle name="40% - Accent6 6 3 24" xfId="24568"/>
    <cellStyle name="40% - Accent6 6 3 25" xfId="24569"/>
    <cellStyle name="40% - Accent6 6 3 26" xfId="24570"/>
    <cellStyle name="40% - Accent6 6 3 27" xfId="24571"/>
    <cellStyle name="40% - Accent6 6 3 28" xfId="24572"/>
    <cellStyle name="40% - Accent6 6 3 29" xfId="24573"/>
    <cellStyle name="40% - Accent6 6 3 3" xfId="24574"/>
    <cellStyle name="40% - Accent6 6 3 30" xfId="24575"/>
    <cellStyle name="40% - Accent6 6 3 31" xfId="24576"/>
    <cellStyle name="40% - Accent6 6 3 32" xfId="24577"/>
    <cellStyle name="40% - Accent6 6 3 33" xfId="24578"/>
    <cellStyle name="40% - Accent6 6 3 34" xfId="24579"/>
    <cellStyle name="40% - Accent6 6 3 35" xfId="24580"/>
    <cellStyle name="40% - Accent6 6 3 36" xfId="24581"/>
    <cellStyle name="40% - Accent6 6 3 37" xfId="24582"/>
    <cellStyle name="40% - Accent6 6 3 38" xfId="24583"/>
    <cellStyle name="40% - Accent6 6 3 39" xfId="24584"/>
    <cellStyle name="40% - Accent6 6 3 4" xfId="24585"/>
    <cellStyle name="40% - Accent6 6 3 40" xfId="24586"/>
    <cellStyle name="40% - Accent6 6 3 41" xfId="24587"/>
    <cellStyle name="40% - Accent6 6 3 42" xfId="24588"/>
    <cellStyle name="40% - Accent6 6 3 43" xfId="24589"/>
    <cellStyle name="40% - Accent6 6 3 44" xfId="24590"/>
    <cellStyle name="40% - Accent6 6 3 45" xfId="24591"/>
    <cellStyle name="40% - Accent6 6 3 46" xfId="24592"/>
    <cellStyle name="40% - Accent6 6 3 47" xfId="24593"/>
    <cellStyle name="40% - Accent6 6 3 48" xfId="24594"/>
    <cellStyle name="40% - Accent6 6 3 49" xfId="24595"/>
    <cellStyle name="40% - Accent6 6 3 5" xfId="24596"/>
    <cellStyle name="40% - Accent6 6 3 50" xfId="24597"/>
    <cellStyle name="40% - Accent6 6 3 51" xfId="24598"/>
    <cellStyle name="40% - Accent6 6 3 52" xfId="24599"/>
    <cellStyle name="40% - Accent6 6 3 53" xfId="24600"/>
    <cellStyle name="40% - Accent6 6 3 54" xfId="24601"/>
    <cellStyle name="40% - Accent6 6 3 55" xfId="24602"/>
    <cellStyle name="40% - Accent6 6 3 6" xfId="24603"/>
    <cellStyle name="40% - Accent6 6 3 7" xfId="24604"/>
    <cellStyle name="40% - Accent6 6 3 8" xfId="24605"/>
    <cellStyle name="40% - Accent6 6 3 9" xfId="24606"/>
    <cellStyle name="40% - Accent6 7" xfId="24607"/>
    <cellStyle name="40% - Accent6 7 2" xfId="24608"/>
    <cellStyle name="40% - Accent6 7 2 10" xfId="24609"/>
    <cellStyle name="40% - Accent6 7 2 11" xfId="24610"/>
    <cellStyle name="40% - Accent6 7 2 12" xfId="24611"/>
    <cellStyle name="40% - Accent6 7 2 13" xfId="24612"/>
    <cellStyle name="40% - Accent6 7 2 14" xfId="24613"/>
    <cellStyle name="40% - Accent6 7 2 15" xfId="24614"/>
    <cellStyle name="40% - Accent6 7 2 16" xfId="24615"/>
    <cellStyle name="40% - Accent6 7 2 17" xfId="24616"/>
    <cellStyle name="40% - Accent6 7 2 18" xfId="24617"/>
    <cellStyle name="40% - Accent6 7 2 19" xfId="24618"/>
    <cellStyle name="40% - Accent6 7 2 2" xfId="24619"/>
    <cellStyle name="40% - Accent6 7 2 2 2" xfId="24620"/>
    <cellStyle name="40% - Accent6 7 2 20" xfId="24621"/>
    <cellStyle name="40% - Accent6 7 2 21" xfId="24622"/>
    <cellStyle name="40% - Accent6 7 2 22" xfId="24623"/>
    <cellStyle name="40% - Accent6 7 2 23" xfId="24624"/>
    <cellStyle name="40% - Accent6 7 2 24" xfId="24625"/>
    <cellStyle name="40% - Accent6 7 2 25" xfId="24626"/>
    <cellStyle name="40% - Accent6 7 2 26" xfId="24627"/>
    <cellStyle name="40% - Accent6 7 2 27" xfId="24628"/>
    <cellStyle name="40% - Accent6 7 2 28" xfId="24629"/>
    <cellStyle name="40% - Accent6 7 2 29" xfId="24630"/>
    <cellStyle name="40% - Accent6 7 2 3" xfId="24631"/>
    <cellStyle name="40% - Accent6 7 2 30" xfId="24632"/>
    <cellStyle name="40% - Accent6 7 2 31" xfId="24633"/>
    <cellStyle name="40% - Accent6 7 2 32" xfId="24634"/>
    <cellStyle name="40% - Accent6 7 2 33" xfId="24635"/>
    <cellStyle name="40% - Accent6 7 2 34" xfId="24636"/>
    <cellStyle name="40% - Accent6 7 2 35" xfId="24637"/>
    <cellStyle name="40% - Accent6 7 2 36" xfId="24638"/>
    <cellStyle name="40% - Accent6 7 2 37" xfId="24639"/>
    <cellStyle name="40% - Accent6 7 2 38" xfId="24640"/>
    <cellStyle name="40% - Accent6 7 2 39" xfId="24641"/>
    <cellStyle name="40% - Accent6 7 2 4" xfId="24642"/>
    <cellStyle name="40% - Accent6 7 2 40" xfId="24643"/>
    <cellStyle name="40% - Accent6 7 2 41" xfId="24644"/>
    <cellStyle name="40% - Accent6 7 2 42" xfId="24645"/>
    <cellStyle name="40% - Accent6 7 2 43" xfId="24646"/>
    <cellStyle name="40% - Accent6 7 2 44" xfId="24647"/>
    <cellStyle name="40% - Accent6 7 2 45" xfId="24648"/>
    <cellStyle name="40% - Accent6 7 2 46" xfId="24649"/>
    <cellStyle name="40% - Accent6 7 2 47" xfId="24650"/>
    <cellStyle name="40% - Accent6 7 2 48" xfId="24651"/>
    <cellStyle name="40% - Accent6 7 2 49" xfId="24652"/>
    <cellStyle name="40% - Accent6 7 2 5" xfId="24653"/>
    <cellStyle name="40% - Accent6 7 2 50" xfId="24654"/>
    <cellStyle name="40% - Accent6 7 2 51" xfId="24655"/>
    <cellStyle name="40% - Accent6 7 2 52" xfId="24656"/>
    <cellStyle name="40% - Accent6 7 2 53" xfId="24657"/>
    <cellStyle name="40% - Accent6 7 2 54" xfId="24658"/>
    <cellStyle name="40% - Accent6 7 2 55" xfId="24659"/>
    <cellStyle name="40% - Accent6 7 2 6" xfId="24660"/>
    <cellStyle name="40% - Accent6 7 2 7" xfId="24661"/>
    <cellStyle name="40% - Accent6 7 2 8" xfId="24662"/>
    <cellStyle name="40% - Accent6 7 2 9" xfId="24663"/>
    <cellStyle name="40% - Accent6 7 3" xfId="24664"/>
    <cellStyle name="40% - Accent6 7 3 10" xfId="24665"/>
    <cellStyle name="40% - Accent6 7 3 11" xfId="24666"/>
    <cellStyle name="40% - Accent6 7 3 12" xfId="24667"/>
    <cellStyle name="40% - Accent6 7 3 13" xfId="24668"/>
    <cellStyle name="40% - Accent6 7 3 14" xfId="24669"/>
    <cellStyle name="40% - Accent6 7 3 15" xfId="24670"/>
    <cellStyle name="40% - Accent6 7 3 16" xfId="24671"/>
    <cellStyle name="40% - Accent6 7 3 17" xfId="24672"/>
    <cellStyle name="40% - Accent6 7 3 18" xfId="24673"/>
    <cellStyle name="40% - Accent6 7 3 19" xfId="24674"/>
    <cellStyle name="40% - Accent6 7 3 2" xfId="24675"/>
    <cellStyle name="40% - Accent6 7 3 2 2" xfId="24676"/>
    <cellStyle name="40% - Accent6 7 3 20" xfId="24677"/>
    <cellStyle name="40% - Accent6 7 3 21" xfId="24678"/>
    <cellStyle name="40% - Accent6 7 3 22" xfId="24679"/>
    <cellStyle name="40% - Accent6 7 3 23" xfId="24680"/>
    <cellStyle name="40% - Accent6 7 3 24" xfId="24681"/>
    <cellStyle name="40% - Accent6 7 3 25" xfId="24682"/>
    <cellStyle name="40% - Accent6 7 3 26" xfId="24683"/>
    <cellStyle name="40% - Accent6 7 3 27" xfId="24684"/>
    <cellStyle name="40% - Accent6 7 3 28" xfId="24685"/>
    <cellStyle name="40% - Accent6 7 3 29" xfId="24686"/>
    <cellStyle name="40% - Accent6 7 3 3" xfId="24687"/>
    <cellStyle name="40% - Accent6 7 3 30" xfId="24688"/>
    <cellStyle name="40% - Accent6 7 3 31" xfId="24689"/>
    <cellStyle name="40% - Accent6 7 3 32" xfId="24690"/>
    <cellStyle name="40% - Accent6 7 3 33" xfId="24691"/>
    <cellStyle name="40% - Accent6 7 3 34" xfId="24692"/>
    <cellStyle name="40% - Accent6 7 3 35" xfId="24693"/>
    <cellStyle name="40% - Accent6 7 3 36" xfId="24694"/>
    <cellStyle name="40% - Accent6 7 3 37" xfId="24695"/>
    <cellStyle name="40% - Accent6 7 3 38" xfId="24696"/>
    <cellStyle name="40% - Accent6 7 3 39" xfId="24697"/>
    <cellStyle name="40% - Accent6 7 3 4" xfId="24698"/>
    <cellStyle name="40% - Accent6 7 3 40" xfId="24699"/>
    <cellStyle name="40% - Accent6 7 3 41" xfId="24700"/>
    <cellStyle name="40% - Accent6 7 3 42" xfId="24701"/>
    <cellStyle name="40% - Accent6 7 3 43" xfId="24702"/>
    <cellStyle name="40% - Accent6 7 3 44" xfId="24703"/>
    <cellStyle name="40% - Accent6 7 3 45" xfId="24704"/>
    <cellStyle name="40% - Accent6 7 3 46" xfId="24705"/>
    <cellStyle name="40% - Accent6 7 3 47" xfId="24706"/>
    <cellStyle name="40% - Accent6 7 3 48" xfId="24707"/>
    <cellStyle name="40% - Accent6 7 3 49" xfId="24708"/>
    <cellStyle name="40% - Accent6 7 3 5" xfId="24709"/>
    <cellStyle name="40% - Accent6 7 3 50" xfId="24710"/>
    <cellStyle name="40% - Accent6 7 3 51" xfId="24711"/>
    <cellStyle name="40% - Accent6 7 3 52" xfId="24712"/>
    <cellStyle name="40% - Accent6 7 3 53" xfId="24713"/>
    <cellStyle name="40% - Accent6 7 3 54" xfId="24714"/>
    <cellStyle name="40% - Accent6 7 3 55" xfId="24715"/>
    <cellStyle name="40% - Accent6 7 3 6" xfId="24716"/>
    <cellStyle name="40% - Accent6 7 3 7" xfId="24717"/>
    <cellStyle name="40% - Accent6 7 3 8" xfId="24718"/>
    <cellStyle name="40% - Accent6 7 3 9" xfId="24719"/>
    <cellStyle name="40% - Accent6 8" xfId="24720"/>
    <cellStyle name="40% - Accent6 8 2" xfId="24721"/>
    <cellStyle name="40% - Accent6 8 2 10" xfId="24722"/>
    <cellStyle name="40% - Accent6 8 2 11" xfId="24723"/>
    <cellStyle name="40% - Accent6 8 2 12" xfId="24724"/>
    <cellStyle name="40% - Accent6 8 2 13" xfId="24725"/>
    <cellStyle name="40% - Accent6 8 2 14" xfId="24726"/>
    <cellStyle name="40% - Accent6 8 2 15" xfId="24727"/>
    <cellStyle name="40% - Accent6 8 2 16" xfId="24728"/>
    <cellStyle name="40% - Accent6 8 2 17" xfId="24729"/>
    <cellStyle name="40% - Accent6 8 2 18" xfId="24730"/>
    <cellStyle name="40% - Accent6 8 2 19" xfId="24731"/>
    <cellStyle name="40% - Accent6 8 2 2" xfId="24732"/>
    <cellStyle name="40% - Accent6 8 2 2 2" xfId="24733"/>
    <cellStyle name="40% - Accent6 8 2 20" xfId="24734"/>
    <cellStyle name="40% - Accent6 8 2 21" xfId="24735"/>
    <cellStyle name="40% - Accent6 8 2 22" xfId="24736"/>
    <cellStyle name="40% - Accent6 8 2 23" xfId="24737"/>
    <cellStyle name="40% - Accent6 8 2 24" xfId="24738"/>
    <cellStyle name="40% - Accent6 8 2 25" xfId="24739"/>
    <cellStyle name="40% - Accent6 8 2 26" xfId="24740"/>
    <cellStyle name="40% - Accent6 8 2 27" xfId="24741"/>
    <cellStyle name="40% - Accent6 8 2 28" xfId="24742"/>
    <cellStyle name="40% - Accent6 8 2 29" xfId="24743"/>
    <cellStyle name="40% - Accent6 8 2 3" xfId="24744"/>
    <cellStyle name="40% - Accent6 8 2 30" xfId="24745"/>
    <cellStyle name="40% - Accent6 8 2 31" xfId="24746"/>
    <cellStyle name="40% - Accent6 8 2 32" xfId="24747"/>
    <cellStyle name="40% - Accent6 8 2 33" xfId="24748"/>
    <cellStyle name="40% - Accent6 8 2 34" xfId="24749"/>
    <cellStyle name="40% - Accent6 8 2 35" xfId="24750"/>
    <cellStyle name="40% - Accent6 8 2 36" xfId="24751"/>
    <cellStyle name="40% - Accent6 8 2 37" xfId="24752"/>
    <cellStyle name="40% - Accent6 8 2 38" xfId="24753"/>
    <cellStyle name="40% - Accent6 8 2 39" xfId="24754"/>
    <cellStyle name="40% - Accent6 8 2 4" xfId="24755"/>
    <cellStyle name="40% - Accent6 8 2 40" xfId="24756"/>
    <cellStyle name="40% - Accent6 8 2 41" xfId="24757"/>
    <cellStyle name="40% - Accent6 8 2 42" xfId="24758"/>
    <cellStyle name="40% - Accent6 8 2 43" xfId="24759"/>
    <cellStyle name="40% - Accent6 8 2 44" xfId="24760"/>
    <cellStyle name="40% - Accent6 8 2 45" xfId="24761"/>
    <cellStyle name="40% - Accent6 8 2 46" xfId="24762"/>
    <cellStyle name="40% - Accent6 8 2 47" xfId="24763"/>
    <cellStyle name="40% - Accent6 8 2 48" xfId="24764"/>
    <cellStyle name="40% - Accent6 8 2 49" xfId="24765"/>
    <cellStyle name="40% - Accent6 8 2 5" xfId="24766"/>
    <cellStyle name="40% - Accent6 8 2 50" xfId="24767"/>
    <cellStyle name="40% - Accent6 8 2 51" xfId="24768"/>
    <cellStyle name="40% - Accent6 8 2 52" xfId="24769"/>
    <cellStyle name="40% - Accent6 8 2 53" xfId="24770"/>
    <cellStyle name="40% - Accent6 8 2 54" xfId="24771"/>
    <cellStyle name="40% - Accent6 8 2 55" xfId="24772"/>
    <cellStyle name="40% - Accent6 8 2 6" xfId="24773"/>
    <cellStyle name="40% - Accent6 8 2 7" xfId="24774"/>
    <cellStyle name="40% - Accent6 8 2 8" xfId="24775"/>
    <cellStyle name="40% - Accent6 8 2 9" xfId="24776"/>
    <cellStyle name="40% - Accent6 8 3" xfId="24777"/>
    <cellStyle name="40% - Accent6 8 3 10" xfId="24778"/>
    <cellStyle name="40% - Accent6 8 3 11" xfId="24779"/>
    <cellStyle name="40% - Accent6 8 3 12" xfId="24780"/>
    <cellStyle name="40% - Accent6 8 3 13" xfId="24781"/>
    <cellStyle name="40% - Accent6 8 3 14" xfId="24782"/>
    <cellStyle name="40% - Accent6 8 3 15" xfId="24783"/>
    <cellStyle name="40% - Accent6 8 3 16" xfId="24784"/>
    <cellStyle name="40% - Accent6 8 3 17" xfId="24785"/>
    <cellStyle name="40% - Accent6 8 3 18" xfId="24786"/>
    <cellStyle name="40% - Accent6 8 3 19" xfId="24787"/>
    <cellStyle name="40% - Accent6 8 3 2" xfId="24788"/>
    <cellStyle name="40% - Accent6 8 3 2 2" xfId="24789"/>
    <cellStyle name="40% - Accent6 8 3 20" xfId="24790"/>
    <cellStyle name="40% - Accent6 8 3 21" xfId="24791"/>
    <cellStyle name="40% - Accent6 8 3 22" xfId="24792"/>
    <cellStyle name="40% - Accent6 8 3 23" xfId="24793"/>
    <cellStyle name="40% - Accent6 8 3 24" xfId="24794"/>
    <cellStyle name="40% - Accent6 8 3 25" xfId="24795"/>
    <cellStyle name="40% - Accent6 8 3 26" xfId="24796"/>
    <cellStyle name="40% - Accent6 8 3 27" xfId="24797"/>
    <cellStyle name="40% - Accent6 8 3 28" xfId="24798"/>
    <cellStyle name="40% - Accent6 8 3 29" xfId="24799"/>
    <cellStyle name="40% - Accent6 8 3 3" xfId="24800"/>
    <cellStyle name="40% - Accent6 8 3 30" xfId="24801"/>
    <cellStyle name="40% - Accent6 8 3 31" xfId="24802"/>
    <cellStyle name="40% - Accent6 8 3 32" xfId="24803"/>
    <cellStyle name="40% - Accent6 8 3 33" xfId="24804"/>
    <cellStyle name="40% - Accent6 8 3 34" xfId="24805"/>
    <cellStyle name="40% - Accent6 8 3 35" xfId="24806"/>
    <cellStyle name="40% - Accent6 8 3 36" xfId="24807"/>
    <cellStyle name="40% - Accent6 8 3 37" xfId="24808"/>
    <cellStyle name="40% - Accent6 8 3 38" xfId="24809"/>
    <cellStyle name="40% - Accent6 8 3 39" xfId="24810"/>
    <cellStyle name="40% - Accent6 8 3 4" xfId="24811"/>
    <cellStyle name="40% - Accent6 8 3 40" xfId="24812"/>
    <cellStyle name="40% - Accent6 8 3 41" xfId="24813"/>
    <cellStyle name="40% - Accent6 8 3 42" xfId="24814"/>
    <cellStyle name="40% - Accent6 8 3 43" xfId="24815"/>
    <cellStyle name="40% - Accent6 8 3 44" xfId="24816"/>
    <cellStyle name="40% - Accent6 8 3 45" xfId="24817"/>
    <cellStyle name="40% - Accent6 8 3 46" xfId="24818"/>
    <cellStyle name="40% - Accent6 8 3 47" xfId="24819"/>
    <cellStyle name="40% - Accent6 8 3 48" xfId="24820"/>
    <cellStyle name="40% - Accent6 8 3 49" xfId="24821"/>
    <cellStyle name="40% - Accent6 8 3 5" xfId="24822"/>
    <cellStyle name="40% - Accent6 8 3 50" xfId="24823"/>
    <cellStyle name="40% - Accent6 8 3 51" xfId="24824"/>
    <cellStyle name="40% - Accent6 8 3 52" xfId="24825"/>
    <cellStyle name="40% - Accent6 8 3 53" xfId="24826"/>
    <cellStyle name="40% - Accent6 8 3 54" xfId="24827"/>
    <cellStyle name="40% - Accent6 8 3 55" xfId="24828"/>
    <cellStyle name="40% - Accent6 8 3 6" xfId="24829"/>
    <cellStyle name="40% - Accent6 8 3 7" xfId="24830"/>
    <cellStyle name="40% - Accent6 8 3 8" xfId="24831"/>
    <cellStyle name="40% - Accent6 8 3 9" xfId="24832"/>
    <cellStyle name="40% - Accent6 9" xfId="24833"/>
    <cellStyle name="40% - Accent6 9 2" xfId="24834"/>
    <cellStyle name="40% - Accent6 9 2 10" xfId="24835"/>
    <cellStyle name="40% - Accent6 9 2 11" xfId="24836"/>
    <cellStyle name="40% - Accent6 9 2 12" xfId="24837"/>
    <cellStyle name="40% - Accent6 9 2 13" xfId="24838"/>
    <cellStyle name="40% - Accent6 9 2 14" xfId="24839"/>
    <cellStyle name="40% - Accent6 9 2 15" xfId="24840"/>
    <cellStyle name="40% - Accent6 9 2 16" xfId="24841"/>
    <cellStyle name="40% - Accent6 9 2 17" xfId="24842"/>
    <cellStyle name="40% - Accent6 9 2 18" xfId="24843"/>
    <cellStyle name="40% - Accent6 9 2 19" xfId="24844"/>
    <cellStyle name="40% - Accent6 9 2 2" xfId="24845"/>
    <cellStyle name="40% - Accent6 9 2 2 2" xfId="24846"/>
    <cellStyle name="40% - Accent6 9 2 20" xfId="24847"/>
    <cellStyle name="40% - Accent6 9 2 21" xfId="24848"/>
    <cellStyle name="40% - Accent6 9 2 22" xfId="24849"/>
    <cellStyle name="40% - Accent6 9 2 23" xfId="24850"/>
    <cellStyle name="40% - Accent6 9 2 24" xfId="24851"/>
    <cellStyle name="40% - Accent6 9 2 25" xfId="24852"/>
    <cellStyle name="40% - Accent6 9 2 26" xfId="24853"/>
    <cellStyle name="40% - Accent6 9 2 27" xfId="24854"/>
    <cellStyle name="40% - Accent6 9 2 28" xfId="24855"/>
    <cellStyle name="40% - Accent6 9 2 29" xfId="24856"/>
    <cellStyle name="40% - Accent6 9 2 3" xfId="24857"/>
    <cellStyle name="40% - Accent6 9 2 30" xfId="24858"/>
    <cellStyle name="40% - Accent6 9 2 31" xfId="24859"/>
    <cellStyle name="40% - Accent6 9 2 32" xfId="24860"/>
    <cellStyle name="40% - Accent6 9 2 33" xfId="24861"/>
    <cellStyle name="40% - Accent6 9 2 34" xfId="24862"/>
    <cellStyle name="40% - Accent6 9 2 35" xfId="24863"/>
    <cellStyle name="40% - Accent6 9 2 36" xfId="24864"/>
    <cellStyle name="40% - Accent6 9 2 37" xfId="24865"/>
    <cellStyle name="40% - Accent6 9 2 38" xfId="24866"/>
    <cellStyle name="40% - Accent6 9 2 39" xfId="24867"/>
    <cellStyle name="40% - Accent6 9 2 4" xfId="24868"/>
    <cellStyle name="40% - Accent6 9 2 40" xfId="24869"/>
    <cellStyle name="40% - Accent6 9 2 41" xfId="24870"/>
    <cellStyle name="40% - Accent6 9 2 42" xfId="24871"/>
    <cellStyle name="40% - Accent6 9 2 43" xfId="24872"/>
    <cellStyle name="40% - Accent6 9 2 44" xfId="24873"/>
    <cellStyle name="40% - Accent6 9 2 45" xfId="24874"/>
    <cellStyle name="40% - Accent6 9 2 46" xfId="24875"/>
    <cellStyle name="40% - Accent6 9 2 47" xfId="24876"/>
    <cellStyle name="40% - Accent6 9 2 48" xfId="24877"/>
    <cellStyle name="40% - Accent6 9 2 49" xfId="24878"/>
    <cellStyle name="40% - Accent6 9 2 5" xfId="24879"/>
    <cellStyle name="40% - Accent6 9 2 50" xfId="24880"/>
    <cellStyle name="40% - Accent6 9 2 51" xfId="24881"/>
    <cellStyle name="40% - Accent6 9 2 52" xfId="24882"/>
    <cellStyle name="40% - Accent6 9 2 53" xfId="24883"/>
    <cellStyle name="40% - Accent6 9 2 54" xfId="24884"/>
    <cellStyle name="40% - Accent6 9 2 55" xfId="24885"/>
    <cellStyle name="40% - Accent6 9 2 6" xfId="24886"/>
    <cellStyle name="40% - Accent6 9 2 7" xfId="24887"/>
    <cellStyle name="40% - Accent6 9 2 8" xfId="24888"/>
    <cellStyle name="40% - Accent6 9 2 9" xfId="24889"/>
    <cellStyle name="40% - Accent6 9 3" xfId="24890"/>
    <cellStyle name="40% - Accent6 9 3 10" xfId="24891"/>
    <cellStyle name="40% - Accent6 9 3 11" xfId="24892"/>
    <cellStyle name="40% - Accent6 9 3 12" xfId="24893"/>
    <cellStyle name="40% - Accent6 9 3 13" xfId="24894"/>
    <cellStyle name="40% - Accent6 9 3 14" xfId="24895"/>
    <cellStyle name="40% - Accent6 9 3 15" xfId="24896"/>
    <cellStyle name="40% - Accent6 9 3 16" xfId="24897"/>
    <cellStyle name="40% - Accent6 9 3 17" xfId="24898"/>
    <cellStyle name="40% - Accent6 9 3 18" xfId="24899"/>
    <cellStyle name="40% - Accent6 9 3 19" xfId="24900"/>
    <cellStyle name="40% - Accent6 9 3 2" xfId="24901"/>
    <cellStyle name="40% - Accent6 9 3 2 2" xfId="24902"/>
    <cellStyle name="40% - Accent6 9 3 20" xfId="24903"/>
    <cellStyle name="40% - Accent6 9 3 21" xfId="24904"/>
    <cellStyle name="40% - Accent6 9 3 22" xfId="24905"/>
    <cellStyle name="40% - Accent6 9 3 23" xfId="24906"/>
    <cellStyle name="40% - Accent6 9 3 24" xfId="24907"/>
    <cellStyle name="40% - Accent6 9 3 25" xfId="24908"/>
    <cellStyle name="40% - Accent6 9 3 26" xfId="24909"/>
    <cellStyle name="40% - Accent6 9 3 27" xfId="24910"/>
    <cellStyle name="40% - Accent6 9 3 28" xfId="24911"/>
    <cellStyle name="40% - Accent6 9 3 29" xfId="24912"/>
    <cellStyle name="40% - Accent6 9 3 3" xfId="24913"/>
    <cellStyle name="40% - Accent6 9 3 30" xfId="24914"/>
    <cellStyle name="40% - Accent6 9 3 31" xfId="24915"/>
    <cellStyle name="40% - Accent6 9 3 32" xfId="24916"/>
    <cellStyle name="40% - Accent6 9 3 33" xfId="24917"/>
    <cellStyle name="40% - Accent6 9 3 34" xfId="24918"/>
    <cellStyle name="40% - Accent6 9 3 35" xfId="24919"/>
    <cellStyle name="40% - Accent6 9 3 36" xfId="24920"/>
    <cellStyle name="40% - Accent6 9 3 37" xfId="24921"/>
    <cellStyle name="40% - Accent6 9 3 38" xfId="24922"/>
    <cellStyle name="40% - Accent6 9 3 39" xfId="24923"/>
    <cellStyle name="40% - Accent6 9 3 4" xfId="24924"/>
    <cellStyle name="40% - Accent6 9 3 40" xfId="24925"/>
    <cellStyle name="40% - Accent6 9 3 41" xfId="24926"/>
    <cellStyle name="40% - Accent6 9 3 42" xfId="24927"/>
    <cellStyle name="40% - Accent6 9 3 43" xfId="24928"/>
    <cellStyle name="40% - Accent6 9 3 44" xfId="24929"/>
    <cellStyle name="40% - Accent6 9 3 45" xfId="24930"/>
    <cellStyle name="40% - Accent6 9 3 46" xfId="24931"/>
    <cellStyle name="40% - Accent6 9 3 47" xfId="24932"/>
    <cellStyle name="40% - Accent6 9 3 48" xfId="24933"/>
    <cellStyle name="40% - Accent6 9 3 49" xfId="24934"/>
    <cellStyle name="40% - Accent6 9 3 5" xfId="24935"/>
    <cellStyle name="40% - Accent6 9 3 50" xfId="24936"/>
    <cellStyle name="40% - Accent6 9 3 51" xfId="24937"/>
    <cellStyle name="40% - Accent6 9 3 52" xfId="24938"/>
    <cellStyle name="40% - Accent6 9 3 53" xfId="24939"/>
    <cellStyle name="40% - Accent6 9 3 54" xfId="24940"/>
    <cellStyle name="40% - Accent6 9 3 55" xfId="24941"/>
    <cellStyle name="40% - Accent6 9 3 6" xfId="24942"/>
    <cellStyle name="40% - Accent6 9 3 7" xfId="24943"/>
    <cellStyle name="40% - Accent6 9 3 8" xfId="24944"/>
    <cellStyle name="40% - Accent6 9 3 9" xfId="24945"/>
    <cellStyle name="40% - Akzent1" xfId="24946"/>
    <cellStyle name="40% - Akzent2" xfId="24947"/>
    <cellStyle name="40% - Akzent3" xfId="24948"/>
    <cellStyle name="40% - Akzent4" xfId="24949"/>
    <cellStyle name="40% - Akzent5" xfId="24950"/>
    <cellStyle name="40% - Akzent6" xfId="24951"/>
    <cellStyle name="40% - アクセント 1" xfId="24952"/>
    <cellStyle name="40% - アクセント 2" xfId="24953"/>
    <cellStyle name="40% - アクセント 3" xfId="24954"/>
    <cellStyle name="40% - アクセント 4" xfId="24955"/>
    <cellStyle name="40% - アクセント 5" xfId="24956"/>
    <cellStyle name="40% - アクセント 6" xfId="24957"/>
    <cellStyle name="60% - Accent1 10" xfId="24958"/>
    <cellStyle name="60% - Accent1 10 2" xfId="24959"/>
    <cellStyle name="60% - Accent1 10 3" xfId="24960"/>
    <cellStyle name="60% - Accent1 11" xfId="24961"/>
    <cellStyle name="60% - Accent1 11 2" xfId="24962"/>
    <cellStyle name="60% - Accent1 11 3" xfId="24963"/>
    <cellStyle name="60% - Accent1 12" xfId="24964"/>
    <cellStyle name="60% - Accent1 12 2" xfId="24965"/>
    <cellStyle name="60% - Accent1 12 3" xfId="24966"/>
    <cellStyle name="60% - Accent1 13" xfId="24967"/>
    <cellStyle name="60% - Accent1 13 2" xfId="24968"/>
    <cellStyle name="60% - Accent1 13 3" xfId="24969"/>
    <cellStyle name="60% - Accent1 14" xfId="24970"/>
    <cellStyle name="60% - Accent1 14 2" xfId="24971"/>
    <cellStyle name="60% - Accent1 14 3" xfId="24972"/>
    <cellStyle name="60% - Accent1 15" xfId="24973"/>
    <cellStyle name="60% - Accent1 15 2" xfId="24974"/>
    <cellStyle name="60% - Accent1 15 3" xfId="24975"/>
    <cellStyle name="60% - Accent1 16" xfId="24976"/>
    <cellStyle name="60% - Accent1 16 2" xfId="24977"/>
    <cellStyle name="60% - Accent1 16 3" xfId="24978"/>
    <cellStyle name="60% - Accent1 17" xfId="24979"/>
    <cellStyle name="60% - Accent1 17 2" xfId="24980"/>
    <cellStyle name="60% - Accent1 17 3" xfId="24981"/>
    <cellStyle name="60% - Accent1 18" xfId="24982"/>
    <cellStyle name="60% - Accent1 18 2" xfId="24983"/>
    <cellStyle name="60% - Accent1 18 3" xfId="24984"/>
    <cellStyle name="60% - Accent1 19" xfId="24985"/>
    <cellStyle name="60% - Accent1 2" xfId="24986"/>
    <cellStyle name="60% - Accent1 2 2" xfId="24987"/>
    <cellStyle name="60% - Accent1 2 2 2" xfId="24988"/>
    <cellStyle name="60% - Accent1 2 2 2 2" xfId="24989"/>
    <cellStyle name="60% - Accent1 2 2 2_PM Okt 2014 Plan VS Actual Planning Workshop" xfId="24990"/>
    <cellStyle name="60% - Accent1 2 2 3" xfId="24991"/>
    <cellStyle name="60% - Accent1 2 3" xfId="24992"/>
    <cellStyle name="60% - Accent1 2 3 2" xfId="24993"/>
    <cellStyle name="60% - Accent1 2 3 2 2" xfId="24994"/>
    <cellStyle name="60% - Accent1 2 3 2_PM Okt 2014 Plan VS Actual Planning Workshop" xfId="24995"/>
    <cellStyle name="60% - Accent1 2 3 3" xfId="24996"/>
    <cellStyle name="60% - Accent1 2 4" xfId="24997"/>
    <cellStyle name="60% - Accent1 2 4 2" xfId="24998"/>
    <cellStyle name="60% - Accent1 2 5" xfId="24999"/>
    <cellStyle name="60% - Accent1 2_Copy of PREPAID INSURANCE - ASSETS (deni)" xfId="25000"/>
    <cellStyle name="60% - Accent1 3" xfId="25001"/>
    <cellStyle name="60% - Accent1 3 2" xfId="25002"/>
    <cellStyle name="60% - Accent1 3 3" xfId="25003"/>
    <cellStyle name="60% - Accent1 4" xfId="25004"/>
    <cellStyle name="60% - Accent1 4 2" xfId="25005"/>
    <cellStyle name="60% - Accent1 4 3" xfId="25006"/>
    <cellStyle name="60% - Accent1 4 4" xfId="58370"/>
    <cellStyle name="60% - Accent1 5" xfId="25007"/>
    <cellStyle name="60% - Accent1 5 2" xfId="25008"/>
    <cellStyle name="60% - Accent1 5 3" xfId="25009"/>
    <cellStyle name="60% - Accent1 6" xfId="25010"/>
    <cellStyle name="60% - Accent1 6 2" xfId="25011"/>
    <cellStyle name="60% - Accent1 6 3" xfId="25012"/>
    <cellStyle name="60% - Accent1 7" xfId="25013"/>
    <cellStyle name="60% - Accent1 7 2" xfId="25014"/>
    <cellStyle name="60% - Accent1 7 3" xfId="25015"/>
    <cellStyle name="60% - Accent1 8" xfId="25016"/>
    <cellStyle name="60% - Accent1 8 2" xfId="25017"/>
    <cellStyle name="60% - Accent1 8 3" xfId="25018"/>
    <cellStyle name="60% - Accent1 9" xfId="25019"/>
    <cellStyle name="60% - Accent1 9 2" xfId="25020"/>
    <cellStyle name="60% - Accent1 9 3" xfId="25021"/>
    <cellStyle name="60% - Accent2 10" xfId="25022"/>
    <cellStyle name="60% - Accent2 10 2" xfId="25023"/>
    <cellStyle name="60% - Accent2 10 3" xfId="25024"/>
    <cellStyle name="60% - Accent2 11" xfId="25025"/>
    <cellStyle name="60% - Accent2 11 2" xfId="25026"/>
    <cellStyle name="60% - Accent2 11 3" xfId="25027"/>
    <cellStyle name="60% - Accent2 12" xfId="25028"/>
    <cellStyle name="60% - Accent2 12 2" xfId="25029"/>
    <cellStyle name="60% - Accent2 12 3" xfId="25030"/>
    <cellStyle name="60% - Accent2 13" xfId="25031"/>
    <cellStyle name="60% - Accent2 13 2" xfId="25032"/>
    <cellStyle name="60% - Accent2 13 3" xfId="25033"/>
    <cellStyle name="60% - Accent2 14" xfId="25034"/>
    <cellStyle name="60% - Accent2 14 2" xfId="25035"/>
    <cellStyle name="60% - Accent2 14 3" xfId="25036"/>
    <cellStyle name="60% - Accent2 15" xfId="25037"/>
    <cellStyle name="60% - Accent2 15 2" xfId="25038"/>
    <cellStyle name="60% - Accent2 15 3" xfId="25039"/>
    <cellStyle name="60% - Accent2 16" xfId="25040"/>
    <cellStyle name="60% - Accent2 16 2" xfId="25041"/>
    <cellStyle name="60% - Accent2 16 3" xfId="25042"/>
    <cellStyle name="60% - Accent2 17" xfId="25043"/>
    <cellStyle name="60% - Accent2 17 2" xfId="25044"/>
    <cellStyle name="60% - Accent2 17 3" xfId="25045"/>
    <cellStyle name="60% - Accent2 18" xfId="25046"/>
    <cellStyle name="60% - Accent2 18 2" xfId="25047"/>
    <cellStyle name="60% - Accent2 18 3" xfId="25048"/>
    <cellStyle name="60% - Accent2 19" xfId="25049"/>
    <cellStyle name="60% - Accent2 2" xfId="25050"/>
    <cellStyle name="60% - Accent2 2 2" xfId="25051"/>
    <cellStyle name="60% - Accent2 2 2 2" xfId="25052"/>
    <cellStyle name="60% - Accent2 2 2 2 2" xfId="25053"/>
    <cellStyle name="60% - Accent2 2 2 2_PM Okt 2014 Plan VS Actual Planning Workshop" xfId="25054"/>
    <cellStyle name="60% - Accent2 2 2 3" xfId="25055"/>
    <cellStyle name="60% - Accent2 2 3" xfId="25056"/>
    <cellStyle name="60% - Accent2 2 3 2" xfId="25057"/>
    <cellStyle name="60% - Accent2 2 3 2 2" xfId="25058"/>
    <cellStyle name="60% - Accent2 2 3 2_PM Okt 2014 Plan VS Actual Planning Workshop" xfId="25059"/>
    <cellStyle name="60% - Accent2 2 3 3" xfId="25060"/>
    <cellStyle name="60% - Accent2 2 4" xfId="25061"/>
    <cellStyle name="60% - Accent2 2 4 2" xfId="25062"/>
    <cellStyle name="60% - Accent2 2 5" xfId="25063"/>
    <cellStyle name="60% - Accent2 2_Copy of PREPAID INSURANCE - ASSETS (deni)" xfId="25064"/>
    <cellStyle name="60% - Accent2 3" xfId="25065"/>
    <cellStyle name="60% - Accent2 3 2" xfId="25066"/>
    <cellStyle name="60% - Accent2 3 3" xfId="25067"/>
    <cellStyle name="60% - Accent2 4" xfId="25068"/>
    <cellStyle name="60% - Accent2 4 2" xfId="25069"/>
    <cellStyle name="60% - Accent2 4 3" xfId="25070"/>
    <cellStyle name="60% - Accent2 4 4" xfId="58371"/>
    <cellStyle name="60% - Accent2 5" xfId="25071"/>
    <cellStyle name="60% - Accent2 5 2" xfId="25072"/>
    <cellStyle name="60% - Accent2 5 3" xfId="25073"/>
    <cellStyle name="60% - Accent2 6" xfId="25074"/>
    <cellStyle name="60% - Accent2 6 2" xfId="25075"/>
    <cellStyle name="60% - Accent2 6 3" xfId="25076"/>
    <cellStyle name="60% - Accent2 7" xfId="25077"/>
    <cellStyle name="60% - Accent2 7 2" xfId="25078"/>
    <cellStyle name="60% - Accent2 7 3" xfId="25079"/>
    <cellStyle name="60% - Accent2 8" xfId="25080"/>
    <cellStyle name="60% - Accent2 8 2" xfId="25081"/>
    <cellStyle name="60% - Accent2 8 3" xfId="25082"/>
    <cellStyle name="60% - Accent2 9" xfId="25083"/>
    <cellStyle name="60% - Accent2 9 2" xfId="25084"/>
    <cellStyle name="60% - Accent2 9 3" xfId="25085"/>
    <cellStyle name="60% - Accent3 10" xfId="25086"/>
    <cellStyle name="60% - Accent3 10 2" xfId="25087"/>
    <cellStyle name="60% - Accent3 10 3" xfId="25088"/>
    <cellStyle name="60% - Accent3 11" xfId="25089"/>
    <cellStyle name="60% - Accent3 11 2" xfId="25090"/>
    <cellStyle name="60% - Accent3 11 3" xfId="25091"/>
    <cellStyle name="60% - Accent3 12" xfId="25092"/>
    <cellStyle name="60% - Accent3 12 2" xfId="25093"/>
    <cellStyle name="60% - Accent3 12 3" xfId="25094"/>
    <cellStyle name="60% - Accent3 13" xfId="25095"/>
    <cellStyle name="60% - Accent3 13 2" xfId="25096"/>
    <cellStyle name="60% - Accent3 13 3" xfId="25097"/>
    <cellStyle name="60% - Accent3 14" xfId="25098"/>
    <cellStyle name="60% - Accent3 14 2" xfId="25099"/>
    <cellStyle name="60% - Accent3 14 3" xfId="25100"/>
    <cellStyle name="60% - Accent3 15" xfId="25101"/>
    <cellStyle name="60% - Accent3 15 2" xfId="25102"/>
    <cellStyle name="60% - Accent3 15 3" xfId="25103"/>
    <cellStyle name="60% - Accent3 16" xfId="25104"/>
    <cellStyle name="60% - Accent3 16 2" xfId="25105"/>
    <cellStyle name="60% - Accent3 16 3" xfId="25106"/>
    <cellStyle name="60% - Accent3 17" xfId="25107"/>
    <cellStyle name="60% - Accent3 17 2" xfId="25108"/>
    <cellStyle name="60% - Accent3 17 3" xfId="25109"/>
    <cellStyle name="60% - Accent3 18" xfId="25110"/>
    <cellStyle name="60% - Accent3 18 2" xfId="25111"/>
    <cellStyle name="60% - Accent3 18 3" xfId="25112"/>
    <cellStyle name="60% - Accent3 19" xfId="25113"/>
    <cellStyle name="60% - Accent3 2" xfId="25114"/>
    <cellStyle name="60% - Accent3 2 2" xfId="25115"/>
    <cellStyle name="60% - Accent3 2 2 2" xfId="25116"/>
    <cellStyle name="60% - Accent3 2 2 2 2" xfId="25117"/>
    <cellStyle name="60% - Accent3 2 2 2_PM Okt 2014 Plan VS Actual Planning Workshop" xfId="25118"/>
    <cellStyle name="60% - Accent3 2 2 3" xfId="25119"/>
    <cellStyle name="60% - Accent3 2 3" xfId="25120"/>
    <cellStyle name="60% - Accent3 2 3 2" xfId="25121"/>
    <cellStyle name="60% - Accent3 2 3 2 2" xfId="25122"/>
    <cellStyle name="60% - Accent3 2 3 2_PM Okt 2014 Plan VS Actual Planning Workshop" xfId="25123"/>
    <cellStyle name="60% - Accent3 2 3 3" xfId="25124"/>
    <cellStyle name="60% - Accent3 2 4" xfId="25125"/>
    <cellStyle name="60% - Accent3 2 4 2" xfId="25126"/>
    <cellStyle name="60% - Accent3 2 5" xfId="25127"/>
    <cellStyle name="60% - Accent3 2_Copy of PREPAID INSURANCE - ASSETS (deni)" xfId="25128"/>
    <cellStyle name="60% - Accent3 3" xfId="25129"/>
    <cellStyle name="60% - Accent3 3 2" xfId="25130"/>
    <cellStyle name="60% - Accent3 3 3" xfId="25131"/>
    <cellStyle name="60% - Accent3 4" xfId="25132"/>
    <cellStyle name="60% - Accent3 4 2" xfId="25133"/>
    <cellStyle name="60% - Accent3 4 3" xfId="25134"/>
    <cellStyle name="60% - Accent3 4 4" xfId="58372"/>
    <cellStyle name="60% - Accent3 5" xfId="25135"/>
    <cellStyle name="60% - Accent3 5 2" xfId="25136"/>
    <cellStyle name="60% - Accent3 5 3" xfId="25137"/>
    <cellStyle name="60% - Accent3 6" xfId="25138"/>
    <cellStyle name="60% - Accent3 6 2" xfId="25139"/>
    <cellStyle name="60% - Accent3 6 3" xfId="25140"/>
    <cellStyle name="60% - Accent3 7" xfId="25141"/>
    <cellStyle name="60% - Accent3 7 2" xfId="25142"/>
    <cellStyle name="60% - Accent3 7 3" xfId="25143"/>
    <cellStyle name="60% - Accent3 8" xfId="25144"/>
    <cellStyle name="60% - Accent3 8 2" xfId="25145"/>
    <cellStyle name="60% - Accent3 8 3" xfId="25146"/>
    <cellStyle name="60% - Accent3 9" xfId="25147"/>
    <cellStyle name="60% - Accent3 9 2" xfId="25148"/>
    <cellStyle name="60% - Accent3 9 3" xfId="25149"/>
    <cellStyle name="60% - Accent4 10" xfId="25150"/>
    <cellStyle name="60% - Accent4 10 2" xfId="25151"/>
    <cellStyle name="60% - Accent4 10 3" xfId="25152"/>
    <cellStyle name="60% - Accent4 11" xfId="25153"/>
    <cellStyle name="60% - Accent4 11 2" xfId="25154"/>
    <cellStyle name="60% - Accent4 11 3" xfId="25155"/>
    <cellStyle name="60% - Accent4 12" xfId="25156"/>
    <cellStyle name="60% - Accent4 12 2" xfId="25157"/>
    <cellStyle name="60% - Accent4 12 3" xfId="25158"/>
    <cellStyle name="60% - Accent4 13" xfId="25159"/>
    <cellStyle name="60% - Accent4 13 2" xfId="25160"/>
    <cellStyle name="60% - Accent4 13 3" xfId="25161"/>
    <cellStyle name="60% - Accent4 14" xfId="25162"/>
    <cellStyle name="60% - Accent4 14 2" xfId="25163"/>
    <cellStyle name="60% - Accent4 14 3" xfId="25164"/>
    <cellStyle name="60% - Accent4 15" xfId="25165"/>
    <cellStyle name="60% - Accent4 15 2" xfId="25166"/>
    <cellStyle name="60% - Accent4 15 3" xfId="25167"/>
    <cellStyle name="60% - Accent4 16" xfId="25168"/>
    <cellStyle name="60% - Accent4 16 2" xfId="25169"/>
    <cellStyle name="60% - Accent4 16 3" xfId="25170"/>
    <cellStyle name="60% - Accent4 17" xfId="25171"/>
    <cellStyle name="60% - Accent4 17 2" xfId="25172"/>
    <cellStyle name="60% - Accent4 17 3" xfId="25173"/>
    <cellStyle name="60% - Accent4 18" xfId="25174"/>
    <cellStyle name="60% - Accent4 18 2" xfId="25175"/>
    <cellStyle name="60% - Accent4 18 3" xfId="25176"/>
    <cellStyle name="60% - Accent4 19" xfId="25177"/>
    <cellStyle name="60% - Accent4 2" xfId="25178"/>
    <cellStyle name="60% - Accent4 2 2" xfId="25179"/>
    <cellStyle name="60% - Accent4 2 2 2" xfId="25180"/>
    <cellStyle name="60% - Accent4 2 2 2 2" xfId="25181"/>
    <cellStyle name="60% - Accent4 2 2 2_PM Okt 2014 Plan VS Actual Planning Workshop" xfId="25182"/>
    <cellStyle name="60% - Accent4 2 2 3" xfId="25183"/>
    <cellStyle name="60% - Accent4 2 3" xfId="25184"/>
    <cellStyle name="60% - Accent4 2 3 2" xfId="25185"/>
    <cellStyle name="60% - Accent4 2 3 2 2" xfId="25186"/>
    <cellStyle name="60% - Accent4 2 3 2_PM Okt 2014 Plan VS Actual Planning Workshop" xfId="25187"/>
    <cellStyle name="60% - Accent4 2 3 3" xfId="25188"/>
    <cellStyle name="60% - Accent4 2 4" xfId="25189"/>
    <cellStyle name="60% - Accent4 2 4 2" xfId="25190"/>
    <cellStyle name="60% - Accent4 2 5" xfId="25191"/>
    <cellStyle name="60% - Accent4 2_Copy of PREPAID INSURANCE - ASSETS (deni)" xfId="25192"/>
    <cellStyle name="60% - Accent4 3" xfId="25193"/>
    <cellStyle name="60% - Accent4 3 2" xfId="25194"/>
    <cellStyle name="60% - Accent4 3 3" xfId="25195"/>
    <cellStyle name="60% - Accent4 4" xfId="25196"/>
    <cellStyle name="60% - Accent4 4 2" xfId="25197"/>
    <cellStyle name="60% - Accent4 4 3" xfId="25198"/>
    <cellStyle name="60% - Accent4 4 4" xfId="58373"/>
    <cellStyle name="60% - Accent4 5" xfId="25199"/>
    <cellStyle name="60% - Accent4 5 2" xfId="25200"/>
    <cellStyle name="60% - Accent4 5 3" xfId="25201"/>
    <cellStyle name="60% - Accent4 6" xfId="25202"/>
    <cellStyle name="60% - Accent4 6 2" xfId="25203"/>
    <cellStyle name="60% - Accent4 6 3" xfId="25204"/>
    <cellStyle name="60% - Accent4 7" xfId="25205"/>
    <cellStyle name="60% - Accent4 7 2" xfId="25206"/>
    <cellStyle name="60% - Accent4 7 3" xfId="25207"/>
    <cellStyle name="60% - Accent4 8" xfId="25208"/>
    <cellStyle name="60% - Accent4 8 2" xfId="25209"/>
    <cellStyle name="60% - Accent4 8 3" xfId="25210"/>
    <cellStyle name="60% - Accent4 9" xfId="25211"/>
    <cellStyle name="60% - Accent4 9 2" xfId="25212"/>
    <cellStyle name="60% - Accent4 9 3" xfId="25213"/>
    <cellStyle name="60% - Accent5 10" xfId="25214"/>
    <cellStyle name="60% - Accent5 10 2" xfId="25215"/>
    <cellStyle name="60% - Accent5 10 3" xfId="25216"/>
    <cellStyle name="60% - Accent5 11" xfId="25217"/>
    <cellStyle name="60% - Accent5 11 2" xfId="25218"/>
    <cellStyle name="60% - Accent5 11 3" xfId="25219"/>
    <cellStyle name="60% - Accent5 12" xfId="25220"/>
    <cellStyle name="60% - Accent5 12 2" xfId="25221"/>
    <cellStyle name="60% - Accent5 12 3" xfId="25222"/>
    <cellStyle name="60% - Accent5 13" xfId="25223"/>
    <cellStyle name="60% - Accent5 13 2" xfId="25224"/>
    <cellStyle name="60% - Accent5 13 3" xfId="25225"/>
    <cellStyle name="60% - Accent5 14" xfId="25226"/>
    <cellStyle name="60% - Accent5 14 2" xfId="25227"/>
    <cellStyle name="60% - Accent5 14 3" xfId="25228"/>
    <cellStyle name="60% - Accent5 15" xfId="25229"/>
    <cellStyle name="60% - Accent5 15 2" xfId="25230"/>
    <cellStyle name="60% - Accent5 15 3" xfId="25231"/>
    <cellStyle name="60% - Accent5 16" xfId="25232"/>
    <cellStyle name="60% - Accent5 16 2" xfId="25233"/>
    <cellStyle name="60% - Accent5 16 3" xfId="25234"/>
    <cellStyle name="60% - Accent5 17" xfId="25235"/>
    <cellStyle name="60% - Accent5 17 2" xfId="25236"/>
    <cellStyle name="60% - Accent5 17 3" xfId="25237"/>
    <cellStyle name="60% - Accent5 18" xfId="25238"/>
    <cellStyle name="60% - Accent5 18 2" xfId="25239"/>
    <cellStyle name="60% - Accent5 18 3" xfId="25240"/>
    <cellStyle name="60% - Accent5 19" xfId="25241"/>
    <cellStyle name="60% - Accent5 2" xfId="25242"/>
    <cellStyle name="60% - Accent5 2 2" xfId="25243"/>
    <cellStyle name="60% - Accent5 2 2 2" xfId="25244"/>
    <cellStyle name="60% - Accent5 2 2 2 2" xfId="25245"/>
    <cellStyle name="60% - Accent5 2 2 2_PM Okt 2014 Plan VS Actual Planning Workshop" xfId="25246"/>
    <cellStyle name="60% - Accent5 2 2 3" xfId="25247"/>
    <cellStyle name="60% - Accent5 2 3" xfId="25248"/>
    <cellStyle name="60% - Accent5 2 3 2" xfId="25249"/>
    <cellStyle name="60% - Accent5 2 3 2 2" xfId="25250"/>
    <cellStyle name="60% - Accent5 2 3 2_PM Okt 2014 Plan VS Actual Planning Workshop" xfId="25251"/>
    <cellStyle name="60% - Accent5 2 3 3" xfId="25252"/>
    <cellStyle name="60% - Accent5 2 4" xfId="25253"/>
    <cellStyle name="60% - Accent5 2 4 2" xfId="25254"/>
    <cellStyle name="60% - Accent5 2 5" xfId="25255"/>
    <cellStyle name="60% - Accent5 2_Copy of PREPAID INSURANCE - ASSETS (deni)" xfId="25256"/>
    <cellStyle name="60% - Accent5 3" xfId="25257"/>
    <cellStyle name="60% - Accent5 3 2" xfId="25258"/>
    <cellStyle name="60% - Accent5 3 3" xfId="25259"/>
    <cellStyle name="60% - Accent5 4" xfId="25260"/>
    <cellStyle name="60% - Accent5 4 2" xfId="25261"/>
    <cellStyle name="60% - Accent5 4 3" xfId="25262"/>
    <cellStyle name="60% - Accent5 4 4" xfId="58374"/>
    <cellStyle name="60% - Accent5 5" xfId="25263"/>
    <cellStyle name="60% - Accent5 5 2" xfId="25264"/>
    <cellStyle name="60% - Accent5 5 3" xfId="25265"/>
    <cellStyle name="60% - Accent5 6" xfId="25266"/>
    <cellStyle name="60% - Accent5 6 2" xfId="25267"/>
    <cellStyle name="60% - Accent5 6 3" xfId="25268"/>
    <cellStyle name="60% - Accent5 7" xfId="25269"/>
    <cellStyle name="60% - Accent5 7 2" xfId="25270"/>
    <cellStyle name="60% - Accent5 7 3" xfId="25271"/>
    <cellStyle name="60% - Accent5 8" xfId="25272"/>
    <cellStyle name="60% - Accent5 8 2" xfId="25273"/>
    <cellStyle name="60% - Accent5 8 3" xfId="25274"/>
    <cellStyle name="60% - Accent5 9" xfId="25275"/>
    <cellStyle name="60% - Accent5 9 2" xfId="25276"/>
    <cellStyle name="60% - Accent5 9 3" xfId="25277"/>
    <cellStyle name="60% - Accent6 10" xfId="25278"/>
    <cellStyle name="60% - Accent6 10 2" xfId="25279"/>
    <cellStyle name="60% - Accent6 10 3" xfId="25280"/>
    <cellStyle name="60% - Accent6 11" xfId="25281"/>
    <cellStyle name="60% - Accent6 11 2" xfId="25282"/>
    <cellStyle name="60% - Accent6 11 3" xfId="25283"/>
    <cellStyle name="60% - Accent6 12" xfId="25284"/>
    <cellStyle name="60% - Accent6 12 2" xfId="25285"/>
    <cellStyle name="60% - Accent6 12 3" xfId="25286"/>
    <cellStyle name="60% - Accent6 13" xfId="25287"/>
    <cellStyle name="60% - Accent6 13 2" xfId="25288"/>
    <cellStyle name="60% - Accent6 13 3" xfId="25289"/>
    <cellStyle name="60% - Accent6 14" xfId="25290"/>
    <cellStyle name="60% - Accent6 14 2" xfId="25291"/>
    <cellStyle name="60% - Accent6 14 3" xfId="25292"/>
    <cellStyle name="60% - Accent6 15" xfId="25293"/>
    <cellStyle name="60% - Accent6 15 2" xfId="25294"/>
    <cellStyle name="60% - Accent6 15 3" xfId="25295"/>
    <cellStyle name="60% - Accent6 16" xfId="25296"/>
    <cellStyle name="60% - Accent6 16 2" xfId="25297"/>
    <cellStyle name="60% - Accent6 16 3" xfId="25298"/>
    <cellStyle name="60% - Accent6 17" xfId="25299"/>
    <cellStyle name="60% - Accent6 17 2" xfId="25300"/>
    <cellStyle name="60% - Accent6 17 3" xfId="25301"/>
    <cellStyle name="60% - Accent6 18" xfId="25302"/>
    <cellStyle name="60% - Accent6 18 2" xfId="25303"/>
    <cellStyle name="60% - Accent6 18 3" xfId="25304"/>
    <cellStyle name="60% - Accent6 19" xfId="25305"/>
    <cellStyle name="60% - Accent6 2" xfId="25306"/>
    <cellStyle name="60% - Accent6 2 2" xfId="25307"/>
    <cellStyle name="60% - Accent6 2 2 2" xfId="25308"/>
    <cellStyle name="60% - Accent6 2 2 2 2" xfId="25309"/>
    <cellStyle name="60% - Accent6 2 2 2_PM Okt 2014 Plan VS Actual Planning Workshop" xfId="25310"/>
    <cellStyle name="60% - Accent6 2 2 3" xfId="25311"/>
    <cellStyle name="60% - Accent6 2 3" xfId="25312"/>
    <cellStyle name="60% - Accent6 2 3 2" xfId="25313"/>
    <cellStyle name="60% - Accent6 2 3 2 2" xfId="25314"/>
    <cellStyle name="60% - Accent6 2 3 2_PM Okt 2014 Plan VS Actual Planning Workshop" xfId="25315"/>
    <cellStyle name="60% - Accent6 2 3 3" xfId="25316"/>
    <cellStyle name="60% - Accent6 2 4" xfId="25317"/>
    <cellStyle name="60% - Accent6 2 4 2" xfId="25318"/>
    <cellStyle name="60% - Accent6 2 5" xfId="25319"/>
    <cellStyle name="60% - Accent6 2_Copy of PREPAID INSURANCE - ASSETS (deni)" xfId="25320"/>
    <cellStyle name="60% - Accent6 3" xfId="25321"/>
    <cellStyle name="60% - Accent6 3 2" xfId="25322"/>
    <cellStyle name="60% - Accent6 3 3" xfId="25323"/>
    <cellStyle name="60% - Accent6 4" xfId="25324"/>
    <cellStyle name="60% - Accent6 4 2" xfId="25325"/>
    <cellStyle name="60% - Accent6 4 3" xfId="25326"/>
    <cellStyle name="60% - Accent6 4 4" xfId="58375"/>
    <cellStyle name="60% - Accent6 5" xfId="25327"/>
    <cellStyle name="60% - Accent6 5 2" xfId="25328"/>
    <cellStyle name="60% - Accent6 5 3" xfId="25329"/>
    <cellStyle name="60% - Accent6 6" xfId="25330"/>
    <cellStyle name="60% - Accent6 6 2" xfId="25331"/>
    <cellStyle name="60% - Accent6 6 3" xfId="25332"/>
    <cellStyle name="60% - Accent6 7" xfId="25333"/>
    <cellStyle name="60% - Accent6 7 2" xfId="25334"/>
    <cellStyle name="60% - Accent6 7 3" xfId="25335"/>
    <cellStyle name="60% - Accent6 8" xfId="25336"/>
    <cellStyle name="60% - Accent6 8 2" xfId="25337"/>
    <cellStyle name="60% - Accent6 8 3" xfId="25338"/>
    <cellStyle name="60% - Accent6 9" xfId="25339"/>
    <cellStyle name="60% - Accent6 9 2" xfId="25340"/>
    <cellStyle name="60% - Accent6 9 3" xfId="25341"/>
    <cellStyle name="60% - Akzent1" xfId="25342"/>
    <cellStyle name="60% - Akzent2" xfId="25343"/>
    <cellStyle name="60% - Akzent3" xfId="25344"/>
    <cellStyle name="60% - Akzent4" xfId="25345"/>
    <cellStyle name="60% - Akzent5" xfId="25346"/>
    <cellStyle name="60% - Akzent6" xfId="25347"/>
    <cellStyle name="60% - アクセント 1" xfId="25348"/>
    <cellStyle name="60% - アクセント 2" xfId="25349"/>
    <cellStyle name="60% - アクセント 3" xfId="25350"/>
    <cellStyle name="60% - アクセント 4" xfId="25351"/>
    <cellStyle name="60% - アクセント 5" xfId="25352"/>
    <cellStyle name="60% - アクセント 6" xfId="25353"/>
    <cellStyle name="75" xfId="25354"/>
    <cellStyle name="8" xfId="25355"/>
    <cellStyle name="8 2" xfId="57473"/>
    <cellStyle name="8 3" xfId="57472"/>
    <cellStyle name="9" xfId="58376"/>
    <cellStyle name="9 2" xfId="58377"/>
    <cellStyle name="9_2. WS OSEAS APR'13" xfId="58378"/>
    <cellStyle name="9_2. WS OSEAS AUG'13" xfId="58379"/>
    <cellStyle name="9_2. WS OSEAS DEC'12" xfId="58380"/>
    <cellStyle name="9_2. WS OSEAS DEC'13" xfId="58381"/>
    <cellStyle name="9_2. WS OSEAS FEB'13" xfId="58382"/>
    <cellStyle name="9_2. WS OSEAS JAN'13" xfId="58383"/>
    <cellStyle name="9_2. WS OSEAS JAN'14" xfId="58384"/>
    <cellStyle name="9_2. WS OSEAS JUL'13" xfId="58385"/>
    <cellStyle name="9_2. WS OSEAS JUN'13" xfId="58386"/>
    <cellStyle name="9_2. WS OSEAS MAY'13" xfId="58387"/>
    <cellStyle name="9_2. WS OSEAS NOV'12" xfId="58388"/>
    <cellStyle name="9_2. WS OSEAS NOV'13" xfId="58389"/>
    <cellStyle name="9_2. WS OSEAS OCT'13" xfId="58390"/>
    <cellStyle name="9_2. WS OSEAS SEP'13" xfId="58391"/>
    <cellStyle name="À‰" xfId="25356"/>
    <cellStyle name="À‰ 2" xfId="25357"/>
    <cellStyle name="aa" xfId="25358"/>
    <cellStyle name="aaaab" xfId="25359"/>
    <cellStyle name="aaaab 2" xfId="57475"/>
    <cellStyle name="aaaab 3" xfId="57474"/>
    <cellStyle name="ab" xfId="25360"/>
    <cellStyle name="ab 2" xfId="57477"/>
    <cellStyle name="ab 3" xfId="57476"/>
    <cellStyle name="abc" xfId="25361"/>
    <cellStyle name="abc 2" xfId="57479"/>
    <cellStyle name="abc 3" xfId="57478"/>
    <cellStyle name="Accent1 - 20%" xfId="25362"/>
    <cellStyle name="Accent1 - 40%" xfId="25363"/>
    <cellStyle name="Accent1 - 60%" xfId="25364"/>
    <cellStyle name="Accent1 10" xfId="25365"/>
    <cellStyle name="Accent1 10 2" xfId="25366"/>
    <cellStyle name="Accent1 10 3" xfId="25367"/>
    <cellStyle name="Accent1 100" xfId="25368"/>
    <cellStyle name="Accent1 101" xfId="25369"/>
    <cellStyle name="Accent1 102" xfId="25370"/>
    <cellStyle name="Accent1 103" xfId="25371"/>
    <cellStyle name="Accent1 104" xfId="25372"/>
    <cellStyle name="Accent1 105" xfId="25373"/>
    <cellStyle name="Accent1 106" xfId="25374"/>
    <cellStyle name="Accent1 107" xfId="25375"/>
    <cellStyle name="Accent1 108" xfId="25376"/>
    <cellStyle name="Accent1 109" xfId="25377"/>
    <cellStyle name="Accent1 11" xfId="25378"/>
    <cellStyle name="Accent1 11 2" xfId="25379"/>
    <cellStyle name="Accent1 11 3" xfId="25380"/>
    <cellStyle name="Accent1 110" xfId="25381"/>
    <cellStyle name="Accent1 111" xfId="25382"/>
    <cellStyle name="Accent1 112" xfId="25383"/>
    <cellStyle name="Accent1 113" xfId="25384"/>
    <cellStyle name="Accent1 114" xfId="25385"/>
    <cellStyle name="Accent1 115" xfId="25386"/>
    <cellStyle name="Accent1 116" xfId="25387"/>
    <cellStyle name="Accent1 117" xfId="25388"/>
    <cellStyle name="Accent1 118" xfId="25389"/>
    <cellStyle name="Accent1 119" xfId="25390"/>
    <cellStyle name="Accent1 12" xfId="25391"/>
    <cellStyle name="Accent1 12 2" xfId="25392"/>
    <cellStyle name="Accent1 12 3" xfId="25393"/>
    <cellStyle name="Accent1 120" xfId="25394"/>
    <cellStyle name="Accent1 121" xfId="25395"/>
    <cellStyle name="Accent1 122" xfId="25396"/>
    <cellStyle name="Accent1 123" xfId="25397"/>
    <cellStyle name="Accent1 124" xfId="25398"/>
    <cellStyle name="Accent1 125" xfId="25399"/>
    <cellStyle name="Accent1 126" xfId="25400"/>
    <cellStyle name="Accent1 127" xfId="25401"/>
    <cellStyle name="Accent1 128" xfId="25402"/>
    <cellStyle name="Accent1 129" xfId="25403"/>
    <cellStyle name="Accent1 13" xfId="25404"/>
    <cellStyle name="Accent1 13 2" xfId="25405"/>
    <cellStyle name="Accent1 13 3" xfId="25406"/>
    <cellStyle name="Accent1 130" xfId="25407"/>
    <cellStyle name="Accent1 131" xfId="25408"/>
    <cellStyle name="Accent1 132" xfId="25409"/>
    <cellStyle name="Accent1 133" xfId="25410"/>
    <cellStyle name="Accent1 134" xfId="25411"/>
    <cellStyle name="Accent1 135" xfId="25412"/>
    <cellStyle name="Accent1 136" xfId="25413"/>
    <cellStyle name="Accent1 137" xfId="25414"/>
    <cellStyle name="Accent1 138" xfId="25415"/>
    <cellStyle name="Accent1 139" xfId="25416"/>
    <cellStyle name="Accent1 14" xfId="25417"/>
    <cellStyle name="Accent1 14 2" xfId="25418"/>
    <cellStyle name="Accent1 14 3" xfId="25419"/>
    <cellStyle name="Accent1 140" xfId="25420"/>
    <cellStyle name="Accent1 141" xfId="25421"/>
    <cellStyle name="Accent1 142" xfId="25422"/>
    <cellStyle name="Accent1 143" xfId="25423"/>
    <cellStyle name="Accent1 144" xfId="25424"/>
    <cellStyle name="Accent1 145" xfId="25425"/>
    <cellStyle name="Accent1 146" xfId="25426"/>
    <cellStyle name="Accent1 147" xfId="25427"/>
    <cellStyle name="Accent1 148" xfId="25428"/>
    <cellStyle name="Accent1 149" xfId="25429"/>
    <cellStyle name="Accent1 15" xfId="25430"/>
    <cellStyle name="Accent1 15 2" xfId="25431"/>
    <cellStyle name="Accent1 15 3" xfId="25432"/>
    <cellStyle name="Accent1 150" xfId="25433"/>
    <cellStyle name="Accent1 151" xfId="25434"/>
    <cellStyle name="Accent1 152" xfId="25435"/>
    <cellStyle name="Accent1 153" xfId="25436"/>
    <cellStyle name="Accent1 154" xfId="25437"/>
    <cellStyle name="Accent1 155" xfId="25438"/>
    <cellStyle name="Accent1 156" xfId="25439"/>
    <cellStyle name="Accent1 157" xfId="25440"/>
    <cellStyle name="Accent1 158" xfId="25441"/>
    <cellStyle name="Accent1 159" xfId="25442"/>
    <cellStyle name="Accent1 16" xfId="25443"/>
    <cellStyle name="Accent1 16 2" xfId="25444"/>
    <cellStyle name="Accent1 16 3" xfId="25445"/>
    <cellStyle name="Accent1 160" xfId="25446"/>
    <cellStyle name="Accent1 161" xfId="25447"/>
    <cellStyle name="Accent1 162" xfId="25448"/>
    <cellStyle name="Accent1 163" xfId="25449"/>
    <cellStyle name="Accent1 164" xfId="25450"/>
    <cellStyle name="Accent1 165" xfId="25451"/>
    <cellStyle name="Accent1 166" xfId="25452"/>
    <cellStyle name="Accent1 167" xfId="25453"/>
    <cellStyle name="Accent1 168" xfId="25454"/>
    <cellStyle name="Accent1 169" xfId="25455"/>
    <cellStyle name="Accent1 17" xfId="25456"/>
    <cellStyle name="Accent1 17 2" xfId="25457"/>
    <cellStyle name="Accent1 17 3" xfId="25458"/>
    <cellStyle name="Accent1 170" xfId="25459"/>
    <cellStyle name="Accent1 171" xfId="25460"/>
    <cellStyle name="Accent1 172" xfId="25461"/>
    <cellStyle name="Accent1 173" xfId="25462"/>
    <cellStyle name="Accent1 174" xfId="25463"/>
    <cellStyle name="Accent1 175" xfId="25464"/>
    <cellStyle name="Accent1 176" xfId="25465"/>
    <cellStyle name="Accent1 177" xfId="25466"/>
    <cellStyle name="Accent1 178" xfId="25467"/>
    <cellStyle name="Accent1 179" xfId="25468"/>
    <cellStyle name="Accent1 18" xfId="25469"/>
    <cellStyle name="Accent1 18 2" xfId="25470"/>
    <cellStyle name="Accent1 18 3" xfId="25471"/>
    <cellStyle name="Accent1 180" xfId="25472"/>
    <cellStyle name="Accent1 181" xfId="25473"/>
    <cellStyle name="Accent1 182" xfId="25474"/>
    <cellStyle name="Accent1 183" xfId="25475"/>
    <cellStyle name="Accent1 184" xfId="25476"/>
    <cellStyle name="Accent1 185" xfId="25477"/>
    <cellStyle name="Accent1 186" xfId="25478"/>
    <cellStyle name="Accent1 187" xfId="25479"/>
    <cellStyle name="Accent1 188" xfId="25480"/>
    <cellStyle name="Accent1 189" xfId="25481"/>
    <cellStyle name="Accent1 19" xfId="25482"/>
    <cellStyle name="Accent1 190" xfId="25483"/>
    <cellStyle name="Accent1 191" xfId="25484"/>
    <cellStyle name="Accent1 192" xfId="25485"/>
    <cellStyle name="Accent1 193" xfId="25486"/>
    <cellStyle name="Accent1 194" xfId="25487"/>
    <cellStyle name="Accent1 195" xfId="25488"/>
    <cellStyle name="Accent1 196" xfId="25489"/>
    <cellStyle name="Accent1 197" xfId="25490"/>
    <cellStyle name="Accent1 198" xfId="25491"/>
    <cellStyle name="Accent1 199" xfId="25492"/>
    <cellStyle name="Accent1 2" xfId="25493"/>
    <cellStyle name="Accent1 2 2" xfId="25494"/>
    <cellStyle name="Accent1 2 2 2" xfId="25495"/>
    <cellStyle name="Accent1 2 2 2 2" xfId="25496"/>
    <cellStyle name="Accent1 2 2 2_PM Okt 2014 Plan VS Actual Planning Workshop" xfId="25497"/>
    <cellStyle name="Accent1 2 2 3" xfId="25498"/>
    <cellStyle name="Accent1 2 2 4" xfId="25499"/>
    <cellStyle name="Accent1 2 3" xfId="25500"/>
    <cellStyle name="Accent1 2 3 2" xfId="25501"/>
    <cellStyle name="Accent1 2 3 2 2" xfId="25502"/>
    <cellStyle name="Accent1 2 3 2_PM Okt 2014 Plan VS Actual Planning Workshop" xfId="25503"/>
    <cellStyle name="Accent1 2 3 3" xfId="25504"/>
    <cellStyle name="Accent1 2 4" xfId="25505"/>
    <cellStyle name="Accent1 2 4 2" xfId="25506"/>
    <cellStyle name="Accent1 2 5" xfId="25507"/>
    <cellStyle name="Accent1 2_Copy of PREPAID INSURANCE - ASSETS (deni)" xfId="25508"/>
    <cellStyle name="Accent1 20" xfId="25509"/>
    <cellStyle name="Accent1 200" xfId="25510"/>
    <cellStyle name="Accent1 201" xfId="25511"/>
    <cellStyle name="Accent1 202" xfId="25512"/>
    <cellStyle name="Accent1 203" xfId="25513"/>
    <cellStyle name="Accent1 204" xfId="25514"/>
    <cellStyle name="Accent1 205" xfId="25515"/>
    <cellStyle name="Accent1 206" xfId="25516"/>
    <cellStyle name="Accent1 207" xfId="25517"/>
    <cellStyle name="Accent1 208" xfId="25518"/>
    <cellStyle name="Accent1 209" xfId="25519"/>
    <cellStyle name="Accent1 21" xfId="25520"/>
    <cellStyle name="Accent1 210" xfId="25521"/>
    <cellStyle name="Accent1 211" xfId="25522"/>
    <cellStyle name="Accent1 212" xfId="25523"/>
    <cellStyle name="Accent1 213" xfId="25524"/>
    <cellStyle name="Accent1 214" xfId="25525"/>
    <cellStyle name="Accent1 215" xfId="25526"/>
    <cellStyle name="Accent1 216" xfId="25527"/>
    <cellStyle name="Accent1 217" xfId="25528"/>
    <cellStyle name="Accent1 218" xfId="25529"/>
    <cellStyle name="Accent1 219" xfId="25530"/>
    <cellStyle name="Accent1 22" xfId="25531"/>
    <cellStyle name="Accent1 220" xfId="25532"/>
    <cellStyle name="Accent1 221" xfId="25533"/>
    <cellStyle name="Accent1 222" xfId="25534"/>
    <cellStyle name="Accent1 223" xfId="25535"/>
    <cellStyle name="Accent1 224" xfId="25536"/>
    <cellStyle name="Accent1 225" xfId="25537"/>
    <cellStyle name="Accent1 226" xfId="25538"/>
    <cellStyle name="Accent1 227" xfId="25539"/>
    <cellStyle name="Accent1 228" xfId="25540"/>
    <cellStyle name="Accent1 229" xfId="25541"/>
    <cellStyle name="Accent1 23" xfId="25542"/>
    <cellStyle name="Accent1 230" xfId="25543"/>
    <cellStyle name="Accent1 231" xfId="25544"/>
    <cellStyle name="Accent1 232" xfId="25545"/>
    <cellStyle name="Accent1 233" xfId="25546"/>
    <cellStyle name="Accent1 234" xfId="25547"/>
    <cellStyle name="Accent1 235" xfId="25548"/>
    <cellStyle name="Accent1 236" xfId="25549"/>
    <cellStyle name="Accent1 237" xfId="25550"/>
    <cellStyle name="Accent1 238" xfId="25551"/>
    <cellStyle name="Accent1 239" xfId="25552"/>
    <cellStyle name="Accent1 24" xfId="25553"/>
    <cellStyle name="Accent1 240" xfId="25554"/>
    <cellStyle name="Accent1 241" xfId="25555"/>
    <cellStyle name="Accent1 242" xfId="25556"/>
    <cellStyle name="Accent1 243" xfId="25557"/>
    <cellStyle name="Accent1 244" xfId="25558"/>
    <cellStyle name="Accent1 245" xfId="25559"/>
    <cellStyle name="Accent1 246" xfId="25560"/>
    <cellStyle name="Accent1 247" xfId="25561"/>
    <cellStyle name="Accent1 248" xfId="25562"/>
    <cellStyle name="Accent1 249" xfId="25563"/>
    <cellStyle name="Accent1 25" xfId="25564"/>
    <cellStyle name="Accent1 250" xfId="25565"/>
    <cellStyle name="Accent1 251" xfId="25566"/>
    <cellStyle name="Accent1 252" xfId="25567"/>
    <cellStyle name="Accent1 253" xfId="25568"/>
    <cellStyle name="Accent1 254" xfId="25569"/>
    <cellStyle name="Accent1 255" xfId="25570"/>
    <cellStyle name="Accent1 256" xfId="25571"/>
    <cellStyle name="Accent1 257" xfId="25572"/>
    <cellStyle name="Accent1 258" xfId="25573"/>
    <cellStyle name="Accent1 259" xfId="25574"/>
    <cellStyle name="Accent1 26" xfId="25575"/>
    <cellStyle name="Accent1 260" xfId="25576"/>
    <cellStyle name="Accent1 261" xfId="25577"/>
    <cellStyle name="Accent1 262" xfId="25578"/>
    <cellStyle name="Accent1 263" xfId="25579"/>
    <cellStyle name="Accent1 264" xfId="25580"/>
    <cellStyle name="Accent1 265" xfId="25581"/>
    <cellStyle name="Accent1 266" xfId="25582"/>
    <cellStyle name="Accent1 267" xfId="25583"/>
    <cellStyle name="Accent1 268" xfId="25584"/>
    <cellStyle name="Accent1 269" xfId="25585"/>
    <cellStyle name="Accent1 27" xfId="25586"/>
    <cellStyle name="Accent1 270" xfId="25587"/>
    <cellStyle name="Accent1 271" xfId="25588"/>
    <cellStyle name="Accent1 272" xfId="25589"/>
    <cellStyle name="Accent1 273" xfId="25590"/>
    <cellStyle name="Accent1 274" xfId="25591"/>
    <cellStyle name="Accent1 275" xfId="25592"/>
    <cellStyle name="Accent1 276" xfId="25593"/>
    <cellStyle name="Accent1 277" xfId="25594"/>
    <cellStyle name="Accent1 278" xfId="25595"/>
    <cellStyle name="Accent1 279" xfId="25596"/>
    <cellStyle name="Accent1 28" xfId="25597"/>
    <cellStyle name="Accent1 280" xfId="25598"/>
    <cellStyle name="Accent1 281" xfId="25599"/>
    <cellStyle name="Accent1 282" xfId="25600"/>
    <cellStyle name="Accent1 283" xfId="25601"/>
    <cellStyle name="Accent1 284" xfId="25602"/>
    <cellStyle name="Accent1 285" xfId="25603"/>
    <cellStyle name="Accent1 286" xfId="25604"/>
    <cellStyle name="Accent1 287" xfId="25605"/>
    <cellStyle name="Accent1 288" xfId="25606"/>
    <cellStyle name="Accent1 289" xfId="25607"/>
    <cellStyle name="Accent1 29" xfId="25608"/>
    <cellStyle name="Accent1 290" xfId="25609"/>
    <cellStyle name="Accent1 291" xfId="25610"/>
    <cellStyle name="Accent1 292" xfId="25611"/>
    <cellStyle name="Accent1 293" xfId="25612"/>
    <cellStyle name="Accent1 294" xfId="25613"/>
    <cellStyle name="Accent1 295" xfId="25614"/>
    <cellStyle name="Accent1 296" xfId="25615"/>
    <cellStyle name="Accent1 297" xfId="25616"/>
    <cellStyle name="Accent1 298" xfId="25617"/>
    <cellStyle name="Accent1 299" xfId="25618"/>
    <cellStyle name="Accent1 3" xfId="25619"/>
    <cellStyle name="Accent1 3 2" xfId="25620"/>
    <cellStyle name="Accent1 3 3" xfId="25621"/>
    <cellStyle name="Accent1 30" xfId="25622"/>
    <cellStyle name="Accent1 300" xfId="25623"/>
    <cellStyle name="Accent1 301" xfId="25624"/>
    <cellStyle name="Accent1 302" xfId="25625"/>
    <cellStyle name="Accent1 303" xfId="25626"/>
    <cellStyle name="Accent1 304" xfId="25627"/>
    <cellStyle name="Accent1 305" xfId="25628"/>
    <cellStyle name="Accent1 306" xfId="25629"/>
    <cellStyle name="Accent1 307" xfId="25630"/>
    <cellStyle name="Accent1 308" xfId="25631"/>
    <cellStyle name="Accent1 309" xfId="25632"/>
    <cellStyle name="Accent1 31" xfId="25633"/>
    <cellStyle name="Accent1 310" xfId="25634"/>
    <cellStyle name="Accent1 311" xfId="25635"/>
    <cellStyle name="Accent1 312" xfId="25636"/>
    <cellStyle name="Accent1 313" xfId="25637"/>
    <cellStyle name="Accent1 314" xfId="25638"/>
    <cellStyle name="Accent1 315" xfId="25639"/>
    <cellStyle name="Accent1 316" xfId="25640"/>
    <cellStyle name="Accent1 317" xfId="25641"/>
    <cellStyle name="Accent1 318" xfId="25642"/>
    <cellStyle name="Accent1 319" xfId="25643"/>
    <cellStyle name="Accent1 32" xfId="25644"/>
    <cellStyle name="Accent1 320" xfId="25645"/>
    <cellStyle name="Accent1 321" xfId="25646"/>
    <cellStyle name="Accent1 322" xfId="25647"/>
    <cellStyle name="Accent1 323" xfId="25648"/>
    <cellStyle name="Accent1 324" xfId="25649"/>
    <cellStyle name="Accent1 325" xfId="25650"/>
    <cellStyle name="Accent1 326" xfId="25651"/>
    <cellStyle name="Accent1 327" xfId="25652"/>
    <cellStyle name="Accent1 328" xfId="25653"/>
    <cellStyle name="Accent1 329" xfId="25654"/>
    <cellStyle name="Accent1 33" xfId="25655"/>
    <cellStyle name="Accent1 330" xfId="25656"/>
    <cellStyle name="Accent1 331" xfId="25657"/>
    <cellStyle name="Accent1 332" xfId="25658"/>
    <cellStyle name="Accent1 333" xfId="25659"/>
    <cellStyle name="Accent1 334" xfId="25660"/>
    <cellStyle name="Accent1 335" xfId="25661"/>
    <cellStyle name="Accent1 336" xfId="25662"/>
    <cellStyle name="Accent1 337" xfId="25663"/>
    <cellStyle name="Accent1 338" xfId="25664"/>
    <cellStyle name="Accent1 339" xfId="25665"/>
    <cellStyle name="Accent1 34" xfId="25666"/>
    <cellStyle name="Accent1 340" xfId="25667"/>
    <cellStyle name="Accent1 341" xfId="25668"/>
    <cellStyle name="Accent1 342" xfId="25669"/>
    <cellStyle name="Accent1 343" xfId="25670"/>
    <cellStyle name="Accent1 344" xfId="25671"/>
    <cellStyle name="Accent1 345" xfId="25672"/>
    <cellStyle name="Accent1 346" xfId="25673"/>
    <cellStyle name="Accent1 347" xfId="25674"/>
    <cellStyle name="Accent1 348" xfId="25675"/>
    <cellStyle name="Accent1 349" xfId="25676"/>
    <cellStyle name="Accent1 35" xfId="25677"/>
    <cellStyle name="Accent1 350" xfId="25678"/>
    <cellStyle name="Accent1 351" xfId="25679"/>
    <cellStyle name="Accent1 352" xfId="25680"/>
    <cellStyle name="Accent1 353" xfId="25681"/>
    <cellStyle name="Accent1 354" xfId="25682"/>
    <cellStyle name="Accent1 355" xfId="25683"/>
    <cellStyle name="Accent1 356" xfId="25684"/>
    <cellStyle name="Accent1 357" xfId="25685"/>
    <cellStyle name="Accent1 358" xfId="25686"/>
    <cellStyle name="Accent1 359" xfId="25687"/>
    <cellStyle name="Accent1 36" xfId="25688"/>
    <cellStyle name="Accent1 360" xfId="25689"/>
    <cellStyle name="Accent1 361" xfId="25690"/>
    <cellStyle name="Accent1 362" xfId="25691"/>
    <cellStyle name="Accent1 363" xfId="25692"/>
    <cellStyle name="Accent1 364" xfId="25693"/>
    <cellStyle name="Accent1 365" xfId="25694"/>
    <cellStyle name="Accent1 366" xfId="25695"/>
    <cellStyle name="Accent1 367" xfId="25696"/>
    <cellStyle name="Accent1 368" xfId="25697"/>
    <cellStyle name="Accent1 369" xfId="25698"/>
    <cellStyle name="Accent1 37" xfId="25699"/>
    <cellStyle name="Accent1 370" xfId="25700"/>
    <cellStyle name="Accent1 371" xfId="25701"/>
    <cellStyle name="Accent1 372" xfId="25702"/>
    <cellStyle name="Accent1 373" xfId="25703"/>
    <cellStyle name="Accent1 374" xfId="25704"/>
    <cellStyle name="Accent1 375" xfId="25705"/>
    <cellStyle name="Accent1 376" xfId="25706"/>
    <cellStyle name="Accent1 377" xfId="25707"/>
    <cellStyle name="Accent1 378" xfId="25708"/>
    <cellStyle name="Accent1 379" xfId="25709"/>
    <cellStyle name="Accent1 38" xfId="25710"/>
    <cellStyle name="Accent1 380" xfId="25711"/>
    <cellStyle name="Accent1 381" xfId="25712"/>
    <cellStyle name="Accent1 382" xfId="25713"/>
    <cellStyle name="Accent1 383" xfId="25714"/>
    <cellStyle name="Accent1 384" xfId="25715"/>
    <cellStyle name="Accent1 385" xfId="25716"/>
    <cellStyle name="Accent1 386" xfId="25717"/>
    <cellStyle name="Accent1 387" xfId="25718"/>
    <cellStyle name="Accent1 388" xfId="25719"/>
    <cellStyle name="Accent1 389" xfId="25720"/>
    <cellStyle name="Accent1 39" xfId="25721"/>
    <cellStyle name="Accent1 390" xfId="25722"/>
    <cellStyle name="Accent1 391" xfId="25723"/>
    <cellStyle name="Accent1 392" xfId="25724"/>
    <cellStyle name="Accent1 393" xfId="25725"/>
    <cellStyle name="Accent1 394" xfId="25726"/>
    <cellStyle name="Accent1 395" xfId="25727"/>
    <cellStyle name="Accent1 396" xfId="25728"/>
    <cellStyle name="Accent1 397" xfId="25729"/>
    <cellStyle name="Accent1 398" xfId="25730"/>
    <cellStyle name="Accent1 399" xfId="58392"/>
    <cellStyle name="Accent1 4" xfId="25731"/>
    <cellStyle name="Accent1 4 2" xfId="25732"/>
    <cellStyle name="Accent1 4 3" xfId="25733"/>
    <cellStyle name="Accent1 4 4" xfId="58393"/>
    <cellStyle name="Accent1 40" xfId="25734"/>
    <cellStyle name="Accent1 41" xfId="25735"/>
    <cellStyle name="Accent1 42" xfId="25736"/>
    <cellStyle name="Accent1 43" xfId="25737"/>
    <cellStyle name="Accent1 44" xfId="25738"/>
    <cellStyle name="Accent1 45" xfId="25739"/>
    <cellStyle name="Accent1 46" xfId="25740"/>
    <cellStyle name="Accent1 47" xfId="25741"/>
    <cellStyle name="Accent1 48" xfId="25742"/>
    <cellStyle name="Accent1 49" xfId="25743"/>
    <cellStyle name="Accent1 5" xfId="25744"/>
    <cellStyle name="Accent1 5 2" xfId="25745"/>
    <cellStyle name="Accent1 5 3" xfId="25746"/>
    <cellStyle name="Accent1 5 4" xfId="25747"/>
    <cellStyle name="Accent1 50" xfId="25748"/>
    <cellStyle name="Accent1 51" xfId="25749"/>
    <cellStyle name="Accent1 52" xfId="25750"/>
    <cellStyle name="Accent1 53" xfId="25751"/>
    <cellStyle name="Accent1 54" xfId="25752"/>
    <cellStyle name="Accent1 55" xfId="25753"/>
    <cellStyle name="Accent1 56" xfId="25754"/>
    <cellStyle name="Accent1 57" xfId="25755"/>
    <cellStyle name="Accent1 58" xfId="25756"/>
    <cellStyle name="Accent1 59" xfId="25757"/>
    <cellStyle name="Accent1 6" xfId="25758"/>
    <cellStyle name="Accent1 6 2" xfId="25759"/>
    <cellStyle name="Accent1 6 3" xfId="25760"/>
    <cellStyle name="Accent1 6 4" xfId="25761"/>
    <cellStyle name="Accent1 60" xfId="25762"/>
    <cellStyle name="Accent1 61" xfId="25763"/>
    <cellStyle name="Accent1 62" xfId="25764"/>
    <cellStyle name="Accent1 63" xfId="25765"/>
    <cellStyle name="Accent1 64" xfId="25766"/>
    <cellStyle name="Accent1 65" xfId="25767"/>
    <cellStyle name="Accent1 66" xfId="25768"/>
    <cellStyle name="Accent1 67" xfId="25769"/>
    <cellStyle name="Accent1 68" xfId="25770"/>
    <cellStyle name="Accent1 69" xfId="25771"/>
    <cellStyle name="Accent1 7" xfId="25772"/>
    <cellStyle name="Accent1 7 2" xfId="25773"/>
    <cellStyle name="Accent1 7 3" xfId="25774"/>
    <cellStyle name="Accent1 7 4" xfId="25775"/>
    <cellStyle name="Accent1 70" xfId="25776"/>
    <cellStyle name="Accent1 71" xfId="25777"/>
    <cellStyle name="Accent1 72" xfId="25778"/>
    <cellStyle name="Accent1 73" xfId="25779"/>
    <cellStyle name="Accent1 74" xfId="25780"/>
    <cellStyle name="Accent1 75" xfId="25781"/>
    <cellStyle name="Accent1 76" xfId="25782"/>
    <cellStyle name="Accent1 77" xfId="25783"/>
    <cellStyle name="Accent1 78" xfId="25784"/>
    <cellStyle name="Accent1 79" xfId="25785"/>
    <cellStyle name="Accent1 8" xfId="25786"/>
    <cellStyle name="Accent1 8 2" xfId="25787"/>
    <cellStyle name="Accent1 8 3" xfId="25788"/>
    <cellStyle name="Accent1 80" xfId="25789"/>
    <cellStyle name="Accent1 81" xfId="25790"/>
    <cellStyle name="Accent1 82" xfId="25791"/>
    <cellStyle name="Accent1 83" xfId="25792"/>
    <cellStyle name="Accent1 84" xfId="25793"/>
    <cellStyle name="Accent1 85" xfId="25794"/>
    <cellStyle name="Accent1 86" xfId="25795"/>
    <cellStyle name="Accent1 87" xfId="25796"/>
    <cellStyle name="Accent1 88" xfId="25797"/>
    <cellStyle name="Accent1 89" xfId="25798"/>
    <cellStyle name="Accent1 9" xfId="25799"/>
    <cellStyle name="Accent1 9 2" xfId="25800"/>
    <cellStyle name="Accent1 9 3" xfId="25801"/>
    <cellStyle name="Accent1 90" xfId="25802"/>
    <cellStyle name="Accent1 91" xfId="25803"/>
    <cellStyle name="Accent1 92" xfId="25804"/>
    <cellStyle name="Accent1 93" xfId="25805"/>
    <cellStyle name="Accent1 94" xfId="25806"/>
    <cellStyle name="Accent1 95" xfId="25807"/>
    <cellStyle name="Accent1 96" xfId="25808"/>
    <cellStyle name="Accent1 97" xfId="25809"/>
    <cellStyle name="Accent1 98" xfId="25810"/>
    <cellStyle name="Accent1 99" xfId="25811"/>
    <cellStyle name="Accent2 - 20%" xfId="25812"/>
    <cellStyle name="Accent2 - 40%" xfId="25813"/>
    <cellStyle name="Accent2 - 60%" xfId="25814"/>
    <cellStyle name="Accent2 10" xfId="25815"/>
    <cellStyle name="Accent2 10 2" xfId="25816"/>
    <cellStyle name="Accent2 10 3" xfId="25817"/>
    <cellStyle name="Accent2 100" xfId="25818"/>
    <cellStyle name="Accent2 101" xfId="25819"/>
    <cellStyle name="Accent2 102" xfId="25820"/>
    <cellStyle name="Accent2 103" xfId="25821"/>
    <cellStyle name="Accent2 104" xfId="25822"/>
    <cellStyle name="Accent2 105" xfId="25823"/>
    <cellStyle name="Accent2 106" xfId="25824"/>
    <cellStyle name="Accent2 107" xfId="25825"/>
    <cellStyle name="Accent2 108" xfId="25826"/>
    <cellStyle name="Accent2 109" xfId="25827"/>
    <cellStyle name="Accent2 11" xfId="25828"/>
    <cellStyle name="Accent2 11 2" xfId="25829"/>
    <cellStyle name="Accent2 11 3" xfId="25830"/>
    <cellStyle name="Accent2 110" xfId="25831"/>
    <cellStyle name="Accent2 111" xfId="25832"/>
    <cellStyle name="Accent2 112" xfId="25833"/>
    <cellStyle name="Accent2 113" xfId="25834"/>
    <cellStyle name="Accent2 114" xfId="25835"/>
    <cellStyle name="Accent2 115" xfId="25836"/>
    <cellStyle name="Accent2 116" xfId="25837"/>
    <cellStyle name="Accent2 117" xfId="25838"/>
    <cellStyle name="Accent2 118" xfId="25839"/>
    <cellStyle name="Accent2 119" xfId="25840"/>
    <cellStyle name="Accent2 12" xfId="25841"/>
    <cellStyle name="Accent2 12 2" xfId="25842"/>
    <cellStyle name="Accent2 12 3" xfId="25843"/>
    <cellStyle name="Accent2 120" xfId="25844"/>
    <cellStyle name="Accent2 121" xfId="25845"/>
    <cellStyle name="Accent2 122" xfId="25846"/>
    <cellStyle name="Accent2 123" xfId="25847"/>
    <cellStyle name="Accent2 124" xfId="25848"/>
    <cellStyle name="Accent2 125" xfId="25849"/>
    <cellStyle name="Accent2 126" xfId="25850"/>
    <cellStyle name="Accent2 127" xfId="25851"/>
    <cellStyle name="Accent2 128" xfId="25852"/>
    <cellStyle name="Accent2 129" xfId="25853"/>
    <cellStyle name="Accent2 13" xfId="25854"/>
    <cellStyle name="Accent2 13 2" xfId="25855"/>
    <cellStyle name="Accent2 13 3" xfId="25856"/>
    <cellStyle name="Accent2 130" xfId="25857"/>
    <cellStyle name="Accent2 131" xfId="25858"/>
    <cellStyle name="Accent2 132" xfId="25859"/>
    <cellStyle name="Accent2 133" xfId="25860"/>
    <cellStyle name="Accent2 134" xfId="25861"/>
    <cellStyle name="Accent2 135" xfId="25862"/>
    <cellStyle name="Accent2 136" xfId="25863"/>
    <cellStyle name="Accent2 137" xfId="25864"/>
    <cellStyle name="Accent2 138" xfId="25865"/>
    <cellStyle name="Accent2 139" xfId="25866"/>
    <cellStyle name="Accent2 14" xfId="25867"/>
    <cellStyle name="Accent2 14 2" xfId="25868"/>
    <cellStyle name="Accent2 14 3" xfId="25869"/>
    <cellStyle name="Accent2 140" xfId="25870"/>
    <cellStyle name="Accent2 141" xfId="25871"/>
    <cellStyle name="Accent2 142" xfId="25872"/>
    <cellStyle name="Accent2 143" xfId="25873"/>
    <cellStyle name="Accent2 144" xfId="25874"/>
    <cellStyle name="Accent2 145" xfId="25875"/>
    <cellStyle name="Accent2 146" xfId="25876"/>
    <cellStyle name="Accent2 147" xfId="25877"/>
    <cellStyle name="Accent2 148" xfId="25878"/>
    <cellStyle name="Accent2 149" xfId="25879"/>
    <cellStyle name="Accent2 15" xfId="25880"/>
    <cellStyle name="Accent2 15 2" xfId="25881"/>
    <cellStyle name="Accent2 15 3" xfId="25882"/>
    <cellStyle name="Accent2 150" xfId="25883"/>
    <cellStyle name="Accent2 151" xfId="25884"/>
    <cellStyle name="Accent2 152" xfId="25885"/>
    <cellStyle name="Accent2 153" xfId="25886"/>
    <cellStyle name="Accent2 154" xfId="25887"/>
    <cellStyle name="Accent2 155" xfId="25888"/>
    <cellStyle name="Accent2 156" xfId="25889"/>
    <cellStyle name="Accent2 157" xfId="25890"/>
    <cellStyle name="Accent2 158" xfId="25891"/>
    <cellStyle name="Accent2 159" xfId="25892"/>
    <cellStyle name="Accent2 16" xfId="25893"/>
    <cellStyle name="Accent2 16 2" xfId="25894"/>
    <cellStyle name="Accent2 16 3" xfId="25895"/>
    <cellStyle name="Accent2 160" xfId="25896"/>
    <cellStyle name="Accent2 161" xfId="25897"/>
    <cellStyle name="Accent2 162" xfId="25898"/>
    <cellStyle name="Accent2 163" xfId="25899"/>
    <cellStyle name="Accent2 164" xfId="25900"/>
    <cellStyle name="Accent2 165" xfId="25901"/>
    <cellStyle name="Accent2 166" xfId="25902"/>
    <cellStyle name="Accent2 167" xfId="25903"/>
    <cellStyle name="Accent2 168" xfId="25904"/>
    <cellStyle name="Accent2 169" xfId="25905"/>
    <cellStyle name="Accent2 17" xfId="25906"/>
    <cellStyle name="Accent2 17 2" xfId="25907"/>
    <cellStyle name="Accent2 17 3" xfId="25908"/>
    <cellStyle name="Accent2 170" xfId="25909"/>
    <cellStyle name="Accent2 171" xfId="25910"/>
    <cellStyle name="Accent2 172" xfId="25911"/>
    <cellStyle name="Accent2 173" xfId="25912"/>
    <cellStyle name="Accent2 174" xfId="25913"/>
    <cellStyle name="Accent2 175" xfId="25914"/>
    <cellStyle name="Accent2 176" xfId="25915"/>
    <cellStyle name="Accent2 177" xfId="25916"/>
    <cellStyle name="Accent2 178" xfId="25917"/>
    <cellStyle name="Accent2 179" xfId="25918"/>
    <cellStyle name="Accent2 18" xfId="25919"/>
    <cellStyle name="Accent2 18 2" xfId="25920"/>
    <cellStyle name="Accent2 18 3" xfId="25921"/>
    <cellStyle name="Accent2 180" xfId="25922"/>
    <cellStyle name="Accent2 181" xfId="25923"/>
    <cellStyle name="Accent2 182" xfId="25924"/>
    <cellStyle name="Accent2 183" xfId="25925"/>
    <cellStyle name="Accent2 184" xfId="25926"/>
    <cellStyle name="Accent2 185" xfId="25927"/>
    <cellStyle name="Accent2 186" xfId="25928"/>
    <cellStyle name="Accent2 187" xfId="25929"/>
    <cellStyle name="Accent2 188" xfId="25930"/>
    <cellStyle name="Accent2 189" xfId="25931"/>
    <cellStyle name="Accent2 19" xfId="25932"/>
    <cellStyle name="Accent2 190" xfId="25933"/>
    <cellStyle name="Accent2 191" xfId="25934"/>
    <cellStyle name="Accent2 192" xfId="25935"/>
    <cellStyle name="Accent2 193" xfId="25936"/>
    <cellStyle name="Accent2 194" xfId="25937"/>
    <cellStyle name="Accent2 195" xfId="25938"/>
    <cellStyle name="Accent2 196" xfId="25939"/>
    <cellStyle name="Accent2 197" xfId="25940"/>
    <cellStyle name="Accent2 198" xfId="25941"/>
    <cellStyle name="Accent2 199" xfId="25942"/>
    <cellStyle name="Accent2 2" xfId="25943"/>
    <cellStyle name="Accent2 2 2" xfId="25944"/>
    <cellStyle name="Accent2 2 2 2" xfId="25945"/>
    <cellStyle name="Accent2 2 2 2 2" xfId="25946"/>
    <cellStyle name="Accent2 2 2 2_PM Okt 2014 Plan VS Actual Planning Workshop" xfId="25947"/>
    <cellStyle name="Accent2 2 2 3" xfId="25948"/>
    <cellStyle name="Accent2 2 2 4" xfId="25949"/>
    <cellStyle name="Accent2 2 3" xfId="25950"/>
    <cellStyle name="Accent2 2 3 2" xfId="25951"/>
    <cellStyle name="Accent2 2 3 2 2" xfId="25952"/>
    <cellStyle name="Accent2 2 3 2_PM Okt 2014 Plan VS Actual Planning Workshop" xfId="25953"/>
    <cellStyle name="Accent2 2 3 3" xfId="25954"/>
    <cellStyle name="Accent2 2 4" xfId="25955"/>
    <cellStyle name="Accent2 2 4 2" xfId="25956"/>
    <cellStyle name="Accent2 2 5" xfId="25957"/>
    <cellStyle name="Accent2 2_Copy of PREPAID INSURANCE - ASSETS (deni)" xfId="25958"/>
    <cellStyle name="Accent2 20" xfId="25959"/>
    <cellStyle name="Accent2 200" xfId="25960"/>
    <cellStyle name="Accent2 201" xfId="25961"/>
    <cellStyle name="Accent2 202" xfId="25962"/>
    <cellStyle name="Accent2 203" xfId="25963"/>
    <cellStyle name="Accent2 204" xfId="25964"/>
    <cellStyle name="Accent2 205" xfId="25965"/>
    <cellStyle name="Accent2 206" xfId="25966"/>
    <cellStyle name="Accent2 207" xfId="25967"/>
    <cellStyle name="Accent2 208" xfId="25968"/>
    <cellStyle name="Accent2 209" xfId="25969"/>
    <cellStyle name="Accent2 21" xfId="25970"/>
    <cellStyle name="Accent2 210" xfId="25971"/>
    <cellStyle name="Accent2 211" xfId="25972"/>
    <cellStyle name="Accent2 212" xfId="25973"/>
    <cellStyle name="Accent2 213" xfId="25974"/>
    <cellStyle name="Accent2 214" xfId="25975"/>
    <cellStyle name="Accent2 215" xfId="25976"/>
    <cellStyle name="Accent2 216" xfId="25977"/>
    <cellStyle name="Accent2 217" xfId="25978"/>
    <cellStyle name="Accent2 218" xfId="25979"/>
    <cellStyle name="Accent2 219" xfId="25980"/>
    <cellStyle name="Accent2 22" xfId="25981"/>
    <cellStyle name="Accent2 220" xfId="25982"/>
    <cellStyle name="Accent2 221" xfId="25983"/>
    <cellStyle name="Accent2 222" xfId="25984"/>
    <cellStyle name="Accent2 223" xfId="25985"/>
    <cellStyle name="Accent2 224" xfId="25986"/>
    <cellStyle name="Accent2 225" xfId="25987"/>
    <cellStyle name="Accent2 226" xfId="25988"/>
    <cellStyle name="Accent2 227" xfId="25989"/>
    <cellStyle name="Accent2 228" xfId="25990"/>
    <cellStyle name="Accent2 229" xfId="25991"/>
    <cellStyle name="Accent2 23" xfId="25992"/>
    <cellStyle name="Accent2 230" xfId="25993"/>
    <cellStyle name="Accent2 231" xfId="25994"/>
    <cellStyle name="Accent2 232" xfId="25995"/>
    <cellStyle name="Accent2 233" xfId="25996"/>
    <cellStyle name="Accent2 234" xfId="25997"/>
    <cellStyle name="Accent2 235" xfId="25998"/>
    <cellStyle name="Accent2 236" xfId="25999"/>
    <cellStyle name="Accent2 237" xfId="26000"/>
    <cellStyle name="Accent2 238" xfId="26001"/>
    <cellStyle name="Accent2 239" xfId="26002"/>
    <cellStyle name="Accent2 24" xfId="26003"/>
    <cellStyle name="Accent2 240" xfId="26004"/>
    <cellStyle name="Accent2 241" xfId="26005"/>
    <cellStyle name="Accent2 242" xfId="26006"/>
    <cellStyle name="Accent2 243" xfId="26007"/>
    <cellStyle name="Accent2 244" xfId="26008"/>
    <cellStyle name="Accent2 245" xfId="26009"/>
    <cellStyle name="Accent2 246" xfId="26010"/>
    <cellStyle name="Accent2 247" xfId="26011"/>
    <cellStyle name="Accent2 248" xfId="26012"/>
    <cellStyle name="Accent2 249" xfId="26013"/>
    <cellStyle name="Accent2 25" xfId="26014"/>
    <cellStyle name="Accent2 250" xfId="26015"/>
    <cellStyle name="Accent2 251" xfId="26016"/>
    <cellStyle name="Accent2 252" xfId="26017"/>
    <cellStyle name="Accent2 253" xfId="26018"/>
    <cellStyle name="Accent2 254" xfId="26019"/>
    <cellStyle name="Accent2 255" xfId="26020"/>
    <cellStyle name="Accent2 256" xfId="26021"/>
    <cellStyle name="Accent2 257" xfId="26022"/>
    <cellStyle name="Accent2 258" xfId="26023"/>
    <cellStyle name="Accent2 259" xfId="26024"/>
    <cellStyle name="Accent2 26" xfId="26025"/>
    <cellStyle name="Accent2 260" xfId="26026"/>
    <cellStyle name="Accent2 261" xfId="26027"/>
    <cellStyle name="Accent2 262" xfId="26028"/>
    <cellStyle name="Accent2 263" xfId="26029"/>
    <cellStyle name="Accent2 264" xfId="26030"/>
    <cellStyle name="Accent2 265" xfId="26031"/>
    <cellStyle name="Accent2 266" xfId="26032"/>
    <cellStyle name="Accent2 267" xfId="26033"/>
    <cellStyle name="Accent2 268" xfId="26034"/>
    <cellStyle name="Accent2 269" xfId="26035"/>
    <cellStyle name="Accent2 27" xfId="26036"/>
    <cellStyle name="Accent2 270" xfId="26037"/>
    <cellStyle name="Accent2 271" xfId="26038"/>
    <cellStyle name="Accent2 272" xfId="26039"/>
    <cellStyle name="Accent2 273" xfId="26040"/>
    <cellStyle name="Accent2 274" xfId="26041"/>
    <cellStyle name="Accent2 275" xfId="26042"/>
    <cellStyle name="Accent2 276" xfId="26043"/>
    <cellStyle name="Accent2 277" xfId="26044"/>
    <cellStyle name="Accent2 278" xfId="26045"/>
    <cellStyle name="Accent2 279" xfId="26046"/>
    <cellStyle name="Accent2 28" xfId="26047"/>
    <cellStyle name="Accent2 280" xfId="26048"/>
    <cellStyle name="Accent2 281" xfId="26049"/>
    <cellStyle name="Accent2 282" xfId="26050"/>
    <cellStyle name="Accent2 283" xfId="26051"/>
    <cellStyle name="Accent2 284" xfId="26052"/>
    <cellStyle name="Accent2 285" xfId="26053"/>
    <cellStyle name="Accent2 286" xfId="26054"/>
    <cellStyle name="Accent2 287" xfId="26055"/>
    <cellStyle name="Accent2 288" xfId="26056"/>
    <cellStyle name="Accent2 289" xfId="26057"/>
    <cellStyle name="Accent2 29" xfId="26058"/>
    <cellStyle name="Accent2 290" xfId="26059"/>
    <cellStyle name="Accent2 291" xfId="26060"/>
    <cellStyle name="Accent2 292" xfId="26061"/>
    <cellStyle name="Accent2 293" xfId="26062"/>
    <cellStyle name="Accent2 294" xfId="26063"/>
    <cellStyle name="Accent2 295" xfId="26064"/>
    <cellStyle name="Accent2 296" xfId="26065"/>
    <cellStyle name="Accent2 297" xfId="26066"/>
    <cellStyle name="Accent2 298" xfId="26067"/>
    <cellStyle name="Accent2 299" xfId="26068"/>
    <cellStyle name="Accent2 3" xfId="26069"/>
    <cellStyle name="Accent2 3 2" xfId="26070"/>
    <cellStyle name="Accent2 3 3" xfId="26071"/>
    <cellStyle name="Accent2 30" xfId="26072"/>
    <cellStyle name="Accent2 300" xfId="26073"/>
    <cellStyle name="Accent2 301" xfId="26074"/>
    <cellStyle name="Accent2 302" xfId="26075"/>
    <cellStyle name="Accent2 303" xfId="26076"/>
    <cellStyle name="Accent2 304" xfId="26077"/>
    <cellStyle name="Accent2 305" xfId="26078"/>
    <cellStyle name="Accent2 306" xfId="26079"/>
    <cellStyle name="Accent2 307" xfId="26080"/>
    <cellStyle name="Accent2 308" xfId="26081"/>
    <cellStyle name="Accent2 309" xfId="26082"/>
    <cellStyle name="Accent2 31" xfId="26083"/>
    <cellStyle name="Accent2 310" xfId="26084"/>
    <cellStyle name="Accent2 311" xfId="26085"/>
    <cellStyle name="Accent2 312" xfId="26086"/>
    <cellStyle name="Accent2 313" xfId="26087"/>
    <cellStyle name="Accent2 314" xfId="26088"/>
    <cellStyle name="Accent2 315" xfId="26089"/>
    <cellStyle name="Accent2 316" xfId="26090"/>
    <cellStyle name="Accent2 317" xfId="26091"/>
    <cellStyle name="Accent2 318" xfId="26092"/>
    <cellStyle name="Accent2 319" xfId="26093"/>
    <cellStyle name="Accent2 32" xfId="26094"/>
    <cellStyle name="Accent2 320" xfId="26095"/>
    <cellStyle name="Accent2 321" xfId="26096"/>
    <cellStyle name="Accent2 322" xfId="26097"/>
    <cellStyle name="Accent2 323" xfId="26098"/>
    <cellStyle name="Accent2 324" xfId="26099"/>
    <cellStyle name="Accent2 325" xfId="26100"/>
    <cellStyle name="Accent2 326" xfId="26101"/>
    <cellStyle name="Accent2 327" xfId="26102"/>
    <cellStyle name="Accent2 328" xfId="26103"/>
    <cellStyle name="Accent2 329" xfId="26104"/>
    <cellStyle name="Accent2 33" xfId="26105"/>
    <cellStyle name="Accent2 330" xfId="26106"/>
    <cellStyle name="Accent2 331" xfId="26107"/>
    <cellStyle name="Accent2 332" xfId="26108"/>
    <cellStyle name="Accent2 333" xfId="26109"/>
    <cellStyle name="Accent2 334" xfId="26110"/>
    <cellStyle name="Accent2 335" xfId="26111"/>
    <cellStyle name="Accent2 336" xfId="26112"/>
    <cellStyle name="Accent2 337" xfId="26113"/>
    <cellStyle name="Accent2 338" xfId="26114"/>
    <cellStyle name="Accent2 339" xfId="26115"/>
    <cellStyle name="Accent2 34" xfId="26116"/>
    <cellStyle name="Accent2 340" xfId="26117"/>
    <cellStyle name="Accent2 341" xfId="26118"/>
    <cellStyle name="Accent2 342" xfId="26119"/>
    <cellStyle name="Accent2 343" xfId="26120"/>
    <cellStyle name="Accent2 344" xfId="26121"/>
    <cellStyle name="Accent2 345" xfId="26122"/>
    <cellStyle name="Accent2 346" xfId="26123"/>
    <cellStyle name="Accent2 347" xfId="26124"/>
    <cellStyle name="Accent2 348" xfId="26125"/>
    <cellStyle name="Accent2 349" xfId="26126"/>
    <cellStyle name="Accent2 35" xfId="26127"/>
    <cellStyle name="Accent2 350" xfId="26128"/>
    <cellStyle name="Accent2 351" xfId="26129"/>
    <cellStyle name="Accent2 352" xfId="26130"/>
    <cellStyle name="Accent2 353" xfId="26131"/>
    <cellStyle name="Accent2 354" xfId="26132"/>
    <cellStyle name="Accent2 355" xfId="26133"/>
    <cellStyle name="Accent2 356" xfId="26134"/>
    <cellStyle name="Accent2 357" xfId="26135"/>
    <cellStyle name="Accent2 358" xfId="26136"/>
    <cellStyle name="Accent2 359" xfId="26137"/>
    <cellStyle name="Accent2 36" xfId="26138"/>
    <cellStyle name="Accent2 360" xfId="26139"/>
    <cellStyle name="Accent2 361" xfId="26140"/>
    <cellStyle name="Accent2 362" xfId="26141"/>
    <cellStyle name="Accent2 363" xfId="26142"/>
    <cellStyle name="Accent2 364" xfId="26143"/>
    <cellStyle name="Accent2 365" xfId="26144"/>
    <cellStyle name="Accent2 366" xfId="26145"/>
    <cellStyle name="Accent2 367" xfId="26146"/>
    <cellStyle name="Accent2 368" xfId="26147"/>
    <cellStyle name="Accent2 369" xfId="26148"/>
    <cellStyle name="Accent2 37" xfId="26149"/>
    <cellStyle name="Accent2 370" xfId="26150"/>
    <cellStyle name="Accent2 371" xfId="26151"/>
    <cellStyle name="Accent2 372" xfId="26152"/>
    <cellStyle name="Accent2 373" xfId="26153"/>
    <cellStyle name="Accent2 374" xfId="26154"/>
    <cellStyle name="Accent2 375" xfId="26155"/>
    <cellStyle name="Accent2 376" xfId="26156"/>
    <cellStyle name="Accent2 377" xfId="26157"/>
    <cellStyle name="Accent2 378" xfId="26158"/>
    <cellStyle name="Accent2 379" xfId="26159"/>
    <cellStyle name="Accent2 38" xfId="26160"/>
    <cellStyle name="Accent2 380" xfId="26161"/>
    <cellStyle name="Accent2 381" xfId="26162"/>
    <cellStyle name="Accent2 382" xfId="26163"/>
    <cellStyle name="Accent2 383" xfId="26164"/>
    <cellStyle name="Accent2 384" xfId="26165"/>
    <cellStyle name="Accent2 385" xfId="26166"/>
    <cellStyle name="Accent2 386" xfId="26167"/>
    <cellStyle name="Accent2 387" xfId="26168"/>
    <cellStyle name="Accent2 388" xfId="26169"/>
    <cellStyle name="Accent2 389" xfId="26170"/>
    <cellStyle name="Accent2 39" xfId="26171"/>
    <cellStyle name="Accent2 390" xfId="26172"/>
    <cellStyle name="Accent2 391" xfId="26173"/>
    <cellStyle name="Accent2 392" xfId="26174"/>
    <cellStyle name="Accent2 393" xfId="26175"/>
    <cellStyle name="Accent2 394" xfId="26176"/>
    <cellStyle name="Accent2 395" xfId="26177"/>
    <cellStyle name="Accent2 396" xfId="26178"/>
    <cellStyle name="Accent2 397" xfId="26179"/>
    <cellStyle name="Accent2 398" xfId="26180"/>
    <cellStyle name="Accent2 399" xfId="58394"/>
    <cellStyle name="Accent2 4" xfId="26181"/>
    <cellStyle name="Accent2 4 2" xfId="26182"/>
    <cellStyle name="Accent2 4 3" xfId="26183"/>
    <cellStyle name="Accent2 4 4" xfId="58395"/>
    <cellStyle name="Accent2 40" xfId="26184"/>
    <cellStyle name="Accent2 41" xfId="26185"/>
    <cellStyle name="Accent2 42" xfId="26186"/>
    <cellStyle name="Accent2 43" xfId="26187"/>
    <cellStyle name="Accent2 44" xfId="26188"/>
    <cellStyle name="Accent2 45" xfId="26189"/>
    <cellStyle name="Accent2 46" xfId="26190"/>
    <cellStyle name="Accent2 47" xfId="26191"/>
    <cellStyle name="Accent2 48" xfId="26192"/>
    <cellStyle name="Accent2 49" xfId="26193"/>
    <cellStyle name="Accent2 5" xfId="26194"/>
    <cellStyle name="Accent2 5 2" xfId="26195"/>
    <cellStyle name="Accent2 5 3" xfId="26196"/>
    <cellStyle name="Accent2 5 4" xfId="26197"/>
    <cellStyle name="Accent2 50" xfId="26198"/>
    <cellStyle name="Accent2 51" xfId="26199"/>
    <cellStyle name="Accent2 52" xfId="26200"/>
    <cellStyle name="Accent2 53" xfId="26201"/>
    <cellStyle name="Accent2 54" xfId="26202"/>
    <cellStyle name="Accent2 55" xfId="26203"/>
    <cellStyle name="Accent2 56" xfId="26204"/>
    <cellStyle name="Accent2 57" xfId="26205"/>
    <cellStyle name="Accent2 58" xfId="26206"/>
    <cellStyle name="Accent2 59" xfId="26207"/>
    <cellStyle name="Accent2 6" xfId="26208"/>
    <cellStyle name="Accent2 6 2" xfId="26209"/>
    <cellStyle name="Accent2 6 3" xfId="26210"/>
    <cellStyle name="Accent2 6 4" xfId="26211"/>
    <cellStyle name="Accent2 60" xfId="26212"/>
    <cellStyle name="Accent2 61" xfId="26213"/>
    <cellStyle name="Accent2 62" xfId="26214"/>
    <cellStyle name="Accent2 63" xfId="26215"/>
    <cellStyle name="Accent2 64" xfId="26216"/>
    <cellStyle name="Accent2 65" xfId="26217"/>
    <cellStyle name="Accent2 66" xfId="26218"/>
    <cellStyle name="Accent2 67" xfId="26219"/>
    <cellStyle name="Accent2 68" xfId="26220"/>
    <cellStyle name="Accent2 69" xfId="26221"/>
    <cellStyle name="Accent2 7" xfId="26222"/>
    <cellStyle name="Accent2 7 2" xfId="26223"/>
    <cellStyle name="Accent2 7 3" xfId="26224"/>
    <cellStyle name="Accent2 7 4" xfId="26225"/>
    <cellStyle name="Accent2 70" xfId="26226"/>
    <cellStyle name="Accent2 71" xfId="26227"/>
    <cellStyle name="Accent2 72" xfId="26228"/>
    <cellStyle name="Accent2 73" xfId="26229"/>
    <cellStyle name="Accent2 74" xfId="26230"/>
    <cellStyle name="Accent2 75" xfId="26231"/>
    <cellStyle name="Accent2 76" xfId="26232"/>
    <cellStyle name="Accent2 77" xfId="26233"/>
    <cellStyle name="Accent2 78" xfId="26234"/>
    <cellStyle name="Accent2 79" xfId="26235"/>
    <cellStyle name="Accent2 8" xfId="26236"/>
    <cellStyle name="Accent2 8 2" xfId="26237"/>
    <cellStyle name="Accent2 8 3" xfId="26238"/>
    <cellStyle name="Accent2 80" xfId="26239"/>
    <cellStyle name="Accent2 81" xfId="26240"/>
    <cellStyle name="Accent2 82" xfId="26241"/>
    <cellStyle name="Accent2 83" xfId="26242"/>
    <cellStyle name="Accent2 84" xfId="26243"/>
    <cellStyle name="Accent2 85" xfId="26244"/>
    <cellStyle name="Accent2 86" xfId="26245"/>
    <cellStyle name="Accent2 87" xfId="26246"/>
    <cellStyle name="Accent2 88" xfId="26247"/>
    <cellStyle name="Accent2 89" xfId="26248"/>
    <cellStyle name="Accent2 9" xfId="26249"/>
    <cellStyle name="Accent2 9 2" xfId="26250"/>
    <cellStyle name="Accent2 9 3" xfId="26251"/>
    <cellStyle name="Accent2 90" xfId="26252"/>
    <cellStyle name="Accent2 91" xfId="26253"/>
    <cellStyle name="Accent2 92" xfId="26254"/>
    <cellStyle name="Accent2 93" xfId="26255"/>
    <cellStyle name="Accent2 94" xfId="26256"/>
    <cellStyle name="Accent2 95" xfId="26257"/>
    <cellStyle name="Accent2 96" xfId="26258"/>
    <cellStyle name="Accent2 97" xfId="26259"/>
    <cellStyle name="Accent2 98" xfId="26260"/>
    <cellStyle name="Accent2 99" xfId="26261"/>
    <cellStyle name="Accent3 - 20%" xfId="26262"/>
    <cellStyle name="Accent3 - 40%" xfId="26263"/>
    <cellStyle name="Accent3 - 60%" xfId="26264"/>
    <cellStyle name="Accent3 10" xfId="26265"/>
    <cellStyle name="Accent3 10 2" xfId="26266"/>
    <cellStyle name="Accent3 10 3" xfId="26267"/>
    <cellStyle name="Accent3 100" xfId="26268"/>
    <cellStyle name="Accent3 101" xfId="26269"/>
    <cellStyle name="Accent3 102" xfId="26270"/>
    <cellStyle name="Accent3 103" xfId="26271"/>
    <cellStyle name="Accent3 104" xfId="26272"/>
    <cellStyle name="Accent3 105" xfId="26273"/>
    <cellStyle name="Accent3 106" xfId="26274"/>
    <cellStyle name="Accent3 107" xfId="26275"/>
    <cellStyle name="Accent3 108" xfId="26276"/>
    <cellStyle name="Accent3 109" xfId="26277"/>
    <cellStyle name="Accent3 11" xfId="26278"/>
    <cellStyle name="Accent3 11 2" xfId="26279"/>
    <cellStyle name="Accent3 11 3" xfId="26280"/>
    <cellStyle name="Accent3 110" xfId="26281"/>
    <cellStyle name="Accent3 111" xfId="26282"/>
    <cellStyle name="Accent3 112" xfId="26283"/>
    <cellStyle name="Accent3 113" xfId="26284"/>
    <cellStyle name="Accent3 114" xfId="26285"/>
    <cellStyle name="Accent3 115" xfId="26286"/>
    <cellStyle name="Accent3 116" xfId="26287"/>
    <cellStyle name="Accent3 117" xfId="26288"/>
    <cellStyle name="Accent3 118" xfId="26289"/>
    <cellStyle name="Accent3 119" xfId="26290"/>
    <cellStyle name="Accent3 12" xfId="26291"/>
    <cellStyle name="Accent3 12 2" xfId="26292"/>
    <cellStyle name="Accent3 12 3" xfId="26293"/>
    <cellStyle name="Accent3 120" xfId="26294"/>
    <cellStyle name="Accent3 121" xfId="26295"/>
    <cellStyle name="Accent3 122" xfId="26296"/>
    <cellStyle name="Accent3 123" xfId="26297"/>
    <cellStyle name="Accent3 124" xfId="26298"/>
    <cellStyle name="Accent3 125" xfId="26299"/>
    <cellStyle name="Accent3 126" xfId="26300"/>
    <cellStyle name="Accent3 127" xfId="26301"/>
    <cellStyle name="Accent3 128" xfId="26302"/>
    <cellStyle name="Accent3 129" xfId="26303"/>
    <cellStyle name="Accent3 13" xfId="26304"/>
    <cellStyle name="Accent3 13 2" xfId="26305"/>
    <cellStyle name="Accent3 13 3" xfId="26306"/>
    <cellStyle name="Accent3 130" xfId="26307"/>
    <cellStyle name="Accent3 131" xfId="26308"/>
    <cellStyle name="Accent3 132" xfId="26309"/>
    <cellStyle name="Accent3 133" xfId="26310"/>
    <cellStyle name="Accent3 134" xfId="26311"/>
    <cellStyle name="Accent3 135" xfId="26312"/>
    <cellStyle name="Accent3 136" xfId="26313"/>
    <cellStyle name="Accent3 137" xfId="26314"/>
    <cellStyle name="Accent3 138" xfId="26315"/>
    <cellStyle name="Accent3 139" xfId="26316"/>
    <cellStyle name="Accent3 14" xfId="26317"/>
    <cellStyle name="Accent3 14 2" xfId="26318"/>
    <cellStyle name="Accent3 14 3" xfId="26319"/>
    <cellStyle name="Accent3 140" xfId="26320"/>
    <cellStyle name="Accent3 141" xfId="26321"/>
    <cellStyle name="Accent3 142" xfId="26322"/>
    <cellStyle name="Accent3 143" xfId="26323"/>
    <cellStyle name="Accent3 144" xfId="26324"/>
    <cellStyle name="Accent3 145" xfId="26325"/>
    <cellStyle name="Accent3 146" xfId="26326"/>
    <cellStyle name="Accent3 147" xfId="26327"/>
    <cellStyle name="Accent3 148" xfId="26328"/>
    <cellStyle name="Accent3 149" xfId="26329"/>
    <cellStyle name="Accent3 15" xfId="26330"/>
    <cellStyle name="Accent3 15 2" xfId="26331"/>
    <cellStyle name="Accent3 15 3" xfId="26332"/>
    <cellStyle name="Accent3 150" xfId="26333"/>
    <cellStyle name="Accent3 151" xfId="26334"/>
    <cellStyle name="Accent3 152" xfId="26335"/>
    <cellStyle name="Accent3 153" xfId="26336"/>
    <cellStyle name="Accent3 154" xfId="26337"/>
    <cellStyle name="Accent3 155" xfId="26338"/>
    <cellStyle name="Accent3 156" xfId="26339"/>
    <cellStyle name="Accent3 157" xfId="26340"/>
    <cellStyle name="Accent3 158" xfId="26341"/>
    <cellStyle name="Accent3 159" xfId="26342"/>
    <cellStyle name="Accent3 16" xfId="26343"/>
    <cellStyle name="Accent3 16 2" xfId="26344"/>
    <cellStyle name="Accent3 16 3" xfId="26345"/>
    <cellStyle name="Accent3 160" xfId="26346"/>
    <cellStyle name="Accent3 161" xfId="26347"/>
    <cellStyle name="Accent3 162" xfId="26348"/>
    <cellStyle name="Accent3 163" xfId="26349"/>
    <cellStyle name="Accent3 164" xfId="26350"/>
    <cellStyle name="Accent3 165" xfId="26351"/>
    <cellStyle name="Accent3 166" xfId="26352"/>
    <cellStyle name="Accent3 167" xfId="26353"/>
    <cellStyle name="Accent3 168" xfId="26354"/>
    <cellStyle name="Accent3 169" xfId="26355"/>
    <cellStyle name="Accent3 17" xfId="26356"/>
    <cellStyle name="Accent3 17 2" xfId="26357"/>
    <cellStyle name="Accent3 17 3" xfId="26358"/>
    <cellStyle name="Accent3 170" xfId="26359"/>
    <cellStyle name="Accent3 171" xfId="26360"/>
    <cellStyle name="Accent3 172" xfId="26361"/>
    <cellStyle name="Accent3 173" xfId="26362"/>
    <cellStyle name="Accent3 174" xfId="26363"/>
    <cellStyle name="Accent3 175" xfId="26364"/>
    <cellStyle name="Accent3 176" xfId="26365"/>
    <cellStyle name="Accent3 177" xfId="26366"/>
    <cellStyle name="Accent3 178" xfId="26367"/>
    <cellStyle name="Accent3 179" xfId="26368"/>
    <cellStyle name="Accent3 18" xfId="26369"/>
    <cellStyle name="Accent3 18 2" xfId="26370"/>
    <cellStyle name="Accent3 18 3" xfId="26371"/>
    <cellStyle name="Accent3 180" xfId="26372"/>
    <cellStyle name="Accent3 181" xfId="26373"/>
    <cellStyle name="Accent3 182" xfId="26374"/>
    <cellStyle name="Accent3 183" xfId="26375"/>
    <cellStyle name="Accent3 184" xfId="26376"/>
    <cellStyle name="Accent3 185" xfId="26377"/>
    <cellStyle name="Accent3 186" xfId="26378"/>
    <cellStyle name="Accent3 187" xfId="26379"/>
    <cellStyle name="Accent3 188" xfId="26380"/>
    <cellStyle name="Accent3 189" xfId="26381"/>
    <cellStyle name="Accent3 19" xfId="26382"/>
    <cellStyle name="Accent3 190" xfId="26383"/>
    <cellStyle name="Accent3 191" xfId="26384"/>
    <cellStyle name="Accent3 192" xfId="26385"/>
    <cellStyle name="Accent3 193" xfId="26386"/>
    <cellStyle name="Accent3 194" xfId="26387"/>
    <cellStyle name="Accent3 195" xfId="26388"/>
    <cellStyle name="Accent3 196" xfId="26389"/>
    <cellStyle name="Accent3 197" xfId="26390"/>
    <cellStyle name="Accent3 198" xfId="26391"/>
    <cellStyle name="Accent3 199" xfId="26392"/>
    <cellStyle name="Accent3 2" xfId="26393"/>
    <cellStyle name="Accent3 2 2" xfId="26394"/>
    <cellStyle name="Accent3 2 2 2" xfId="26395"/>
    <cellStyle name="Accent3 2 2 2 2" xfId="26396"/>
    <cellStyle name="Accent3 2 2 2_PM Okt 2014 Plan VS Actual Planning Workshop" xfId="26397"/>
    <cellStyle name="Accent3 2 2 3" xfId="26398"/>
    <cellStyle name="Accent3 2 2 4" xfId="26399"/>
    <cellStyle name="Accent3 2 3" xfId="26400"/>
    <cellStyle name="Accent3 2 3 2" xfId="26401"/>
    <cellStyle name="Accent3 2 3 2 2" xfId="26402"/>
    <cellStyle name="Accent3 2 3 2_PM Okt 2014 Plan VS Actual Planning Workshop" xfId="26403"/>
    <cellStyle name="Accent3 2 3 3" xfId="26404"/>
    <cellStyle name="Accent3 2 4" xfId="26405"/>
    <cellStyle name="Accent3 2 4 2" xfId="26406"/>
    <cellStyle name="Accent3 2 5" xfId="26407"/>
    <cellStyle name="Accent3 2_Copy of PREPAID INSURANCE - ASSETS (deni)" xfId="26408"/>
    <cellStyle name="Accent3 20" xfId="26409"/>
    <cellStyle name="Accent3 200" xfId="26410"/>
    <cellStyle name="Accent3 201" xfId="26411"/>
    <cellStyle name="Accent3 202" xfId="26412"/>
    <cellStyle name="Accent3 203" xfId="26413"/>
    <cellStyle name="Accent3 204" xfId="26414"/>
    <cellStyle name="Accent3 205" xfId="26415"/>
    <cellStyle name="Accent3 206" xfId="26416"/>
    <cellStyle name="Accent3 207" xfId="26417"/>
    <cellStyle name="Accent3 208" xfId="26418"/>
    <cellStyle name="Accent3 209" xfId="26419"/>
    <cellStyle name="Accent3 21" xfId="26420"/>
    <cellStyle name="Accent3 210" xfId="26421"/>
    <cellStyle name="Accent3 211" xfId="26422"/>
    <cellStyle name="Accent3 212" xfId="26423"/>
    <cellStyle name="Accent3 213" xfId="26424"/>
    <cellStyle name="Accent3 214" xfId="26425"/>
    <cellStyle name="Accent3 215" xfId="26426"/>
    <cellStyle name="Accent3 216" xfId="26427"/>
    <cellStyle name="Accent3 217" xfId="26428"/>
    <cellStyle name="Accent3 218" xfId="26429"/>
    <cellStyle name="Accent3 219" xfId="26430"/>
    <cellStyle name="Accent3 22" xfId="26431"/>
    <cellStyle name="Accent3 220" xfId="26432"/>
    <cellStyle name="Accent3 221" xfId="26433"/>
    <cellStyle name="Accent3 222" xfId="26434"/>
    <cellStyle name="Accent3 223" xfId="26435"/>
    <cellStyle name="Accent3 224" xfId="26436"/>
    <cellStyle name="Accent3 225" xfId="26437"/>
    <cellStyle name="Accent3 226" xfId="26438"/>
    <cellStyle name="Accent3 227" xfId="26439"/>
    <cellStyle name="Accent3 228" xfId="26440"/>
    <cellStyle name="Accent3 229" xfId="26441"/>
    <cellStyle name="Accent3 23" xfId="26442"/>
    <cellStyle name="Accent3 230" xfId="26443"/>
    <cellStyle name="Accent3 231" xfId="26444"/>
    <cellStyle name="Accent3 232" xfId="26445"/>
    <cellStyle name="Accent3 233" xfId="26446"/>
    <cellStyle name="Accent3 234" xfId="26447"/>
    <cellStyle name="Accent3 235" xfId="26448"/>
    <cellStyle name="Accent3 236" xfId="26449"/>
    <cellStyle name="Accent3 237" xfId="26450"/>
    <cellStyle name="Accent3 238" xfId="26451"/>
    <cellStyle name="Accent3 239" xfId="26452"/>
    <cellStyle name="Accent3 24" xfId="26453"/>
    <cellStyle name="Accent3 240" xfId="26454"/>
    <cellStyle name="Accent3 241" xfId="26455"/>
    <cellStyle name="Accent3 242" xfId="26456"/>
    <cellStyle name="Accent3 243" xfId="26457"/>
    <cellStyle name="Accent3 244" xfId="26458"/>
    <cellStyle name="Accent3 245" xfId="26459"/>
    <cellStyle name="Accent3 246" xfId="26460"/>
    <cellStyle name="Accent3 247" xfId="26461"/>
    <cellStyle name="Accent3 248" xfId="26462"/>
    <cellStyle name="Accent3 249" xfId="26463"/>
    <cellStyle name="Accent3 25" xfId="26464"/>
    <cellStyle name="Accent3 250" xfId="26465"/>
    <cellStyle name="Accent3 251" xfId="26466"/>
    <cellStyle name="Accent3 252" xfId="26467"/>
    <cellStyle name="Accent3 253" xfId="26468"/>
    <cellStyle name="Accent3 254" xfId="26469"/>
    <cellStyle name="Accent3 255" xfId="26470"/>
    <cellStyle name="Accent3 256" xfId="26471"/>
    <cellStyle name="Accent3 257" xfId="26472"/>
    <cellStyle name="Accent3 258" xfId="26473"/>
    <cellStyle name="Accent3 259" xfId="26474"/>
    <cellStyle name="Accent3 26" xfId="26475"/>
    <cellStyle name="Accent3 260" xfId="26476"/>
    <cellStyle name="Accent3 261" xfId="26477"/>
    <cellStyle name="Accent3 262" xfId="26478"/>
    <cellStyle name="Accent3 263" xfId="26479"/>
    <cellStyle name="Accent3 264" xfId="26480"/>
    <cellStyle name="Accent3 265" xfId="26481"/>
    <cellStyle name="Accent3 266" xfId="26482"/>
    <cellStyle name="Accent3 267" xfId="26483"/>
    <cellStyle name="Accent3 268" xfId="26484"/>
    <cellStyle name="Accent3 269" xfId="26485"/>
    <cellStyle name="Accent3 27" xfId="26486"/>
    <cellStyle name="Accent3 270" xfId="26487"/>
    <cellStyle name="Accent3 271" xfId="26488"/>
    <cellStyle name="Accent3 272" xfId="26489"/>
    <cellStyle name="Accent3 273" xfId="26490"/>
    <cellStyle name="Accent3 274" xfId="26491"/>
    <cellStyle name="Accent3 275" xfId="26492"/>
    <cellStyle name="Accent3 276" xfId="26493"/>
    <cellStyle name="Accent3 277" xfId="26494"/>
    <cellStyle name="Accent3 278" xfId="26495"/>
    <cellStyle name="Accent3 279" xfId="26496"/>
    <cellStyle name="Accent3 28" xfId="26497"/>
    <cellStyle name="Accent3 280" xfId="26498"/>
    <cellStyle name="Accent3 281" xfId="26499"/>
    <cellStyle name="Accent3 282" xfId="26500"/>
    <cellStyle name="Accent3 283" xfId="26501"/>
    <cellStyle name="Accent3 284" xfId="26502"/>
    <cellStyle name="Accent3 285" xfId="26503"/>
    <cellStyle name="Accent3 286" xfId="26504"/>
    <cellStyle name="Accent3 287" xfId="26505"/>
    <cellStyle name="Accent3 288" xfId="26506"/>
    <cellStyle name="Accent3 289" xfId="26507"/>
    <cellStyle name="Accent3 29" xfId="26508"/>
    <cellStyle name="Accent3 290" xfId="26509"/>
    <cellStyle name="Accent3 291" xfId="26510"/>
    <cellStyle name="Accent3 292" xfId="26511"/>
    <cellStyle name="Accent3 293" xfId="26512"/>
    <cellStyle name="Accent3 294" xfId="26513"/>
    <cellStyle name="Accent3 295" xfId="26514"/>
    <cellStyle name="Accent3 296" xfId="26515"/>
    <cellStyle name="Accent3 297" xfId="26516"/>
    <cellStyle name="Accent3 298" xfId="26517"/>
    <cellStyle name="Accent3 299" xfId="26518"/>
    <cellStyle name="Accent3 3" xfId="26519"/>
    <cellStyle name="Accent3 3 2" xfId="26520"/>
    <cellStyle name="Accent3 3 3" xfId="26521"/>
    <cellStyle name="Accent3 30" xfId="26522"/>
    <cellStyle name="Accent3 300" xfId="26523"/>
    <cellStyle name="Accent3 301" xfId="26524"/>
    <cellStyle name="Accent3 302" xfId="26525"/>
    <cellStyle name="Accent3 303" xfId="26526"/>
    <cellStyle name="Accent3 304" xfId="26527"/>
    <cellStyle name="Accent3 305" xfId="26528"/>
    <cellStyle name="Accent3 306" xfId="26529"/>
    <cellStyle name="Accent3 307" xfId="26530"/>
    <cellStyle name="Accent3 308" xfId="26531"/>
    <cellStyle name="Accent3 309" xfId="26532"/>
    <cellStyle name="Accent3 31" xfId="26533"/>
    <cellStyle name="Accent3 310" xfId="26534"/>
    <cellStyle name="Accent3 311" xfId="26535"/>
    <cellStyle name="Accent3 312" xfId="26536"/>
    <cellStyle name="Accent3 313" xfId="26537"/>
    <cellStyle name="Accent3 314" xfId="26538"/>
    <cellStyle name="Accent3 315" xfId="26539"/>
    <cellStyle name="Accent3 316" xfId="26540"/>
    <cellStyle name="Accent3 317" xfId="26541"/>
    <cellStyle name="Accent3 318" xfId="26542"/>
    <cellStyle name="Accent3 319" xfId="26543"/>
    <cellStyle name="Accent3 32" xfId="26544"/>
    <cellStyle name="Accent3 320" xfId="26545"/>
    <cellStyle name="Accent3 321" xfId="26546"/>
    <cellStyle name="Accent3 322" xfId="26547"/>
    <cellStyle name="Accent3 323" xfId="26548"/>
    <cellStyle name="Accent3 324" xfId="26549"/>
    <cellStyle name="Accent3 325" xfId="26550"/>
    <cellStyle name="Accent3 326" xfId="26551"/>
    <cellStyle name="Accent3 327" xfId="26552"/>
    <cellStyle name="Accent3 328" xfId="26553"/>
    <cellStyle name="Accent3 329" xfId="26554"/>
    <cellStyle name="Accent3 33" xfId="26555"/>
    <cellStyle name="Accent3 330" xfId="26556"/>
    <cellStyle name="Accent3 331" xfId="26557"/>
    <cellStyle name="Accent3 332" xfId="26558"/>
    <cellStyle name="Accent3 333" xfId="26559"/>
    <cellStyle name="Accent3 334" xfId="26560"/>
    <cellStyle name="Accent3 335" xfId="26561"/>
    <cellStyle name="Accent3 336" xfId="26562"/>
    <cellStyle name="Accent3 337" xfId="26563"/>
    <cellStyle name="Accent3 338" xfId="26564"/>
    <cellStyle name="Accent3 339" xfId="26565"/>
    <cellStyle name="Accent3 34" xfId="26566"/>
    <cellStyle name="Accent3 340" xfId="26567"/>
    <cellStyle name="Accent3 341" xfId="26568"/>
    <cellStyle name="Accent3 342" xfId="26569"/>
    <cellStyle name="Accent3 343" xfId="26570"/>
    <cellStyle name="Accent3 344" xfId="26571"/>
    <cellStyle name="Accent3 345" xfId="26572"/>
    <cellStyle name="Accent3 346" xfId="26573"/>
    <cellStyle name="Accent3 347" xfId="26574"/>
    <cellStyle name="Accent3 348" xfId="26575"/>
    <cellStyle name="Accent3 349" xfId="26576"/>
    <cellStyle name="Accent3 35" xfId="26577"/>
    <cellStyle name="Accent3 350" xfId="26578"/>
    <cellStyle name="Accent3 351" xfId="26579"/>
    <cellStyle name="Accent3 352" xfId="26580"/>
    <cellStyle name="Accent3 353" xfId="26581"/>
    <cellStyle name="Accent3 354" xfId="26582"/>
    <cellStyle name="Accent3 355" xfId="26583"/>
    <cellStyle name="Accent3 356" xfId="26584"/>
    <cellStyle name="Accent3 357" xfId="26585"/>
    <cellStyle name="Accent3 358" xfId="26586"/>
    <cellStyle name="Accent3 359" xfId="26587"/>
    <cellStyle name="Accent3 36" xfId="26588"/>
    <cellStyle name="Accent3 360" xfId="26589"/>
    <cellStyle name="Accent3 361" xfId="26590"/>
    <cellStyle name="Accent3 362" xfId="26591"/>
    <cellStyle name="Accent3 363" xfId="26592"/>
    <cellStyle name="Accent3 364" xfId="26593"/>
    <cellStyle name="Accent3 365" xfId="26594"/>
    <cellStyle name="Accent3 366" xfId="26595"/>
    <cellStyle name="Accent3 367" xfId="26596"/>
    <cellStyle name="Accent3 368" xfId="26597"/>
    <cellStyle name="Accent3 369" xfId="26598"/>
    <cellStyle name="Accent3 37" xfId="26599"/>
    <cellStyle name="Accent3 370" xfId="26600"/>
    <cellStyle name="Accent3 371" xfId="26601"/>
    <cellStyle name="Accent3 372" xfId="26602"/>
    <cellStyle name="Accent3 373" xfId="26603"/>
    <cellStyle name="Accent3 374" xfId="26604"/>
    <cellStyle name="Accent3 375" xfId="26605"/>
    <cellStyle name="Accent3 376" xfId="26606"/>
    <cellStyle name="Accent3 377" xfId="26607"/>
    <cellStyle name="Accent3 378" xfId="26608"/>
    <cellStyle name="Accent3 379" xfId="26609"/>
    <cellStyle name="Accent3 38" xfId="26610"/>
    <cellStyle name="Accent3 380" xfId="26611"/>
    <cellStyle name="Accent3 381" xfId="26612"/>
    <cellStyle name="Accent3 382" xfId="26613"/>
    <cellStyle name="Accent3 383" xfId="26614"/>
    <cellStyle name="Accent3 384" xfId="26615"/>
    <cellStyle name="Accent3 385" xfId="26616"/>
    <cellStyle name="Accent3 386" xfId="26617"/>
    <cellStyle name="Accent3 387" xfId="26618"/>
    <cellStyle name="Accent3 388" xfId="26619"/>
    <cellStyle name="Accent3 389" xfId="26620"/>
    <cellStyle name="Accent3 39" xfId="26621"/>
    <cellStyle name="Accent3 390" xfId="26622"/>
    <cellStyle name="Accent3 391" xfId="26623"/>
    <cellStyle name="Accent3 392" xfId="26624"/>
    <cellStyle name="Accent3 393" xfId="26625"/>
    <cellStyle name="Accent3 394" xfId="26626"/>
    <cellStyle name="Accent3 395" xfId="26627"/>
    <cellStyle name="Accent3 396" xfId="26628"/>
    <cellStyle name="Accent3 397" xfId="26629"/>
    <cellStyle name="Accent3 398" xfId="26630"/>
    <cellStyle name="Accent3 399" xfId="58396"/>
    <cellStyle name="Accent3 4" xfId="26631"/>
    <cellStyle name="Accent3 4 2" xfId="26632"/>
    <cellStyle name="Accent3 4 3" xfId="26633"/>
    <cellStyle name="Accent3 4 4" xfId="58397"/>
    <cellStyle name="Accent3 40" xfId="26634"/>
    <cellStyle name="Accent3 41" xfId="26635"/>
    <cellStyle name="Accent3 42" xfId="26636"/>
    <cellStyle name="Accent3 43" xfId="26637"/>
    <cellStyle name="Accent3 44" xfId="26638"/>
    <cellStyle name="Accent3 45" xfId="26639"/>
    <cellStyle name="Accent3 46" xfId="26640"/>
    <cellStyle name="Accent3 47" xfId="26641"/>
    <cellStyle name="Accent3 48" xfId="26642"/>
    <cellStyle name="Accent3 49" xfId="26643"/>
    <cellStyle name="Accent3 5" xfId="26644"/>
    <cellStyle name="Accent3 5 2" xfId="26645"/>
    <cellStyle name="Accent3 5 3" xfId="26646"/>
    <cellStyle name="Accent3 5 4" xfId="26647"/>
    <cellStyle name="Accent3 50" xfId="26648"/>
    <cellStyle name="Accent3 51" xfId="26649"/>
    <cellStyle name="Accent3 52" xfId="26650"/>
    <cellStyle name="Accent3 53" xfId="26651"/>
    <cellStyle name="Accent3 54" xfId="26652"/>
    <cellStyle name="Accent3 55" xfId="26653"/>
    <cellStyle name="Accent3 56" xfId="26654"/>
    <cellStyle name="Accent3 57" xfId="26655"/>
    <cellStyle name="Accent3 58" xfId="26656"/>
    <cellStyle name="Accent3 59" xfId="26657"/>
    <cellStyle name="Accent3 6" xfId="26658"/>
    <cellStyle name="Accent3 6 2" xfId="26659"/>
    <cellStyle name="Accent3 6 3" xfId="26660"/>
    <cellStyle name="Accent3 6 4" xfId="26661"/>
    <cellStyle name="Accent3 60" xfId="26662"/>
    <cellStyle name="Accent3 61" xfId="26663"/>
    <cellStyle name="Accent3 62" xfId="26664"/>
    <cellStyle name="Accent3 63" xfId="26665"/>
    <cellStyle name="Accent3 64" xfId="26666"/>
    <cellStyle name="Accent3 65" xfId="26667"/>
    <cellStyle name="Accent3 66" xfId="26668"/>
    <cellStyle name="Accent3 67" xfId="26669"/>
    <cellStyle name="Accent3 68" xfId="26670"/>
    <cellStyle name="Accent3 69" xfId="26671"/>
    <cellStyle name="Accent3 7" xfId="26672"/>
    <cellStyle name="Accent3 7 2" xfId="26673"/>
    <cellStyle name="Accent3 7 3" xfId="26674"/>
    <cellStyle name="Accent3 7 4" xfId="26675"/>
    <cellStyle name="Accent3 70" xfId="26676"/>
    <cellStyle name="Accent3 71" xfId="26677"/>
    <cellStyle name="Accent3 72" xfId="26678"/>
    <cellStyle name="Accent3 73" xfId="26679"/>
    <cellStyle name="Accent3 74" xfId="26680"/>
    <cellStyle name="Accent3 75" xfId="26681"/>
    <cellStyle name="Accent3 76" xfId="26682"/>
    <cellStyle name="Accent3 77" xfId="26683"/>
    <cellStyle name="Accent3 78" xfId="26684"/>
    <cellStyle name="Accent3 79" xfId="26685"/>
    <cellStyle name="Accent3 8" xfId="26686"/>
    <cellStyle name="Accent3 8 2" xfId="26687"/>
    <cellStyle name="Accent3 8 3" xfId="26688"/>
    <cellStyle name="Accent3 80" xfId="26689"/>
    <cellStyle name="Accent3 81" xfId="26690"/>
    <cellStyle name="Accent3 82" xfId="26691"/>
    <cellStyle name="Accent3 83" xfId="26692"/>
    <cellStyle name="Accent3 84" xfId="26693"/>
    <cellStyle name="Accent3 85" xfId="26694"/>
    <cellStyle name="Accent3 86" xfId="26695"/>
    <cellStyle name="Accent3 87" xfId="26696"/>
    <cellStyle name="Accent3 88" xfId="26697"/>
    <cellStyle name="Accent3 89" xfId="26698"/>
    <cellStyle name="Accent3 9" xfId="26699"/>
    <cellStyle name="Accent3 9 2" xfId="26700"/>
    <cellStyle name="Accent3 9 3" xfId="26701"/>
    <cellStyle name="Accent3 90" xfId="26702"/>
    <cellStyle name="Accent3 91" xfId="26703"/>
    <cellStyle name="Accent3 92" xfId="26704"/>
    <cellStyle name="Accent3 93" xfId="26705"/>
    <cellStyle name="Accent3 94" xfId="26706"/>
    <cellStyle name="Accent3 95" xfId="26707"/>
    <cellStyle name="Accent3 96" xfId="26708"/>
    <cellStyle name="Accent3 97" xfId="26709"/>
    <cellStyle name="Accent3 98" xfId="26710"/>
    <cellStyle name="Accent3 99" xfId="26711"/>
    <cellStyle name="Accent4 - 20%" xfId="26712"/>
    <cellStyle name="Accent4 - 40%" xfId="26713"/>
    <cellStyle name="Accent4 - 60%" xfId="26714"/>
    <cellStyle name="Accent4 10" xfId="26715"/>
    <cellStyle name="Accent4 10 2" xfId="26716"/>
    <cellStyle name="Accent4 10 3" xfId="26717"/>
    <cellStyle name="Accent4 100" xfId="26718"/>
    <cellStyle name="Accent4 101" xfId="26719"/>
    <cellStyle name="Accent4 102" xfId="26720"/>
    <cellStyle name="Accent4 103" xfId="26721"/>
    <cellStyle name="Accent4 104" xfId="26722"/>
    <cellStyle name="Accent4 105" xfId="26723"/>
    <cellStyle name="Accent4 106" xfId="26724"/>
    <cellStyle name="Accent4 107" xfId="26725"/>
    <cellStyle name="Accent4 108" xfId="26726"/>
    <cellStyle name="Accent4 109" xfId="26727"/>
    <cellStyle name="Accent4 11" xfId="26728"/>
    <cellStyle name="Accent4 11 2" xfId="26729"/>
    <cellStyle name="Accent4 11 3" xfId="26730"/>
    <cellStyle name="Accent4 110" xfId="26731"/>
    <cellStyle name="Accent4 111" xfId="26732"/>
    <cellStyle name="Accent4 112" xfId="26733"/>
    <cellStyle name="Accent4 113" xfId="26734"/>
    <cellStyle name="Accent4 114" xfId="26735"/>
    <cellStyle name="Accent4 115" xfId="26736"/>
    <cellStyle name="Accent4 116" xfId="26737"/>
    <cellStyle name="Accent4 117" xfId="26738"/>
    <cellStyle name="Accent4 118" xfId="26739"/>
    <cellStyle name="Accent4 119" xfId="26740"/>
    <cellStyle name="Accent4 12" xfId="26741"/>
    <cellStyle name="Accent4 12 2" xfId="26742"/>
    <cellStyle name="Accent4 12 3" xfId="26743"/>
    <cellStyle name="Accent4 120" xfId="26744"/>
    <cellStyle name="Accent4 121" xfId="26745"/>
    <cellStyle name="Accent4 122" xfId="26746"/>
    <cellStyle name="Accent4 123" xfId="26747"/>
    <cellStyle name="Accent4 124" xfId="26748"/>
    <cellStyle name="Accent4 125" xfId="26749"/>
    <cellStyle name="Accent4 126" xfId="26750"/>
    <cellStyle name="Accent4 127" xfId="26751"/>
    <cellStyle name="Accent4 128" xfId="26752"/>
    <cellStyle name="Accent4 129" xfId="26753"/>
    <cellStyle name="Accent4 13" xfId="26754"/>
    <cellStyle name="Accent4 13 2" xfId="26755"/>
    <cellStyle name="Accent4 13 3" xfId="26756"/>
    <cellStyle name="Accent4 130" xfId="26757"/>
    <cellStyle name="Accent4 131" xfId="26758"/>
    <cellStyle name="Accent4 132" xfId="26759"/>
    <cellStyle name="Accent4 133" xfId="26760"/>
    <cellStyle name="Accent4 134" xfId="26761"/>
    <cellStyle name="Accent4 135" xfId="26762"/>
    <cellStyle name="Accent4 136" xfId="26763"/>
    <cellStyle name="Accent4 137" xfId="26764"/>
    <cellStyle name="Accent4 138" xfId="26765"/>
    <cellStyle name="Accent4 139" xfId="26766"/>
    <cellStyle name="Accent4 14" xfId="26767"/>
    <cellStyle name="Accent4 14 2" xfId="26768"/>
    <cellStyle name="Accent4 14 3" xfId="26769"/>
    <cellStyle name="Accent4 140" xfId="26770"/>
    <cellStyle name="Accent4 141" xfId="26771"/>
    <cellStyle name="Accent4 142" xfId="26772"/>
    <cellStyle name="Accent4 143" xfId="26773"/>
    <cellStyle name="Accent4 144" xfId="26774"/>
    <cellStyle name="Accent4 145" xfId="26775"/>
    <cellStyle name="Accent4 146" xfId="26776"/>
    <cellStyle name="Accent4 147" xfId="26777"/>
    <cellStyle name="Accent4 148" xfId="26778"/>
    <cellStyle name="Accent4 149" xfId="26779"/>
    <cellStyle name="Accent4 15" xfId="26780"/>
    <cellStyle name="Accent4 15 2" xfId="26781"/>
    <cellStyle name="Accent4 15 3" xfId="26782"/>
    <cellStyle name="Accent4 150" xfId="26783"/>
    <cellStyle name="Accent4 151" xfId="26784"/>
    <cellStyle name="Accent4 152" xfId="26785"/>
    <cellStyle name="Accent4 153" xfId="26786"/>
    <cellStyle name="Accent4 154" xfId="26787"/>
    <cellStyle name="Accent4 155" xfId="26788"/>
    <cellStyle name="Accent4 156" xfId="26789"/>
    <cellStyle name="Accent4 157" xfId="26790"/>
    <cellStyle name="Accent4 158" xfId="26791"/>
    <cellStyle name="Accent4 159" xfId="26792"/>
    <cellStyle name="Accent4 16" xfId="26793"/>
    <cellStyle name="Accent4 16 2" xfId="26794"/>
    <cellStyle name="Accent4 16 3" xfId="26795"/>
    <cellStyle name="Accent4 160" xfId="26796"/>
    <cellStyle name="Accent4 161" xfId="26797"/>
    <cellStyle name="Accent4 162" xfId="26798"/>
    <cellStyle name="Accent4 163" xfId="26799"/>
    <cellStyle name="Accent4 164" xfId="26800"/>
    <cellStyle name="Accent4 165" xfId="26801"/>
    <cellStyle name="Accent4 166" xfId="26802"/>
    <cellStyle name="Accent4 167" xfId="26803"/>
    <cellStyle name="Accent4 168" xfId="26804"/>
    <cellStyle name="Accent4 169" xfId="26805"/>
    <cellStyle name="Accent4 17" xfId="26806"/>
    <cellStyle name="Accent4 17 2" xfId="26807"/>
    <cellStyle name="Accent4 17 3" xfId="26808"/>
    <cellStyle name="Accent4 170" xfId="26809"/>
    <cellStyle name="Accent4 171" xfId="26810"/>
    <cellStyle name="Accent4 172" xfId="26811"/>
    <cellStyle name="Accent4 173" xfId="26812"/>
    <cellStyle name="Accent4 174" xfId="26813"/>
    <cellStyle name="Accent4 175" xfId="26814"/>
    <cellStyle name="Accent4 176" xfId="26815"/>
    <cellStyle name="Accent4 177" xfId="26816"/>
    <cellStyle name="Accent4 178" xfId="26817"/>
    <cellStyle name="Accent4 179" xfId="26818"/>
    <cellStyle name="Accent4 18" xfId="26819"/>
    <cellStyle name="Accent4 18 2" xfId="26820"/>
    <cellStyle name="Accent4 18 3" xfId="26821"/>
    <cellStyle name="Accent4 180" xfId="26822"/>
    <cellStyle name="Accent4 181" xfId="26823"/>
    <cellStyle name="Accent4 182" xfId="26824"/>
    <cellStyle name="Accent4 183" xfId="26825"/>
    <cellStyle name="Accent4 184" xfId="26826"/>
    <cellStyle name="Accent4 185" xfId="26827"/>
    <cellStyle name="Accent4 186" xfId="26828"/>
    <cellStyle name="Accent4 187" xfId="26829"/>
    <cellStyle name="Accent4 188" xfId="26830"/>
    <cellStyle name="Accent4 189" xfId="26831"/>
    <cellStyle name="Accent4 19" xfId="26832"/>
    <cellStyle name="Accent4 190" xfId="26833"/>
    <cellStyle name="Accent4 191" xfId="26834"/>
    <cellStyle name="Accent4 192" xfId="26835"/>
    <cellStyle name="Accent4 193" xfId="26836"/>
    <cellStyle name="Accent4 194" xfId="26837"/>
    <cellStyle name="Accent4 195" xfId="26838"/>
    <cellStyle name="Accent4 196" xfId="26839"/>
    <cellStyle name="Accent4 197" xfId="26840"/>
    <cellStyle name="Accent4 198" xfId="26841"/>
    <cellStyle name="Accent4 199" xfId="26842"/>
    <cellStyle name="Accent4 2" xfId="26843"/>
    <cellStyle name="Accent4 2 2" xfId="26844"/>
    <cellStyle name="Accent4 2 2 2" xfId="26845"/>
    <cellStyle name="Accent4 2 2 2 2" xfId="26846"/>
    <cellStyle name="Accent4 2 2 2_PM Okt 2014 Plan VS Actual Planning Workshop" xfId="26847"/>
    <cellStyle name="Accent4 2 2 3" xfId="26848"/>
    <cellStyle name="Accent4 2 2 4" xfId="26849"/>
    <cellStyle name="Accent4 2 3" xfId="26850"/>
    <cellStyle name="Accent4 2 3 2" xfId="26851"/>
    <cellStyle name="Accent4 2 3 2 2" xfId="26852"/>
    <cellStyle name="Accent4 2 3 2_PM Okt 2014 Plan VS Actual Planning Workshop" xfId="26853"/>
    <cellStyle name="Accent4 2 3 3" xfId="26854"/>
    <cellStyle name="Accent4 2 4" xfId="26855"/>
    <cellStyle name="Accent4 2 4 2" xfId="26856"/>
    <cellStyle name="Accent4 2 5" xfId="26857"/>
    <cellStyle name="Accent4 2_Copy of PREPAID INSURANCE - ASSETS (deni)" xfId="26858"/>
    <cellStyle name="Accent4 20" xfId="26859"/>
    <cellStyle name="Accent4 200" xfId="26860"/>
    <cellStyle name="Accent4 201" xfId="26861"/>
    <cellStyle name="Accent4 202" xfId="26862"/>
    <cellStyle name="Accent4 203" xfId="26863"/>
    <cellStyle name="Accent4 204" xfId="26864"/>
    <cellStyle name="Accent4 205" xfId="26865"/>
    <cellStyle name="Accent4 206" xfId="26866"/>
    <cellStyle name="Accent4 207" xfId="26867"/>
    <cellStyle name="Accent4 208" xfId="26868"/>
    <cellStyle name="Accent4 209" xfId="26869"/>
    <cellStyle name="Accent4 21" xfId="26870"/>
    <cellStyle name="Accent4 210" xfId="26871"/>
    <cellStyle name="Accent4 211" xfId="26872"/>
    <cellStyle name="Accent4 212" xfId="26873"/>
    <cellStyle name="Accent4 213" xfId="26874"/>
    <cellStyle name="Accent4 214" xfId="26875"/>
    <cellStyle name="Accent4 215" xfId="26876"/>
    <cellStyle name="Accent4 216" xfId="26877"/>
    <cellStyle name="Accent4 217" xfId="26878"/>
    <cellStyle name="Accent4 218" xfId="26879"/>
    <cellStyle name="Accent4 219" xfId="26880"/>
    <cellStyle name="Accent4 22" xfId="26881"/>
    <cellStyle name="Accent4 220" xfId="26882"/>
    <cellStyle name="Accent4 221" xfId="26883"/>
    <cellStyle name="Accent4 222" xfId="26884"/>
    <cellStyle name="Accent4 223" xfId="26885"/>
    <cellStyle name="Accent4 224" xfId="26886"/>
    <cellStyle name="Accent4 225" xfId="26887"/>
    <cellStyle name="Accent4 226" xfId="26888"/>
    <cellStyle name="Accent4 227" xfId="26889"/>
    <cellStyle name="Accent4 228" xfId="26890"/>
    <cellStyle name="Accent4 229" xfId="26891"/>
    <cellStyle name="Accent4 23" xfId="26892"/>
    <cellStyle name="Accent4 230" xfId="26893"/>
    <cellStyle name="Accent4 231" xfId="26894"/>
    <cellStyle name="Accent4 232" xfId="26895"/>
    <cellStyle name="Accent4 233" xfId="26896"/>
    <cellStyle name="Accent4 234" xfId="26897"/>
    <cellStyle name="Accent4 235" xfId="26898"/>
    <cellStyle name="Accent4 236" xfId="26899"/>
    <cellStyle name="Accent4 237" xfId="26900"/>
    <cellStyle name="Accent4 238" xfId="26901"/>
    <cellStyle name="Accent4 239" xfId="26902"/>
    <cellStyle name="Accent4 24" xfId="26903"/>
    <cellStyle name="Accent4 240" xfId="26904"/>
    <cellStyle name="Accent4 241" xfId="26905"/>
    <cellStyle name="Accent4 242" xfId="26906"/>
    <cellStyle name="Accent4 243" xfId="26907"/>
    <cellStyle name="Accent4 244" xfId="26908"/>
    <cellStyle name="Accent4 245" xfId="26909"/>
    <cellStyle name="Accent4 246" xfId="26910"/>
    <cellStyle name="Accent4 247" xfId="26911"/>
    <cellStyle name="Accent4 248" xfId="26912"/>
    <cellStyle name="Accent4 249" xfId="26913"/>
    <cellStyle name="Accent4 25" xfId="26914"/>
    <cellStyle name="Accent4 250" xfId="26915"/>
    <cellStyle name="Accent4 251" xfId="26916"/>
    <cellStyle name="Accent4 252" xfId="26917"/>
    <cellStyle name="Accent4 253" xfId="26918"/>
    <cellStyle name="Accent4 254" xfId="26919"/>
    <cellStyle name="Accent4 255" xfId="26920"/>
    <cellStyle name="Accent4 256" xfId="26921"/>
    <cellStyle name="Accent4 257" xfId="26922"/>
    <cellStyle name="Accent4 258" xfId="26923"/>
    <cellStyle name="Accent4 259" xfId="26924"/>
    <cellStyle name="Accent4 26" xfId="26925"/>
    <cellStyle name="Accent4 260" xfId="26926"/>
    <cellStyle name="Accent4 261" xfId="26927"/>
    <cellStyle name="Accent4 262" xfId="26928"/>
    <cellStyle name="Accent4 263" xfId="26929"/>
    <cellStyle name="Accent4 264" xfId="26930"/>
    <cellStyle name="Accent4 265" xfId="26931"/>
    <cellStyle name="Accent4 266" xfId="26932"/>
    <cellStyle name="Accent4 267" xfId="26933"/>
    <cellStyle name="Accent4 268" xfId="26934"/>
    <cellStyle name="Accent4 269" xfId="26935"/>
    <cellStyle name="Accent4 27" xfId="26936"/>
    <cellStyle name="Accent4 270" xfId="26937"/>
    <cellStyle name="Accent4 271" xfId="26938"/>
    <cellStyle name="Accent4 272" xfId="26939"/>
    <cellStyle name="Accent4 273" xfId="26940"/>
    <cellStyle name="Accent4 274" xfId="26941"/>
    <cellStyle name="Accent4 275" xfId="26942"/>
    <cellStyle name="Accent4 276" xfId="26943"/>
    <cellStyle name="Accent4 277" xfId="26944"/>
    <cellStyle name="Accent4 278" xfId="26945"/>
    <cellStyle name="Accent4 279" xfId="26946"/>
    <cellStyle name="Accent4 28" xfId="26947"/>
    <cellStyle name="Accent4 280" xfId="26948"/>
    <cellStyle name="Accent4 281" xfId="26949"/>
    <cellStyle name="Accent4 282" xfId="26950"/>
    <cellStyle name="Accent4 283" xfId="26951"/>
    <cellStyle name="Accent4 284" xfId="26952"/>
    <cellStyle name="Accent4 285" xfId="26953"/>
    <cellStyle name="Accent4 286" xfId="26954"/>
    <cellStyle name="Accent4 287" xfId="26955"/>
    <cellStyle name="Accent4 288" xfId="26956"/>
    <cellStyle name="Accent4 289" xfId="26957"/>
    <cellStyle name="Accent4 29" xfId="26958"/>
    <cellStyle name="Accent4 290" xfId="26959"/>
    <cellStyle name="Accent4 291" xfId="26960"/>
    <cellStyle name="Accent4 292" xfId="26961"/>
    <cellStyle name="Accent4 293" xfId="26962"/>
    <cellStyle name="Accent4 294" xfId="26963"/>
    <cellStyle name="Accent4 295" xfId="26964"/>
    <cellStyle name="Accent4 296" xfId="26965"/>
    <cellStyle name="Accent4 297" xfId="26966"/>
    <cellStyle name="Accent4 298" xfId="26967"/>
    <cellStyle name="Accent4 299" xfId="26968"/>
    <cellStyle name="Accent4 3" xfId="26969"/>
    <cellStyle name="Accent4 3 2" xfId="26970"/>
    <cellStyle name="Accent4 3 3" xfId="26971"/>
    <cellStyle name="Accent4 30" xfId="26972"/>
    <cellStyle name="Accent4 300" xfId="26973"/>
    <cellStyle name="Accent4 301" xfId="26974"/>
    <cellStyle name="Accent4 302" xfId="26975"/>
    <cellStyle name="Accent4 303" xfId="26976"/>
    <cellStyle name="Accent4 304" xfId="26977"/>
    <cellStyle name="Accent4 305" xfId="26978"/>
    <cellStyle name="Accent4 306" xfId="26979"/>
    <cellStyle name="Accent4 307" xfId="26980"/>
    <cellStyle name="Accent4 308" xfId="26981"/>
    <cellStyle name="Accent4 309" xfId="26982"/>
    <cellStyle name="Accent4 31" xfId="26983"/>
    <cellStyle name="Accent4 310" xfId="26984"/>
    <cellStyle name="Accent4 311" xfId="26985"/>
    <cellStyle name="Accent4 312" xfId="26986"/>
    <cellStyle name="Accent4 313" xfId="26987"/>
    <cellStyle name="Accent4 314" xfId="26988"/>
    <cellStyle name="Accent4 315" xfId="26989"/>
    <cellStyle name="Accent4 316" xfId="26990"/>
    <cellStyle name="Accent4 317" xfId="26991"/>
    <cellStyle name="Accent4 318" xfId="26992"/>
    <cellStyle name="Accent4 319" xfId="26993"/>
    <cellStyle name="Accent4 32" xfId="26994"/>
    <cellStyle name="Accent4 320" xfId="26995"/>
    <cellStyle name="Accent4 321" xfId="26996"/>
    <cellStyle name="Accent4 322" xfId="26997"/>
    <cellStyle name="Accent4 323" xfId="26998"/>
    <cellStyle name="Accent4 324" xfId="26999"/>
    <cellStyle name="Accent4 325" xfId="27000"/>
    <cellStyle name="Accent4 326" xfId="27001"/>
    <cellStyle name="Accent4 327" xfId="27002"/>
    <cellStyle name="Accent4 328" xfId="27003"/>
    <cellStyle name="Accent4 329" xfId="27004"/>
    <cellStyle name="Accent4 33" xfId="27005"/>
    <cellStyle name="Accent4 330" xfId="27006"/>
    <cellStyle name="Accent4 331" xfId="27007"/>
    <cellStyle name="Accent4 332" xfId="27008"/>
    <cellStyle name="Accent4 333" xfId="27009"/>
    <cellStyle name="Accent4 334" xfId="27010"/>
    <cellStyle name="Accent4 335" xfId="27011"/>
    <cellStyle name="Accent4 336" xfId="27012"/>
    <cellStyle name="Accent4 337" xfId="27013"/>
    <cellStyle name="Accent4 338" xfId="27014"/>
    <cellStyle name="Accent4 339" xfId="27015"/>
    <cellStyle name="Accent4 34" xfId="27016"/>
    <cellStyle name="Accent4 340" xfId="27017"/>
    <cellStyle name="Accent4 341" xfId="27018"/>
    <cellStyle name="Accent4 342" xfId="27019"/>
    <cellStyle name="Accent4 343" xfId="27020"/>
    <cellStyle name="Accent4 344" xfId="27021"/>
    <cellStyle name="Accent4 345" xfId="27022"/>
    <cellStyle name="Accent4 346" xfId="27023"/>
    <cellStyle name="Accent4 347" xfId="27024"/>
    <cellStyle name="Accent4 348" xfId="27025"/>
    <cellStyle name="Accent4 349" xfId="27026"/>
    <cellStyle name="Accent4 35" xfId="27027"/>
    <cellStyle name="Accent4 350" xfId="27028"/>
    <cellStyle name="Accent4 351" xfId="27029"/>
    <cellStyle name="Accent4 352" xfId="27030"/>
    <cellStyle name="Accent4 353" xfId="27031"/>
    <cellStyle name="Accent4 354" xfId="27032"/>
    <cellStyle name="Accent4 355" xfId="27033"/>
    <cellStyle name="Accent4 356" xfId="27034"/>
    <cellStyle name="Accent4 357" xfId="27035"/>
    <cellStyle name="Accent4 358" xfId="27036"/>
    <cellStyle name="Accent4 359" xfId="27037"/>
    <cellStyle name="Accent4 36" xfId="27038"/>
    <cellStyle name="Accent4 360" xfId="27039"/>
    <cellStyle name="Accent4 361" xfId="27040"/>
    <cellStyle name="Accent4 362" xfId="27041"/>
    <cellStyle name="Accent4 363" xfId="27042"/>
    <cellStyle name="Accent4 364" xfId="27043"/>
    <cellStyle name="Accent4 365" xfId="27044"/>
    <cellStyle name="Accent4 366" xfId="27045"/>
    <cellStyle name="Accent4 367" xfId="27046"/>
    <cellStyle name="Accent4 368" xfId="27047"/>
    <cellStyle name="Accent4 369" xfId="27048"/>
    <cellStyle name="Accent4 37" xfId="27049"/>
    <cellStyle name="Accent4 370" xfId="27050"/>
    <cellStyle name="Accent4 371" xfId="27051"/>
    <cellStyle name="Accent4 372" xfId="27052"/>
    <cellStyle name="Accent4 373" xfId="27053"/>
    <cellStyle name="Accent4 374" xfId="27054"/>
    <cellStyle name="Accent4 375" xfId="27055"/>
    <cellStyle name="Accent4 376" xfId="27056"/>
    <cellStyle name="Accent4 377" xfId="27057"/>
    <cellStyle name="Accent4 378" xfId="27058"/>
    <cellStyle name="Accent4 379" xfId="27059"/>
    <cellStyle name="Accent4 38" xfId="27060"/>
    <cellStyle name="Accent4 380" xfId="27061"/>
    <cellStyle name="Accent4 381" xfId="27062"/>
    <cellStyle name="Accent4 382" xfId="27063"/>
    <cellStyle name="Accent4 383" xfId="27064"/>
    <cellStyle name="Accent4 384" xfId="27065"/>
    <cellStyle name="Accent4 385" xfId="27066"/>
    <cellStyle name="Accent4 386" xfId="27067"/>
    <cellStyle name="Accent4 387" xfId="27068"/>
    <cellStyle name="Accent4 388" xfId="27069"/>
    <cellStyle name="Accent4 389" xfId="27070"/>
    <cellStyle name="Accent4 39" xfId="27071"/>
    <cellStyle name="Accent4 390" xfId="27072"/>
    <cellStyle name="Accent4 391" xfId="27073"/>
    <cellStyle name="Accent4 392" xfId="27074"/>
    <cellStyle name="Accent4 393" xfId="27075"/>
    <cellStyle name="Accent4 394" xfId="27076"/>
    <cellStyle name="Accent4 395" xfId="27077"/>
    <cellStyle name="Accent4 396" xfId="27078"/>
    <cellStyle name="Accent4 397" xfId="27079"/>
    <cellStyle name="Accent4 398" xfId="27080"/>
    <cellStyle name="Accent4 399" xfId="58398"/>
    <cellStyle name="Accent4 4" xfId="27081"/>
    <cellStyle name="Accent4 4 2" xfId="27082"/>
    <cellStyle name="Accent4 4 3" xfId="27083"/>
    <cellStyle name="Accent4 4 4" xfId="58399"/>
    <cellStyle name="Accent4 40" xfId="27084"/>
    <cellStyle name="Accent4 41" xfId="27085"/>
    <cellStyle name="Accent4 42" xfId="27086"/>
    <cellStyle name="Accent4 43" xfId="27087"/>
    <cellStyle name="Accent4 44" xfId="27088"/>
    <cellStyle name="Accent4 45" xfId="27089"/>
    <cellStyle name="Accent4 46" xfId="27090"/>
    <cellStyle name="Accent4 47" xfId="27091"/>
    <cellStyle name="Accent4 48" xfId="27092"/>
    <cellStyle name="Accent4 49" xfId="27093"/>
    <cellStyle name="Accent4 5" xfId="27094"/>
    <cellStyle name="Accent4 5 2" xfId="27095"/>
    <cellStyle name="Accent4 5 3" xfId="27096"/>
    <cellStyle name="Accent4 5 4" xfId="27097"/>
    <cellStyle name="Accent4 50" xfId="27098"/>
    <cellStyle name="Accent4 51" xfId="27099"/>
    <cellStyle name="Accent4 52" xfId="27100"/>
    <cellStyle name="Accent4 53" xfId="27101"/>
    <cellStyle name="Accent4 54" xfId="27102"/>
    <cellStyle name="Accent4 55" xfId="27103"/>
    <cellStyle name="Accent4 56" xfId="27104"/>
    <cellStyle name="Accent4 57" xfId="27105"/>
    <cellStyle name="Accent4 58" xfId="27106"/>
    <cellStyle name="Accent4 59" xfId="27107"/>
    <cellStyle name="Accent4 6" xfId="27108"/>
    <cellStyle name="Accent4 6 2" xfId="27109"/>
    <cellStyle name="Accent4 6 3" xfId="27110"/>
    <cellStyle name="Accent4 6 4" xfId="27111"/>
    <cellStyle name="Accent4 60" xfId="27112"/>
    <cellStyle name="Accent4 61" xfId="27113"/>
    <cellStyle name="Accent4 62" xfId="27114"/>
    <cellStyle name="Accent4 63" xfId="27115"/>
    <cellStyle name="Accent4 64" xfId="27116"/>
    <cellStyle name="Accent4 65" xfId="27117"/>
    <cellStyle name="Accent4 66" xfId="27118"/>
    <cellStyle name="Accent4 67" xfId="27119"/>
    <cellStyle name="Accent4 68" xfId="27120"/>
    <cellStyle name="Accent4 69" xfId="27121"/>
    <cellStyle name="Accent4 7" xfId="27122"/>
    <cellStyle name="Accent4 7 2" xfId="27123"/>
    <cellStyle name="Accent4 7 3" xfId="27124"/>
    <cellStyle name="Accent4 7 4" xfId="27125"/>
    <cellStyle name="Accent4 70" xfId="27126"/>
    <cellStyle name="Accent4 71" xfId="27127"/>
    <cellStyle name="Accent4 72" xfId="27128"/>
    <cellStyle name="Accent4 73" xfId="27129"/>
    <cellStyle name="Accent4 74" xfId="27130"/>
    <cellStyle name="Accent4 75" xfId="27131"/>
    <cellStyle name="Accent4 76" xfId="27132"/>
    <cellStyle name="Accent4 77" xfId="27133"/>
    <cellStyle name="Accent4 78" xfId="27134"/>
    <cellStyle name="Accent4 79" xfId="27135"/>
    <cellStyle name="Accent4 8" xfId="27136"/>
    <cellStyle name="Accent4 8 2" xfId="27137"/>
    <cellStyle name="Accent4 8 3" xfId="27138"/>
    <cellStyle name="Accent4 80" xfId="27139"/>
    <cellStyle name="Accent4 81" xfId="27140"/>
    <cellStyle name="Accent4 82" xfId="27141"/>
    <cellStyle name="Accent4 83" xfId="27142"/>
    <cellStyle name="Accent4 84" xfId="27143"/>
    <cellStyle name="Accent4 85" xfId="27144"/>
    <cellStyle name="Accent4 86" xfId="27145"/>
    <cellStyle name="Accent4 87" xfId="27146"/>
    <cellStyle name="Accent4 88" xfId="27147"/>
    <cellStyle name="Accent4 89" xfId="27148"/>
    <cellStyle name="Accent4 9" xfId="27149"/>
    <cellStyle name="Accent4 9 2" xfId="27150"/>
    <cellStyle name="Accent4 9 3" xfId="27151"/>
    <cellStyle name="Accent4 90" xfId="27152"/>
    <cellStyle name="Accent4 91" xfId="27153"/>
    <cellStyle name="Accent4 92" xfId="27154"/>
    <cellStyle name="Accent4 93" xfId="27155"/>
    <cellStyle name="Accent4 94" xfId="27156"/>
    <cellStyle name="Accent4 95" xfId="27157"/>
    <cellStyle name="Accent4 96" xfId="27158"/>
    <cellStyle name="Accent4 97" xfId="27159"/>
    <cellStyle name="Accent4 98" xfId="27160"/>
    <cellStyle name="Accent4 99" xfId="27161"/>
    <cellStyle name="Accent5 - 20%" xfId="27162"/>
    <cellStyle name="Accent5 - 40%" xfId="27163"/>
    <cellStyle name="Accent5 - 60%" xfId="27164"/>
    <cellStyle name="Accent5 10" xfId="27165"/>
    <cellStyle name="Accent5 10 2" xfId="27166"/>
    <cellStyle name="Accent5 10 3" xfId="27167"/>
    <cellStyle name="Accent5 100" xfId="27168"/>
    <cellStyle name="Accent5 101" xfId="27169"/>
    <cellStyle name="Accent5 102" xfId="27170"/>
    <cellStyle name="Accent5 103" xfId="27171"/>
    <cellStyle name="Accent5 104" xfId="27172"/>
    <cellStyle name="Accent5 105" xfId="27173"/>
    <cellStyle name="Accent5 106" xfId="27174"/>
    <cellStyle name="Accent5 107" xfId="27175"/>
    <cellStyle name="Accent5 108" xfId="27176"/>
    <cellStyle name="Accent5 109" xfId="27177"/>
    <cellStyle name="Accent5 11" xfId="27178"/>
    <cellStyle name="Accent5 11 2" xfId="27179"/>
    <cellStyle name="Accent5 11 3" xfId="27180"/>
    <cellStyle name="Accent5 110" xfId="27181"/>
    <cellStyle name="Accent5 111" xfId="27182"/>
    <cellStyle name="Accent5 112" xfId="27183"/>
    <cellStyle name="Accent5 113" xfId="27184"/>
    <cellStyle name="Accent5 114" xfId="27185"/>
    <cellStyle name="Accent5 115" xfId="27186"/>
    <cellStyle name="Accent5 116" xfId="27187"/>
    <cellStyle name="Accent5 117" xfId="27188"/>
    <cellStyle name="Accent5 118" xfId="27189"/>
    <cellStyle name="Accent5 119" xfId="27190"/>
    <cellStyle name="Accent5 12" xfId="27191"/>
    <cellStyle name="Accent5 12 2" xfId="27192"/>
    <cellStyle name="Accent5 12 3" xfId="27193"/>
    <cellStyle name="Accent5 120" xfId="27194"/>
    <cellStyle name="Accent5 121" xfId="27195"/>
    <cellStyle name="Accent5 122" xfId="27196"/>
    <cellStyle name="Accent5 123" xfId="27197"/>
    <cellStyle name="Accent5 124" xfId="27198"/>
    <cellStyle name="Accent5 125" xfId="27199"/>
    <cellStyle name="Accent5 126" xfId="27200"/>
    <cellStyle name="Accent5 127" xfId="27201"/>
    <cellStyle name="Accent5 128" xfId="27202"/>
    <cellStyle name="Accent5 129" xfId="27203"/>
    <cellStyle name="Accent5 13" xfId="27204"/>
    <cellStyle name="Accent5 13 2" xfId="27205"/>
    <cellStyle name="Accent5 13 3" xfId="27206"/>
    <cellStyle name="Accent5 130" xfId="27207"/>
    <cellStyle name="Accent5 131" xfId="27208"/>
    <cellStyle name="Accent5 132" xfId="27209"/>
    <cellStyle name="Accent5 133" xfId="27210"/>
    <cellStyle name="Accent5 134" xfId="27211"/>
    <cellStyle name="Accent5 135" xfId="27212"/>
    <cellStyle name="Accent5 136" xfId="27213"/>
    <cellStyle name="Accent5 137" xfId="27214"/>
    <cellStyle name="Accent5 138" xfId="27215"/>
    <cellStyle name="Accent5 139" xfId="27216"/>
    <cellStyle name="Accent5 14" xfId="27217"/>
    <cellStyle name="Accent5 14 2" xfId="27218"/>
    <cellStyle name="Accent5 14 3" xfId="27219"/>
    <cellStyle name="Accent5 140" xfId="27220"/>
    <cellStyle name="Accent5 141" xfId="27221"/>
    <cellStyle name="Accent5 142" xfId="27222"/>
    <cellStyle name="Accent5 143" xfId="27223"/>
    <cellStyle name="Accent5 144" xfId="27224"/>
    <cellStyle name="Accent5 145" xfId="27225"/>
    <cellStyle name="Accent5 146" xfId="27226"/>
    <cellStyle name="Accent5 147" xfId="27227"/>
    <cellStyle name="Accent5 148" xfId="27228"/>
    <cellStyle name="Accent5 149" xfId="27229"/>
    <cellStyle name="Accent5 15" xfId="27230"/>
    <cellStyle name="Accent5 15 2" xfId="27231"/>
    <cellStyle name="Accent5 15 3" xfId="27232"/>
    <cellStyle name="Accent5 150" xfId="27233"/>
    <cellStyle name="Accent5 151" xfId="27234"/>
    <cellStyle name="Accent5 152" xfId="27235"/>
    <cellStyle name="Accent5 153" xfId="27236"/>
    <cellStyle name="Accent5 154" xfId="27237"/>
    <cellStyle name="Accent5 155" xfId="27238"/>
    <cellStyle name="Accent5 156" xfId="27239"/>
    <cellStyle name="Accent5 157" xfId="27240"/>
    <cellStyle name="Accent5 158" xfId="27241"/>
    <cellStyle name="Accent5 159" xfId="27242"/>
    <cellStyle name="Accent5 16" xfId="27243"/>
    <cellStyle name="Accent5 16 2" xfId="27244"/>
    <cellStyle name="Accent5 16 3" xfId="27245"/>
    <cellStyle name="Accent5 160" xfId="27246"/>
    <cellStyle name="Accent5 161" xfId="27247"/>
    <cellStyle name="Accent5 162" xfId="27248"/>
    <cellStyle name="Accent5 163" xfId="27249"/>
    <cellStyle name="Accent5 164" xfId="27250"/>
    <cellStyle name="Accent5 165" xfId="27251"/>
    <cellStyle name="Accent5 166" xfId="27252"/>
    <cellStyle name="Accent5 167" xfId="27253"/>
    <cellStyle name="Accent5 168" xfId="27254"/>
    <cellStyle name="Accent5 169" xfId="27255"/>
    <cellStyle name="Accent5 17" xfId="27256"/>
    <cellStyle name="Accent5 17 2" xfId="27257"/>
    <cellStyle name="Accent5 17 3" xfId="27258"/>
    <cellStyle name="Accent5 170" xfId="27259"/>
    <cellStyle name="Accent5 171" xfId="27260"/>
    <cellStyle name="Accent5 172" xfId="27261"/>
    <cellStyle name="Accent5 173" xfId="27262"/>
    <cellStyle name="Accent5 174" xfId="27263"/>
    <cellStyle name="Accent5 175" xfId="27264"/>
    <cellStyle name="Accent5 176" xfId="27265"/>
    <cellStyle name="Accent5 177" xfId="27266"/>
    <cellStyle name="Accent5 178" xfId="27267"/>
    <cellStyle name="Accent5 179" xfId="27268"/>
    <cellStyle name="Accent5 18" xfId="27269"/>
    <cellStyle name="Accent5 18 2" xfId="27270"/>
    <cellStyle name="Accent5 18 3" xfId="27271"/>
    <cellStyle name="Accent5 180" xfId="27272"/>
    <cellStyle name="Accent5 181" xfId="27273"/>
    <cellStyle name="Accent5 182" xfId="27274"/>
    <cellStyle name="Accent5 183" xfId="27275"/>
    <cellStyle name="Accent5 184" xfId="27276"/>
    <cellStyle name="Accent5 185" xfId="27277"/>
    <cellStyle name="Accent5 186" xfId="27278"/>
    <cellStyle name="Accent5 187" xfId="27279"/>
    <cellStyle name="Accent5 188" xfId="27280"/>
    <cellStyle name="Accent5 189" xfId="27281"/>
    <cellStyle name="Accent5 19" xfId="27282"/>
    <cellStyle name="Accent5 190" xfId="27283"/>
    <cellStyle name="Accent5 191" xfId="27284"/>
    <cellStyle name="Accent5 192" xfId="27285"/>
    <cellStyle name="Accent5 193" xfId="27286"/>
    <cellStyle name="Accent5 194" xfId="27287"/>
    <cellStyle name="Accent5 195" xfId="27288"/>
    <cellStyle name="Accent5 196" xfId="27289"/>
    <cellStyle name="Accent5 197" xfId="27290"/>
    <cellStyle name="Accent5 198" xfId="27291"/>
    <cellStyle name="Accent5 199" xfId="27292"/>
    <cellStyle name="Accent5 2" xfId="27293"/>
    <cellStyle name="Accent5 2 2" xfId="27294"/>
    <cellStyle name="Accent5 2 2 2" xfId="27295"/>
    <cellStyle name="Accent5 2 2 2 2" xfId="27296"/>
    <cellStyle name="Accent5 2 2 2_PM Okt 2014 Plan VS Actual Planning Workshop" xfId="27297"/>
    <cellStyle name="Accent5 2 2 3" xfId="27298"/>
    <cellStyle name="Accent5 2 2 4" xfId="27299"/>
    <cellStyle name="Accent5 2 3" xfId="27300"/>
    <cellStyle name="Accent5 2 3 2" xfId="27301"/>
    <cellStyle name="Accent5 2 3 2 2" xfId="27302"/>
    <cellStyle name="Accent5 2 3 2_PM Okt 2014 Plan VS Actual Planning Workshop" xfId="27303"/>
    <cellStyle name="Accent5 2 3 3" xfId="27304"/>
    <cellStyle name="Accent5 2 4" xfId="27305"/>
    <cellStyle name="Accent5 2 4 2" xfId="27306"/>
    <cellStyle name="Accent5 2 5" xfId="27307"/>
    <cellStyle name="Accent5 2_Copy of PREPAID INSURANCE - ASSETS (deni)" xfId="27308"/>
    <cellStyle name="Accent5 20" xfId="27309"/>
    <cellStyle name="Accent5 200" xfId="27310"/>
    <cellStyle name="Accent5 201" xfId="27311"/>
    <cellStyle name="Accent5 202" xfId="27312"/>
    <cellStyle name="Accent5 203" xfId="27313"/>
    <cellStyle name="Accent5 204" xfId="27314"/>
    <cellStyle name="Accent5 205" xfId="27315"/>
    <cellStyle name="Accent5 206" xfId="27316"/>
    <cellStyle name="Accent5 207" xfId="27317"/>
    <cellStyle name="Accent5 208" xfId="27318"/>
    <cellStyle name="Accent5 209" xfId="27319"/>
    <cellStyle name="Accent5 21" xfId="27320"/>
    <cellStyle name="Accent5 210" xfId="27321"/>
    <cellStyle name="Accent5 211" xfId="27322"/>
    <cellStyle name="Accent5 212" xfId="27323"/>
    <cellStyle name="Accent5 213" xfId="27324"/>
    <cellStyle name="Accent5 214" xfId="27325"/>
    <cellStyle name="Accent5 215" xfId="27326"/>
    <cellStyle name="Accent5 216" xfId="27327"/>
    <cellStyle name="Accent5 217" xfId="27328"/>
    <cellStyle name="Accent5 218" xfId="27329"/>
    <cellStyle name="Accent5 219" xfId="27330"/>
    <cellStyle name="Accent5 22" xfId="27331"/>
    <cellStyle name="Accent5 220" xfId="27332"/>
    <cellStyle name="Accent5 221" xfId="27333"/>
    <cellStyle name="Accent5 222" xfId="27334"/>
    <cellStyle name="Accent5 223" xfId="27335"/>
    <cellStyle name="Accent5 224" xfId="27336"/>
    <cellStyle name="Accent5 225" xfId="27337"/>
    <cellStyle name="Accent5 226" xfId="27338"/>
    <cellStyle name="Accent5 227" xfId="27339"/>
    <cellStyle name="Accent5 228" xfId="27340"/>
    <cellStyle name="Accent5 229" xfId="27341"/>
    <cellStyle name="Accent5 23" xfId="27342"/>
    <cellStyle name="Accent5 230" xfId="27343"/>
    <cellStyle name="Accent5 231" xfId="27344"/>
    <cellStyle name="Accent5 232" xfId="27345"/>
    <cellStyle name="Accent5 233" xfId="27346"/>
    <cellStyle name="Accent5 234" xfId="27347"/>
    <cellStyle name="Accent5 235" xfId="27348"/>
    <cellStyle name="Accent5 236" xfId="27349"/>
    <cellStyle name="Accent5 237" xfId="27350"/>
    <cellStyle name="Accent5 238" xfId="27351"/>
    <cellStyle name="Accent5 239" xfId="27352"/>
    <cellStyle name="Accent5 24" xfId="27353"/>
    <cellStyle name="Accent5 240" xfId="27354"/>
    <cellStyle name="Accent5 241" xfId="27355"/>
    <cellStyle name="Accent5 242" xfId="27356"/>
    <cellStyle name="Accent5 243" xfId="27357"/>
    <cellStyle name="Accent5 244" xfId="27358"/>
    <cellStyle name="Accent5 245" xfId="27359"/>
    <cellStyle name="Accent5 246" xfId="27360"/>
    <cellStyle name="Accent5 247" xfId="27361"/>
    <cellStyle name="Accent5 248" xfId="27362"/>
    <cellStyle name="Accent5 249" xfId="27363"/>
    <cellStyle name="Accent5 25" xfId="27364"/>
    <cellStyle name="Accent5 250" xfId="27365"/>
    <cellStyle name="Accent5 251" xfId="27366"/>
    <cellStyle name="Accent5 252" xfId="27367"/>
    <cellStyle name="Accent5 253" xfId="27368"/>
    <cellStyle name="Accent5 254" xfId="27369"/>
    <cellStyle name="Accent5 255" xfId="27370"/>
    <cellStyle name="Accent5 256" xfId="27371"/>
    <cellStyle name="Accent5 257" xfId="27372"/>
    <cellStyle name="Accent5 258" xfId="27373"/>
    <cellStyle name="Accent5 259" xfId="27374"/>
    <cellStyle name="Accent5 26" xfId="27375"/>
    <cellStyle name="Accent5 260" xfId="27376"/>
    <cellStyle name="Accent5 261" xfId="27377"/>
    <cellStyle name="Accent5 262" xfId="27378"/>
    <cellStyle name="Accent5 263" xfId="27379"/>
    <cellStyle name="Accent5 264" xfId="27380"/>
    <cellStyle name="Accent5 265" xfId="27381"/>
    <cellStyle name="Accent5 266" xfId="27382"/>
    <cellStyle name="Accent5 267" xfId="27383"/>
    <cellStyle name="Accent5 268" xfId="27384"/>
    <cellStyle name="Accent5 269" xfId="27385"/>
    <cellStyle name="Accent5 27" xfId="27386"/>
    <cellStyle name="Accent5 270" xfId="27387"/>
    <cellStyle name="Accent5 271" xfId="27388"/>
    <cellStyle name="Accent5 272" xfId="27389"/>
    <cellStyle name="Accent5 273" xfId="27390"/>
    <cellStyle name="Accent5 274" xfId="27391"/>
    <cellStyle name="Accent5 275" xfId="27392"/>
    <cellStyle name="Accent5 276" xfId="27393"/>
    <cellStyle name="Accent5 277" xfId="27394"/>
    <cellStyle name="Accent5 278" xfId="27395"/>
    <cellStyle name="Accent5 279" xfId="27396"/>
    <cellStyle name="Accent5 28" xfId="27397"/>
    <cellStyle name="Accent5 280" xfId="27398"/>
    <cellStyle name="Accent5 281" xfId="27399"/>
    <cellStyle name="Accent5 282" xfId="27400"/>
    <cellStyle name="Accent5 283" xfId="27401"/>
    <cellStyle name="Accent5 284" xfId="27402"/>
    <cellStyle name="Accent5 285" xfId="27403"/>
    <cellStyle name="Accent5 286" xfId="27404"/>
    <cellStyle name="Accent5 287" xfId="27405"/>
    <cellStyle name="Accent5 288" xfId="27406"/>
    <cellStyle name="Accent5 289" xfId="27407"/>
    <cellStyle name="Accent5 29" xfId="27408"/>
    <cellStyle name="Accent5 290" xfId="27409"/>
    <cellStyle name="Accent5 291" xfId="27410"/>
    <cellStyle name="Accent5 292" xfId="27411"/>
    <cellStyle name="Accent5 293" xfId="27412"/>
    <cellStyle name="Accent5 294" xfId="27413"/>
    <cellStyle name="Accent5 295" xfId="27414"/>
    <cellStyle name="Accent5 296" xfId="27415"/>
    <cellStyle name="Accent5 297" xfId="27416"/>
    <cellStyle name="Accent5 298" xfId="27417"/>
    <cellStyle name="Accent5 299" xfId="27418"/>
    <cellStyle name="Accent5 3" xfId="27419"/>
    <cellStyle name="Accent5 3 2" xfId="27420"/>
    <cellStyle name="Accent5 3 3" xfId="27421"/>
    <cellStyle name="Accent5 30" xfId="27422"/>
    <cellStyle name="Accent5 300" xfId="27423"/>
    <cellStyle name="Accent5 301" xfId="27424"/>
    <cellStyle name="Accent5 302" xfId="27425"/>
    <cellStyle name="Accent5 303" xfId="27426"/>
    <cellStyle name="Accent5 304" xfId="27427"/>
    <cellStyle name="Accent5 305" xfId="27428"/>
    <cellStyle name="Accent5 306" xfId="27429"/>
    <cellStyle name="Accent5 307" xfId="27430"/>
    <cellStyle name="Accent5 308" xfId="27431"/>
    <cellStyle name="Accent5 309" xfId="27432"/>
    <cellStyle name="Accent5 31" xfId="27433"/>
    <cellStyle name="Accent5 310" xfId="27434"/>
    <cellStyle name="Accent5 311" xfId="27435"/>
    <cellStyle name="Accent5 312" xfId="27436"/>
    <cellStyle name="Accent5 313" xfId="27437"/>
    <cellStyle name="Accent5 314" xfId="27438"/>
    <cellStyle name="Accent5 315" xfId="27439"/>
    <cellStyle name="Accent5 316" xfId="27440"/>
    <cellStyle name="Accent5 317" xfId="27441"/>
    <cellStyle name="Accent5 318" xfId="27442"/>
    <cellStyle name="Accent5 319" xfId="27443"/>
    <cellStyle name="Accent5 32" xfId="27444"/>
    <cellStyle name="Accent5 320" xfId="27445"/>
    <cellStyle name="Accent5 321" xfId="27446"/>
    <cellStyle name="Accent5 322" xfId="27447"/>
    <cellStyle name="Accent5 323" xfId="27448"/>
    <cellStyle name="Accent5 324" xfId="27449"/>
    <cellStyle name="Accent5 325" xfId="27450"/>
    <cellStyle name="Accent5 326" xfId="27451"/>
    <cellStyle name="Accent5 327" xfId="27452"/>
    <cellStyle name="Accent5 328" xfId="27453"/>
    <cellStyle name="Accent5 329" xfId="27454"/>
    <cellStyle name="Accent5 33" xfId="27455"/>
    <cellStyle name="Accent5 330" xfId="27456"/>
    <cellStyle name="Accent5 331" xfId="27457"/>
    <cellStyle name="Accent5 332" xfId="27458"/>
    <cellStyle name="Accent5 333" xfId="27459"/>
    <cellStyle name="Accent5 334" xfId="27460"/>
    <cellStyle name="Accent5 335" xfId="27461"/>
    <cellStyle name="Accent5 336" xfId="27462"/>
    <cellStyle name="Accent5 337" xfId="27463"/>
    <cellStyle name="Accent5 338" xfId="27464"/>
    <cellStyle name="Accent5 339" xfId="27465"/>
    <cellStyle name="Accent5 34" xfId="27466"/>
    <cellStyle name="Accent5 340" xfId="27467"/>
    <cellStyle name="Accent5 341" xfId="27468"/>
    <cellStyle name="Accent5 342" xfId="27469"/>
    <cellStyle name="Accent5 343" xfId="27470"/>
    <cellStyle name="Accent5 344" xfId="27471"/>
    <cellStyle name="Accent5 345" xfId="27472"/>
    <cellStyle name="Accent5 346" xfId="27473"/>
    <cellStyle name="Accent5 347" xfId="27474"/>
    <cellStyle name="Accent5 348" xfId="27475"/>
    <cellStyle name="Accent5 349" xfId="27476"/>
    <cellStyle name="Accent5 35" xfId="27477"/>
    <cellStyle name="Accent5 350" xfId="27478"/>
    <cellStyle name="Accent5 351" xfId="27479"/>
    <cellStyle name="Accent5 352" xfId="27480"/>
    <cellStyle name="Accent5 353" xfId="27481"/>
    <cellStyle name="Accent5 354" xfId="27482"/>
    <cellStyle name="Accent5 355" xfId="27483"/>
    <cellStyle name="Accent5 356" xfId="27484"/>
    <cellStyle name="Accent5 357" xfId="27485"/>
    <cellStyle name="Accent5 358" xfId="27486"/>
    <cellStyle name="Accent5 359" xfId="27487"/>
    <cellStyle name="Accent5 36" xfId="27488"/>
    <cellStyle name="Accent5 360" xfId="27489"/>
    <cellStyle name="Accent5 361" xfId="27490"/>
    <cellStyle name="Accent5 362" xfId="27491"/>
    <cellStyle name="Accent5 363" xfId="27492"/>
    <cellStyle name="Accent5 364" xfId="27493"/>
    <cellStyle name="Accent5 365" xfId="27494"/>
    <cellStyle name="Accent5 366" xfId="27495"/>
    <cellStyle name="Accent5 367" xfId="27496"/>
    <cellStyle name="Accent5 368" xfId="27497"/>
    <cellStyle name="Accent5 369" xfId="27498"/>
    <cellStyle name="Accent5 37" xfId="27499"/>
    <cellStyle name="Accent5 370" xfId="27500"/>
    <cellStyle name="Accent5 371" xfId="27501"/>
    <cellStyle name="Accent5 372" xfId="27502"/>
    <cellStyle name="Accent5 373" xfId="27503"/>
    <cellStyle name="Accent5 374" xfId="27504"/>
    <cellStyle name="Accent5 375" xfId="27505"/>
    <cellStyle name="Accent5 376" xfId="27506"/>
    <cellStyle name="Accent5 377" xfId="27507"/>
    <cellStyle name="Accent5 378" xfId="27508"/>
    <cellStyle name="Accent5 379" xfId="27509"/>
    <cellStyle name="Accent5 38" xfId="27510"/>
    <cellStyle name="Accent5 380" xfId="27511"/>
    <cellStyle name="Accent5 381" xfId="27512"/>
    <cellStyle name="Accent5 382" xfId="27513"/>
    <cellStyle name="Accent5 383" xfId="27514"/>
    <cellStyle name="Accent5 384" xfId="27515"/>
    <cellStyle name="Accent5 385" xfId="27516"/>
    <cellStyle name="Accent5 386" xfId="27517"/>
    <cellStyle name="Accent5 387" xfId="27518"/>
    <cellStyle name="Accent5 388" xfId="27519"/>
    <cellStyle name="Accent5 389" xfId="27520"/>
    <cellStyle name="Accent5 39" xfId="27521"/>
    <cellStyle name="Accent5 390" xfId="27522"/>
    <cellStyle name="Accent5 391" xfId="27523"/>
    <cellStyle name="Accent5 392" xfId="27524"/>
    <cellStyle name="Accent5 393" xfId="27525"/>
    <cellStyle name="Accent5 394" xfId="27526"/>
    <cellStyle name="Accent5 395" xfId="27527"/>
    <cellStyle name="Accent5 396" xfId="27528"/>
    <cellStyle name="Accent5 397" xfId="27529"/>
    <cellStyle name="Accent5 398" xfId="27530"/>
    <cellStyle name="Accent5 399" xfId="58400"/>
    <cellStyle name="Accent5 4" xfId="27531"/>
    <cellStyle name="Accent5 4 2" xfId="27532"/>
    <cellStyle name="Accent5 4 3" xfId="27533"/>
    <cellStyle name="Accent5 4 4" xfId="58401"/>
    <cellStyle name="Accent5 40" xfId="27534"/>
    <cellStyle name="Accent5 41" xfId="27535"/>
    <cellStyle name="Accent5 42" xfId="27536"/>
    <cellStyle name="Accent5 43" xfId="27537"/>
    <cellStyle name="Accent5 44" xfId="27538"/>
    <cellStyle name="Accent5 45" xfId="27539"/>
    <cellStyle name="Accent5 46" xfId="27540"/>
    <cellStyle name="Accent5 47" xfId="27541"/>
    <cellStyle name="Accent5 48" xfId="27542"/>
    <cellStyle name="Accent5 49" xfId="27543"/>
    <cellStyle name="Accent5 5" xfId="27544"/>
    <cellStyle name="Accent5 5 2" xfId="27545"/>
    <cellStyle name="Accent5 5 3" xfId="27546"/>
    <cellStyle name="Accent5 5 4" xfId="27547"/>
    <cellStyle name="Accent5 50" xfId="27548"/>
    <cellStyle name="Accent5 51" xfId="27549"/>
    <cellStyle name="Accent5 52" xfId="27550"/>
    <cellStyle name="Accent5 53" xfId="27551"/>
    <cellStyle name="Accent5 54" xfId="27552"/>
    <cellStyle name="Accent5 55" xfId="27553"/>
    <cellStyle name="Accent5 56" xfId="27554"/>
    <cellStyle name="Accent5 57" xfId="27555"/>
    <cellStyle name="Accent5 58" xfId="27556"/>
    <cellStyle name="Accent5 59" xfId="27557"/>
    <cellStyle name="Accent5 6" xfId="27558"/>
    <cellStyle name="Accent5 6 2" xfId="27559"/>
    <cellStyle name="Accent5 6 3" xfId="27560"/>
    <cellStyle name="Accent5 6 4" xfId="27561"/>
    <cellStyle name="Accent5 60" xfId="27562"/>
    <cellStyle name="Accent5 61" xfId="27563"/>
    <cellStyle name="Accent5 62" xfId="27564"/>
    <cellStyle name="Accent5 63" xfId="27565"/>
    <cellStyle name="Accent5 64" xfId="27566"/>
    <cellStyle name="Accent5 65" xfId="27567"/>
    <cellStyle name="Accent5 66" xfId="27568"/>
    <cellStyle name="Accent5 67" xfId="27569"/>
    <cellStyle name="Accent5 68" xfId="27570"/>
    <cellStyle name="Accent5 69" xfId="27571"/>
    <cellStyle name="Accent5 7" xfId="27572"/>
    <cellStyle name="Accent5 7 2" xfId="27573"/>
    <cellStyle name="Accent5 7 3" xfId="27574"/>
    <cellStyle name="Accent5 7 4" xfId="27575"/>
    <cellStyle name="Accent5 70" xfId="27576"/>
    <cellStyle name="Accent5 71" xfId="27577"/>
    <cellStyle name="Accent5 72" xfId="27578"/>
    <cellStyle name="Accent5 73" xfId="27579"/>
    <cellStyle name="Accent5 74" xfId="27580"/>
    <cellStyle name="Accent5 75" xfId="27581"/>
    <cellStyle name="Accent5 76" xfId="27582"/>
    <cellStyle name="Accent5 77" xfId="27583"/>
    <cellStyle name="Accent5 78" xfId="27584"/>
    <cellStyle name="Accent5 79" xfId="27585"/>
    <cellStyle name="Accent5 8" xfId="27586"/>
    <cellStyle name="Accent5 8 2" xfId="27587"/>
    <cellStyle name="Accent5 8 3" xfId="27588"/>
    <cellStyle name="Accent5 80" xfId="27589"/>
    <cellStyle name="Accent5 81" xfId="27590"/>
    <cellStyle name="Accent5 82" xfId="27591"/>
    <cellStyle name="Accent5 83" xfId="27592"/>
    <cellStyle name="Accent5 84" xfId="27593"/>
    <cellStyle name="Accent5 85" xfId="27594"/>
    <cellStyle name="Accent5 86" xfId="27595"/>
    <cellStyle name="Accent5 87" xfId="27596"/>
    <cellStyle name="Accent5 88" xfId="27597"/>
    <cellStyle name="Accent5 89" xfId="27598"/>
    <cellStyle name="Accent5 9" xfId="27599"/>
    <cellStyle name="Accent5 9 2" xfId="27600"/>
    <cellStyle name="Accent5 9 3" xfId="27601"/>
    <cellStyle name="Accent5 90" xfId="27602"/>
    <cellStyle name="Accent5 91" xfId="27603"/>
    <cellStyle name="Accent5 92" xfId="27604"/>
    <cellStyle name="Accent5 93" xfId="27605"/>
    <cellStyle name="Accent5 94" xfId="27606"/>
    <cellStyle name="Accent5 95" xfId="27607"/>
    <cellStyle name="Accent5 96" xfId="27608"/>
    <cellStyle name="Accent5 97" xfId="27609"/>
    <cellStyle name="Accent5 98" xfId="27610"/>
    <cellStyle name="Accent5 99" xfId="27611"/>
    <cellStyle name="Accent6 - 20%" xfId="27612"/>
    <cellStyle name="Accent6 - 40%" xfId="27613"/>
    <cellStyle name="Accent6 - 60%" xfId="27614"/>
    <cellStyle name="Accent6 10" xfId="27615"/>
    <cellStyle name="Accent6 10 2" xfId="27616"/>
    <cellStyle name="Accent6 10 3" xfId="27617"/>
    <cellStyle name="Accent6 100" xfId="27618"/>
    <cellStyle name="Accent6 101" xfId="27619"/>
    <cellStyle name="Accent6 102" xfId="27620"/>
    <cellStyle name="Accent6 103" xfId="27621"/>
    <cellStyle name="Accent6 104" xfId="27622"/>
    <cellStyle name="Accent6 105" xfId="27623"/>
    <cellStyle name="Accent6 106" xfId="27624"/>
    <cellStyle name="Accent6 107" xfId="27625"/>
    <cellStyle name="Accent6 108" xfId="27626"/>
    <cellStyle name="Accent6 109" xfId="27627"/>
    <cellStyle name="Accent6 11" xfId="27628"/>
    <cellStyle name="Accent6 11 2" xfId="27629"/>
    <cellStyle name="Accent6 11 3" xfId="27630"/>
    <cellStyle name="Accent6 110" xfId="27631"/>
    <cellStyle name="Accent6 111" xfId="27632"/>
    <cellStyle name="Accent6 112" xfId="27633"/>
    <cellStyle name="Accent6 113" xfId="27634"/>
    <cellStyle name="Accent6 114" xfId="27635"/>
    <cellStyle name="Accent6 115" xfId="27636"/>
    <cellStyle name="Accent6 116" xfId="27637"/>
    <cellStyle name="Accent6 117" xfId="27638"/>
    <cellStyle name="Accent6 118" xfId="27639"/>
    <cellStyle name="Accent6 119" xfId="27640"/>
    <cellStyle name="Accent6 12" xfId="27641"/>
    <cellStyle name="Accent6 12 2" xfId="27642"/>
    <cellStyle name="Accent6 12 3" xfId="27643"/>
    <cellStyle name="Accent6 120" xfId="27644"/>
    <cellStyle name="Accent6 121" xfId="27645"/>
    <cellStyle name="Accent6 122" xfId="27646"/>
    <cellStyle name="Accent6 123" xfId="27647"/>
    <cellStyle name="Accent6 124" xfId="27648"/>
    <cellStyle name="Accent6 125" xfId="27649"/>
    <cellStyle name="Accent6 126" xfId="27650"/>
    <cellStyle name="Accent6 127" xfId="27651"/>
    <cellStyle name="Accent6 128" xfId="27652"/>
    <cellStyle name="Accent6 129" xfId="27653"/>
    <cellStyle name="Accent6 13" xfId="27654"/>
    <cellStyle name="Accent6 13 2" xfId="27655"/>
    <cellStyle name="Accent6 13 3" xfId="27656"/>
    <cellStyle name="Accent6 130" xfId="27657"/>
    <cellStyle name="Accent6 131" xfId="27658"/>
    <cellStyle name="Accent6 132" xfId="27659"/>
    <cellStyle name="Accent6 133" xfId="27660"/>
    <cellStyle name="Accent6 134" xfId="27661"/>
    <cellStyle name="Accent6 135" xfId="27662"/>
    <cellStyle name="Accent6 136" xfId="27663"/>
    <cellStyle name="Accent6 137" xfId="27664"/>
    <cellStyle name="Accent6 138" xfId="27665"/>
    <cellStyle name="Accent6 139" xfId="27666"/>
    <cellStyle name="Accent6 14" xfId="27667"/>
    <cellStyle name="Accent6 14 2" xfId="27668"/>
    <cellStyle name="Accent6 14 3" xfId="27669"/>
    <cellStyle name="Accent6 140" xfId="27670"/>
    <cellStyle name="Accent6 141" xfId="27671"/>
    <cellStyle name="Accent6 142" xfId="27672"/>
    <cellStyle name="Accent6 143" xfId="27673"/>
    <cellStyle name="Accent6 144" xfId="27674"/>
    <cellStyle name="Accent6 145" xfId="27675"/>
    <cellStyle name="Accent6 146" xfId="27676"/>
    <cellStyle name="Accent6 147" xfId="27677"/>
    <cellStyle name="Accent6 148" xfId="27678"/>
    <cellStyle name="Accent6 149" xfId="27679"/>
    <cellStyle name="Accent6 15" xfId="27680"/>
    <cellStyle name="Accent6 15 2" xfId="27681"/>
    <cellStyle name="Accent6 15 3" xfId="27682"/>
    <cellStyle name="Accent6 150" xfId="27683"/>
    <cellStyle name="Accent6 151" xfId="27684"/>
    <cellStyle name="Accent6 152" xfId="27685"/>
    <cellStyle name="Accent6 153" xfId="27686"/>
    <cellStyle name="Accent6 154" xfId="27687"/>
    <cellStyle name="Accent6 155" xfId="27688"/>
    <cellStyle name="Accent6 156" xfId="27689"/>
    <cellStyle name="Accent6 157" xfId="27690"/>
    <cellStyle name="Accent6 158" xfId="27691"/>
    <cellStyle name="Accent6 159" xfId="27692"/>
    <cellStyle name="Accent6 16" xfId="27693"/>
    <cellStyle name="Accent6 16 2" xfId="27694"/>
    <cellStyle name="Accent6 16 3" xfId="27695"/>
    <cellStyle name="Accent6 160" xfId="27696"/>
    <cellStyle name="Accent6 161" xfId="27697"/>
    <cellStyle name="Accent6 162" xfId="27698"/>
    <cellStyle name="Accent6 163" xfId="27699"/>
    <cellStyle name="Accent6 164" xfId="27700"/>
    <cellStyle name="Accent6 165" xfId="27701"/>
    <cellStyle name="Accent6 166" xfId="27702"/>
    <cellStyle name="Accent6 167" xfId="27703"/>
    <cellStyle name="Accent6 168" xfId="27704"/>
    <cellStyle name="Accent6 169" xfId="27705"/>
    <cellStyle name="Accent6 17" xfId="27706"/>
    <cellStyle name="Accent6 17 2" xfId="27707"/>
    <cellStyle name="Accent6 17 3" xfId="27708"/>
    <cellStyle name="Accent6 170" xfId="27709"/>
    <cellStyle name="Accent6 171" xfId="27710"/>
    <cellStyle name="Accent6 172" xfId="27711"/>
    <cellStyle name="Accent6 173" xfId="27712"/>
    <cellStyle name="Accent6 174" xfId="27713"/>
    <cellStyle name="Accent6 175" xfId="27714"/>
    <cellStyle name="Accent6 176" xfId="27715"/>
    <cellStyle name="Accent6 177" xfId="27716"/>
    <cellStyle name="Accent6 178" xfId="27717"/>
    <cellStyle name="Accent6 179" xfId="27718"/>
    <cellStyle name="Accent6 18" xfId="27719"/>
    <cellStyle name="Accent6 18 2" xfId="27720"/>
    <cellStyle name="Accent6 18 3" xfId="27721"/>
    <cellStyle name="Accent6 180" xfId="27722"/>
    <cellStyle name="Accent6 181" xfId="27723"/>
    <cellStyle name="Accent6 182" xfId="27724"/>
    <cellStyle name="Accent6 183" xfId="27725"/>
    <cellStyle name="Accent6 184" xfId="27726"/>
    <cellStyle name="Accent6 185" xfId="27727"/>
    <cellStyle name="Accent6 186" xfId="27728"/>
    <cellStyle name="Accent6 187" xfId="27729"/>
    <cellStyle name="Accent6 188" xfId="27730"/>
    <cellStyle name="Accent6 189" xfId="27731"/>
    <cellStyle name="Accent6 19" xfId="27732"/>
    <cellStyle name="Accent6 190" xfId="27733"/>
    <cellStyle name="Accent6 191" xfId="27734"/>
    <cellStyle name="Accent6 192" xfId="27735"/>
    <cellStyle name="Accent6 193" xfId="27736"/>
    <cellStyle name="Accent6 194" xfId="27737"/>
    <cellStyle name="Accent6 195" xfId="27738"/>
    <cellStyle name="Accent6 196" xfId="27739"/>
    <cellStyle name="Accent6 197" xfId="27740"/>
    <cellStyle name="Accent6 198" xfId="27741"/>
    <cellStyle name="Accent6 199" xfId="27742"/>
    <cellStyle name="Accent6 2" xfId="27743"/>
    <cellStyle name="Accent6 2 2" xfId="27744"/>
    <cellStyle name="Accent6 2 2 2" xfId="27745"/>
    <cellStyle name="Accent6 2 2 2 2" xfId="27746"/>
    <cellStyle name="Accent6 2 2 2_PM Okt 2014 Plan VS Actual Planning Workshop" xfId="27747"/>
    <cellStyle name="Accent6 2 2 3" xfId="27748"/>
    <cellStyle name="Accent6 2 2 4" xfId="27749"/>
    <cellStyle name="Accent6 2 3" xfId="27750"/>
    <cellStyle name="Accent6 2 3 2" xfId="27751"/>
    <cellStyle name="Accent6 2 3 2 2" xfId="27752"/>
    <cellStyle name="Accent6 2 3 2_PM Okt 2014 Plan VS Actual Planning Workshop" xfId="27753"/>
    <cellStyle name="Accent6 2 3 3" xfId="27754"/>
    <cellStyle name="Accent6 2 4" xfId="27755"/>
    <cellStyle name="Accent6 2 4 2" xfId="27756"/>
    <cellStyle name="Accent6 2 5" xfId="27757"/>
    <cellStyle name="Accent6 2_Copy of PREPAID INSURANCE - ASSETS (deni)" xfId="27758"/>
    <cellStyle name="Accent6 20" xfId="27759"/>
    <cellStyle name="Accent6 200" xfId="27760"/>
    <cellStyle name="Accent6 201" xfId="27761"/>
    <cellStyle name="Accent6 202" xfId="27762"/>
    <cellStyle name="Accent6 203" xfId="27763"/>
    <cellStyle name="Accent6 204" xfId="27764"/>
    <cellStyle name="Accent6 205" xfId="27765"/>
    <cellStyle name="Accent6 206" xfId="27766"/>
    <cellStyle name="Accent6 207" xfId="27767"/>
    <cellStyle name="Accent6 208" xfId="27768"/>
    <cellStyle name="Accent6 209" xfId="27769"/>
    <cellStyle name="Accent6 21" xfId="27770"/>
    <cellStyle name="Accent6 210" xfId="27771"/>
    <cellStyle name="Accent6 211" xfId="27772"/>
    <cellStyle name="Accent6 212" xfId="27773"/>
    <cellStyle name="Accent6 213" xfId="27774"/>
    <cellStyle name="Accent6 214" xfId="27775"/>
    <cellStyle name="Accent6 215" xfId="27776"/>
    <cellStyle name="Accent6 216" xfId="27777"/>
    <cellStyle name="Accent6 217" xfId="27778"/>
    <cellStyle name="Accent6 218" xfId="27779"/>
    <cellStyle name="Accent6 219" xfId="27780"/>
    <cellStyle name="Accent6 22" xfId="27781"/>
    <cellStyle name="Accent6 220" xfId="27782"/>
    <cellStyle name="Accent6 221" xfId="27783"/>
    <cellStyle name="Accent6 222" xfId="27784"/>
    <cellStyle name="Accent6 223" xfId="27785"/>
    <cellStyle name="Accent6 224" xfId="27786"/>
    <cellStyle name="Accent6 225" xfId="27787"/>
    <cellStyle name="Accent6 226" xfId="27788"/>
    <cellStyle name="Accent6 227" xfId="27789"/>
    <cellStyle name="Accent6 228" xfId="27790"/>
    <cellStyle name="Accent6 229" xfId="27791"/>
    <cellStyle name="Accent6 23" xfId="27792"/>
    <cellStyle name="Accent6 230" xfId="27793"/>
    <cellStyle name="Accent6 231" xfId="27794"/>
    <cellStyle name="Accent6 232" xfId="27795"/>
    <cellStyle name="Accent6 233" xfId="27796"/>
    <cellStyle name="Accent6 234" xfId="27797"/>
    <cellStyle name="Accent6 235" xfId="27798"/>
    <cellStyle name="Accent6 236" xfId="27799"/>
    <cellStyle name="Accent6 237" xfId="27800"/>
    <cellStyle name="Accent6 238" xfId="27801"/>
    <cellStyle name="Accent6 239" xfId="27802"/>
    <cellStyle name="Accent6 24" xfId="27803"/>
    <cellStyle name="Accent6 240" xfId="27804"/>
    <cellStyle name="Accent6 241" xfId="27805"/>
    <cellStyle name="Accent6 242" xfId="27806"/>
    <cellStyle name="Accent6 243" xfId="27807"/>
    <cellStyle name="Accent6 244" xfId="27808"/>
    <cellStyle name="Accent6 245" xfId="27809"/>
    <cellStyle name="Accent6 246" xfId="27810"/>
    <cellStyle name="Accent6 247" xfId="27811"/>
    <cellStyle name="Accent6 248" xfId="27812"/>
    <cellStyle name="Accent6 249" xfId="27813"/>
    <cellStyle name="Accent6 25" xfId="27814"/>
    <cellStyle name="Accent6 250" xfId="27815"/>
    <cellStyle name="Accent6 251" xfId="27816"/>
    <cellStyle name="Accent6 252" xfId="27817"/>
    <cellStyle name="Accent6 253" xfId="27818"/>
    <cellStyle name="Accent6 254" xfId="27819"/>
    <cellStyle name="Accent6 255" xfId="27820"/>
    <cellStyle name="Accent6 256" xfId="27821"/>
    <cellStyle name="Accent6 257" xfId="27822"/>
    <cellStyle name="Accent6 258" xfId="27823"/>
    <cellStyle name="Accent6 259" xfId="27824"/>
    <cellStyle name="Accent6 26" xfId="27825"/>
    <cellStyle name="Accent6 260" xfId="27826"/>
    <cellStyle name="Accent6 261" xfId="27827"/>
    <cellStyle name="Accent6 262" xfId="27828"/>
    <cellStyle name="Accent6 263" xfId="27829"/>
    <cellStyle name="Accent6 264" xfId="27830"/>
    <cellStyle name="Accent6 265" xfId="27831"/>
    <cellStyle name="Accent6 266" xfId="27832"/>
    <cellStyle name="Accent6 267" xfId="27833"/>
    <cellStyle name="Accent6 268" xfId="27834"/>
    <cellStyle name="Accent6 269" xfId="27835"/>
    <cellStyle name="Accent6 27" xfId="27836"/>
    <cellStyle name="Accent6 270" xfId="27837"/>
    <cellStyle name="Accent6 271" xfId="27838"/>
    <cellStyle name="Accent6 272" xfId="27839"/>
    <cellStyle name="Accent6 273" xfId="27840"/>
    <cellStyle name="Accent6 274" xfId="27841"/>
    <cellStyle name="Accent6 275" xfId="27842"/>
    <cellStyle name="Accent6 276" xfId="27843"/>
    <cellStyle name="Accent6 277" xfId="27844"/>
    <cellStyle name="Accent6 278" xfId="27845"/>
    <cellStyle name="Accent6 279" xfId="27846"/>
    <cellStyle name="Accent6 28" xfId="27847"/>
    <cellStyle name="Accent6 280" xfId="27848"/>
    <cellStyle name="Accent6 281" xfId="27849"/>
    <cellStyle name="Accent6 282" xfId="27850"/>
    <cellStyle name="Accent6 283" xfId="27851"/>
    <cellStyle name="Accent6 284" xfId="27852"/>
    <cellStyle name="Accent6 285" xfId="27853"/>
    <cellStyle name="Accent6 286" xfId="27854"/>
    <cellStyle name="Accent6 287" xfId="27855"/>
    <cellStyle name="Accent6 288" xfId="27856"/>
    <cellStyle name="Accent6 289" xfId="27857"/>
    <cellStyle name="Accent6 29" xfId="27858"/>
    <cellStyle name="Accent6 290" xfId="27859"/>
    <cellStyle name="Accent6 291" xfId="27860"/>
    <cellStyle name="Accent6 292" xfId="27861"/>
    <cellStyle name="Accent6 293" xfId="27862"/>
    <cellStyle name="Accent6 294" xfId="27863"/>
    <cellStyle name="Accent6 295" xfId="27864"/>
    <cellStyle name="Accent6 296" xfId="27865"/>
    <cellStyle name="Accent6 297" xfId="27866"/>
    <cellStyle name="Accent6 298" xfId="27867"/>
    <cellStyle name="Accent6 299" xfId="27868"/>
    <cellStyle name="Accent6 3" xfId="27869"/>
    <cellStyle name="Accent6 3 2" xfId="27870"/>
    <cellStyle name="Accent6 3 3" xfId="27871"/>
    <cellStyle name="Accent6 30" xfId="27872"/>
    <cellStyle name="Accent6 300" xfId="27873"/>
    <cellStyle name="Accent6 301" xfId="27874"/>
    <cellStyle name="Accent6 302" xfId="27875"/>
    <cellStyle name="Accent6 303" xfId="27876"/>
    <cellStyle name="Accent6 304" xfId="27877"/>
    <cellStyle name="Accent6 305" xfId="27878"/>
    <cellStyle name="Accent6 306" xfId="27879"/>
    <cellStyle name="Accent6 307" xfId="27880"/>
    <cellStyle name="Accent6 308" xfId="27881"/>
    <cellStyle name="Accent6 309" xfId="27882"/>
    <cellStyle name="Accent6 31" xfId="27883"/>
    <cellStyle name="Accent6 310" xfId="27884"/>
    <cellStyle name="Accent6 311" xfId="27885"/>
    <cellStyle name="Accent6 312" xfId="27886"/>
    <cellStyle name="Accent6 313" xfId="27887"/>
    <cellStyle name="Accent6 314" xfId="27888"/>
    <cellStyle name="Accent6 315" xfId="27889"/>
    <cellStyle name="Accent6 316" xfId="27890"/>
    <cellStyle name="Accent6 317" xfId="27891"/>
    <cellStyle name="Accent6 318" xfId="27892"/>
    <cellStyle name="Accent6 319" xfId="27893"/>
    <cellStyle name="Accent6 32" xfId="27894"/>
    <cellStyle name="Accent6 320" xfId="27895"/>
    <cellStyle name="Accent6 321" xfId="27896"/>
    <cellStyle name="Accent6 322" xfId="27897"/>
    <cellStyle name="Accent6 323" xfId="27898"/>
    <cellStyle name="Accent6 324" xfId="27899"/>
    <cellStyle name="Accent6 325" xfId="27900"/>
    <cellStyle name="Accent6 326" xfId="27901"/>
    <cellStyle name="Accent6 327" xfId="27902"/>
    <cellStyle name="Accent6 328" xfId="27903"/>
    <cellStyle name="Accent6 329" xfId="27904"/>
    <cellStyle name="Accent6 33" xfId="27905"/>
    <cellStyle name="Accent6 330" xfId="27906"/>
    <cellStyle name="Accent6 331" xfId="27907"/>
    <cellStyle name="Accent6 332" xfId="27908"/>
    <cellStyle name="Accent6 333" xfId="27909"/>
    <cellStyle name="Accent6 334" xfId="27910"/>
    <cellStyle name="Accent6 335" xfId="27911"/>
    <cellStyle name="Accent6 336" xfId="27912"/>
    <cellStyle name="Accent6 337" xfId="27913"/>
    <cellStyle name="Accent6 338" xfId="27914"/>
    <cellStyle name="Accent6 339" xfId="27915"/>
    <cellStyle name="Accent6 34" xfId="27916"/>
    <cellStyle name="Accent6 340" xfId="27917"/>
    <cellStyle name="Accent6 341" xfId="27918"/>
    <cellStyle name="Accent6 342" xfId="27919"/>
    <cellStyle name="Accent6 343" xfId="27920"/>
    <cellStyle name="Accent6 344" xfId="27921"/>
    <cellStyle name="Accent6 345" xfId="27922"/>
    <cellStyle name="Accent6 346" xfId="27923"/>
    <cellStyle name="Accent6 347" xfId="27924"/>
    <cellStyle name="Accent6 348" xfId="27925"/>
    <cellStyle name="Accent6 349" xfId="27926"/>
    <cellStyle name="Accent6 35" xfId="27927"/>
    <cellStyle name="Accent6 350" xfId="27928"/>
    <cellStyle name="Accent6 351" xfId="27929"/>
    <cellStyle name="Accent6 352" xfId="27930"/>
    <cellStyle name="Accent6 353" xfId="27931"/>
    <cellStyle name="Accent6 354" xfId="27932"/>
    <cellStyle name="Accent6 355" xfId="27933"/>
    <cellStyle name="Accent6 356" xfId="27934"/>
    <cellStyle name="Accent6 357" xfId="27935"/>
    <cellStyle name="Accent6 358" xfId="27936"/>
    <cellStyle name="Accent6 359" xfId="27937"/>
    <cellStyle name="Accent6 36" xfId="27938"/>
    <cellStyle name="Accent6 360" xfId="27939"/>
    <cellStyle name="Accent6 361" xfId="27940"/>
    <cellStyle name="Accent6 362" xfId="27941"/>
    <cellStyle name="Accent6 363" xfId="27942"/>
    <cellStyle name="Accent6 364" xfId="27943"/>
    <cellStyle name="Accent6 365" xfId="27944"/>
    <cellStyle name="Accent6 366" xfId="27945"/>
    <cellStyle name="Accent6 367" xfId="27946"/>
    <cellStyle name="Accent6 368" xfId="27947"/>
    <cellStyle name="Accent6 369" xfId="27948"/>
    <cellStyle name="Accent6 37" xfId="27949"/>
    <cellStyle name="Accent6 370" xfId="27950"/>
    <cellStyle name="Accent6 371" xfId="27951"/>
    <cellStyle name="Accent6 372" xfId="27952"/>
    <cellStyle name="Accent6 373" xfId="27953"/>
    <cellStyle name="Accent6 374" xfId="27954"/>
    <cellStyle name="Accent6 375" xfId="27955"/>
    <cellStyle name="Accent6 376" xfId="27956"/>
    <cellStyle name="Accent6 377" xfId="27957"/>
    <cellStyle name="Accent6 378" xfId="27958"/>
    <cellStyle name="Accent6 379" xfId="27959"/>
    <cellStyle name="Accent6 38" xfId="27960"/>
    <cellStyle name="Accent6 380" xfId="27961"/>
    <cellStyle name="Accent6 381" xfId="27962"/>
    <cellStyle name="Accent6 382" xfId="27963"/>
    <cellStyle name="Accent6 383" xfId="27964"/>
    <cellStyle name="Accent6 384" xfId="27965"/>
    <cellStyle name="Accent6 385" xfId="27966"/>
    <cellStyle name="Accent6 386" xfId="27967"/>
    <cellStyle name="Accent6 387" xfId="27968"/>
    <cellStyle name="Accent6 388" xfId="27969"/>
    <cellStyle name="Accent6 389" xfId="27970"/>
    <cellStyle name="Accent6 39" xfId="27971"/>
    <cellStyle name="Accent6 390" xfId="27972"/>
    <cellStyle name="Accent6 391" xfId="27973"/>
    <cellStyle name="Accent6 392" xfId="27974"/>
    <cellStyle name="Accent6 393" xfId="27975"/>
    <cellStyle name="Accent6 394" xfId="27976"/>
    <cellStyle name="Accent6 395" xfId="27977"/>
    <cellStyle name="Accent6 396" xfId="27978"/>
    <cellStyle name="Accent6 397" xfId="27979"/>
    <cellStyle name="Accent6 398" xfId="27980"/>
    <cellStyle name="Accent6 399" xfId="58402"/>
    <cellStyle name="Accent6 4" xfId="27981"/>
    <cellStyle name="Accent6 4 2" xfId="27982"/>
    <cellStyle name="Accent6 4 3" xfId="27983"/>
    <cellStyle name="Accent6 4 4" xfId="58403"/>
    <cellStyle name="Accent6 40" xfId="27984"/>
    <cellStyle name="Accent6 41" xfId="27985"/>
    <cellStyle name="Accent6 42" xfId="27986"/>
    <cellStyle name="Accent6 43" xfId="27987"/>
    <cellStyle name="Accent6 44" xfId="27988"/>
    <cellStyle name="Accent6 45" xfId="27989"/>
    <cellStyle name="Accent6 46" xfId="27990"/>
    <cellStyle name="Accent6 47" xfId="27991"/>
    <cellStyle name="Accent6 48" xfId="27992"/>
    <cellStyle name="Accent6 49" xfId="27993"/>
    <cellStyle name="Accent6 5" xfId="27994"/>
    <cellStyle name="Accent6 5 2" xfId="27995"/>
    <cellStyle name="Accent6 5 3" xfId="27996"/>
    <cellStyle name="Accent6 5 4" xfId="27997"/>
    <cellStyle name="Accent6 50" xfId="27998"/>
    <cellStyle name="Accent6 51" xfId="27999"/>
    <cellStyle name="Accent6 52" xfId="28000"/>
    <cellStyle name="Accent6 53" xfId="28001"/>
    <cellStyle name="Accent6 54" xfId="28002"/>
    <cellStyle name="Accent6 55" xfId="28003"/>
    <cellStyle name="Accent6 56" xfId="28004"/>
    <cellStyle name="Accent6 57" xfId="28005"/>
    <cellStyle name="Accent6 58" xfId="28006"/>
    <cellStyle name="Accent6 59" xfId="28007"/>
    <cellStyle name="Accent6 6" xfId="28008"/>
    <cellStyle name="Accent6 6 2" xfId="28009"/>
    <cellStyle name="Accent6 6 3" xfId="28010"/>
    <cellStyle name="Accent6 6 4" xfId="28011"/>
    <cellStyle name="Accent6 60" xfId="28012"/>
    <cellStyle name="Accent6 61" xfId="28013"/>
    <cellStyle name="Accent6 62" xfId="28014"/>
    <cellStyle name="Accent6 63" xfId="28015"/>
    <cellStyle name="Accent6 64" xfId="28016"/>
    <cellStyle name="Accent6 65" xfId="28017"/>
    <cellStyle name="Accent6 66" xfId="28018"/>
    <cellStyle name="Accent6 67" xfId="28019"/>
    <cellStyle name="Accent6 68" xfId="28020"/>
    <cellStyle name="Accent6 69" xfId="28021"/>
    <cellStyle name="Accent6 7" xfId="28022"/>
    <cellStyle name="Accent6 7 2" xfId="28023"/>
    <cellStyle name="Accent6 7 3" xfId="28024"/>
    <cellStyle name="Accent6 7 4" xfId="28025"/>
    <cellStyle name="Accent6 70" xfId="28026"/>
    <cellStyle name="Accent6 71" xfId="28027"/>
    <cellStyle name="Accent6 72" xfId="28028"/>
    <cellStyle name="Accent6 73" xfId="28029"/>
    <cellStyle name="Accent6 74" xfId="28030"/>
    <cellStyle name="Accent6 75" xfId="28031"/>
    <cellStyle name="Accent6 76" xfId="28032"/>
    <cellStyle name="Accent6 77" xfId="28033"/>
    <cellStyle name="Accent6 78" xfId="28034"/>
    <cellStyle name="Accent6 79" xfId="28035"/>
    <cellStyle name="Accent6 8" xfId="28036"/>
    <cellStyle name="Accent6 8 2" xfId="28037"/>
    <cellStyle name="Accent6 8 3" xfId="28038"/>
    <cellStyle name="Accent6 80" xfId="28039"/>
    <cellStyle name="Accent6 81" xfId="28040"/>
    <cellStyle name="Accent6 82" xfId="28041"/>
    <cellStyle name="Accent6 83" xfId="28042"/>
    <cellStyle name="Accent6 84" xfId="28043"/>
    <cellStyle name="Accent6 85" xfId="28044"/>
    <cellStyle name="Accent6 86" xfId="28045"/>
    <cellStyle name="Accent6 87" xfId="28046"/>
    <cellStyle name="Accent6 88" xfId="28047"/>
    <cellStyle name="Accent6 89" xfId="28048"/>
    <cellStyle name="Accent6 9" xfId="28049"/>
    <cellStyle name="Accent6 9 2" xfId="28050"/>
    <cellStyle name="Accent6 9 3" xfId="28051"/>
    <cellStyle name="Accent6 90" xfId="28052"/>
    <cellStyle name="Accent6 91" xfId="28053"/>
    <cellStyle name="Accent6 92" xfId="28054"/>
    <cellStyle name="Accent6 93" xfId="28055"/>
    <cellStyle name="Accent6 94" xfId="28056"/>
    <cellStyle name="Accent6 95" xfId="28057"/>
    <cellStyle name="Accent6 96" xfId="28058"/>
    <cellStyle name="Accent6 97" xfId="28059"/>
    <cellStyle name="Accent6 98" xfId="28060"/>
    <cellStyle name="Accent6 99" xfId="28061"/>
    <cellStyle name="Accounting" xfId="58404"/>
    <cellStyle name="Accounting (new)" xfId="58405"/>
    <cellStyle name="Accounting w/$" xfId="28062"/>
    <cellStyle name="Accounting w/$ 2" xfId="57481"/>
    <cellStyle name="Accounting w/$ 3" xfId="57480"/>
    <cellStyle name="Accounting w/$ Total" xfId="28063"/>
    <cellStyle name="Accounting w/$ Total 2" xfId="28064"/>
    <cellStyle name="Accounting w/$ Total 2 2" xfId="57482"/>
    <cellStyle name="Accounting w/$_Worksheet ACM konsol 2008 (22-02-09)-Fiscal EH" xfId="28065"/>
    <cellStyle name="Accounting w/o $" xfId="28066"/>
    <cellStyle name="Accounting w/o $ 2" xfId="28067"/>
    <cellStyle name="Accounting w/o $ 2 2" xfId="57484"/>
    <cellStyle name="Accounting w/o $ 3" xfId="57483"/>
    <cellStyle name="Accounting_19062-FS (04-00).xls" xfId="58406"/>
    <cellStyle name="ÅëÈ­ [0]_±âÅ¸" xfId="28068"/>
    <cellStyle name="ÅëÈ­_±âÅ¸" xfId="28069"/>
    <cellStyle name="Akzent1" xfId="28070"/>
    <cellStyle name="Akzent2" xfId="28071"/>
    <cellStyle name="Akzent3" xfId="28072"/>
    <cellStyle name="Akzent4" xfId="28073"/>
    <cellStyle name="Akzent5" xfId="28074"/>
    <cellStyle name="Akzent6" xfId="28075"/>
    <cellStyle name="Anyar" xfId="28076"/>
    <cellStyle name="args.style" xfId="28077"/>
    <cellStyle name="args.style 2" xfId="28078"/>
    <cellStyle name="args.style 2 2" xfId="28079"/>
    <cellStyle name="args.style 2 3" xfId="28080"/>
    <cellStyle name="args.style 3" xfId="28081"/>
    <cellStyle name="Arial10" xfId="28082"/>
    <cellStyle name="ÄÞ¸¶ [0]_±âÅ¸" xfId="28083"/>
    <cellStyle name="ÄÞ¸¶_±âÅ¸" xfId="28084"/>
    <cellStyle name="Ausgabe" xfId="28085"/>
    <cellStyle name="Ausgabe 2" xfId="28086"/>
    <cellStyle name="Ausgabe 2 2" xfId="28087"/>
    <cellStyle name="Ausgabe 2 2 2" xfId="28088"/>
    <cellStyle name="Ausgabe 2 3" xfId="28089"/>
    <cellStyle name="Ausgabe 3" xfId="28090"/>
    <cellStyle name="Ausgabe 3 2" xfId="28091"/>
    <cellStyle name="Ausgabe 3 2 2" xfId="28092"/>
    <cellStyle name="Ausgabe 3 3" xfId="28093"/>
    <cellStyle name="Ausgabe 4" xfId="28094"/>
    <cellStyle name="Ausgabe 4 2" xfId="28095"/>
    <cellStyle name="Ausgabe 5" xfId="28096"/>
    <cellStyle name="Bad 10" xfId="28097"/>
    <cellStyle name="Bad 10 2" xfId="28098"/>
    <cellStyle name="Bad 10 3" xfId="28099"/>
    <cellStyle name="Bad 11" xfId="28100"/>
    <cellStyle name="Bad 11 2" xfId="28101"/>
    <cellStyle name="Bad 11 3" xfId="28102"/>
    <cellStyle name="Bad 12" xfId="28103"/>
    <cellStyle name="Bad 12 2" xfId="28104"/>
    <cellStyle name="Bad 12 3" xfId="28105"/>
    <cellStyle name="Bad 13" xfId="28106"/>
    <cellStyle name="Bad 13 2" xfId="28107"/>
    <cellStyle name="Bad 13 3" xfId="28108"/>
    <cellStyle name="Bad 14" xfId="28109"/>
    <cellStyle name="Bad 14 2" xfId="28110"/>
    <cellStyle name="Bad 14 3" xfId="28111"/>
    <cellStyle name="Bad 15" xfId="28112"/>
    <cellStyle name="Bad 15 2" xfId="28113"/>
    <cellStyle name="Bad 15 3" xfId="28114"/>
    <cellStyle name="Bad 16" xfId="28115"/>
    <cellStyle name="Bad 16 2" xfId="28116"/>
    <cellStyle name="Bad 16 3" xfId="28117"/>
    <cellStyle name="Bad 17" xfId="28118"/>
    <cellStyle name="Bad 17 2" xfId="28119"/>
    <cellStyle name="Bad 17 3" xfId="28120"/>
    <cellStyle name="Bad 18" xfId="28121"/>
    <cellStyle name="Bad 18 2" xfId="28122"/>
    <cellStyle name="Bad 18 3" xfId="28123"/>
    <cellStyle name="Bad 19" xfId="28124"/>
    <cellStyle name="Bad 2" xfId="28125"/>
    <cellStyle name="Bad 2 2" xfId="28126"/>
    <cellStyle name="Bad 2 2 2" xfId="28127"/>
    <cellStyle name="Bad 2 2 2 2" xfId="28128"/>
    <cellStyle name="Bad 2 2 2_PM Okt 2014 Plan VS Actual Planning Workshop" xfId="28129"/>
    <cellStyle name="Bad 2 2 3" xfId="28130"/>
    <cellStyle name="Bad 2 2 4" xfId="28131"/>
    <cellStyle name="Bad 2 3" xfId="28132"/>
    <cellStyle name="Bad 2 3 2" xfId="28133"/>
    <cellStyle name="Bad 2 3 2 2" xfId="28134"/>
    <cellStyle name="Bad 2 3 2_PM Okt 2014 Plan VS Actual Planning Workshop" xfId="28135"/>
    <cellStyle name="Bad 2 3 3" xfId="28136"/>
    <cellStyle name="Bad 2 4" xfId="28137"/>
    <cellStyle name="Bad 2 4 2" xfId="28138"/>
    <cellStyle name="Bad 2 5" xfId="28139"/>
    <cellStyle name="Bad 2_Copy of PREPAID INSURANCE - ASSETS (deni)" xfId="28140"/>
    <cellStyle name="Bad 20" xfId="28141"/>
    <cellStyle name="Bad 21" xfId="28142"/>
    <cellStyle name="Bad 22" xfId="28143"/>
    <cellStyle name="Bad 23" xfId="28144"/>
    <cellStyle name="Bad 24" xfId="28145"/>
    <cellStyle name="Bad 25" xfId="28146"/>
    <cellStyle name="Bad 26" xfId="28147"/>
    <cellStyle name="Bad 27" xfId="28148"/>
    <cellStyle name="Bad 28" xfId="28149"/>
    <cellStyle name="Bad 29" xfId="28150"/>
    <cellStyle name="Bad 3" xfId="28151"/>
    <cellStyle name="Bad 3 2" xfId="28152"/>
    <cellStyle name="Bad 3 3" xfId="28153"/>
    <cellStyle name="Bad 30" xfId="28154"/>
    <cellStyle name="Bad 31" xfId="28155"/>
    <cellStyle name="Bad 32" xfId="28156"/>
    <cellStyle name="Bad 33" xfId="28157"/>
    <cellStyle name="Bad 34" xfId="28158"/>
    <cellStyle name="Bad 35" xfId="28159"/>
    <cellStyle name="Bad 36" xfId="28160"/>
    <cellStyle name="Bad 37" xfId="28161"/>
    <cellStyle name="Bad 38" xfId="28162"/>
    <cellStyle name="Bad 39" xfId="28163"/>
    <cellStyle name="Bad 4" xfId="28164"/>
    <cellStyle name="Bad 4 2" xfId="28165"/>
    <cellStyle name="Bad 4 3" xfId="28166"/>
    <cellStyle name="Bad 4 4" xfId="58407"/>
    <cellStyle name="Bad 40" xfId="28167"/>
    <cellStyle name="Bad 41" xfId="28168"/>
    <cellStyle name="Bad 42" xfId="28169"/>
    <cellStyle name="Bad 43" xfId="28170"/>
    <cellStyle name="Bad 44" xfId="28171"/>
    <cellStyle name="Bad 45" xfId="28172"/>
    <cellStyle name="Bad 46" xfId="28173"/>
    <cellStyle name="Bad 47" xfId="28174"/>
    <cellStyle name="Bad 48" xfId="28175"/>
    <cellStyle name="Bad 49" xfId="28176"/>
    <cellStyle name="Bad 5" xfId="28177"/>
    <cellStyle name="Bad 5 2" xfId="28178"/>
    <cellStyle name="Bad 5 3" xfId="28179"/>
    <cellStyle name="Bad 50" xfId="28180"/>
    <cellStyle name="Bad 51" xfId="28181"/>
    <cellStyle name="Bad 52" xfId="28182"/>
    <cellStyle name="Bad 53" xfId="28183"/>
    <cellStyle name="Bad 6" xfId="28184"/>
    <cellStyle name="Bad 6 2" xfId="28185"/>
    <cellStyle name="Bad 6 3" xfId="28186"/>
    <cellStyle name="Bad 7" xfId="28187"/>
    <cellStyle name="Bad 7 2" xfId="28188"/>
    <cellStyle name="Bad 7 3" xfId="28189"/>
    <cellStyle name="Bad 8" xfId="28190"/>
    <cellStyle name="Bad 8 2" xfId="28191"/>
    <cellStyle name="Bad 8 3" xfId="28192"/>
    <cellStyle name="Bad 9" xfId="28193"/>
    <cellStyle name="Bad 9 2" xfId="28194"/>
    <cellStyle name="Bad 9 3" xfId="28195"/>
    <cellStyle name="Berechnung" xfId="28196"/>
    <cellStyle name="Berechnung 2" xfId="28197"/>
    <cellStyle name="Berechnung 2 2" xfId="28198"/>
    <cellStyle name="Berechnung 2 2 2" xfId="28199"/>
    <cellStyle name="Berechnung 2 3" xfId="28200"/>
    <cellStyle name="Berechnung 3" xfId="28201"/>
    <cellStyle name="Berechnung 3 2" xfId="28202"/>
    <cellStyle name="Berechnung 3 2 2" xfId="28203"/>
    <cellStyle name="Berechnung 3 3" xfId="28204"/>
    <cellStyle name="Berechnung 4" xfId="28205"/>
    <cellStyle name="Berechnung 4 2" xfId="28206"/>
    <cellStyle name="Berechnung 5" xfId="28207"/>
    <cellStyle name="Biasa" xfId="28208"/>
    <cellStyle name="Blue" xfId="28209"/>
    <cellStyle name="Blue 2" xfId="28210"/>
    <cellStyle name="Body" xfId="28211"/>
    <cellStyle name="BOLD - Style2" xfId="28212"/>
    <cellStyle name="Border" xfId="28213"/>
    <cellStyle name="Box" xfId="28214"/>
    <cellStyle name="bsr2" xfId="28215"/>
    <cellStyle name="bsr2 2" xfId="57486"/>
    <cellStyle name="bsr2 3" xfId="57485"/>
    <cellStyle name="C?AØ_¿?¾÷CoE² " xfId="28216"/>
    <cellStyle name="Ç¥ÁØ_¿¬°£´©°è¿¹»ó" xfId="28217"/>
    <cellStyle name="C￥AØ_¿μ¾÷CoE² " xfId="28218"/>
    <cellStyle name="Calc Currency (0)" xfId="28219"/>
    <cellStyle name="Calc Currency (0) 2" xfId="28220"/>
    <cellStyle name="Calc Currency (2)" xfId="28221"/>
    <cellStyle name="Calc Percent (0)" xfId="28222"/>
    <cellStyle name="Calc Percent (1)" xfId="28223"/>
    <cellStyle name="Calc Percent (2)" xfId="28224"/>
    <cellStyle name="Calc Units (0)" xfId="28225"/>
    <cellStyle name="Calc Units (1)" xfId="28226"/>
    <cellStyle name="Calc Units (1) 2" xfId="28227"/>
    <cellStyle name="Calc Units (2)" xfId="28228"/>
    <cellStyle name="Calculated" xfId="28229"/>
    <cellStyle name="Calculation 10" xfId="28230"/>
    <cellStyle name="Calculation 10 2" xfId="28231"/>
    <cellStyle name="Calculation 10 3" xfId="28232"/>
    <cellStyle name="Calculation 11" xfId="28233"/>
    <cellStyle name="Calculation 11 2" xfId="28234"/>
    <cellStyle name="Calculation 11 3" xfId="28235"/>
    <cellStyle name="Calculation 12" xfId="28236"/>
    <cellStyle name="Calculation 12 2" xfId="28237"/>
    <cellStyle name="Calculation 12 3" xfId="28238"/>
    <cellStyle name="Calculation 13" xfId="28239"/>
    <cellStyle name="Calculation 13 2" xfId="28240"/>
    <cellStyle name="Calculation 13 3" xfId="28241"/>
    <cellStyle name="Calculation 14" xfId="28242"/>
    <cellStyle name="Calculation 14 2" xfId="28243"/>
    <cellStyle name="Calculation 14 3" xfId="28244"/>
    <cellStyle name="Calculation 15" xfId="28245"/>
    <cellStyle name="Calculation 15 2" xfId="28246"/>
    <cellStyle name="Calculation 15 3" xfId="28247"/>
    <cellStyle name="Calculation 16" xfId="28248"/>
    <cellStyle name="Calculation 16 2" xfId="28249"/>
    <cellStyle name="Calculation 16 3" xfId="28250"/>
    <cellStyle name="Calculation 17" xfId="28251"/>
    <cellStyle name="Calculation 17 2" xfId="28252"/>
    <cellStyle name="Calculation 17 3" xfId="28253"/>
    <cellStyle name="Calculation 18" xfId="28254"/>
    <cellStyle name="Calculation 18 2" xfId="28255"/>
    <cellStyle name="Calculation 18 3" xfId="28256"/>
    <cellStyle name="Calculation 19" xfId="28257"/>
    <cellStyle name="Calculation 19 10" xfId="28258"/>
    <cellStyle name="Calculation 19 11" xfId="28259"/>
    <cellStyle name="Calculation 19 12" xfId="28260"/>
    <cellStyle name="Calculation 19 13" xfId="28261"/>
    <cellStyle name="Calculation 19 2" xfId="28262"/>
    <cellStyle name="Calculation 19 3" xfId="28263"/>
    <cellStyle name="Calculation 19 4" xfId="28264"/>
    <cellStyle name="Calculation 19 5" xfId="28265"/>
    <cellStyle name="Calculation 19 6" xfId="28266"/>
    <cellStyle name="Calculation 19 7" xfId="28267"/>
    <cellStyle name="Calculation 19 8" xfId="28268"/>
    <cellStyle name="Calculation 19 9" xfId="28269"/>
    <cellStyle name="Calculation 2" xfId="28270"/>
    <cellStyle name="Calculation 2 10" xfId="28271"/>
    <cellStyle name="Calculation 2 11" xfId="28272"/>
    <cellStyle name="Calculation 2 12" xfId="28273"/>
    <cellStyle name="Calculation 2 13" xfId="28274"/>
    <cellStyle name="Calculation 2 14" xfId="28275"/>
    <cellStyle name="Calculation 2 15" xfId="28276"/>
    <cellStyle name="Calculation 2 16" xfId="28277"/>
    <cellStyle name="Calculation 2 17" xfId="57487"/>
    <cellStyle name="Calculation 2 2" xfId="28278"/>
    <cellStyle name="Calculation 2 2 10" xfId="28279"/>
    <cellStyle name="Calculation 2 2 11" xfId="28280"/>
    <cellStyle name="Calculation 2 2 12" xfId="28281"/>
    <cellStyle name="Calculation 2 2 13" xfId="28282"/>
    <cellStyle name="Calculation 2 2 14" xfId="28283"/>
    <cellStyle name="Calculation 2 2 15" xfId="28284"/>
    <cellStyle name="Calculation 2 2 16" xfId="28285"/>
    <cellStyle name="Calculation 2 2 2" xfId="28286"/>
    <cellStyle name="Calculation 2 2 2 2" xfId="28287"/>
    <cellStyle name="Calculation 2 2 2_PM Okt 2014 Plan VS Actual Planning Workshop" xfId="28288"/>
    <cellStyle name="Calculation 2 2 3" xfId="28289"/>
    <cellStyle name="Calculation 2 2 3 2" xfId="28290"/>
    <cellStyle name="Calculation 2 2 4" xfId="28291"/>
    <cellStyle name="Calculation 2 2 4 2" xfId="28292"/>
    <cellStyle name="Calculation 2 2 5" xfId="28293"/>
    <cellStyle name="Calculation 2 2 5 2" xfId="28294"/>
    <cellStyle name="Calculation 2 2 6" xfId="28295"/>
    <cellStyle name="Calculation 2 2 7" xfId="28296"/>
    <cellStyle name="Calculation 2 2 8" xfId="28297"/>
    <cellStyle name="Calculation 2 2 9" xfId="28298"/>
    <cellStyle name="Calculation 2 2_Format Template Preventive Maintenance" xfId="28299"/>
    <cellStyle name="Calculation 2 3" xfId="28300"/>
    <cellStyle name="Calculation 2 3 2" xfId="28301"/>
    <cellStyle name="Calculation 2 3 2 2" xfId="28302"/>
    <cellStyle name="Calculation 2 3 2_PM Okt 2014 Plan VS Actual Planning Workshop" xfId="28303"/>
    <cellStyle name="Calculation 2 3 3" xfId="28304"/>
    <cellStyle name="Calculation 2 3_Format Template Preventive Maintenance" xfId="28305"/>
    <cellStyle name="Calculation 2 4" xfId="28306"/>
    <cellStyle name="Calculation 2 4 10" xfId="28307"/>
    <cellStyle name="Calculation 2 4 11" xfId="28308"/>
    <cellStyle name="Calculation 2 4 12" xfId="28309"/>
    <cellStyle name="Calculation 2 4 13" xfId="28310"/>
    <cellStyle name="Calculation 2 4 2" xfId="28311"/>
    <cellStyle name="Calculation 2 4 3" xfId="28312"/>
    <cellStyle name="Calculation 2 4 4" xfId="28313"/>
    <cellStyle name="Calculation 2 4 5" xfId="28314"/>
    <cellStyle name="Calculation 2 4 6" xfId="28315"/>
    <cellStyle name="Calculation 2 4 7" xfId="28316"/>
    <cellStyle name="Calculation 2 4 8" xfId="28317"/>
    <cellStyle name="Calculation 2 4 9" xfId="28318"/>
    <cellStyle name="Calculation 2 5" xfId="28319"/>
    <cellStyle name="Calculation 2 5 2" xfId="28320"/>
    <cellStyle name="Calculation 2 6" xfId="28321"/>
    <cellStyle name="Calculation 2 6 2" xfId="28322"/>
    <cellStyle name="Calculation 2 7" xfId="28323"/>
    <cellStyle name="Calculation 2 8" xfId="28324"/>
    <cellStyle name="Calculation 2 9" xfId="28325"/>
    <cellStyle name="Calculation 2_Caje 2011 (prepaid Rent Asset)" xfId="28326"/>
    <cellStyle name="Calculation 20" xfId="28327"/>
    <cellStyle name="Calculation 21" xfId="28328"/>
    <cellStyle name="Calculation 22" xfId="28329"/>
    <cellStyle name="Calculation 23" xfId="28330"/>
    <cellStyle name="Calculation 24" xfId="28331"/>
    <cellStyle name="Calculation 25" xfId="28332"/>
    <cellStyle name="Calculation 26" xfId="28333"/>
    <cellStyle name="Calculation 27" xfId="28334"/>
    <cellStyle name="Calculation 28" xfId="28335"/>
    <cellStyle name="Calculation 29" xfId="28336"/>
    <cellStyle name="Calculation 3" xfId="28337"/>
    <cellStyle name="Calculation 3 10" xfId="28338"/>
    <cellStyle name="Calculation 3 11" xfId="28339"/>
    <cellStyle name="Calculation 3 12" xfId="28340"/>
    <cellStyle name="Calculation 3 13" xfId="28341"/>
    <cellStyle name="Calculation 3 14" xfId="28342"/>
    <cellStyle name="Calculation 3 15" xfId="28343"/>
    <cellStyle name="Calculation 3 16" xfId="57488"/>
    <cellStyle name="Calculation 3 2" xfId="28344"/>
    <cellStyle name="Calculation 3 2 2" xfId="28345"/>
    <cellStyle name="Calculation 3 3" xfId="28346"/>
    <cellStyle name="Calculation 3 4" xfId="28347"/>
    <cellStyle name="Calculation 3 5" xfId="28348"/>
    <cellStyle name="Calculation 3 6" xfId="28349"/>
    <cellStyle name="Calculation 3 7" xfId="28350"/>
    <cellStyle name="Calculation 3 8" xfId="28351"/>
    <cellStyle name="Calculation 3 9" xfId="28352"/>
    <cellStyle name="Calculation 30" xfId="28353"/>
    <cellStyle name="Calculation 31" xfId="28354"/>
    <cellStyle name="Calculation 32" xfId="28355"/>
    <cellStyle name="Calculation 33" xfId="28356"/>
    <cellStyle name="Calculation 34" xfId="28357"/>
    <cellStyle name="Calculation 35" xfId="28358"/>
    <cellStyle name="Calculation 36" xfId="28359"/>
    <cellStyle name="Calculation 37" xfId="28360"/>
    <cellStyle name="Calculation 38" xfId="28361"/>
    <cellStyle name="Calculation 39" xfId="28362"/>
    <cellStyle name="Calculation 4" xfId="28363"/>
    <cellStyle name="Calculation 4 10" xfId="28364"/>
    <cellStyle name="Calculation 4 11" xfId="28365"/>
    <cellStyle name="Calculation 4 12" xfId="28366"/>
    <cellStyle name="Calculation 4 13" xfId="28367"/>
    <cellStyle name="Calculation 4 14" xfId="28368"/>
    <cellStyle name="Calculation 4 15" xfId="28369"/>
    <cellStyle name="Calculation 4 2" xfId="28370"/>
    <cellStyle name="Calculation 4 2 2" xfId="28371"/>
    <cellStyle name="Calculation 4 3" xfId="28372"/>
    <cellStyle name="Calculation 4 4" xfId="28373"/>
    <cellStyle name="Calculation 4 5" xfId="28374"/>
    <cellStyle name="Calculation 4 6" xfId="28375"/>
    <cellStyle name="Calculation 4 7" xfId="28376"/>
    <cellStyle name="Calculation 4 8" xfId="28377"/>
    <cellStyle name="Calculation 4 9" xfId="28378"/>
    <cellStyle name="Calculation 40" xfId="28379"/>
    <cellStyle name="Calculation 41" xfId="28380"/>
    <cellStyle name="Calculation 42" xfId="28381"/>
    <cellStyle name="Calculation 43" xfId="28382"/>
    <cellStyle name="Calculation 44" xfId="28383"/>
    <cellStyle name="Calculation 45" xfId="28384"/>
    <cellStyle name="Calculation 46" xfId="28385"/>
    <cellStyle name="Calculation 47" xfId="28386"/>
    <cellStyle name="Calculation 48" xfId="28387"/>
    <cellStyle name="Calculation 49" xfId="28388"/>
    <cellStyle name="Calculation 5" xfId="28389"/>
    <cellStyle name="Calculation 5 2" xfId="28390"/>
    <cellStyle name="Calculation 5 2 2" xfId="28391"/>
    <cellStyle name="Calculation 5 3" xfId="28392"/>
    <cellStyle name="Calculation 50" xfId="28393"/>
    <cellStyle name="Calculation 51" xfId="28394"/>
    <cellStyle name="Calculation 52" xfId="28395"/>
    <cellStyle name="Calculation 53" xfId="28396"/>
    <cellStyle name="Calculation 6" xfId="28397"/>
    <cellStyle name="Calculation 6 2" xfId="28398"/>
    <cellStyle name="Calculation 6 3" xfId="28399"/>
    <cellStyle name="Calculation 7" xfId="28400"/>
    <cellStyle name="Calculation 7 2" xfId="28401"/>
    <cellStyle name="Calculation 7 3" xfId="28402"/>
    <cellStyle name="Calculation 8" xfId="28403"/>
    <cellStyle name="Calculation 8 2" xfId="28404"/>
    <cellStyle name="Calculation 8 3" xfId="28405"/>
    <cellStyle name="Calculation 9" xfId="28406"/>
    <cellStyle name="Calculation 9 2" xfId="28407"/>
    <cellStyle name="Calculation 9 3" xfId="28408"/>
    <cellStyle name="cárky [0]_laroux" xfId="28409"/>
    <cellStyle name="cárky_laroux" xfId="28410"/>
    <cellStyle name="category" xfId="28411"/>
    <cellStyle name="Cena" xfId="28412"/>
    <cellStyle name="Check Cell 10" xfId="28413"/>
    <cellStyle name="Check Cell 10 2" xfId="28414"/>
    <cellStyle name="Check Cell 10 3" xfId="28415"/>
    <cellStyle name="Check Cell 11" xfId="28416"/>
    <cellStyle name="Check Cell 11 2" xfId="28417"/>
    <cellStyle name="Check Cell 11 3" xfId="28418"/>
    <cellStyle name="Check Cell 12" xfId="28419"/>
    <cellStyle name="Check Cell 12 2" xfId="28420"/>
    <cellStyle name="Check Cell 12 3" xfId="28421"/>
    <cellStyle name="Check Cell 13" xfId="28422"/>
    <cellStyle name="Check Cell 13 2" xfId="28423"/>
    <cellStyle name="Check Cell 13 3" xfId="28424"/>
    <cellStyle name="Check Cell 14" xfId="28425"/>
    <cellStyle name="Check Cell 14 2" xfId="28426"/>
    <cellStyle name="Check Cell 14 3" xfId="28427"/>
    <cellStyle name="Check Cell 15" xfId="28428"/>
    <cellStyle name="Check Cell 15 2" xfId="28429"/>
    <cellStyle name="Check Cell 15 3" xfId="28430"/>
    <cellStyle name="Check Cell 16" xfId="28431"/>
    <cellStyle name="Check Cell 16 2" xfId="28432"/>
    <cellStyle name="Check Cell 16 3" xfId="28433"/>
    <cellStyle name="Check Cell 17" xfId="28434"/>
    <cellStyle name="Check Cell 17 2" xfId="28435"/>
    <cellStyle name="Check Cell 17 3" xfId="28436"/>
    <cellStyle name="Check Cell 18" xfId="28437"/>
    <cellStyle name="Check Cell 18 2" xfId="28438"/>
    <cellStyle name="Check Cell 18 3" xfId="28439"/>
    <cellStyle name="Check Cell 19" xfId="28440"/>
    <cellStyle name="Check Cell 2" xfId="28441"/>
    <cellStyle name="Check Cell 2 2" xfId="28442"/>
    <cellStyle name="Check Cell 2 2 2" xfId="28443"/>
    <cellStyle name="Check Cell 2 2 2 2" xfId="28444"/>
    <cellStyle name="Check Cell 2 2 2_PM Okt 2014 Plan VS Actual Planning Workshop" xfId="28445"/>
    <cellStyle name="Check Cell 2 2 3" xfId="28446"/>
    <cellStyle name="Check Cell 2 2 4" xfId="28447"/>
    <cellStyle name="Check Cell 2 2_Format Template Preventive Maintenance" xfId="28448"/>
    <cellStyle name="Check Cell 2 3" xfId="28449"/>
    <cellStyle name="Check Cell 2 3 2" xfId="28450"/>
    <cellStyle name="Check Cell 2 3 2 2" xfId="28451"/>
    <cellStyle name="Check Cell 2 3 2_PM Okt 2014 Plan VS Actual Planning Workshop" xfId="28452"/>
    <cellStyle name="Check Cell 2 3 3" xfId="28453"/>
    <cellStyle name="Check Cell 2 3_Format Template Preventive Maintenance" xfId="28454"/>
    <cellStyle name="Check Cell 2 4" xfId="28455"/>
    <cellStyle name="Check Cell 2 4 2" xfId="28456"/>
    <cellStyle name="Check Cell 2 5" xfId="28457"/>
    <cellStyle name="Check Cell 2_Caje 2011 (prepaid Rent Asset)" xfId="28458"/>
    <cellStyle name="Check Cell 20" xfId="28459"/>
    <cellStyle name="Check Cell 21" xfId="28460"/>
    <cellStyle name="Check Cell 22" xfId="28461"/>
    <cellStyle name="Check Cell 23" xfId="28462"/>
    <cellStyle name="Check Cell 24" xfId="28463"/>
    <cellStyle name="Check Cell 25" xfId="28464"/>
    <cellStyle name="Check Cell 26" xfId="28465"/>
    <cellStyle name="Check Cell 27" xfId="28466"/>
    <cellStyle name="Check Cell 28" xfId="28467"/>
    <cellStyle name="Check Cell 29" xfId="28468"/>
    <cellStyle name="Check Cell 3" xfId="28469"/>
    <cellStyle name="Check Cell 3 2" xfId="28470"/>
    <cellStyle name="Check Cell 3 3" xfId="28471"/>
    <cellStyle name="Check Cell 30" xfId="28472"/>
    <cellStyle name="Check Cell 31" xfId="28473"/>
    <cellStyle name="Check Cell 32" xfId="28474"/>
    <cellStyle name="Check Cell 33" xfId="28475"/>
    <cellStyle name="Check Cell 34" xfId="28476"/>
    <cellStyle name="Check Cell 35" xfId="28477"/>
    <cellStyle name="Check Cell 36" xfId="28478"/>
    <cellStyle name="Check Cell 37" xfId="28479"/>
    <cellStyle name="Check Cell 38" xfId="28480"/>
    <cellStyle name="Check Cell 39" xfId="28481"/>
    <cellStyle name="Check Cell 4" xfId="28482"/>
    <cellStyle name="Check Cell 4 2" xfId="28483"/>
    <cellStyle name="Check Cell 4 3" xfId="28484"/>
    <cellStyle name="Check Cell 4 4" xfId="58408"/>
    <cellStyle name="Check Cell 40" xfId="28485"/>
    <cellStyle name="Check Cell 41" xfId="28486"/>
    <cellStyle name="Check Cell 42" xfId="28487"/>
    <cellStyle name="Check Cell 43" xfId="28488"/>
    <cellStyle name="Check Cell 44" xfId="28489"/>
    <cellStyle name="Check Cell 45" xfId="28490"/>
    <cellStyle name="Check Cell 46" xfId="28491"/>
    <cellStyle name="Check Cell 47" xfId="28492"/>
    <cellStyle name="Check Cell 48" xfId="28493"/>
    <cellStyle name="Check Cell 49" xfId="28494"/>
    <cellStyle name="Check Cell 5" xfId="28495"/>
    <cellStyle name="Check Cell 5 2" xfId="28496"/>
    <cellStyle name="Check Cell 5 3" xfId="28497"/>
    <cellStyle name="Check Cell 50" xfId="28498"/>
    <cellStyle name="Check Cell 51" xfId="28499"/>
    <cellStyle name="Check Cell 52" xfId="28500"/>
    <cellStyle name="Check Cell 53" xfId="28501"/>
    <cellStyle name="Check Cell 6" xfId="28502"/>
    <cellStyle name="Check Cell 6 2" xfId="28503"/>
    <cellStyle name="Check Cell 6 3" xfId="28504"/>
    <cellStyle name="Check Cell 7" xfId="28505"/>
    <cellStyle name="Check Cell 7 2" xfId="28506"/>
    <cellStyle name="Check Cell 7 3" xfId="28507"/>
    <cellStyle name="Check Cell 8" xfId="28508"/>
    <cellStyle name="Check Cell 8 2" xfId="28509"/>
    <cellStyle name="Check Cell 8 3" xfId="28510"/>
    <cellStyle name="Check Cell 9" xfId="28511"/>
    <cellStyle name="Check Cell 9 2" xfId="28512"/>
    <cellStyle name="Check Cell 9 3" xfId="28513"/>
    <cellStyle name="ColLevel_1_laroux" xfId="28514"/>
    <cellStyle name="Column_Title" xfId="28515"/>
    <cellStyle name="ColumnHeaderNormal" xfId="28516"/>
    <cellStyle name="Comma" xfId="36979" builtinId="3"/>
    <cellStyle name="Comma  - Style1" xfId="28517"/>
    <cellStyle name="Comma  - Style1 2" xfId="28518"/>
    <cellStyle name="Comma  - Style1 2 2" xfId="28519"/>
    <cellStyle name="Comma  - Style2" xfId="28520"/>
    <cellStyle name="Comma  - Style2 2" xfId="28521"/>
    <cellStyle name="Comma  - Style3" xfId="28522"/>
    <cellStyle name="Comma  - Style3 2" xfId="28523"/>
    <cellStyle name="Comma  - Style4" xfId="28524"/>
    <cellStyle name="Comma  - Style4 2" xfId="28525"/>
    <cellStyle name="Comma  - Style5" xfId="28526"/>
    <cellStyle name="Comma  - Style5 2" xfId="28527"/>
    <cellStyle name="Comma  - Style6" xfId="28528"/>
    <cellStyle name="Comma  - Style6 2" xfId="28529"/>
    <cellStyle name="Comma  - Style7" xfId="28530"/>
    <cellStyle name="Comma  - Style7 2" xfId="28531"/>
    <cellStyle name="Comma  - Style8" xfId="28532"/>
    <cellStyle name="Comma  - Style8 2" xfId="28533"/>
    <cellStyle name="Comma - None" xfId="28534"/>
    <cellStyle name="Comma - Style1" xfId="28535"/>
    <cellStyle name="Comma - Style2" xfId="28536"/>
    <cellStyle name="Comma - Style3" xfId="28537"/>
    <cellStyle name="Comma - Style4" xfId="28538"/>
    <cellStyle name="Comma - Style5" xfId="28539"/>
    <cellStyle name="Comma - Style6" xfId="28540"/>
    <cellStyle name="Comma - Style7" xfId="28541"/>
    <cellStyle name="Comma - Style8" xfId="28542"/>
    <cellStyle name="Comma [#.##0]" xfId="28543"/>
    <cellStyle name="Comma [0.000]" xfId="28544"/>
    <cellStyle name="Comma [0]" xfId="1" builtinId="6"/>
    <cellStyle name="Comma [0] 10" xfId="28545"/>
    <cellStyle name="Comma [0] 10 2" xfId="28546"/>
    <cellStyle name="Comma [0] 10 2 2" xfId="28547"/>
    <cellStyle name="Comma [0] 10 2 3" xfId="57490"/>
    <cellStyle name="Comma [0] 10 3" xfId="28548"/>
    <cellStyle name="Comma [0] 10 3 2" xfId="28549"/>
    <cellStyle name="Comma [0] 10 4" xfId="28550"/>
    <cellStyle name="Comma [0] 10 5" xfId="57489"/>
    <cellStyle name="Comma [0] 11" xfId="24"/>
    <cellStyle name="Comma [0] 11 2" xfId="11"/>
    <cellStyle name="Comma [0] 11 2 2" xfId="44"/>
    <cellStyle name="Comma [0] 11 2 2 2" xfId="28551"/>
    <cellStyle name="Comma [0] 11 2 2 2 2" xfId="28552"/>
    <cellStyle name="Comma [0] 11 2 2 3" xfId="28553"/>
    <cellStyle name="Comma [0] 11 2 3" xfId="28554"/>
    <cellStyle name="Comma [0] 11 2 3 2" xfId="28555"/>
    <cellStyle name="Comma [0] 11 2 4" xfId="28556"/>
    <cellStyle name="Comma [0] 11 2 5" xfId="28557"/>
    <cellStyle name="Comma [0] 11 3" xfId="28558"/>
    <cellStyle name="Comma [0] 11 3 2" xfId="28559"/>
    <cellStyle name="Comma [0] 11 3 2 2" xfId="28560"/>
    <cellStyle name="Comma [0] 11 3 3" xfId="28561"/>
    <cellStyle name="Comma [0] 11 4" xfId="28562"/>
    <cellStyle name="Comma [0] 11 4 2" xfId="28563"/>
    <cellStyle name="Comma [0] 11 5" xfId="28564"/>
    <cellStyle name="Comma [0] 11 6" xfId="28565"/>
    <cellStyle name="Comma [0] 11 7" xfId="28566"/>
    <cellStyle name="Comma [0] 11 7 2" xfId="28567"/>
    <cellStyle name="Comma [0] 11 8" xfId="57491"/>
    <cellStyle name="Comma [0] 12" xfId="28568"/>
    <cellStyle name="Comma [0] 12 2" xfId="28569"/>
    <cellStyle name="Comma [0] 12 2 2" xfId="28570"/>
    <cellStyle name="Comma [0] 12 2 2 2" xfId="28571"/>
    <cellStyle name="Comma [0] 12 2 2 2 2" xfId="28572"/>
    <cellStyle name="Comma [0] 12 2 2 3" xfId="28573"/>
    <cellStyle name="Comma [0] 12 2 3" xfId="28574"/>
    <cellStyle name="Comma [0] 12 2 3 2" xfId="28575"/>
    <cellStyle name="Comma [0] 12 2 4" xfId="28576"/>
    <cellStyle name="Comma [0] 12 2 5" xfId="28577"/>
    <cellStyle name="Comma [0] 12 3" xfId="28578"/>
    <cellStyle name="Comma [0] 12 3 2" xfId="28579"/>
    <cellStyle name="Comma [0] 12 3 2 2" xfId="28580"/>
    <cellStyle name="Comma [0] 12 3 3" xfId="28581"/>
    <cellStyle name="Comma [0] 12 4" xfId="28582"/>
    <cellStyle name="Comma [0] 12 4 2" xfId="28583"/>
    <cellStyle name="Comma [0] 12 5" xfId="28584"/>
    <cellStyle name="Comma [0] 12 6" xfId="28585"/>
    <cellStyle name="Comma [0] 12 7" xfId="28586"/>
    <cellStyle name="Comma [0] 13" xfId="28587"/>
    <cellStyle name="Comma [0] 13 2" xfId="28588"/>
    <cellStyle name="Comma [0] 13 2 2" xfId="28589"/>
    <cellStyle name="Comma [0] 13 2 2 2" xfId="28590"/>
    <cellStyle name="Comma [0] 13 2 2 2 2" xfId="28591"/>
    <cellStyle name="Comma [0] 13 2 2 3" xfId="28592"/>
    <cellStyle name="Comma [0] 13 2 3" xfId="28593"/>
    <cellStyle name="Comma [0] 13 2 3 2" xfId="28594"/>
    <cellStyle name="Comma [0] 13 2 4" xfId="28595"/>
    <cellStyle name="Comma [0] 13 2 5" xfId="28596"/>
    <cellStyle name="Comma [0] 13 3" xfId="28597"/>
    <cellStyle name="Comma [0] 13 3 2" xfId="28598"/>
    <cellStyle name="Comma [0] 13 3 2 2" xfId="28599"/>
    <cellStyle name="Comma [0] 13 3 3" xfId="28600"/>
    <cellStyle name="Comma [0] 13 4" xfId="28601"/>
    <cellStyle name="Comma [0] 13 4 2" xfId="28602"/>
    <cellStyle name="Comma [0] 13 5" xfId="28603"/>
    <cellStyle name="Comma [0] 13 6" xfId="28604"/>
    <cellStyle name="Comma [0] 14" xfId="28605"/>
    <cellStyle name="Comma [0] 14 2" xfId="28606"/>
    <cellStyle name="Comma [0] 14 2 2" xfId="28607"/>
    <cellStyle name="Comma [0] 14 3" xfId="28608"/>
    <cellStyle name="Comma [0] 14 3 2" xfId="28609"/>
    <cellStyle name="Comma [0] 14 3 2 2" xfId="28610"/>
    <cellStyle name="Comma [0] 14 3 2 2 2" xfId="28611"/>
    <cellStyle name="Comma [0] 14 3 2 2 2 2" xfId="28612"/>
    <cellStyle name="Comma [0] 14 3 2 2 3" xfId="28613"/>
    <cellStyle name="Comma [0] 14 3 2 3" xfId="28614"/>
    <cellStyle name="Comma [0] 14 3 2 3 2" xfId="28615"/>
    <cellStyle name="Comma [0] 14 3 2 4" xfId="28616"/>
    <cellStyle name="Comma [0] 14 3 3" xfId="28617"/>
    <cellStyle name="Comma [0] 14 3 3 2" xfId="28618"/>
    <cellStyle name="Comma [0] 14 3 3 2 2" xfId="28619"/>
    <cellStyle name="Comma [0] 14 3 3 3" xfId="28620"/>
    <cellStyle name="Comma [0] 14 3 4" xfId="28621"/>
    <cellStyle name="Comma [0] 14 3 4 2" xfId="28622"/>
    <cellStyle name="Comma [0] 14 3 5" xfId="28623"/>
    <cellStyle name="Comma [0] 14 4" xfId="28624"/>
    <cellStyle name="Comma [0] 14 4 2" xfId="28625"/>
    <cellStyle name="Comma [0] 14 4 2 2" xfId="28626"/>
    <cellStyle name="Comma [0] 14 4 2 2 2" xfId="28627"/>
    <cellStyle name="Comma [0] 14 4 2 3" xfId="28628"/>
    <cellStyle name="Comma [0] 14 4 3" xfId="28629"/>
    <cellStyle name="Comma [0] 14 4 3 2" xfId="28630"/>
    <cellStyle name="Comma [0] 14 4 4" xfId="28631"/>
    <cellStyle name="Comma [0] 14 5" xfId="28632"/>
    <cellStyle name="Comma [0] 14 5 2" xfId="28633"/>
    <cellStyle name="Comma [0] 14 5 2 2" xfId="28634"/>
    <cellStyle name="Comma [0] 14 5 3" xfId="28635"/>
    <cellStyle name="Comma [0] 14 6" xfId="28636"/>
    <cellStyle name="Comma [0] 14 6 2" xfId="28637"/>
    <cellStyle name="Comma [0] 14 7" xfId="28638"/>
    <cellStyle name="Comma [0] 14 8" xfId="28639"/>
    <cellStyle name="Comma [0] 15" xfId="28640"/>
    <cellStyle name="Comma [0] 15 2" xfId="28641"/>
    <cellStyle name="Comma [0] 15 2 2" xfId="28642"/>
    <cellStyle name="Comma [0] 15 2 2 2" xfId="28643"/>
    <cellStyle name="Comma [0] 15 2 2 2 2" xfId="28644"/>
    <cellStyle name="Comma [0] 15 2 2 2 2 2" xfId="28645"/>
    <cellStyle name="Comma [0] 15 2 2 2 3" xfId="28646"/>
    <cellStyle name="Comma [0] 15 2 2 3" xfId="28647"/>
    <cellStyle name="Comma [0] 15 2 2 3 2" xfId="28648"/>
    <cellStyle name="Comma [0] 15 2 2 4" xfId="28649"/>
    <cellStyle name="Comma [0] 15 2 3" xfId="28650"/>
    <cellStyle name="Comma [0] 15 2 3 2" xfId="28651"/>
    <cellStyle name="Comma [0] 15 2 3 2 2" xfId="28652"/>
    <cellStyle name="Comma [0] 15 2 3 3" xfId="28653"/>
    <cellStyle name="Comma [0] 15 2 4" xfId="28654"/>
    <cellStyle name="Comma [0] 15 2 4 2" xfId="28655"/>
    <cellStyle name="Comma [0] 15 2 5" xfId="28656"/>
    <cellStyle name="Comma [0] 15 3" xfId="28657"/>
    <cellStyle name="Comma [0] 15 3 2" xfId="28658"/>
    <cellStyle name="Comma [0] 15 3 2 2" xfId="28659"/>
    <cellStyle name="Comma [0] 15 3 2 2 2" xfId="28660"/>
    <cellStyle name="Comma [0] 15 3 2 3" xfId="28661"/>
    <cellStyle name="Comma [0] 15 3 3" xfId="28662"/>
    <cellStyle name="Comma [0] 15 3 3 2" xfId="28663"/>
    <cellStyle name="Comma [0] 15 3 4" xfId="28664"/>
    <cellStyle name="Comma [0] 15 4" xfId="28665"/>
    <cellStyle name="Comma [0] 15 4 2" xfId="28666"/>
    <cellStyle name="Comma [0] 15 4 2 2" xfId="28667"/>
    <cellStyle name="Comma [0] 15 4 3" xfId="28668"/>
    <cellStyle name="Comma [0] 15 5" xfId="28669"/>
    <cellStyle name="Comma [0] 15 5 2" xfId="28670"/>
    <cellStyle name="Comma [0] 15 6" xfId="28671"/>
    <cellStyle name="Comma [0] 15 7" xfId="28672"/>
    <cellStyle name="Comma [0] 15 7 2" xfId="28673"/>
    <cellStyle name="Comma [0] 16" xfId="28674"/>
    <cellStyle name="Comma [0] 16 2" xfId="28675"/>
    <cellStyle name="Comma [0] 16 2 2" xfId="28676"/>
    <cellStyle name="Comma [0] 16 3" xfId="28677"/>
    <cellStyle name="Comma [0] 16 4" xfId="28678"/>
    <cellStyle name="Comma [0] 16 4 2" xfId="28679"/>
    <cellStyle name="Comma [0] 17" xfId="28680"/>
    <cellStyle name="Comma [0] 17 2" xfId="28681"/>
    <cellStyle name="Comma [0] 17 3" xfId="28682"/>
    <cellStyle name="Comma [0] 17 3 2" xfId="28683"/>
    <cellStyle name="Comma [0] 18" xfId="28684"/>
    <cellStyle name="Comma [0] 18 2" xfId="28685"/>
    <cellStyle name="Comma [0] 19" xfId="28686"/>
    <cellStyle name="Comma [0] 19 2" xfId="28687"/>
    <cellStyle name="Comma [0] 2" xfId="5"/>
    <cellStyle name="Comma [0] 2 10" xfId="28688"/>
    <cellStyle name="Comma [0] 2 10 2" xfId="28689"/>
    <cellStyle name="Comma [0] 2 10 2 2" xfId="28690"/>
    <cellStyle name="Comma [0] 2 10 2 2 2" xfId="28691"/>
    <cellStyle name="Comma [0] 2 10 2 2 2 2" xfId="28692"/>
    <cellStyle name="Comma [0] 2 10 2 2 2 2 2" xfId="28693"/>
    <cellStyle name="Comma [0] 2 10 2 2 2 3" xfId="28694"/>
    <cellStyle name="Comma [0] 2 10 2 2 3" xfId="28695"/>
    <cellStyle name="Comma [0] 2 10 2 2 3 2" xfId="28696"/>
    <cellStyle name="Comma [0] 2 10 2 2 4" xfId="28697"/>
    <cellStyle name="Comma [0] 2 10 2 2 4 2" xfId="28698"/>
    <cellStyle name="Comma [0] 2 10 2 2 5" xfId="28699"/>
    <cellStyle name="Comma [0] 2 10 2 2 5 2" xfId="28700"/>
    <cellStyle name="Comma [0] 2 10 2 2 6" xfId="28701"/>
    <cellStyle name="Comma [0] 2 10 2 3" xfId="28702"/>
    <cellStyle name="Comma [0] 2 10 2 3 2" xfId="28703"/>
    <cellStyle name="Comma [0] 2 10 2 3 2 2" xfId="28704"/>
    <cellStyle name="Comma [0] 2 10 2 3 3" xfId="28705"/>
    <cellStyle name="Comma [0] 2 10 2 4" xfId="28706"/>
    <cellStyle name="Comma [0] 2 10 2 4 2" xfId="28707"/>
    <cellStyle name="Comma [0] 2 10 2 5" xfId="28708"/>
    <cellStyle name="Comma [0] 2 10 2 5 2" xfId="28709"/>
    <cellStyle name="Comma [0] 2 10 2 6" xfId="28710"/>
    <cellStyle name="Comma [0] 2 10 2 6 2" xfId="28711"/>
    <cellStyle name="Comma [0] 2 10 2 7" xfId="28712"/>
    <cellStyle name="Comma [0] 2 10 2 8" xfId="57493"/>
    <cellStyle name="Comma [0] 2 10 3" xfId="28713"/>
    <cellStyle name="Comma [0] 2 10 3 2" xfId="28714"/>
    <cellStyle name="Comma [0] 2 10 3 2 2" xfId="28715"/>
    <cellStyle name="Comma [0] 2 10 3 2 2 2" xfId="28716"/>
    <cellStyle name="Comma [0] 2 10 3 2 3" xfId="28717"/>
    <cellStyle name="Comma [0] 2 10 3 3" xfId="28718"/>
    <cellStyle name="Comma [0] 2 10 3 3 2" xfId="28719"/>
    <cellStyle name="Comma [0] 2 10 3 4" xfId="28720"/>
    <cellStyle name="Comma [0] 2 10 3 4 2" xfId="28721"/>
    <cellStyle name="Comma [0] 2 10 3 5" xfId="28722"/>
    <cellStyle name="Comma [0] 2 10 3 5 2" xfId="28723"/>
    <cellStyle name="Comma [0] 2 10 3 6" xfId="28724"/>
    <cellStyle name="Comma [0] 2 10 4" xfId="28725"/>
    <cellStyle name="Comma [0] 2 10 4 2" xfId="28726"/>
    <cellStyle name="Comma [0] 2 10 4 2 2" xfId="28727"/>
    <cellStyle name="Comma [0] 2 10 4 3" xfId="28728"/>
    <cellStyle name="Comma [0] 2 10 5" xfId="28729"/>
    <cellStyle name="Comma [0] 2 10 5 2" xfId="28730"/>
    <cellStyle name="Comma [0] 2 10 6" xfId="28731"/>
    <cellStyle name="Comma [0] 2 10 6 2" xfId="28732"/>
    <cellStyle name="Comma [0] 2 10 7" xfId="28733"/>
    <cellStyle name="Comma [0] 2 10 7 2" xfId="28734"/>
    <cellStyle name="Comma [0] 2 10 8" xfId="28735"/>
    <cellStyle name="Comma [0] 2 10 9" xfId="57492"/>
    <cellStyle name="Comma [0] 2 11" xfId="23"/>
    <cellStyle name="Comma [0] 2 11 2" xfId="43"/>
    <cellStyle name="Comma [0] 2 11 2 2" xfId="28736"/>
    <cellStyle name="Comma [0] 2 11 2 2 2" xfId="28737"/>
    <cellStyle name="Comma [0] 2 11 2 3" xfId="28738"/>
    <cellStyle name="Comma [0] 2 11 3" xfId="28739"/>
    <cellStyle name="Comma [0] 2 11 3 2" xfId="28740"/>
    <cellStyle name="Comma [0] 2 11 4" xfId="28741"/>
    <cellStyle name="Comma [0] 2 11 4 2" xfId="28742"/>
    <cellStyle name="Comma [0] 2 11 5" xfId="28743"/>
    <cellStyle name="Comma [0] 2 11 6" xfId="28744"/>
    <cellStyle name="Comma [0] 2 11 7" xfId="58328"/>
    <cellStyle name="Comma [0] 2 12" xfId="28745"/>
    <cellStyle name="Comma [0] 2 12 2" xfId="28746"/>
    <cellStyle name="Comma [0] 2 12 2 2" xfId="28747"/>
    <cellStyle name="Comma [0] 2 12 2 2 2" xfId="28748"/>
    <cellStyle name="Comma [0] 2 12 2 2 2 2" xfId="28749"/>
    <cellStyle name="Comma [0] 2 12 2 2 3" xfId="28750"/>
    <cellStyle name="Comma [0] 2 12 2 3" xfId="28751"/>
    <cellStyle name="Comma [0] 2 12 2 3 2" xfId="28752"/>
    <cellStyle name="Comma [0] 2 12 2 4" xfId="28753"/>
    <cellStyle name="Comma [0] 2 12 2 4 2" xfId="28754"/>
    <cellStyle name="Comma [0] 2 12 2 5" xfId="28755"/>
    <cellStyle name="Comma [0] 2 12 2 5 2" xfId="28756"/>
    <cellStyle name="Comma [0] 2 12 2 6" xfId="28757"/>
    <cellStyle name="Comma [0] 2 12 3" xfId="28758"/>
    <cellStyle name="Comma [0] 2 12 3 2" xfId="28759"/>
    <cellStyle name="Comma [0] 2 12 3 2 2" xfId="28760"/>
    <cellStyle name="Comma [0] 2 12 3 3" xfId="28761"/>
    <cellStyle name="Comma [0] 2 12 4" xfId="28762"/>
    <cellStyle name="Comma [0] 2 12 4 2" xfId="28763"/>
    <cellStyle name="Comma [0] 2 12 5" xfId="28764"/>
    <cellStyle name="Comma [0] 2 12 5 2" xfId="28765"/>
    <cellStyle name="Comma [0] 2 12 6" xfId="28766"/>
    <cellStyle name="Comma [0] 2 12 6 2" xfId="28767"/>
    <cellStyle name="Comma [0] 2 12 7" xfId="28768"/>
    <cellStyle name="Comma [0] 2 13" xfId="28769"/>
    <cellStyle name="Comma [0] 2 13 2" xfId="28770"/>
    <cellStyle name="Comma [0] 2 13 2 2" xfId="28771"/>
    <cellStyle name="Comma [0] 2 13 2 2 2" xfId="28772"/>
    <cellStyle name="Comma [0] 2 13 2 2 2 2" xfId="28773"/>
    <cellStyle name="Comma [0] 2 13 2 2 3" xfId="28774"/>
    <cellStyle name="Comma [0] 2 13 2 3" xfId="28775"/>
    <cellStyle name="Comma [0] 2 13 2 3 2" xfId="28776"/>
    <cellStyle name="Comma [0] 2 13 2 4" xfId="28777"/>
    <cellStyle name="Comma [0] 2 13 2 4 2" xfId="28778"/>
    <cellStyle name="Comma [0] 2 13 2 5" xfId="28779"/>
    <cellStyle name="Comma [0] 2 13 2 5 2" xfId="28780"/>
    <cellStyle name="Comma [0] 2 13 2 6" xfId="28781"/>
    <cellStyle name="Comma [0] 2 13 3" xfId="28782"/>
    <cellStyle name="Comma [0] 2 13 3 2" xfId="28783"/>
    <cellStyle name="Comma [0] 2 13 3 2 2" xfId="28784"/>
    <cellStyle name="Comma [0] 2 13 3 3" xfId="28785"/>
    <cellStyle name="Comma [0] 2 13 4" xfId="28786"/>
    <cellStyle name="Comma [0] 2 13 4 2" xfId="28787"/>
    <cellStyle name="Comma [0] 2 13 5" xfId="28788"/>
    <cellStyle name="Comma [0] 2 13 5 2" xfId="28789"/>
    <cellStyle name="Comma [0] 2 13 6" xfId="28790"/>
    <cellStyle name="Comma [0] 2 13 6 2" xfId="28791"/>
    <cellStyle name="Comma [0] 2 13 7" xfId="28792"/>
    <cellStyle name="Comma [0] 2 14" xfId="28793"/>
    <cellStyle name="Comma [0] 2 14 2" xfId="28794"/>
    <cellStyle name="Comma [0] 2 14 2 2" xfId="28795"/>
    <cellStyle name="Comma [0] 2 14 2 2 2" xfId="28796"/>
    <cellStyle name="Comma [0] 2 14 2 3" xfId="28797"/>
    <cellStyle name="Comma [0] 2 14 3" xfId="28798"/>
    <cellStyle name="Comma [0] 2 14 3 2" xfId="28799"/>
    <cellStyle name="Comma [0] 2 14 4" xfId="28800"/>
    <cellStyle name="Comma [0] 2 14 4 2" xfId="28801"/>
    <cellStyle name="Comma [0] 2 14 5" xfId="28802"/>
    <cellStyle name="Comma [0] 2 14 5 2" xfId="28803"/>
    <cellStyle name="Comma [0] 2 14 6" xfId="28804"/>
    <cellStyle name="Comma [0] 2 15" xfId="28805"/>
    <cellStyle name="Comma [0] 2 15 2" xfId="28806"/>
    <cellStyle name="Comma [0] 2 15 2 2" xfId="28807"/>
    <cellStyle name="Comma [0] 2 15 2 2 2" xfId="28808"/>
    <cellStyle name="Comma [0] 2 15 2 3" xfId="28809"/>
    <cellStyle name="Comma [0] 2 15 3" xfId="28810"/>
    <cellStyle name="Comma [0] 2 15 3 2" xfId="28811"/>
    <cellStyle name="Comma [0] 2 15 4" xfId="28812"/>
    <cellStyle name="Comma [0] 2 15 4 2" xfId="28813"/>
    <cellStyle name="Comma [0] 2 15 5" xfId="28814"/>
    <cellStyle name="Comma [0] 2 15 5 2" xfId="28815"/>
    <cellStyle name="Comma [0] 2 15 6" xfId="28816"/>
    <cellStyle name="Comma [0] 2 16" xfId="28817"/>
    <cellStyle name="Comma [0] 2 16 2" xfId="28818"/>
    <cellStyle name="Comma [0] 2 16 2 2" xfId="28819"/>
    <cellStyle name="Comma [0] 2 16 3" xfId="28820"/>
    <cellStyle name="Comma [0] 2 17" xfId="28821"/>
    <cellStyle name="Comma [0] 2 17 2" xfId="28822"/>
    <cellStyle name="Comma [0] 2 17 2 2" xfId="28823"/>
    <cellStyle name="Comma [0] 2 17 3" xfId="28824"/>
    <cellStyle name="Comma [0] 2 18" xfId="28825"/>
    <cellStyle name="Comma [0] 2 18 2" xfId="28826"/>
    <cellStyle name="Comma [0] 2 187" xfId="28827"/>
    <cellStyle name="Comma [0] 2 19" xfId="28828"/>
    <cellStyle name="Comma [0] 2 19 2" xfId="28829"/>
    <cellStyle name="Comma [0] 2 2" xfId="50"/>
    <cellStyle name="Comma [0] 2 2 10" xfId="6"/>
    <cellStyle name="Comma [0] 2 2 10 2" xfId="52"/>
    <cellStyle name="Comma [0] 2 2 10 2 2" xfId="28830"/>
    <cellStyle name="Comma [0] 2 2 10 2 2 2" xfId="28831"/>
    <cellStyle name="Comma [0] 2 2 10 2 2 2 2" xfId="28832"/>
    <cellStyle name="Comma [0] 2 2 10 2 2 3" xfId="28833"/>
    <cellStyle name="Comma [0] 2 2 10 2 3" xfId="28834"/>
    <cellStyle name="Comma [0] 2 2 10 2 3 2" xfId="28835"/>
    <cellStyle name="Comma [0] 2 2 10 2 4" xfId="28836"/>
    <cellStyle name="Comma [0] 2 2 10 2 4 2" xfId="28837"/>
    <cellStyle name="Comma [0] 2 2 10 2 5" xfId="28838"/>
    <cellStyle name="Comma [0] 2 2 10 2 5 2" xfId="28839"/>
    <cellStyle name="Comma [0] 2 2 10 2 6" xfId="28840"/>
    <cellStyle name="Comma [0] 2 2 10 3" xfId="34"/>
    <cellStyle name="Comma [0] 2 2 10 3 2" xfId="28841"/>
    <cellStyle name="Comma [0] 2 2 10 3 2 2" xfId="28842"/>
    <cellStyle name="Comma [0] 2 2 10 3 3" xfId="28843"/>
    <cellStyle name="Comma [0] 2 2 10 4" xfId="28844"/>
    <cellStyle name="Comma [0] 2 2 10 4 2" xfId="28845"/>
    <cellStyle name="Comma [0] 2 2 10 5" xfId="28846"/>
    <cellStyle name="Comma [0] 2 2 10 5 2" xfId="28847"/>
    <cellStyle name="Comma [0] 2 2 10 6" xfId="28848"/>
    <cellStyle name="Comma [0] 2 2 10 6 2" xfId="28849"/>
    <cellStyle name="Comma [0] 2 2 10 7" xfId="28850"/>
    <cellStyle name="Comma [0] 2 2 10 8" xfId="28851"/>
    <cellStyle name="Comma [0] 2 2 11" xfId="28852"/>
    <cellStyle name="Comma [0] 2 2 11 2" xfId="28853"/>
    <cellStyle name="Comma [0] 2 2 11 2 2" xfId="28854"/>
    <cellStyle name="Comma [0] 2 2 11 2 2 2" xfId="28855"/>
    <cellStyle name="Comma [0] 2 2 11 2 3" xfId="28856"/>
    <cellStyle name="Comma [0] 2 2 11 3" xfId="28857"/>
    <cellStyle name="Comma [0] 2 2 11 3 2" xfId="28858"/>
    <cellStyle name="Comma [0] 2 2 11 4" xfId="28859"/>
    <cellStyle name="Comma [0] 2 2 11 4 2" xfId="28860"/>
    <cellStyle name="Comma [0] 2 2 11 5" xfId="28861"/>
    <cellStyle name="Comma [0] 2 2 11 5 2" xfId="28862"/>
    <cellStyle name="Comma [0] 2 2 11 6" xfId="28863"/>
    <cellStyle name="Comma [0] 2 2 12" xfId="28864"/>
    <cellStyle name="Comma [0] 2 2 12 2" xfId="28865"/>
    <cellStyle name="Comma [0] 2 2 12 2 2" xfId="28866"/>
    <cellStyle name="Comma [0] 2 2 12 2 2 2" xfId="28867"/>
    <cellStyle name="Comma [0] 2 2 12 2 3" xfId="28868"/>
    <cellStyle name="Comma [0] 2 2 12 3" xfId="28869"/>
    <cellStyle name="Comma [0] 2 2 12 3 2" xfId="28870"/>
    <cellStyle name="Comma [0] 2 2 12 4" xfId="28871"/>
    <cellStyle name="Comma [0] 2 2 12 4 2" xfId="28872"/>
    <cellStyle name="Comma [0] 2 2 12 5" xfId="28873"/>
    <cellStyle name="Comma [0] 2 2 12 5 2" xfId="28874"/>
    <cellStyle name="Comma [0] 2 2 12 6" xfId="28875"/>
    <cellStyle name="Comma [0] 2 2 13" xfId="28876"/>
    <cellStyle name="Comma [0] 2 2 13 2" xfId="28877"/>
    <cellStyle name="Comma [0] 2 2 13 2 2" xfId="28878"/>
    <cellStyle name="Comma [0] 2 2 13 2 2 2" xfId="28879"/>
    <cellStyle name="Comma [0] 2 2 13 2 3" xfId="28880"/>
    <cellStyle name="Comma [0] 2 2 13 3" xfId="28881"/>
    <cellStyle name="Comma [0] 2 2 13 3 2" xfId="28882"/>
    <cellStyle name="Comma [0] 2 2 13 4" xfId="28883"/>
    <cellStyle name="Comma [0] 2 2 13 4 2" xfId="28884"/>
    <cellStyle name="Comma [0] 2 2 13 5" xfId="28885"/>
    <cellStyle name="Comma [0] 2 2 13 5 2" xfId="28886"/>
    <cellStyle name="Comma [0] 2 2 13 6" xfId="28887"/>
    <cellStyle name="Comma [0] 2 2 14" xfId="28888"/>
    <cellStyle name="Comma [0] 2 2 14 2" xfId="28889"/>
    <cellStyle name="Comma [0] 2 2 14 2 2" xfId="28890"/>
    <cellStyle name="Comma [0] 2 2 14 3" xfId="28891"/>
    <cellStyle name="Comma [0] 2 2 15" xfId="28892"/>
    <cellStyle name="Comma [0] 2 2 15 2" xfId="28893"/>
    <cellStyle name="Comma [0] 2 2 16" xfId="28894"/>
    <cellStyle name="Comma [0] 2 2 16 2" xfId="28895"/>
    <cellStyle name="Comma [0] 2 2 17" xfId="28896"/>
    <cellStyle name="Comma [0] 2 2 17 2" xfId="28897"/>
    <cellStyle name="Comma [0] 2 2 18" xfId="28898"/>
    <cellStyle name="Comma [0] 2 2 19" xfId="28899"/>
    <cellStyle name="Comma [0] 2 2 2" xfId="28900"/>
    <cellStyle name="Comma [0] 2 2 2 10" xfId="28901"/>
    <cellStyle name="Comma [0] 2 2 2 10 2" xfId="28902"/>
    <cellStyle name="Comma [0] 2 2 2 10 2 2" xfId="28903"/>
    <cellStyle name="Comma [0] 2 2 2 10 3" xfId="28904"/>
    <cellStyle name="Comma [0] 2 2 2 11" xfId="28905"/>
    <cellStyle name="Comma [0] 2 2 2 11 2" xfId="28906"/>
    <cellStyle name="Comma [0] 2 2 2 12" xfId="28907"/>
    <cellStyle name="Comma [0] 2 2 2 12 2" xfId="28908"/>
    <cellStyle name="Comma [0] 2 2 2 13" xfId="28909"/>
    <cellStyle name="Comma [0] 2 2 2 13 2" xfId="28910"/>
    <cellStyle name="Comma [0] 2 2 2 14" xfId="28911"/>
    <cellStyle name="Comma [0] 2 2 2 15" xfId="57495"/>
    <cellStyle name="Comma [0] 2 2 2 2" xfId="28912"/>
    <cellStyle name="Comma [0] 2 2 2 2 10" xfId="28913"/>
    <cellStyle name="Comma [0] 2 2 2 2 10 2" xfId="28914"/>
    <cellStyle name="Comma [0] 2 2 2 2 11" xfId="28915"/>
    <cellStyle name="Comma [0] 2 2 2 2 11 2" xfId="28916"/>
    <cellStyle name="Comma [0] 2 2 2 2 12" xfId="28917"/>
    <cellStyle name="Comma [0] 2 2 2 2 13" xfId="57496"/>
    <cellStyle name="Comma [0] 2 2 2 2 2" xfId="28918"/>
    <cellStyle name="Comma [0] 2 2 2 2 2 2" xfId="28919"/>
    <cellStyle name="Comma [0] 2 2 2 2 2 2 2" xfId="28920"/>
    <cellStyle name="Comma [0] 2 2 2 2 2 2 2 2" xfId="28921"/>
    <cellStyle name="Comma [0] 2 2 2 2 2 2 2 2 2" xfId="28922"/>
    <cellStyle name="Comma [0] 2 2 2 2 2 2 2 2 2 2" xfId="28923"/>
    <cellStyle name="Comma [0] 2 2 2 2 2 2 2 2 3" xfId="28924"/>
    <cellStyle name="Comma [0] 2 2 2 2 2 2 2 3" xfId="28925"/>
    <cellStyle name="Comma [0] 2 2 2 2 2 2 2 3 2" xfId="28926"/>
    <cellStyle name="Comma [0] 2 2 2 2 2 2 2 4" xfId="28927"/>
    <cellStyle name="Comma [0] 2 2 2 2 2 2 2 4 2" xfId="28928"/>
    <cellStyle name="Comma [0] 2 2 2 2 2 2 2 5" xfId="28929"/>
    <cellStyle name="Comma [0] 2 2 2 2 2 2 2 5 2" xfId="28930"/>
    <cellStyle name="Comma [0] 2 2 2 2 2 2 2 6" xfId="28931"/>
    <cellStyle name="Comma [0] 2 2 2 2 2 2 3" xfId="28932"/>
    <cellStyle name="Comma [0] 2 2 2 2 2 2 3 2" xfId="28933"/>
    <cellStyle name="Comma [0] 2 2 2 2 2 2 3 2 2" xfId="28934"/>
    <cellStyle name="Comma [0] 2 2 2 2 2 2 3 3" xfId="28935"/>
    <cellStyle name="Comma [0] 2 2 2 2 2 2 4" xfId="28936"/>
    <cellStyle name="Comma [0] 2 2 2 2 2 2 4 2" xfId="28937"/>
    <cellStyle name="Comma [0] 2 2 2 2 2 2 5" xfId="28938"/>
    <cellStyle name="Comma [0] 2 2 2 2 2 2 5 2" xfId="28939"/>
    <cellStyle name="Comma [0] 2 2 2 2 2 2 6" xfId="28940"/>
    <cellStyle name="Comma [0] 2 2 2 2 2 2 6 2" xfId="28941"/>
    <cellStyle name="Comma [0] 2 2 2 2 2 2 7" xfId="28942"/>
    <cellStyle name="Comma [0] 2 2 2 2 2 3" xfId="28943"/>
    <cellStyle name="Comma [0] 2 2 2 2 2 3 2" xfId="28944"/>
    <cellStyle name="Comma [0] 2 2 2 2 2 3 2 2" xfId="28945"/>
    <cellStyle name="Comma [0] 2 2 2 2 2 3 2 2 2" xfId="28946"/>
    <cellStyle name="Comma [0] 2 2 2 2 2 3 2 3" xfId="28947"/>
    <cellStyle name="Comma [0] 2 2 2 2 2 3 3" xfId="28948"/>
    <cellStyle name="Comma [0] 2 2 2 2 2 3 3 2" xfId="28949"/>
    <cellStyle name="Comma [0] 2 2 2 2 2 3 4" xfId="28950"/>
    <cellStyle name="Comma [0] 2 2 2 2 2 3 4 2" xfId="28951"/>
    <cellStyle name="Comma [0] 2 2 2 2 2 3 5" xfId="28952"/>
    <cellStyle name="Comma [0] 2 2 2 2 2 3 5 2" xfId="28953"/>
    <cellStyle name="Comma [0] 2 2 2 2 2 3 6" xfId="28954"/>
    <cellStyle name="Comma [0] 2 2 2 2 2 4" xfId="28955"/>
    <cellStyle name="Comma [0] 2 2 2 2 2 4 2" xfId="28956"/>
    <cellStyle name="Comma [0] 2 2 2 2 2 4 2 2" xfId="28957"/>
    <cellStyle name="Comma [0] 2 2 2 2 2 4 3" xfId="28958"/>
    <cellStyle name="Comma [0] 2 2 2 2 2 5" xfId="28959"/>
    <cellStyle name="Comma [0] 2 2 2 2 2 5 2" xfId="28960"/>
    <cellStyle name="Comma [0] 2 2 2 2 2 6" xfId="28961"/>
    <cellStyle name="Comma [0] 2 2 2 2 2 6 2" xfId="28962"/>
    <cellStyle name="Comma [0] 2 2 2 2 2 7" xfId="28963"/>
    <cellStyle name="Comma [0] 2 2 2 2 2 7 2" xfId="28964"/>
    <cellStyle name="Comma [0] 2 2 2 2 2 8" xfId="28965"/>
    <cellStyle name="Comma [0] 2 2 2 2 3" xfId="28966"/>
    <cellStyle name="Comma [0] 2 2 2 2 3 2" xfId="28967"/>
    <cellStyle name="Comma [0] 2 2 2 2 3 2 2" xfId="28968"/>
    <cellStyle name="Comma [0] 2 2 2 2 3 2 2 2" xfId="28969"/>
    <cellStyle name="Comma [0] 2 2 2 2 3 2 2 2 2" xfId="28970"/>
    <cellStyle name="Comma [0] 2 2 2 2 3 2 2 2 2 2" xfId="28971"/>
    <cellStyle name="Comma [0] 2 2 2 2 3 2 2 2 3" xfId="28972"/>
    <cellStyle name="Comma [0] 2 2 2 2 3 2 2 3" xfId="28973"/>
    <cellStyle name="Comma [0] 2 2 2 2 3 2 2 3 2" xfId="28974"/>
    <cellStyle name="Comma [0] 2 2 2 2 3 2 2 4" xfId="28975"/>
    <cellStyle name="Comma [0] 2 2 2 2 3 2 2 4 2" xfId="28976"/>
    <cellStyle name="Comma [0] 2 2 2 2 3 2 2 5" xfId="28977"/>
    <cellStyle name="Comma [0] 2 2 2 2 3 2 2 5 2" xfId="28978"/>
    <cellStyle name="Comma [0] 2 2 2 2 3 2 2 6" xfId="28979"/>
    <cellStyle name="Comma [0] 2 2 2 2 3 2 3" xfId="28980"/>
    <cellStyle name="Comma [0] 2 2 2 2 3 2 3 2" xfId="28981"/>
    <cellStyle name="Comma [0] 2 2 2 2 3 2 3 2 2" xfId="28982"/>
    <cellStyle name="Comma [0] 2 2 2 2 3 2 3 3" xfId="28983"/>
    <cellStyle name="Comma [0] 2 2 2 2 3 2 4" xfId="28984"/>
    <cellStyle name="Comma [0] 2 2 2 2 3 2 4 2" xfId="28985"/>
    <cellStyle name="Comma [0] 2 2 2 2 3 2 5" xfId="28986"/>
    <cellStyle name="Comma [0] 2 2 2 2 3 2 5 2" xfId="28987"/>
    <cellStyle name="Comma [0] 2 2 2 2 3 2 6" xfId="28988"/>
    <cellStyle name="Comma [0] 2 2 2 2 3 2 6 2" xfId="28989"/>
    <cellStyle name="Comma [0] 2 2 2 2 3 2 7" xfId="28990"/>
    <cellStyle name="Comma [0] 2 2 2 2 3 3" xfId="28991"/>
    <cellStyle name="Comma [0] 2 2 2 2 3 3 2" xfId="28992"/>
    <cellStyle name="Comma [0] 2 2 2 2 3 3 2 2" xfId="28993"/>
    <cellStyle name="Comma [0] 2 2 2 2 3 3 2 2 2" xfId="28994"/>
    <cellStyle name="Comma [0] 2 2 2 2 3 3 2 3" xfId="28995"/>
    <cellStyle name="Comma [0] 2 2 2 2 3 3 3" xfId="28996"/>
    <cellStyle name="Comma [0] 2 2 2 2 3 3 3 2" xfId="28997"/>
    <cellStyle name="Comma [0] 2 2 2 2 3 3 4" xfId="28998"/>
    <cellStyle name="Comma [0] 2 2 2 2 3 3 4 2" xfId="28999"/>
    <cellStyle name="Comma [0] 2 2 2 2 3 3 5" xfId="29000"/>
    <cellStyle name="Comma [0] 2 2 2 2 3 3 5 2" xfId="29001"/>
    <cellStyle name="Comma [0] 2 2 2 2 3 3 6" xfId="29002"/>
    <cellStyle name="Comma [0] 2 2 2 2 3 4" xfId="29003"/>
    <cellStyle name="Comma [0] 2 2 2 2 3 4 2" xfId="29004"/>
    <cellStyle name="Comma [0] 2 2 2 2 3 4 2 2" xfId="29005"/>
    <cellStyle name="Comma [0] 2 2 2 2 3 4 3" xfId="29006"/>
    <cellStyle name="Comma [0] 2 2 2 2 3 5" xfId="29007"/>
    <cellStyle name="Comma [0] 2 2 2 2 3 5 2" xfId="29008"/>
    <cellStyle name="Comma [0] 2 2 2 2 3 6" xfId="29009"/>
    <cellStyle name="Comma [0] 2 2 2 2 3 6 2" xfId="29010"/>
    <cellStyle name="Comma [0] 2 2 2 2 3 7" xfId="29011"/>
    <cellStyle name="Comma [0] 2 2 2 2 3 7 2" xfId="29012"/>
    <cellStyle name="Comma [0] 2 2 2 2 3 8" xfId="29013"/>
    <cellStyle name="Comma [0] 2 2 2 2 4" xfId="29014"/>
    <cellStyle name="Comma [0] 2 2 2 2 4 2" xfId="29015"/>
    <cellStyle name="Comma [0] 2 2 2 2 4 2 2" xfId="29016"/>
    <cellStyle name="Comma [0] 2 2 2 2 4 2 2 2" xfId="29017"/>
    <cellStyle name="Comma [0] 2 2 2 2 4 2 2 2 2" xfId="29018"/>
    <cellStyle name="Comma [0] 2 2 2 2 4 2 2 3" xfId="29019"/>
    <cellStyle name="Comma [0] 2 2 2 2 4 2 3" xfId="29020"/>
    <cellStyle name="Comma [0] 2 2 2 2 4 2 3 2" xfId="29021"/>
    <cellStyle name="Comma [0] 2 2 2 2 4 2 4" xfId="29022"/>
    <cellStyle name="Comma [0] 2 2 2 2 4 2 4 2" xfId="29023"/>
    <cellStyle name="Comma [0] 2 2 2 2 4 2 5" xfId="29024"/>
    <cellStyle name="Comma [0] 2 2 2 2 4 2 5 2" xfId="29025"/>
    <cellStyle name="Comma [0] 2 2 2 2 4 2 6" xfId="29026"/>
    <cellStyle name="Comma [0] 2 2 2 2 4 3" xfId="29027"/>
    <cellStyle name="Comma [0] 2 2 2 2 4 3 2" xfId="29028"/>
    <cellStyle name="Comma [0] 2 2 2 2 4 3 2 2" xfId="29029"/>
    <cellStyle name="Comma [0] 2 2 2 2 4 3 3" xfId="29030"/>
    <cellStyle name="Comma [0] 2 2 2 2 4 4" xfId="29031"/>
    <cellStyle name="Comma [0] 2 2 2 2 4 4 2" xfId="29032"/>
    <cellStyle name="Comma [0] 2 2 2 2 4 5" xfId="29033"/>
    <cellStyle name="Comma [0] 2 2 2 2 4 5 2" xfId="29034"/>
    <cellStyle name="Comma [0] 2 2 2 2 4 6" xfId="29035"/>
    <cellStyle name="Comma [0] 2 2 2 2 4 6 2" xfId="29036"/>
    <cellStyle name="Comma [0] 2 2 2 2 4 7" xfId="29037"/>
    <cellStyle name="Comma [0] 2 2 2 2 5" xfId="29038"/>
    <cellStyle name="Comma [0] 2 2 2 2 5 2" xfId="29039"/>
    <cellStyle name="Comma [0] 2 2 2 2 5 2 2" xfId="29040"/>
    <cellStyle name="Comma [0] 2 2 2 2 5 2 2 2" xfId="29041"/>
    <cellStyle name="Comma [0] 2 2 2 2 5 2 2 2 2" xfId="29042"/>
    <cellStyle name="Comma [0] 2 2 2 2 5 2 2 3" xfId="29043"/>
    <cellStyle name="Comma [0] 2 2 2 2 5 2 3" xfId="29044"/>
    <cellStyle name="Comma [0] 2 2 2 2 5 2 3 2" xfId="29045"/>
    <cellStyle name="Comma [0] 2 2 2 2 5 2 4" xfId="29046"/>
    <cellStyle name="Comma [0] 2 2 2 2 5 2 4 2" xfId="29047"/>
    <cellStyle name="Comma [0] 2 2 2 2 5 2 5" xfId="29048"/>
    <cellStyle name="Comma [0] 2 2 2 2 5 2 5 2" xfId="29049"/>
    <cellStyle name="Comma [0] 2 2 2 2 5 2 6" xfId="29050"/>
    <cellStyle name="Comma [0] 2 2 2 2 5 3" xfId="29051"/>
    <cellStyle name="Comma [0] 2 2 2 2 5 3 2" xfId="29052"/>
    <cellStyle name="Comma [0] 2 2 2 2 5 3 2 2" xfId="29053"/>
    <cellStyle name="Comma [0] 2 2 2 2 5 3 3" xfId="29054"/>
    <cellStyle name="Comma [0] 2 2 2 2 5 4" xfId="29055"/>
    <cellStyle name="Comma [0] 2 2 2 2 5 4 2" xfId="29056"/>
    <cellStyle name="Comma [0] 2 2 2 2 5 5" xfId="29057"/>
    <cellStyle name="Comma [0] 2 2 2 2 5 5 2" xfId="29058"/>
    <cellStyle name="Comma [0] 2 2 2 2 5 6" xfId="29059"/>
    <cellStyle name="Comma [0] 2 2 2 2 5 6 2" xfId="29060"/>
    <cellStyle name="Comma [0] 2 2 2 2 5 7" xfId="29061"/>
    <cellStyle name="Comma [0] 2 2 2 2 6" xfId="29062"/>
    <cellStyle name="Comma [0] 2 2 2 2 6 2" xfId="29063"/>
    <cellStyle name="Comma [0] 2 2 2 2 6 2 2" xfId="29064"/>
    <cellStyle name="Comma [0] 2 2 2 2 6 2 2 2" xfId="29065"/>
    <cellStyle name="Comma [0] 2 2 2 2 6 2 3" xfId="29066"/>
    <cellStyle name="Comma [0] 2 2 2 2 6 3" xfId="29067"/>
    <cellStyle name="Comma [0] 2 2 2 2 6 3 2" xfId="29068"/>
    <cellStyle name="Comma [0] 2 2 2 2 6 4" xfId="29069"/>
    <cellStyle name="Comma [0] 2 2 2 2 6 4 2" xfId="29070"/>
    <cellStyle name="Comma [0] 2 2 2 2 6 5" xfId="29071"/>
    <cellStyle name="Comma [0] 2 2 2 2 6 5 2" xfId="29072"/>
    <cellStyle name="Comma [0] 2 2 2 2 6 6" xfId="29073"/>
    <cellStyle name="Comma [0] 2 2 2 2 7" xfId="29074"/>
    <cellStyle name="Comma [0] 2 2 2 2 7 2" xfId="29075"/>
    <cellStyle name="Comma [0] 2 2 2 2 7 2 2" xfId="29076"/>
    <cellStyle name="Comma [0] 2 2 2 2 7 2 2 2" xfId="29077"/>
    <cellStyle name="Comma [0] 2 2 2 2 7 2 3" xfId="29078"/>
    <cellStyle name="Comma [0] 2 2 2 2 7 3" xfId="29079"/>
    <cellStyle name="Comma [0] 2 2 2 2 7 3 2" xfId="29080"/>
    <cellStyle name="Comma [0] 2 2 2 2 7 4" xfId="29081"/>
    <cellStyle name="Comma [0] 2 2 2 2 7 4 2" xfId="29082"/>
    <cellStyle name="Comma [0] 2 2 2 2 7 5" xfId="29083"/>
    <cellStyle name="Comma [0] 2 2 2 2 7 5 2" xfId="29084"/>
    <cellStyle name="Comma [0] 2 2 2 2 7 6" xfId="29085"/>
    <cellStyle name="Comma [0] 2 2 2 2 8" xfId="29086"/>
    <cellStyle name="Comma [0] 2 2 2 2 8 2" xfId="29087"/>
    <cellStyle name="Comma [0] 2 2 2 2 8 2 2" xfId="29088"/>
    <cellStyle name="Comma [0] 2 2 2 2 8 3" xfId="29089"/>
    <cellStyle name="Comma [0] 2 2 2 2 9" xfId="29090"/>
    <cellStyle name="Comma [0] 2 2 2 2 9 2" xfId="29091"/>
    <cellStyle name="Comma [0] 2 2 2 3" xfId="29092"/>
    <cellStyle name="Comma [0] 2 2 2 3 2" xfId="29093"/>
    <cellStyle name="Comma [0] 2 2 2 3 2 2" xfId="29094"/>
    <cellStyle name="Comma [0] 2 2 2 3 3" xfId="29095"/>
    <cellStyle name="Comma [0] 2 2 2 4" xfId="29096"/>
    <cellStyle name="Comma [0] 2 2 2 4 2" xfId="29097"/>
    <cellStyle name="Comma [0] 2 2 2 4 2 2" xfId="29098"/>
    <cellStyle name="Comma [0] 2 2 2 4 2 2 2" xfId="29099"/>
    <cellStyle name="Comma [0] 2 2 2 4 2 2 2 2" xfId="29100"/>
    <cellStyle name="Comma [0] 2 2 2 4 2 2 2 2 2" xfId="29101"/>
    <cellStyle name="Comma [0] 2 2 2 4 2 2 2 3" xfId="29102"/>
    <cellStyle name="Comma [0] 2 2 2 4 2 2 3" xfId="29103"/>
    <cellStyle name="Comma [0] 2 2 2 4 2 2 3 2" xfId="29104"/>
    <cellStyle name="Comma [0] 2 2 2 4 2 2 4" xfId="29105"/>
    <cellStyle name="Comma [0] 2 2 2 4 2 2 4 2" xfId="29106"/>
    <cellStyle name="Comma [0] 2 2 2 4 2 2 5" xfId="29107"/>
    <cellStyle name="Comma [0] 2 2 2 4 2 2 5 2" xfId="29108"/>
    <cellStyle name="Comma [0] 2 2 2 4 2 2 6" xfId="29109"/>
    <cellStyle name="Comma [0] 2 2 2 4 2 3" xfId="29110"/>
    <cellStyle name="Comma [0] 2 2 2 4 2 3 2" xfId="29111"/>
    <cellStyle name="Comma [0] 2 2 2 4 2 3 2 2" xfId="29112"/>
    <cellStyle name="Comma [0] 2 2 2 4 2 3 3" xfId="29113"/>
    <cellStyle name="Comma [0] 2 2 2 4 2 4" xfId="29114"/>
    <cellStyle name="Comma [0] 2 2 2 4 2 4 2" xfId="29115"/>
    <cellStyle name="Comma [0] 2 2 2 4 2 5" xfId="29116"/>
    <cellStyle name="Comma [0] 2 2 2 4 2 5 2" xfId="29117"/>
    <cellStyle name="Comma [0] 2 2 2 4 2 6" xfId="29118"/>
    <cellStyle name="Comma [0] 2 2 2 4 2 6 2" xfId="29119"/>
    <cellStyle name="Comma [0] 2 2 2 4 2 7" xfId="29120"/>
    <cellStyle name="Comma [0] 2 2 2 4 3" xfId="29121"/>
    <cellStyle name="Comma [0] 2 2 2 4 3 2" xfId="29122"/>
    <cellStyle name="Comma [0] 2 2 2 4 3 2 2" xfId="29123"/>
    <cellStyle name="Comma [0] 2 2 2 4 3 2 2 2" xfId="29124"/>
    <cellStyle name="Comma [0] 2 2 2 4 3 2 3" xfId="29125"/>
    <cellStyle name="Comma [0] 2 2 2 4 3 3" xfId="29126"/>
    <cellStyle name="Comma [0] 2 2 2 4 3 3 2" xfId="29127"/>
    <cellStyle name="Comma [0] 2 2 2 4 3 4" xfId="29128"/>
    <cellStyle name="Comma [0] 2 2 2 4 3 4 2" xfId="29129"/>
    <cellStyle name="Comma [0] 2 2 2 4 3 5" xfId="29130"/>
    <cellStyle name="Comma [0] 2 2 2 4 3 5 2" xfId="29131"/>
    <cellStyle name="Comma [0] 2 2 2 4 3 6" xfId="29132"/>
    <cellStyle name="Comma [0] 2 2 2 4 4" xfId="29133"/>
    <cellStyle name="Comma [0] 2 2 2 4 4 2" xfId="29134"/>
    <cellStyle name="Comma [0] 2 2 2 4 4 2 2" xfId="29135"/>
    <cellStyle name="Comma [0] 2 2 2 4 4 3" xfId="29136"/>
    <cellStyle name="Comma [0] 2 2 2 4 5" xfId="29137"/>
    <cellStyle name="Comma [0] 2 2 2 4 5 2" xfId="29138"/>
    <cellStyle name="Comma [0] 2 2 2 4 6" xfId="29139"/>
    <cellStyle name="Comma [0] 2 2 2 4 6 2" xfId="29140"/>
    <cellStyle name="Comma [0] 2 2 2 4 7" xfId="29141"/>
    <cellStyle name="Comma [0] 2 2 2 4 7 2" xfId="29142"/>
    <cellStyle name="Comma [0] 2 2 2 4 8" xfId="29143"/>
    <cellStyle name="Comma [0] 2 2 2 5" xfId="29144"/>
    <cellStyle name="Comma [0] 2 2 2 5 2" xfId="29145"/>
    <cellStyle name="Comma [0] 2 2 2 5 2 2" xfId="29146"/>
    <cellStyle name="Comma [0] 2 2 2 5 2 2 2" xfId="29147"/>
    <cellStyle name="Comma [0] 2 2 2 5 2 2 2 2" xfId="29148"/>
    <cellStyle name="Comma [0] 2 2 2 5 2 2 2 2 2" xfId="29149"/>
    <cellStyle name="Comma [0] 2 2 2 5 2 2 2 3" xfId="29150"/>
    <cellStyle name="Comma [0] 2 2 2 5 2 2 3" xfId="29151"/>
    <cellStyle name="Comma [0] 2 2 2 5 2 2 3 2" xfId="29152"/>
    <cellStyle name="Comma [0] 2 2 2 5 2 2 4" xfId="29153"/>
    <cellStyle name="Comma [0] 2 2 2 5 2 2 4 2" xfId="29154"/>
    <cellStyle name="Comma [0] 2 2 2 5 2 2 5" xfId="29155"/>
    <cellStyle name="Comma [0] 2 2 2 5 2 2 5 2" xfId="29156"/>
    <cellStyle name="Comma [0] 2 2 2 5 2 2 6" xfId="29157"/>
    <cellStyle name="Comma [0] 2 2 2 5 2 3" xfId="29158"/>
    <cellStyle name="Comma [0] 2 2 2 5 2 3 2" xfId="29159"/>
    <cellStyle name="Comma [0] 2 2 2 5 2 3 2 2" xfId="29160"/>
    <cellStyle name="Comma [0] 2 2 2 5 2 3 3" xfId="29161"/>
    <cellStyle name="Comma [0] 2 2 2 5 2 4" xfId="29162"/>
    <cellStyle name="Comma [0] 2 2 2 5 2 4 2" xfId="29163"/>
    <cellStyle name="Comma [0] 2 2 2 5 2 5" xfId="29164"/>
    <cellStyle name="Comma [0] 2 2 2 5 2 5 2" xfId="29165"/>
    <cellStyle name="Comma [0] 2 2 2 5 2 6" xfId="29166"/>
    <cellStyle name="Comma [0] 2 2 2 5 2 6 2" xfId="29167"/>
    <cellStyle name="Comma [0] 2 2 2 5 2 7" xfId="29168"/>
    <cellStyle name="Comma [0] 2 2 2 5 3" xfId="29169"/>
    <cellStyle name="Comma [0] 2 2 2 5 3 2" xfId="29170"/>
    <cellStyle name="Comma [0] 2 2 2 5 3 2 2" xfId="29171"/>
    <cellStyle name="Comma [0] 2 2 2 5 3 2 2 2" xfId="29172"/>
    <cellStyle name="Comma [0] 2 2 2 5 3 2 3" xfId="29173"/>
    <cellStyle name="Comma [0] 2 2 2 5 3 3" xfId="29174"/>
    <cellStyle name="Comma [0] 2 2 2 5 3 3 2" xfId="29175"/>
    <cellStyle name="Comma [0] 2 2 2 5 3 4" xfId="29176"/>
    <cellStyle name="Comma [0] 2 2 2 5 3 4 2" xfId="29177"/>
    <cellStyle name="Comma [0] 2 2 2 5 3 5" xfId="29178"/>
    <cellStyle name="Comma [0] 2 2 2 5 3 5 2" xfId="29179"/>
    <cellStyle name="Comma [0] 2 2 2 5 3 6" xfId="29180"/>
    <cellStyle name="Comma [0] 2 2 2 5 4" xfId="29181"/>
    <cellStyle name="Comma [0] 2 2 2 5 4 2" xfId="29182"/>
    <cellStyle name="Comma [0] 2 2 2 5 4 2 2" xfId="29183"/>
    <cellStyle name="Comma [0] 2 2 2 5 4 3" xfId="29184"/>
    <cellStyle name="Comma [0] 2 2 2 5 5" xfId="29185"/>
    <cellStyle name="Comma [0] 2 2 2 5 5 2" xfId="29186"/>
    <cellStyle name="Comma [0] 2 2 2 5 6" xfId="29187"/>
    <cellStyle name="Comma [0] 2 2 2 5 6 2" xfId="29188"/>
    <cellStyle name="Comma [0] 2 2 2 5 7" xfId="29189"/>
    <cellStyle name="Comma [0] 2 2 2 5 7 2" xfId="29190"/>
    <cellStyle name="Comma [0] 2 2 2 5 8" xfId="29191"/>
    <cellStyle name="Comma [0] 2 2 2 6" xfId="29192"/>
    <cellStyle name="Comma [0] 2 2 2 6 2" xfId="29193"/>
    <cellStyle name="Comma [0] 2 2 2 6 2 2" xfId="29194"/>
    <cellStyle name="Comma [0] 2 2 2 6 2 2 2" xfId="29195"/>
    <cellStyle name="Comma [0] 2 2 2 6 2 2 2 2" xfId="29196"/>
    <cellStyle name="Comma [0] 2 2 2 6 2 2 3" xfId="29197"/>
    <cellStyle name="Comma [0] 2 2 2 6 2 3" xfId="29198"/>
    <cellStyle name="Comma [0] 2 2 2 6 2 3 2" xfId="29199"/>
    <cellStyle name="Comma [0] 2 2 2 6 2 4" xfId="29200"/>
    <cellStyle name="Comma [0] 2 2 2 6 2 4 2" xfId="29201"/>
    <cellStyle name="Comma [0] 2 2 2 6 2 5" xfId="29202"/>
    <cellStyle name="Comma [0] 2 2 2 6 2 5 2" xfId="29203"/>
    <cellStyle name="Comma [0] 2 2 2 6 2 6" xfId="29204"/>
    <cellStyle name="Comma [0] 2 2 2 6 3" xfId="29205"/>
    <cellStyle name="Comma [0] 2 2 2 6 3 2" xfId="29206"/>
    <cellStyle name="Comma [0] 2 2 2 6 3 2 2" xfId="29207"/>
    <cellStyle name="Comma [0] 2 2 2 6 3 3" xfId="29208"/>
    <cellStyle name="Comma [0] 2 2 2 6 4" xfId="29209"/>
    <cellStyle name="Comma [0] 2 2 2 6 4 2" xfId="29210"/>
    <cellStyle name="Comma [0] 2 2 2 6 5" xfId="29211"/>
    <cellStyle name="Comma [0] 2 2 2 6 5 2" xfId="29212"/>
    <cellStyle name="Comma [0] 2 2 2 6 6" xfId="29213"/>
    <cellStyle name="Comma [0] 2 2 2 6 6 2" xfId="29214"/>
    <cellStyle name="Comma [0] 2 2 2 6 7" xfId="29215"/>
    <cellStyle name="Comma [0] 2 2 2 7" xfId="29216"/>
    <cellStyle name="Comma [0] 2 2 2 7 2" xfId="29217"/>
    <cellStyle name="Comma [0] 2 2 2 7 2 2" xfId="29218"/>
    <cellStyle name="Comma [0] 2 2 2 7 2 2 2" xfId="29219"/>
    <cellStyle name="Comma [0] 2 2 2 7 2 2 2 2" xfId="29220"/>
    <cellStyle name="Comma [0] 2 2 2 7 2 2 3" xfId="29221"/>
    <cellStyle name="Comma [0] 2 2 2 7 2 3" xfId="29222"/>
    <cellStyle name="Comma [0] 2 2 2 7 2 3 2" xfId="29223"/>
    <cellStyle name="Comma [0] 2 2 2 7 2 4" xfId="29224"/>
    <cellStyle name="Comma [0] 2 2 2 7 2 4 2" xfId="29225"/>
    <cellStyle name="Comma [0] 2 2 2 7 2 5" xfId="29226"/>
    <cellStyle name="Comma [0] 2 2 2 7 2 5 2" xfId="29227"/>
    <cellStyle name="Comma [0] 2 2 2 7 2 6" xfId="29228"/>
    <cellStyle name="Comma [0] 2 2 2 7 3" xfId="29229"/>
    <cellStyle name="Comma [0] 2 2 2 7 3 2" xfId="29230"/>
    <cellStyle name="Comma [0] 2 2 2 7 3 2 2" xfId="29231"/>
    <cellStyle name="Comma [0] 2 2 2 7 3 3" xfId="29232"/>
    <cellStyle name="Comma [0] 2 2 2 7 4" xfId="29233"/>
    <cellStyle name="Comma [0] 2 2 2 7 4 2" xfId="29234"/>
    <cellStyle name="Comma [0] 2 2 2 7 5" xfId="29235"/>
    <cellStyle name="Comma [0] 2 2 2 7 5 2" xfId="29236"/>
    <cellStyle name="Comma [0] 2 2 2 7 6" xfId="29237"/>
    <cellStyle name="Comma [0] 2 2 2 7 6 2" xfId="29238"/>
    <cellStyle name="Comma [0] 2 2 2 7 7" xfId="29239"/>
    <cellStyle name="Comma [0] 2 2 2 8" xfId="29240"/>
    <cellStyle name="Comma [0] 2 2 2 8 2" xfId="29241"/>
    <cellStyle name="Comma [0] 2 2 2 8 2 2" xfId="29242"/>
    <cellStyle name="Comma [0] 2 2 2 8 2 2 2" xfId="29243"/>
    <cellStyle name="Comma [0] 2 2 2 8 2 3" xfId="29244"/>
    <cellStyle name="Comma [0] 2 2 2 8 3" xfId="29245"/>
    <cellStyle name="Comma [0] 2 2 2 8 3 2" xfId="29246"/>
    <cellStyle name="Comma [0] 2 2 2 8 4" xfId="29247"/>
    <cellStyle name="Comma [0] 2 2 2 8 4 2" xfId="29248"/>
    <cellStyle name="Comma [0] 2 2 2 8 5" xfId="29249"/>
    <cellStyle name="Comma [0] 2 2 2 8 5 2" xfId="29250"/>
    <cellStyle name="Comma [0] 2 2 2 8 6" xfId="29251"/>
    <cellStyle name="Comma [0] 2 2 2 9" xfId="29252"/>
    <cellStyle name="Comma [0] 2 2 2 9 2" xfId="29253"/>
    <cellStyle name="Comma [0] 2 2 2 9 2 2" xfId="29254"/>
    <cellStyle name="Comma [0] 2 2 2 9 2 2 2" xfId="29255"/>
    <cellStyle name="Comma [0] 2 2 2 9 2 3" xfId="29256"/>
    <cellStyle name="Comma [0] 2 2 2 9 3" xfId="29257"/>
    <cellStyle name="Comma [0] 2 2 2 9 3 2" xfId="29258"/>
    <cellStyle name="Comma [0] 2 2 2 9 4" xfId="29259"/>
    <cellStyle name="Comma [0] 2 2 2 9 4 2" xfId="29260"/>
    <cellStyle name="Comma [0] 2 2 2 9 5" xfId="29261"/>
    <cellStyle name="Comma [0] 2 2 2 9 5 2" xfId="29262"/>
    <cellStyle name="Comma [0] 2 2 2 9 6" xfId="29263"/>
    <cellStyle name="Comma [0] 2 2 20" xfId="29264"/>
    <cellStyle name="Comma [0] 2 2 21" xfId="29265"/>
    <cellStyle name="Comma [0] 2 2 22" xfId="57494"/>
    <cellStyle name="Comma [0] 2 2 3" xfId="29266"/>
    <cellStyle name="Comma [0] 2 2 3 10" xfId="29267"/>
    <cellStyle name="Comma [0] 2 2 3 10 2" xfId="29268"/>
    <cellStyle name="Comma [0] 2 2 3 11" xfId="29269"/>
    <cellStyle name="Comma [0] 2 2 3 11 2" xfId="29270"/>
    <cellStyle name="Comma [0] 2 2 3 12" xfId="29271"/>
    <cellStyle name="Comma [0] 2 2 3 12 2" xfId="29272"/>
    <cellStyle name="Comma [0] 2 2 3 13" xfId="29273"/>
    <cellStyle name="Comma [0] 2 2 3 14" xfId="57497"/>
    <cellStyle name="Comma [0] 2 2 3 2" xfId="29274"/>
    <cellStyle name="Comma [0] 2 2 3 2 2" xfId="29275"/>
    <cellStyle name="Comma [0] 2 2 3 2 2 2" xfId="29276"/>
    <cellStyle name="Comma [0] 2 2 3 2 3" xfId="29277"/>
    <cellStyle name="Comma [0] 2 2 3 3" xfId="29278"/>
    <cellStyle name="Comma [0] 2 2 3 3 2" xfId="29279"/>
    <cellStyle name="Comma [0] 2 2 3 3 2 2" xfId="29280"/>
    <cellStyle name="Comma [0] 2 2 3 3 2 2 2" xfId="29281"/>
    <cellStyle name="Comma [0] 2 2 3 3 2 2 2 2" xfId="29282"/>
    <cellStyle name="Comma [0] 2 2 3 3 2 2 2 2 2" xfId="29283"/>
    <cellStyle name="Comma [0] 2 2 3 3 2 2 2 3" xfId="29284"/>
    <cellStyle name="Comma [0] 2 2 3 3 2 2 3" xfId="29285"/>
    <cellStyle name="Comma [0] 2 2 3 3 2 2 3 2" xfId="29286"/>
    <cellStyle name="Comma [0] 2 2 3 3 2 2 4" xfId="29287"/>
    <cellStyle name="Comma [0] 2 2 3 3 2 2 4 2" xfId="29288"/>
    <cellStyle name="Comma [0] 2 2 3 3 2 2 5" xfId="29289"/>
    <cellStyle name="Comma [0] 2 2 3 3 2 2 5 2" xfId="29290"/>
    <cellStyle name="Comma [0] 2 2 3 3 2 2 6" xfId="29291"/>
    <cellStyle name="Comma [0] 2 2 3 3 2 3" xfId="29292"/>
    <cellStyle name="Comma [0] 2 2 3 3 2 3 2" xfId="29293"/>
    <cellStyle name="Comma [0] 2 2 3 3 2 3 2 2" xfId="29294"/>
    <cellStyle name="Comma [0] 2 2 3 3 2 3 3" xfId="29295"/>
    <cellStyle name="Comma [0] 2 2 3 3 2 4" xfId="29296"/>
    <cellStyle name="Comma [0] 2 2 3 3 2 4 2" xfId="29297"/>
    <cellStyle name="Comma [0] 2 2 3 3 2 5" xfId="29298"/>
    <cellStyle name="Comma [0] 2 2 3 3 2 5 2" xfId="29299"/>
    <cellStyle name="Comma [0] 2 2 3 3 2 6" xfId="29300"/>
    <cellStyle name="Comma [0] 2 2 3 3 2 6 2" xfId="29301"/>
    <cellStyle name="Comma [0] 2 2 3 3 2 7" xfId="29302"/>
    <cellStyle name="Comma [0] 2 2 3 3 3" xfId="29303"/>
    <cellStyle name="Comma [0] 2 2 3 3 3 2" xfId="29304"/>
    <cellStyle name="Comma [0] 2 2 3 3 3 2 2" xfId="29305"/>
    <cellStyle name="Comma [0] 2 2 3 3 3 2 2 2" xfId="29306"/>
    <cellStyle name="Comma [0] 2 2 3 3 3 2 3" xfId="29307"/>
    <cellStyle name="Comma [0] 2 2 3 3 3 3" xfId="29308"/>
    <cellStyle name="Comma [0] 2 2 3 3 3 3 2" xfId="29309"/>
    <cellStyle name="Comma [0] 2 2 3 3 3 4" xfId="29310"/>
    <cellStyle name="Comma [0] 2 2 3 3 3 4 2" xfId="29311"/>
    <cellStyle name="Comma [0] 2 2 3 3 3 5" xfId="29312"/>
    <cellStyle name="Comma [0] 2 2 3 3 3 5 2" xfId="29313"/>
    <cellStyle name="Comma [0] 2 2 3 3 3 6" xfId="29314"/>
    <cellStyle name="Comma [0] 2 2 3 3 4" xfId="29315"/>
    <cellStyle name="Comma [0] 2 2 3 3 4 2" xfId="29316"/>
    <cellStyle name="Comma [0] 2 2 3 3 4 2 2" xfId="29317"/>
    <cellStyle name="Comma [0] 2 2 3 3 4 3" xfId="29318"/>
    <cellStyle name="Comma [0] 2 2 3 3 5" xfId="29319"/>
    <cellStyle name="Comma [0] 2 2 3 3 5 2" xfId="29320"/>
    <cellStyle name="Comma [0] 2 2 3 3 6" xfId="29321"/>
    <cellStyle name="Comma [0] 2 2 3 3 6 2" xfId="29322"/>
    <cellStyle name="Comma [0] 2 2 3 3 7" xfId="29323"/>
    <cellStyle name="Comma [0] 2 2 3 3 7 2" xfId="29324"/>
    <cellStyle name="Comma [0] 2 2 3 3 8" xfId="29325"/>
    <cellStyle name="Comma [0] 2 2 3 4" xfId="29326"/>
    <cellStyle name="Comma [0] 2 2 3 4 2" xfId="29327"/>
    <cellStyle name="Comma [0] 2 2 3 4 2 2" xfId="29328"/>
    <cellStyle name="Comma [0] 2 2 3 4 2 2 2" xfId="29329"/>
    <cellStyle name="Comma [0] 2 2 3 4 2 2 2 2" xfId="29330"/>
    <cellStyle name="Comma [0] 2 2 3 4 2 2 2 2 2" xfId="29331"/>
    <cellStyle name="Comma [0] 2 2 3 4 2 2 2 3" xfId="29332"/>
    <cellStyle name="Comma [0] 2 2 3 4 2 2 3" xfId="29333"/>
    <cellStyle name="Comma [0] 2 2 3 4 2 2 3 2" xfId="29334"/>
    <cellStyle name="Comma [0] 2 2 3 4 2 2 4" xfId="29335"/>
    <cellStyle name="Comma [0] 2 2 3 4 2 2 4 2" xfId="29336"/>
    <cellStyle name="Comma [0] 2 2 3 4 2 2 5" xfId="29337"/>
    <cellStyle name="Comma [0] 2 2 3 4 2 2 5 2" xfId="29338"/>
    <cellStyle name="Comma [0] 2 2 3 4 2 2 6" xfId="29339"/>
    <cellStyle name="Comma [0] 2 2 3 4 2 3" xfId="29340"/>
    <cellStyle name="Comma [0] 2 2 3 4 2 3 2" xfId="29341"/>
    <cellStyle name="Comma [0] 2 2 3 4 2 3 2 2" xfId="29342"/>
    <cellStyle name="Comma [0] 2 2 3 4 2 3 3" xfId="29343"/>
    <cellStyle name="Comma [0] 2 2 3 4 2 4" xfId="29344"/>
    <cellStyle name="Comma [0] 2 2 3 4 2 4 2" xfId="29345"/>
    <cellStyle name="Comma [0] 2 2 3 4 2 5" xfId="29346"/>
    <cellStyle name="Comma [0] 2 2 3 4 2 5 2" xfId="29347"/>
    <cellStyle name="Comma [0] 2 2 3 4 2 6" xfId="29348"/>
    <cellStyle name="Comma [0] 2 2 3 4 2 6 2" xfId="29349"/>
    <cellStyle name="Comma [0] 2 2 3 4 2 7" xfId="29350"/>
    <cellStyle name="Comma [0] 2 2 3 4 3" xfId="29351"/>
    <cellStyle name="Comma [0] 2 2 3 4 3 2" xfId="29352"/>
    <cellStyle name="Comma [0] 2 2 3 4 3 2 2" xfId="29353"/>
    <cellStyle name="Comma [0] 2 2 3 4 3 2 2 2" xfId="29354"/>
    <cellStyle name="Comma [0] 2 2 3 4 3 2 3" xfId="29355"/>
    <cellStyle name="Comma [0] 2 2 3 4 3 3" xfId="29356"/>
    <cellStyle name="Comma [0] 2 2 3 4 3 3 2" xfId="29357"/>
    <cellStyle name="Comma [0] 2 2 3 4 3 4" xfId="29358"/>
    <cellStyle name="Comma [0] 2 2 3 4 3 4 2" xfId="29359"/>
    <cellStyle name="Comma [0] 2 2 3 4 3 5" xfId="29360"/>
    <cellStyle name="Comma [0] 2 2 3 4 3 5 2" xfId="29361"/>
    <cellStyle name="Comma [0] 2 2 3 4 3 6" xfId="29362"/>
    <cellStyle name="Comma [0] 2 2 3 4 4" xfId="29363"/>
    <cellStyle name="Comma [0] 2 2 3 4 4 2" xfId="29364"/>
    <cellStyle name="Comma [0] 2 2 3 4 4 2 2" xfId="29365"/>
    <cellStyle name="Comma [0] 2 2 3 4 4 3" xfId="29366"/>
    <cellStyle name="Comma [0] 2 2 3 4 5" xfId="29367"/>
    <cellStyle name="Comma [0] 2 2 3 4 5 2" xfId="29368"/>
    <cellStyle name="Comma [0] 2 2 3 4 6" xfId="29369"/>
    <cellStyle name="Comma [0] 2 2 3 4 6 2" xfId="29370"/>
    <cellStyle name="Comma [0] 2 2 3 4 7" xfId="29371"/>
    <cellStyle name="Comma [0] 2 2 3 4 7 2" xfId="29372"/>
    <cellStyle name="Comma [0] 2 2 3 4 8" xfId="29373"/>
    <cellStyle name="Comma [0] 2 2 3 5" xfId="29374"/>
    <cellStyle name="Comma [0] 2 2 3 5 2" xfId="29375"/>
    <cellStyle name="Comma [0] 2 2 3 5 2 2" xfId="29376"/>
    <cellStyle name="Comma [0] 2 2 3 5 2 2 2" xfId="29377"/>
    <cellStyle name="Comma [0] 2 2 3 5 2 2 2 2" xfId="29378"/>
    <cellStyle name="Comma [0] 2 2 3 5 2 2 3" xfId="29379"/>
    <cellStyle name="Comma [0] 2 2 3 5 2 3" xfId="29380"/>
    <cellStyle name="Comma [0] 2 2 3 5 2 3 2" xfId="29381"/>
    <cellStyle name="Comma [0] 2 2 3 5 2 4" xfId="29382"/>
    <cellStyle name="Comma [0] 2 2 3 5 2 4 2" xfId="29383"/>
    <cellStyle name="Comma [0] 2 2 3 5 2 5" xfId="29384"/>
    <cellStyle name="Comma [0] 2 2 3 5 2 5 2" xfId="29385"/>
    <cellStyle name="Comma [0] 2 2 3 5 2 6" xfId="29386"/>
    <cellStyle name="Comma [0] 2 2 3 5 3" xfId="29387"/>
    <cellStyle name="Comma [0] 2 2 3 5 3 2" xfId="29388"/>
    <cellStyle name="Comma [0] 2 2 3 5 3 2 2" xfId="29389"/>
    <cellStyle name="Comma [0] 2 2 3 5 3 3" xfId="29390"/>
    <cellStyle name="Comma [0] 2 2 3 5 4" xfId="29391"/>
    <cellStyle name="Comma [0] 2 2 3 5 4 2" xfId="29392"/>
    <cellStyle name="Comma [0] 2 2 3 5 5" xfId="29393"/>
    <cellStyle name="Comma [0] 2 2 3 5 5 2" xfId="29394"/>
    <cellStyle name="Comma [0] 2 2 3 5 6" xfId="29395"/>
    <cellStyle name="Comma [0] 2 2 3 5 6 2" xfId="29396"/>
    <cellStyle name="Comma [0] 2 2 3 5 7" xfId="29397"/>
    <cellStyle name="Comma [0] 2 2 3 6" xfId="29398"/>
    <cellStyle name="Comma [0] 2 2 3 6 2" xfId="29399"/>
    <cellStyle name="Comma [0] 2 2 3 6 2 2" xfId="29400"/>
    <cellStyle name="Comma [0] 2 2 3 6 2 2 2" xfId="29401"/>
    <cellStyle name="Comma [0] 2 2 3 6 2 2 2 2" xfId="29402"/>
    <cellStyle name="Comma [0] 2 2 3 6 2 2 3" xfId="29403"/>
    <cellStyle name="Comma [0] 2 2 3 6 2 3" xfId="29404"/>
    <cellStyle name="Comma [0] 2 2 3 6 2 3 2" xfId="29405"/>
    <cellStyle name="Comma [0] 2 2 3 6 2 4" xfId="29406"/>
    <cellStyle name="Comma [0] 2 2 3 6 2 4 2" xfId="29407"/>
    <cellStyle name="Comma [0] 2 2 3 6 2 5" xfId="29408"/>
    <cellStyle name="Comma [0] 2 2 3 6 2 5 2" xfId="29409"/>
    <cellStyle name="Comma [0] 2 2 3 6 2 6" xfId="29410"/>
    <cellStyle name="Comma [0] 2 2 3 6 3" xfId="29411"/>
    <cellStyle name="Comma [0] 2 2 3 6 3 2" xfId="29412"/>
    <cellStyle name="Comma [0] 2 2 3 6 3 2 2" xfId="29413"/>
    <cellStyle name="Comma [0] 2 2 3 6 3 3" xfId="29414"/>
    <cellStyle name="Comma [0] 2 2 3 6 4" xfId="29415"/>
    <cellStyle name="Comma [0] 2 2 3 6 4 2" xfId="29416"/>
    <cellStyle name="Comma [0] 2 2 3 6 5" xfId="29417"/>
    <cellStyle name="Comma [0] 2 2 3 6 5 2" xfId="29418"/>
    <cellStyle name="Comma [0] 2 2 3 6 6" xfId="29419"/>
    <cellStyle name="Comma [0] 2 2 3 6 6 2" xfId="29420"/>
    <cellStyle name="Comma [0] 2 2 3 6 7" xfId="29421"/>
    <cellStyle name="Comma [0] 2 2 3 7" xfId="29422"/>
    <cellStyle name="Comma [0] 2 2 3 7 2" xfId="29423"/>
    <cellStyle name="Comma [0] 2 2 3 7 2 2" xfId="29424"/>
    <cellStyle name="Comma [0] 2 2 3 7 2 2 2" xfId="29425"/>
    <cellStyle name="Comma [0] 2 2 3 7 2 3" xfId="29426"/>
    <cellStyle name="Comma [0] 2 2 3 7 3" xfId="29427"/>
    <cellStyle name="Comma [0] 2 2 3 7 3 2" xfId="29428"/>
    <cellStyle name="Comma [0] 2 2 3 7 4" xfId="29429"/>
    <cellStyle name="Comma [0] 2 2 3 7 4 2" xfId="29430"/>
    <cellStyle name="Comma [0] 2 2 3 7 5" xfId="29431"/>
    <cellStyle name="Comma [0] 2 2 3 7 5 2" xfId="29432"/>
    <cellStyle name="Comma [0] 2 2 3 7 6" xfId="29433"/>
    <cellStyle name="Comma [0] 2 2 3 8" xfId="29434"/>
    <cellStyle name="Comma [0] 2 2 3 8 2" xfId="29435"/>
    <cellStyle name="Comma [0] 2 2 3 8 2 2" xfId="29436"/>
    <cellStyle name="Comma [0] 2 2 3 8 2 2 2" xfId="29437"/>
    <cellStyle name="Comma [0] 2 2 3 8 2 3" xfId="29438"/>
    <cellStyle name="Comma [0] 2 2 3 8 3" xfId="29439"/>
    <cellStyle name="Comma [0] 2 2 3 8 3 2" xfId="29440"/>
    <cellStyle name="Comma [0] 2 2 3 8 4" xfId="29441"/>
    <cellStyle name="Comma [0] 2 2 3 8 4 2" xfId="29442"/>
    <cellStyle name="Comma [0] 2 2 3 8 5" xfId="29443"/>
    <cellStyle name="Comma [0] 2 2 3 8 5 2" xfId="29444"/>
    <cellStyle name="Comma [0] 2 2 3 8 6" xfId="29445"/>
    <cellStyle name="Comma [0] 2 2 3 9" xfId="29446"/>
    <cellStyle name="Comma [0] 2 2 3 9 2" xfId="29447"/>
    <cellStyle name="Comma [0] 2 2 3 9 2 2" xfId="29448"/>
    <cellStyle name="Comma [0] 2 2 3 9 3" xfId="29449"/>
    <cellStyle name="Comma [0] 2 2 4" xfId="29450"/>
    <cellStyle name="Comma [0] 2 2 4 10" xfId="29451"/>
    <cellStyle name="Comma [0] 2 2 4 10 2" xfId="29452"/>
    <cellStyle name="Comma [0] 2 2 4 11" xfId="29453"/>
    <cellStyle name="Comma [0] 2 2 4 11 2" xfId="29454"/>
    <cellStyle name="Comma [0] 2 2 4 12" xfId="29455"/>
    <cellStyle name="Comma [0] 2 2 4 2" xfId="29456"/>
    <cellStyle name="Comma [0] 2 2 4 2 2" xfId="29457"/>
    <cellStyle name="Comma [0] 2 2 4 2 2 2" xfId="29458"/>
    <cellStyle name="Comma [0] 2 2 4 2 2 2 2" xfId="29459"/>
    <cellStyle name="Comma [0] 2 2 4 2 2 2 2 2" xfId="29460"/>
    <cellStyle name="Comma [0] 2 2 4 2 2 2 2 2 2" xfId="29461"/>
    <cellStyle name="Comma [0] 2 2 4 2 2 2 2 3" xfId="29462"/>
    <cellStyle name="Comma [0] 2 2 4 2 2 2 3" xfId="29463"/>
    <cellStyle name="Comma [0] 2 2 4 2 2 2 3 2" xfId="29464"/>
    <cellStyle name="Comma [0] 2 2 4 2 2 2 4" xfId="29465"/>
    <cellStyle name="Comma [0] 2 2 4 2 2 2 4 2" xfId="29466"/>
    <cellStyle name="Comma [0] 2 2 4 2 2 2 5" xfId="29467"/>
    <cellStyle name="Comma [0] 2 2 4 2 2 2 5 2" xfId="29468"/>
    <cellStyle name="Comma [0] 2 2 4 2 2 2 6" xfId="29469"/>
    <cellStyle name="Comma [0] 2 2 4 2 2 3" xfId="29470"/>
    <cellStyle name="Comma [0] 2 2 4 2 2 3 2" xfId="29471"/>
    <cellStyle name="Comma [0] 2 2 4 2 2 3 2 2" xfId="29472"/>
    <cellStyle name="Comma [0] 2 2 4 2 2 3 3" xfId="29473"/>
    <cellStyle name="Comma [0] 2 2 4 2 2 4" xfId="29474"/>
    <cellStyle name="Comma [0] 2 2 4 2 2 4 2" xfId="29475"/>
    <cellStyle name="Comma [0] 2 2 4 2 2 5" xfId="29476"/>
    <cellStyle name="Comma [0] 2 2 4 2 2 5 2" xfId="29477"/>
    <cellStyle name="Comma [0] 2 2 4 2 2 6" xfId="29478"/>
    <cellStyle name="Comma [0] 2 2 4 2 2 6 2" xfId="29479"/>
    <cellStyle name="Comma [0] 2 2 4 2 2 7" xfId="29480"/>
    <cellStyle name="Comma [0] 2 2 4 2 3" xfId="29481"/>
    <cellStyle name="Comma [0] 2 2 4 2 3 2" xfId="29482"/>
    <cellStyle name="Comma [0] 2 2 4 2 3 2 2" xfId="29483"/>
    <cellStyle name="Comma [0] 2 2 4 2 3 2 2 2" xfId="29484"/>
    <cellStyle name="Comma [0] 2 2 4 2 3 2 3" xfId="29485"/>
    <cellStyle name="Comma [0] 2 2 4 2 3 3" xfId="29486"/>
    <cellStyle name="Comma [0] 2 2 4 2 3 3 2" xfId="29487"/>
    <cellStyle name="Comma [0] 2 2 4 2 3 4" xfId="29488"/>
    <cellStyle name="Comma [0] 2 2 4 2 3 4 2" xfId="29489"/>
    <cellStyle name="Comma [0] 2 2 4 2 3 5" xfId="29490"/>
    <cellStyle name="Comma [0] 2 2 4 2 3 5 2" xfId="29491"/>
    <cellStyle name="Comma [0] 2 2 4 2 3 6" xfId="29492"/>
    <cellStyle name="Comma [0] 2 2 4 2 4" xfId="29493"/>
    <cellStyle name="Comma [0] 2 2 4 2 4 2" xfId="29494"/>
    <cellStyle name="Comma [0] 2 2 4 2 4 2 2" xfId="29495"/>
    <cellStyle name="Comma [0] 2 2 4 2 4 3" xfId="29496"/>
    <cellStyle name="Comma [0] 2 2 4 2 5" xfId="29497"/>
    <cellStyle name="Comma [0] 2 2 4 2 5 2" xfId="29498"/>
    <cellStyle name="Comma [0] 2 2 4 2 6" xfId="29499"/>
    <cellStyle name="Comma [0] 2 2 4 2 6 2" xfId="29500"/>
    <cellStyle name="Comma [0] 2 2 4 2 7" xfId="29501"/>
    <cellStyle name="Comma [0] 2 2 4 2 7 2" xfId="29502"/>
    <cellStyle name="Comma [0] 2 2 4 2 8" xfId="29503"/>
    <cellStyle name="Comma [0] 2 2 4 3" xfId="29504"/>
    <cellStyle name="Comma [0] 2 2 4 3 2" xfId="29505"/>
    <cellStyle name="Comma [0] 2 2 4 3 2 2" xfId="29506"/>
    <cellStyle name="Comma [0] 2 2 4 3 2 2 2" xfId="29507"/>
    <cellStyle name="Comma [0] 2 2 4 3 2 2 2 2" xfId="29508"/>
    <cellStyle name="Comma [0] 2 2 4 3 2 2 2 2 2" xfId="29509"/>
    <cellStyle name="Comma [0] 2 2 4 3 2 2 2 3" xfId="29510"/>
    <cellStyle name="Comma [0] 2 2 4 3 2 2 3" xfId="29511"/>
    <cellStyle name="Comma [0] 2 2 4 3 2 2 3 2" xfId="29512"/>
    <cellStyle name="Comma [0] 2 2 4 3 2 2 4" xfId="29513"/>
    <cellStyle name="Comma [0] 2 2 4 3 2 2 4 2" xfId="29514"/>
    <cellStyle name="Comma [0] 2 2 4 3 2 2 5" xfId="29515"/>
    <cellStyle name="Comma [0] 2 2 4 3 2 2 5 2" xfId="29516"/>
    <cellStyle name="Comma [0] 2 2 4 3 2 2 6" xfId="29517"/>
    <cellStyle name="Comma [0] 2 2 4 3 2 3" xfId="29518"/>
    <cellStyle name="Comma [0] 2 2 4 3 2 3 2" xfId="29519"/>
    <cellStyle name="Comma [0] 2 2 4 3 2 3 2 2" xfId="29520"/>
    <cellStyle name="Comma [0] 2 2 4 3 2 3 3" xfId="29521"/>
    <cellStyle name="Comma [0] 2 2 4 3 2 4" xfId="29522"/>
    <cellStyle name="Comma [0] 2 2 4 3 2 4 2" xfId="29523"/>
    <cellStyle name="Comma [0] 2 2 4 3 2 5" xfId="29524"/>
    <cellStyle name="Comma [0] 2 2 4 3 2 5 2" xfId="29525"/>
    <cellStyle name="Comma [0] 2 2 4 3 2 6" xfId="29526"/>
    <cellStyle name="Comma [0] 2 2 4 3 2 6 2" xfId="29527"/>
    <cellStyle name="Comma [0] 2 2 4 3 2 7" xfId="29528"/>
    <cellStyle name="Comma [0] 2 2 4 3 3" xfId="29529"/>
    <cellStyle name="Comma [0] 2 2 4 3 3 2" xfId="29530"/>
    <cellStyle name="Comma [0] 2 2 4 3 3 2 2" xfId="29531"/>
    <cellStyle name="Comma [0] 2 2 4 3 3 2 2 2" xfId="29532"/>
    <cellStyle name="Comma [0] 2 2 4 3 3 2 3" xfId="29533"/>
    <cellStyle name="Comma [0] 2 2 4 3 3 3" xfId="29534"/>
    <cellStyle name="Comma [0] 2 2 4 3 3 3 2" xfId="29535"/>
    <cellStyle name="Comma [0] 2 2 4 3 3 4" xfId="29536"/>
    <cellStyle name="Comma [0] 2 2 4 3 3 4 2" xfId="29537"/>
    <cellStyle name="Comma [0] 2 2 4 3 3 5" xfId="29538"/>
    <cellStyle name="Comma [0] 2 2 4 3 3 5 2" xfId="29539"/>
    <cellStyle name="Comma [0] 2 2 4 3 3 6" xfId="29540"/>
    <cellStyle name="Comma [0] 2 2 4 3 4" xfId="29541"/>
    <cellStyle name="Comma [0] 2 2 4 3 4 2" xfId="29542"/>
    <cellStyle name="Comma [0] 2 2 4 3 4 2 2" xfId="29543"/>
    <cellStyle name="Comma [0] 2 2 4 3 4 3" xfId="29544"/>
    <cellStyle name="Comma [0] 2 2 4 3 5" xfId="29545"/>
    <cellStyle name="Comma [0] 2 2 4 3 5 2" xfId="29546"/>
    <cellStyle name="Comma [0] 2 2 4 3 6" xfId="29547"/>
    <cellStyle name="Comma [0] 2 2 4 3 6 2" xfId="29548"/>
    <cellStyle name="Comma [0] 2 2 4 3 7" xfId="29549"/>
    <cellStyle name="Comma [0] 2 2 4 3 7 2" xfId="29550"/>
    <cellStyle name="Comma [0] 2 2 4 3 8" xfId="29551"/>
    <cellStyle name="Comma [0] 2 2 4 4" xfId="29552"/>
    <cellStyle name="Comma [0] 2 2 4 4 2" xfId="29553"/>
    <cellStyle name="Comma [0] 2 2 4 4 2 2" xfId="29554"/>
    <cellStyle name="Comma [0] 2 2 4 4 2 2 2" xfId="29555"/>
    <cellStyle name="Comma [0] 2 2 4 4 2 2 2 2" xfId="29556"/>
    <cellStyle name="Comma [0] 2 2 4 4 2 2 3" xfId="29557"/>
    <cellStyle name="Comma [0] 2 2 4 4 2 3" xfId="29558"/>
    <cellStyle name="Comma [0] 2 2 4 4 2 3 2" xfId="29559"/>
    <cellStyle name="Comma [0] 2 2 4 4 2 4" xfId="29560"/>
    <cellStyle name="Comma [0] 2 2 4 4 2 4 2" xfId="29561"/>
    <cellStyle name="Comma [0] 2 2 4 4 2 5" xfId="29562"/>
    <cellStyle name="Comma [0] 2 2 4 4 2 5 2" xfId="29563"/>
    <cellStyle name="Comma [0] 2 2 4 4 2 6" xfId="29564"/>
    <cellStyle name="Comma [0] 2 2 4 4 3" xfId="29565"/>
    <cellStyle name="Comma [0] 2 2 4 4 3 2" xfId="29566"/>
    <cellStyle name="Comma [0] 2 2 4 4 3 2 2" xfId="29567"/>
    <cellStyle name="Comma [0] 2 2 4 4 3 3" xfId="29568"/>
    <cellStyle name="Comma [0] 2 2 4 4 4" xfId="29569"/>
    <cellStyle name="Comma [0] 2 2 4 4 4 2" xfId="29570"/>
    <cellStyle name="Comma [0] 2 2 4 4 5" xfId="29571"/>
    <cellStyle name="Comma [0] 2 2 4 4 5 2" xfId="29572"/>
    <cellStyle name="Comma [0] 2 2 4 4 6" xfId="29573"/>
    <cellStyle name="Comma [0] 2 2 4 4 6 2" xfId="29574"/>
    <cellStyle name="Comma [0] 2 2 4 4 7" xfId="29575"/>
    <cellStyle name="Comma [0] 2 2 4 5" xfId="29576"/>
    <cellStyle name="Comma [0] 2 2 4 5 2" xfId="29577"/>
    <cellStyle name="Comma [0] 2 2 4 5 2 2" xfId="29578"/>
    <cellStyle name="Comma [0] 2 2 4 5 2 2 2" xfId="29579"/>
    <cellStyle name="Comma [0] 2 2 4 5 2 2 2 2" xfId="29580"/>
    <cellStyle name="Comma [0] 2 2 4 5 2 2 3" xfId="29581"/>
    <cellStyle name="Comma [0] 2 2 4 5 2 3" xfId="29582"/>
    <cellStyle name="Comma [0] 2 2 4 5 2 3 2" xfId="29583"/>
    <cellStyle name="Comma [0] 2 2 4 5 2 4" xfId="29584"/>
    <cellStyle name="Comma [0] 2 2 4 5 2 4 2" xfId="29585"/>
    <cellStyle name="Comma [0] 2 2 4 5 2 5" xfId="29586"/>
    <cellStyle name="Comma [0] 2 2 4 5 2 5 2" xfId="29587"/>
    <cellStyle name="Comma [0] 2 2 4 5 2 6" xfId="29588"/>
    <cellStyle name="Comma [0] 2 2 4 5 3" xfId="29589"/>
    <cellStyle name="Comma [0] 2 2 4 5 3 2" xfId="29590"/>
    <cellStyle name="Comma [0] 2 2 4 5 3 2 2" xfId="29591"/>
    <cellStyle name="Comma [0] 2 2 4 5 3 3" xfId="29592"/>
    <cellStyle name="Comma [0] 2 2 4 5 4" xfId="29593"/>
    <cellStyle name="Comma [0] 2 2 4 5 4 2" xfId="29594"/>
    <cellStyle name="Comma [0] 2 2 4 5 5" xfId="29595"/>
    <cellStyle name="Comma [0] 2 2 4 5 5 2" xfId="29596"/>
    <cellStyle name="Comma [0] 2 2 4 5 6" xfId="29597"/>
    <cellStyle name="Comma [0] 2 2 4 5 6 2" xfId="29598"/>
    <cellStyle name="Comma [0] 2 2 4 5 7" xfId="29599"/>
    <cellStyle name="Comma [0] 2 2 4 6" xfId="29600"/>
    <cellStyle name="Comma [0] 2 2 4 6 2" xfId="29601"/>
    <cellStyle name="Comma [0] 2 2 4 6 2 2" xfId="29602"/>
    <cellStyle name="Comma [0] 2 2 4 6 2 2 2" xfId="29603"/>
    <cellStyle name="Comma [0] 2 2 4 6 2 3" xfId="29604"/>
    <cellStyle name="Comma [0] 2 2 4 6 3" xfId="29605"/>
    <cellStyle name="Comma [0] 2 2 4 6 3 2" xfId="29606"/>
    <cellStyle name="Comma [0] 2 2 4 6 4" xfId="29607"/>
    <cellStyle name="Comma [0] 2 2 4 6 4 2" xfId="29608"/>
    <cellStyle name="Comma [0] 2 2 4 6 5" xfId="29609"/>
    <cellStyle name="Comma [0] 2 2 4 6 5 2" xfId="29610"/>
    <cellStyle name="Comma [0] 2 2 4 6 6" xfId="29611"/>
    <cellStyle name="Comma [0] 2 2 4 7" xfId="29612"/>
    <cellStyle name="Comma [0] 2 2 4 7 2" xfId="29613"/>
    <cellStyle name="Comma [0] 2 2 4 7 2 2" xfId="29614"/>
    <cellStyle name="Comma [0] 2 2 4 7 2 2 2" xfId="29615"/>
    <cellStyle name="Comma [0] 2 2 4 7 2 3" xfId="29616"/>
    <cellStyle name="Comma [0] 2 2 4 7 3" xfId="29617"/>
    <cellStyle name="Comma [0] 2 2 4 7 3 2" xfId="29618"/>
    <cellStyle name="Comma [0] 2 2 4 7 4" xfId="29619"/>
    <cellStyle name="Comma [0] 2 2 4 7 4 2" xfId="29620"/>
    <cellStyle name="Comma [0] 2 2 4 7 5" xfId="29621"/>
    <cellStyle name="Comma [0] 2 2 4 7 5 2" xfId="29622"/>
    <cellStyle name="Comma [0] 2 2 4 7 6" xfId="29623"/>
    <cellStyle name="Comma [0] 2 2 4 8" xfId="29624"/>
    <cellStyle name="Comma [0] 2 2 4 8 2" xfId="29625"/>
    <cellStyle name="Comma [0] 2 2 4 8 2 2" xfId="29626"/>
    <cellStyle name="Comma [0] 2 2 4 8 3" xfId="29627"/>
    <cellStyle name="Comma [0] 2 2 4 9" xfId="29628"/>
    <cellStyle name="Comma [0] 2 2 4 9 2" xfId="29629"/>
    <cellStyle name="Comma [0] 2 2 5" xfId="29630"/>
    <cellStyle name="Comma [0] 2 2 5 10" xfId="29631"/>
    <cellStyle name="Comma [0] 2 2 5 10 2" xfId="29632"/>
    <cellStyle name="Comma [0] 2 2 5 11" xfId="29633"/>
    <cellStyle name="Comma [0] 2 2 5 11 2" xfId="29634"/>
    <cellStyle name="Comma [0] 2 2 5 12" xfId="29635"/>
    <cellStyle name="Comma [0] 2 2 5 13" xfId="57498"/>
    <cellStyle name="Comma [0] 2 2 5 2" xfId="29636"/>
    <cellStyle name="Comma [0] 2 2 5 2 2" xfId="29637"/>
    <cellStyle name="Comma [0] 2 2 5 2 2 2" xfId="29638"/>
    <cellStyle name="Comma [0] 2 2 5 2 2 2 2" xfId="29639"/>
    <cellStyle name="Comma [0] 2 2 5 2 2 2 2 2" xfId="29640"/>
    <cellStyle name="Comma [0] 2 2 5 2 2 2 2 2 2" xfId="29641"/>
    <cellStyle name="Comma [0] 2 2 5 2 2 2 2 3" xfId="29642"/>
    <cellStyle name="Comma [0] 2 2 5 2 2 2 3" xfId="29643"/>
    <cellStyle name="Comma [0] 2 2 5 2 2 2 3 2" xfId="29644"/>
    <cellStyle name="Comma [0] 2 2 5 2 2 2 4" xfId="29645"/>
    <cellStyle name="Comma [0] 2 2 5 2 2 2 4 2" xfId="29646"/>
    <cellStyle name="Comma [0] 2 2 5 2 2 2 5" xfId="29647"/>
    <cellStyle name="Comma [0] 2 2 5 2 2 2 5 2" xfId="29648"/>
    <cellStyle name="Comma [0] 2 2 5 2 2 2 6" xfId="29649"/>
    <cellStyle name="Comma [0] 2 2 5 2 2 3" xfId="29650"/>
    <cellStyle name="Comma [0] 2 2 5 2 2 3 2" xfId="29651"/>
    <cellStyle name="Comma [0] 2 2 5 2 2 3 2 2" xfId="29652"/>
    <cellStyle name="Comma [0] 2 2 5 2 2 3 3" xfId="29653"/>
    <cellStyle name="Comma [0] 2 2 5 2 2 4" xfId="29654"/>
    <cellStyle name="Comma [0] 2 2 5 2 2 4 2" xfId="29655"/>
    <cellStyle name="Comma [0] 2 2 5 2 2 5" xfId="29656"/>
    <cellStyle name="Comma [0] 2 2 5 2 2 5 2" xfId="29657"/>
    <cellStyle name="Comma [0] 2 2 5 2 2 6" xfId="29658"/>
    <cellStyle name="Comma [0] 2 2 5 2 2 6 2" xfId="29659"/>
    <cellStyle name="Comma [0] 2 2 5 2 2 7" xfId="29660"/>
    <cellStyle name="Comma [0] 2 2 5 2 3" xfId="29661"/>
    <cellStyle name="Comma [0] 2 2 5 2 3 2" xfId="29662"/>
    <cellStyle name="Comma [0] 2 2 5 2 3 2 2" xfId="29663"/>
    <cellStyle name="Comma [0] 2 2 5 2 3 2 2 2" xfId="29664"/>
    <cellStyle name="Comma [0] 2 2 5 2 3 2 3" xfId="29665"/>
    <cellStyle name="Comma [0] 2 2 5 2 3 3" xfId="29666"/>
    <cellStyle name="Comma [0] 2 2 5 2 3 3 2" xfId="29667"/>
    <cellStyle name="Comma [0] 2 2 5 2 3 4" xfId="29668"/>
    <cellStyle name="Comma [0] 2 2 5 2 3 4 2" xfId="29669"/>
    <cellStyle name="Comma [0] 2 2 5 2 3 5" xfId="29670"/>
    <cellStyle name="Comma [0] 2 2 5 2 3 5 2" xfId="29671"/>
    <cellStyle name="Comma [0] 2 2 5 2 3 6" xfId="29672"/>
    <cellStyle name="Comma [0] 2 2 5 2 4" xfId="29673"/>
    <cellStyle name="Comma [0] 2 2 5 2 4 2" xfId="29674"/>
    <cellStyle name="Comma [0] 2 2 5 2 4 2 2" xfId="29675"/>
    <cellStyle name="Comma [0] 2 2 5 2 4 3" xfId="29676"/>
    <cellStyle name="Comma [0] 2 2 5 2 5" xfId="29677"/>
    <cellStyle name="Comma [0] 2 2 5 2 5 2" xfId="29678"/>
    <cellStyle name="Comma [0] 2 2 5 2 6" xfId="29679"/>
    <cellStyle name="Comma [0] 2 2 5 2 6 2" xfId="29680"/>
    <cellStyle name="Comma [0] 2 2 5 2 7" xfId="29681"/>
    <cellStyle name="Comma [0] 2 2 5 2 7 2" xfId="29682"/>
    <cellStyle name="Comma [0] 2 2 5 2 8" xfId="29683"/>
    <cellStyle name="Comma [0] 2 2 5 2 9" xfId="57499"/>
    <cellStyle name="Comma [0] 2 2 5 3" xfId="29684"/>
    <cellStyle name="Comma [0] 2 2 5 3 2" xfId="29685"/>
    <cellStyle name="Comma [0] 2 2 5 3 2 2" xfId="29686"/>
    <cellStyle name="Comma [0] 2 2 5 3 2 2 2" xfId="29687"/>
    <cellStyle name="Comma [0] 2 2 5 3 2 2 2 2" xfId="29688"/>
    <cellStyle name="Comma [0] 2 2 5 3 2 2 2 2 2" xfId="29689"/>
    <cellStyle name="Comma [0] 2 2 5 3 2 2 2 3" xfId="29690"/>
    <cellStyle name="Comma [0] 2 2 5 3 2 2 3" xfId="29691"/>
    <cellStyle name="Comma [0] 2 2 5 3 2 2 3 2" xfId="29692"/>
    <cellStyle name="Comma [0] 2 2 5 3 2 2 4" xfId="29693"/>
    <cellStyle name="Comma [0] 2 2 5 3 2 2 4 2" xfId="29694"/>
    <cellStyle name="Comma [0] 2 2 5 3 2 2 5" xfId="29695"/>
    <cellStyle name="Comma [0] 2 2 5 3 2 2 5 2" xfId="29696"/>
    <cellStyle name="Comma [0] 2 2 5 3 2 2 6" xfId="29697"/>
    <cellStyle name="Comma [0] 2 2 5 3 2 3" xfId="29698"/>
    <cellStyle name="Comma [0] 2 2 5 3 2 3 2" xfId="29699"/>
    <cellStyle name="Comma [0] 2 2 5 3 2 3 2 2" xfId="29700"/>
    <cellStyle name="Comma [0] 2 2 5 3 2 3 3" xfId="29701"/>
    <cellStyle name="Comma [0] 2 2 5 3 2 4" xfId="29702"/>
    <cellStyle name="Comma [0] 2 2 5 3 2 4 2" xfId="29703"/>
    <cellStyle name="Comma [0] 2 2 5 3 2 5" xfId="29704"/>
    <cellStyle name="Comma [0] 2 2 5 3 2 5 2" xfId="29705"/>
    <cellStyle name="Comma [0] 2 2 5 3 2 6" xfId="29706"/>
    <cellStyle name="Comma [0] 2 2 5 3 2 6 2" xfId="29707"/>
    <cellStyle name="Comma [0] 2 2 5 3 2 7" xfId="29708"/>
    <cellStyle name="Comma [0] 2 2 5 3 3" xfId="29709"/>
    <cellStyle name="Comma [0] 2 2 5 3 3 2" xfId="29710"/>
    <cellStyle name="Comma [0] 2 2 5 3 3 2 2" xfId="29711"/>
    <cellStyle name="Comma [0] 2 2 5 3 3 2 2 2" xfId="29712"/>
    <cellStyle name="Comma [0] 2 2 5 3 3 2 3" xfId="29713"/>
    <cellStyle name="Comma [0] 2 2 5 3 3 3" xfId="29714"/>
    <cellStyle name="Comma [0] 2 2 5 3 3 3 2" xfId="29715"/>
    <cellStyle name="Comma [0] 2 2 5 3 3 4" xfId="29716"/>
    <cellStyle name="Comma [0] 2 2 5 3 3 4 2" xfId="29717"/>
    <cellStyle name="Comma [0] 2 2 5 3 3 5" xfId="29718"/>
    <cellStyle name="Comma [0] 2 2 5 3 3 5 2" xfId="29719"/>
    <cellStyle name="Comma [0] 2 2 5 3 3 6" xfId="29720"/>
    <cellStyle name="Comma [0] 2 2 5 3 4" xfId="29721"/>
    <cellStyle name="Comma [0] 2 2 5 3 4 2" xfId="29722"/>
    <cellStyle name="Comma [0] 2 2 5 3 4 2 2" xfId="29723"/>
    <cellStyle name="Comma [0] 2 2 5 3 4 3" xfId="29724"/>
    <cellStyle name="Comma [0] 2 2 5 3 5" xfId="29725"/>
    <cellStyle name="Comma [0] 2 2 5 3 5 2" xfId="29726"/>
    <cellStyle name="Comma [0] 2 2 5 3 6" xfId="29727"/>
    <cellStyle name="Comma [0] 2 2 5 3 6 2" xfId="29728"/>
    <cellStyle name="Comma [0] 2 2 5 3 7" xfId="29729"/>
    <cellStyle name="Comma [0] 2 2 5 3 7 2" xfId="29730"/>
    <cellStyle name="Comma [0] 2 2 5 3 8" xfId="29731"/>
    <cellStyle name="Comma [0] 2 2 5 4" xfId="29732"/>
    <cellStyle name="Comma [0] 2 2 5 4 2" xfId="29733"/>
    <cellStyle name="Comma [0] 2 2 5 4 2 2" xfId="29734"/>
    <cellStyle name="Comma [0] 2 2 5 4 2 2 2" xfId="29735"/>
    <cellStyle name="Comma [0] 2 2 5 4 2 2 2 2" xfId="29736"/>
    <cellStyle name="Comma [0] 2 2 5 4 2 2 3" xfId="29737"/>
    <cellStyle name="Comma [0] 2 2 5 4 2 3" xfId="29738"/>
    <cellStyle name="Comma [0] 2 2 5 4 2 3 2" xfId="29739"/>
    <cellStyle name="Comma [0] 2 2 5 4 2 4" xfId="29740"/>
    <cellStyle name="Comma [0] 2 2 5 4 2 4 2" xfId="29741"/>
    <cellStyle name="Comma [0] 2 2 5 4 2 5" xfId="29742"/>
    <cellStyle name="Comma [0] 2 2 5 4 2 5 2" xfId="29743"/>
    <cellStyle name="Comma [0] 2 2 5 4 2 6" xfId="29744"/>
    <cellStyle name="Comma [0] 2 2 5 4 3" xfId="29745"/>
    <cellStyle name="Comma [0] 2 2 5 4 3 2" xfId="29746"/>
    <cellStyle name="Comma [0] 2 2 5 4 3 2 2" xfId="29747"/>
    <cellStyle name="Comma [0] 2 2 5 4 3 3" xfId="29748"/>
    <cellStyle name="Comma [0] 2 2 5 4 4" xfId="29749"/>
    <cellStyle name="Comma [0] 2 2 5 4 4 2" xfId="29750"/>
    <cellStyle name="Comma [0] 2 2 5 4 5" xfId="29751"/>
    <cellStyle name="Comma [0] 2 2 5 4 5 2" xfId="29752"/>
    <cellStyle name="Comma [0] 2 2 5 4 6" xfId="29753"/>
    <cellStyle name="Comma [0] 2 2 5 4 6 2" xfId="29754"/>
    <cellStyle name="Comma [0] 2 2 5 4 7" xfId="29755"/>
    <cellStyle name="Comma [0] 2 2 5 5" xfId="29756"/>
    <cellStyle name="Comma [0] 2 2 5 5 2" xfId="29757"/>
    <cellStyle name="Comma [0] 2 2 5 5 2 2" xfId="29758"/>
    <cellStyle name="Comma [0] 2 2 5 5 2 2 2" xfId="29759"/>
    <cellStyle name="Comma [0] 2 2 5 5 2 2 2 2" xfId="29760"/>
    <cellStyle name="Comma [0] 2 2 5 5 2 2 3" xfId="29761"/>
    <cellStyle name="Comma [0] 2 2 5 5 2 3" xfId="29762"/>
    <cellStyle name="Comma [0] 2 2 5 5 2 3 2" xfId="29763"/>
    <cellStyle name="Comma [0] 2 2 5 5 2 4" xfId="29764"/>
    <cellStyle name="Comma [0] 2 2 5 5 2 4 2" xfId="29765"/>
    <cellStyle name="Comma [0] 2 2 5 5 2 5" xfId="29766"/>
    <cellStyle name="Comma [0] 2 2 5 5 2 5 2" xfId="29767"/>
    <cellStyle name="Comma [0] 2 2 5 5 2 6" xfId="29768"/>
    <cellStyle name="Comma [0] 2 2 5 5 3" xfId="29769"/>
    <cellStyle name="Comma [0] 2 2 5 5 3 2" xfId="29770"/>
    <cellStyle name="Comma [0] 2 2 5 5 3 2 2" xfId="29771"/>
    <cellStyle name="Comma [0] 2 2 5 5 3 3" xfId="29772"/>
    <cellStyle name="Comma [0] 2 2 5 5 4" xfId="29773"/>
    <cellStyle name="Comma [0] 2 2 5 5 4 2" xfId="29774"/>
    <cellStyle name="Comma [0] 2 2 5 5 5" xfId="29775"/>
    <cellStyle name="Comma [0] 2 2 5 5 5 2" xfId="29776"/>
    <cellStyle name="Comma [0] 2 2 5 5 6" xfId="29777"/>
    <cellStyle name="Comma [0] 2 2 5 5 6 2" xfId="29778"/>
    <cellStyle name="Comma [0] 2 2 5 5 7" xfId="29779"/>
    <cellStyle name="Comma [0] 2 2 5 6" xfId="29780"/>
    <cellStyle name="Comma [0] 2 2 5 6 2" xfId="29781"/>
    <cellStyle name="Comma [0] 2 2 5 6 2 2" xfId="29782"/>
    <cellStyle name="Comma [0] 2 2 5 6 2 2 2" xfId="29783"/>
    <cellStyle name="Comma [0] 2 2 5 6 2 3" xfId="29784"/>
    <cellStyle name="Comma [0] 2 2 5 6 3" xfId="29785"/>
    <cellStyle name="Comma [0] 2 2 5 6 3 2" xfId="29786"/>
    <cellStyle name="Comma [0] 2 2 5 6 4" xfId="29787"/>
    <cellStyle name="Comma [0] 2 2 5 6 4 2" xfId="29788"/>
    <cellStyle name="Comma [0] 2 2 5 6 5" xfId="29789"/>
    <cellStyle name="Comma [0] 2 2 5 6 5 2" xfId="29790"/>
    <cellStyle name="Comma [0] 2 2 5 6 6" xfId="29791"/>
    <cellStyle name="Comma [0] 2 2 5 7" xfId="29792"/>
    <cellStyle name="Comma [0] 2 2 5 7 2" xfId="29793"/>
    <cellStyle name="Comma [0] 2 2 5 7 2 2" xfId="29794"/>
    <cellStyle name="Comma [0] 2 2 5 7 2 2 2" xfId="29795"/>
    <cellStyle name="Comma [0] 2 2 5 7 2 3" xfId="29796"/>
    <cellStyle name="Comma [0] 2 2 5 7 3" xfId="29797"/>
    <cellStyle name="Comma [0] 2 2 5 7 3 2" xfId="29798"/>
    <cellStyle name="Comma [0] 2 2 5 7 4" xfId="29799"/>
    <cellStyle name="Comma [0] 2 2 5 7 4 2" xfId="29800"/>
    <cellStyle name="Comma [0] 2 2 5 7 5" xfId="29801"/>
    <cellStyle name="Comma [0] 2 2 5 7 5 2" xfId="29802"/>
    <cellStyle name="Comma [0] 2 2 5 7 6" xfId="29803"/>
    <cellStyle name="Comma [0] 2 2 5 8" xfId="29804"/>
    <cellStyle name="Comma [0] 2 2 5 8 2" xfId="29805"/>
    <cellStyle name="Comma [0] 2 2 5 8 2 2" xfId="29806"/>
    <cellStyle name="Comma [0] 2 2 5 8 3" xfId="29807"/>
    <cellStyle name="Comma [0] 2 2 5 9" xfId="29808"/>
    <cellStyle name="Comma [0] 2 2 5 9 2" xfId="29809"/>
    <cellStyle name="Comma [0] 2 2 6" xfId="29810"/>
    <cellStyle name="Comma [0] 2 2 6 2" xfId="29811"/>
    <cellStyle name="Comma [0] 2 2 6 2 2" xfId="29812"/>
    <cellStyle name="Comma [0] 2 2 6 3" xfId="29813"/>
    <cellStyle name="Comma [0] 2 2 7" xfId="29814"/>
    <cellStyle name="Comma [0] 2 2 7 2" xfId="29815"/>
    <cellStyle name="Comma [0] 2 2 7 2 2" xfId="29816"/>
    <cellStyle name="Comma [0] 2 2 7 2 2 2" xfId="29817"/>
    <cellStyle name="Comma [0] 2 2 7 2 2 2 2" xfId="29818"/>
    <cellStyle name="Comma [0] 2 2 7 2 2 2 2 2" xfId="29819"/>
    <cellStyle name="Comma [0] 2 2 7 2 2 2 3" xfId="29820"/>
    <cellStyle name="Comma [0] 2 2 7 2 2 3" xfId="29821"/>
    <cellStyle name="Comma [0] 2 2 7 2 2 3 2" xfId="29822"/>
    <cellStyle name="Comma [0] 2 2 7 2 2 4" xfId="29823"/>
    <cellStyle name="Comma [0] 2 2 7 2 2 4 2" xfId="29824"/>
    <cellStyle name="Comma [0] 2 2 7 2 2 5" xfId="29825"/>
    <cellStyle name="Comma [0] 2 2 7 2 2 5 2" xfId="29826"/>
    <cellStyle name="Comma [0] 2 2 7 2 2 6" xfId="29827"/>
    <cellStyle name="Comma [0] 2 2 7 2 3" xfId="29828"/>
    <cellStyle name="Comma [0] 2 2 7 2 3 2" xfId="29829"/>
    <cellStyle name="Comma [0] 2 2 7 2 3 2 2" xfId="29830"/>
    <cellStyle name="Comma [0] 2 2 7 2 3 3" xfId="29831"/>
    <cellStyle name="Comma [0] 2 2 7 2 4" xfId="29832"/>
    <cellStyle name="Comma [0] 2 2 7 2 4 2" xfId="29833"/>
    <cellStyle name="Comma [0] 2 2 7 2 5" xfId="29834"/>
    <cellStyle name="Comma [0] 2 2 7 2 5 2" xfId="29835"/>
    <cellStyle name="Comma [0] 2 2 7 2 6" xfId="29836"/>
    <cellStyle name="Comma [0] 2 2 7 2 6 2" xfId="29837"/>
    <cellStyle name="Comma [0] 2 2 7 2 7" xfId="29838"/>
    <cellStyle name="Comma [0] 2 2 7 3" xfId="29839"/>
    <cellStyle name="Comma [0] 2 2 7 3 2" xfId="29840"/>
    <cellStyle name="Comma [0] 2 2 7 3 2 2" xfId="29841"/>
    <cellStyle name="Comma [0] 2 2 7 3 2 2 2" xfId="29842"/>
    <cellStyle name="Comma [0] 2 2 7 3 2 3" xfId="29843"/>
    <cellStyle name="Comma [0] 2 2 7 3 3" xfId="29844"/>
    <cellStyle name="Comma [0] 2 2 7 3 3 2" xfId="29845"/>
    <cellStyle name="Comma [0] 2 2 7 3 4" xfId="29846"/>
    <cellStyle name="Comma [0] 2 2 7 3 4 2" xfId="29847"/>
    <cellStyle name="Comma [0] 2 2 7 3 5" xfId="29848"/>
    <cellStyle name="Comma [0] 2 2 7 3 5 2" xfId="29849"/>
    <cellStyle name="Comma [0] 2 2 7 3 6" xfId="29850"/>
    <cellStyle name="Comma [0] 2 2 7 4" xfId="29851"/>
    <cellStyle name="Comma [0] 2 2 7 4 2" xfId="29852"/>
    <cellStyle name="Comma [0] 2 2 7 4 2 2" xfId="29853"/>
    <cellStyle name="Comma [0] 2 2 7 4 3" xfId="29854"/>
    <cellStyle name="Comma [0] 2 2 7 5" xfId="29855"/>
    <cellStyle name="Comma [0] 2 2 7 5 2" xfId="29856"/>
    <cellStyle name="Comma [0] 2 2 7 6" xfId="29857"/>
    <cellStyle name="Comma [0] 2 2 7 6 2" xfId="29858"/>
    <cellStyle name="Comma [0] 2 2 7 7" xfId="29859"/>
    <cellStyle name="Comma [0] 2 2 7 7 2" xfId="29860"/>
    <cellStyle name="Comma [0] 2 2 7 8" xfId="29861"/>
    <cellStyle name="Comma [0] 2 2 8" xfId="29862"/>
    <cellStyle name="Comma [0] 2 2 8 2" xfId="29863"/>
    <cellStyle name="Comma [0] 2 2 8 2 2" xfId="29864"/>
    <cellStyle name="Comma [0] 2 2 8 2 2 2" xfId="29865"/>
    <cellStyle name="Comma [0] 2 2 8 2 2 2 2" xfId="29866"/>
    <cellStyle name="Comma [0] 2 2 8 2 2 2 2 2" xfId="29867"/>
    <cellStyle name="Comma [0] 2 2 8 2 2 2 3" xfId="29868"/>
    <cellStyle name="Comma [0] 2 2 8 2 2 3" xfId="29869"/>
    <cellStyle name="Comma [0] 2 2 8 2 2 3 2" xfId="29870"/>
    <cellStyle name="Comma [0] 2 2 8 2 2 4" xfId="29871"/>
    <cellStyle name="Comma [0] 2 2 8 2 2 4 2" xfId="29872"/>
    <cellStyle name="Comma [0] 2 2 8 2 2 5" xfId="29873"/>
    <cellStyle name="Comma [0] 2 2 8 2 2 5 2" xfId="29874"/>
    <cellStyle name="Comma [0] 2 2 8 2 2 6" xfId="29875"/>
    <cellStyle name="Comma [0] 2 2 8 2 3" xfId="29876"/>
    <cellStyle name="Comma [0] 2 2 8 2 3 2" xfId="29877"/>
    <cellStyle name="Comma [0] 2 2 8 2 3 2 2" xfId="29878"/>
    <cellStyle name="Comma [0] 2 2 8 2 3 3" xfId="29879"/>
    <cellStyle name="Comma [0] 2 2 8 2 4" xfId="29880"/>
    <cellStyle name="Comma [0] 2 2 8 2 4 2" xfId="29881"/>
    <cellStyle name="Comma [0] 2 2 8 2 5" xfId="29882"/>
    <cellStyle name="Comma [0] 2 2 8 2 5 2" xfId="29883"/>
    <cellStyle name="Comma [0] 2 2 8 2 6" xfId="29884"/>
    <cellStyle name="Comma [0] 2 2 8 2 6 2" xfId="29885"/>
    <cellStyle name="Comma [0] 2 2 8 2 7" xfId="29886"/>
    <cellStyle name="Comma [0] 2 2 8 3" xfId="29887"/>
    <cellStyle name="Comma [0] 2 2 8 3 2" xfId="29888"/>
    <cellStyle name="Comma [0] 2 2 8 3 2 2" xfId="29889"/>
    <cellStyle name="Comma [0] 2 2 8 3 2 2 2" xfId="29890"/>
    <cellStyle name="Comma [0] 2 2 8 3 2 3" xfId="29891"/>
    <cellStyle name="Comma [0] 2 2 8 3 3" xfId="29892"/>
    <cellStyle name="Comma [0] 2 2 8 3 3 2" xfId="29893"/>
    <cellStyle name="Comma [0] 2 2 8 3 4" xfId="29894"/>
    <cellStyle name="Comma [0] 2 2 8 3 4 2" xfId="29895"/>
    <cellStyle name="Comma [0] 2 2 8 3 5" xfId="29896"/>
    <cellStyle name="Comma [0] 2 2 8 3 5 2" xfId="29897"/>
    <cellStyle name="Comma [0] 2 2 8 3 6" xfId="29898"/>
    <cellStyle name="Comma [0] 2 2 8 4" xfId="29899"/>
    <cellStyle name="Comma [0] 2 2 8 4 2" xfId="29900"/>
    <cellStyle name="Comma [0] 2 2 8 4 2 2" xfId="29901"/>
    <cellStyle name="Comma [0] 2 2 8 4 3" xfId="29902"/>
    <cellStyle name="Comma [0] 2 2 8 5" xfId="29903"/>
    <cellStyle name="Comma [0] 2 2 8 5 2" xfId="29904"/>
    <cellStyle name="Comma [0] 2 2 8 6" xfId="29905"/>
    <cellStyle name="Comma [0] 2 2 8 6 2" xfId="29906"/>
    <cellStyle name="Comma [0] 2 2 8 7" xfId="29907"/>
    <cellStyle name="Comma [0] 2 2 8 7 2" xfId="29908"/>
    <cellStyle name="Comma [0] 2 2 8 8" xfId="29909"/>
    <cellStyle name="Comma [0] 2 2 9" xfId="29910"/>
    <cellStyle name="Comma [0] 2 2 9 2" xfId="29911"/>
    <cellStyle name="Comma [0] 2 2 9 2 2" xfId="29912"/>
    <cellStyle name="Comma [0] 2 2 9 2 2 2" xfId="29913"/>
    <cellStyle name="Comma [0] 2 2 9 2 2 2 2" xfId="29914"/>
    <cellStyle name="Comma [0] 2 2 9 2 2 3" xfId="29915"/>
    <cellStyle name="Comma [0] 2 2 9 2 3" xfId="29916"/>
    <cellStyle name="Comma [0] 2 2 9 2 3 2" xfId="29917"/>
    <cellStyle name="Comma [0] 2 2 9 2 4" xfId="29918"/>
    <cellStyle name="Comma [0] 2 2 9 2 4 2" xfId="29919"/>
    <cellStyle name="Comma [0] 2 2 9 2 5" xfId="29920"/>
    <cellStyle name="Comma [0] 2 2 9 2 5 2" xfId="29921"/>
    <cellStyle name="Comma [0] 2 2 9 2 6" xfId="29922"/>
    <cellStyle name="Comma [0] 2 2 9 3" xfId="29923"/>
    <cellStyle name="Comma [0] 2 2 9 3 2" xfId="29924"/>
    <cellStyle name="Comma [0] 2 2 9 3 2 2" xfId="29925"/>
    <cellStyle name="Comma [0] 2 2 9 3 3" xfId="29926"/>
    <cellStyle name="Comma [0] 2 2 9 4" xfId="29927"/>
    <cellStyle name="Comma [0] 2 2 9 4 2" xfId="29928"/>
    <cellStyle name="Comma [0] 2 2 9 5" xfId="29929"/>
    <cellStyle name="Comma [0] 2 2 9 5 2" xfId="29930"/>
    <cellStyle name="Comma [0] 2 2 9 6" xfId="29931"/>
    <cellStyle name="Comma [0] 2 2 9 6 2" xfId="29932"/>
    <cellStyle name="Comma [0] 2 2 9 7" xfId="29933"/>
    <cellStyle name="Comma [0] 2 20" xfId="29934"/>
    <cellStyle name="Comma [0] 2 21" xfId="29935"/>
    <cellStyle name="Comma [0] 2 22" xfId="29936"/>
    <cellStyle name="Comma [0] 2 23" xfId="29937"/>
    <cellStyle name="Comma [0] 2 24" xfId="29938"/>
    <cellStyle name="Comma [0] 2 25" xfId="29939"/>
    <cellStyle name="Comma [0] 2 26" xfId="29940"/>
    <cellStyle name="Comma [0] 2 27" xfId="29941"/>
    <cellStyle name="Comma [0] 2 28" xfId="57466"/>
    <cellStyle name="Comma [0] 2 3" xfId="32"/>
    <cellStyle name="Comma [0] 2 3 10" xfId="29942"/>
    <cellStyle name="Comma [0] 2 3 10 2" xfId="29943"/>
    <cellStyle name="Comma [0] 2 3 10 2 2" xfId="29944"/>
    <cellStyle name="Comma [0] 2 3 10 2 2 2" xfId="29945"/>
    <cellStyle name="Comma [0] 2 3 10 2 2 2 2" xfId="29946"/>
    <cellStyle name="Comma [0] 2 3 10 2 2 3" xfId="29947"/>
    <cellStyle name="Comma [0] 2 3 10 2 3" xfId="29948"/>
    <cellStyle name="Comma [0] 2 3 10 2 3 2" xfId="29949"/>
    <cellStyle name="Comma [0] 2 3 10 2 4" xfId="29950"/>
    <cellStyle name="Comma [0] 2 3 10 2 4 2" xfId="29951"/>
    <cellStyle name="Comma [0] 2 3 10 2 5" xfId="29952"/>
    <cellStyle name="Comma [0] 2 3 10 2 5 2" xfId="29953"/>
    <cellStyle name="Comma [0] 2 3 10 2 6" xfId="29954"/>
    <cellStyle name="Comma [0] 2 3 10 3" xfId="29955"/>
    <cellStyle name="Comma [0] 2 3 10 3 2" xfId="29956"/>
    <cellStyle name="Comma [0] 2 3 10 3 2 2" xfId="29957"/>
    <cellStyle name="Comma [0] 2 3 10 3 3" xfId="29958"/>
    <cellStyle name="Comma [0] 2 3 10 4" xfId="29959"/>
    <cellStyle name="Comma [0] 2 3 10 4 2" xfId="29960"/>
    <cellStyle name="Comma [0] 2 3 10 5" xfId="29961"/>
    <cellStyle name="Comma [0] 2 3 10 5 2" xfId="29962"/>
    <cellStyle name="Comma [0] 2 3 10 6" xfId="29963"/>
    <cellStyle name="Comma [0] 2 3 10 6 2" xfId="29964"/>
    <cellStyle name="Comma [0] 2 3 10 7" xfId="29965"/>
    <cellStyle name="Comma [0] 2 3 11" xfId="29966"/>
    <cellStyle name="Comma [0] 2 3 11 2" xfId="29967"/>
    <cellStyle name="Comma [0] 2 3 11 2 2" xfId="29968"/>
    <cellStyle name="Comma [0] 2 3 11 2 2 2" xfId="29969"/>
    <cellStyle name="Comma [0] 2 3 11 2 3" xfId="29970"/>
    <cellStyle name="Comma [0] 2 3 11 3" xfId="29971"/>
    <cellStyle name="Comma [0] 2 3 11 3 2" xfId="29972"/>
    <cellStyle name="Comma [0] 2 3 11 4" xfId="29973"/>
    <cellStyle name="Comma [0] 2 3 11 4 2" xfId="29974"/>
    <cellStyle name="Comma [0] 2 3 11 5" xfId="29975"/>
    <cellStyle name="Comma [0] 2 3 11 5 2" xfId="29976"/>
    <cellStyle name="Comma [0] 2 3 11 6" xfId="29977"/>
    <cellStyle name="Comma [0] 2 3 12" xfId="29978"/>
    <cellStyle name="Comma [0] 2 3 12 2" xfId="29979"/>
    <cellStyle name="Comma [0] 2 3 12 2 2" xfId="29980"/>
    <cellStyle name="Comma [0] 2 3 12 2 2 2" xfId="29981"/>
    <cellStyle name="Comma [0] 2 3 12 2 3" xfId="29982"/>
    <cellStyle name="Comma [0] 2 3 12 3" xfId="29983"/>
    <cellStyle name="Comma [0] 2 3 12 3 2" xfId="29984"/>
    <cellStyle name="Comma [0] 2 3 12 4" xfId="29985"/>
    <cellStyle name="Comma [0] 2 3 12 4 2" xfId="29986"/>
    <cellStyle name="Comma [0] 2 3 12 5" xfId="29987"/>
    <cellStyle name="Comma [0] 2 3 12 5 2" xfId="29988"/>
    <cellStyle name="Comma [0] 2 3 12 6" xfId="29989"/>
    <cellStyle name="Comma [0] 2 3 13" xfId="29990"/>
    <cellStyle name="Comma [0] 2 3 13 2" xfId="29991"/>
    <cellStyle name="Comma [0] 2 3 13 2 2" xfId="29992"/>
    <cellStyle name="Comma [0] 2 3 13 3" xfId="29993"/>
    <cellStyle name="Comma [0] 2 3 14" xfId="29994"/>
    <cellStyle name="Comma [0] 2 3 14 2" xfId="29995"/>
    <cellStyle name="Comma [0] 2 3 15" xfId="29996"/>
    <cellStyle name="Comma [0] 2 3 15 2" xfId="29997"/>
    <cellStyle name="Comma [0] 2 3 16" xfId="29998"/>
    <cellStyle name="Comma [0] 2 3 16 2" xfId="29999"/>
    <cellStyle name="Comma [0] 2 3 17" xfId="30000"/>
    <cellStyle name="Comma [0] 2 3 18" xfId="57500"/>
    <cellStyle name="Comma [0] 2 3 2" xfId="30001"/>
    <cellStyle name="Comma [0] 2 3 2 10" xfId="30002"/>
    <cellStyle name="Comma [0] 2 3 2 10 2" xfId="30003"/>
    <cellStyle name="Comma [0] 2 3 2 11" xfId="30004"/>
    <cellStyle name="Comma [0] 2 3 2 11 2" xfId="30005"/>
    <cellStyle name="Comma [0] 2 3 2 12" xfId="30006"/>
    <cellStyle name="Comma [0] 2 3 2 12 2" xfId="30007"/>
    <cellStyle name="Comma [0] 2 3 2 13" xfId="30008"/>
    <cellStyle name="Comma [0] 2 3 2 14" xfId="57501"/>
    <cellStyle name="Comma [0] 2 3 2 2" xfId="30009"/>
    <cellStyle name="Comma [0] 2 3 2 2 2" xfId="30010"/>
    <cellStyle name="Comma [0] 2 3 2 2 2 2" xfId="30011"/>
    <cellStyle name="Comma [0] 2 3 2 2 3" xfId="30012"/>
    <cellStyle name="Comma [0] 2 3 2 3" xfId="30013"/>
    <cellStyle name="Comma [0] 2 3 2 3 2" xfId="30014"/>
    <cellStyle name="Comma [0] 2 3 2 3 2 2" xfId="30015"/>
    <cellStyle name="Comma [0] 2 3 2 3 2 2 2" xfId="30016"/>
    <cellStyle name="Comma [0] 2 3 2 3 2 2 2 2" xfId="30017"/>
    <cellStyle name="Comma [0] 2 3 2 3 2 2 2 2 2" xfId="30018"/>
    <cellStyle name="Comma [0] 2 3 2 3 2 2 2 3" xfId="30019"/>
    <cellStyle name="Comma [0] 2 3 2 3 2 2 3" xfId="30020"/>
    <cellStyle name="Comma [0] 2 3 2 3 2 2 3 2" xfId="30021"/>
    <cellStyle name="Comma [0] 2 3 2 3 2 2 4" xfId="30022"/>
    <cellStyle name="Comma [0] 2 3 2 3 2 2 4 2" xfId="30023"/>
    <cellStyle name="Comma [0] 2 3 2 3 2 2 5" xfId="30024"/>
    <cellStyle name="Comma [0] 2 3 2 3 2 2 5 2" xfId="30025"/>
    <cellStyle name="Comma [0] 2 3 2 3 2 2 6" xfId="30026"/>
    <cellStyle name="Comma [0] 2 3 2 3 2 3" xfId="30027"/>
    <cellStyle name="Comma [0] 2 3 2 3 2 3 2" xfId="30028"/>
    <cellStyle name="Comma [0] 2 3 2 3 2 3 2 2" xfId="30029"/>
    <cellStyle name="Comma [0] 2 3 2 3 2 3 3" xfId="30030"/>
    <cellStyle name="Comma [0] 2 3 2 3 2 4" xfId="30031"/>
    <cellStyle name="Comma [0] 2 3 2 3 2 4 2" xfId="30032"/>
    <cellStyle name="Comma [0] 2 3 2 3 2 5" xfId="30033"/>
    <cellStyle name="Comma [0] 2 3 2 3 2 5 2" xfId="30034"/>
    <cellStyle name="Comma [0] 2 3 2 3 2 6" xfId="30035"/>
    <cellStyle name="Comma [0] 2 3 2 3 2 6 2" xfId="30036"/>
    <cellStyle name="Comma [0] 2 3 2 3 2 7" xfId="30037"/>
    <cellStyle name="Comma [0] 2 3 2 3 3" xfId="30038"/>
    <cellStyle name="Comma [0] 2 3 2 3 3 2" xfId="30039"/>
    <cellStyle name="Comma [0] 2 3 2 3 3 2 2" xfId="30040"/>
    <cellStyle name="Comma [0] 2 3 2 3 3 2 2 2" xfId="30041"/>
    <cellStyle name="Comma [0] 2 3 2 3 3 2 3" xfId="30042"/>
    <cellStyle name="Comma [0] 2 3 2 3 3 3" xfId="30043"/>
    <cellStyle name="Comma [0] 2 3 2 3 3 3 2" xfId="30044"/>
    <cellStyle name="Comma [0] 2 3 2 3 3 4" xfId="30045"/>
    <cellStyle name="Comma [0] 2 3 2 3 3 4 2" xfId="30046"/>
    <cellStyle name="Comma [0] 2 3 2 3 3 5" xfId="30047"/>
    <cellStyle name="Comma [0] 2 3 2 3 3 5 2" xfId="30048"/>
    <cellStyle name="Comma [0] 2 3 2 3 3 6" xfId="30049"/>
    <cellStyle name="Comma [0] 2 3 2 3 4" xfId="30050"/>
    <cellStyle name="Comma [0] 2 3 2 3 4 2" xfId="30051"/>
    <cellStyle name="Comma [0] 2 3 2 3 4 2 2" xfId="30052"/>
    <cellStyle name="Comma [0] 2 3 2 3 4 3" xfId="30053"/>
    <cellStyle name="Comma [0] 2 3 2 3 5" xfId="30054"/>
    <cellStyle name="Comma [0] 2 3 2 3 5 2" xfId="30055"/>
    <cellStyle name="Comma [0] 2 3 2 3 6" xfId="30056"/>
    <cellStyle name="Comma [0] 2 3 2 3 6 2" xfId="30057"/>
    <cellStyle name="Comma [0] 2 3 2 3 7" xfId="30058"/>
    <cellStyle name="Comma [0] 2 3 2 3 7 2" xfId="30059"/>
    <cellStyle name="Comma [0] 2 3 2 3 8" xfId="30060"/>
    <cellStyle name="Comma [0] 2 3 2 4" xfId="30061"/>
    <cellStyle name="Comma [0] 2 3 2 4 2" xfId="30062"/>
    <cellStyle name="Comma [0] 2 3 2 4 2 2" xfId="30063"/>
    <cellStyle name="Comma [0] 2 3 2 4 2 2 2" xfId="30064"/>
    <cellStyle name="Comma [0] 2 3 2 4 2 2 2 2" xfId="30065"/>
    <cellStyle name="Comma [0] 2 3 2 4 2 2 2 2 2" xfId="30066"/>
    <cellStyle name="Comma [0] 2 3 2 4 2 2 2 3" xfId="30067"/>
    <cellStyle name="Comma [0] 2 3 2 4 2 2 3" xfId="30068"/>
    <cellStyle name="Comma [0] 2 3 2 4 2 2 3 2" xfId="30069"/>
    <cellStyle name="Comma [0] 2 3 2 4 2 2 4" xfId="30070"/>
    <cellStyle name="Comma [0] 2 3 2 4 2 2 4 2" xfId="30071"/>
    <cellStyle name="Comma [0] 2 3 2 4 2 2 5" xfId="30072"/>
    <cellStyle name="Comma [0] 2 3 2 4 2 2 5 2" xfId="30073"/>
    <cellStyle name="Comma [0] 2 3 2 4 2 2 6" xfId="30074"/>
    <cellStyle name="Comma [0] 2 3 2 4 2 3" xfId="30075"/>
    <cellStyle name="Comma [0] 2 3 2 4 2 3 2" xfId="30076"/>
    <cellStyle name="Comma [0] 2 3 2 4 2 3 2 2" xfId="30077"/>
    <cellStyle name="Comma [0] 2 3 2 4 2 3 3" xfId="30078"/>
    <cellStyle name="Comma [0] 2 3 2 4 2 4" xfId="30079"/>
    <cellStyle name="Comma [0] 2 3 2 4 2 4 2" xfId="30080"/>
    <cellStyle name="Comma [0] 2 3 2 4 2 5" xfId="30081"/>
    <cellStyle name="Comma [0] 2 3 2 4 2 5 2" xfId="30082"/>
    <cellStyle name="Comma [0] 2 3 2 4 2 6" xfId="30083"/>
    <cellStyle name="Comma [0] 2 3 2 4 2 6 2" xfId="30084"/>
    <cellStyle name="Comma [0] 2 3 2 4 2 7" xfId="30085"/>
    <cellStyle name="Comma [0] 2 3 2 4 3" xfId="30086"/>
    <cellStyle name="Comma [0] 2 3 2 4 3 2" xfId="30087"/>
    <cellStyle name="Comma [0] 2 3 2 4 3 2 2" xfId="30088"/>
    <cellStyle name="Comma [0] 2 3 2 4 3 2 2 2" xfId="30089"/>
    <cellStyle name="Comma [0] 2 3 2 4 3 2 3" xfId="30090"/>
    <cellStyle name="Comma [0] 2 3 2 4 3 3" xfId="30091"/>
    <cellStyle name="Comma [0] 2 3 2 4 3 3 2" xfId="30092"/>
    <cellStyle name="Comma [0] 2 3 2 4 3 4" xfId="30093"/>
    <cellStyle name="Comma [0] 2 3 2 4 3 4 2" xfId="30094"/>
    <cellStyle name="Comma [0] 2 3 2 4 3 5" xfId="30095"/>
    <cellStyle name="Comma [0] 2 3 2 4 3 5 2" xfId="30096"/>
    <cellStyle name="Comma [0] 2 3 2 4 3 6" xfId="30097"/>
    <cellStyle name="Comma [0] 2 3 2 4 4" xfId="30098"/>
    <cellStyle name="Comma [0] 2 3 2 4 4 2" xfId="30099"/>
    <cellStyle name="Comma [0] 2 3 2 4 4 2 2" xfId="30100"/>
    <cellStyle name="Comma [0] 2 3 2 4 4 3" xfId="30101"/>
    <cellStyle name="Comma [0] 2 3 2 4 5" xfId="30102"/>
    <cellStyle name="Comma [0] 2 3 2 4 5 2" xfId="30103"/>
    <cellStyle name="Comma [0] 2 3 2 4 6" xfId="30104"/>
    <cellStyle name="Comma [0] 2 3 2 4 6 2" xfId="30105"/>
    <cellStyle name="Comma [0] 2 3 2 4 7" xfId="30106"/>
    <cellStyle name="Comma [0] 2 3 2 4 7 2" xfId="30107"/>
    <cellStyle name="Comma [0] 2 3 2 4 8" xfId="30108"/>
    <cellStyle name="Comma [0] 2 3 2 5" xfId="30109"/>
    <cellStyle name="Comma [0] 2 3 2 5 2" xfId="30110"/>
    <cellStyle name="Comma [0] 2 3 2 5 2 2" xfId="30111"/>
    <cellStyle name="Comma [0] 2 3 2 5 2 2 2" xfId="30112"/>
    <cellStyle name="Comma [0] 2 3 2 5 2 2 2 2" xfId="30113"/>
    <cellStyle name="Comma [0] 2 3 2 5 2 2 3" xfId="30114"/>
    <cellStyle name="Comma [0] 2 3 2 5 2 3" xfId="30115"/>
    <cellStyle name="Comma [0] 2 3 2 5 2 3 2" xfId="30116"/>
    <cellStyle name="Comma [0] 2 3 2 5 2 4" xfId="30117"/>
    <cellStyle name="Comma [0] 2 3 2 5 2 4 2" xfId="30118"/>
    <cellStyle name="Comma [0] 2 3 2 5 2 5" xfId="30119"/>
    <cellStyle name="Comma [0] 2 3 2 5 2 5 2" xfId="30120"/>
    <cellStyle name="Comma [0] 2 3 2 5 2 6" xfId="30121"/>
    <cellStyle name="Comma [0] 2 3 2 5 3" xfId="30122"/>
    <cellStyle name="Comma [0] 2 3 2 5 3 2" xfId="30123"/>
    <cellStyle name="Comma [0] 2 3 2 5 3 2 2" xfId="30124"/>
    <cellStyle name="Comma [0] 2 3 2 5 3 3" xfId="30125"/>
    <cellStyle name="Comma [0] 2 3 2 5 4" xfId="30126"/>
    <cellStyle name="Comma [0] 2 3 2 5 4 2" xfId="30127"/>
    <cellStyle name="Comma [0] 2 3 2 5 5" xfId="30128"/>
    <cellStyle name="Comma [0] 2 3 2 5 5 2" xfId="30129"/>
    <cellStyle name="Comma [0] 2 3 2 5 6" xfId="30130"/>
    <cellStyle name="Comma [0] 2 3 2 5 6 2" xfId="30131"/>
    <cellStyle name="Comma [0] 2 3 2 5 7" xfId="30132"/>
    <cellStyle name="Comma [0] 2 3 2 6" xfId="30133"/>
    <cellStyle name="Comma [0] 2 3 2 6 2" xfId="30134"/>
    <cellStyle name="Comma [0] 2 3 2 6 2 2" xfId="30135"/>
    <cellStyle name="Comma [0] 2 3 2 6 2 2 2" xfId="30136"/>
    <cellStyle name="Comma [0] 2 3 2 6 2 2 2 2" xfId="30137"/>
    <cellStyle name="Comma [0] 2 3 2 6 2 2 3" xfId="30138"/>
    <cellStyle name="Comma [0] 2 3 2 6 2 3" xfId="30139"/>
    <cellStyle name="Comma [0] 2 3 2 6 2 3 2" xfId="30140"/>
    <cellStyle name="Comma [0] 2 3 2 6 2 4" xfId="30141"/>
    <cellStyle name="Comma [0] 2 3 2 6 2 4 2" xfId="30142"/>
    <cellStyle name="Comma [0] 2 3 2 6 2 5" xfId="30143"/>
    <cellStyle name="Comma [0] 2 3 2 6 2 5 2" xfId="30144"/>
    <cellStyle name="Comma [0] 2 3 2 6 2 6" xfId="30145"/>
    <cellStyle name="Comma [0] 2 3 2 6 3" xfId="30146"/>
    <cellStyle name="Comma [0] 2 3 2 6 3 2" xfId="30147"/>
    <cellStyle name="Comma [0] 2 3 2 6 3 2 2" xfId="30148"/>
    <cellStyle name="Comma [0] 2 3 2 6 3 3" xfId="30149"/>
    <cellStyle name="Comma [0] 2 3 2 6 4" xfId="30150"/>
    <cellStyle name="Comma [0] 2 3 2 6 4 2" xfId="30151"/>
    <cellStyle name="Comma [0] 2 3 2 6 5" xfId="30152"/>
    <cellStyle name="Comma [0] 2 3 2 6 5 2" xfId="30153"/>
    <cellStyle name="Comma [0] 2 3 2 6 6" xfId="30154"/>
    <cellStyle name="Comma [0] 2 3 2 6 6 2" xfId="30155"/>
    <cellStyle name="Comma [0] 2 3 2 6 7" xfId="30156"/>
    <cellStyle name="Comma [0] 2 3 2 7" xfId="30157"/>
    <cellStyle name="Comma [0] 2 3 2 7 2" xfId="30158"/>
    <cellStyle name="Comma [0] 2 3 2 7 2 2" xfId="30159"/>
    <cellStyle name="Comma [0] 2 3 2 7 2 2 2" xfId="30160"/>
    <cellStyle name="Comma [0] 2 3 2 7 2 3" xfId="30161"/>
    <cellStyle name="Comma [0] 2 3 2 7 3" xfId="30162"/>
    <cellStyle name="Comma [0] 2 3 2 7 3 2" xfId="30163"/>
    <cellStyle name="Comma [0] 2 3 2 7 4" xfId="30164"/>
    <cellStyle name="Comma [0] 2 3 2 7 4 2" xfId="30165"/>
    <cellStyle name="Comma [0] 2 3 2 7 5" xfId="30166"/>
    <cellStyle name="Comma [0] 2 3 2 7 5 2" xfId="30167"/>
    <cellStyle name="Comma [0] 2 3 2 7 6" xfId="30168"/>
    <cellStyle name="Comma [0] 2 3 2 8" xfId="30169"/>
    <cellStyle name="Comma [0] 2 3 2 8 2" xfId="30170"/>
    <cellStyle name="Comma [0] 2 3 2 8 2 2" xfId="30171"/>
    <cellStyle name="Comma [0] 2 3 2 8 2 2 2" xfId="30172"/>
    <cellStyle name="Comma [0] 2 3 2 8 2 3" xfId="30173"/>
    <cellStyle name="Comma [0] 2 3 2 8 3" xfId="30174"/>
    <cellStyle name="Comma [0] 2 3 2 8 3 2" xfId="30175"/>
    <cellStyle name="Comma [0] 2 3 2 8 4" xfId="30176"/>
    <cellStyle name="Comma [0] 2 3 2 8 4 2" xfId="30177"/>
    <cellStyle name="Comma [0] 2 3 2 8 5" xfId="30178"/>
    <cellStyle name="Comma [0] 2 3 2 8 5 2" xfId="30179"/>
    <cellStyle name="Comma [0] 2 3 2 8 6" xfId="30180"/>
    <cellStyle name="Comma [0] 2 3 2 9" xfId="30181"/>
    <cellStyle name="Comma [0] 2 3 2 9 2" xfId="30182"/>
    <cellStyle name="Comma [0] 2 3 2 9 2 2" xfId="30183"/>
    <cellStyle name="Comma [0] 2 3 2 9 3" xfId="30184"/>
    <cellStyle name="Comma [0] 2 3 3" xfId="30185"/>
    <cellStyle name="Comma [0] 2 3 3 10" xfId="30186"/>
    <cellStyle name="Comma [0] 2 3 3 10 2" xfId="30187"/>
    <cellStyle name="Comma [0] 2 3 3 11" xfId="30188"/>
    <cellStyle name="Comma [0] 2 3 3 11 2" xfId="30189"/>
    <cellStyle name="Comma [0] 2 3 3 12" xfId="30190"/>
    <cellStyle name="Comma [0] 2 3 3 12 2" xfId="30191"/>
    <cellStyle name="Comma [0] 2 3 3 13" xfId="30192"/>
    <cellStyle name="Comma [0] 2 3 3 2" xfId="30193"/>
    <cellStyle name="Comma [0] 2 3 3 2 2" xfId="30194"/>
    <cellStyle name="Comma [0] 2 3 3 2 2 2" xfId="30195"/>
    <cellStyle name="Comma [0] 2 3 3 2 3" xfId="30196"/>
    <cellStyle name="Comma [0] 2 3 3 3" xfId="30197"/>
    <cellStyle name="Comma [0] 2 3 3 3 2" xfId="30198"/>
    <cellStyle name="Comma [0] 2 3 3 3 2 2" xfId="30199"/>
    <cellStyle name="Comma [0] 2 3 3 3 2 2 2" xfId="30200"/>
    <cellStyle name="Comma [0] 2 3 3 3 2 2 2 2" xfId="30201"/>
    <cellStyle name="Comma [0] 2 3 3 3 2 2 2 2 2" xfId="30202"/>
    <cellStyle name="Comma [0] 2 3 3 3 2 2 2 3" xfId="30203"/>
    <cellStyle name="Comma [0] 2 3 3 3 2 2 3" xfId="30204"/>
    <cellStyle name="Comma [0] 2 3 3 3 2 2 3 2" xfId="30205"/>
    <cellStyle name="Comma [0] 2 3 3 3 2 2 4" xfId="30206"/>
    <cellStyle name="Comma [0] 2 3 3 3 2 2 4 2" xfId="30207"/>
    <cellStyle name="Comma [0] 2 3 3 3 2 2 5" xfId="30208"/>
    <cellStyle name="Comma [0] 2 3 3 3 2 2 5 2" xfId="30209"/>
    <cellStyle name="Comma [0] 2 3 3 3 2 2 6" xfId="30210"/>
    <cellStyle name="Comma [0] 2 3 3 3 2 3" xfId="30211"/>
    <cellStyle name="Comma [0] 2 3 3 3 2 3 2" xfId="30212"/>
    <cellStyle name="Comma [0] 2 3 3 3 2 3 2 2" xfId="30213"/>
    <cellStyle name="Comma [0] 2 3 3 3 2 3 3" xfId="30214"/>
    <cellStyle name="Comma [0] 2 3 3 3 2 4" xfId="30215"/>
    <cellStyle name="Comma [0] 2 3 3 3 2 4 2" xfId="30216"/>
    <cellStyle name="Comma [0] 2 3 3 3 2 5" xfId="30217"/>
    <cellStyle name="Comma [0] 2 3 3 3 2 5 2" xfId="30218"/>
    <cellStyle name="Comma [0] 2 3 3 3 2 6" xfId="30219"/>
    <cellStyle name="Comma [0] 2 3 3 3 2 6 2" xfId="30220"/>
    <cellStyle name="Comma [0] 2 3 3 3 2 7" xfId="30221"/>
    <cellStyle name="Comma [0] 2 3 3 3 3" xfId="30222"/>
    <cellStyle name="Comma [0] 2 3 3 3 3 2" xfId="30223"/>
    <cellStyle name="Comma [0] 2 3 3 3 3 2 2" xfId="30224"/>
    <cellStyle name="Comma [0] 2 3 3 3 3 2 2 2" xfId="30225"/>
    <cellStyle name="Comma [0] 2 3 3 3 3 2 3" xfId="30226"/>
    <cellStyle name="Comma [0] 2 3 3 3 3 3" xfId="30227"/>
    <cellStyle name="Comma [0] 2 3 3 3 3 3 2" xfId="30228"/>
    <cellStyle name="Comma [0] 2 3 3 3 3 4" xfId="30229"/>
    <cellStyle name="Comma [0] 2 3 3 3 3 4 2" xfId="30230"/>
    <cellStyle name="Comma [0] 2 3 3 3 3 5" xfId="30231"/>
    <cellStyle name="Comma [0] 2 3 3 3 3 5 2" xfId="30232"/>
    <cellStyle name="Comma [0] 2 3 3 3 3 6" xfId="30233"/>
    <cellStyle name="Comma [0] 2 3 3 3 4" xfId="30234"/>
    <cellStyle name="Comma [0] 2 3 3 3 4 2" xfId="30235"/>
    <cellStyle name="Comma [0] 2 3 3 3 4 2 2" xfId="30236"/>
    <cellStyle name="Comma [0] 2 3 3 3 4 3" xfId="30237"/>
    <cellStyle name="Comma [0] 2 3 3 3 5" xfId="30238"/>
    <cellStyle name="Comma [0] 2 3 3 3 5 2" xfId="30239"/>
    <cellStyle name="Comma [0] 2 3 3 3 6" xfId="30240"/>
    <cellStyle name="Comma [0] 2 3 3 3 6 2" xfId="30241"/>
    <cellStyle name="Comma [0] 2 3 3 3 7" xfId="30242"/>
    <cellStyle name="Comma [0] 2 3 3 3 7 2" xfId="30243"/>
    <cellStyle name="Comma [0] 2 3 3 3 8" xfId="30244"/>
    <cellStyle name="Comma [0] 2 3 3 4" xfId="30245"/>
    <cellStyle name="Comma [0] 2 3 3 4 2" xfId="30246"/>
    <cellStyle name="Comma [0] 2 3 3 4 2 2" xfId="30247"/>
    <cellStyle name="Comma [0] 2 3 3 4 2 2 2" xfId="30248"/>
    <cellStyle name="Comma [0] 2 3 3 4 2 2 2 2" xfId="30249"/>
    <cellStyle name="Comma [0] 2 3 3 4 2 2 2 2 2" xfId="30250"/>
    <cellStyle name="Comma [0] 2 3 3 4 2 2 2 3" xfId="30251"/>
    <cellStyle name="Comma [0] 2 3 3 4 2 2 3" xfId="30252"/>
    <cellStyle name="Comma [0] 2 3 3 4 2 2 3 2" xfId="30253"/>
    <cellStyle name="Comma [0] 2 3 3 4 2 2 4" xfId="30254"/>
    <cellStyle name="Comma [0] 2 3 3 4 2 2 4 2" xfId="30255"/>
    <cellStyle name="Comma [0] 2 3 3 4 2 2 5" xfId="30256"/>
    <cellStyle name="Comma [0] 2 3 3 4 2 2 5 2" xfId="30257"/>
    <cellStyle name="Comma [0] 2 3 3 4 2 2 6" xfId="30258"/>
    <cellStyle name="Comma [0] 2 3 3 4 2 3" xfId="30259"/>
    <cellStyle name="Comma [0] 2 3 3 4 2 3 2" xfId="30260"/>
    <cellStyle name="Comma [0] 2 3 3 4 2 3 2 2" xfId="30261"/>
    <cellStyle name="Comma [0] 2 3 3 4 2 3 3" xfId="30262"/>
    <cellStyle name="Comma [0] 2 3 3 4 2 4" xfId="30263"/>
    <cellStyle name="Comma [0] 2 3 3 4 2 4 2" xfId="30264"/>
    <cellStyle name="Comma [0] 2 3 3 4 2 5" xfId="30265"/>
    <cellStyle name="Comma [0] 2 3 3 4 2 5 2" xfId="30266"/>
    <cellStyle name="Comma [0] 2 3 3 4 2 6" xfId="30267"/>
    <cellStyle name="Comma [0] 2 3 3 4 2 6 2" xfId="30268"/>
    <cellStyle name="Comma [0] 2 3 3 4 2 7" xfId="30269"/>
    <cellStyle name="Comma [0] 2 3 3 4 3" xfId="30270"/>
    <cellStyle name="Comma [0] 2 3 3 4 3 2" xfId="30271"/>
    <cellStyle name="Comma [0] 2 3 3 4 3 2 2" xfId="30272"/>
    <cellStyle name="Comma [0] 2 3 3 4 3 2 2 2" xfId="30273"/>
    <cellStyle name="Comma [0] 2 3 3 4 3 2 3" xfId="30274"/>
    <cellStyle name="Comma [0] 2 3 3 4 3 3" xfId="30275"/>
    <cellStyle name="Comma [0] 2 3 3 4 3 3 2" xfId="30276"/>
    <cellStyle name="Comma [0] 2 3 3 4 3 4" xfId="30277"/>
    <cellStyle name="Comma [0] 2 3 3 4 3 4 2" xfId="30278"/>
    <cellStyle name="Comma [0] 2 3 3 4 3 5" xfId="30279"/>
    <cellStyle name="Comma [0] 2 3 3 4 3 5 2" xfId="30280"/>
    <cellStyle name="Comma [0] 2 3 3 4 3 6" xfId="30281"/>
    <cellStyle name="Comma [0] 2 3 3 4 4" xfId="30282"/>
    <cellStyle name="Comma [0] 2 3 3 4 4 2" xfId="30283"/>
    <cellStyle name="Comma [0] 2 3 3 4 4 2 2" xfId="30284"/>
    <cellStyle name="Comma [0] 2 3 3 4 4 3" xfId="30285"/>
    <cellStyle name="Comma [0] 2 3 3 4 5" xfId="30286"/>
    <cellStyle name="Comma [0] 2 3 3 4 5 2" xfId="30287"/>
    <cellStyle name="Comma [0] 2 3 3 4 6" xfId="30288"/>
    <cellStyle name="Comma [0] 2 3 3 4 6 2" xfId="30289"/>
    <cellStyle name="Comma [0] 2 3 3 4 7" xfId="30290"/>
    <cellStyle name="Comma [0] 2 3 3 4 7 2" xfId="30291"/>
    <cellStyle name="Comma [0] 2 3 3 4 8" xfId="30292"/>
    <cellStyle name="Comma [0] 2 3 3 5" xfId="30293"/>
    <cellStyle name="Comma [0] 2 3 3 5 2" xfId="30294"/>
    <cellStyle name="Comma [0] 2 3 3 5 2 2" xfId="30295"/>
    <cellStyle name="Comma [0] 2 3 3 5 2 2 2" xfId="30296"/>
    <cellStyle name="Comma [0] 2 3 3 5 2 2 2 2" xfId="30297"/>
    <cellStyle name="Comma [0] 2 3 3 5 2 2 3" xfId="30298"/>
    <cellStyle name="Comma [0] 2 3 3 5 2 3" xfId="30299"/>
    <cellStyle name="Comma [0] 2 3 3 5 2 3 2" xfId="30300"/>
    <cellStyle name="Comma [0] 2 3 3 5 2 4" xfId="30301"/>
    <cellStyle name="Comma [0] 2 3 3 5 2 4 2" xfId="30302"/>
    <cellStyle name="Comma [0] 2 3 3 5 2 5" xfId="30303"/>
    <cellStyle name="Comma [0] 2 3 3 5 2 5 2" xfId="30304"/>
    <cellStyle name="Comma [0] 2 3 3 5 2 6" xfId="30305"/>
    <cellStyle name="Comma [0] 2 3 3 5 3" xfId="30306"/>
    <cellStyle name="Comma [0] 2 3 3 5 3 2" xfId="30307"/>
    <cellStyle name="Comma [0] 2 3 3 5 3 2 2" xfId="30308"/>
    <cellStyle name="Comma [0] 2 3 3 5 3 3" xfId="30309"/>
    <cellStyle name="Comma [0] 2 3 3 5 4" xfId="30310"/>
    <cellStyle name="Comma [0] 2 3 3 5 4 2" xfId="30311"/>
    <cellStyle name="Comma [0] 2 3 3 5 5" xfId="30312"/>
    <cellStyle name="Comma [0] 2 3 3 5 5 2" xfId="30313"/>
    <cellStyle name="Comma [0] 2 3 3 5 6" xfId="30314"/>
    <cellStyle name="Comma [0] 2 3 3 5 6 2" xfId="30315"/>
    <cellStyle name="Comma [0] 2 3 3 5 7" xfId="30316"/>
    <cellStyle name="Comma [0] 2 3 3 6" xfId="30317"/>
    <cellStyle name="Comma [0] 2 3 3 6 2" xfId="30318"/>
    <cellStyle name="Comma [0] 2 3 3 6 2 2" xfId="30319"/>
    <cellStyle name="Comma [0] 2 3 3 6 2 2 2" xfId="30320"/>
    <cellStyle name="Comma [0] 2 3 3 6 2 2 2 2" xfId="30321"/>
    <cellStyle name="Comma [0] 2 3 3 6 2 2 3" xfId="30322"/>
    <cellStyle name="Comma [0] 2 3 3 6 2 3" xfId="30323"/>
    <cellStyle name="Comma [0] 2 3 3 6 2 3 2" xfId="30324"/>
    <cellStyle name="Comma [0] 2 3 3 6 2 4" xfId="30325"/>
    <cellStyle name="Comma [0] 2 3 3 6 2 4 2" xfId="30326"/>
    <cellStyle name="Comma [0] 2 3 3 6 2 5" xfId="30327"/>
    <cellStyle name="Comma [0] 2 3 3 6 2 5 2" xfId="30328"/>
    <cellStyle name="Comma [0] 2 3 3 6 2 6" xfId="30329"/>
    <cellStyle name="Comma [0] 2 3 3 6 3" xfId="30330"/>
    <cellStyle name="Comma [0] 2 3 3 6 3 2" xfId="30331"/>
    <cellStyle name="Comma [0] 2 3 3 6 3 2 2" xfId="30332"/>
    <cellStyle name="Comma [0] 2 3 3 6 3 3" xfId="30333"/>
    <cellStyle name="Comma [0] 2 3 3 6 4" xfId="30334"/>
    <cellStyle name="Comma [0] 2 3 3 6 4 2" xfId="30335"/>
    <cellStyle name="Comma [0] 2 3 3 6 5" xfId="30336"/>
    <cellStyle name="Comma [0] 2 3 3 6 5 2" xfId="30337"/>
    <cellStyle name="Comma [0] 2 3 3 6 6" xfId="30338"/>
    <cellStyle name="Comma [0] 2 3 3 6 6 2" xfId="30339"/>
    <cellStyle name="Comma [0] 2 3 3 6 7" xfId="30340"/>
    <cellStyle name="Comma [0] 2 3 3 7" xfId="30341"/>
    <cellStyle name="Comma [0] 2 3 3 7 2" xfId="30342"/>
    <cellStyle name="Comma [0] 2 3 3 7 2 2" xfId="30343"/>
    <cellStyle name="Comma [0] 2 3 3 7 2 2 2" xfId="30344"/>
    <cellStyle name="Comma [0] 2 3 3 7 2 3" xfId="30345"/>
    <cellStyle name="Comma [0] 2 3 3 7 3" xfId="30346"/>
    <cellStyle name="Comma [0] 2 3 3 7 3 2" xfId="30347"/>
    <cellStyle name="Comma [0] 2 3 3 7 4" xfId="30348"/>
    <cellStyle name="Comma [0] 2 3 3 7 4 2" xfId="30349"/>
    <cellStyle name="Comma [0] 2 3 3 7 5" xfId="30350"/>
    <cellStyle name="Comma [0] 2 3 3 7 5 2" xfId="30351"/>
    <cellStyle name="Comma [0] 2 3 3 7 6" xfId="30352"/>
    <cellStyle name="Comma [0] 2 3 3 8" xfId="30353"/>
    <cellStyle name="Comma [0] 2 3 3 8 2" xfId="30354"/>
    <cellStyle name="Comma [0] 2 3 3 8 2 2" xfId="30355"/>
    <cellStyle name="Comma [0] 2 3 3 8 2 2 2" xfId="30356"/>
    <cellStyle name="Comma [0] 2 3 3 8 2 3" xfId="30357"/>
    <cellStyle name="Comma [0] 2 3 3 8 3" xfId="30358"/>
    <cellStyle name="Comma [0] 2 3 3 8 3 2" xfId="30359"/>
    <cellStyle name="Comma [0] 2 3 3 8 4" xfId="30360"/>
    <cellStyle name="Comma [0] 2 3 3 8 4 2" xfId="30361"/>
    <cellStyle name="Comma [0] 2 3 3 8 5" xfId="30362"/>
    <cellStyle name="Comma [0] 2 3 3 8 5 2" xfId="30363"/>
    <cellStyle name="Comma [0] 2 3 3 8 6" xfId="30364"/>
    <cellStyle name="Comma [0] 2 3 3 9" xfId="30365"/>
    <cellStyle name="Comma [0] 2 3 3 9 2" xfId="30366"/>
    <cellStyle name="Comma [0] 2 3 3 9 2 2" xfId="30367"/>
    <cellStyle name="Comma [0] 2 3 3 9 3" xfId="30368"/>
    <cellStyle name="Comma [0] 2 3 4" xfId="30369"/>
    <cellStyle name="Comma [0] 2 3 4 10" xfId="30370"/>
    <cellStyle name="Comma [0] 2 3 4 10 2" xfId="30371"/>
    <cellStyle name="Comma [0] 2 3 4 11" xfId="30372"/>
    <cellStyle name="Comma [0] 2 3 4 11 2" xfId="30373"/>
    <cellStyle name="Comma [0] 2 3 4 12" xfId="30374"/>
    <cellStyle name="Comma [0] 2 3 4 2" xfId="30375"/>
    <cellStyle name="Comma [0] 2 3 4 2 2" xfId="30376"/>
    <cellStyle name="Comma [0] 2 3 4 2 2 2" xfId="30377"/>
    <cellStyle name="Comma [0] 2 3 4 2 2 2 2" xfId="30378"/>
    <cellStyle name="Comma [0] 2 3 4 2 2 2 2 2" xfId="30379"/>
    <cellStyle name="Comma [0] 2 3 4 2 2 2 2 2 2" xfId="30380"/>
    <cellStyle name="Comma [0] 2 3 4 2 2 2 2 3" xfId="30381"/>
    <cellStyle name="Comma [0] 2 3 4 2 2 2 3" xfId="30382"/>
    <cellStyle name="Comma [0] 2 3 4 2 2 2 3 2" xfId="30383"/>
    <cellStyle name="Comma [0] 2 3 4 2 2 2 4" xfId="30384"/>
    <cellStyle name="Comma [0] 2 3 4 2 2 2 4 2" xfId="30385"/>
    <cellStyle name="Comma [0] 2 3 4 2 2 2 5" xfId="30386"/>
    <cellStyle name="Comma [0] 2 3 4 2 2 2 5 2" xfId="30387"/>
    <cellStyle name="Comma [0] 2 3 4 2 2 2 6" xfId="30388"/>
    <cellStyle name="Comma [0] 2 3 4 2 2 3" xfId="30389"/>
    <cellStyle name="Comma [0] 2 3 4 2 2 3 2" xfId="30390"/>
    <cellStyle name="Comma [0] 2 3 4 2 2 3 2 2" xfId="30391"/>
    <cellStyle name="Comma [0] 2 3 4 2 2 3 3" xfId="30392"/>
    <cellStyle name="Comma [0] 2 3 4 2 2 4" xfId="30393"/>
    <cellStyle name="Comma [0] 2 3 4 2 2 4 2" xfId="30394"/>
    <cellStyle name="Comma [0] 2 3 4 2 2 5" xfId="30395"/>
    <cellStyle name="Comma [0] 2 3 4 2 2 5 2" xfId="30396"/>
    <cellStyle name="Comma [0] 2 3 4 2 2 6" xfId="30397"/>
    <cellStyle name="Comma [0] 2 3 4 2 2 6 2" xfId="30398"/>
    <cellStyle name="Comma [0] 2 3 4 2 2 7" xfId="30399"/>
    <cellStyle name="Comma [0] 2 3 4 2 3" xfId="30400"/>
    <cellStyle name="Comma [0] 2 3 4 2 3 2" xfId="30401"/>
    <cellStyle name="Comma [0] 2 3 4 2 3 2 2" xfId="30402"/>
    <cellStyle name="Comma [0] 2 3 4 2 3 2 2 2" xfId="30403"/>
    <cellStyle name="Comma [0] 2 3 4 2 3 2 3" xfId="30404"/>
    <cellStyle name="Comma [0] 2 3 4 2 3 3" xfId="30405"/>
    <cellStyle name="Comma [0] 2 3 4 2 3 3 2" xfId="30406"/>
    <cellStyle name="Comma [0] 2 3 4 2 3 4" xfId="30407"/>
    <cellStyle name="Comma [0] 2 3 4 2 3 4 2" xfId="30408"/>
    <cellStyle name="Comma [0] 2 3 4 2 3 5" xfId="30409"/>
    <cellStyle name="Comma [0] 2 3 4 2 3 5 2" xfId="30410"/>
    <cellStyle name="Comma [0] 2 3 4 2 3 6" xfId="30411"/>
    <cellStyle name="Comma [0] 2 3 4 2 4" xfId="30412"/>
    <cellStyle name="Comma [0] 2 3 4 2 4 2" xfId="30413"/>
    <cellStyle name="Comma [0] 2 3 4 2 4 2 2" xfId="30414"/>
    <cellStyle name="Comma [0] 2 3 4 2 4 3" xfId="30415"/>
    <cellStyle name="Comma [0] 2 3 4 2 5" xfId="30416"/>
    <cellStyle name="Comma [0] 2 3 4 2 5 2" xfId="30417"/>
    <cellStyle name="Comma [0] 2 3 4 2 6" xfId="30418"/>
    <cellStyle name="Comma [0] 2 3 4 2 6 2" xfId="30419"/>
    <cellStyle name="Comma [0] 2 3 4 2 7" xfId="30420"/>
    <cellStyle name="Comma [0] 2 3 4 2 7 2" xfId="30421"/>
    <cellStyle name="Comma [0] 2 3 4 2 8" xfId="30422"/>
    <cellStyle name="Comma [0] 2 3 4 3" xfId="30423"/>
    <cellStyle name="Comma [0] 2 3 4 3 2" xfId="30424"/>
    <cellStyle name="Comma [0] 2 3 4 3 2 2" xfId="30425"/>
    <cellStyle name="Comma [0] 2 3 4 3 2 2 2" xfId="30426"/>
    <cellStyle name="Comma [0] 2 3 4 3 2 2 2 2" xfId="30427"/>
    <cellStyle name="Comma [0] 2 3 4 3 2 2 2 2 2" xfId="30428"/>
    <cellStyle name="Comma [0] 2 3 4 3 2 2 2 3" xfId="30429"/>
    <cellStyle name="Comma [0] 2 3 4 3 2 2 3" xfId="30430"/>
    <cellStyle name="Comma [0] 2 3 4 3 2 2 3 2" xfId="30431"/>
    <cellStyle name="Comma [0] 2 3 4 3 2 2 4" xfId="30432"/>
    <cellStyle name="Comma [0] 2 3 4 3 2 2 4 2" xfId="30433"/>
    <cellStyle name="Comma [0] 2 3 4 3 2 2 5" xfId="30434"/>
    <cellStyle name="Comma [0] 2 3 4 3 2 2 5 2" xfId="30435"/>
    <cellStyle name="Comma [0] 2 3 4 3 2 2 6" xfId="30436"/>
    <cellStyle name="Comma [0] 2 3 4 3 2 3" xfId="30437"/>
    <cellStyle name="Comma [0] 2 3 4 3 2 3 2" xfId="30438"/>
    <cellStyle name="Comma [0] 2 3 4 3 2 3 2 2" xfId="30439"/>
    <cellStyle name="Comma [0] 2 3 4 3 2 3 3" xfId="30440"/>
    <cellStyle name="Comma [0] 2 3 4 3 2 4" xfId="30441"/>
    <cellStyle name="Comma [0] 2 3 4 3 2 4 2" xfId="30442"/>
    <cellStyle name="Comma [0] 2 3 4 3 2 5" xfId="30443"/>
    <cellStyle name="Comma [0] 2 3 4 3 2 5 2" xfId="30444"/>
    <cellStyle name="Comma [0] 2 3 4 3 2 6" xfId="30445"/>
    <cellStyle name="Comma [0] 2 3 4 3 2 6 2" xfId="30446"/>
    <cellStyle name="Comma [0] 2 3 4 3 2 7" xfId="30447"/>
    <cellStyle name="Comma [0] 2 3 4 3 3" xfId="30448"/>
    <cellStyle name="Comma [0] 2 3 4 3 3 2" xfId="30449"/>
    <cellStyle name="Comma [0] 2 3 4 3 3 2 2" xfId="30450"/>
    <cellStyle name="Comma [0] 2 3 4 3 3 2 2 2" xfId="30451"/>
    <cellStyle name="Comma [0] 2 3 4 3 3 2 3" xfId="30452"/>
    <cellStyle name="Comma [0] 2 3 4 3 3 3" xfId="30453"/>
    <cellStyle name="Comma [0] 2 3 4 3 3 3 2" xfId="30454"/>
    <cellStyle name="Comma [0] 2 3 4 3 3 4" xfId="30455"/>
    <cellStyle name="Comma [0] 2 3 4 3 3 4 2" xfId="30456"/>
    <cellStyle name="Comma [0] 2 3 4 3 3 5" xfId="30457"/>
    <cellStyle name="Comma [0] 2 3 4 3 3 5 2" xfId="30458"/>
    <cellStyle name="Comma [0] 2 3 4 3 3 6" xfId="30459"/>
    <cellStyle name="Comma [0] 2 3 4 3 4" xfId="30460"/>
    <cellStyle name="Comma [0] 2 3 4 3 4 2" xfId="30461"/>
    <cellStyle name="Comma [0] 2 3 4 3 4 2 2" xfId="30462"/>
    <cellStyle name="Comma [0] 2 3 4 3 4 3" xfId="30463"/>
    <cellStyle name="Comma [0] 2 3 4 3 5" xfId="30464"/>
    <cellStyle name="Comma [0] 2 3 4 3 5 2" xfId="30465"/>
    <cellStyle name="Comma [0] 2 3 4 3 6" xfId="30466"/>
    <cellStyle name="Comma [0] 2 3 4 3 6 2" xfId="30467"/>
    <cellStyle name="Comma [0] 2 3 4 3 7" xfId="30468"/>
    <cellStyle name="Comma [0] 2 3 4 3 7 2" xfId="30469"/>
    <cellStyle name="Comma [0] 2 3 4 3 8" xfId="30470"/>
    <cellStyle name="Comma [0] 2 3 4 4" xfId="30471"/>
    <cellStyle name="Comma [0] 2 3 4 4 2" xfId="30472"/>
    <cellStyle name="Comma [0] 2 3 4 4 2 2" xfId="30473"/>
    <cellStyle name="Comma [0] 2 3 4 4 2 2 2" xfId="30474"/>
    <cellStyle name="Comma [0] 2 3 4 4 2 2 2 2" xfId="30475"/>
    <cellStyle name="Comma [0] 2 3 4 4 2 2 3" xfId="30476"/>
    <cellStyle name="Comma [0] 2 3 4 4 2 3" xfId="30477"/>
    <cellStyle name="Comma [0] 2 3 4 4 2 3 2" xfId="30478"/>
    <cellStyle name="Comma [0] 2 3 4 4 2 4" xfId="30479"/>
    <cellStyle name="Comma [0] 2 3 4 4 2 4 2" xfId="30480"/>
    <cellStyle name="Comma [0] 2 3 4 4 2 5" xfId="30481"/>
    <cellStyle name="Comma [0] 2 3 4 4 2 5 2" xfId="30482"/>
    <cellStyle name="Comma [0] 2 3 4 4 2 6" xfId="30483"/>
    <cellStyle name="Comma [0] 2 3 4 4 3" xfId="30484"/>
    <cellStyle name="Comma [0] 2 3 4 4 3 2" xfId="30485"/>
    <cellStyle name="Comma [0] 2 3 4 4 3 2 2" xfId="30486"/>
    <cellStyle name="Comma [0] 2 3 4 4 3 3" xfId="30487"/>
    <cellStyle name="Comma [0] 2 3 4 4 4" xfId="30488"/>
    <cellStyle name="Comma [0] 2 3 4 4 4 2" xfId="30489"/>
    <cellStyle name="Comma [0] 2 3 4 4 5" xfId="30490"/>
    <cellStyle name="Comma [0] 2 3 4 4 5 2" xfId="30491"/>
    <cellStyle name="Comma [0] 2 3 4 4 6" xfId="30492"/>
    <cellStyle name="Comma [0] 2 3 4 4 6 2" xfId="30493"/>
    <cellStyle name="Comma [0] 2 3 4 4 7" xfId="30494"/>
    <cellStyle name="Comma [0] 2 3 4 5" xfId="30495"/>
    <cellStyle name="Comma [0] 2 3 4 5 2" xfId="30496"/>
    <cellStyle name="Comma [0] 2 3 4 5 2 2" xfId="30497"/>
    <cellStyle name="Comma [0] 2 3 4 5 2 2 2" xfId="30498"/>
    <cellStyle name="Comma [0] 2 3 4 5 2 2 2 2" xfId="30499"/>
    <cellStyle name="Comma [0] 2 3 4 5 2 2 3" xfId="30500"/>
    <cellStyle name="Comma [0] 2 3 4 5 2 3" xfId="30501"/>
    <cellStyle name="Comma [0] 2 3 4 5 2 3 2" xfId="30502"/>
    <cellStyle name="Comma [0] 2 3 4 5 2 4" xfId="30503"/>
    <cellStyle name="Comma [0] 2 3 4 5 2 4 2" xfId="30504"/>
    <cellStyle name="Comma [0] 2 3 4 5 2 5" xfId="30505"/>
    <cellStyle name="Comma [0] 2 3 4 5 2 5 2" xfId="30506"/>
    <cellStyle name="Comma [0] 2 3 4 5 2 6" xfId="30507"/>
    <cellStyle name="Comma [0] 2 3 4 5 3" xfId="30508"/>
    <cellStyle name="Comma [0] 2 3 4 5 3 2" xfId="30509"/>
    <cellStyle name="Comma [0] 2 3 4 5 3 2 2" xfId="30510"/>
    <cellStyle name="Comma [0] 2 3 4 5 3 3" xfId="30511"/>
    <cellStyle name="Comma [0] 2 3 4 5 4" xfId="30512"/>
    <cellStyle name="Comma [0] 2 3 4 5 4 2" xfId="30513"/>
    <cellStyle name="Comma [0] 2 3 4 5 5" xfId="30514"/>
    <cellStyle name="Comma [0] 2 3 4 5 5 2" xfId="30515"/>
    <cellStyle name="Comma [0] 2 3 4 5 6" xfId="30516"/>
    <cellStyle name="Comma [0] 2 3 4 5 6 2" xfId="30517"/>
    <cellStyle name="Comma [0] 2 3 4 5 7" xfId="30518"/>
    <cellStyle name="Comma [0] 2 3 4 6" xfId="30519"/>
    <cellStyle name="Comma [0] 2 3 4 6 2" xfId="30520"/>
    <cellStyle name="Comma [0] 2 3 4 6 2 2" xfId="30521"/>
    <cellStyle name="Comma [0] 2 3 4 6 2 2 2" xfId="30522"/>
    <cellStyle name="Comma [0] 2 3 4 6 2 3" xfId="30523"/>
    <cellStyle name="Comma [0] 2 3 4 6 3" xfId="30524"/>
    <cellStyle name="Comma [0] 2 3 4 6 3 2" xfId="30525"/>
    <cellStyle name="Comma [0] 2 3 4 6 4" xfId="30526"/>
    <cellStyle name="Comma [0] 2 3 4 6 4 2" xfId="30527"/>
    <cellStyle name="Comma [0] 2 3 4 6 5" xfId="30528"/>
    <cellStyle name="Comma [0] 2 3 4 6 5 2" xfId="30529"/>
    <cellStyle name="Comma [0] 2 3 4 6 6" xfId="30530"/>
    <cellStyle name="Comma [0] 2 3 4 7" xfId="30531"/>
    <cellStyle name="Comma [0] 2 3 4 7 2" xfId="30532"/>
    <cellStyle name="Comma [0] 2 3 4 7 2 2" xfId="30533"/>
    <cellStyle name="Comma [0] 2 3 4 7 2 2 2" xfId="30534"/>
    <cellStyle name="Comma [0] 2 3 4 7 2 3" xfId="30535"/>
    <cellStyle name="Comma [0] 2 3 4 7 3" xfId="30536"/>
    <cellStyle name="Comma [0] 2 3 4 7 3 2" xfId="30537"/>
    <cellStyle name="Comma [0] 2 3 4 7 4" xfId="30538"/>
    <cellStyle name="Comma [0] 2 3 4 7 4 2" xfId="30539"/>
    <cellStyle name="Comma [0] 2 3 4 7 5" xfId="30540"/>
    <cellStyle name="Comma [0] 2 3 4 7 5 2" xfId="30541"/>
    <cellStyle name="Comma [0] 2 3 4 7 6" xfId="30542"/>
    <cellStyle name="Comma [0] 2 3 4 8" xfId="30543"/>
    <cellStyle name="Comma [0] 2 3 4 8 2" xfId="30544"/>
    <cellStyle name="Comma [0] 2 3 4 8 2 2" xfId="30545"/>
    <cellStyle name="Comma [0] 2 3 4 8 3" xfId="30546"/>
    <cellStyle name="Comma [0] 2 3 4 9" xfId="30547"/>
    <cellStyle name="Comma [0] 2 3 4 9 2" xfId="30548"/>
    <cellStyle name="Comma [0] 2 3 5" xfId="30549"/>
    <cellStyle name="Comma [0] 2 3 5 10" xfId="30550"/>
    <cellStyle name="Comma [0] 2 3 5 10 2" xfId="30551"/>
    <cellStyle name="Comma [0] 2 3 5 11" xfId="30552"/>
    <cellStyle name="Comma [0] 2 3 5 11 2" xfId="30553"/>
    <cellStyle name="Comma [0] 2 3 5 12" xfId="30554"/>
    <cellStyle name="Comma [0] 2 3 5 2" xfId="30555"/>
    <cellStyle name="Comma [0] 2 3 5 2 2" xfId="30556"/>
    <cellStyle name="Comma [0] 2 3 5 2 2 2" xfId="30557"/>
    <cellStyle name="Comma [0] 2 3 5 2 2 2 2" xfId="30558"/>
    <cellStyle name="Comma [0] 2 3 5 2 2 2 2 2" xfId="30559"/>
    <cellStyle name="Comma [0] 2 3 5 2 2 2 2 2 2" xfId="30560"/>
    <cellStyle name="Comma [0] 2 3 5 2 2 2 2 3" xfId="30561"/>
    <cellStyle name="Comma [0] 2 3 5 2 2 2 3" xfId="30562"/>
    <cellStyle name="Comma [0] 2 3 5 2 2 2 3 2" xfId="30563"/>
    <cellStyle name="Comma [0] 2 3 5 2 2 2 4" xfId="30564"/>
    <cellStyle name="Comma [0] 2 3 5 2 2 2 4 2" xfId="30565"/>
    <cellStyle name="Comma [0] 2 3 5 2 2 2 5" xfId="30566"/>
    <cellStyle name="Comma [0] 2 3 5 2 2 2 5 2" xfId="30567"/>
    <cellStyle name="Comma [0] 2 3 5 2 2 2 6" xfId="30568"/>
    <cellStyle name="Comma [0] 2 3 5 2 2 3" xfId="30569"/>
    <cellStyle name="Comma [0] 2 3 5 2 2 3 2" xfId="30570"/>
    <cellStyle name="Comma [0] 2 3 5 2 2 3 2 2" xfId="30571"/>
    <cellStyle name="Comma [0] 2 3 5 2 2 3 3" xfId="30572"/>
    <cellStyle name="Comma [0] 2 3 5 2 2 4" xfId="30573"/>
    <cellStyle name="Comma [0] 2 3 5 2 2 4 2" xfId="30574"/>
    <cellStyle name="Comma [0] 2 3 5 2 2 5" xfId="30575"/>
    <cellStyle name="Comma [0] 2 3 5 2 2 5 2" xfId="30576"/>
    <cellStyle name="Comma [0] 2 3 5 2 2 6" xfId="30577"/>
    <cellStyle name="Comma [0] 2 3 5 2 2 6 2" xfId="30578"/>
    <cellStyle name="Comma [0] 2 3 5 2 2 7" xfId="30579"/>
    <cellStyle name="Comma [0] 2 3 5 2 3" xfId="30580"/>
    <cellStyle name="Comma [0] 2 3 5 2 3 2" xfId="30581"/>
    <cellStyle name="Comma [0] 2 3 5 2 3 2 2" xfId="30582"/>
    <cellStyle name="Comma [0] 2 3 5 2 3 2 2 2" xfId="30583"/>
    <cellStyle name="Comma [0] 2 3 5 2 3 2 3" xfId="30584"/>
    <cellStyle name="Comma [0] 2 3 5 2 3 3" xfId="30585"/>
    <cellStyle name="Comma [0] 2 3 5 2 3 3 2" xfId="30586"/>
    <cellStyle name="Comma [0] 2 3 5 2 3 4" xfId="30587"/>
    <cellStyle name="Comma [0] 2 3 5 2 3 4 2" xfId="30588"/>
    <cellStyle name="Comma [0] 2 3 5 2 3 5" xfId="30589"/>
    <cellStyle name="Comma [0] 2 3 5 2 3 5 2" xfId="30590"/>
    <cellStyle name="Comma [0] 2 3 5 2 3 6" xfId="30591"/>
    <cellStyle name="Comma [0] 2 3 5 2 4" xfId="30592"/>
    <cellStyle name="Comma [0] 2 3 5 2 4 2" xfId="30593"/>
    <cellStyle name="Comma [0] 2 3 5 2 4 2 2" xfId="30594"/>
    <cellStyle name="Comma [0] 2 3 5 2 4 3" xfId="30595"/>
    <cellStyle name="Comma [0] 2 3 5 2 5" xfId="30596"/>
    <cellStyle name="Comma [0] 2 3 5 2 5 2" xfId="30597"/>
    <cellStyle name="Comma [0] 2 3 5 2 6" xfId="30598"/>
    <cellStyle name="Comma [0] 2 3 5 2 6 2" xfId="30599"/>
    <cellStyle name="Comma [0] 2 3 5 2 7" xfId="30600"/>
    <cellStyle name="Comma [0] 2 3 5 2 7 2" xfId="30601"/>
    <cellStyle name="Comma [0] 2 3 5 2 8" xfId="30602"/>
    <cellStyle name="Comma [0] 2 3 5 3" xfId="30603"/>
    <cellStyle name="Comma [0] 2 3 5 3 2" xfId="30604"/>
    <cellStyle name="Comma [0] 2 3 5 3 2 2" xfId="30605"/>
    <cellStyle name="Comma [0] 2 3 5 3 2 2 2" xfId="30606"/>
    <cellStyle name="Comma [0] 2 3 5 3 2 2 2 2" xfId="30607"/>
    <cellStyle name="Comma [0] 2 3 5 3 2 2 2 2 2" xfId="30608"/>
    <cellStyle name="Comma [0] 2 3 5 3 2 2 2 3" xfId="30609"/>
    <cellStyle name="Comma [0] 2 3 5 3 2 2 3" xfId="30610"/>
    <cellStyle name="Comma [0] 2 3 5 3 2 2 3 2" xfId="30611"/>
    <cellStyle name="Comma [0] 2 3 5 3 2 2 4" xfId="30612"/>
    <cellStyle name="Comma [0] 2 3 5 3 2 2 4 2" xfId="30613"/>
    <cellStyle name="Comma [0] 2 3 5 3 2 2 5" xfId="30614"/>
    <cellStyle name="Comma [0] 2 3 5 3 2 2 5 2" xfId="30615"/>
    <cellStyle name="Comma [0] 2 3 5 3 2 2 6" xfId="30616"/>
    <cellStyle name="Comma [0] 2 3 5 3 2 3" xfId="30617"/>
    <cellStyle name="Comma [0] 2 3 5 3 2 3 2" xfId="30618"/>
    <cellStyle name="Comma [0] 2 3 5 3 2 3 2 2" xfId="30619"/>
    <cellStyle name="Comma [0] 2 3 5 3 2 3 3" xfId="30620"/>
    <cellStyle name="Comma [0] 2 3 5 3 2 4" xfId="30621"/>
    <cellStyle name="Comma [0] 2 3 5 3 2 4 2" xfId="30622"/>
    <cellStyle name="Comma [0] 2 3 5 3 2 5" xfId="30623"/>
    <cellStyle name="Comma [0] 2 3 5 3 2 5 2" xfId="30624"/>
    <cellStyle name="Comma [0] 2 3 5 3 2 6" xfId="30625"/>
    <cellStyle name="Comma [0] 2 3 5 3 2 6 2" xfId="30626"/>
    <cellStyle name="Comma [0] 2 3 5 3 2 7" xfId="30627"/>
    <cellStyle name="Comma [0] 2 3 5 3 3" xfId="30628"/>
    <cellStyle name="Comma [0] 2 3 5 3 3 2" xfId="30629"/>
    <cellStyle name="Comma [0] 2 3 5 3 3 2 2" xfId="30630"/>
    <cellStyle name="Comma [0] 2 3 5 3 3 2 2 2" xfId="30631"/>
    <cellStyle name="Comma [0] 2 3 5 3 3 2 3" xfId="30632"/>
    <cellStyle name="Comma [0] 2 3 5 3 3 3" xfId="30633"/>
    <cellStyle name="Comma [0] 2 3 5 3 3 3 2" xfId="30634"/>
    <cellStyle name="Comma [0] 2 3 5 3 3 4" xfId="30635"/>
    <cellStyle name="Comma [0] 2 3 5 3 3 4 2" xfId="30636"/>
    <cellStyle name="Comma [0] 2 3 5 3 3 5" xfId="30637"/>
    <cellStyle name="Comma [0] 2 3 5 3 3 5 2" xfId="30638"/>
    <cellStyle name="Comma [0] 2 3 5 3 3 6" xfId="30639"/>
    <cellStyle name="Comma [0] 2 3 5 3 4" xfId="30640"/>
    <cellStyle name="Comma [0] 2 3 5 3 4 2" xfId="30641"/>
    <cellStyle name="Comma [0] 2 3 5 3 4 2 2" xfId="30642"/>
    <cellStyle name="Comma [0] 2 3 5 3 4 3" xfId="30643"/>
    <cellStyle name="Comma [0] 2 3 5 3 5" xfId="30644"/>
    <cellStyle name="Comma [0] 2 3 5 3 5 2" xfId="30645"/>
    <cellStyle name="Comma [0] 2 3 5 3 6" xfId="30646"/>
    <cellStyle name="Comma [0] 2 3 5 3 6 2" xfId="30647"/>
    <cellStyle name="Comma [0] 2 3 5 3 7" xfId="30648"/>
    <cellStyle name="Comma [0] 2 3 5 3 7 2" xfId="30649"/>
    <cellStyle name="Comma [0] 2 3 5 3 8" xfId="30650"/>
    <cellStyle name="Comma [0] 2 3 5 4" xfId="30651"/>
    <cellStyle name="Comma [0] 2 3 5 4 2" xfId="30652"/>
    <cellStyle name="Comma [0] 2 3 5 4 2 2" xfId="30653"/>
    <cellStyle name="Comma [0] 2 3 5 4 2 2 2" xfId="30654"/>
    <cellStyle name="Comma [0] 2 3 5 4 2 2 2 2" xfId="30655"/>
    <cellStyle name="Comma [0] 2 3 5 4 2 2 3" xfId="30656"/>
    <cellStyle name="Comma [0] 2 3 5 4 2 3" xfId="30657"/>
    <cellStyle name="Comma [0] 2 3 5 4 2 3 2" xfId="30658"/>
    <cellStyle name="Comma [0] 2 3 5 4 2 4" xfId="30659"/>
    <cellStyle name="Comma [0] 2 3 5 4 2 4 2" xfId="30660"/>
    <cellStyle name="Comma [0] 2 3 5 4 2 5" xfId="30661"/>
    <cellStyle name="Comma [0] 2 3 5 4 2 5 2" xfId="30662"/>
    <cellStyle name="Comma [0] 2 3 5 4 2 6" xfId="30663"/>
    <cellStyle name="Comma [0] 2 3 5 4 3" xfId="30664"/>
    <cellStyle name="Comma [0] 2 3 5 4 3 2" xfId="30665"/>
    <cellStyle name="Comma [0] 2 3 5 4 3 2 2" xfId="30666"/>
    <cellStyle name="Comma [0] 2 3 5 4 3 3" xfId="30667"/>
    <cellStyle name="Comma [0] 2 3 5 4 4" xfId="30668"/>
    <cellStyle name="Comma [0] 2 3 5 4 4 2" xfId="30669"/>
    <cellStyle name="Comma [0] 2 3 5 4 5" xfId="30670"/>
    <cellStyle name="Comma [0] 2 3 5 4 5 2" xfId="30671"/>
    <cellStyle name="Comma [0] 2 3 5 4 6" xfId="30672"/>
    <cellStyle name="Comma [0] 2 3 5 4 6 2" xfId="30673"/>
    <cellStyle name="Comma [0] 2 3 5 4 7" xfId="30674"/>
    <cellStyle name="Comma [0] 2 3 5 5" xfId="30675"/>
    <cellStyle name="Comma [0] 2 3 5 5 2" xfId="30676"/>
    <cellStyle name="Comma [0] 2 3 5 5 2 2" xfId="30677"/>
    <cellStyle name="Comma [0] 2 3 5 5 2 2 2" xfId="30678"/>
    <cellStyle name="Comma [0] 2 3 5 5 2 2 2 2" xfId="30679"/>
    <cellStyle name="Comma [0] 2 3 5 5 2 2 3" xfId="30680"/>
    <cellStyle name="Comma [0] 2 3 5 5 2 3" xfId="30681"/>
    <cellStyle name="Comma [0] 2 3 5 5 2 3 2" xfId="30682"/>
    <cellStyle name="Comma [0] 2 3 5 5 2 4" xfId="30683"/>
    <cellStyle name="Comma [0] 2 3 5 5 2 4 2" xfId="30684"/>
    <cellStyle name="Comma [0] 2 3 5 5 2 5" xfId="30685"/>
    <cellStyle name="Comma [0] 2 3 5 5 2 5 2" xfId="30686"/>
    <cellStyle name="Comma [0] 2 3 5 5 2 6" xfId="30687"/>
    <cellStyle name="Comma [0] 2 3 5 5 3" xfId="30688"/>
    <cellStyle name="Comma [0] 2 3 5 5 3 2" xfId="30689"/>
    <cellStyle name="Comma [0] 2 3 5 5 3 2 2" xfId="30690"/>
    <cellStyle name="Comma [0] 2 3 5 5 3 3" xfId="30691"/>
    <cellStyle name="Comma [0] 2 3 5 5 4" xfId="30692"/>
    <cellStyle name="Comma [0] 2 3 5 5 4 2" xfId="30693"/>
    <cellStyle name="Comma [0] 2 3 5 5 5" xfId="30694"/>
    <cellStyle name="Comma [0] 2 3 5 5 5 2" xfId="30695"/>
    <cellStyle name="Comma [0] 2 3 5 5 6" xfId="30696"/>
    <cellStyle name="Comma [0] 2 3 5 5 6 2" xfId="30697"/>
    <cellStyle name="Comma [0] 2 3 5 5 7" xfId="30698"/>
    <cellStyle name="Comma [0] 2 3 5 6" xfId="30699"/>
    <cellStyle name="Comma [0] 2 3 5 6 2" xfId="30700"/>
    <cellStyle name="Comma [0] 2 3 5 6 2 2" xfId="30701"/>
    <cellStyle name="Comma [0] 2 3 5 6 2 2 2" xfId="30702"/>
    <cellStyle name="Comma [0] 2 3 5 6 2 3" xfId="30703"/>
    <cellStyle name="Comma [0] 2 3 5 6 3" xfId="30704"/>
    <cellStyle name="Comma [0] 2 3 5 6 3 2" xfId="30705"/>
    <cellStyle name="Comma [0] 2 3 5 6 4" xfId="30706"/>
    <cellStyle name="Comma [0] 2 3 5 6 4 2" xfId="30707"/>
    <cellStyle name="Comma [0] 2 3 5 6 5" xfId="30708"/>
    <cellStyle name="Comma [0] 2 3 5 6 5 2" xfId="30709"/>
    <cellStyle name="Comma [0] 2 3 5 6 6" xfId="30710"/>
    <cellStyle name="Comma [0] 2 3 5 7" xfId="30711"/>
    <cellStyle name="Comma [0] 2 3 5 7 2" xfId="30712"/>
    <cellStyle name="Comma [0] 2 3 5 7 2 2" xfId="30713"/>
    <cellStyle name="Comma [0] 2 3 5 7 2 2 2" xfId="30714"/>
    <cellStyle name="Comma [0] 2 3 5 7 2 3" xfId="30715"/>
    <cellStyle name="Comma [0] 2 3 5 7 3" xfId="30716"/>
    <cellStyle name="Comma [0] 2 3 5 7 3 2" xfId="30717"/>
    <cellStyle name="Comma [0] 2 3 5 7 4" xfId="30718"/>
    <cellStyle name="Comma [0] 2 3 5 7 4 2" xfId="30719"/>
    <cellStyle name="Comma [0] 2 3 5 7 5" xfId="30720"/>
    <cellStyle name="Comma [0] 2 3 5 7 5 2" xfId="30721"/>
    <cellStyle name="Comma [0] 2 3 5 7 6" xfId="30722"/>
    <cellStyle name="Comma [0] 2 3 5 8" xfId="30723"/>
    <cellStyle name="Comma [0] 2 3 5 8 2" xfId="30724"/>
    <cellStyle name="Comma [0] 2 3 5 8 2 2" xfId="30725"/>
    <cellStyle name="Comma [0] 2 3 5 8 3" xfId="30726"/>
    <cellStyle name="Comma [0] 2 3 5 9" xfId="30727"/>
    <cellStyle name="Comma [0] 2 3 5 9 2" xfId="30728"/>
    <cellStyle name="Comma [0] 2 3 6" xfId="30729"/>
    <cellStyle name="Comma [0] 2 3 6 2" xfId="30730"/>
    <cellStyle name="Comma [0] 2 3 6 2 2" xfId="30731"/>
    <cellStyle name="Comma [0] 2 3 6 3" xfId="30732"/>
    <cellStyle name="Comma [0] 2 3 7" xfId="30733"/>
    <cellStyle name="Comma [0] 2 3 7 2" xfId="30734"/>
    <cellStyle name="Comma [0] 2 3 7 2 2" xfId="30735"/>
    <cellStyle name="Comma [0] 2 3 7 2 2 2" xfId="30736"/>
    <cellStyle name="Comma [0] 2 3 7 2 2 2 2" xfId="30737"/>
    <cellStyle name="Comma [0] 2 3 7 2 2 2 2 2" xfId="30738"/>
    <cellStyle name="Comma [0] 2 3 7 2 2 2 3" xfId="30739"/>
    <cellStyle name="Comma [0] 2 3 7 2 2 3" xfId="30740"/>
    <cellStyle name="Comma [0] 2 3 7 2 2 3 2" xfId="30741"/>
    <cellStyle name="Comma [0] 2 3 7 2 2 4" xfId="30742"/>
    <cellStyle name="Comma [0] 2 3 7 2 2 4 2" xfId="30743"/>
    <cellStyle name="Comma [0] 2 3 7 2 2 5" xfId="30744"/>
    <cellStyle name="Comma [0] 2 3 7 2 2 5 2" xfId="30745"/>
    <cellStyle name="Comma [0] 2 3 7 2 2 6" xfId="30746"/>
    <cellStyle name="Comma [0] 2 3 7 2 3" xfId="30747"/>
    <cellStyle name="Comma [0] 2 3 7 2 3 2" xfId="30748"/>
    <cellStyle name="Comma [0] 2 3 7 2 3 2 2" xfId="30749"/>
    <cellStyle name="Comma [0] 2 3 7 2 3 3" xfId="30750"/>
    <cellStyle name="Comma [0] 2 3 7 2 4" xfId="30751"/>
    <cellStyle name="Comma [0] 2 3 7 2 4 2" xfId="30752"/>
    <cellStyle name="Comma [0] 2 3 7 2 5" xfId="30753"/>
    <cellStyle name="Comma [0] 2 3 7 2 5 2" xfId="30754"/>
    <cellStyle name="Comma [0] 2 3 7 2 6" xfId="30755"/>
    <cellStyle name="Comma [0] 2 3 7 2 6 2" xfId="30756"/>
    <cellStyle name="Comma [0] 2 3 7 2 7" xfId="30757"/>
    <cellStyle name="Comma [0] 2 3 7 3" xfId="30758"/>
    <cellStyle name="Comma [0] 2 3 7 3 2" xfId="30759"/>
    <cellStyle name="Comma [0] 2 3 7 3 2 2" xfId="30760"/>
    <cellStyle name="Comma [0] 2 3 7 3 2 2 2" xfId="30761"/>
    <cellStyle name="Comma [0] 2 3 7 3 2 3" xfId="30762"/>
    <cellStyle name="Comma [0] 2 3 7 3 3" xfId="30763"/>
    <cellStyle name="Comma [0] 2 3 7 3 3 2" xfId="30764"/>
    <cellStyle name="Comma [0] 2 3 7 3 4" xfId="30765"/>
    <cellStyle name="Comma [0] 2 3 7 3 4 2" xfId="30766"/>
    <cellStyle name="Comma [0] 2 3 7 3 5" xfId="30767"/>
    <cellStyle name="Comma [0] 2 3 7 3 5 2" xfId="30768"/>
    <cellStyle name="Comma [0] 2 3 7 3 6" xfId="30769"/>
    <cellStyle name="Comma [0] 2 3 7 4" xfId="30770"/>
    <cellStyle name="Comma [0] 2 3 7 4 2" xfId="30771"/>
    <cellStyle name="Comma [0] 2 3 7 4 2 2" xfId="30772"/>
    <cellStyle name="Comma [0] 2 3 7 4 3" xfId="30773"/>
    <cellStyle name="Comma [0] 2 3 7 5" xfId="30774"/>
    <cellStyle name="Comma [0] 2 3 7 5 2" xfId="30775"/>
    <cellStyle name="Comma [0] 2 3 7 6" xfId="30776"/>
    <cellStyle name="Comma [0] 2 3 7 6 2" xfId="30777"/>
    <cellStyle name="Comma [0] 2 3 7 7" xfId="30778"/>
    <cellStyle name="Comma [0] 2 3 7 7 2" xfId="30779"/>
    <cellStyle name="Comma [0] 2 3 7 8" xfId="30780"/>
    <cellStyle name="Comma [0] 2 3 8" xfId="30781"/>
    <cellStyle name="Comma [0] 2 3 8 2" xfId="30782"/>
    <cellStyle name="Comma [0] 2 3 8 2 2" xfId="30783"/>
    <cellStyle name="Comma [0] 2 3 8 2 2 2" xfId="30784"/>
    <cellStyle name="Comma [0] 2 3 8 2 2 2 2" xfId="30785"/>
    <cellStyle name="Comma [0] 2 3 8 2 2 2 2 2" xfId="30786"/>
    <cellStyle name="Comma [0] 2 3 8 2 2 2 3" xfId="30787"/>
    <cellStyle name="Comma [0] 2 3 8 2 2 3" xfId="30788"/>
    <cellStyle name="Comma [0] 2 3 8 2 2 3 2" xfId="30789"/>
    <cellStyle name="Comma [0] 2 3 8 2 2 4" xfId="30790"/>
    <cellStyle name="Comma [0] 2 3 8 2 2 4 2" xfId="30791"/>
    <cellStyle name="Comma [0] 2 3 8 2 2 5" xfId="30792"/>
    <cellStyle name="Comma [0] 2 3 8 2 2 5 2" xfId="30793"/>
    <cellStyle name="Comma [0] 2 3 8 2 2 6" xfId="30794"/>
    <cellStyle name="Comma [0] 2 3 8 2 3" xfId="30795"/>
    <cellStyle name="Comma [0] 2 3 8 2 3 2" xfId="30796"/>
    <cellStyle name="Comma [0] 2 3 8 2 3 2 2" xfId="30797"/>
    <cellStyle name="Comma [0] 2 3 8 2 3 3" xfId="30798"/>
    <cellStyle name="Comma [0] 2 3 8 2 4" xfId="30799"/>
    <cellStyle name="Comma [0] 2 3 8 2 4 2" xfId="30800"/>
    <cellStyle name="Comma [0] 2 3 8 2 5" xfId="30801"/>
    <cellStyle name="Comma [0] 2 3 8 2 5 2" xfId="30802"/>
    <cellStyle name="Comma [0] 2 3 8 2 6" xfId="30803"/>
    <cellStyle name="Comma [0] 2 3 8 2 6 2" xfId="30804"/>
    <cellStyle name="Comma [0] 2 3 8 2 7" xfId="30805"/>
    <cellStyle name="Comma [0] 2 3 8 3" xfId="30806"/>
    <cellStyle name="Comma [0] 2 3 8 3 2" xfId="30807"/>
    <cellStyle name="Comma [0] 2 3 8 3 2 2" xfId="30808"/>
    <cellStyle name="Comma [0] 2 3 8 3 2 2 2" xfId="30809"/>
    <cellStyle name="Comma [0] 2 3 8 3 2 3" xfId="30810"/>
    <cellStyle name="Comma [0] 2 3 8 3 3" xfId="30811"/>
    <cellStyle name="Comma [0] 2 3 8 3 3 2" xfId="30812"/>
    <cellStyle name="Comma [0] 2 3 8 3 4" xfId="30813"/>
    <cellStyle name="Comma [0] 2 3 8 3 4 2" xfId="30814"/>
    <cellStyle name="Comma [0] 2 3 8 3 5" xfId="30815"/>
    <cellStyle name="Comma [0] 2 3 8 3 5 2" xfId="30816"/>
    <cellStyle name="Comma [0] 2 3 8 3 6" xfId="30817"/>
    <cellStyle name="Comma [0] 2 3 8 4" xfId="30818"/>
    <cellStyle name="Comma [0] 2 3 8 4 2" xfId="30819"/>
    <cellStyle name="Comma [0] 2 3 8 4 2 2" xfId="30820"/>
    <cellStyle name="Comma [0] 2 3 8 4 3" xfId="30821"/>
    <cellStyle name="Comma [0] 2 3 8 5" xfId="30822"/>
    <cellStyle name="Comma [0] 2 3 8 5 2" xfId="30823"/>
    <cellStyle name="Comma [0] 2 3 8 6" xfId="30824"/>
    <cellStyle name="Comma [0] 2 3 8 6 2" xfId="30825"/>
    <cellStyle name="Comma [0] 2 3 8 7" xfId="30826"/>
    <cellStyle name="Comma [0] 2 3 8 7 2" xfId="30827"/>
    <cellStyle name="Comma [0] 2 3 8 8" xfId="30828"/>
    <cellStyle name="Comma [0] 2 3 9" xfId="30829"/>
    <cellStyle name="Comma [0] 2 3 9 2" xfId="30830"/>
    <cellStyle name="Comma [0] 2 3 9 2 2" xfId="30831"/>
    <cellStyle name="Comma [0] 2 3 9 2 2 2" xfId="30832"/>
    <cellStyle name="Comma [0] 2 3 9 2 2 2 2" xfId="30833"/>
    <cellStyle name="Comma [0] 2 3 9 2 2 3" xfId="30834"/>
    <cellStyle name="Comma [0] 2 3 9 2 3" xfId="30835"/>
    <cellStyle name="Comma [0] 2 3 9 2 3 2" xfId="30836"/>
    <cellStyle name="Comma [0] 2 3 9 2 4" xfId="30837"/>
    <cellStyle name="Comma [0] 2 3 9 2 4 2" xfId="30838"/>
    <cellStyle name="Comma [0] 2 3 9 2 5" xfId="30839"/>
    <cellStyle name="Comma [0] 2 3 9 2 5 2" xfId="30840"/>
    <cellStyle name="Comma [0] 2 3 9 2 6" xfId="30841"/>
    <cellStyle name="Comma [0] 2 3 9 3" xfId="30842"/>
    <cellStyle name="Comma [0] 2 3 9 3 2" xfId="30843"/>
    <cellStyle name="Comma [0] 2 3 9 3 2 2" xfId="30844"/>
    <cellStyle name="Comma [0] 2 3 9 3 3" xfId="30845"/>
    <cellStyle name="Comma [0] 2 3 9 4" xfId="30846"/>
    <cellStyle name="Comma [0] 2 3 9 4 2" xfId="30847"/>
    <cellStyle name="Comma [0] 2 3 9 5" xfId="30848"/>
    <cellStyle name="Comma [0] 2 3 9 5 2" xfId="30849"/>
    <cellStyle name="Comma [0] 2 3 9 6" xfId="30850"/>
    <cellStyle name="Comma [0] 2 3 9 6 2" xfId="30851"/>
    <cellStyle name="Comma [0] 2 3 9 7" xfId="30852"/>
    <cellStyle name="Comma [0] 2 4" xfId="30853"/>
    <cellStyle name="Comma [0] 2 4 10" xfId="30854"/>
    <cellStyle name="Comma [0] 2 4 10 2" xfId="30855"/>
    <cellStyle name="Comma [0] 2 4 11" xfId="30856"/>
    <cellStyle name="Comma [0] 2 4 11 2" xfId="30857"/>
    <cellStyle name="Comma [0] 2 4 12" xfId="30858"/>
    <cellStyle name="Comma [0] 2 4 12 2" xfId="30859"/>
    <cellStyle name="Comma [0] 2 4 13" xfId="30860"/>
    <cellStyle name="Comma [0] 2 4 14" xfId="57502"/>
    <cellStyle name="Comma [0] 2 4 2" xfId="30861"/>
    <cellStyle name="Comma [0] 2 4 2 2" xfId="30862"/>
    <cellStyle name="Comma [0] 2 4 2 2 2" xfId="30863"/>
    <cellStyle name="Comma [0] 2 4 2 3" xfId="30864"/>
    <cellStyle name="Comma [0] 2 4 2 4" xfId="58409"/>
    <cellStyle name="Comma [0] 2 4 3" xfId="30865"/>
    <cellStyle name="Comma [0] 2 4 3 2" xfId="30866"/>
    <cellStyle name="Comma [0] 2 4 3 2 2" xfId="30867"/>
    <cellStyle name="Comma [0] 2 4 3 2 2 2" xfId="30868"/>
    <cellStyle name="Comma [0] 2 4 3 2 2 2 2" xfId="30869"/>
    <cellStyle name="Comma [0] 2 4 3 2 2 2 2 2" xfId="30870"/>
    <cellStyle name="Comma [0] 2 4 3 2 2 2 3" xfId="30871"/>
    <cellStyle name="Comma [0] 2 4 3 2 2 3" xfId="30872"/>
    <cellStyle name="Comma [0] 2 4 3 2 2 3 2" xfId="30873"/>
    <cellStyle name="Comma [0] 2 4 3 2 2 4" xfId="30874"/>
    <cellStyle name="Comma [0] 2 4 3 2 2 4 2" xfId="30875"/>
    <cellStyle name="Comma [0] 2 4 3 2 2 5" xfId="30876"/>
    <cellStyle name="Comma [0] 2 4 3 2 2 5 2" xfId="30877"/>
    <cellStyle name="Comma [0] 2 4 3 2 2 6" xfId="30878"/>
    <cellStyle name="Comma [0] 2 4 3 2 3" xfId="30879"/>
    <cellStyle name="Comma [0] 2 4 3 2 3 2" xfId="30880"/>
    <cellStyle name="Comma [0] 2 4 3 2 3 2 2" xfId="30881"/>
    <cellStyle name="Comma [0] 2 4 3 2 3 3" xfId="30882"/>
    <cellStyle name="Comma [0] 2 4 3 2 4" xfId="30883"/>
    <cellStyle name="Comma [0] 2 4 3 2 4 2" xfId="30884"/>
    <cellStyle name="Comma [0] 2 4 3 2 5" xfId="30885"/>
    <cellStyle name="Comma [0] 2 4 3 2 5 2" xfId="30886"/>
    <cellStyle name="Comma [0] 2 4 3 2 6" xfId="30887"/>
    <cellStyle name="Comma [0] 2 4 3 2 6 2" xfId="30888"/>
    <cellStyle name="Comma [0] 2 4 3 2 7" xfId="30889"/>
    <cellStyle name="Comma [0] 2 4 3 3" xfId="30890"/>
    <cellStyle name="Comma [0] 2 4 3 3 2" xfId="30891"/>
    <cellStyle name="Comma [0] 2 4 3 3 2 2" xfId="30892"/>
    <cellStyle name="Comma [0] 2 4 3 3 2 2 2" xfId="30893"/>
    <cellStyle name="Comma [0] 2 4 3 3 2 3" xfId="30894"/>
    <cellStyle name="Comma [0] 2 4 3 3 3" xfId="30895"/>
    <cellStyle name="Comma [0] 2 4 3 3 3 2" xfId="30896"/>
    <cellStyle name="Comma [0] 2 4 3 3 4" xfId="30897"/>
    <cellStyle name="Comma [0] 2 4 3 3 4 2" xfId="30898"/>
    <cellStyle name="Comma [0] 2 4 3 3 5" xfId="30899"/>
    <cellStyle name="Comma [0] 2 4 3 3 5 2" xfId="30900"/>
    <cellStyle name="Comma [0] 2 4 3 3 6" xfId="30901"/>
    <cellStyle name="Comma [0] 2 4 3 4" xfId="30902"/>
    <cellStyle name="Comma [0] 2 4 3 4 2" xfId="30903"/>
    <cellStyle name="Comma [0] 2 4 3 4 2 2" xfId="30904"/>
    <cellStyle name="Comma [0] 2 4 3 4 3" xfId="30905"/>
    <cellStyle name="Comma [0] 2 4 3 5" xfId="30906"/>
    <cellStyle name="Comma [0] 2 4 3 5 2" xfId="30907"/>
    <cellStyle name="Comma [0] 2 4 3 6" xfId="30908"/>
    <cellStyle name="Comma [0] 2 4 3 6 2" xfId="30909"/>
    <cellStyle name="Comma [0] 2 4 3 7" xfId="30910"/>
    <cellStyle name="Comma [0] 2 4 3 7 2" xfId="30911"/>
    <cellStyle name="Comma [0] 2 4 3 8" xfId="30912"/>
    <cellStyle name="Comma [0] 2 4 4" xfId="30913"/>
    <cellStyle name="Comma [0] 2 4 4 2" xfId="30914"/>
    <cellStyle name="Comma [0] 2 4 4 2 2" xfId="30915"/>
    <cellStyle name="Comma [0] 2 4 4 2 2 2" xfId="30916"/>
    <cellStyle name="Comma [0] 2 4 4 2 2 2 2" xfId="30917"/>
    <cellStyle name="Comma [0] 2 4 4 2 2 2 2 2" xfId="30918"/>
    <cellStyle name="Comma [0] 2 4 4 2 2 2 3" xfId="30919"/>
    <cellStyle name="Comma [0] 2 4 4 2 2 3" xfId="30920"/>
    <cellStyle name="Comma [0] 2 4 4 2 2 3 2" xfId="30921"/>
    <cellStyle name="Comma [0] 2 4 4 2 2 4" xfId="30922"/>
    <cellStyle name="Comma [0] 2 4 4 2 2 4 2" xfId="30923"/>
    <cellStyle name="Comma [0] 2 4 4 2 2 5" xfId="30924"/>
    <cellStyle name="Comma [0] 2 4 4 2 2 5 2" xfId="30925"/>
    <cellStyle name="Comma [0] 2 4 4 2 2 6" xfId="30926"/>
    <cellStyle name="Comma [0] 2 4 4 2 3" xfId="30927"/>
    <cellStyle name="Comma [0] 2 4 4 2 3 2" xfId="30928"/>
    <cellStyle name="Comma [0] 2 4 4 2 3 2 2" xfId="30929"/>
    <cellStyle name="Comma [0] 2 4 4 2 3 3" xfId="30930"/>
    <cellStyle name="Comma [0] 2 4 4 2 4" xfId="30931"/>
    <cellStyle name="Comma [0] 2 4 4 2 4 2" xfId="30932"/>
    <cellStyle name="Comma [0] 2 4 4 2 5" xfId="30933"/>
    <cellStyle name="Comma [0] 2 4 4 2 5 2" xfId="30934"/>
    <cellStyle name="Comma [0] 2 4 4 2 6" xfId="30935"/>
    <cellStyle name="Comma [0] 2 4 4 2 6 2" xfId="30936"/>
    <cellStyle name="Comma [0] 2 4 4 2 7" xfId="30937"/>
    <cellStyle name="Comma [0] 2 4 4 3" xfId="30938"/>
    <cellStyle name="Comma [0] 2 4 4 3 2" xfId="30939"/>
    <cellStyle name="Comma [0] 2 4 4 3 2 2" xfId="30940"/>
    <cellStyle name="Comma [0] 2 4 4 3 2 2 2" xfId="30941"/>
    <cellStyle name="Comma [0] 2 4 4 3 2 3" xfId="30942"/>
    <cellStyle name="Comma [0] 2 4 4 3 3" xfId="30943"/>
    <cellStyle name="Comma [0] 2 4 4 3 3 2" xfId="30944"/>
    <cellStyle name="Comma [0] 2 4 4 3 4" xfId="30945"/>
    <cellStyle name="Comma [0] 2 4 4 3 4 2" xfId="30946"/>
    <cellStyle name="Comma [0] 2 4 4 3 5" xfId="30947"/>
    <cellStyle name="Comma [0] 2 4 4 3 5 2" xfId="30948"/>
    <cellStyle name="Comma [0] 2 4 4 3 6" xfId="30949"/>
    <cellStyle name="Comma [0] 2 4 4 4" xfId="30950"/>
    <cellStyle name="Comma [0] 2 4 4 4 2" xfId="30951"/>
    <cellStyle name="Comma [0] 2 4 4 4 2 2" xfId="30952"/>
    <cellStyle name="Comma [0] 2 4 4 4 3" xfId="30953"/>
    <cellStyle name="Comma [0] 2 4 4 5" xfId="30954"/>
    <cellStyle name="Comma [0] 2 4 4 5 2" xfId="30955"/>
    <cellStyle name="Comma [0] 2 4 4 6" xfId="30956"/>
    <cellStyle name="Comma [0] 2 4 4 6 2" xfId="30957"/>
    <cellStyle name="Comma [0] 2 4 4 7" xfId="30958"/>
    <cellStyle name="Comma [0] 2 4 4 7 2" xfId="30959"/>
    <cellStyle name="Comma [0] 2 4 4 8" xfId="30960"/>
    <cellStyle name="Comma [0] 2 4 5" xfId="30961"/>
    <cellStyle name="Comma [0] 2 4 5 2" xfId="30962"/>
    <cellStyle name="Comma [0] 2 4 5 2 2" xfId="30963"/>
    <cellStyle name="Comma [0] 2 4 5 2 2 2" xfId="30964"/>
    <cellStyle name="Comma [0] 2 4 5 2 2 2 2" xfId="30965"/>
    <cellStyle name="Comma [0] 2 4 5 2 2 3" xfId="30966"/>
    <cellStyle name="Comma [0] 2 4 5 2 3" xfId="30967"/>
    <cellStyle name="Comma [0] 2 4 5 2 3 2" xfId="30968"/>
    <cellStyle name="Comma [0] 2 4 5 2 4" xfId="30969"/>
    <cellStyle name="Comma [0] 2 4 5 2 4 2" xfId="30970"/>
    <cellStyle name="Comma [0] 2 4 5 2 5" xfId="30971"/>
    <cellStyle name="Comma [0] 2 4 5 2 5 2" xfId="30972"/>
    <cellStyle name="Comma [0] 2 4 5 2 6" xfId="30973"/>
    <cellStyle name="Comma [0] 2 4 5 3" xfId="30974"/>
    <cellStyle name="Comma [0] 2 4 5 3 2" xfId="30975"/>
    <cellStyle name="Comma [0] 2 4 5 3 2 2" xfId="30976"/>
    <cellStyle name="Comma [0] 2 4 5 3 3" xfId="30977"/>
    <cellStyle name="Comma [0] 2 4 5 4" xfId="30978"/>
    <cellStyle name="Comma [0] 2 4 5 4 2" xfId="30979"/>
    <cellStyle name="Comma [0] 2 4 5 5" xfId="30980"/>
    <cellStyle name="Comma [0] 2 4 5 5 2" xfId="30981"/>
    <cellStyle name="Comma [0] 2 4 5 6" xfId="30982"/>
    <cellStyle name="Comma [0] 2 4 5 6 2" xfId="30983"/>
    <cellStyle name="Comma [0] 2 4 5 7" xfId="30984"/>
    <cellStyle name="Comma [0] 2 4 6" xfId="30985"/>
    <cellStyle name="Comma [0] 2 4 6 2" xfId="30986"/>
    <cellStyle name="Comma [0] 2 4 6 2 2" xfId="30987"/>
    <cellStyle name="Comma [0] 2 4 6 2 2 2" xfId="30988"/>
    <cellStyle name="Comma [0] 2 4 6 2 2 2 2" xfId="30989"/>
    <cellStyle name="Comma [0] 2 4 6 2 2 3" xfId="30990"/>
    <cellStyle name="Comma [0] 2 4 6 2 3" xfId="30991"/>
    <cellStyle name="Comma [0] 2 4 6 2 3 2" xfId="30992"/>
    <cellStyle name="Comma [0] 2 4 6 2 4" xfId="30993"/>
    <cellStyle name="Comma [0] 2 4 6 2 4 2" xfId="30994"/>
    <cellStyle name="Comma [0] 2 4 6 2 5" xfId="30995"/>
    <cellStyle name="Comma [0] 2 4 6 2 5 2" xfId="30996"/>
    <cellStyle name="Comma [0] 2 4 6 2 6" xfId="30997"/>
    <cellStyle name="Comma [0] 2 4 6 3" xfId="30998"/>
    <cellStyle name="Comma [0] 2 4 6 3 2" xfId="30999"/>
    <cellStyle name="Comma [0] 2 4 6 3 2 2" xfId="31000"/>
    <cellStyle name="Comma [0] 2 4 6 3 3" xfId="31001"/>
    <cellStyle name="Comma [0] 2 4 6 4" xfId="31002"/>
    <cellStyle name="Comma [0] 2 4 6 4 2" xfId="31003"/>
    <cellStyle name="Comma [0] 2 4 6 5" xfId="31004"/>
    <cellStyle name="Comma [0] 2 4 6 5 2" xfId="31005"/>
    <cellStyle name="Comma [0] 2 4 6 6" xfId="31006"/>
    <cellStyle name="Comma [0] 2 4 6 6 2" xfId="31007"/>
    <cellStyle name="Comma [0] 2 4 6 7" xfId="31008"/>
    <cellStyle name="Comma [0] 2 4 7" xfId="31009"/>
    <cellStyle name="Comma [0] 2 4 7 2" xfId="31010"/>
    <cellStyle name="Comma [0] 2 4 7 2 2" xfId="31011"/>
    <cellStyle name="Comma [0] 2 4 7 2 2 2" xfId="31012"/>
    <cellStyle name="Comma [0] 2 4 7 2 3" xfId="31013"/>
    <cellStyle name="Comma [0] 2 4 7 3" xfId="31014"/>
    <cellStyle name="Comma [0] 2 4 7 3 2" xfId="31015"/>
    <cellStyle name="Comma [0] 2 4 7 4" xfId="31016"/>
    <cellStyle name="Comma [0] 2 4 7 4 2" xfId="31017"/>
    <cellStyle name="Comma [0] 2 4 7 5" xfId="31018"/>
    <cellStyle name="Comma [0] 2 4 7 5 2" xfId="31019"/>
    <cellStyle name="Comma [0] 2 4 7 6" xfId="31020"/>
    <cellStyle name="Comma [0] 2 4 8" xfId="31021"/>
    <cellStyle name="Comma [0] 2 4 8 2" xfId="31022"/>
    <cellStyle name="Comma [0] 2 4 8 2 2" xfId="31023"/>
    <cellStyle name="Comma [0] 2 4 8 2 2 2" xfId="31024"/>
    <cellStyle name="Comma [0] 2 4 8 2 3" xfId="31025"/>
    <cellStyle name="Comma [0] 2 4 8 3" xfId="31026"/>
    <cellStyle name="Comma [0] 2 4 8 3 2" xfId="31027"/>
    <cellStyle name="Comma [0] 2 4 8 4" xfId="31028"/>
    <cellStyle name="Comma [0] 2 4 8 4 2" xfId="31029"/>
    <cellStyle name="Comma [0] 2 4 8 5" xfId="31030"/>
    <cellStyle name="Comma [0] 2 4 8 5 2" xfId="31031"/>
    <cellStyle name="Comma [0] 2 4 8 6" xfId="31032"/>
    <cellStyle name="Comma [0] 2 4 9" xfId="31033"/>
    <cellStyle name="Comma [0] 2 4 9 2" xfId="31034"/>
    <cellStyle name="Comma [0] 2 4 9 2 2" xfId="31035"/>
    <cellStyle name="Comma [0] 2 4 9 3" xfId="31036"/>
    <cellStyle name="Comma [0] 2 5" xfId="31037"/>
    <cellStyle name="Comma [0] 2 5 10" xfId="31038"/>
    <cellStyle name="Comma [0] 2 5 10 2" xfId="31039"/>
    <cellStyle name="Comma [0] 2 5 11" xfId="31040"/>
    <cellStyle name="Comma [0] 2 5 11 2" xfId="31041"/>
    <cellStyle name="Comma [0] 2 5 12" xfId="31042"/>
    <cellStyle name="Comma [0] 2 5 12 2" xfId="31043"/>
    <cellStyle name="Comma [0] 2 5 13" xfId="31044"/>
    <cellStyle name="Comma [0] 2 5 14" xfId="58410"/>
    <cellStyle name="Comma [0] 2 5 2" xfId="31045"/>
    <cellStyle name="Comma [0] 2 5 2 2" xfId="31046"/>
    <cellStyle name="Comma [0] 2 5 2 2 2" xfId="31047"/>
    <cellStyle name="Comma [0] 2 5 2 3" xfId="31048"/>
    <cellStyle name="Comma [0] 2 5 3" xfId="31049"/>
    <cellStyle name="Comma [0] 2 5 3 2" xfId="31050"/>
    <cellStyle name="Comma [0] 2 5 3 2 2" xfId="31051"/>
    <cellStyle name="Comma [0] 2 5 3 2 2 2" xfId="31052"/>
    <cellStyle name="Comma [0] 2 5 3 2 2 2 2" xfId="31053"/>
    <cellStyle name="Comma [0] 2 5 3 2 2 2 2 2" xfId="31054"/>
    <cellStyle name="Comma [0] 2 5 3 2 2 2 3" xfId="31055"/>
    <cellStyle name="Comma [0] 2 5 3 2 2 3" xfId="31056"/>
    <cellStyle name="Comma [0] 2 5 3 2 2 3 2" xfId="31057"/>
    <cellStyle name="Comma [0] 2 5 3 2 2 4" xfId="31058"/>
    <cellStyle name="Comma [0] 2 5 3 2 2 4 2" xfId="31059"/>
    <cellStyle name="Comma [0] 2 5 3 2 2 5" xfId="31060"/>
    <cellStyle name="Comma [0] 2 5 3 2 2 5 2" xfId="31061"/>
    <cellStyle name="Comma [0] 2 5 3 2 2 6" xfId="31062"/>
    <cellStyle name="Comma [0] 2 5 3 2 3" xfId="31063"/>
    <cellStyle name="Comma [0] 2 5 3 2 3 2" xfId="31064"/>
    <cellStyle name="Comma [0] 2 5 3 2 3 2 2" xfId="31065"/>
    <cellStyle name="Comma [0] 2 5 3 2 3 3" xfId="31066"/>
    <cellStyle name="Comma [0] 2 5 3 2 4" xfId="31067"/>
    <cellStyle name="Comma [0] 2 5 3 2 4 2" xfId="31068"/>
    <cellStyle name="Comma [0] 2 5 3 2 5" xfId="31069"/>
    <cellStyle name="Comma [0] 2 5 3 2 5 2" xfId="31070"/>
    <cellStyle name="Comma [0] 2 5 3 2 6" xfId="31071"/>
    <cellStyle name="Comma [0] 2 5 3 2 6 2" xfId="31072"/>
    <cellStyle name="Comma [0] 2 5 3 2 7" xfId="31073"/>
    <cellStyle name="Comma [0] 2 5 3 3" xfId="31074"/>
    <cellStyle name="Comma [0] 2 5 3 3 2" xfId="31075"/>
    <cellStyle name="Comma [0] 2 5 3 3 2 2" xfId="31076"/>
    <cellStyle name="Comma [0] 2 5 3 3 2 2 2" xfId="31077"/>
    <cellStyle name="Comma [0] 2 5 3 3 2 3" xfId="31078"/>
    <cellStyle name="Comma [0] 2 5 3 3 3" xfId="31079"/>
    <cellStyle name="Comma [0] 2 5 3 3 3 2" xfId="31080"/>
    <cellStyle name="Comma [0] 2 5 3 3 4" xfId="31081"/>
    <cellStyle name="Comma [0] 2 5 3 3 4 2" xfId="31082"/>
    <cellStyle name="Comma [0] 2 5 3 3 5" xfId="31083"/>
    <cellStyle name="Comma [0] 2 5 3 3 5 2" xfId="31084"/>
    <cellStyle name="Comma [0] 2 5 3 3 6" xfId="31085"/>
    <cellStyle name="Comma [0] 2 5 3 4" xfId="31086"/>
    <cellStyle name="Comma [0] 2 5 3 4 2" xfId="31087"/>
    <cellStyle name="Comma [0] 2 5 3 4 2 2" xfId="31088"/>
    <cellStyle name="Comma [0] 2 5 3 4 3" xfId="31089"/>
    <cellStyle name="Comma [0] 2 5 3 5" xfId="31090"/>
    <cellStyle name="Comma [0] 2 5 3 5 2" xfId="31091"/>
    <cellStyle name="Comma [0] 2 5 3 6" xfId="31092"/>
    <cellStyle name="Comma [0] 2 5 3 6 2" xfId="31093"/>
    <cellStyle name="Comma [0] 2 5 3 7" xfId="31094"/>
    <cellStyle name="Comma [0] 2 5 3 7 2" xfId="31095"/>
    <cellStyle name="Comma [0] 2 5 3 8" xfId="31096"/>
    <cellStyle name="Comma [0] 2 5 4" xfId="31097"/>
    <cellStyle name="Comma [0] 2 5 4 2" xfId="31098"/>
    <cellStyle name="Comma [0] 2 5 4 2 2" xfId="31099"/>
    <cellStyle name="Comma [0] 2 5 4 2 2 2" xfId="31100"/>
    <cellStyle name="Comma [0] 2 5 4 2 2 2 2" xfId="31101"/>
    <cellStyle name="Comma [0] 2 5 4 2 2 2 2 2" xfId="31102"/>
    <cellStyle name="Comma [0] 2 5 4 2 2 2 3" xfId="31103"/>
    <cellStyle name="Comma [0] 2 5 4 2 2 3" xfId="31104"/>
    <cellStyle name="Comma [0] 2 5 4 2 2 3 2" xfId="31105"/>
    <cellStyle name="Comma [0] 2 5 4 2 2 4" xfId="31106"/>
    <cellStyle name="Comma [0] 2 5 4 2 2 4 2" xfId="31107"/>
    <cellStyle name="Comma [0] 2 5 4 2 2 5" xfId="31108"/>
    <cellStyle name="Comma [0] 2 5 4 2 2 5 2" xfId="31109"/>
    <cellStyle name="Comma [0] 2 5 4 2 2 6" xfId="31110"/>
    <cellStyle name="Comma [0] 2 5 4 2 3" xfId="31111"/>
    <cellStyle name="Comma [0] 2 5 4 2 3 2" xfId="31112"/>
    <cellStyle name="Comma [0] 2 5 4 2 3 2 2" xfId="31113"/>
    <cellStyle name="Comma [0] 2 5 4 2 3 3" xfId="31114"/>
    <cellStyle name="Comma [0] 2 5 4 2 4" xfId="31115"/>
    <cellStyle name="Comma [0] 2 5 4 2 4 2" xfId="31116"/>
    <cellStyle name="Comma [0] 2 5 4 2 5" xfId="31117"/>
    <cellStyle name="Comma [0] 2 5 4 2 5 2" xfId="31118"/>
    <cellStyle name="Comma [0] 2 5 4 2 6" xfId="31119"/>
    <cellStyle name="Comma [0] 2 5 4 2 6 2" xfId="31120"/>
    <cellStyle name="Comma [0] 2 5 4 2 7" xfId="31121"/>
    <cellStyle name="Comma [0] 2 5 4 3" xfId="31122"/>
    <cellStyle name="Comma [0] 2 5 4 3 2" xfId="31123"/>
    <cellStyle name="Comma [0] 2 5 4 3 2 2" xfId="31124"/>
    <cellStyle name="Comma [0] 2 5 4 3 2 2 2" xfId="31125"/>
    <cellStyle name="Comma [0] 2 5 4 3 2 3" xfId="31126"/>
    <cellStyle name="Comma [0] 2 5 4 3 3" xfId="31127"/>
    <cellStyle name="Comma [0] 2 5 4 3 3 2" xfId="31128"/>
    <cellStyle name="Comma [0] 2 5 4 3 4" xfId="31129"/>
    <cellStyle name="Comma [0] 2 5 4 3 4 2" xfId="31130"/>
    <cellStyle name="Comma [0] 2 5 4 3 5" xfId="31131"/>
    <cellStyle name="Comma [0] 2 5 4 3 5 2" xfId="31132"/>
    <cellStyle name="Comma [0] 2 5 4 3 6" xfId="31133"/>
    <cellStyle name="Comma [0] 2 5 4 4" xfId="31134"/>
    <cellStyle name="Comma [0] 2 5 4 4 2" xfId="31135"/>
    <cellStyle name="Comma [0] 2 5 4 4 2 2" xfId="31136"/>
    <cellStyle name="Comma [0] 2 5 4 4 3" xfId="31137"/>
    <cellStyle name="Comma [0] 2 5 4 5" xfId="31138"/>
    <cellStyle name="Comma [0] 2 5 4 5 2" xfId="31139"/>
    <cellStyle name="Comma [0] 2 5 4 6" xfId="31140"/>
    <cellStyle name="Comma [0] 2 5 4 6 2" xfId="31141"/>
    <cellStyle name="Comma [0] 2 5 4 7" xfId="31142"/>
    <cellStyle name="Comma [0] 2 5 4 7 2" xfId="31143"/>
    <cellStyle name="Comma [0] 2 5 4 8" xfId="31144"/>
    <cellStyle name="Comma [0] 2 5 5" xfId="31145"/>
    <cellStyle name="Comma [0] 2 5 5 2" xfId="31146"/>
    <cellStyle name="Comma [0] 2 5 5 2 2" xfId="31147"/>
    <cellStyle name="Comma [0] 2 5 5 2 2 2" xfId="31148"/>
    <cellStyle name="Comma [0] 2 5 5 2 2 2 2" xfId="31149"/>
    <cellStyle name="Comma [0] 2 5 5 2 2 3" xfId="31150"/>
    <cellStyle name="Comma [0] 2 5 5 2 3" xfId="31151"/>
    <cellStyle name="Comma [0] 2 5 5 2 3 2" xfId="31152"/>
    <cellStyle name="Comma [0] 2 5 5 2 4" xfId="31153"/>
    <cellStyle name="Comma [0] 2 5 5 2 4 2" xfId="31154"/>
    <cellStyle name="Comma [0] 2 5 5 2 5" xfId="31155"/>
    <cellStyle name="Comma [0] 2 5 5 2 5 2" xfId="31156"/>
    <cellStyle name="Comma [0] 2 5 5 2 6" xfId="31157"/>
    <cellStyle name="Comma [0] 2 5 5 3" xfId="31158"/>
    <cellStyle name="Comma [0] 2 5 5 3 2" xfId="31159"/>
    <cellStyle name="Comma [0] 2 5 5 3 2 2" xfId="31160"/>
    <cellStyle name="Comma [0] 2 5 5 3 3" xfId="31161"/>
    <cellStyle name="Comma [0] 2 5 5 4" xfId="31162"/>
    <cellStyle name="Comma [0] 2 5 5 4 2" xfId="31163"/>
    <cellStyle name="Comma [0] 2 5 5 5" xfId="31164"/>
    <cellStyle name="Comma [0] 2 5 5 5 2" xfId="31165"/>
    <cellStyle name="Comma [0] 2 5 5 6" xfId="31166"/>
    <cellStyle name="Comma [0] 2 5 5 6 2" xfId="31167"/>
    <cellStyle name="Comma [0] 2 5 5 7" xfId="31168"/>
    <cellStyle name="Comma [0] 2 5 6" xfId="31169"/>
    <cellStyle name="Comma [0] 2 5 6 2" xfId="31170"/>
    <cellStyle name="Comma [0] 2 5 6 2 2" xfId="31171"/>
    <cellStyle name="Comma [0] 2 5 6 2 2 2" xfId="31172"/>
    <cellStyle name="Comma [0] 2 5 6 2 2 2 2" xfId="31173"/>
    <cellStyle name="Comma [0] 2 5 6 2 2 3" xfId="31174"/>
    <cellStyle name="Comma [0] 2 5 6 2 3" xfId="31175"/>
    <cellStyle name="Comma [0] 2 5 6 2 3 2" xfId="31176"/>
    <cellStyle name="Comma [0] 2 5 6 2 4" xfId="31177"/>
    <cellStyle name="Comma [0] 2 5 6 2 4 2" xfId="31178"/>
    <cellStyle name="Comma [0] 2 5 6 2 5" xfId="31179"/>
    <cellStyle name="Comma [0] 2 5 6 2 5 2" xfId="31180"/>
    <cellStyle name="Comma [0] 2 5 6 2 6" xfId="31181"/>
    <cellStyle name="Comma [0] 2 5 6 3" xfId="31182"/>
    <cellStyle name="Comma [0] 2 5 6 3 2" xfId="31183"/>
    <cellStyle name="Comma [0] 2 5 6 3 2 2" xfId="31184"/>
    <cellStyle name="Comma [0] 2 5 6 3 3" xfId="31185"/>
    <cellStyle name="Comma [0] 2 5 6 4" xfId="31186"/>
    <cellStyle name="Comma [0] 2 5 6 4 2" xfId="31187"/>
    <cellStyle name="Comma [0] 2 5 6 5" xfId="31188"/>
    <cellStyle name="Comma [0] 2 5 6 5 2" xfId="31189"/>
    <cellStyle name="Comma [0] 2 5 6 6" xfId="31190"/>
    <cellStyle name="Comma [0] 2 5 6 6 2" xfId="31191"/>
    <cellStyle name="Comma [0] 2 5 6 7" xfId="31192"/>
    <cellStyle name="Comma [0] 2 5 7" xfId="31193"/>
    <cellStyle name="Comma [0] 2 5 7 2" xfId="31194"/>
    <cellStyle name="Comma [0] 2 5 7 2 2" xfId="31195"/>
    <cellStyle name="Comma [0] 2 5 7 2 2 2" xfId="31196"/>
    <cellStyle name="Comma [0] 2 5 7 2 3" xfId="31197"/>
    <cellStyle name="Comma [0] 2 5 7 3" xfId="31198"/>
    <cellStyle name="Comma [0] 2 5 7 3 2" xfId="31199"/>
    <cellStyle name="Comma [0] 2 5 7 4" xfId="31200"/>
    <cellStyle name="Comma [0] 2 5 7 4 2" xfId="31201"/>
    <cellStyle name="Comma [0] 2 5 7 5" xfId="31202"/>
    <cellStyle name="Comma [0] 2 5 7 5 2" xfId="31203"/>
    <cellStyle name="Comma [0] 2 5 7 6" xfId="31204"/>
    <cellStyle name="Comma [0] 2 5 8" xfId="31205"/>
    <cellStyle name="Comma [0] 2 5 8 2" xfId="31206"/>
    <cellStyle name="Comma [0] 2 5 8 2 2" xfId="31207"/>
    <cellStyle name="Comma [0] 2 5 8 2 2 2" xfId="31208"/>
    <cellStyle name="Comma [0] 2 5 8 2 3" xfId="31209"/>
    <cellStyle name="Comma [0] 2 5 8 3" xfId="31210"/>
    <cellStyle name="Comma [0] 2 5 8 3 2" xfId="31211"/>
    <cellStyle name="Comma [0] 2 5 8 4" xfId="31212"/>
    <cellStyle name="Comma [0] 2 5 8 4 2" xfId="31213"/>
    <cellStyle name="Comma [0] 2 5 8 5" xfId="31214"/>
    <cellStyle name="Comma [0] 2 5 8 5 2" xfId="31215"/>
    <cellStyle name="Comma [0] 2 5 8 6" xfId="31216"/>
    <cellStyle name="Comma [0] 2 5 9" xfId="31217"/>
    <cellStyle name="Comma [0] 2 5 9 2" xfId="31218"/>
    <cellStyle name="Comma [0] 2 5 9 2 2" xfId="31219"/>
    <cellStyle name="Comma [0] 2 5 9 3" xfId="31220"/>
    <cellStyle name="Comma [0] 2 6" xfId="31221"/>
    <cellStyle name="Comma [0] 2 6 10" xfId="31222"/>
    <cellStyle name="Comma [0] 2 6 10 2" xfId="31223"/>
    <cellStyle name="Comma [0] 2 6 11" xfId="31224"/>
    <cellStyle name="Comma [0] 2 6 11 2" xfId="31225"/>
    <cellStyle name="Comma [0] 2 6 12" xfId="31226"/>
    <cellStyle name="Comma [0] 2 6 2" xfId="31227"/>
    <cellStyle name="Comma [0] 2 6 2 2" xfId="31228"/>
    <cellStyle name="Comma [0] 2 6 2 2 2" xfId="31229"/>
    <cellStyle name="Comma [0] 2 6 2 2 2 2" xfId="31230"/>
    <cellStyle name="Comma [0] 2 6 2 2 2 2 2" xfId="31231"/>
    <cellStyle name="Comma [0] 2 6 2 2 2 2 2 2" xfId="31232"/>
    <cellStyle name="Comma [0] 2 6 2 2 2 2 3" xfId="31233"/>
    <cellStyle name="Comma [0] 2 6 2 2 2 3" xfId="31234"/>
    <cellStyle name="Comma [0] 2 6 2 2 2 3 2" xfId="31235"/>
    <cellStyle name="Comma [0] 2 6 2 2 2 4" xfId="31236"/>
    <cellStyle name="Comma [0] 2 6 2 2 2 4 2" xfId="31237"/>
    <cellStyle name="Comma [0] 2 6 2 2 2 5" xfId="31238"/>
    <cellStyle name="Comma [0] 2 6 2 2 2 5 2" xfId="31239"/>
    <cellStyle name="Comma [0] 2 6 2 2 2 6" xfId="31240"/>
    <cellStyle name="Comma [0] 2 6 2 2 3" xfId="31241"/>
    <cellStyle name="Comma [0] 2 6 2 2 3 2" xfId="31242"/>
    <cellStyle name="Comma [0] 2 6 2 2 3 2 2" xfId="31243"/>
    <cellStyle name="Comma [0] 2 6 2 2 3 3" xfId="31244"/>
    <cellStyle name="Comma [0] 2 6 2 2 4" xfId="31245"/>
    <cellStyle name="Comma [0] 2 6 2 2 4 2" xfId="31246"/>
    <cellStyle name="Comma [0] 2 6 2 2 5" xfId="31247"/>
    <cellStyle name="Comma [0] 2 6 2 2 5 2" xfId="31248"/>
    <cellStyle name="Comma [0] 2 6 2 2 6" xfId="31249"/>
    <cellStyle name="Comma [0] 2 6 2 2 6 2" xfId="31250"/>
    <cellStyle name="Comma [0] 2 6 2 2 7" xfId="31251"/>
    <cellStyle name="Comma [0] 2 6 2 3" xfId="31252"/>
    <cellStyle name="Comma [0] 2 6 2 3 2" xfId="31253"/>
    <cellStyle name="Comma [0] 2 6 2 3 2 2" xfId="31254"/>
    <cellStyle name="Comma [0] 2 6 2 3 2 2 2" xfId="31255"/>
    <cellStyle name="Comma [0] 2 6 2 3 2 3" xfId="31256"/>
    <cellStyle name="Comma [0] 2 6 2 3 3" xfId="31257"/>
    <cellStyle name="Comma [0] 2 6 2 3 3 2" xfId="31258"/>
    <cellStyle name="Comma [0] 2 6 2 3 4" xfId="31259"/>
    <cellStyle name="Comma [0] 2 6 2 3 4 2" xfId="31260"/>
    <cellStyle name="Comma [0] 2 6 2 3 5" xfId="31261"/>
    <cellStyle name="Comma [0] 2 6 2 3 5 2" xfId="31262"/>
    <cellStyle name="Comma [0] 2 6 2 3 6" xfId="31263"/>
    <cellStyle name="Comma [0] 2 6 2 4" xfId="31264"/>
    <cellStyle name="Comma [0] 2 6 2 4 2" xfId="31265"/>
    <cellStyle name="Comma [0] 2 6 2 4 2 2" xfId="31266"/>
    <cellStyle name="Comma [0] 2 6 2 4 3" xfId="31267"/>
    <cellStyle name="Comma [0] 2 6 2 5" xfId="31268"/>
    <cellStyle name="Comma [0] 2 6 2 5 2" xfId="31269"/>
    <cellStyle name="Comma [0] 2 6 2 6" xfId="31270"/>
    <cellStyle name="Comma [0] 2 6 2 6 2" xfId="31271"/>
    <cellStyle name="Comma [0] 2 6 2 7" xfId="31272"/>
    <cellStyle name="Comma [0] 2 6 2 7 2" xfId="31273"/>
    <cellStyle name="Comma [0] 2 6 2 8" xfId="31274"/>
    <cellStyle name="Comma [0] 2 6 3" xfId="31275"/>
    <cellStyle name="Comma [0] 2 6 3 2" xfId="31276"/>
    <cellStyle name="Comma [0] 2 6 3 2 2" xfId="31277"/>
    <cellStyle name="Comma [0] 2 6 3 2 2 2" xfId="31278"/>
    <cellStyle name="Comma [0] 2 6 3 2 2 2 2" xfId="31279"/>
    <cellStyle name="Comma [0] 2 6 3 2 2 2 2 2" xfId="31280"/>
    <cellStyle name="Comma [0] 2 6 3 2 2 2 3" xfId="31281"/>
    <cellStyle name="Comma [0] 2 6 3 2 2 3" xfId="31282"/>
    <cellStyle name="Comma [0] 2 6 3 2 2 3 2" xfId="31283"/>
    <cellStyle name="Comma [0] 2 6 3 2 2 4" xfId="31284"/>
    <cellStyle name="Comma [0] 2 6 3 2 2 4 2" xfId="31285"/>
    <cellStyle name="Comma [0] 2 6 3 2 2 5" xfId="31286"/>
    <cellStyle name="Comma [0] 2 6 3 2 2 5 2" xfId="31287"/>
    <cellStyle name="Comma [0] 2 6 3 2 2 6" xfId="31288"/>
    <cellStyle name="Comma [0] 2 6 3 2 3" xfId="31289"/>
    <cellStyle name="Comma [0] 2 6 3 2 3 2" xfId="31290"/>
    <cellStyle name="Comma [0] 2 6 3 2 3 2 2" xfId="31291"/>
    <cellStyle name="Comma [0] 2 6 3 2 3 3" xfId="31292"/>
    <cellStyle name="Comma [0] 2 6 3 2 4" xfId="31293"/>
    <cellStyle name="Comma [0] 2 6 3 2 4 2" xfId="31294"/>
    <cellStyle name="Comma [0] 2 6 3 2 5" xfId="31295"/>
    <cellStyle name="Comma [0] 2 6 3 2 5 2" xfId="31296"/>
    <cellStyle name="Comma [0] 2 6 3 2 6" xfId="31297"/>
    <cellStyle name="Comma [0] 2 6 3 2 6 2" xfId="31298"/>
    <cellStyle name="Comma [0] 2 6 3 2 7" xfId="31299"/>
    <cellStyle name="Comma [0] 2 6 3 3" xfId="31300"/>
    <cellStyle name="Comma [0] 2 6 3 3 2" xfId="31301"/>
    <cellStyle name="Comma [0] 2 6 3 3 2 2" xfId="31302"/>
    <cellStyle name="Comma [0] 2 6 3 3 2 2 2" xfId="31303"/>
    <cellStyle name="Comma [0] 2 6 3 3 2 3" xfId="31304"/>
    <cellStyle name="Comma [0] 2 6 3 3 3" xfId="31305"/>
    <cellStyle name="Comma [0] 2 6 3 3 3 2" xfId="31306"/>
    <cellStyle name="Comma [0] 2 6 3 3 4" xfId="31307"/>
    <cellStyle name="Comma [0] 2 6 3 3 4 2" xfId="31308"/>
    <cellStyle name="Comma [0] 2 6 3 3 5" xfId="31309"/>
    <cellStyle name="Comma [0] 2 6 3 3 5 2" xfId="31310"/>
    <cellStyle name="Comma [0] 2 6 3 3 6" xfId="31311"/>
    <cellStyle name="Comma [0] 2 6 3 4" xfId="31312"/>
    <cellStyle name="Comma [0] 2 6 3 4 2" xfId="31313"/>
    <cellStyle name="Comma [0] 2 6 3 4 2 2" xfId="31314"/>
    <cellStyle name="Comma [0] 2 6 3 4 3" xfId="31315"/>
    <cellStyle name="Comma [0] 2 6 3 5" xfId="31316"/>
    <cellStyle name="Comma [0] 2 6 3 5 2" xfId="31317"/>
    <cellStyle name="Comma [0] 2 6 3 6" xfId="31318"/>
    <cellStyle name="Comma [0] 2 6 3 6 2" xfId="31319"/>
    <cellStyle name="Comma [0] 2 6 3 7" xfId="31320"/>
    <cellStyle name="Comma [0] 2 6 3 7 2" xfId="31321"/>
    <cellStyle name="Comma [0] 2 6 3 8" xfId="31322"/>
    <cellStyle name="Comma [0] 2 6 4" xfId="31323"/>
    <cellStyle name="Comma [0] 2 6 4 2" xfId="31324"/>
    <cellStyle name="Comma [0] 2 6 4 2 2" xfId="31325"/>
    <cellStyle name="Comma [0] 2 6 4 2 2 2" xfId="31326"/>
    <cellStyle name="Comma [0] 2 6 4 2 2 2 2" xfId="31327"/>
    <cellStyle name="Comma [0] 2 6 4 2 2 3" xfId="31328"/>
    <cellStyle name="Comma [0] 2 6 4 2 3" xfId="31329"/>
    <cellStyle name="Comma [0] 2 6 4 2 3 2" xfId="31330"/>
    <cellStyle name="Comma [0] 2 6 4 2 4" xfId="31331"/>
    <cellStyle name="Comma [0] 2 6 4 2 4 2" xfId="31332"/>
    <cellStyle name="Comma [0] 2 6 4 2 5" xfId="31333"/>
    <cellStyle name="Comma [0] 2 6 4 2 5 2" xfId="31334"/>
    <cellStyle name="Comma [0] 2 6 4 2 6" xfId="31335"/>
    <cellStyle name="Comma [0] 2 6 4 3" xfId="31336"/>
    <cellStyle name="Comma [0] 2 6 4 3 2" xfId="31337"/>
    <cellStyle name="Comma [0] 2 6 4 3 2 2" xfId="31338"/>
    <cellStyle name="Comma [0] 2 6 4 3 3" xfId="31339"/>
    <cellStyle name="Comma [0] 2 6 4 4" xfId="31340"/>
    <cellStyle name="Comma [0] 2 6 4 4 2" xfId="31341"/>
    <cellStyle name="Comma [0] 2 6 4 5" xfId="31342"/>
    <cellStyle name="Comma [0] 2 6 4 5 2" xfId="31343"/>
    <cellStyle name="Comma [0] 2 6 4 6" xfId="31344"/>
    <cellStyle name="Comma [0] 2 6 4 6 2" xfId="31345"/>
    <cellStyle name="Comma [0] 2 6 4 7" xfId="31346"/>
    <cellStyle name="Comma [0] 2 6 5" xfId="31347"/>
    <cellStyle name="Comma [0] 2 6 5 2" xfId="31348"/>
    <cellStyle name="Comma [0] 2 6 5 2 2" xfId="31349"/>
    <cellStyle name="Comma [0] 2 6 5 2 2 2" xfId="31350"/>
    <cellStyle name="Comma [0] 2 6 5 2 2 2 2" xfId="31351"/>
    <cellStyle name="Comma [0] 2 6 5 2 2 3" xfId="31352"/>
    <cellStyle name="Comma [0] 2 6 5 2 3" xfId="31353"/>
    <cellStyle name="Comma [0] 2 6 5 2 3 2" xfId="31354"/>
    <cellStyle name="Comma [0] 2 6 5 2 4" xfId="31355"/>
    <cellStyle name="Comma [0] 2 6 5 2 4 2" xfId="31356"/>
    <cellStyle name="Comma [0] 2 6 5 2 5" xfId="31357"/>
    <cellStyle name="Comma [0] 2 6 5 2 5 2" xfId="31358"/>
    <cellStyle name="Comma [0] 2 6 5 2 6" xfId="31359"/>
    <cellStyle name="Comma [0] 2 6 5 3" xfId="31360"/>
    <cellStyle name="Comma [0] 2 6 5 3 2" xfId="31361"/>
    <cellStyle name="Comma [0] 2 6 5 3 2 2" xfId="31362"/>
    <cellStyle name="Comma [0] 2 6 5 3 3" xfId="31363"/>
    <cellStyle name="Comma [0] 2 6 5 4" xfId="31364"/>
    <cellStyle name="Comma [0] 2 6 5 4 2" xfId="31365"/>
    <cellStyle name="Comma [0] 2 6 5 5" xfId="31366"/>
    <cellStyle name="Comma [0] 2 6 5 5 2" xfId="31367"/>
    <cellStyle name="Comma [0] 2 6 5 6" xfId="31368"/>
    <cellStyle name="Comma [0] 2 6 5 6 2" xfId="31369"/>
    <cellStyle name="Comma [0] 2 6 5 7" xfId="31370"/>
    <cellStyle name="Comma [0] 2 6 6" xfId="31371"/>
    <cellStyle name="Comma [0] 2 6 6 2" xfId="31372"/>
    <cellStyle name="Comma [0] 2 6 6 2 2" xfId="31373"/>
    <cellStyle name="Comma [0] 2 6 6 2 2 2" xfId="31374"/>
    <cellStyle name="Comma [0] 2 6 6 2 3" xfId="31375"/>
    <cellStyle name="Comma [0] 2 6 6 3" xfId="31376"/>
    <cellStyle name="Comma [0] 2 6 6 3 2" xfId="31377"/>
    <cellStyle name="Comma [0] 2 6 6 4" xfId="31378"/>
    <cellStyle name="Comma [0] 2 6 6 4 2" xfId="31379"/>
    <cellStyle name="Comma [0] 2 6 6 5" xfId="31380"/>
    <cellStyle name="Comma [0] 2 6 6 5 2" xfId="31381"/>
    <cellStyle name="Comma [0] 2 6 6 6" xfId="31382"/>
    <cellStyle name="Comma [0] 2 6 7" xfId="31383"/>
    <cellStyle name="Comma [0] 2 6 7 2" xfId="31384"/>
    <cellStyle name="Comma [0] 2 6 7 2 2" xfId="31385"/>
    <cellStyle name="Comma [0] 2 6 7 2 2 2" xfId="31386"/>
    <cellStyle name="Comma [0] 2 6 7 2 3" xfId="31387"/>
    <cellStyle name="Comma [0] 2 6 7 3" xfId="31388"/>
    <cellStyle name="Comma [0] 2 6 7 3 2" xfId="31389"/>
    <cellStyle name="Comma [0] 2 6 7 4" xfId="31390"/>
    <cellStyle name="Comma [0] 2 6 7 4 2" xfId="31391"/>
    <cellStyle name="Comma [0] 2 6 7 5" xfId="31392"/>
    <cellStyle name="Comma [0] 2 6 7 5 2" xfId="31393"/>
    <cellStyle name="Comma [0] 2 6 7 6" xfId="31394"/>
    <cellStyle name="Comma [0] 2 6 8" xfId="31395"/>
    <cellStyle name="Comma [0] 2 6 8 2" xfId="31396"/>
    <cellStyle name="Comma [0] 2 6 8 2 2" xfId="31397"/>
    <cellStyle name="Comma [0] 2 6 8 3" xfId="31398"/>
    <cellStyle name="Comma [0] 2 6 9" xfId="31399"/>
    <cellStyle name="Comma [0] 2 6 9 2" xfId="31400"/>
    <cellStyle name="Comma [0] 2 7" xfId="31401"/>
    <cellStyle name="Comma [0] 2 7 10" xfId="31402"/>
    <cellStyle name="Comma [0] 2 7 10 2" xfId="31403"/>
    <cellStyle name="Comma [0] 2 7 11" xfId="31404"/>
    <cellStyle name="Comma [0] 2 7 11 2" xfId="31405"/>
    <cellStyle name="Comma [0] 2 7 12" xfId="31406"/>
    <cellStyle name="Comma [0] 2 7 2" xfId="31407"/>
    <cellStyle name="Comma [0] 2 7 2 2" xfId="31408"/>
    <cellStyle name="Comma [0] 2 7 2 2 2" xfId="31409"/>
    <cellStyle name="Comma [0] 2 7 2 2 2 2" xfId="31410"/>
    <cellStyle name="Comma [0] 2 7 2 2 2 2 2" xfId="31411"/>
    <cellStyle name="Comma [0] 2 7 2 2 2 2 2 2" xfId="31412"/>
    <cellStyle name="Comma [0] 2 7 2 2 2 2 3" xfId="31413"/>
    <cellStyle name="Comma [0] 2 7 2 2 2 3" xfId="31414"/>
    <cellStyle name="Comma [0] 2 7 2 2 2 3 2" xfId="31415"/>
    <cellStyle name="Comma [0] 2 7 2 2 2 4" xfId="31416"/>
    <cellStyle name="Comma [0] 2 7 2 2 2 4 2" xfId="31417"/>
    <cellStyle name="Comma [0] 2 7 2 2 2 5" xfId="31418"/>
    <cellStyle name="Comma [0] 2 7 2 2 2 5 2" xfId="31419"/>
    <cellStyle name="Comma [0] 2 7 2 2 2 6" xfId="31420"/>
    <cellStyle name="Comma [0] 2 7 2 2 3" xfId="31421"/>
    <cellStyle name="Comma [0] 2 7 2 2 3 2" xfId="31422"/>
    <cellStyle name="Comma [0] 2 7 2 2 3 2 2" xfId="31423"/>
    <cellStyle name="Comma [0] 2 7 2 2 3 3" xfId="31424"/>
    <cellStyle name="Comma [0] 2 7 2 2 4" xfId="31425"/>
    <cellStyle name="Comma [0] 2 7 2 2 4 2" xfId="31426"/>
    <cellStyle name="Comma [0] 2 7 2 2 5" xfId="31427"/>
    <cellStyle name="Comma [0] 2 7 2 2 5 2" xfId="31428"/>
    <cellStyle name="Comma [0] 2 7 2 2 6" xfId="31429"/>
    <cellStyle name="Comma [0] 2 7 2 2 6 2" xfId="31430"/>
    <cellStyle name="Comma [0] 2 7 2 2 7" xfId="31431"/>
    <cellStyle name="Comma [0] 2 7 2 3" xfId="31432"/>
    <cellStyle name="Comma [0] 2 7 2 3 2" xfId="31433"/>
    <cellStyle name="Comma [0] 2 7 2 3 2 2" xfId="31434"/>
    <cellStyle name="Comma [0] 2 7 2 3 2 2 2" xfId="31435"/>
    <cellStyle name="Comma [0] 2 7 2 3 2 3" xfId="31436"/>
    <cellStyle name="Comma [0] 2 7 2 3 3" xfId="31437"/>
    <cellStyle name="Comma [0] 2 7 2 3 3 2" xfId="31438"/>
    <cellStyle name="Comma [0] 2 7 2 3 4" xfId="31439"/>
    <cellStyle name="Comma [0] 2 7 2 3 4 2" xfId="31440"/>
    <cellStyle name="Comma [0] 2 7 2 3 5" xfId="31441"/>
    <cellStyle name="Comma [0] 2 7 2 3 5 2" xfId="31442"/>
    <cellStyle name="Comma [0] 2 7 2 3 6" xfId="31443"/>
    <cellStyle name="Comma [0] 2 7 2 4" xfId="31444"/>
    <cellStyle name="Comma [0] 2 7 2 4 2" xfId="31445"/>
    <cellStyle name="Comma [0] 2 7 2 4 2 2" xfId="31446"/>
    <cellStyle name="Comma [0] 2 7 2 4 3" xfId="31447"/>
    <cellStyle name="Comma [0] 2 7 2 5" xfId="31448"/>
    <cellStyle name="Comma [0] 2 7 2 5 2" xfId="31449"/>
    <cellStyle name="Comma [0] 2 7 2 6" xfId="31450"/>
    <cellStyle name="Comma [0] 2 7 2 6 2" xfId="31451"/>
    <cellStyle name="Comma [0] 2 7 2 7" xfId="31452"/>
    <cellStyle name="Comma [0] 2 7 2 7 2" xfId="31453"/>
    <cellStyle name="Comma [0] 2 7 2 8" xfId="31454"/>
    <cellStyle name="Comma [0] 2 7 3" xfId="31455"/>
    <cellStyle name="Comma [0] 2 7 3 2" xfId="31456"/>
    <cellStyle name="Comma [0] 2 7 3 2 2" xfId="31457"/>
    <cellStyle name="Comma [0] 2 7 3 2 2 2" xfId="31458"/>
    <cellStyle name="Comma [0] 2 7 3 2 2 2 2" xfId="31459"/>
    <cellStyle name="Comma [0] 2 7 3 2 2 2 2 2" xfId="31460"/>
    <cellStyle name="Comma [0] 2 7 3 2 2 2 3" xfId="31461"/>
    <cellStyle name="Comma [0] 2 7 3 2 2 3" xfId="31462"/>
    <cellStyle name="Comma [0] 2 7 3 2 2 3 2" xfId="31463"/>
    <cellStyle name="Comma [0] 2 7 3 2 2 4" xfId="31464"/>
    <cellStyle name="Comma [0] 2 7 3 2 2 4 2" xfId="31465"/>
    <cellStyle name="Comma [0] 2 7 3 2 2 5" xfId="31466"/>
    <cellStyle name="Comma [0] 2 7 3 2 2 5 2" xfId="31467"/>
    <cellStyle name="Comma [0] 2 7 3 2 2 6" xfId="31468"/>
    <cellStyle name="Comma [0] 2 7 3 2 3" xfId="31469"/>
    <cellStyle name="Comma [0] 2 7 3 2 3 2" xfId="31470"/>
    <cellStyle name="Comma [0] 2 7 3 2 3 2 2" xfId="31471"/>
    <cellStyle name="Comma [0] 2 7 3 2 3 3" xfId="31472"/>
    <cellStyle name="Comma [0] 2 7 3 2 4" xfId="31473"/>
    <cellStyle name="Comma [0] 2 7 3 2 4 2" xfId="31474"/>
    <cellStyle name="Comma [0] 2 7 3 2 5" xfId="31475"/>
    <cellStyle name="Comma [0] 2 7 3 2 5 2" xfId="31476"/>
    <cellStyle name="Comma [0] 2 7 3 2 6" xfId="31477"/>
    <cellStyle name="Comma [0] 2 7 3 2 6 2" xfId="31478"/>
    <cellStyle name="Comma [0] 2 7 3 2 7" xfId="31479"/>
    <cellStyle name="Comma [0] 2 7 3 3" xfId="31480"/>
    <cellStyle name="Comma [0] 2 7 3 3 2" xfId="31481"/>
    <cellStyle name="Comma [0] 2 7 3 3 2 2" xfId="31482"/>
    <cellStyle name="Comma [0] 2 7 3 3 2 2 2" xfId="31483"/>
    <cellStyle name="Comma [0] 2 7 3 3 2 3" xfId="31484"/>
    <cellStyle name="Comma [0] 2 7 3 3 3" xfId="31485"/>
    <cellStyle name="Comma [0] 2 7 3 3 3 2" xfId="31486"/>
    <cellStyle name="Comma [0] 2 7 3 3 4" xfId="31487"/>
    <cellStyle name="Comma [0] 2 7 3 3 4 2" xfId="31488"/>
    <cellStyle name="Comma [0] 2 7 3 3 5" xfId="31489"/>
    <cellStyle name="Comma [0] 2 7 3 3 5 2" xfId="31490"/>
    <cellStyle name="Comma [0] 2 7 3 3 6" xfId="31491"/>
    <cellStyle name="Comma [0] 2 7 3 4" xfId="31492"/>
    <cellStyle name="Comma [0] 2 7 3 4 2" xfId="31493"/>
    <cellStyle name="Comma [0] 2 7 3 4 2 2" xfId="31494"/>
    <cellStyle name="Comma [0] 2 7 3 4 3" xfId="31495"/>
    <cellStyle name="Comma [0] 2 7 3 5" xfId="31496"/>
    <cellStyle name="Comma [0] 2 7 3 5 2" xfId="31497"/>
    <cellStyle name="Comma [0] 2 7 3 6" xfId="31498"/>
    <cellStyle name="Comma [0] 2 7 3 6 2" xfId="31499"/>
    <cellStyle name="Comma [0] 2 7 3 7" xfId="31500"/>
    <cellStyle name="Comma [0] 2 7 3 7 2" xfId="31501"/>
    <cellStyle name="Comma [0] 2 7 3 8" xfId="31502"/>
    <cellStyle name="Comma [0] 2 7 4" xfId="31503"/>
    <cellStyle name="Comma [0] 2 7 4 2" xfId="31504"/>
    <cellStyle name="Comma [0] 2 7 4 2 2" xfId="31505"/>
    <cellStyle name="Comma [0] 2 7 4 2 2 2" xfId="31506"/>
    <cellStyle name="Comma [0] 2 7 4 2 2 2 2" xfId="31507"/>
    <cellStyle name="Comma [0] 2 7 4 2 2 3" xfId="31508"/>
    <cellStyle name="Comma [0] 2 7 4 2 3" xfId="31509"/>
    <cellStyle name="Comma [0] 2 7 4 2 3 2" xfId="31510"/>
    <cellStyle name="Comma [0] 2 7 4 2 4" xfId="31511"/>
    <cellStyle name="Comma [0] 2 7 4 2 4 2" xfId="31512"/>
    <cellStyle name="Comma [0] 2 7 4 2 5" xfId="31513"/>
    <cellStyle name="Comma [0] 2 7 4 2 5 2" xfId="31514"/>
    <cellStyle name="Comma [0] 2 7 4 2 6" xfId="31515"/>
    <cellStyle name="Comma [0] 2 7 4 3" xfId="31516"/>
    <cellStyle name="Comma [0] 2 7 4 3 2" xfId="31517"/>
    <cellStyle name="Comma [0] 2 7 4 3 2 2" xfId="31518"/>
    <cellStyle name="Comma [0] 2 7 4 3 3" xfId="31519"/>
    <cellStyle name="Comma [0] 2 7 4 4" xfId="31520"/>
    <cellStyle name="Comma [0] 2 7 4 4 2" xfId="31521"/>
    <cellStyle name="Comma [0] 2 7 4 5" xfId="31522"/>
    <cellStyle name="Comma [0] 2 7 4 5 2" xfId="31523"/>
    <cellStyle name="Comma [0] 2 7 4 6" xfId="31524"/>
    <cellStyle name="Comma [0] 2 7 4 6 2" xfId="31525"/>
    <cellStyle name="Comma [0] 2 7 4 7" xfId="31526"/>
    <cellStyle name="Comma [0] 2 7 5" xfId="31527"/>
    <cellStyle name="Comma [0] 2 7 5 2" xfId="31528"/>
    <cellStyle name="Comma [0] 2 7 5 2 2" xfId="31529"/>
    <cellStyle name="Comma [0] 2 7 5 2 2 2" xfId="31530"/>
    <cellStyle name="Comma [0] 2 7 5 2 2 2 2" xfId="31531"/>
    <cellStyle name="Comma [0] 2 7 5 2 2 3" xfId="31532"/>
    <cellStyle name="Comma [0] 2 7 5 2 3" xfId="31533"/>
    <cellStyle name="Comma [0] 2 7 5 2 3 2" xfId="31534"/>
    <cellStyle name="Comma [0] 2 7 5 2 4" xfId="31535"/>
    <cellStyle name="Comma [0] 2 7 5 2 4 2" xfId="31536"/>
    <cellStyle name="Comma [0] 2 7 5 2 5" xfId="31537"/>
    <cellStyle name="Comma [0] 2 7 5 2 5 2" xfId="31538"/>
    <cellStyle name="Comma [0] 2 7 5 2 6" xfId="31539"/>
    <cellStyle name="Comma [0] 2 7 5 3" xfId="31540"/>
    <cellStyle name="Comma [0] 2 7 5 3 2" xfId="31541"/>
    <cellStyle name="Comma [0] 2 7 5 3 2 2" xfId="31542"/>
    <cellStyle name="Comma [0] 2 7 5 3 3" xfId="31543"/>
    <cellStyle name="Comma [0] 2 7 5 4" xfId="31544"/>
    <cellStyle name="Comma [0] 2 7 5 4 2" xfId="31545"/>
    <cellStyle name="Comma [0] 2 7 5 5" xfId="31546"/>
    <cellStyle name="Comma [0] 2 7 5 5 2" xfId="31547"/>
    <cellStyle name="Comma [0] 2 7 5 6" xfId="31548"/>
    <cellStyle name="Comma [0] 2 7 5 6 2" xfId="31549"/>
    <cellStyle name="Comma [0] 2 7 5 7" xfId="31550"/>
    <cellStyle name="Comma [0] 2 7 6" xfId="31551"/>
    <cellStyle name="Comma [0] 2 7 6 2" xfId="31552"/>
    <cellStyle name="Comma [0] 2 7 6 2 2" xfId="31553"/>
    <cellStyle name="Comma [0] 2 7 6 2 2 2" xfId="31554"/>
    <cellStyle name="Comma [0] 2 7 6 2 3" xfId="31555"/>
    <cellStyle name="Comma [0] 2 7 6 3" xfId="31556"/>
    <cellStyle name="Comma [0] 2 7 6 3 2" xfId="31557"/>
    <cellStyle name="Comma [0] 2 7 6 4" xfId="31558"/>
    <cellStyle name="Comma [0] 2 7 6 4 2" xfId="31559"/>
    <cellStyle name="Comma [0] 2 7 6 5" xfId="31560"/>
    <cellStyle name="Comma [0] 2 7 6 5 2" xfId="31561"/>
    <cellStyle name="Comma [0] 2 7 6 6" xfId="31562"/>
    <cellStyle name="Comma [0] 2 7 7" xfId="31563"/>
    <cellStyle name="Comma [0] 2 7 7 2" xfId="31564"/>
    <cellStyle name="Comma [0] 2 7 7 2 2" xfId="31565"/>
    <cellStyle name="Comma [0] 2 7 7 2 2 2" xfId="31566"/>
    <cellStyle name="Comma [0] 2 7 7 2 3" xfId="31567"/>
    <cellStyle name="Comma [0] 2 7 7 3" xfId="31568"/>
    <cellStyle name="Comma [0] 2 7 7 3 2" xfId="31569"/>
    <cellStyle name="Comma [0] 2 7 7 4" xfId="31570"/>
    <cellStyle name="Comma [0] 2 7 7 4 2" xfId="31571"/>
    <cellStyle name="Comma [0] 2 7 7 5" xfId="31572"/>
    <cellStyle name="Comma [0] 2 7 7 5 2" xfId="31573"/>
    <cellStyle name="Comma [0] 2 7 7 6" xfId="31574"/>
    <cellStyle name="Comma [0] 2 7 8" xfId="31575"/>
    <cellStyle name="Comma [0] 2 7 8 2" xfId="31576"/>
    <cellStyle name="Comma [0] 2 7 8 2 2" xfId="31577"/>
    <cellStyle name="Comma [0] 2 7 8 3" xfId="31578"/>
    <cellStyle name="Comma [0] 2 7 9" xfId="31579"/>
    <cellStyle name="Comma [0] 2 7 9 2" xfId="31580"/>
    <cellStyle name="Comma [0] 2 8" xfId="31581"/>
    <cellStyle name="Comma [0] 2 8 2" xfId="31582"/>
    <cellStyle name="Comma [0] 2 8 2 2" xfId="31583"/>
    <cellStyle name="Comma [0] 2 8 3" xfId="31584"/>
    <cellStyle name="Comma [0] 2 9" xfId="31585"/>
    <cellStyle name="Comma [0] 2 9 2" xfId="31586"/>
    <cellStyle name="Comma [0] 2 9 2 2" xfId="31587"/>
    <cellStyle name="Comma [0] 2 9 2 2 2" xfId="31588"/>
    <cellStyle name="Comma [0] 2 9 2 2 2 2" xfId="31589"/>
    <cellStyle name="Comma [0] 2 9 2 2 2 2 2" xfId="31590"/>
    <cellStyle name="Comma [0] 2 9 2 2 2 3" xfId="31591"/>
    <cellStyle name="Comma [0] 2 9 2 2 3" xfId="31592"/>
    <cellStyle name="Comma [0] 2 9 2 2 3 2" xfId="31593"/>
    <cellStyle name="Comma [0] 2 9 2 2 4" xfId="31594"/>
    <cellStyle name="Comma [0] 2 9 2 2 4 2" xfId="31595"/>
    <cellStyle name="Comma [0] 2 9 2 2 5" xfId="31596"/>
    <cellStyle name="Comma [0] 2 9 2 2 5 2" xfId="31597"/>
    <cellStyle name="Comma [0] 2 9 2 2 6" xfId="31598"/>
    <cellStyle name="Comma [0] 2 9 2 3" xfId="31599"/>
    <cellStyle name="Comma [0] 2 9 2 3 2" xfId="31600"/>
    <cellStyle name="Comma [0] 2 9 2 3 2 2" xfId="31601"/>
    <cellStyle name="Comma [0] 2 9 2 3 3" xfId="31602"/>
    <cellStyle name="Comma [0] 2 9 2 4" xfId="31603"/>
    <cellStyle name="Comma [0] 2 9 2 4 2" xfId="31604"/>
    <cellStyle name="Comma [0] 2 9 2 5" xfId="31605"/>
    <cellStyle name="Comma [0] 2 9 2 5 2" xfId="31606"/>
    <cellStyle name="Comma [0] 2 9 2 6" xfId="31607"/>
    <cellStyle name="Comma [0] 2 9 2 6 2" xfId="31608"/>
    <cellStyle name="Comma [0] 2 9 2 7" xfId="31609"/>
    <cellStyle name="Comma [0] 2 9 3" xfId="31610"/>
    <cellStyle name="Comma [0] 2 9 3 2" xfId="31611"/>
    <cellStyle name="Comma [0] 2 9 3 2 2" xfId="31612"/>
    <cellStyle name="Comma [0] 2 9 3 2 2 2" xfId="31613"/>
    <cellStyle name="Comma [0] 2 9 3 2 3" xfId="31614"/>
    <cellStyle name="Comma [0] 2 9 3 3" xfId="31615"/>
    <cellStyle name="Comma [0] 2 9 3 3 2" xfId="31616"/>
    <cellStyle name="Comma [0] 2 9 3 4" xfId="31617"/>
    <cellStyle name="Comma [0] 2 9 3 4 2" xfId="31618"/>
    <cellStyle name="Comma [0] 2 9 3 5" xfId="31619"/>
    <cellStyle name="Comma [0] 2 9 3 5 2" xfId="31620"/>
    <cellStyle name="Comma [0] 2 9 3 6" xfId="31621"/>
    <cellStyle name="Comma [0] 2 9 4" xfId="31622"/>
    <cellStyle name="Comma [0] 2 9 4 2" xfId="31623"/>
    <cellStyle name="Comma [0] 2 9 4 2 2" xfId="31624"/>
    <cellStyle name="Comma [0] 2 9 4 3" xfId="31625"/>
    <cellStyle name="Comma [0] 2 9 5" xfId="31626"/>
    <cellStyle name="Comma [0] 2 9 5 2" xfId="31627"/>
    <cellStyle name="Comma [0] 2 9 6" xfId="31628"/>
    <cellStyle name="Comma [0] 2 9 6 2" xfId="31629"/>
    <cellStyle name="Comma [0] 2 9 7" xfId="31630"/>
    <cellStyle name="Comma [0] 2 9 7 2" xfId="31631"/>
    <cellStyle name="Comma [0] 2 9 8" xfId="31632"/>
    <cellStyle name="Comma [0] 20" xfId="31633"/>
    <cellStyle name="Comma [0] 20 2" xfId="31634"/>
    <cellStyle name="Comma [0] 20 3" xfId="31635"/>
    <cellStyle name="Comma [0] 21" xfId="31636"/>
    <cellStyle name="Comma [0] 21 2" xfId="58411"/>
    <cellStyle name="Comma [0] 22" xfId="31637"/>
    <cellStyle name="Comma [0] 23" xfId="31638"/>
    <cellStyle name="Comma [0] 23 2" xfId="31639"/>
    <cellStyle name="Comma [0] 24" xfId="31640"/>
    <cellStyle name="Comma [0] 25" xfId="31641"/>
    <cellStyle name="Comma [0] 26" xfId="31642"/>
    <cellStyle name="Comma [0] 26 2" xfId="31643"/>
    <cellStyle name="Comma [0] 27" xfId="31644"/>
    <cellStyle name="Comma [0] 28" xfId="31645"/>
    <cellStyle name="Comma [0] 29" xfId="31646"/>
    <cellStyle name="Comma [0] 3" xfId="57"/>
    <cellStyle name="Comma [0] 3 10" xfId="31647"/>
    <cellStyle name="Comma [0] 3 10 2" xfId="31648"/>
    <cellStyle name="Comma [0] 3 10 2 2" xfId="31649"/>
    <cellStyle name="Comma [0] 3 10 3" xfId="31650"/>
    <cellStyle name="Comma [0] 3 11" xfId="31651"/>
    <cellStyle name="Comma [0] 3 11 2" xfId="31652"/>
    <cellStyle name="Comma [0] 3 12" xfId="31653"/>
    <cellStyle name="Comma [0] 3 13" xfId="31654"/>
    <cellStyle name="Comma [0] 3 13 2" xfId="58412"/>
    <cellStyle name="Comma [0] 3 14" xfId="57503"/>
    <cellStyle name="Comma [0] 3 2" xfId="31655"/>
    <cellStyle name="Comma [0] 3 2 2" xfId="31656"/>
    <cellStyle name="Comma [0] 3 2 2 2" xfId="31657"/>
    <cellStyle name="Comma [0] 3 2 2 2 2" xfId="31658"/>
    <cellStyle name="Comma [0] 3 2 2 2 2 2" xfId="31659"/>
    <cellStyle name="Comma [0] 3 2 2 2 2 2 2" xfId="31660"/>
    <cellStyle name="Comma [0] 3 2 2 2 2 3" xfId="31661"/>
    <cellStyle name="Comma [0] 3 2 2 2 3" xfId="31662"/>
    <cellStyle name="Comma [0] 3 2 2 2 3 2" xfId="31663"/>
    <cellStyle name="Comma [0] 3 2 2 2 4" xfId="31664"/>
    <cellStyle name="Comma [0] 3 2 2 2 4 2" xfId="31665"/>
    <cellStyle name="Comma [0] 3 2 2 2 5" xfId="31666"/>
    <cellStyle name="Comma [0] 3 2 2 2 5 2" xfId="31667"/>
    <cellStyle name="Comma [0] 3 2 2 2 6" xfId="31668"/>
    <cellStyle name="Comma [0] 3 2 2 3" xfId="31669"/>
    <cellStyle name="Comma [0] 3 2 2 3 2" xfId="31670"/>
    <cellStyle name="Comma [0] 3 2 2 3 2 2" xfId="31671"/>
    <cellStyle name="Comma [0] 3 2 2 3 3" xfId="31672"/>
    <cellStyle name="Comma [0] 3 2 2 4" xfId="31673"/>
    <cellStyle name="Comma [0] 3 2 2 4 2" xfId="31674"/>
    <cellStyle name="Comma [0] 3 2 2 5" xfId="31675"/>
    <cellStyle name="Comma [0] 3 2 2 5 2" xfId="31676"/>
    <cellStyle name="Comma [0] 3 2 2 6" xfId="31677"/>
    <cellStyle name="Comma [0] 3 2 2 6 2" xfId="31678"/>
    <cellStyle name="Comma [0] 3 2 2 7" xfId="31679"/>
    <cellStyle name="Comma [0] 3 2 2 8" xfId="57505"/>
    <cellStyle name="Comma [0] 3 2 3" xfId="31680"/>
    <cellStyle name="Comma [0] 3 2 3 2" xfId="31681"/>
    <cellStyle name="Comma [0] 3 2 3 2 2" xfId="31682"/>
    <cellStyle name="Comma [0] 3 2 3 2 2 2" xfId="31683"/>
    <cellStyle name="Comma [0] 3 2 3 2 3" xfId="31684"/>
    <cellStyle name="Comma [0] 3 2 3 3" xfId="31685"/>
    <cellStyle name="Comma [0] 3 2 3 3 2" xfId="31686"/>
    <cellStyle name="Comma [0] 3 2 3 4" xfId="31687"/>
    <cellStyle name="Comma [0] 3 2 3 4 2" xfId="31688"/>
    <cellStyle name="Comma [0] 3 2 3 5" xfId="31689"/>
    <cellStyle name="Comma [0] 3 2 3 5 2" xfId="31690"/>
    <cellStyle name="Comma [0] 3 2 3 6" xfId="31691"/>
    <cellStyle name="Comma [0] 3 2 4" xfId="31692"/>
    <cellStyle name="Comma [0] 3 2 4 2" xfId="31693"/>
    <cellStyle name="Comma [0] 3 2 4 2 2" xfId="31694"/>
    <cellStyle name="Comma [0] 3 2 4 3" xfId="31695"/>
    <cellStyle name="Comma [0] 3 2 5" xfId="31696"/>
    <cellStyle name="Comma [0] 3 2 5 2" xfId="31697"/>
    <cellStyle name="Comma [0] 3 2 6" xfId="31698"/>
    <cellStyle name="Comma [0] 3 2 6 2" xfId="31699"/>
    <cellStyle name="Comma [0] 3 2 7" xfId="31700"/>
    <cellStyle name="Comma [0] 3 2 7 2" xfId="31701"/>
    <cellStyle name="Comma [0] 3 2 8" xfId="31702"/>
    <cellStyle name="Comma [0] 3 2 9" xfId="57504"/>
    <cellStyle name="Comma [0] 3 3" xfId="31703"/>
    <cellStyle name="Comma [0] 3 3 2" xfId="31704"/>
    <cellStyle name="Comma [0] 3 3 2 2" xfId="31705"/>
    <cellStyle name="Comma [0] 3 3 2 2 2" xfId="31706"/>
    <cellStyle name="Comma [0] 3 3 2 2 2 2" xfId="31707"/>
    <cellStyle name="Comma [0] 3 3 2 2 2 2 2" xfId="31708"/>
    <cellStyle name="Comma [0] 3 3 2 2 2 3" xfId="31709"/>
    <cellStyle name="Comma [0] 3 3 2 2 3" xfId="31710"/>
    <cellStyle name="Comma [0] 3 3 2 2 3 2" xfId="31711"/>
    <cellStyle name="Comma [0] 3 3 2 2 4" xfId="31712"/>
    <cellStyle name="Comma [0] 3 3 2 2 4 2" xfId="31713"/>
    <cellStyle name="Comma [0] 3 3 2 2 5" xfId="31714"/>
    <cellStyle name="Comma [0] 3 3 2 2 5 2" xfId="31715"/>
    <cellStyle name="Comma [0] 3 3 2 2 6" xfId="31716"/>
    <cellStyle name="Comma [0] 3 3 2 3" xfId="31717"/>
    <cellStyle name="Comma [0] 3 3 2 3 2" xfId="31718"/>
    <cellStyle name="Comma [0] 3 3 2 3 2 2" xfId="31719"/>
    <cellStyle name="Comma [0] 3 3 2 3 3" xfId="31720"/>
    <cellStyle name="Comma [0] 3 3 2 4" xfId="31721"/>
    <cellStyle name="Comma [0] 3 3 2 4 2" xfId="31722"/>
    <cellStyle name="Comma [0] 3 3 2 5" xfId="31723"/>
    <cellStyle name="Comma [0] 3 3 2 5 2" xfId="31724"/>
    <cellStyle name="Comma [0] 3 3 2 6" xfId="31725"/>
    <cellStyle name="Comma [0] 3 3 2 6 2" xfId="31726"/>
    <cellStyle name="Comma [0] 3 3 2 7" xfId="31727"/>
    <cellStyle name="Comma [0] 3 3 3" xfId="31728"/>
    <cellStyle name="Comma [0] 3 3 3 2" xfId="31729"/>
    <cellStyle name="Comma [0] 3 3 3 2 2" xfId="31730"/>
    <cellStyle name="Comma [0] 3 3 3 2 2 2" xfId="31731"/>
    <cellStyle name="Comma [0] 3 3 3 2 3" xfId="31732"/>
    <cellStyle name="Comma [0] 3 3 3 3" xfId="31733"/>
    <cellStyle name="Comma [0] 3 3 3 3 2" xfId="31734"/>
    <cellStyle name="Comma [0] 3 3 3 4" xfId="31735"/>
    <cellStyle name="Comma [0] 3 3 3 4 2" xfId="31736"/>
    <cellStyle name="Comma [0] 3 3 3 5" xfId="31737"/>
    <cellStyle name="Comma [0] 3 3 3 5 2" xfId="31738"/>
    <cellStyle name="Comma [0] 3 3 3 6" xfId="31739"/>
    <cellStyle name="Comma [0] 3 3 4" xfId="31740"/>
    <cellStyle name="Comma [0] 3 3 4 2" xfId="31741"/>
    <cellStyle name="Comma [0] 3 3 4 2 2" xfId="31742"/>
    <cellStyle name="Comma [0] 3 3 4 3" xfId="31743"/>
    <cellStyle name="Comma [0] 3 3 5" xfId="31744"/>
    <cellStyle name="Comma [0] 3 3 5 2" xfId="31745"/>
    <cellStyle name="Comma [0] 3 3 6" xfId="31746"/>
    <cellStyle name="Comma [0] 3 3 6 2" xfId="31747"/>
    <cellStyle name="Comma [0] 3 3 7" xfId="31748"/>
    <cellStyle name="Comma [0] 3 3 7 2" xfId="31749"/>
    <cellStyle name="Comma [0] 3 3 8" xfId="31750"/>
    <cellStyle name="Comma [0] 3 3 9" xfId="57506"/>
    <cellStyle name="Comma [0] 3 4" xfId="31751"/>
    <cellStyle name="Comma [0] 3 4 2" xfId="31752"/>
    <cellStyle name="Comma [0] 3 4 2 2" xfId="31753"/>
    <cellStyle name="Comma [0] 3 4 2 2 2" xfId="31754"/>
    <cellStyle name="Comma [0] 3 4 2 2 2 2" xfId="31755"/>
    <cellStyle name="Comma [0] 3 4 2 2 3" xfId="31756"/>
    <cellStyle name="Comma [0] 3 4 2 3" xfId="31757"/>
    <cellStyle name="Comma [0] 3 4 2 3 2" xfId="31758"/>
    <cellStyle name="Comma [0] 3 4 2 4" xfId="31759"/>
    <cellStyle name="Comma [0] 3 4 2 4 2" xfId="31760"/>
    <cellStyle name="Comma [0] 3 4 2 5" xfId="31761"/>
    <cellStyle name="Comma [0] 3 4 2 5 2" xfId="31762"/>
    <cellStyle name="Comma [0] 3 4 2 6" xfId="31763"/>
    <cellStyle name="Comma [0] 3 4 3" xfId="31764"/>
    <cellStyle name="Comma [0] 3 4 3 2" xfId="31765"/>
    <cellStyle name="Comma [0] 3 4 3 2 2" xfId="31766"/>
    <cellStyle name="Comma [0] 3 4 3 3" xfId="31767"/>
    <cellStyle name="Comma [0] 3 4 4" xfId="31768"/>
    <cellStyle name="Comma [0] 3 4 4 2" xfId="31769"/>
    <cellStyle name="Comma [0] 3 4 5" xfId="31770"/>
    <cellStyle name="Comma [0] 3 4 5 2" xfId="31771"/>
    <cellStyle name="Comma [0] 3 4 6" xfId="31772"/>
    <cellStyle name="Comma [0] 3 4 6 2" xfId="31773"/>
    <cellStyle name="Comma [0] 3 4 7" xfId="31774"/>
    <cellStyle name="Comma [0] 3 5" xfId="31775"/>
    <cellStyle name="Comma [0] 3 5 2" xfId="31776"/>
    <cellStyle name="Comma [0] 3 5 2 2" xfId="31777"/>
    <cellStyle name="Comma [0] 3 5 2 2 2" xfId="31778"/>
    <cellStyle name="Comma [0] 3 5 2 2 2 2" xfId="31779"/>
    <cellStyle name="Comma [0] 3 5 2 2 3" xfId="31780"/>
    <cellStyle name="Comma [0] 3 5 2 3" xfId="31781"/>
    <cellStyle name="Comma [0] 3 5 2 3 2" xfId="31782"/>
    <cellStyle name="Comma [0] 3 5 2 4" xfId="31783"/>
    <cellStyle name="Comma [0] 3 5 2 4 2" xfId="31784"/>
    <cellStyle name="Comma [0] 3 5 2 5" xfId="31785"/>
    <cellStyle name="Comma [0] 3 5 2 5 2" xfId="31786"/>
    <cellStyle name="Comma [0] 3 5 2 6" xfId="31787"/>
    <cellStyle name="Comma [0] 3 5 3" xfId="31788"/>
    <cellStyle name="Comma [0] 3 5 3 2" xfId="31789"/>
    <cellStyle name="Comma [0] 3 5 3 2 2" xfId="31790"/>
    <cellStyle name="Comma [0] 3 5 3 3" xfId="31791"/>
    <cellStyle name="Comma [0] 3 5 4" xfId="31792"/>
    <cellStyle name="Comma [0] 3 5 4 2" xfId="31793"/>
    <cellStyle name="Comma [0] 3 5 5" xfId="31794"/>
    <cellStyle name="Comma [0] 3 5 5 2" xfId="31795"/>
    <cellStyle name="Comma [0] 3 5 6" xfId="31796"/>
    <cellStyle name="Comma [0] 3 5 6 2" xfId="31797"/>
    <cellStyle name="Comma [0] 3 5 7" xfId="31798"/>
    <cellStyle name="Comma [0] 3 6" xfId="31799"/>
    <cellStyle name="Comma [0] 3 6 2" xfId="31800"/>
    <cellStyle name="Comma [0] 3 6 2 2" xfId="31801"/>
    <cellStyle name="Comma [0] 3 6 2 2 2" xfId="31802"/>
    <cellStyle name="Comma [0] 3 6 2 2 2 2" xfId="31803"/>
    <cellStyle name="Comma [0] 3 6 2 2 2 2 2" xfId="31804"/>
    <cellStyle name="Comma [0] 3 6 2 2 2 3" xfId="31805"/>
    <cellStyle name="Comma [0] 3 6 2 2 3" xfId="31806"/>
    <cellStyle name="Comma [0] 3 6 2 2 3 2" xfId="31807"/>
    <cellStyle name="Comma [0] 3 6 2 2 4" xfId="31808"/>
    <cellStyle name="Comma [0] 3 6 2 3" xfId="31809"/>
    <cellStyle name="Comma [0] 3 6 2 3 2" xfId="31810"/>
    <cellStyle name="Comma [0] 3 6 2 3 2 2" xfId="31811"/>
    <cellStyle name="Comma [0] 3 6 2 3 3" xfId="31812"/>
    <cellStyle name="Comma [0] 3 6 2 4" xfId="31813"/>
    <cellStyle name="Comma [0] 3 6 2 4 2" xfId="31814"/>
    <cellStyle name="Comma [0] 3 6 2 5" xfId="31815"/>
    <cellStyle name="Comma [0] 3 6 3" xfId="31816"/>
    <cellStyle name="Comma [0] 3 6 3 2" xfId="31817"/>
    <cellStyle name="Comma [0] 3 6 3 2 2" xfId="31818"/>
    <cellStyle name="Comma [0] 3 6 3 2 2 2" xfId="31819"/>
    <cellStyle name="Comma [0] 3 6 3 2 3" xfId="31820"/>
    <cellStyle name="Comma [0] 3 6 3 3" xfId="31821"/>
    <cellStyle name="Comma [0] 3 6 3 3 2" xfId="31822"/>
    <cellStyle name="Comma [0] 3 6 3 4" xfId="31823"/>
    <cellStyle name="Comma [0] 3 6 4" xfId="31824"/>
    <cellStyle name="Comma [0] 3 6 4 2" xfId="31825"/>
    <cellStyle name="Comma [0] 3 6 4 2 2" xfId="31826"/>
    <cellStyle name="Comma [0] 3 6 4 3" xfId="31827"/>
    <cellStyle name="Comma [0] 3 6 5" xfId="31828"/>
    <cellStyle name="Comma [0] 3 6 5 2" xfId="31829"/>
    <cellStyle name="Comma [0] 3 6 6" xfId="31830"/>
    <cellStyle name="Comma [0] 3 7" xfId="31831"/>
    <cellStyle name="Comma [0] 3 7 2" xfId="31832"/>
    <cellStyle name="Comma [0] 3 7 2 2" xfId="31833"/>
    <cellStyle name="Comma [0] 3 7 2 2 2" xfId="31834"/>
    <cellStyle name="Comma [0] 3 7 2 2 2 2" xfId="31835"/>
    <cellStyle name="Comma [0] 3 7 2 2 2 2 2" xfId="31836"/>
    <cellStyle name="Comma [0] 3 7 2 2 2 3" xfId="31837"/>
    <cellStyle name="Comma [0] 3 7 2 2 3" xfId="31838"/>
    <cellStyle name="Comma [0] 3 7 2 2 3 2" xfId="31839"/>
    <cellStyle name="Comma [0] 3 7 2 2 4" xfId="31840"/>
    <cellStyle name="Comma [0] 3 7 2 3" xfId="31841"/>
    <cellStyle name="Comma [0] 3 7 2 3 2" xfId="31842"/>
    <cellStyle name="Comma [0] 3 7 2 3 2 2" xfId="31843"/>
    <cellStyle name="Comma [0] 3 7 2 3 3" xfId="31844"/>
    <cellStyle name="Comma [0] 3 7 2 4" xfId="31845"/>
    <cellStyle name="Comma [0] 3 7 2 4 2" xfId="31846"/>
    <cellStyle name="Comma [0] 3 7 2 5" xfId="31847"/>
    <cellStyle name="Comma [0] 3 7 3" xfId="31848"/>
    <cellStyle name="Comma [0] 3 7 3 2" xfId="31849"/>
    <cellStyle name="Comma [0] 3 7 3 2 2" xfId="31850"/>
    <cellStyle name="Comma [0] 3 7 3 2 2 2" xfId="31851"/>
    <cellStyle name="Comma [0] 3 7 3 2 3" xfId="31852"/>
    <cellStyle name="Comma [0] 3 7 3 3" xfId="31853"/>
    <cellStyle name="Comma [0] 3 7 3 3 2" xfId="31854"/>
    <cellStyle name="Comma [0] 3 7 3 4" xfId="31855"/>
    <cellStyle name="Comma [0] 3 7 4" xfId="31856"/>
    <cellStyle name="Comma [0] 3 7 4 2" xfId="31857"/>
    <cellStyle name="Comma [0] 3 7 4 2 2" xfId="31858"/>
    <cellStyle name="Comma [0] 3 7 4 3" xfId="31859"/>
    <cellStyle name="Comma [0] 3 7 5" xfId="31860"/>
    <cellStyle name="Comma [0] 3 7 5 2" xfId="31861"/>
    <cellStyle name="Comma [0] 3 7 6" xfId="31862"/>
    <cellStyle name="Comma [0] 3 8" xfId="31863"/>
    <cellStyle name="Comma [0] 3 8 2" xfId="31864"/>
    <cellStyle name="Comma [0] 3 8 2 2" xfId="31865"/>
    <cellStyle name="Comma [0] 3 8 2 2 2" xfId="31866"/>
    <cellStyle name="Comma [0] 3 8 2 2 2 2" xfId="31867"/>
    <cellStyle name="Comma [0] 3 8 2 2 3" xfId="31868"/>
    <cellStyle name="Comma [0] 3 8 2 3" xfId="31869"/>
    <cellStyle name="Comma [0] 3 8 2 3 2" xfId="31870"/>
    <cellStyle name="Comma [0] 3 8 2 4" xfId="31871"/>
    <cellStyle name="Comma [0] 3 8 3" xfId="31872"/>
    <cellStyle name="Comma [0] 3 8 3 2" xfId="31873"/>
    <cellStyle name="Comma [0] 3 8 3 2 2" xfId="31874"/>
    <cellStyle name="Comma [0] 3 8 3 3" xfId="31875"/>
    <cellStyle name="Comma [0] 3 8 4" xfId="31876"/>
    <cellStyle name="Comma [0] 3 8 4 2" xfId="31877"/>
    <cellStyle name="Comma [0] 3 8 5" xfId="31878"/>
    <cellStyle name="Comma [0] 3 9" xfId="31879"/>
    <cellStyle name="Comma [0] 3 9 2" xfId="31880"/>
    <cellStyle name="Comma [0] 3 9 2 2" xfId="31881"/>
    <cellStyle name="Comma [0] 3 9 2 2 2" xfId="31882"/>
    <cellStyle name="Comma [0] 3 9 2 3" xfId="31883"/>
    <cellStyle name="Comma [0] 3 9 3" xfId="31884"/>
    <cellStyle name="Comma [0] 3 9 3 2" xfId="31885"/>
    <cellStyle name="Comma [0] 3 9 4" xfId="31886"/>
    <cellStyle name="Comma [0] 30" xfId="31887"/>
    <cellStyle name="Comma [0] 31" xfId="31888"/>
    <cellStyle name="Comma [0] 32" xfId="31889"/>
    <cellStyle name="Comma [0] 33" xfId="31890"/>
    <cellStyle name="Comma [0] 34" xfId="31891"/>
    <cellStyle name="Comma [0] 35" xfId="31892"/>
    <cellStyle name="Comma [0] 36" xfId="31893"/>
    <cellStyle name="Comma [0] 37" xfId="31894"/>
    <cellStyle name="Comma [0] 38" xfId="21"/>
    <cellStyle name="Comma [0] 38 2" xfId="35"/>
    <cellStyle name="Comma [0] 38 2 2" xfId="53"/>
    <cellStyle name="Comma [0] 39" xfId="31895"/>
    <cellStyle name="Comma [0] 4" xfId="31896"/>
    <cellStyle name="Comma [0] 4 2" xfId="31897"/>
    <cellStyle name="Comma [0] 4 2 2" xfId="31898"/>
    <cellStyle name="Comma [0] 4 2 2 2" xfId="57509"/>
    <cellStyle name="Comma [0] 4 2 3" xfId="31899"/>
    <cellStyle name="Comma [0] 4 2 4" xfId="31900"/>
    <cellStyle name="Comma [0] 4 2 5" xfId="57508"/>
    <cellStyle name="Comma [0] 4 3" xfId="31901"/>
    <cellStyle name="Comma [0] 4 3 2" xfId="31902"/>
    <cellStyle name="Comma [0] 4 3 2 2" xfId="57511"/>
    <cellStyle name="Comma [0] 4 3 3" xfId="57510"/>
    <cellStyle name="Comma [0] 4 4" xfId="31903"/>
    <cellStyle name="Comma [0] 4 4 2" xfId="31904"/>
    <cellStyle name="Comma [0] 4 5" xfId="31905"/>
    <cellStyle name="Comma [0] 4 5 2" xfId="31906"/>
    <cellStyle name="Comma [0] 4 6" xfId="57507"/>
    <cellStyle name="Comma [0] 40" xfId="58327"/>
    <cellStyle name="Comma [0] 41" xfId="58332"/>
    <cellStyle name="Comma [0] 5" xfId="31907"/>
    <cellStyle name="Comma [0] 5 2" xfId="31908"/>
    <cellStyle name="Comma [0] 5 2 2" xfId="31909"/>
    <cellStyle name="Comma [0] 5 2 2 2" xfId="57514"/>
    <cellStyle name="Comma [0] 5 2 3" xfId="31910"/>
    <cellStyle name="Comma [0] 5 2 4" xfId="57513"/>
    <cellStyle name="Comma [0] 5 3" xfId="31911"/>
    <cellStyle name="Comma [0] 5 3 2" xfId="31912"/>
    <cellStyle name="Comma [0] 5 3 2 2" xfId="57516"/>
    <cellStyle name="Comma [0] 5 3 3" xfId="57515"/>
    <cellStyle name="Comma [0] 5 4" xfId="31913"/>
    <cellStyle name="Comma [0] 5 4 2" xfId="57517"/>
    <cellStyle name="Comma [0] 5 5" xfId="57512"/>
    <cellStyle name="Comma [0] 6" xfId="31914"/>
    <cellStyle name="Comma [0] 6 2" xfId="31915"/>
    <cellStyle name="Comma [0] 6 2 2" xfId="31916"/>
    <cellStyle name="Comma [0] 6 2 2 2" xfId="31917"/>
    <cellStyle name="Comma [0] 6 2 3" xfId="31918"/>
    <cellStyle name="Comma [0] 6 2 3 2" xfId="31919"/>
    <cellStyle name="Comma [0] 6 2 4" xfId="31920"/>
    <cellStyle name="Comma [0] 6 2 4 2" xfId="31921"/>
    <cellStyle name="Comma [0] 6 2 5" xfId="31922"/>
    <cellStyle name="Comma [0] 6 2 6" xfId="57519"/>
    <cellStyle name="Comma [0] 6 3" xfId="31923"/>
    <cellStyle name="Comma [0] 6 3 2" xfId="31924"/>
    <cellStyle name="Comma [0] 6 3 2 2" xfId="31925"/>
    <cellStyle name="Comma [0] 6 3 3" xfId="31926"/>
    <cellStyle name="Comma [0] 6 3 3 2" xfId="31927"/>
    <cellStyle name="Comma [0] 6 3 4" xfId="31928"/>
    <cellStyle name="Comma [0] 6 3 4 2" xfId="31929"/>
    <cellStyle name="Comma [0] 6 3 5" xfId="31930"/>
    <cellStyle name="Comma [0] 6 3 6" xfId="57520"/>
    <cellStyle name="Comma [0] 6 4" xfId="31931"/>
    <cellStyle name="Comma [0] 6 4 2" xfId="31932"/>
    <cellStyle name="Comma [0] 6 5" xfId="31933"/>
    <cellStyle name="Comma [0] 6 5 2" xfId="31934"/>
    <cellStyle name="Comma [0] 6 6" xfId="31935"/>
    <cellStyle name="Comma [0] 6 6 2" xfId="31936"/>
    <cellStyle name="Comma [0] 6 7" xfId="31937"/>
    <cellStyle name="Comma [0] 6 8" xfId="31938"/>
    <cellStyle name="Comma [0] 6 9" xfId="57518"/>
    <cellStyle name="Comma [0] 7" xfId="31939"/>
    <cellStyle name="Comma [0] 7 2" xfId="31940"/>
    <cellStyle name="Comma [0] 7 2 2" xfId="31941"/>
    <cellStyle name="Comma [0] 7 2 2 2" xfId="31942"/>
    <cellStyle name="Comma [0] 7 2 2 2 2" xfId="31943"/>
    <cellStyle name="Comma [0] 7 2 2 3" xfId="31944"/>
    <cellStyle name="Comma [0] 7 2 3" xfId="31945"/>
    <cellStyle name="Comma [0] 7 2 3 2" xfId="31946"/>
    <cellStyle name="Comma [0] 7 2 4" xfId="31947"/>
    <cellStyle name="Comma [0] 7 2 4 2" xfId="31948"/>
    <cellStyle name="Comma [0] 7 2 5" xfId="31949"/>
    <cellStyle name="Comma [0] 7 2 5 2" xfId="31950"/>
    <cellStyle name="Comma [0] 7 2 6" xfId="31951"/>
    <cellStyle name="Comma [0] 7 2 7" xfId="57522"/>
    <cellStyle name="Comma [0] 7 3" xfId="31952"/>
    <cellStyle name="Comma [0] 7 3 2" xfId="31953"/>
    <cellStyle name="Comma [0] 7 3 2 2" xfId="31954"/>
    <cellStyle name="Comma [0] 7 3 3" xfId="31955"/>
    <cellStyle name="Comma [0] 7 4" xfId="31956"/>
    <cellStyle name="Comma [0] 7 4 2" xfId="31957"/>
    <cellStyle name="Comma [0] 7 5" xfId="31958"/>
    <cellStyle name="Comma [0] 7 5 2" xfId="31959"/>
    <cellStyle name="Comma [0] 7 6" xfId="31960"/>
    <cellStyle name="Comma [0] 7 6 2" xfId="31961"/>
    <cellStyle name="Comma [0] 7 7" xfId="31962"/>
    <cellStyle name="Comma [0] 7 8" xfId="57521"/>
    <cellStyle name="Comma [0] 8" xfId="31963"/>
    <cellStyle name="Comma [0] 8 2" xfId="31964"/>
    <cellStyle name="Comma [0] 8 2 2" xfId="31965"/>
    <cellStyle name="Comma [0] 8 2 2 2" xfId="31966"/>
    <cellStyle name="Comma [0] 8 2 3" xfId="31967"/>
    <cellStyle name="Comma [0] 8 2 4" xfId="57524"/>
    <cellStyle name="Comma [0] 8 3" xfId="31968"/>
    <cellStyle name="Comma [0] 8 3 2" xfId="31969"/>
    <cellStyle name="Comma [0] 8 4" xfId="31970"/>
    <cellStyle name="Comma [0] 8 4 2" xfId="31971"/>
    <cellStyle name="Comma [0] 8 5" xfId="31972"/>
    <cellStyle name="Comma [0] 8 5 2" xfId="31973"/>
    <cellStyle name="Comma [0] 8 5 2 2" xfId="31974"/>
    <cellStyle name="Comma [0] 8 6" xfId="31975"/>
    <cellStyle name="Comma [0] 8 7" xfId="31976"/>
    <cellStyle name="Comma [0] 8 8" xfId="57523"/>
    <cellStyle name="Comma [0] 9" xfId="31977"/>
    <cellStyle name="Comma [0] 9 2" xfId="28"/>
    <cellStyle name="Comma [0] 9 2 2" xfId="48"/>
    <cellStyle name="Comma [0] 9 2 2 2" xfId="31978"/>
    <cellStyle name="Comma [0] 9 2 3" xfId="31979"/>
    <cellStyle name="Comma [0] 9 2 4" xfId="57526"/>
    <cellStyle name="Comma [0] 9 3" xfId="31980"/>
    <cellStyle name="Comma [0] 9 3 2" xfId="31981"/>
    <cellStyle name="Comma [0] 9 4" xfId="31982"/>
    <cellStyle name="Comma [0] 9 4 2" xfId="31983"/>
    <cellStyle name="Comma [0] 9 5" xfId="31984"/>
    <cellStyle name="Comma [0] 9 5 2" xfId="31985"/>
    <cellStyle name="Comma [0] 9 6" xfId="31986"/>
    <cellStyle name="Comma [0] 9 7" xfId="57525"/>
    <cellStyle name="Comma [00]" xfId="31987"/>
    <cellStyle name="Comma [000]" xfId="31988"/>
    <cellStyle name="Comma 0" xfId="31989"/>
    <cellStyle name="Comma 0 2" xfId="31990"/>
    <cellStyle name="Comma 0 2 2" xfId="31991"/>
    <cellStyle name="Comma 0 2 3" xfId="31992"/>
    <cellStyle name="Comma 0 3" xfId="31993"/>
    <cellStyle name="Comma 0 3 2" xfId="31994"/>
    <cellStyle name="Comma 0 4" xfId="31995"/>
    <cellStyle name="Comma 0 4 2" xfId="31996"/>
    <cellStyle name="Comma 0 5" xfId="31997"/>
    <cellStyle name="Comma 0 5 2" xfId="31998"/>
    <cellStyle name="Comma 0 6" xfId="31999"/>
    <cellStyle name="Comma 0 6 2" xfId="32000"/>
    <cellStyle name="Comma 10" xfId="55"/>
    <cellStyle name="Comma 10 10" xfId="32001"/>
    <cellStyle name="Comma 10 11" xfId="32002"/>
    <cellStyle name="Comma 10 12" xfId="32003"/>
    <cellStyle name="Comma 10 13" xfId="32004"/>
    <cellStyle name="Comma 10 14" xfId="32005"/>
    <cellStyle name="Comma 10 15" xfId="32006"/>
    <cellStyle name="Comma 10 16" xfId="32007"/>
    <cellStyle name="Comma 10 17" xfId="32008"/>
    <cellStyle name="Comma 10 18" xfId="32009"/>
    <cellStyle name="Comma 10 19" xfId="32010"/>
    <cellStyle name="Comma 10 2" xfId="32011"/>
    <cellStyle name="Comma 10 2 2" xfId="32012"/>
    <cellStyle name="Comma 10 2 2 2" xfId="57530"/>
    <cellStyle name="Comma 10 2 2 3" xfId="57529"/>
    <cellStyle name="Comma 10 2 3" xfId="32013"/>
    <cellStyle name="Comma 10 2 3 2" xfId="57531"/>
    <cellStyle name="Comma 10 2 4" xfId="57528"/>
    <cellStyle name="Comma 10 20" xfId="32014"/>
    <cellStyle name="Comma 10 21" xfId="32015"/>
    <cellStyle name="Comma 10 22" xfId="32016"/>
    <cellStyle name="Comma 10 23" xfId="32017"/>
    <cellStyle name="Comma 10 24" xfId="32018"/>
    <cellStyle name="Comma 10 25" xfId="32019"/>
    <cellStyle name="Comma 10 26" xfId="32020"/>
    <cellStyle name="Comma 10 27" xfId="32021"/>
    <cellStyle name="Comma 10 28" xfId="32022"/>
    <cellStyle name="Comma 10 29" xfId="32023"/>
    <cellStyle name="Comma 10 3" xfId="32024"/>
    <cellStyle name="Comma 10 3 2" xfId="32025"/>
    <cellStyle name="Comma 10 3 2 2" xfId="57533"/>
    <cellStyle name="Comma 10 3 3" xfId="57532"/>
    <cellStyle name="Comma 10 30" xfId="32026"/>
    <cellStyle name="Comma 10 31" xfId="32027"/>
    <cellStyle name="Comma 10 32" xfId="32028"/>
    <cellStyle name="Comma 10 33" xfId="32029"/>
    <cellStyle name="Comma 10 34" xfId="32030"/>
    <cellStyle name="Comma 10 35" xfId="32031"/>
    <cellStyle name="Comma 10 36" xfId="32032"/>
    <cellStyle name="Comma 10 37" xfId="32033"/>
    <cellStyle name="Comma 10 38" xfId="32034"/>
    <cellStyle name="Comma 10 39" xfId="32035"/>
    <cellStyle name="Comma 10 4" xfId="32036"/>
    <cellStyle name="Comma 10 4 2" xfId="8"/>
    <cellStyle name="Comma 10 4 2 2" xfId="49"/>
    <cellStyle name="Comma 10 4 2 3" xfId="31"/>
    <cellStyle name="Comma 10 4 3" xfId="57534"/>
    <cellStyle name="Comma 10 40" xfId="32037"/>
    <cellStyle name="Comma 10 41" xfId="32038"/>
    <cellStyle name="Comma 10 42" xfId="32039"/>
    <cellStyle name="Comma 10 43" xfId="32040"/>
    <cellStyle name="Comma 10 44" xfId="32041"/>
    <cellStyle name="Comma 10 45" xfId="32042"/>
    <cellStyle name="Comma 10 46" xfId="32043"/>
    <cellStyle name="Comma 10 47" xfId="32044"/>
    <cellStyle name="Comma 10 48" xfId="32045"/>
    <cellStyle name="Comma 10 49" xfId="32046"/>
    <cellStyle name="Comma 10 5" xfId="32047"/>
    <cellStyle name="Comma 10 50" xfId="32048"/>
    <cellStyle name="Comma 10 51" xfId="32049"/>
    <cellStyle name="Comma 10 52" xfId="32050"/>
    <cellStyle name="Comma 10 53" xfId="32051"/>
    <cellStyle name="Comma 10 54" xfId="32052"/>
    <cellStyle name="Comma 10 55" xfId="32053"/>
    <cellStyle name="Comma 10 56" xfId="32054"/>
    <cellStyle name="Comma 10 57" xfId="32055"/>
    <cellStyle name="Comma 10 58" xfId="32056"/>
    <cellStyle name="Comma 10 59" xfId="32057"/>
    <cellStyle name="Comma 10 6" xfId="32058"/>
    <cellStyle name="Comma 10 60" xfId="32059"/>
    <cellStyle name="Comma 10 61" xfId="32060"/>
    <cellStyle name="Comma 10 62" xfId="32061"/>
    <cellStyle name="Comma 10 63" xfId="32062"/>
    <cellStyle name="Comma 10 64" xfId="32063"/>
    <cellStyle name="Comma 10 65" xfId="32064"/>
    <cellStyle name="Comma 10 65 2" xfId="32065"/>
    <cellStyle name="Comma 10 66" xfId="32066"/>
    <cellStyle name="Comma 10 67" xfId="57527"/>
    <cellStyle name="Comma 10 7" xfId="32067"/>
    <cellStyle name="Comma 10 8" xfId="32068"/>
    <cellStyle name="Comma 10 9" xfId="32069"/>
    <cellStyle name="Comma 100" xfId="25"/>
    <cellStyle name="Comma 100 2" xfId="45"/>
    <cellStyle name="Comma 100 2 2" xfId="32070"/>
    <cellStyle name="Comma 100 2 2 2" xfId="32071"/>
    <cellStyle name="Comma 100 2 3" xfId="32072"/>
    <cellStyle name="Comma 100 3" xfId="32073"/>
    <cellStyle name="Comma 100 3 2" xfId="32074"/>
    <cellStyle name="Comma 100 4" xfId="32075"/>
    <cellStyle name="Comma 101" xfId="32076"/>
    <cellStyle name="Comma 101 2" xfId="32077"/>
    <cellStyle name="Comma 101 2 2" xfId="32078"/>
    <cellStyle name="Comma 101 2 2 2" xfId="32079"/>
    <cellStyle name="Comma 101 2 3" xfId="32080"/>
    <cellStyle name="Comma 101 3" xfId="32081"/>
    <cellStyle name="Comma 101 3 2" xfId="32082"/>
    <cellStyle name="Comma 101 4" xfId="32083"/>
    <cellStyle name="Comma 101 5" xfId="32084"/>
    <cellStyle name="Comma 102" xfId="32085"/>
    <cellStyle name="Comma 102 2" xfId="32086"/>
    <cellStyle name="Comma 102 2 2" xfId="32087"/>
    <cellStyle name="Comma 102 2 2 2" xfId="32088"/>
    <cellStyle name="Comma 102 2 3" xfId="32089"/>
    <cellStyle name="Comma 102 3" xfId="32090"/>
    <cellStyle name="Comma 102 3 2" xfId="32091"/>
    <cellStyle name="Comma 102 4" xfId="32092"/>
    <cellStyle name="Comma 102 5" xfId="32093"/>
    <cellStyle name="Comma 103" xfId="32094"/>
    <cellStyle name="Comma 103 2" xfId="32095"/>
    <cellStyle name="Comma 103 2 2" xfId="32096"/>
    <cellStyle name="Comma 103 2 2 2" xfId="32097"/>
    <cellStyle name="Comma 103 3" xfId="32098"/>
    <cellStyle name="Comma 103 3 2" xfId="32099"/>
    <cellStyle name="Comma 103 4" xfId="32100"/>
    <cellStyle name="Comma 104" xfId="32101"/>
    <cellStyle name="Comma 104 2" xfId="32102"/>
    <cellStyle name="Comma 104 2 2" xfId="32103"/>
    <cellStyle name="Comma 104 2 2 2" xfId="32104"/>
    <cellStyle name="Comma 104 3" xfId="32105"/>
    <cellStyle name="Comma 104 3 2" xfId="32106"/>
    <cellStyle name="Comma 104 4" xfId="32107"/>
    <cellStyle name="Comma 105" xfId="32108"/>
    <cellStyle name="Comma 105 2" xfId="32109"/>
    <cellStyle name="Comma 105 2 2" xfId="32110"/>
    <cellStyle name="Comma 105 2 2 2" xfId="32111"/>
    <cellStyle name="Comma 105 2 3" xfId="32112"/>
    <cellStyle name="Comma 105 3" xfId="32113"/>
    <cellStyle name="Comma 105 3 2" xfId="32114"/>
    <cellStyle name="Comma 106" xfId="32115"/>
    <cellStyle name="Comma 106 2" xfId="32116"/>
    <cellStyle name="Comma 106 2 2" xfId="32117"/>
    <cellStyle name="Comma 106 2 2 2" xfId="32118"/>
    <cellStyle name="Comma 106 2 2 2 2" xfId="32119"/>
    <cellStyle name="Comma 106 2 2 3" xfId="32120"/>
    <cellStyle name="Comma 106 2 3" xfId="32121"/>
    <cellStyle name="Comma 106 2 3 2" xfId="32122"/>
    <cellStyle name="Comma 106 2 4" xfId="32123"/>
    <cellStyle name="Comma 106 3" xfId="32124"/>
    <cellStyle name="Comma 106 3 2" xfId="32125"/>
    <cellStyle name="Comma 106 3 2 2" xfId="32126"/>
    <cellStyle name="Comma 106 3 3" xfId="32127"/>
    <cellStyle name="Comma 106 4" xfId="32128"/>
    <cellStyle name="Comma 106 4 2" xfId="32129"/>
    <cellStyle name="Comma 106 5" xfId="32130"/>
    <cellStyle name="Comma 106 6" xfId="32131"/>
    <cellStyle name="Comma 107" xfId="32132"/>
    <cellStyle name="Comma 107 2" xfId="32133"/>
    <cellStyle name="Comma 107 2 2" xfId="32134"/>
    <cellStyle name="Comma 107 2 2 2" xfId="32135"/>
    <cellStyle name="Comma 107 2 3" xfId="32136"/>
    <cellStyle name="Comma 107 3" xfId="32137"/>
    <cellStyle name="Comma 107 3 2" xfId="32138"/>
    <cellStyle name="Comma 107 4" xfId="32139"/>
    <cellStyle name="Comma 107 5" xfId="32140"/>
    <cellStyle name="Comma 108" xfId="32141"/>
    <cellStyle name="Comma 108 2" xfId="32142"/>
    <cellStyle name="Comma 108 2 2" xfId="32143"/>
    <cellStyle name="Comma 108 2 2 2" xfId="32144"/>
    <cellStyle name="Comma 108 2 3" xfId="32145"/>
    <cellStyle name="Comma 108 3" xfId="32146"/>
    <cellStyle name="Comma 108 3 2" xfId="32147"/>
    <cellStyle name="Comma 108 4" xfId="32148"/>
    <cellStyle name="Comma 108 5" xfId="32149"/>
    <cellStyle name="Comma 109" xfId="32150"/>
    <cellStyle name="Comma 109 2" xfId="32151"/>
    <cellStyle name="Comma 109 2 2" xfId="32152"/>
    <cellStyle name="Comma 109 2 2 2" xfId="32153"/>
    <cellStyle name="Comma 109 2 3" xfId="32154"/>
    <cellStyle name="Comma 109 3" xfId="32155"/>
    <cellStyle name="Comma 109 3 2" xfId="32156"/>
    <cellStyle name="Comma 109 4" xfId="32157"/>
    <cellStyle name="Comma 109 5" xfId="32158"/>
    <cellStyle name="Comma 11" xfId="27"/>
    <cellStyle name="Comma 11 10" xfId="32159"/>
    <cellStyle name="Comma 11 10 2" xfId="32160"/>
    <cellStyle name="Comma 11 11" xfId="32161"/>
    <cellStyle name="Comma 11 11 2" xfId="32162"/>
    <cellStyle name="Comma 11 12" xfId="32163"/>
    <cellStyle name="Comma 11 12 2" xfId="32164"/>
    <cellStyle name="Comma 11 13" xfId="32165"/>
    <cellStyle name="Comma 11 14" xfId="57535"/>
    <cellStyle name="Comma 11 2" xfId="47"/>
    <cellStyle name="Comma 11 2 2" xfId="32166"/>
    <cellStyle name="Comma 11 2 2 2" xfId="32167"/>
    <cellStyle name="Comma 11 2 2 2 2" xfId="32168"/>
    <cellStyle name="Comma 11 2 2 2 2 2" xfId="32169"/>
    <cellStyle name="Comma 11 2 2 2 2 2 2" xfId="32170"/>
    <cellStyle name="Comma 11 2 2 2 2 3" xfId="32171"/>
    <cellStyle name="Comma 11 2 2 2 3" xfId="32172"/>
    <cellStyle name="Comma 11 2 2 2 3 2" xfId="32173"/>
    <cellStyle name="Comma 11 2 2 2 4" xfId="32174"/>
    <cellStyle name="Comma 11 2 2 2 4 2" xfId="32175"/>
    <cellStyle name="Comma 11 2 2 2 5" xfId="32176"/>
    <cellStyle name="Comma 11 2 2 2 5 2" xfId="32177"/>
    <cellStyle name="Comma 11 2 2 2 6" xfId="32178"/>
    <cellStyle name="Comma 11 2 2 3" xfId="32179"/>
    <cellStyle name="Comma 11 2 2 3 2" xfId="32180"/>
    <cellStyle name="Comma 11 2 2 3 2 2" xfId="32181"/>
    <cellStyle name="Comma 11 2 2 3 3" xfId="32182"/>
    <cellStyle name="Comma 11 2 2 4" xfId="32183"/>
    <cellStyle name="Comma 11 2 2 4 2" xfId="32184"/>
    <cellStyle name="Comma 11 2 2 5" xfId="32185"/>
    <cellStyle name="Comma 11 2 2 5 2" xfId="32186"/>
    <cellStyle name="Comma 11 2 2 6" xfId="32187"/>
    <cellStyle name="Comma 11 2 2 6 2" xfId="32188"/>
    <cellStyle name="Comma 11 2 2 7" xfId="32189"/>
    <cellStyle name="Comma 11 2 2 8" xfId="57537"/>
    <cellStyle name="Comma 11 2 3" xfId="32190"/>
    <cellStyle name="Comma 11 2 3 2" xfId="32191"/>
    <cellStyle name="Comma 11 2 3 2 2" xfId="32192"/>
    <cellStyle name="Comma 11 2 3 2 2 2" xfId="32193"/>
    <cellStyle name="Comma 11 2 3 2 3" xfId="32194"/>
    <cellStyle name="Comma 11 2 3 3" xfId="32195"/>
    <cellStyle name="Comma 11 2 3 3 2" xfId="32196"/>
    <cellStyle name="Comma 11 2 3 4" xfId="32197"/>
    <cellStyle name="Comma 11 2 3 4 2" xfId="32198"/>
    <cellStyle name="Comma 11 2 3 5" xfId="32199"/>
    <cellStyle name="Comma 11 2 3 5 2" xfId="32200"/>
    <cellStyle name="Comma 11 2 3 6" xfId="32201"/>
    <cellStyle name="Comma 11 2 4" xfId="32202"/>
    <cellStyle name="Comma 11 2 4 2" xfId="32203"/>
    <cellStyle name="Comma 11 2 4 2 2" xfId="32204"/>
    <cellStyle name="Comma 11 2 4 3" xfId="32205"/>
    <cellStyle name="Comma 11 2 5" xfId="32206"/>
    <cellStyle name="Comma 11 2 5 2" xfId="32207"/>
    <cellStyle name="Comma 11 2 6" xfId="32208"/>
    <cellStyle name="Comma 11 2 6 2" xfId="32209"/>
    <cellStyle name="Comma 11 2 7" xfId="32210"/>
    <cellStyle name="Comma 11 2 7 2" xfId="32211"/>
    <cellStyle name="Comma 11 2 8" xfId="32212"/>
    <cellStyle name="Comma 11 2 9" xfId="57536"/>
    <cellStyle name="Comma 11 3" xfId="32213"/>
    <cellStyle name="Comma 11 3 2" xfId="32214"/>
    <cellStyle name="Comma 11 3 2 2" xfId="32215"/>
    <cellStyle name="Comma 11 3 2 2 2" xfId="32216"/>
    <cellStyle name="Comma 11 3 2 2 2 2" xfId="32217"/>
    <cellStyle name="Comma 11 3 2 2 2 2 2" xfId="32218"/>
    <cellStyle name="Comma 11 3 2 2 2 3" xfId="32219"/>
    <cellStyle name="Comma 11 3 2 2 3" xfId="32220"/>
    <cellStyle name="Comma 11 3 2 2 3 2" xfId="32221"/>
    <cellStyle name="Comma 11 3 2 2 4" xfId="32222"/>
    <cellStyle name="Comma 11 3 2 2 4 2" xfId="32223"/>
    <cellStyle name="Comma 11 3 2 2 5" xfId="32224"/>
    <cellStyle name="Comma 11 3 2 2 5 2" xfId="32225"/>
    <cellStyle name="Comma 11 3 2 2 6" xfId="32226"/>
    <cellStyle name="Comma 11 3 2 3" xfId="32227"/>
    <cellStyle name="Comma 11 3 2 3 2" xfId="32228"/>
    <cellStyle name="Comma 11 3 2 3 2 2" xfId="32229"/>
    <cellStyle name="Comma 11 3 2 3 3" xfId="32230"/>
    <cellStyle name="Comma 11 3 2 4" xfId="32231"/>
    <cellStyle name="Comma 11 3 2 4 2" xfId="32232"/>
    <cellStyle name="Comma 11 3 2 5" xfId="32233"/>
    <cellStyle name="Comma 11 3 2 5 2" xfId="32234"/>
    <cellStyle name="Comma 11 3 2 6" xfId="32235"/>
    <cellStyle name="Comma 11 3 2 6 2" xfId="32236"/>
    <cellStyle name="Comma 11 3 2 7" xfId="32237"/>
    <cellStyle name="Comma 11 3 2 8" xfId="57539"/>
    <cellStyle name="Comma 11 3 3" xfId="32238"/>
    <cellStyle name="Comma 11 3 3 2" xfId="32239"/>
    <cellStyle name="Comma 11 3 3 2 2" xfId="32240"/>
    <cellStyle name="Comma 11 3 3 2 2 2" xfId="32241"/>
    <cellStyle name="Comma 11 3 3 2 3" xfId="32242"/>
    <cellStyle name="Comma 11 3 3 3" xfId="32243"/>
    <cellStyle name="Comma 11 3 3 3 2" xfId="32244"/>
    <cellStyle name="Comma 11 3 3 4" xfId="32245"/>
    <cellStyle name="Comma 11 3 3 4 2" xfId="32246"/>
    <cellStyle name="Comma 11 3 3 5" xfId="32247"/>
    <cellStyle name="Comma 11 3 3 5 2" xfId="32248"/>
    <cellStyle name="Comma 11 3 3 6" xfId="32249"/>
    <cellStyle name="Comma 11 3 4" xfId="32250"/>
    <cellStyle name="Comma 11 3 4 2" xfId="32251"/>
    <cellStyle name="Comma 11 3 4 2 2" xfId="32252"/>
    <cellStyle name="Comma 11 3 4 3" xfId="32253"/>
    <cellStyle name="Comma 11 3 5" xfId="32254"/>
    <cellStyle name="Comma 11 3 5 2" xfId="32255"/>
    <cellStyle name="Comma 11 3 6" xfId="32256"/>
    <cellStyle name="Comma 11 3 6 2" xfId="32257"/>
    <cellStyle name="Comma 11 3 7" xfId="32258"/>
    <cellStyle name="Comma 11 3 7 2" xfId="32259"/>
    <cellStyle name="Comma 11 3 8" xfId="32260"/>
    <cellStyle name="Comma 11 3 9" xfId="57538"/>
    <cellStyle name="Comma 11 4" xfId="32261"/>
    <cellStyle name="Comma 11 4 2" xfId="32262"/>
    <cellStyle name="Comma 11 4 2 2" xfId="32263"/>
    <cellStyle name="Comma 11 4 2 2 2" xfId="32264"/>
    <cellStyle name="Comma 11 4 2 2 2 2" xfId="32265"/>
    <cellStyle name="Comma 11 4 2 2 3" xfId="32266"/>
    <cellStyle name="Comma 11 4 2 3" xfId="32267"/>
    <cellStyle name="Comma 11 4 2 3 2" xfId="32268"/>
    <cellStyle name="Comma 11 4 2 4" xfId="32269"/>
    <cellStyle name="Comma 11 4 2 4 2" xfId="32270"/>
    <cellStyle name="Comma 11 4 2 5" xfId="32271"/>
    <cellStyle name="Comma 11 4 2 5 2" xfId="32272"/>
    <cellStyle name="Comma 11 4 2 6" xfId="32273"/>
    <cellStyle name="Comma 11 4 3" xfId="32274"/>
    <cellStyle name="Comma 11 4 3 2" xfId="32275"/>
    <cellStyle name="Comma 11 4 3 2 2" xfId="32276"/>
    <cellStyle name="Comma 11 4 3 3" xfId="32277"/>
    <cellStyle name="Comma 11 4 4" xfId="32278"/>
    <cellStyle name="Comma 11 4 4 2" xfId="32279"/>
    <cellStyle name="Comma 11 4 5" xfId="32280"/>
    <cellStyle name="Comma 11 4 5 2" xfId="32281"/>
    <cellStyle name="Comma 11 4 6" xfId="32282"/>
    <cellStyle name="Comma 11 4 6 2" xfId="32283"/>
    <cellStyle name="Comma 11 4 7" xfId="32284"/>
    <cellStyle name="Comma 11 4 8" xfId="57540"/>
    <cellStyle name="Comma 11 5" xfId="32285"/>
    <cellStyle name="Comma 11 5 2" xfId="32286"/>
    <cellStyle name="Comma 11 5 2 2" xfId="32287"/>
    <cellStyle name="Comma 11 5 2 2 2" xfId="32288"/>
    <cellStyle name="Comma 11 5 2 2 2 2" xfId="32289"/>
    <cellStyle name="Comma 11 5 2 2 3" xfId="32290"/>
    <cellStyle name="Comma 11 5 2 3" xfId="32291"/>
    <cellStyle name="Comma 11 5 2 3 2" xfId="32292"/>
    <cellStyle name="Comma 11 5 2 4" xfId="32293"/>
    <cellStyle name="Comma 11 5 2 4 2" xfId="32294"/>
    <cellStyle name="Comma 11 5 2 5" xfId="32295"/>
    <cellStyle name="Comma 11 5 2 5 2" xfId="32296"/>
    <cellStyle name="Comma 11 5 2 6" xfId="32297"/>
    <cellStyle name="Comma 11 5 3" xfId="32298"/>
    <cellStyle name="Comma 11 5 3 2" xfId="32299"/>
    <cellStyle name="Comma 11 5 3 2 2" xfId="32300"/>
    <cellStyle name="Comma 11 5 3 3" xfId="32301"/>
    <cellStyle name="Comma 11 5 4" xfId="32302"/>
    <cellStyle name="Comma 11 5 4 2" xfId="32303"/>
    <cellStyle name="Comma 11 5 5" xfId="32304"/>
    <cellStyle name="Comma 11 5 5 2" xfId="32305"/>
    <cellStyle name="Comma 11 5 6" xfId="32306"/>
    <cellStyle name="Comma 11 5 6 2" xfId="32307"/>
    <cellStyle name="Comma 11 5 7" xfId="32308"/>
    <cellStyle name="Comma 11 5 8" xfId="57541"/>
    <cellStyle name="Comma 11 6" xfId="32309"/>
    <cellStyle name="Comma 11 6 2" xfId="32310"/>
    <cellStyle name="Comma 11 6 2 2" xfId="32311"/>
    <cellStyle name="Comma 11 6 2 2 2" xfId="32312"/>
    <cellStyle name="Comma 11 6 2 3" xfId="32313"/>
    <cellStyle name="Comma 11 6 3" xfId="32314"/>
    <cellStyle name="Comma 11 6 3 2" xfId="32315"/>
    <cellStyle name="Comma 11 6 4" xfId="32316"/>
    <cellStyle name="Comma 11 6 4 2" xfId="32317"/>
    <cellStyle name="Comma 11 6 5" xfId="32318"/>
    <cellStyle name="Comma 11 6 5 2" xfId="32319"/>
    <cellStyle name="Comma 11 6 6" xfId="32320"/>
    <cellStyle name="Comma 11 7" xfId="32321"/>
    <cellStyle name="Comma 11 7 2" xfId="32322"/>
    <cellStyle name="Comma 11 7 2 2" xfId="32323"/>
    <cellStyle name="Comma 11 7 2 2 2" xfId="32324"/>
    <cellStyle name="Comma 11 7 2 3" xfId="32325"/>
    <cellStyle name="Comma 11 7 3" xfId="32326"/>
    <cellStyle name="Comma 11 7 3 2" xfId="32327"/>
    <cellStyle name="Comma 11 7 4" xfId="32328"/>
    <cellStyle name="Comma 11 7 4 2" xfId="32329"/>
    <cellStyle name="Comma 11 7 5" xfId="32330"/>
    <cellStyle name="Comma 11 7 5 2" xfId="32331"/>
    <cellStyle name="Comma 11 7 6" xfId="32332"/>
    <cellStyle name="Comma 11 8" xfId="32333"/>
    <cellStyle name="Comma 11 8 2" xfId="32334"/>
    <cellStyle name="Comma 11 8 2 2" xfId="32335"/>
    <cellStyle name="Comma 11 8 2 2 2" xfId="32336"/>
    <cellStyle name="Comma 11 8 2 3" xfId="32337"/>
    <cellStyle name="Comma 11 8 3" xfId="32338"/>
    <cellStyle name="Comma 11 8 3 2" xfId="32339"/>
    <cellStyle name="Comma 11 8 4" xfId="32340"/>
    <cellStyle name="Comma 11 8 4 2" xfId="32341"/>
    <cellStyle name="Comma 11 8 5" xfId="32342"/>
    <cellStyle name="Comma 11 8 5 2" xfId="32343"/>
    <cellStyle name="Comma 11 8 6" xfId="32344"/>
    <cellStyle name="Comma 11 9" xfId="32345"/>
    <cellStyle name="Comma 11 9 2" xfId="32346"/>
    <cellStyle name="Comma 11 9 2 2" xfId="32347"/>
    <cellStyle name="Comma 11 9 3" xfId="32348"/>
    <cellStyle name="Comma 110" xfId="32349"/>
    <cellStyle name="Comma 110 2" xfId="32350"/>
    <cellStyle name="Comma 110 2 2" xfId="32351"/>
    <cellStyle name="Comma 110 2 2 2" xfId="32352"/>
    <cellStyle name="Comma 110 2 3" xfId="32353"/>
    <cellStyle name="Comma 110 3" xfId="32354"/>
    <cellStyle name="Comma 110 3 2" xfId="32355"/>
    <cellStyle name="Comma 110 4" xfId="32356"/>
    <cellStyle name="Comma 110 5" xfId="32357"/>
    <cellStyle name="Comma 111" xfId="32358"/>
    <cellStyle name="Comma 111 2" xfId="32359"/>
    <cellStyle name="Comma 111 2 2" xfId="32360"/>
    <cellStyle name="Comma 111 2 2 2" xfId="32361"/>
    <cellStyle name="Comma 111 2 3" xfId="32362"/>
    <cellStyle name="Comma 111 3" xfId="32363"/>
    <cellStyle name="Comma 111 3 2" xfId="32364"/>
    <cellStyle name="Comma 111 4" xfId="32365"/>
    <cellStyle name="Comma 111 5" xfId="32366"/>
    <cellStyle name="Comma 112" xfId="32367"/>
    <cellStyle name="Comma 112 2" xfId="32368"/>
    <cellStyle name="Comma 112 2 2" xfId="32369"/>
    <cellStyle name="Comma 112 2 2 2" xfId="32370"/>
    <cellStyle name="Comma 112 2 2 2 2" xfId="32371"/>
    <cellStyle name="Comma 112 2 2 3" xfId="32372"/>
    <cellStyle name="Comma 112 2 3" xfId="32373"/>
    <cellStyle name="Comma 112 2 3 2" xfId="32374"/>
    <cellStyle name="Comma 112 2 4" xfId="32375"/>
    <cellStyle name="Comma 112 3" xfId="32376"/>
    <cellStyle name="Comma 112 3 2" xfId="32377"/>
    <cellStyle name="Comma 112 3 2 2" xfId="32378"/>
    <cellStyle name="Comma 112 3 2 2 2" xfId="32379"/>
    <cellStyle name="Comma 112 3 2 2 2 2" xfId="32380"/>
    <cellStyle name="Comma 112 3 2 2 3" xfId="32381"/>
    <cellStyle name="Comma 112 3 2 3" xfId="32382"/>
    <cellStyle name="Comma 112 3 2 3 2" xfId="32383"/>
    <cellStyle name="Comma 112 3 2 4" xfId="32384"/>
    <cellStyle name="Comma 112 3 2 4 2" xfId="32385"/>
    <cellStyle name="Comma 112 3 2 5" xfId="32386"/>
    <cellStyle name="Comma 112 3 2 5 2" xfId="32387"/>
    <cellStyle name="Comma 112 3 2 6" xfId="32388"/>
    <cellStyle name="Comma 112 3 2 6 2" xfId="32389"/>
    <cellStyle name="Comma 112 3 2 7" xfId="32390"/>
    <cellStyle name="Comma 112 3 3" xfId="32391"/>
    <cellStyle name="Comma 112 3 3 2" xfId="32392"/>
    <cellStyle name="Comma 112 3 3 2 2" xfId="32393"/>
    <cellStyle name="Comma 112 3 3 3" xfId="32394"/>
    <cellStyle name="Comma 112 3 4" xfId="32395"/>
    <cellStyle name="Comma 112 3 4 2" xfId="32396"/>
    <cellStyle name="Comma 112 3 5" xfId="32397"/>
    <cellStyle name="Comma 112 4" xfId="32398"/>
    <cellStyle name="Comma 112 4 2" xfId="32399"/>
    <cellStyle name="Comma 112 4 2 2" xfId="32400"/>
    <cellStyle name="Comma 112 4 3" xfId="32401"/>
    <cellStyle name="Comma 112 5" xfId="32402"/>
    <cellStyle name="Comma 112 5 2" xfId="32403"/>
    <cellStyle name="Comma 112 6" xfId="32404"/>
    <cellStyle name="Comma 112 7" xfId="32405"/>
    <cellStyle name="Comma 113" xfId="32406"/>
    <cellStyle name="Comma 113 2" xfId="32407"/>
    <cellStyle name="Comma 113 2 2" xfId="32408"/>
    <cellStyle name="Comma 113 2 2 2" xfId="32409"/>
    <cellStyle name="Comma 113 2 3" xfId="32410"/>
    <cellStyle name="Comma 113 3" xfId="32411"/>
    <cellStyle name="Comma 113 3 2" xfId="32412"/>
    <cellStyle name="Comma 113 4" xfId="32413"/>
    <cellStyle name="Comma 113 5" xfId="32414"/>
    <cellStyle name="Comma 114" xfId="32415"/>
    <cellStyle name="Comma 114 2" xfId="32416"/>
    <cellStyle name="Comma 114 2 2" xfId="32417"/>
    <cellStyle name="Comma 114 2 2 2" xfId="32418"/>
    <cellStyle name="Comma 114 2 2 2 2" xfId="32419"/>
    <cellStyle name="Comma 114 2 2 2 2 2" xfId="32420"/>
    <cellStyle name="Comma 114 2 2 2 3" xfId="32421"/>
    <cellStyle name="Comma 114 2 2 3" xfId="32422"/>
    <cellStyle name="Comma 114 2 2 3 2" xfId="32423"/>
    <cellStyle name="Comma 114 2 2 4" xfId="32424"/>
    <cellStyle name="Comma 114 2 3" xfId="32425"/>
    <cellStyle name="Comma 114 2 3 2" xfId="32426"/>
    <cellStyle name="Comma 114 2 3 2 2" xfId="32427"/>
    <cellStyle name="Comma 114 2 3 3" xfId="32428"/>
    <cellStyle name="Comma 114 2 4" xfId="32429"/>
    <cellStyle name="Comma 114 2 4 2" xfId="32430"/>
    <cellStyle name="Comma 114 2 5" xfId="32431"/>
    <cellStyle name="Comma 114 3" xfId="32432"/>
    <cellStyle name="Comma 114 3 2" xfId="32433"/>
    <cellStyle name="Comma 114 3 2 2" xfId="32434"/>
    <cellStyle name="Comma 114 3 3" xfId="32435"/>
    <cellStyle name="Comma 114 4" xfId="32436"/>
    <cellStyle name="Comma 114 4 2" xfId="32437"/>
    <cellStyle name="Comma 114 4 2 2" xfId="32438"/>
    <cellStyle name="Comma 114 4 3" xfId="32439"/>
    <cellStyle name="Comma 114 5" xfId="32440"/>
    <cellStyle name="Comma 114 5 2" xfId="32441"/>
    <cellStyle name="Comma 114 5 2 2" xfId="32442"/>
    <cellStyle name="Comma 114 5 2 2 2" xfId="32443"/>
    <cellStyle name="Comma 114 5 2 2 2 2" xfId="32444"/>
    <cellStyle name="Comma 114 5 2 2 3" xfId="32445"/>
    <cellStyle name="Comma 114 5 2 3" xfId="32446"/>
    <cellStyle name="Comma 114 5 2 3 2" xfId="32447"/>
    <cellStyle name="Comma 114 5 2 4" xfId="32448"/>
    <cellStyle name="Comma 114 5 2 4 2" xfId="32449"/>
    <cellStyle name="Comma 114 5 2 5" xfId="32450"/>
    <cellStyle name="Comma 114 5 3" xfId="32451"/>
    <cellStyle name="Comma 114 5 3 2" xfId="32452"/>
    <cellStyle name="Comma 114 5 4" xfId="32453"/>
    <cellStyle name="Comma 114 5 4 2" xfId="32454"/>
    <cellStyle name="Comma 114 5 5" xfId="32455"/>
    <cellStyle name="Comma 114 5 5 2" xfId="32456"/>
    <cellStyle name="Comma 114 5 6" xfId="32457"/>
    <cellStyle name="Comma 114 5 6 2" xfId="32458"/>
    <cellStyle name="Comma 114 5 7" xfId="32459"/>
    <cellStyle name="Comma 114 6" xfId="32460"/>
    <cellStyle name="Comma 114 6 2" xfId="32461"/>
    <cellStyle name="Comma 114 7" xfId="32462"/>
    <cellStyle name="Comma 114 8" xfId="32463"/>
    <cellStyle name="Comma 115" xfId="32464"/>
    <cellStyle name="Comma 115 2" xfId="32465"/>
    <cellStyle name="Comma 115 2 2" xfId="32466"/>
    <cellStyle name="Comma 115 3" xfId="32467"/>
    <cellStyle name="Comma 115 4" xfId="32468"/>
    <cellStyle name="Comma 116" xfId="32469"/>
    <cellStyle name="Comma 116 2" xfId="32470"/>
    <cellStyle name="Comma 116 3" xfId="32471"/>
    <cellStyle name="Comma 117" xfId="32472"/>
    <cellStyle name="Comma 117 2" xfId="32473"/>
    <cellStyle name="Comma 117 2 2" xfId="32474"/>
    <cellStyle name="Comma 117 3" xfId="32475"/>
    <cellStyle name="Comma 118" xfId="32476"/>
    <cellStyle name="Comma 118 2" xfId="32477"/>
    <cellStyle name="Comma 119" xfId="32478"/>
    <cellStyle name="Comma 119 2" xfId="32479"/>
    <cellStyle name="Comma 119 3" xfId="32480"/>
    <cellStyle name="Comma 12" xfId="32481"/>
    <cellStyle name="Comma 12 10" xfId="32482"/>
    <cellStyle name="Comma 12 11" xfId="32483"/>
    <cellStyle name="Comma 12 12" xfId="32484"/>
    <cellStyle name="Comma 12 13" xfId="32485"/>
    <cellStyle name="Comma 12 14" xfId="32486"/>
    <cellStyle name="Comma 12 15" xfId="32487"/>
    <cellStyle name="Comma 12 16" xfId="32488"/>
    <cellStyle name="Comma 12 17" xfId="32489"/>
    <cellStyle name="Comma 12 18" xfId="32490"/>
    <cellStyle name="Comma 12 19" xfId="32491"/>
    <cellStyle name="Comma 12 2" xfId="32492"/>
    <cellStyle name="Comma 12 2 2" xfId="32493"/>
    <cellStyle name="Comma 12 2 2 2" xfId="57544"/>
    <cellStyle name="Comma 12 2 3" xfId="32494"/>
    <cellStyle name="Comma 12 2 4" xfId="57543"/>
    <cellStyle name="Comma 12 20" xfId="32495"/>
    <cellStyle name="Comma 12 21" xfId="32496"/>
    <cellStyle name="Comma 12 22" xfId="32497"/>
    <cellStyle name="Comma 12 23" xfId="32498"/>
    <cellStyle name="Comma 12 24" xfId="32499"/>
    <cellStyle name="Comma 12 25" xfId="32500"/>
    <cellStyle name="Comma 12 26" xfId="32501"/>
    <cellStyle name="Comma 12 27" xfId="32502"/>
    <cellStyle name="Comma 12 28" xfId="32503"/>
    <cellStyle name="Comma 12 29" xfId="32504"/>
    <cellStyle name="Comma 12 3" xfId="32505"/>
    <cellStyle name="Comma 12 3 2" xfId="32506"/>
    <cellStyle name="Comma 12 3 2 2" xfId="57546"/>
    <cellStyle name="Comma 12 3 3" xfId="57545"/>
    <cellStyle name="Comma 12 30" xfId="32507"/>
    <cellStyle name="Comma 12 31" xfId="32508"/>
    <cellStyle name="Comma 12 32" xfId="32509"/>
    <cellStyle name="Comma 12 33" xfId="32510"/>
    <cellStyle name="Comma 12 34" xfId="32511"/>
    <cellStyle name="Comma 12 35" xfId="32512"/>
    <cellStyle name="Comma 12 36" xfId="32513"/>
    <cellStyle name="Comma 12 37" xfId="32514"/>
    <cellStyle name="Comma 12 38" xfId="32515"/>
    <cellStyle name="Comma 12 39" xfId="32516"/>
    <cellStyle name="Comma 12 4" xfId="32517"/>
    <cellStyle name="Comma 12 4 2" xfId="32518"/>
    <cellStyle name="Comma 12 4 3" xfId="57547"/>
    <cellStyle name="Comma 12 40" xfId="32519"/>
    <cellStyle name="Comma 12 41" xfId="32520"/>
    <cellStyle name="Comma 12 42" xfId="32521"/>
    <cellStyle name="Comma 12 43" xfId="32522"/>
    <cellStyle name="Comma 12 44" xfId="32523"/>
    <cellStyle name="Comma 12 45" xfId="32524"/>
    <cellStyle name="Comma 12 46" xfId="32525"/>
    <cellStyle name="Comma 12 47" xfId="32526"/>
    <cellStyle name="Comma 12 48" xfId="32527"/>
    <cellStyle name="Comma 12 49" xfId="32528"/>
    <cellStyle name="Comma 12 5" xfId="32529"/>
    <cellStyle name="Comma 12 50" xfId="32530"/>
    <cellStyle name="Comma 12 51" xfId="32531"/>
    <cellStyle name="Comma 12 52" xfId="32532"/>
    <cellStyle name="Comma 12 53" xfId="32533"/>
    <cellStyle name="Comma 12 54" xfId="32534"/>
    <cellStyle name="Comma 12 55" xfId="32535"/>
    <cellStyle name="Comma 12 56" xfId="57542"/>
    <cellStyle name="Comma 12 6" xfId="32536"/>
    <cellStyle name="Comma 12 7" xfId="32537"/>
    <cellStyle name="Comma 12 8" xfId="32538"/>
    <cellStyle name="Comma 12 9" xfId="32539"/>
    <cellStyle name="Comma 120" xfId="32540"/>
    <cellStyle name="Comma 120 2" xfId="32541"/>
    <cellStyle name="Comma 120 3" xfId="32542"/>
    <cellStyle name="Comma 121" xfId="32543"/>
    <cellStyle name="Comma 121 2" xfId="32544"/>
    <cellStyle name="Comma 122" xfId="32545"/>
    <cellStyle name="Comma 122 2" xfId="32546"/>
    <cellStyle name="Comma 122 3" xfId="32547"/>
    <cellStyle name="Comma 123" xfId="32548"/>
    <cellStyle name="Comma 123 2" xfId="32549"/>
    <cellStyle name="Comma 124" xfId="32550"/>
    <cellStyle name="Comma 124 2" xfId="32551"/>
    <cellStyle name="Comma 125" xfId="32552"/>
    <cellStyle name="Comma 125 2" xfId="32553"/>
    <cellStyle name="Comma 126" xfId="32554"/>
    <cellStyle name="Comma 126 2" xfId="32555"/>
    <cellStyle name="Comma 127" xfId="32556"/>
    <cellStyle name="Comma 127 2" xfId="32557"/>
    <cellStyle name="Comma 128" xfId="32558"/>
    <cellStyle name="Comma 129" xfId="32559"/>
    <cellStyle name="Comma 13" xfId="32560"/>
    <cellStyle name="Comma 13 10" xfId="32561"/>
    <cellStyle name="Comma 13 11" xfId="32562"/>
    <cellStyle name="Comma 13 12" xfId="32563"/>
    <cellStyle name="Comma 13 13" xfId="32564"/>
    <cellStyle name="Comma 13 14" xfId="32565"/>
    <cellStyle name="Comma 13 15" xfId="32566"/>
    <cellStyle name="Comma 13 16" xfId="32567"/>
    <cellStyle name="Comma 13 17" xfId="32568"/>
    <cellStyle name="Comma 13 18" xfId="32569"/>
    <cellStyle name="Comma 13 19" xfId="32570"/>
    <cellStyle name="Comma 13 2" xfId="32571"/>
    <cellStyle name="Comma 13 2 2" xfId="32572"/>
    <cellStyle name="Comma 13 2 2 2" xfId="57550"/>
    <cellStyle name="Comma 13 2 3" xfId="57549"/>
    <cellStyle name="Comma 13 20" xfId="32573"/>
    <cellStyle name="Comma 13 21" xfId="32574"/>
    <cellStyle name="Comma 13 22" xfId="32575"/>
    <cellStyle name="Comma 13 23" xfId="32576"/>
    <cellStyle name="Comma 13 24" xfId="32577"/>
    <cellStyle name="Comma 13 25" xfId="32578"/>
    <cellStyle name="Comma 13 26" xfId="32579"/>
    <cellStyle name="Comma 13 27" xfId="32580"/>
    <cellStyle name="Comma 13 28" xfId="32581"/>
    <cellStyle name="Comma 13 29" xfId="32582"/>
    <cellStyle name="Comma 13 3" xfId="32583"/>
    <cellStyle name="Comma 13 3 2" xfId="32584"/>
    <cellStyle name="Comma 13 3 2 2" xfId="57552"/>
    <cellStyle name="Comma 13 3 3" xfId="57551"/>
    <cellStyle name="Comma 13 30" xfId="32585"/>
    <cellStyle name="Comma 13 31" xfId="32586"/>
    <cellStyle name="Comma 13 32" xfId="32587"/>
    <cellStyle name="Comma 13 33" xfId="32588"/>
    <cellStyle name="Comma 13 34" xfId="32589"/>
    <cellStyle name="Comma 13 35" xfId="32590"/>
    <cellStyle name="Comma 13 36" xfId="32591"/>
    <cellStyle name="Comma 13 37" xfId="32592"/>
    <cellStyle name="Comma 13 38" xfId="32593"/>
    <cellStyle name="Comma 13 39" xfId="32594"/>
    <cellStyle name="Comma 13 4" xfId="32595"/>
    <cellStyle name="Comma 13 4 2" xfId="32596"/>
    <cellStyle name="Comma 13 4 3" xfId="57553"/>
    <cellStyle name="Comma 13 40" xfId="32597"/>
    <cellStyle name="Comma 13 41" xfId="32598"/>
    <cellStyle name="Comma 13 42" xfId="32599"/>
    <cellStyle name="Comma 13 43" xfId="32600"/>
    <cellStyle name="Comma 13 44" xfId="32601"/>
    <cellStyle name="Comma 13 45" xfId="32602"/>
    <cellStyle name="Comma 13 46" xfId="32603"/>
    <cellStyle name="Comma 13 47" xfId="32604"/>
    <cellStyle name="Comma 13 48" xfId="32605"/>
    <cellStyle name="Comma 13 49" xfId="32606"/>
    <cellStyle name="Comma 13 5" xfId="32607"/>
    <cellStyle name="Comma 13 5 2" xfId="57554"/>
    <cellStyle name="Comma 13 50" xfId="32608"/>
    <cellStyle name="Comma 13 51" xfId="32609"/>
    <cellStyle name="Comma 13 52" xfId="32610"/>
    <cellStyle name="Comma 13 53" xfId="32611"/>
    <cellStyle name="Comma 13 54" xfId="32612"/>
    <cellStyle name="Comma 13 55" xfId="32613"/>
    <cellStyle name="Comma 13 56" xfId="32614"/>
    <cellStyle name="Comma 13 57" xfId="32615"/>
    <cellStyle name="Comma 13 58" xfId="32616"/>
    <cellStyle name="Comma 13 59" xfId="32617"/>
    <cellStyle name="Comma 13 6" xfId="32618"/>
    <cellStyle name="Comma 13 60" xfId="32619"/>
    <cellStyle name="Comma 13 61" xfId="32620"/>
    <cellStyle name="Comma 13 62" xfId="32621"/>
    <cellStyle name="Comma 13 63" xfId="32622"/>
    <cellStyle name="Comma 13 64" xfId="32623"/>
    <cellStyle name="Comma 13 65" xfId="32624"/>
    <cellStyle name="Comma 13 65 2" xfId="32625"/>
    <cellStyle name="Comma 13 66" xfId="32626"/>
    <cellStyle name="Comma 13 66 2" xfId="32627"/>
    <cellStyle name="Comma 13 67" xfId="32628"/>
    <cellStyle name="Comma 13 68" xfId="57548"/>
    <cellStyle name="Comma 13 7" xfId="32629"/>
    <cellStyle name="Comma 13 8" xfId="32630"/>
    <cellStyle name="Comma 13 9" xfId="32631"/>
    <cellStyle name="Comma 130" xfId="32632"/>
    <cellStyle name="Comma 131" xfId="32633"/>
    <cellStyle name="Comma 132" xfId="32634"/>
    <cellStyle name="Comma 133" xfId="32635"/>
    <cellStyle name="Comma 134" xfId="32636"/>
    <cellStyle name="Comma 135" xfId="32637"/>
    <cellStyle name="Comma 135 2" xfId="32638"/>
    <cellStyle name="Comma 136" xfId="9"/>
    <cellStyle name="Comma 136 2" xfId="51"/>
    <cellStyle name="Comma 136 3" xfId="33"/>
    <cellStyle name="Comma 137" xfId="32639"/>
    <cellStyle name="Comma 138" xfId="32640"/>
    <cellStyle name="Comma 139" xfId="32641"/>
    <cellStyle name="Comma 14" xfId="32642"/>
    <cellStyle name="Comma 14 2" xfId="32643"/>
    <cellStyle name="Comma 14 2 2" xfId="32644"/>
    <cellStyle name="Comma 14 2 2 2" xfId="57557"/>
    <cellStyle name="Comma 14 2 3" xfId="57556"/>
    <cellStyle name="Comma 14 3" xfId="32645"/>
    <cellStyle name="Comma 14 3 2" xfId="32646"/>
    <cellStyle name="Comma 14 3 2 2" xfId="57559"/>
    <cellStyle name="Comma 14 3 3" xfId="57558"/>
    <cellStyle name="Comma 14 4" xfId="32647"/>
    <cellStyle name="Comma 14 4 2" xfId="32648"/>
    <cellStyle name="Comma 14 4 3" xfId="57560"/>
    <cellStyle name="Comma 14 5" xfId="32649"/>
    <cellStyle name="Comma 14 5 2" xfId="57561"/>
    <cellStyle name="Comma 14 6" xfId="57555"/>
    <cellStyle name="Comma 140" xfId="32650"/>
    <cellStyle name="Comma 141" xfId="32651"/>
    <cellStyle name="Comma 142" xfId="32652"/>
    <cellStyle name="Comma 143" xfId="32653"/>
    <cellStyle name="Comma 144" xfId="32654"/>
    <cellStyle name="Comma 145" xfId="32655"/>
    <cellStyle name="Comma 146" xfId="32656"/>
    <cellStyle name="Comma 147" xfId="32657"/>
    <cellStyle name="Comma 148" xfId="32658"/>
    <cellStyle name="Comma 149" xfId="32659"/>
    <cellStyle name="Comma 15" xfId="32660"/>
    <cellStyle name="Comma 15 2" xfId="32661"/>
    <cellStyle name="Comma 15 2 2" xfId="32662"/>
    <cellStyle name="Comma 15 2 2 2" xfId="57564"/>
    <cellStyle name="Comma 15 2 3" xfId="57563"/>
    <cellStyle name="Comma 15 3" xfId="32663"/>
    <cellStyle name="Comma 15 3 2" xfId="32664"/>
    <cellStyle name="Comma 15 3 2 2" xfId="57566"/>
    <cellStyle name="Comma 15 3 3" xfId="57565"/>
    <cellStyle name="Comma 15 4" xfId="32665"/>
    <cellStyle name="Comma 15 4 2" xfId="32666"/>
    <cellStyle name="Comma 15 4 3" xfId="57567"/>
    <cellStyle name="Comma 15 5" xfId="32667"/>
    <cellStyle name="Comma 15 5 2" xfId="57568"/>
    <cellStyle name="Comma 15 6" xfId="57562"/>
    <cellStyle name="Comma 150" xfId="32668"/>
    <cellStyle name="Comma 151" xfId="32669"/>
    <cellStyle name="Comma 152" xfId="32670"/>
    <cellStyle name="Comma 153" xfId="32671"/>
    <cellStyle name="Comma 154" xfId="32672"/>
    <cellStyle name="Comma 155" xfId="32673"/>
    <cellStyle name="Comma 156" xfId="32674"/>
    <cellStyle name="Comma 157" xfId="32675"/>
    <cellStyle name="Comma 158" xfId="32676"/>
    <cellStyle name="Comma 159" xfId="32677"/>
    <cellStyle name="Comma 16" xfId="32678"/>
    <cellStyle name="Comma 16 10" xfId="32679"/>
    <cellStyle name="Comma 16 11" xfId="32680"/>
    <cellStyle name="Comma 16 12" xfId="32681"/>
    <cellStyle name="Comma 16 13" xfId="32682"/>
    <cellStyle name="Comma 16 14" xfId="32683"/>
    <cellStyle name="Comma 16 15" xfId="32684"/>
    <cellStyle name="Comma 16 16" xfId="32685"/>
    <cellStyle name="Comma 16 17" xfId="32686"/>
    <cellStyle name="Comma 16 18" xfId="32687"/>
    <cellStyle name="Comma 16 19" xfId="32688"/>
    <cellStyle name="Comma 16 2" xfId="32689"/>
    <cellStyle name="Comma 16 2 2" xfId="32690"/>
    <cellStyle name="Comma 16 2 2 2" xfId="57571"/>
    <cellStyle name="Comma 16 2 3" xfId="32691"/>
    <cellStyle name="Comma 16 2 4" xfId="57570"/>
    <cellStyle name="Comma 16 20" xfId="32692"/>
    <cellStyle name="Comma 16 21" xfId="32693"/>
    <cellStyle name="Comma 16 22" xfId="32694"/>
    <cellStyle name="Comma 16 23" xfId="32695"/>
    <cellStyle name="Comma 16 24" xfId="32696"/>
    <cellStyle name="Comma 16 25" xfId="32697"/>
    <cellStyle name="Comma 16 26" xfId="32698"/>
    <cellStyle name="Comma 16 27" xfId="32699"/>
    <cellStyle name="Comma 16 28" xfId="32700"/>
    <cellStyle name="Comma 16 29" xfId="32701"/>
    <cellStyle name="Comma 16 3" xfId="32702"/>
    <cellStyle name="Comma 16 3 2" xfId="32703"/>
    <cellStyle name="Comma 16 3 3" xfId="57572"/>
    <cellStyle name="Comma 16 30" xfId="32704"/>
    <cellStyle name="Comma 16 31" xfId="32705"/>
    <cellStyle name="Comma 16 32" xfId="32706"/>
    <cellStyle name="Comma 16 33" xfId="32707"/>
    <cellStyle name="Comma 16 34" xfId="32708"/>
    <cellStyle name="Comma 16 35" xfId="32709"/>
    <cellStyle name="Comma 16 36" xfId="32710"/>
    <cellStyle name="Comma 16 37" xfId="32711"/>
    <cellStyle name="Comma 16 38" xfId="32712"/>
    <cellStyle name="Comma 16 39" xfId="32713"/>
    <cellStyle name="Comma 16 4" xfId="32714"/>
    <cellStyle name="Comma 16 4 2" xfId="32715"/>
    <cellStyle name="Comma 16 4 3" xfId="57573"/>
    <cellStyle name="Comma 16 40" xfId="32716"/>
    <cellStyle name="Comma 16 41" xfId="32717"/>
    <cellStyle name="Comma 16 42" xfId="32718"/>
    <cellStyle name="Comma 16 43" xfId="32719"/>
    <cellStyle name="Comma 16 44" xfId="32720"/>
    <cellStyle name="Comma 16 45" xfId="32721"/>
    <cellStyle name="Comma 16 46" xfId="32722"/>
    <cellStyle name="Comma 16 47" xfId="32723"/>
    <cellStyle name="Comma 16 48" xfId="32724"/>
    <cellStyle name="Comma 16 49" xfId="32725"/>
    <cellStyle name="Comma 16 5" xfId="32726"/>
    <cellStyle name="Comma 16 50" xfId="32727"/>
    <cellStyle name="Comma 16 51" xfId="32728"/>
    <cellStyle name="Comma 16 52" xfId="32729"/>
    <cellStyle name="Comma 16 53" xfId="32730"/>
    <cellStyle name="Comma 16 54" xfId="32731"/>
    <cellStyle name="Comma 16 55" xfId="32732"/>
    <cellStyle name="Comma 16 56" xfId="32733"/>
    <cellStyle name="Comma 16 57" xfId="32734"/>
    <cellStyle name="Comma 16 58" xfId="32735"/>
    <cellStyle name="Comma 16 59" xfId="32736"/>
    <cellStyle name="Comma 16 6" xfId="32737"/>
    <cellStyle name="Comma 16 60" xfId="32738"/>
    <cellStyle name="Comma 16 61" xfId="32739"/>
    <cellStyle name="Comma 16 62" xfId="32740"/>
    <cellStyle name="Comma 16 63" xfId="32741"/>
    <cellStyle name="Comma 16 64" xfId="32742"/>
    <cellStyle name="Comma 16 65" xfId="32743"/>
    <cellStyle name="Comma 16 65 2" xfId="32744"/>
    <cellStyle name="Comma 16 66" xfId="32745"/>
    <cellStyle name="Comma 16 67" xfId="32746"/>
    <cellStyle name="Comma 16 68" xfId="57569"/>
    <cellStyle name="Comma 16 7" xfId="32747"/>
    <cellStyle name="Comma 16 8" xfId="32748"/>
    <cellStyle name="Comma 16 9" xfId="32749"/>
    <cellStyle name="Comma 160" xfId="32750"/>
    <cellStyle name="Comma 161" xfId="32751"/>
    <cellStyle name="Comma 162" xfId="32752"/>
    <cellStyle name="Comma 163" xfId="32753"/>
    <cellStyle name="Comma 164" xfId="32754"/>
    <cellStyle name="Comma 165" xfId="32755"/>
    <cellStyle name="Comma 166" xfId="32756"/>
    <cellStyle name="Comma 167" xfId="32757"/>
    <cellStyle name="Comma 168" xfId="32758"/>
    <cellStyle name="Comma 169" xfId="32759"/>
    <cellStyle name="Comma 17" xfId="32760"/>
    <cellStyle name="Comma 17 2" xfId="32761"/>
    <cellStyle name="Comma 17 2 2" xfId="32762"/>
    <cellStyle name="Comma 17 2 2 2" xfId="57576"/>
    <cellStyle name="Comma 17 2 3" xfId="57575"/>
    <cellStyle name="Comma 17 3" xfId="32763"/>
    <cellStyle name="Comma 17 3 2" xfId="57577"/>
    <cellStyle name="Comma 17 4" xfId="32764"/>
    <cellStyle name="Comma 17 5" xfId="57574"/>
    <cellStyle name="Comma 170" xfId="32765"/>
    <cellStyle name="Comma 171" xfId="32766"/>
    <cellStyle name="Comma 172" xfId="32767"/>
    <cellStyle name="Comma 173" xfId="32768"/>
    <cellStyle name="Comma 174" xfId="32769"/>
    <cellStyle name="Comma 175" xfId="32770"/>
    <cellStyle name="Comma 176" xfId="32771"/>
    <cellStyle name="Comma 177" xfId="32772"/>
    <cellStyle name="Comma 178" xfId="32773"/>
    <cellStyle name="Comma 179" xfId="32774"/>
    <cellStyle name="Comma 18" xfId="32775"/>
    <cellStyle name="Comma 18 2" xfId="32776"/>
    <cellStyle name="Comma 18 2 10" xfId="32777"/>
    <cellStyle name="Comma 18 2 11" xfId="32778"/>
    <cellStyle name="Comma 18 2 12" xfId="32779"/>
    <cellStyle name="Comma 18 2 13" xfId="32780"/>
    <cellStyle name="Comma 18 2 14" xfId="32781"/>
    <cellStyle name="Comma 18 2 15" xfId="32782"/>
    <cellStyle name="Comma 18 2 16" xfId="32783"/>
    <cellStyle name="Comma 18 2 17" xfId="32784"/>
    <cellStyle name="Comma 18 2 18" xfId="32785"/>
    <cellStyle name="Comma 18 2 19" xfId="32786"/>
    <cellStyle name="Comma 18 2 2" xfId="32787"/>
    <cellStyle name="Comma 18 2 2 2" xfId="32788"/>
    <cellStyle name="Comma 18 2 20" xfId="32789"/>
    <cellStyle name="Comma 18 2 21" xfId="32790"/>
    <cellStyle name="Comma 18 2 22" xfId="32791"/>
    <cellStyle name="Comma 18 2 23" xfId="32792"/>
    <cellStyle name="Comma 18 2 24" xfId="32793"/>
    <cellStyle name="Comma 18 2 25" xfId="32794"/>
    <cellStyle name="Comma 18 2 26" xfId="32795"/>
    <cellStyle name="Comma 18 2 27" xfId="32796"/>
    <cellStyle name="Comma 18 2 28" xfId="32797"/>
    <cellStyle name="Comma 18 2 29" xfId="32798"/>
    <cellStyle name="Comma 18 2 3" xfId="32799"/>
    <cellStyle name="Comma 18 2 30" xfId="32800"/>
    <cellStyle name="Comma 18 2 31" xfId="32801"/>
    <cellStyle name="Comma 18 2 32" xfId="32802"/>
    <cellStyle name="Comma 18 2 33" xfId="32803"/>
    <cellStyle name="Comma 18 2 34" xfId="32804"/>
    <cellStyle name="Comma 18 2 35" xfId="32805"/>
    <cellStyle name="Comma 18 2 36" xfId="32806"/>
    <cellStyle name="Comma 18 2 37" xfId="32807"/>
    <cellStyle name="Comma 18 2 38" xfId="32808"/>
    <cellStyle name="Comma 18 2 39" xfId="32809"/>
    <cellStyle name="Comma 18 2 4" xfId="32810"/>
    <cellStyle name="Comma 18 2 40" xfId="32811"/>
    <cellStyle name="Comma 18 2 41" xfId="32812"/>
    <cellStyle name="Comma 18 2 42" xfId="32813"/>
    <cellStyle name="Comma 18 2 43" xfId="32814"/>
    <cellStyle name="Comma 18 2 44" xfId="32815"/>
    <cellStyle name="Comma 18 2 45" xfId="32816"/>
    <cellStyle name="Comma 18 2 46" xfId="32817"/>
    <cellStyle name="Comma 18 2 47" xfId="32818"/>
    <cellStyle name="Comma 18 2 48" xfId="32819"/>
    <cellStyle name="Comma 18 2 49" xfId="32820"/>
    <cellStyle name="Comma 18 2 5" xfId="32821"/>
    <cellStyle name="Comma 18 2 50" xfId="32822"/>
    <cellStyle name="Comma 18 2 51" xfId="32823"/>
    <cellStyle name="Comma 18 2 52" xfId="32824"/>
    <cellStyle name="Comma 18 2 53" xfId="32825"/>
    <cellStyle name="Comma 18 2 54" xfId="32826"/>
    <cellStyle name="Comma 18 2 55" xfId="32827"/>
    <cellStyle name="Comma 18 2 56" xfId="32828"/>
    <cellStyle name="Comma 18 2 57" xfId="57579"/>
    <cellStyle name="Comma 18 2 6" xfId="32829"/>
    <cellStyle name="Comma 18 2 7" xfId="32830"/>
    <cellStyle name="Comma 18 2 8" xfId="32831"/>
    <cellStyle name="Comma 18 2 9" xfId="32832"/>
    <cellStyle name="Comma 18 3" xfId="32833"/>
    <cellStyle name="Comma 18 3 10" xfId="32834"/>
    <cellStyle name="Comma 18 3 11" xfId="32835"/>
    <cellStyle name="Comma 18 3 12" xfId="32836"/>
    <cellStyle name="Comma 18 3 13" xfId="32837"/>
    <cellStyle name="Comma 18 3 14" xfId="32838"/>
    <cellStyle name="Comma 18 3 15" xfId="32839"/>
    <cellStyle name="Comma 18 3 16" xfId="32840"/>
    <cellStyle name="Comma 18 3 17" xfId="32841"/>
    <cellStyle name="Comma 18 3 18" xfId="32842"/>
    <cellStyle name="Comma 18 3 19" xfId="32843"/>
    <cellStyle name="Comma 18 3 2" xfId="32844"/>
    <cellStyle name="Comma 18 3 2 2" xfId="32845"/>
    <cellStyle name="Comma 18 3 20" xfId="32846"/>
    <cellStyle name="Comma 18 3 21" xfId="32847"/>
    <cellStyle name="Comma 18 3 22" xfId="32848"/>
    <cellStyle name="Comma 18 3 23" xfId="32849"/>
    <cellStyle name="Comma 18 3 24" xfId="32850"/>
    <cellStyle name="Comma 18 3 25" xfId="32851"/>
    <cellStyle name="Comma 18 3 26" xfId="32852"/>
    <cellStyle name="Comma 18 3 27" xfId="32853"/>
    <cellStyle name="Comma 18 3 28" xfId="32854"/>
    <cellStyle name="Comma 18 3 29" xfId="32855"/>
    <cellStyle name="Comma 18 3 3" xfId="32856"/>
    <cellStyle name="Comma 18 3 30" xfId="32857"/>
    <cellStyle name="Comma 18 3 31" xfId="32858"/>
    <cellStyle name="Comma 18 3 32" xfId="32859"/>
    <cellStyle name="Comma 18 3 33" xfId="32860"/>
    <cellStyle name="Comma 18 3 34" xfId="32861"/>
    <cellStyle name="Comma 18 3 35" xfId="32862"/>
    <cellStyle name="Comma 18 3 36" xfId="32863"/>
    <cellStyle name="Comma 18 3 37" xfId="32864"/>
    <cellStyle name="Comma 18 3 38" xfId="32865"/>
    <cellStyle name="Comma 18 3 39" xfId="32866"/>
    <cellStyle name="Comma 18 3 4" xfId="32867"/>
    <cellStyle name="Comma 18 3 40" xfId="32868"/>
    <cellStyle name="Comma 18 3 41" xfId="32869"/>
    <cellStyle name="Comma 18 3 42" xfId="32870"/>
    <cellStyle name="Comma 18 3 43" xfId="32871"/>
    <cellStyle name="Comma 18 3 44" xfId="32872"/>
    <cellStyle name="Comma 18 3 45" xfId="32873"/>
    <cellStyle name="Comma 18 3 46" xfId="32874"/>
    <cellStyle name="Comma 18 3 47" xfId="32875"/>
    <cellStyle name="Comma 18 3 48" xfId="32876"/>
    <cellStyle name="Comma 18 3 49" xfId="32877"/>
    <cellStyle name="Comma 18 3 5" xfId="32878"/>
    <cellStyle name="Comma 18 3 50" xfId="32879"/>
    <cellStyle name="Comma 18 3 51" xfId="32880"/>
    <cellStyle name="Comma 18 3 52" xfId="32881"/>
    <cellStyle name="Comma 18 3 53" xfId="32882"/>
    <cellStyle name="Comma 18 3 54" xfId="32883"/>
    <cellStyle name="Comma 18 3 55" xfId="32884"/>
    <cellStyle name="Comma 18 3 6" xfId="32885"/>
    <cellStyle name="Comma 18 3 7" xfId="32886"/>
    <cellStyle name="Comma 18 3 8" xfId="32887"/>
    <cellStyle name="Comma 18 3 9" xfId="32888"/>
    <cellStyle name="Comma 18 4" xfId="32889"/>
    <cellStyle name="Comma 18 5" xfId="32890"/>
    <cellStyle name="Comma 18 6" xfId="57578"/>
    <cellStyle name="Comma 180" xfId="32891"/>
    <cellStyle name="Comma 181" xfId="32892"/>
    <cellStyle name="Comma 182" xfId="32893"/>
    <cellStyle name="Comma 183" xfId="32894"/>
    <cellStyle name="Comma 184" xfId="32895"/>
    <cellStyle name="Comma 185" xfId="32896"/>
    <cellStyle name="Comma 186" xfId="32897"/>
    <cellStyle name="Comma 187" xfId="32898"/>
    <cellStyle name="Comma 188" xfId="32899"/>
    <cellStyle name="Comma 189" xfId="32900"/>
    <cellStyle name="Comma 19" xfId="32901"/>
    <cellStyle name="Comma 19 2" xfId="32902"/>
    <cellStyle name="Comma 19 2 2" xfId="32903"/>
    <cellStyle name="Comma 19 2 2 2" xfId="57582"/>
    <cellStyle name="Comma 19 2 3" xfId="57581"/>
    <cellStyle name="Comma 19 3" xfId="32904"/>
    <cellStyle name="Comma 19 3 2" xfId="57583"/>
    <cellStyle name="Comma 19 4" xfId="57580"/>
    <cellStyle name="Comma 190" xfId="32905"/>
    <cellStyle name="Comma 191" xfId="32906"/>
    <cellStyle name="Comma 192" xfId="32907"/>
    <cellStyle name="Comma 193" xfId="32908"/>
    <cellStyle name="Comma 194" xfId="32909"/>
    <cellStyle name="Comma 195" xfId="32910"/>
    <cellStyle name="Comma 196" xfId="32911"/>
    <cellStyle name="Comma 197" xfId="32912"/>
    <cellStyle name="Comma 198" xfId="32913"/>
    <cellStyle name="Comma 199" xfId="32914"/>
    <cellStyle name="Comma 2" xfId="3"/>
    <cellStyle name="Comma 2 10" xfId="32915"/>
    <cellStyle name="Comma 2 10 2" xfId="32916"/>
    <cellStyle name="Comma 2 10 2 2" xfId="32917"/>
    <cellStyle name="Comma 2 10 2 2 2" xfId="32918"/>
    <cellStyle name="Comma 2 10 2 3" xfId="32919"/>
    <cellStyle name="Comma 2 10 2 3 2" xfId="32920"/>
    <cellStyle name="Comma 2 10 2 4" xfId="32921"/>
    <cellStyle name="Comma 2 10 2 4 2" xfId="32922"/>
    <cellStyle name="Comma 2 10 2 5" xfId="32923"/>
    <cellStyle name="Comma 2 10 2 5 2" xfId="32924"/>
    <cellStyle name="Comma 2 10 2 6" xfId="32925"/>
    <cellStyle name="Comma 2 10 2 6 2" xfId="32926"/>
    <cellStyle name="Comma 2 10 3" xfId="32927"/>
    <cellStyle name="Comma 2 11" xfId="32928"/>
    <cellStyle name="Comma 2 11 2" xfId="32929"/>
    <cellStyle name="Comma 2 11 3" xfId="32930"/>
    <cellStyle name="Comma 2 12" xfId="32931"/>
    <cellStyle name="Comma 2 12 2" xfId="32932"/>
    <cellStyle name="Comma 2 12 3" xfId="32933"/>
    <cellStyle name="Comma 2 13" xfId="32934"/>
    <cellStyle name="Comma 2 13 2" xfId="32935"/>
    <cellStyle name="Comma 2 13 3" xfId="32936"/>
    <cellStyle name="Comma 2 14" xfId="32937"/>
    <cellStyle name="Comma 2 14 2" xfId="32938"/>
    <cellStyle name="Comma 2 14 3" xfId="32939"/>
    <cellStyle name="Comma 2 15" xfId="32940"/>
    <cellStyle name="Comma 2 15 2" xfId="32941"/>
    <cellStyle name="Comma 2 15 3" xfId="32942"/>
    <cellStyle name="Comma 2 16" xfId="32943"/>
    <cellStyle name="Comma 2 16 2" xfId="32944"/>
    <cellStyle name="Comma 2 16 3" xfId="32945"/>
    <cellStyle name="Comma 2 17" xfId="32946"/>
    <cellStyle name="Comma 2 17 2" xfId="32947"/>
    <cellStyle name="Comma 2 17 3" xfId="32948"/>
    <cellStyle name="Comma 2 18" xfId="32949"/>
    <cellStyle name="Comma 2 18 2" xfId="32950"/>
    <cellStyle name="Comma 2 18 3" xfId="32951"/>
    <cellStyle name="Comma 2 19" xfId="32952"/>
    <cellStyle name="Comma 2 19 2" xfId="32953"/>
    <cellStyle name="Comma 2 19 3" xfId="32954"/>
    <cellStyle name="Comma 2 2" xfId="18"/>
    <cellStyle name="Comma 2 2 10" xfId="32955"/>
    <cellStyle name="Comma 2 2 10 2" xfId="32956"/>
    <cellStyle name="Comma 2 2 11" xfId="32957"/>
    <cellStyle name="Comma 2 2 11 2" xfId="32958"/>
    <cellStyle name="Comma 2 2 11 3" xfId="32959"/>
    <cellStyle name="Comma 2 2 11 4" xfId="32960"/>
    <cellStyle name="Comma 2 2 12" xfId="32961"/>
    <cellStyle name="Comma 2 2 12 2" xfId="32962"/>
    <cellStyle name="Comma 2 2 12 3" xfId="32963"/>
    <cellStyle name="Comma 2 2 12 4" xfId="32964"/>
    <cellStyle name="Comma 2 2 13" xfId="32965"/>
    <cellStyle name="Comma 2 2 13 2" xfId="32966"/>
    <cellStyle name="Comma 2 2 13 3" xfId="32967"/>
    <cellStyle name="Comma 2 2 13 4" xfId="32968"/>
    <cellStyle name="Comma 2 2 14" xfId="32969"/>
    <cellStyle name="Comma 2 2 14 2" xfId="32970"/>
    <cellStyle name="Comma 2 2 14 3" xfId="32971"/>
    <cellStyle name="Comma 2 2 14 4" xfId="32972"/>
    <cellStyle name="Comma 2 2 15" xfId="32973"/>
    <cellStyle name="Comma 2 2 16" xfId="57585"/>
    <cellStyle name="Comma 2 2 2" xfId="40"/>
    <cellStyle name="Comma 2 2 2 10" xfId="57586"/>
    <cellStyle name="Comma 2 2 2 2" xfId="32974"/>
    <cellStyle name="Comma 2 2 2 2 2" xfId="32975"/>
    <cellStyle name="Comma 2 2 2 2 2 2" xfId="32976"/>
    <cellStyle name="Comma 2 2 2 2 2 2 2" xfId="32977"/>
    <cellStyle name="Comma 2 2 2 2 2 3" xfId="57588"/>
    <cellStyle name="Comma 2 2 2 2 3" xfId="32978"/>
    <cellStyle name="Comma 2 2 2 2 3 2" xfId="32979"/>
    <cellStyle name="Comma 2 2 2 2 4" xfId="32980"/>
    <cellStyle name="Comma 2 2 2 2 4 2" xfId="32981"/>
    <cellStyle name="Comma 2 2 2 2 5" xfId="32982"/>
    <cellStyle name="Comma 2 2 2 2 5 2" xfId="32983"/>
    <cellStyle name="Comma 2 2 2 2 6" xfId="32984"/>
    <cellStyle name="Comma 2 2 2 2 6 2" xfId="32985"/>
    <cellStyle name="Comma 2 2 2 2 7" xfId="32986"/>
    <cellStyle name="Comma 2 2 2 2 8" xfId="57587"/>
    <cellStyle name="Comma 2 2 2 3" xfId="32987"/>
    <cellStyle name="Comma 2 2 2 3 2" xfId="32988"/>
    <cellStyle name="Comma 2 2 2 3 3" xfId="32989"/>
    <cellStyle name="Comma 2 2 2 4" xfId="32990"/>
    <cellStyle name="Comma 2 2 2 5" xfId="32991"/>
    <cellStyle name="Comma 2 2 2 6" xfId="32992"/>
    <cellStyle name="Comma 2 2 2 7" xfId="32993"/>
    <cellStyle name="Comma 2 2 2 8" xfId="32994"/>
    <cellStyle name="Comma 2 2 2 9" xfId="32995"/>
    <cellStyle name="Comma 2 2 3" xfId="32996"/>
    <cellStyle name="Comma 2 2 3 2" xfId="32997"/>
    <cellStyle name="Comma 2 2 3 2 2" xfId="57590"/>
    <cellStyle name="Comma 2 2 3 3" xfId="32998"/>
    <cellStyle name="Comma 2 2 3 4" xfId="57589"/>
    <cellStyle name="Comma 2 2 4" xfId="32999"/>
    <cellStyle name="Comma 2 2 4 2" xfId="33000"/>
    <cellStyle name="Comma 2 2 4 2 2" xfId="57592"/>
    <cellStyle name="Comma 2 2 4 3" xfId="57591"/>
    <cellStyle name="Comma 2 2 5" xfId="33001"/>
    <cellStyle name="Comma 2 2 5 2" xfId="33002"/>
    <cellStyle name="Comma 2 2 5 3" xfId="57593"/>
    <cellStyle name="Comma 2 2 6" xfId="33003"/>
    <cellStyle name="Comma 2 2 6 2" xfId="33004"/>
    <cellStyle name="Comma 2 2 7" xfId="33005"/>
    <cellStyle name="Comma 2 2 7 2" xfId="33006"/>
    <cellStyle name="Comma 2 2 8" xfId="33007"/>
    <cellStyle name="Comma 2 2 8 2" xfId="33008"/>
    <cellStyle name="Comma 2 2 9" xfId="33009"/>
    <cellStyle name="Comma 2 2 9 2" xfId="33010"/>
    <cellStyle name="Comma 2 2_PM Okt 2014 Plan VS Actual Planning Workshop" xfId="33011"/>
    <cellStyle name="Comma 2 20" xfId="33012"/>
    <cellStyle name="Comma 2 20 2" xfId="33013"/>
    <cellStyle name="Comma 2 20 3" xfId="33014"/>
    <cellStyle name="Comma 2 21" xfId="33015"/>
    <cellStyle name="Comma 2 21 2" xfId="33016"/>
    <cellStyle name="Comma 2 21 3" xfId="33017"/>
    <cellStyle name="Comma 2 22" xfId="33018"/>
    <cellStyle name="Comma 2 22 2" xfId="33019"/>
    <cellStyle name="Comma 2 22 3" xfId="33020"/>
    <cellStyle name="Comma 2 23" xfId="33021"/>
    <cellStyle name="Comma 2 23 2" xfId="33022"/>
    <cellStyle name="Comma 2 23 3" xfId="33023"/>
    <cellStyle name="Comma 2 24" xfId="33024"/>
    <cellStyle name="Comma 2 24 2" xfId="33025"/>
    <cellStyle name="Comma 2 24 3" xfId="33026"/>
    <cellStyle name="Comma 2 25" xfId="33027"/>
    <cellStyle name="Comma 2 25 2" xfId="33028"/>
    <cellStyle name="Comma 2 25 3" xfId="33029"/>
    <cellStyle name="Comma 2 26" xfId="33030"/>
    <cellStyle name="Comma 2 26 2" xfId="33031"/>
    <cellStyle name="Comma 2 26 3" xfId="33032"/>
    <cellStyle name="Comma 2 27" xfId="33033"/>
    <cellStyle name="Comma 2 27 2" xfId="33034"/>
    <cellStyle name="Comma 2 27 3" xfId="33035"/>
    <cellStyle name="Comma 2 28" xfId="33036"/>
    <cellStyle name="Comma 2 28 2" xfId="33037"/>
    <cellStyle name="Comma 2 28 3" xfId="33038"/>
    <cellStyle name="Comma 2 29" xfId="33039"/>
    <cellStyle name="Comma 2 29 2" xfId="33040"/>
    <cellStyle name="Comma 2 29 3" xfId="33041"/>
    <cellStyle name="Comma 2 3" xfId="38"/>
    <cellStyle name="Comma 2 3 10" xfId="33042"/>
    <cellStyle name="Comma 2 3 10 2" xfId="33043"/>
    <cellStyle name="Comma 2 3 11" xfId="33044"/>
    <cellStyle name="Comma 2 3 12" xfId="57594"/>
    <cellStyle name="Comma 2 3 2" xfId="33045"/>
    <cellStyle name="Comma 2 3 2 2" xfId="33046"/>
    <cellStyle name="Comma 2 3 2 2 2" xfId="33047"/>
    <cellStyle name="Comma 2 3 2 2 2 2" xfId="33048"/>
    <cellStyle name="Comma 2 3 2 2 2 2 2" xfId="33049"/>
    <cellStyle name="Comma 2 3 2 2 2 3" xfId="33050"/>
    <cellStyle name="Comma 2 3 2 2 2 4" xfId="57597"/>
    <cellStyle name="Comma 2 3 2 2 3" xfId="33051"/>
    <cellStyle name="Comma 2 3 2 2 3 2" xfId="33052"/>
    <cellStyle name="Comma 2 3 2 2 4" xfId="33053"/>
    <cellStyle name="Comma 2 3 2 2 5" xfId="57596"/>
    <cellStyle name="Comma 2 3 2 3" xfId="33054"/>
    <cellStyle name="Comma 2 3 2 3 2" xfId="33055"/>
    <cellStyle name="Comma 2 3 2 3 2 2" xfId="33056"/>
    <cellStyle name="Comma 2 3 2 3 3" xfId="33057"/>
    <cellStyle name="Comma 2 3 2 3 4" xfId="57598"/>
    <cellStyle name="Comma 2 3 2 4" xfId="33058"/>
    <cellStyle name="Comma 2 3 2 4 2" xfId="57599"/>
    <cellStyle name="Comma 2 3 2 5" xfId="57595"/>
    <cellStyle name="Comma 2 3 3" xfId="33059"/>
    <cellStyle name="Comma 2 3 3 2" xfId="33060"/>
    <cellStyle name="Comma 2 3 3 2 2" xfId="58413"/>
    <cellStyle name="Comma 2 3 3 3" xfId="33061"/>
    <cellStyle name="Comma 2 3 3 4" xfId="57600"/>
    <cellStyle name="Comma 2 3 4" xfId="33062"/>
    <cellStyle name="Comma 2 3 4 2" xfId="33063"/>
    <cellStyle name="Comma 2 3 4 3" xfId="58414"/>
    <cellStyle name="Comma 2 3 5" xfId="33064"/>
    <cellStyle name="Comma 2 3 5 2" xfId="33065"/>
    <cellStyle name="Comma 2 3 6" xfId="33066"/>
    <cellStyle name="Comma 2 3 6 2" xfId="33067"/>
    <cellStyle name="Comma 2 3 7" xfId="33068"/>
    <cellStyle name="Comma 2 3 8" xfId="33069"/>
    <cellStyle name="Comma 2 3 8 2" xfId="33070"/>
    <cellStyle name="Comma 2 3 9" xfId="33071"/>
    <cellStyle name="Comma 2 3 9 2" xfId="33072"/>
    <cellStyle name="Comma 2 30" xfId="33073"/>
    <cellStyle name="Comma 2 30 2" xfId="33074"/>
    <cellStyle name="Comma 2 30 3" xfId="33075"/>
    <cellStyle name="Comma 2 31" xfId="33076"/>
    <cellStyle name="Comma 2 31 2" xfId="33077"/>
    <cellStyle name="Comma 2 31 3" xfId="33078"/>
    <cellStyle name="Comma 2 32" xfId="33079"/>
    <cellStyle name="Comma 2 32 2" xfId="33080"/>
    <cellStyle name="Comma 2 32 3" xfId="33081"/>
    <cellStyle name="Comma 2 33" xfId="33082"/>
    <cellStyle name="Comma 2 33 2" xfId="33083"/>
    <cellStyle name="Comma 2 33 3" xfId="33084"/>
    <cellStyle name="Comma 2 34" xfId="33085"/>
    <cellStyle name="Comma 2 34 2" xfId="33086"/>
    <cellStyle name="Comma 2 34 3" xfId="33087"/>
    <cellStyle name="Comma 2 35" xfId="33088"/>
    <cellStyle name="Comma 2 35 2" xfId="33089"/>
    <cellStyle name="Comma 2 35 3" xfId="33090"/>
    <cellStyle name="Comma 2 36" xfId="33091"/>
    <cellStyle name="Comma 2 36 2" xfId="33092"/>
    <cellStyle name="Comma 2 36 3" xfId="33093"/>
    <cellStyle name="Comma 2 37" xfId="33094"/>
    <cellStyle name="Comma 2 37 2" xfId="33095"/>
    <cellStyle name="Comma 2 37 3" xfId="33096"/>
    <cellStyle name="Comma 2 38" xfId="33097"/>
    <cellStyle name="Comma 2 38 2" xfId="33098"/>
    <cellStyle name="Comma 2 38 3" xfId="33099"/>
    <cellStyle name="Comma 2 39" xfId="33100"/>
    <cellStyle name="Comma 2 39 2" xfId="33101"/>
    <cellStyle name="Comma 2 39 2 2" xfId="33102"/>
    <cellStyle name="Comma 2 39 3" xfId="33103"/>
    <cellStyle name="Comma 2 4" xfId="54"/>
    <cellStyle name="Comma 2 4 2" xfId="33104"/>
    <cellStyle name="Comma 2 4 2 2" xfId="33105"/>
    <cellStyle name="Comma 2 4 2 2 2" xfId="33106"/>
    <cellStyle name="Comma 2 4 2 2 3" xfId="57603"/>
    <cellStyle name="Comma 2 4 2 3" xfId="33107"/>
    <cellStyle name="Comma 2 4 2 4" xfId="57602"/>
    <cellStyle name="Comma 2 4 3" xfId="33108"/>
    <cellStyle name="Comma 2 4 3 2" xfId="33109"/>
    <cellStyle name="Comma 2 4 3 3" xfId="33110"/>
    <cellStyle name="Comma 2 4 3 4" xfId="57604"/>
    <cellStyle name="Comma 2 4 4" xfId="33111"/>
    <cellStyle name="Comma 2 4 4 2" xfId="33112"/>
    <cellStyle name="Comma 2 4 5" xfId="33113"/>
    <cellStyle name="Comma 2 4 5 2" xfId="33114"/>
    <cellStyle name="Comma 2 4 6" xfId="33115"/>
    <cellStyle name="Comma 2 4 6 2" xfId="33116"/>
    <cellStyle name="Comma 2 4 7" xfId="33117"/>
    <cellStyle name="Comma 2 4 8" xfId="57601"/>
    <cellStyle name="Comma 2 4_PM Okt 2014 Plan VS Actual Planning Workshop" xfId="33118"/>
    <cellStyle name="Comma 2 40" xfId="33119"/>
    <cellStyle name="Comma 2 40 2" xfId="33120"/>
    <cellStyle name="Comma 2 40 3" xfId="33121"/>
    <cellStyle name="Comma 2 41" xfId="33122"/>
    <cellStyle name="Comma 2 41 2" xfId="33123"/>
    <cellStyle name="Comma 2 42" xfId="33124"/>
    <cellStyle name="Comma 2 42 2" xfId="33125"/>
    <cellStyle name="Comma 2 43" xfId="33126"/>
    <cellStyle name="Comma 2 43 2" xfId="33127"/>
    <cellStyle name="Comma 2 44" xfId="33128"/>
    <cellStyle name="Comma 2 44 2" xfId="33129"/>
    <cellStyle name="Comma 2 45" xfId="33130"/>
    <cellStyle name="Comma 2 45 2" xfId="33131"/>
    <cellStyle name="Comma 2 45 3" xfId="33132"/>
    <cellStyle name="Comma 2 45 4" xfId="33133"/>
    <cellStyle name="Comma 2 45 5" xfId="33134"/>
    <cellStyle name="Comma 2 45 6" xfId="33135"/>
    <cellStyle name="Comma 2 46" xfId="33136"/>
    <cellStyle name="Comma 2 46 2" xfId="33137"/>
    <cellStyle name="Comma 2 46 3" xfId="33138"/>
    <cellStyle name="Comma 2 46 4" xfId="33139"/>
    <cellStyle name="Comma 2 46 5" xfId="33140"/>
    <cellStyle name="Comma 2 47" xfId="33141"/>
    <cellStyle name="Comma 2 47 2" xfId="33142"/>
    <cellStyle name="Comma 2 47 3" xfId="33143"/>
    <cellStyle name="Comma 2 47 4" xfId="33144"/>
    <cellStyle name="Comma 2 47 5" xfId="33145"/>
    <cellStyle name="Comma 2 48" xfId="33146"/>
    <cellStyle name="Comma 2 48 2" xfId="33147"/>
    <cellStyle name="Comma 2 48 3" xfId="33148"/>
    <cellStyle name="Comma 2 48 4" xfId="33149"/>
    <cellStyle name="Comma 2 48 5" xfId="33150"/>
    <cellStyle name="Comma 2 49" xfId="33151"/>
    <cellStyle name="Comma 2 49 2" xfId="33152"/>
    <cellStyle name="Comma 2 5" xfId="15"/>
    <cellStyle name="Comma 2 5 10" xfId="33153"/>
    <cellStyle name="Comma 2 5 11" xfId="33154"/>
    <cellStyle name="Comma 2 5 12" xfId="33155"/>
    <cellStyle name="Comma 2 5 13" xfId="33156"/>
    <cellStyle name="Comma 2 5 14" xfId="33157"/>
    <cellStyle name="Comma 2 5 15" xfId="33158"/>
    <cellStyle name="Comma 2 5 16" xfId="33159"/>
    <cellStyle name="Comma 2 5 17" xfId="33160"/>
    <cellStyle name="Comma 2 5 18" xfId="33161"/>
    <cellStyle name="Comma 2 5 19" xfId="33162"/>
    <cellStyle name="Comma 2 5 2" xfId="33163"/>
    <cellStyle name="Comma 2 5 2 2" xfId="33164"/>
    <cellStyle name="Comma 2 5 2 2 2" xfId="33165"/>
    <cellStyle name="Comma 2 5 2 3" xfId="33166"/>
    <cellStyle name="Comma 2 5 2 4" xfId="33167"/>
    <cellStyle name="Comma 2 5 2 5" xfId="57606"/>
    <cellStyle name="Comma 2 5 20" xfId="33168"/>
    <cellStyle name="Comma 2 5 21" xfId="33169"/>
    <cellStyle name="Comma 2 5 22" xfId="33170"/>
    <cellStyle name="Comma 2 5 23" xfId="33171"/>
    <cellStyle name="Comma 2 5 24" xfId="33172"/>
    <cellStyle name="Comma 2 5 25" xfId="33173"/>
    <cellStyle name="Comma 2 5 26" xfId="33174"/>
    <cellStyle name="Comma 2 5 27" xfId="33175"/>
    <cellStyle name="Comma 2 5 28" xfId="33176"/>
    <cellStyle name="Comma 2 5 29" xfId="33177"/>
    <cellStyle name="Comma 2 5 3" xfId="33178"/>
    <cellStyle name="Comma 2 5 3 2" xfId="33179"/>
    <cellStyle name="Comma 2 5 3 3" xfId="33180"/>
    <cellStyle name="Comma 2 5 30" xfId="33181"/>
    <cellStyle name="Comma 2 5 31" xfId="33182"/>
    <cellStyle name="Comma 2 5 32" xfId="33183"/>
    <cellStyle name="Comma 2 5 33" xfId="33184"/>
    <cellStyle name="Comma 2 5 34" xfId="33185"/>
    <cellStyle name="Comma 2 5 35" xfId="33186"/>
    <cellStyle name="Comma 2 5 36" xfId="33187"/>
    <cellStyle name="Comma 2 5 37" xfId="33188"/>
    <cellStyle name="Comma 2 5 38" xfId="33189"/>
    <cellStyle name="Comma 2 5 39" xfId="33190"/>
    <cellStyle name="Comma 2 5 4" xfId="33191"/>
    <cellStyle name="Comma 2 5 4 2" xfId="33192"/>
    <cellStyle name="Comma 2 5 4 3" xfId="33193"/>
    <cellStyle name="Comma 2 5 40" xfId="33194"/>
    <cellStyle name="Comma 2 5 41" xfId="33195"/>
    <cellStyle name="Comma 2 5 42" xfId="33196"/>
    <cellStyle name="Comma 2 5 43" xfId="33197"/>
    <cellStyle name="Comma 2 5 44" xfId="33198"/>
    <cellStyle name="Comma 2 5 45" xfId="33199"/>
    <cellStyle name="Comma 2 5 46" xfId="33200"/>
    <cellStyle name="Comma 2 5 47" xfId="33201"/>
    <cellStyle name="Comma 2 5 48" xfId="33202"/>
    <cellStyle name="Comma 2 5 49" xfId="33203"/>
    <cellStyle name="Comma 2 5 5" xfId="33204"/>
    <cellStyle name="Comma 2 5 5 2" xfId="33205"/>
    <cellStyle name="Comma 2 5 5 3" xfId="33206"/>
    <cellStyle name="Comma 2 5 50" xfId="33207"/>
    <cellStyle name="Comma 2 5 51" xfId="33208"/>
    <cellStyle name="Comma 2 5 52" xfId="33209"/>
    <cellStyle name="Comma 2 5 53" xfId="33210"/>
    <cellStyle name="Comma 2 5 54" xfId="33211"/>
    <cellStyle name="Comma 2 5 55" xfId="33212"/>
    <cellStyle name="Comma 2 5 56" xfId="57605"/>
    <cellStyle name="Comma 2 5 6" xfId="33213"/>
    <cellStyle name="Comma 2 5 6 2" xfId="33214"/>
    <cellStyle name="Comma 2 5 6 3" xfId="33215"/>
    <cellStyle name="Comma 2 5 7" xfId="33216"/>
    <cellStyle name="Comma 2 5 8" xfId="33217"/>
    <cellStyle name="Comma 2 5 9" xfId="33218"/>
    <cellStyle name="Comma 2 50" xfId="33219"/>
    <cellStyle name="Comma 2 50 2" xfId="33220"/>
    <cellStyle name="Comma 2 50 2 2" xfId="33221"/>
    <cellStyle name="Comma 2 50 2 2 2" xfId="33222"/>
    <cellStyle name="Comma 2 50 3" xfId="33223"/>
    <cellStyle name="Comma 2 51" xfId="33224"/>
    <cellStyle name="Comma 2 51 2" xfId="33225"/>
    <cellStyle name="Comma 2 51 2 2" xfId="33226"/>
    <cellStyle name="Comma 2 51 2 2 2" xfId="33227"/>
    <cellStyle name="Comma 2 51 2 2 2 2" xfId="33228"/>
    <cellStyle name="Comma 2 51 2 2 3" xfId="33229"/>
    <cellStyle name="Comma 2 51 2 3" xfId="33230"/>
    <cellStyle name="Comma 2 51 2 3 2" xfId="33231"/>
    <cellStyle name="Comma 2 51 2 4" xfId="33232"/>
    <cellStyle name="Comma 2 51 2 5" xfId="33233"/>
    <cellStyle name="Comma 2 51 3" xfId="33234"/>
    <cellStyle name="Comma 2 51 3 2" xfId="33235"/>
    <cellStyle name="Comma 2 51 3 2 2" xfId="33236"/>
    <cellStyle name="Comma 2 51 3 3" xfId="33237"/>
    <cellStyle name="Comma 2 51 4" xfId="33238"/>
    <cellStyle name="Comma 2 51 4 2" xfId="33239"/>
    <cellStyle name="Comma 2 51 5" xfId="33240"/>
    <cellStyle name="Comma 2 51 6" xfId="33241"/>
    <cellStyle name="Comma 2 51 7" xfId="33242"/>
    <cellStyle name="Comma 2 52" xfId="33243"/>
    <cellStyle name="Comma 2 52 2" xfId="33244"/>
    <cellStyle name="Comma 2 52 2 2" xfId="33245"/>
    <cellStyle name="Comma 2 52 2 2 2" xfId="33246"/>
    <cellStyle name="Comma 2 52 2 3" xfId="33247"/>
    <cellStyle name="Comma 2 52 3" xfId="33248"/>
    <cellStyle name="Comma 2 52 3 2" xfId="33249"/>
    <cellStyle name="Comma 2 52 4" xfId="33250"/>
    <cellStyle name="Comma 2 52 5" xfId="33251"/>
    <cellStyle name="Comma 2 53" xfId="33252"/>
    <cellStyle name="Comma 2 53 2" xfId="33253"/>
    <cellStyle name="Comma 2 53 2 2" xfId="33254"/>
    <cellStyle name="Comma 2 53 2 2 2" xfId="33255"/>
    <cellStyle name="Comma 2 53 2 3" xfId="33256"/>
    <cellStyle name="Comma 2 53 3" xfId="33257"/>
    <cellStyle name="Comma 2 53 3 2" xfId="33258"/>
    <cellStyle name="Comma 2 53 4" xfId="33259"/>
    <cellStyle name="Comma 2 53 5" xfId="33260"/>
    <cellStyle name="Comma 2 54" xfId="33261"/>
    <cellStyle name="Comma 2 54 2" xfId="33262"/>
    <cellStyle name="Comma 2 54 2 2" xfId="33263"/>
    <cellStyle name="Comma 2 54 3" xfId="33264"/>
    <cellStyle name="Comma 2 54 4" xfId="33265"/>
    <cellStyle name="Comma 2 55" xfId="33266"/>
    <cellStyle name="Comma 2 55 2" xfId="33267"/>
    <cellStyle name="Comma 2 55 2 2" xfId="33268"/>
    <cellStyle name="Comma 2 56" xfId="33269"/>
    <cellStyle name="Comma 2 57" xfId="33270"/>
    <cellStyle name="Comma 2 58" xfId="33271"/>
    <cellStyle name="Comma 2 59" xfId="33272"/>
    <cellStyle name="Comma 2 6" xfId="33273"/>
    <cellStyle name="Comma 2 6 2" xfId="33274"/>
    <cellStyle name="Comma 2 6 2 2" xfId="33275"/>
    <cellStyle name="Comma 2 6 3" xfId="33276"/>
    <cellStyle name="Comma 2 6 3 2" xfId="33277"/>
    <cellStyle name="Comma 2 6 4" xfId="33278"/>
    <cellStyle name="Comma 2 6 5" xfId="57607"/>
    <cellStyle name="Comma 2 60" xfId="33279"/>
    <cellStyle name="Comma 2 61" xfId="33280"/>
    <cellStyle name="Comma 2 62" xfId="33281"/>
    <cellStyle name="Comma 2 63" xfId="33282"/>
    <cellStyle name="Comma 2 64" xfId="33283"/>
    <cellStyle name="Comma 2 65" xfId="33284"/>
    <cellStyle name="Comma 2 66" xfId="33285"/>
    <cellStyle name="Comma 2 67" xfId="33286"/>
    <cellStyle name="Comma 2 68" xfId="33287"/>
    <cellStyle name="Comma 2 69" xfId="33288"/>
    <cellStyle name="Comma 2 7" xfId="33289"/>
    <cellStyle name="Comma 2 7 2" xfId="33290"/>
    <cellStyle name="Comma 2 7 3" xfId="33291"/>
    <cellStyle name="Comma 2 7 4" xfId="57608"/>
    <cellStyle name="Comma 2 70" xfId="33292"/>
    <cellStyle name="Comma 2 71" xfId="33293"/>
    <cellStyle name="Comma 2 72" xfId="33294"/>
    <cellStyle name="Comma 2 73" xfId="33295"/>
    <cellStyle name="Comma 2 74" xfId="33296"/>
    <cellStyle name="Comma 2 75" xfId="33297"/>
    <cellStyle name="Comma 2 76" xfId="33298"/>
    <cellStyle name="Comma 2 77" xfId="33299"/>
    <cellStyle name="Comma 2 78" xfId="33300"/>
    <cellStyle name="Comma 2 79" xfId="33301"/>
    <cellStyle name="Comma 2 8" xfId="33302"/>
    <cellStyle name="Comma 2 8 2" xfId="33303"/>
    <cellStyle name="Comma 2 8 3" xfId="33304"/>
    <cellStyle name="Comma 2 80" xfId="33305"/>
    <cellStyle name="Comma 2 81" xfId="33306"/>
    <cellStyle name="Comma 2 82" xfId="33307"/>
    <cellStyle name="Comma 2 83" xfId="33308"/>
    <cellStyle name="Comma 2 84" xfId="57584"/>
    <cellStyle name="Comma 2 89" xfId="33309"/>
    <cellStyle name="Comma 2 9" xfId="33310"/>
    <cellStyle name="Comma 2 9 2" xfId="33311"/>
    <cellStyle name="Comma 2 9 2 2" xfId="33312"/>
    <cellStyle name="Comma 2 9 2 2 2" xfId="33313"/>
    <cellStyle name="Comma 2 9 2 3" xfId="33314"/>
    <cellStyle name="Comma 2 9 2 3 2" xfId="33315"/>
    <cellStyle name="Comma 2 9 2 4" xfId="33316"/>
    <cellStyle name="Comma 2 9 2 4 2" xfId="33317"/>
    <cellStyle name="Comma 2 9 2 5" xfId="33318"/>
    <cellStyle name="Comma 2 9 3" xfId="33319"/>
    <cellStyle name="Comma 2_1109-DIT New Dec09" xfId="33320"/>
    <cellStyle name="Comma 20" xfId="33321"/>
    <cellStyle name="Comma 20 10" xfId="33322"/>
    <cellStyle name="Comma 20 11" xfId="33323"/>
    <cellStyle name="Comma 20 12" xfId="33324"/>
    <cellStyle name="Comma 20 13" xfId="33325"/>
    <cellStyle name="Comma 20 14" xfId="33326"/>
    <cellStyle name="Comma 20 15" xfId="33327"/>
    <cellStyle name="Comma 20 16" xfId="33328"/>
    <cellStyle name="Comma 20 17" xfId="33329"/>
    <cellStyle name="Comma 20 18" xfId="33330"/>
    <cellStyle name="Comma 20 19" xfId="33331"/>
    <cellStyle name="Comma 20 2" xfId="33332"/>
    <cellStyle name="Comma 20 2 10" xfId="33333"/>
    <cellStyle name="Comma 20 2 11" xfId="33334"/>
    <cellStyle name="Comma 20 2 12" xfId="33335"/>
    <cellStyle name="Comma 20 2 13" xfId="33336"/>
    <cellStyle name="Comma 20 2 14" xfId="33337"/>
    <cellStyle name="Comma 20 2 15" xfId="33338"/>
    <cellStyle name="Comma 20 2 16" xfId="33339"/>
    <cellStyle name="Comma 20 2 17" xfId="33340"/>
    <cellStyle name="Comma 20 2 18" xfId="33341"/>
    <cellStyle name="Comma 20 2 19" xfId="33342"/>
    <cellStyle name="Comma 20 2 2" xfId="33343"/>
    <cellStyle name="Comma 20 2 2 2" xfId="33344"/>
    <cellStyle name="Comma 20 2 20" xfId="33345"/>
    <cellStyle name="Comma 20 2 21" xfId="33346"/>
    <cellStyle name="Comma 20 2 22" xfId="33347"/>
    <cellStyle name="Comma 20 2 23" xfId="33348"/>
    <cellStyle name="Comma 20 2 24" xfId="33349"/>
    <cellStyle name="Comma 20 2 25" xfId="33350"/>
    <cellStyle name="Comma 20 2 26" xfId="33351"/>
    <cellStyle name="Comma 20 2 27" xfId="33352"/>
    <cellStyle name="Comma 20 2 28" xfId="33353"/>
    <cellStyle name="Comma 20 2 29" xfId="33354"/>
    <cellStyle name="Comma 20 2 3" xfId="33355"/>
    <cellStyle name="Comma 20 2 30" xfId="33356"/>
    <cellStyle name="Comma 20 2 31" xfId="33357"/>
    <cellStyle name="Comma 20 2 32" xfId="33358"/>
    <cellStyle name="Comma 20 2 33" xfId="33359"/>
    <cellStyle name="Comma 20 2 34" xfId="33360"/>
    <cellStyle name="Comma 20 2 35" xfId="33361"/>
    <cellStyle name="Comma 20 2 36" xfId="33362"/>
    <cellStyle name="Comma 20 2 37" xfId="33363"/>
    <cellStyle name="Comma 20 2 38" xfId="33364"/>
    <cellStyle name="Comma 20 2 39" xfId="33365"/>
    <cellStyle name="Comma 20 2 4" xfId="33366"/>
    <cellStyle name="Comma 20 2 40" xfId="33367"/>
    <cellStyle name="Comma 20 2 41" xfId="33368"/>
    <cellStyle name="Comma 20 2 42" xfId="33369"/>
    <cellStyle name="Comma 20 2 43" xfId="33370"/>
    <cellStyle name="Comma 20 2 44" xfId="33371"/>
    <cellStyle name="Comma 20 2 45" xfId="33372"/>
    <cellStyle name="Comma 20 2 46" xfId="33373"/>
    <cellStyle name="Comma 20 2 47" xfId="33374"/>
    <cellStyle name="Comma 20 2 48" xfId="33375"/>
    <cellStyle name="Comma 20 2 49" xfId="33376"/>
    <cellStyle name="Comma 20 2 5" xfId="33377"/>
    <cellStyle name="Comma 20 2 50" xfId="33378"/>
    <cellStyle name="Comma 20 2 51" xfId="33379"/>
    <cellStyle name="Comma 20 2 52" xfId="33380"/>
    <cellStyle name="Comma 20 2 53" xfId="33381"/>
    <cellStyle name="Comma 20 2 54" xfId="33382"/>
    <cellStyle name="Comma 20 2 55" xfId="33383"/>
    <cellStyle name="Comma 20 2 56" xfId="33384"/>
    <cellStyle name="Comma 20 2 57" xfId="57610"/>
    <cellStyle name="Comma 20 2 6" xfId="33385"/>
    <cellStyle name="Comma 20 2 7" xfId="33386"/>
    <cellStyle name="Comma 20 2 8" xfId="33387"/>
    <cellStyle name="Comma 20 2 9" xfId="33388"/>
    <cellStyle name="Comma 20 20" xfId="33389"/>
    <cellStyle name="Comma 20 21" xfId="33390"/>
    <cellStyle name="Comma 20 22" xfId="33391"/>
    <cellStyle name="Comma 20 23" xfId="33392"/>
    <cellStyle name="Comma 20 24" xfId="33393"/>
    <cellStyle name="Comma 20 25" xfId="33394"/>
    <cellStyle name="Comma 20 26" xfId="33395"/>
    <cellStyle name="Comma 20 27" xfId="33396"/>
    <cellStyle name="Comma 20 28" xfId="33397"/>
    <cellStyle name="Comma 20 29" xfId="33398"/>
    <cellStyle name="Comma 20 3" xfId="33399"/>
    <cellStyle name="Comma 20 3 10" xfId="33400"/>
    <cellStyle name="Comma 20 3 11" xfId="33401"/>
    <cellStyle name="Comma 20 3 12" xfId="33402"/>
    <cellStyle name="Comma 20 3 13" xfId="33403"/>
    <cellStyle name="Comma 20 3 14" xfId="33404"/>
    <cellStyle name="Comma 20 3 15" xfId="33405"/>
    <cellStyle name="Comma 20 3 16" xfId="33406"/>
    <cellStyle name="Comma 20 3 17" xfId="33407"/>
    <cellStyle name="Comma 20 3 18" xfId="33408"/>
    <cellStyle name="Comma 20 3 19" xfId="33409"/>
    <cellStyle name="Comma 20 3 2" xfId="33410"/>
    <cellStyle name="Comma 20 3 2 2" xfId="33411"/>
    <cellStyle name="Comma 20 3 20" xfId="33412"/>
    <cellStyle name="Comma 20 3 21" xfId="33413"/>
    <cellStyle name="Comma 20 3 22" xfId="33414"/>
    <cellStyle name="Comma 20 3 23" xfId="33415"/>
    <cellStyle name="Comma 20 3 24" xfId="33416"/>
    <cellStyle name="Comma 20 3 25" xfId="33417"/>
    <cellStyle name="Comma 20 3 26" xfId="33418"/>
    <cellStyle name="Comma 20 3 27" xfId="33419"/>
    <cellStyle name="Comma 20 3 28" xfId="33420"/>
    <cellStyle name="Comma 20 3 29" xfId="33421"/>
    <cellStyle name="Comma 20 3 3" xfId="33422"/>
    <cellStyle name="Comma 20 3 30" xfId="33423"/>
    <cellStyle name="Comma 20 3 31" xfId="33424"/>
    <cellStyle name="Comma 20 3 32" xfId="33425"/>
    <cellStyle name="Comma 20 3 33" xfId="33426"/>
    <cellStyle name="Comma 20 3 34" xfId="33427"/>
    <cellStyle name="Comma 20 3 35" xfId="33428"/>
    <cellStyle name="Comma 20 3 36" xfId="33429"/>
    <cellStyle name="Comma 20 3 37" xfId="33430"/>
    <cellStyle name="Comma 20 3 38" xfId="33431"/>
    <cellStyle name="Comma 20 3 39" xfId="33432"/>
    <cellStyle name="Comma 20 3 4" xfId="33433"/>
    <cellStyle name="Comma 20 3 40" xfId="33434"/>
    <cellStyle name="Comma 20 3 41" xfId="33435"/>
    <cellStyle name="Comma 20 3 42" xfId="33436"/>
    <cellStyle name="Comma 20 3 43" xfId="33437"/>
    <cellStyle name="Comma 20 3 44" xfId="33438"/>
    <cellStyle name="Comma 20 3 45" xfId="33439"/>
    <cellStyle name="Comma 20 3 46" xfId="33440"/>
    <cellStyle name="Comma 20 3 47" xfId="33441"/>
    <cellStyle name="Comma 20 3 48" xfId="33442"/>
    <cellStyle name="Comma 20 3 49" xfId="33443"/>
    <cellStyle name="Comma 20 3 5" xfId="33444"/>
    <cellStyle name="Comma 20 3 50" xfId="33445"/>
    <cellStyle name="Comma 20 3 51" xfId="33446"/>
    <cellStyle name="Comma 20 3 52" xfId="33447"/>
    <cellStyle name="Comma 20 3 53" xfId="33448"/>
    <cellStyle name="Comma 20 3 54" xfId="33449"/>
    <cellStyle name="Comma 20 3 55" xfId="33450"/>
    <cellStyle name="Comma 20 3 6" xfId="33451"/>
    <cellStyle name="Comma 20 3 7" xfId="33452"/>
    <cellStyle name="Comma 20 3 8" xfId="33453"/>
    <cellStyle name="Comma 20 3 9" xfId="33454"/>
    <cellStyle name="Comma 20 30" xfId="33455"/>
    <cellStyle name="Comma 20 31" xfId="33456"/>
    <cellStyle name="Comma 20 32" xfId="33457"/>
    <cellStyle name="Comma 20 33" xfId="33458"/>
    <cellStyle name="Comma 20 34" xfId="33459"/>
    <cellStyle name="Comma 20 35" xfId="33460"/>
    <cellStyle name="Comma 20 36" xfId="33461"/>
    <cellStyle name="Comma 20 37" xfId="33462"/>
    <cellStyle name="Comma 20 38" xfId="33463"/>
    <cellStyle name="Comma 20 39" xfId="33464"/>
    <cellStyle name="Comma 20 4" xfId="33465"/>
    <cellStyle name="Comma 20 40" xfId="33466"/>
    <cellStyle name="Comma 20 41" xfId="33467"/>
    <cellStyle name="Comma 20 42" xfId="33468"/>
    <cellStyle name="Comma 20 43" xfId="33469"/>
    <cellStyle name="Comma 20 44" xfId="33470"/>
    <cellStyle name="Comma 20 45" xfId="33471"/>
    <cellStyle name="Comma 20 46" xfId="33472"/>
    <cellStyle name="Comma 20 47" xfId="33473"/>
    <cellStyle name="Comma 20 48" xfId="33474"/>
    <cellStyle name="Comma 20 49" xfId="33475"/>
    <cellStyle name="Comma 20 5" xfId="33476"/>
    <cellStyle name="Comma 20 50" xfId="33477"/>
    <cellStyle name="Comma 20 51" xfId="33478"/>
    <cellStyle name="Comma 20 52" xfId="33479"/>
    <cellStyle name="Comma 20 53" xfId="33480"/>
    <cellStyle name="Comma 20 54" xfId="33481"/>
    <cellStyle name="Comma 20 55" xfId="33482"/>
    <cellStyle name="Comma 20 56" xfId="33483"/>
    <cellStyle name="Comma 20 57" xfId="33484"/>
    <cellStyle name="Comma 20 58" xfId="33485"/>
    <cellStyle name="Comma 20 59" xfId="33486"/>
    <cellStyle name="Comma 20 6" xfId="33487"/>
    <cellStyle name="Comma 20 60" xfId="33488"/>
    <cellStyle name="Comma 20 61" xfId="33489"/>
    <cellStyle name="Comma 20 62" xfId="33490"/>
    <cellStyle name="Comma 20 63" xfId="33491"/>
    <cellStyle name="Comma 20 64" xfId="33492"/>
    <cellStyle name="Comma 20 65" xfId="33493"/>
    <cellStyle name="Comma 20 65 2" xfId="33494"/>
    <cellStyle name="Comma 20 66" xfId="33495"/>
    <cellStyle name="Comma 20 67" xfId="57609"/>
    <cellStyle name="Comma 20 7" xfId="33496"/>
    <cellStyle name="Comma 20 8" xfId="33497"/>
    <cellStyle name="Comma 20 9" xfId="33498"/>
    <cellStyle name="Comma 200" xfId="33499"/>
    <cellStyle name="Comma 201" xfId="33500"/>
    <cellStyle name="Comma 202" xfId="33501"/>
    <cellStyle name="Comma 203" xfId="33502"/>
    <cellStyle name="Comma 204" xfId="33503"/>
    <cellStyle name="Comma 205" xfId="33504"/>
    <cellStyle name="Comma 206" xfId="33505"/>
    <cellStyle name="Comma 207" xfId="33506"/>
    <cellStyle name="Comma 208" xfId="33507"/>
    <cellStyle name="Comma 209" xfId="33508"/>
    <cellStyle name="Comma 21" xfId="33509"/>
    <cellStyle name="Comma 21 2" xfId="33510"/>
    <cellStyle name="Comma 21 2 2" xfId="57612"/>
    <cellStyle name="Comma 21 3" xfId="33511"/>
    <cellStyle name="Comma 21 4" xfId="57611"/>
    <cellStyle name="Comma 210" xfId="33512"/>
    <cellStyle name="Comma 211" xfId="33513"/>
    <cellStyle name="Comma 212" xfId="33514"/>
    <cellStyle name="Comma 212 2" xfId="58415"/>
    <cellStyle name="Comma 213" xfId="33515"/>
    <cellStyle name="Comma 214" xfId="33516"/>
    <cellStyle name="Comma 215" xfId="33517"/>
    <cellStyle name="Comma 216" xfId="33518"/>
    <cellStyle name="Comma 217" xfId="33519"/>
    <cellStyle name="Comma 217 2" xfId="57451"/>
    <cellStyle name="Comma 218" xfId="57452"/>
    <cellStyle name="Comma 219" xfId="57462"/>
    <cellStyle name="Comma 22" xfId="33520"/>
    <cellStyle name="Comma 22 2" xfId="33521"/>
    <cellStyle name="Comma 22 2 2" xfId="33522"/>
    <cellStyle name="Comma 22 2 3" xfId="57614"/>
    <cellStyle name="Comma 22 3" xfId="33523"/>
    <cellStyle name="Comma 22 4" xfId="57613"/>
    <cellStyle name="Comma 220" xfId="58330"/>
    <cellStyle name="Comma 23" xfId="33524"/>
    <cellStyle name="Comma 23 2" xfId="33525"/>
    <cellStyle name="Comma 23 2 2" xfId="57616"/>
    <cellStyle name="Comma 23 3" xfId="57615"/>
    <cellStyle name="Comma 24" xfId="33526"/>
    <cellStyle name="Comma 24 2" xfId="33527"/>
    <cellStyle name="Comma 24 2 2" xfId="57618"/>
    <cellStyle name="Comma 24 3" xfId="57617"/>
    <cellStyle name="Comma 25" xfId="33528"/>
    <cellStyle name="Comma 25 2" xfId="33529"/>
    <cellStyle name="Comma 25 2 2" xfId="57620"/>
    <cellStyle name="Comma 25 3" xfId="57619"/>
    <cellStyle name="Comma 26" xfId="33530"/>
    <cellStyle name="Comma 26 2" xfId="33531"/>
    <cellStyle name="Comma 26 2 2" xfId="57622"/>
    <cellStyle name="Comma 26 3" xfId="57621"/>
    <cellStyle name="Comma 27" xfId="33532"/>
    <cellStyle name="Comma 27 2" xfId="33533"/>
    <cellStyle name="Comma 27 2 2" xfId="57624"/>
    <cellStyle name="Comma 27 3" xfId="33534"/>
    <cellStyle name="Comma 27 4" xfId="57623"/>
    <cellStyle name="Comma 28" xfId="33535"/>
    <cellStyle name="Comma 28 2" xfId="33536"/>
    <cellStyle name="Comma 28 2 2" xfId="57626"/>
    <cellStyle name="Comma 28 3" xfId="33537"/>
    <cellStyle name="Comma 28 4" xfId="57625"/>
    <cellStyle name="Comma 29" xfId="33538"/>
    <cellStyle name="Comma 29 2" xfId="33539"/>
    <cellStyle name="Comma 29 2 2" xfId="33540"/>
    <cellStyle name="Comma 29 2 2 2" xfId="33541"/>
    <cellStyle name="Comma 29 2 3" xfId="33542"/>
    <cellStyle name="Comma 29 2 4" xfId="57628"/>
    <cellStyle name="Comma 29 3" xfId="33543"/>
    <cellStyle name="Comma 29 3 2" xfId="33544"/>
    <cellStyle name="Comma 29 4" xfId="33545"/>
    <cellStyle name="Comma 29 5" xfId="57627"/>
    <cellStyle name="Comma 3" xfId="10"/>
    <cellStyle name="Comma 3 10" xfId="33546"/>
    <cellStyle name="Comma 3 10 2" xfId="33547"/>
    <cellStyle name="Comma 3 10 2 2" xfId="33548"/>
    <cellStyle name="Comma 3 11" xfId="33549"/>
    <cellStyle name="Comma 3 11 2" xfId="33550"/>
    <cellStyle name="Comma 3 11 2 2" xfId="33551"/>
    <cellStyle name="Comma 3 12" xfId="33552"/>
    <cellStyle name="Comma 3 12 2" xfId="33553"/>
    <cellStyle name="Comma 3 12 2 2" xfId="33554"/>
    <cellStyle name="Comma 3 13" xfId="33555"/>
    <cellStyle name="Comma 3 13 2" xfId="33556"/>
    <cellStyle name="Comma 3 13 2 2" xfId="33557"/>
    <cellStyle name="Comma 3 14" xfId="33558"/>
    <cellStyle name="Comma 3 14 2" xfId="33559"/>
    <cellStyle name="Comma 3 14 2 2" xfId="33560"/>
    <cellStyle name="Comma 3 15" xfId="33561"/>
    <cellStyle name="Comma 3 15 2" xfId="33562"/>
    <cellStyle name="Comma 3 15 2 2" xfId="33563"/>
    <cellStyle name="Comma 3 16" xfId="33564"/>
    <cellStyle name="Comma 3 16 2" xfId="33565"/>
    <cellStyle name="Comma 3 16 2 2" xfId="33566"/>
    <cellStyle name="Comma 3 17" xfId="33567"/>
    <cellStyle name="Comma 3 17 2" xfId="33568"/>
    <cellStyle name="Comma 3 17 2 2" xfId="33569"/>
    <cellStyle name="Comma 3 18" xfId="33570"/>
    <cellStyle name="Comma 3 18 2" xfId="33571"/>
    <cellStyle name="Comma 3 18 2 2" xfId="33572"/>
    <cellStyle name="Comma 3 19" xfId="33573"/>
    <cellStyle name="Comma 3 19 2" xfId="33574"/>
    <cellStyle name="Comma 3 2" xfId="14"/>
    <cellStyle name="Comma 3 2 10" xfId="33575"/>
    <cellStyle name="Comma 3 2 10 2" xfId="33576"/>
    <cellStyle name="Comma 3 2 10 2 2" xfId="33577"/>
    <cellStyle name="Comma 3 2 10 3" xfId="33578"/>
    <cellStyle name="Comma 3 2 11" xfId="33579"/>
    <cellStyle name="Comma 3 2 11 2" xfId="33580"/>
    <cellStyle name="Comma 3 2 12" xfId="33581"/>
    <cellStyle name="Comma 3 2 12 2" xfId="33582"/>
    <cellStyle name="Comma 3 2 13" xfId="33583"/>
    <cellStyle name="Comma 3 2 14" xfId="57465"/>
    <cellStyle name="Comma 3 2 2" xfId="33584"/>
    <cellStyle name="Comma 3 2 2 2" xfId="33585"/>
    <cellStyle name="Comma 3 2 2 2 2" xfId="33586"/>
    <cellStyle name="Comma 3 2 2 2 3" xfId="57631"/>
    <cellStyle name="Comma 3 2 2 3" xfId="33587"/>
    <cellStyle name="Comma 3 2 2 4" xfId="33588"/>
    <cellStyle name="Comma 3 2 2 5" xfId="33589"/>
    <cellStyle name="Comma 3 2 2 6" xfId="33590"/>
    <cellStyle name="Comma 3 2 2 7" xfId="33591"/>
    <cellStyle name="Comma 3 2 2 8" xfId="33592"/>
    <cellStyle name="Comma 3 2 2 9" xfId="57630"/>
    <cellStyle name="Comma 3 2 3" xfId="33593"/>
    <cellStyle name="Comma 3 2 3 2" xfId="33594"/>
    <cellStyle name="Comma 3 2 3 3" xfId="33595"/>
    <cellStyle name="Comma 3 2 3 4" xfId="57632"/>
    <cellStyle name="Comma 3 2 4" xfId="33596"/>
    <cellStyle name="Comma 3 2 4 2" xfId="33597"/>
    <cellStyle name="Comma 3 2 4 3" xfId="33598"/>
    <cellStyle name="Comma 3 2 5" xfId="33599"/>
    <cellStyle name="Comma 3 2 5 2" xfId="33600"/>
    <cellStyle name="Comma 3 2 6" xfId="33601"/>
    <cellStyle name="Comma 3 2 6 2" xfId="33602"/>
    <cellStyle name="Comma 3 2 7" xfId="33603"/>
    <cellStyle name="Comma 3 2 8" xfId="33604"/>
    <cellStyle name="Comma 3 2 9" xfId="33605"/>
    <cellStyle name="Comma 3 20" xfId="33606"/>
    <cellStyle name="Comma 3 20 2" xfId="33607"/>
    <cellStyle name="Comma 3 21" xfId="33608"/>
    <cellStyle name="Comma 3 21 2" xfId="33609"/>
    <cellStyle name="Comma 3 22" xfId="33610"/>
    <cellStyle name="Comma 3 22 2" xfId="33611"/>
    <cellStyle name="Comma 3 23" xfId="33612"/>
    <cellStyle name="Comma 3 23 2" xfId="33613"/>
    <cellStyle name="Comma 3 24" xfId="33614"/>
    <cellStyle name="Comma 3 24 2" xfId="33615"/>
    <cellStyle name="Comma 3 25" xfId="33616"/>
    <cellStyle name="Comma 3 25 2" xfId="33617"/>
    <cellStyle name="Comma 3 26" xfId="33618"/>
    <cellStyle name="Comma 3 26 2" xfId="33619"/>
    <cellStyle name="Comma 3 27" xfId="33620"/>
    <cellStyle name="Comma 3 27 2" xfId="33621"/>
    <cellStyle name="Comma 3 28" xfId="33622"/>
    <cellStyle name="Comma 3 28 2" xfId="33623"/>
    <cellStyle name="Comma 3 29" xfId="33624"/>
    <cellStyle name="Comma 3 29 2" xfId="33625"/>
    <cellStyle name="Comma 3 3" xfId="39"/>
    <cellStyle name="Comma 3 3 10" xfId="33626"/>
    <cellStyle name="Comma 3 3 10 2" xfId="33627"/>
    <cellStyle name="Comma 3 3 11" xfId="57633"/>
    <cellStyle name="Comma 3 3 2" xfId="33628"/>
    <cellStyle name="Comma 3 3 2 2" xfId="33629"/>
    <cellStyle name="Comma 3 3 2 2 2" xfId="33630"/>
    <cellStyle name="Comma 3 3 2 3" xfId="33631"/>
    <cellStyle name="Comma 3 3 2 4" xfId="57634"/>
    <cellStyle name="Comma 3 3 3" xfId="33632"/>
    <cellStyle name="Comma 3 3 3 2" xfId="33633"/>
    <cellStyle name="Comma 3 3 3 3" xfId="33634"/>
    <cellStyle name="Comma 3 3 4" xfId="33635"/>
    <cellStyle name="Comma 3 3 4 2" xfId="33636"/>
    <cellStyle name="Comma 3 3 5" xfId="33637"/>
    <cellStyle name="Comma 3 3 5 2" xfId="33638"/>
    <cellStyle name="Comma 3 3 6" xfId="33639"/>
    <cellStyle name="Comma 3 3 6 2" xfId="33640"/>
    <cellStyle name="Comma 3 3 7" xfId="33641"/>
    <cellStyle name="Comma 3 3 8" xfId="33642"/>
    <cellStyle name="Comma 3 3 8 2" xfId="33643"/>
    <cellStyle name="Comma 3 3 9" xfId="33644"/>
    <cellStyle name="Comma 3 3 9 2" xfId="33645"/>
    <cellStyle name="Comma 3 30" xfId="33646"/>
    <cellStyle name="Comma 3 30 2" xfId="33647"/>
    <cellStyle name="Comma 3 31" xfId="33648"/>
    <cellStyle name="Comma 3 31 2" xfId="33649"/>
    <cellStyle name="Comma 3 32" xfId="33650"/>
    <cellStyle name="Comma 3 32 2" xfId="33651"/>
    <cellStyle name="Comma 3 33" xfId="33652"/>
    <cellStyle name="Comma 3 33 2" xfId="33653"/>
    <cellStyle name="Comma 3 34" xfId="33654"/>
    <cellStyle name="Comma 3 34 2" xfId="33655"/>
    <cellStyle name="Comma 3 35" xfId="33656"/>
    <cellStyle name="Comma 3 35 2" xfId="33657"/>
    <cellStyle name="Comma 3 36" xfId="33658"/>
    <cellStyle name="Comma 3 36 2" xfId="33659"/>
    <cellStyle name="Comma 3 37" xfId="33660"/>
    <cellStyle name="Comma 3 37 2" xfId="33661"/>
    <cellStyle name="Comma 3 38" xfId="33662"/>
    <cellStyle name="Comma 3 38 2" xfId="33663"/>
    <cellStyle name="Comma 3 39" xfId="33664"/>
    <cellStyle name="Comma 3 4" xfId="33665"/>
    <cellStyle name="Comma 3 4 2" xfId="33666"/>
    <cellStyle name="Comma 3 4 2 2" xfId="33667"/>
    <cellStyle name="Comma 3 4 2 3" xfId="57636"/>
    <cellStyle name="Comma 3 4 3" xfId="33668"/>
    <cellStyle name="Comma 3 4 3 2" xfId="33669"/>
    <cellStyle name="Comma 3 4 3 3" xfId="57637"/>
    <cellStyle name="Comma 3 4 4" xfId="33670"/>
    <cellStyle name="Comma 3 4 4 2" xfId="33671"/>
    <cellStyle name="Comma 3 4 5" xfId="33672"/>
    <cellStyle name="Comma 3 4 5 2" xfId="33673"/>
    <cellStyle name="Comma 3 4 6" xfId="33674"/>
    <cellStyle name="Comma 3 4 6 2" xfId="33675"/>
    <cellStyle name="Comma 3 4 7" xfId="33676"/>
    <cellStyle name="Comma 3 4 7 2" xfId="33677"/>
    <cellStyle name="Comma 3 4 8" xfId="57635"/>
    <cellStyle name="Comma 3 40" xfId="33678"/>
    <cellStyle name="Comma 3 41" xfId="33679"/>
    <cellStyle name="Comma 3 42" xfId="33680"/>
    <cellStyle name="Comma 3 43" xfId="33681"/>
    <cellStyle name="Comma 3 43 2" xfId="33682"/>
    <cellStyle name="Comma 3 44" xfId="33683"/>
    <cellStyle name="Comma 3 44 2" xfId="33684"/>
    <cellStyle name="Comma 3 45" xfId="33685"/>
    <cellStyle name="Comma 3 45 2" xfId="33686"/>
    <cellStyle name="Comma 3 46" xfId="33687"/>
    <cellStyle name="Comma 3 46 2" xfId="33688"/>
    <cellStyle name="Comma 3 47" xfId="33689"/>
    <cellStyle name="Comma 3 48" xfId="33690"/>
    <cellStyle name="Comma 3 48 2" xfId="33691"/>
    <cellStyle name="Comma 3 48 3" xfId="33692"/>
    <cellStyle name="Comma 3 49" xfId="33693"/>
    <cellStyle name="Comma 3 5" xfId="33694"/>
    <cellStyle name="Comma 3 5 2" xfId="33695"/>
    <cellStyle name="Comma 3 5 2 2" xfId="33696"/>
    <cellStyle name="Comma 3 5 3" xfId="33697"/>
    <cellStyle name="Comma 3 5 3 2" xfId="33698"/>
    <cellStyle name="Comma 3 5 4" xfId="33699"/>
    <cellStyle name="Comma 3 5 4 2" xfId="33700"/>
    <cellStyle name="Comma 3 5 5" xfId="33701"/>
    <cellStyle name="Comma 3 5 5 2" xfId="33702"/>
    <cellStyle name="Comma 3 5 6" xfId="33703"/>
    <cellStyle name="Comma 3 5 6 2" xfId="33704"/>
    <cellStyle name="Comma 3 5 7" xfId="33705"/>
    <cellStyle name="Comma 3 5 8" xfId="57638"/>
    <cellStyle name="Comma 3 50" xfId="33706"/>
    <cellStyle name="Comma 3 51" xfId="33707"/>
    <cellStyle name="Comma 3 52" xfId="57629"/>
    <cellStyle name="Comma 3 6" xfId="33708"/>
    <cellStyle name="Comma 3 6 2" xfId="33709"/>
    <cellStyle name="Comma 3 6 2 2" xfId="33710"/>
    <cellStyle name="Comma 3 7" xfId="33711"/>
    <cellStyle name="Comma 3 7 2" xfId="33712"/>
    <cellStyle name="Comma 3 7 2 2" xfId="33713"/>
    <cellStyle name="Comma 3 8" xfId="33714"/>
    <cellStyle name="Comma 3 8 2" xfId="33715"/>
    <cellStyle name="Comma 3 8 2 2" xfId="33716"/>
    <cellStyle name="Comma 3 9" xfId="33717"/>
    <cellStyle name="Comma 3 9 2" xfId="33718"/>
    <cellStyle name="Comma 3 9 2 2" xfId="33719"/>
    <cellStyle name="Comma 30" xfId="33720"/>
    <cellStyle name="Comma 30 2" xfId="33721"/>
    <cellStyle name="Comma 30 2 2" xfId="57640"/>
    <cellStyle name="Comma 30 3" xfId="57639"/>
    <cellStyle name="Comma 31" xfId="33722"/>
    <cellStyle name="Comma 31 2" xfId="33723"/>
    <cellStyle name="Comma 31 2 2" xfId="57642"/>
    <cellStyle name="Comma 31 3" xfId="57641"/>
    <cellStyle name="Comma 32" xfId="33724"/>
    <cellStyle name="Comma 32 2" xfId="33725"/>
    <cellStyle name="Comma 32 2 2" xfId="57644"/>
    <cellStyle name="Comma 32 3" xfId="57643"/>
    <cellStyle name="Comma 33" xfId="33726"/>
    <cellStyle name="Comma 33 2" xfId="33727"/>
    <cellStyle name="Comma 33 2 2" xfId="57646"/>
    <cellStyle name="Comma 33 3" xfId="57645"/>
    <cellStyle name="Comma 34" xfId="33728"/>
    <cellStyle name="Comma 34 2" xfId="33729"/>
    <cellStyle name="Comma 34 2 2" xfId="33730"/>
    <cellStyle name="Comma 34 2 2 2" xfId="33731"/>
    <cellStyle name="Comma 34 2 2 2 2" xfId="33732"/>
    <cellStyle name="Comma 34 2 2 3" xfId="33733"/>
    <cellStyle name="Comma 34 2 3" xfId="33734"/>
    <cellStyle name="Comma 34 2 3 2" xfId="33735"/>
    <cellStyle name="Comma 34 2 4" xfId="33736"/>
    <cellStyle name="Comma 34 2 5" xfId="33737"/>
    <cellStyle name="Comma 34 2 6" xfId="57648"/>
    <cellStyle name="Comma 34 3" xfId="33738"/>
    <cellStyle name="Comma 34 3 2" xfId="33739"/>
    <cellStyle name="Comma 34 3 2 2" xfId="33740"/>
    <cellStyle name="Comma 34 3 3" xfId="33741"/>
    <cellStyle name="Comma 34 4" xfId="33742"/>
    <cellStyle name="Comma 34 4 2" xfId="33743"/>
    <cellStyle name="Comma 34 5" xfId="33744"/>
    <cellStyle name="Comma 34 6" xfId="33745"/>
    <cellStyle name="Comma 34 7" xfId="57647"/>
    <cellStyle name="Comma 35" xfId="33746"/>
    <cellStyle name="Comma 35 2" xfId="33747"/>
    <cellStyle name="Comma 35 2 2" xfId="33748"/>
    <cellStyle name="Comma 35 2 2 2" xfId="33749"/>
    <cellStyle name="Comma 35 2 2 2 2" xfId="33750"/>
    <cellStyle name="Comma 35 2 2 3" xfId="33751"/>
    <cellStyle name="Comma 35 2 3" xfId="33752"/>
    <cellStyle name="Comma 35 2 3 2" xfId="33753"/>
    <cellStyle name="Comma 35 2 4" xfId="33754"/>
    <cellStyle name="Comma 35 2 5" xfId="33755"/>
    <cellStyle name="Comma 35 2 6" xfId="57650"/>
    <cellStyle name="Comma 35 3" xfId="33756"/>
    <cellStyle name="Comma 35 3 2" xfId="33757"/>
    <cellStyle name="Comma 35 3 2 2" xfId="33758"/>
    <cellStyle name="Comma 35 3 3" xfId="33759"/>
    <cellStyle name="Comma 35 4" xfId="33760"/>
    <cellStyle name="Comma 35 4 2" xfId="33761"/>
    <cellStyle name="Comma 35 5" xfId="33762"/>
    <cellStyle name="Comma 35 6" xfId="33763"/>
    <cellStyle name="Comma 35 7" xfId="57649"/>
    <cellStyle name="Comma 36" xfId="33764"/>
    <cellStyle name="Comma 36 2" xfId="33765"/>
    <cellStyle name="Comma 36 2 2" xfId="33766"/>
    <cellStyle name="Comma 36 2 2 2" xfId="33767"/>
    <cellStyle name="Comma 36 2 2 2 2" xfId="33768"/>
    <cellStyle name="Comma 36 2 2 3" xfId="33769"/>
    <cellStyle name="Comma 36 2 3" xfId="33770"/>
    <cellStyle name="Comma 36 2 3 2" xfId="33771"/>
    <cellStyle name="Comma 36 2 4" xfId="33772"/>
    <cellStyle name="Comma 36 2 5" xfId="33773"/>
    <cellStyle name="Comma 36 2 6" xfId="57652"/>
    <cellStyle name="Comma 36 3" xfId="33774"/>
    <cellStyle name="Comma 36 3 2" xfId="33775"/>
    <cellStyle name="Comma 36 3 2 2" xfId="33776"/>
    <cellStyle name="Comma 36 3 3" xfId="33777"/>
    <cellStyle name="Comma 36 4" xfId="33778"/>
    <cellStyle name="Comma 36 4 2" xfId="33779"/>
    <cellStyle name="Comma 36 5" xfId="33780"/>
    <cellStyle name="Comma 36 6" xfId="33781"/>
    <cellStyle name="Comma 36 7" xfId="57651"/>
    <cellStyle name="Comma 37" xfId="33782"/>
    <cellStyle name="Comma 37 2" xfId="33783"/>
    <cellStyle name="Comma 37 2 2" xfId="33784"/>
    <cellStyle name="Comma 37 2 2 2" xfId="33785"/>
    <cellStyle name="Comma 37 2 2 2 2" xfId="33786"/>
    <cellStyle name="Comma 37 2 2 3" xfId="33787"/>
    <cellStyle name="Comma 37 2 3" xfId="33788"/>
    <cellStyle name="Comma 37 2 3 2" xfId="33789"/>
    <cellStyle name="Comma 37 2 4" xfId="33790"/>
    <cellStyle name="Comma 37 2 5" xfId="33791"/>
    <cellStyle name="Comma 37 2 6" xfId="57654"/>
    <cellStyle name="Comma 37 3" xfId="33792"/>
    <cellStyle name="Comma 37 3 2" xfId="33793"/>
    <cellStyle name="Comma 37 3 2 2" xfId="33794"/>
    <cellStyle name="Comma 37 3 3" xfId="33795"/>
    <cellStyle name="Comma 37 4" xfId="33796"/>
    <cellStyle name="Comma 37 4 2" xfId="33797"/>
    <cellStyle name="Comma 37 5" xfId="33798"/>
    <cellStyle name="Comma 37 6" xfId="33799"/>
    <cellStyle name="Comma 37 7" xfId="33800"/>
    <cellStyle name="Comma 37 8" xfId="33801"/>
    <cellStyle name="Comma 37 9" xfId="57653"/>
    <cellStyle name="Comma 38" xfId="33802"/>
    <cellStyle name="Comma 38 2" xfId="33803"/>
    <cellStyle name="Comma 38 2 2" xfId="33804"/>
    <cellStyle name="Comma 38 2 2 2" xfId="33805"/>
    <cellStyle name="Comma 38 2 2 2 2" xfId="33806"/>
    <cellStyle name="Comma 38 2 2 3" xfId="33807"/>
    <cellStyle name="Comma 38 2 3" xfId="33808"/>
    <cellStyle name="Comma 38 2 3 2" xfId="33809"/>
    <cellStyle name="Comma 38 2 4" xfId="33810"/>
    <cellStyle name="Comma 38 2 5" xfId="33811"/>
    <cellStyle name="Comma 38 2 6" xfId="57656"/>
    <cellStyle name="Comma 38 3" xfId="33812"/>
    <cellStyle name="Comma 38 3 2" xfId="33813"/>
    <cellStyle name="Comma 38 3 2 2" xfId="33814"/>
    <cellStyle name="Comma 38 3 3" xfId="33815"/>
    <cellStyle name="Comma 38 4" xfId="33816"/>
    <cellStyle name="Comma 38 4 2" xfId="33817"/>
    <cellStyle name="Comma 38 5" xfId="33818"/>
    <cellStyle name="Comma 38 6" xfId="33819"/>
    <cellStyle name="Comma 38 7" xfId="33820"/>
    <cellStyle name="Comma 38 8" xfId="57655"/>
    <cellStyle name="Comma 39" xfId="33821"/>
    <cellStyle name="Comma 39 2" xfId="33822"/>
    <cellStyle name="Comma 39 2 2" xfId="57658"/>
    <cellStyle name="Comma 39 3" xfId="57657"/>
    <cellStyle name="Comma 4" xfId="13"/>
    <cellStyle name="Comma 4 10" xfId="33823"/>
    <cellStyle name="Comma 4 11" xfId="33824"/>
    <cellStyle name="Comma 4 12" xfId="33825"/>
    <cellStyle name="Comma 4 13" xfId="33826"/>
    <cellStyle name="Comma 4 14" xfId="33827"/>
    <cellStyle name="Comma 4 14 2" xfId="33828"/>
    <cellStyle name="Comma 4 14 3" xfId="33829"/>
    <cellStyle name="Comma 4 15" xfId="33830"/>
    <cellStyle name="Comma 4 16" xfId="33831"/>
    <cellStyle name="Comma 4 17" xfId="33832"/>
    <cellStyle name="Comma 4 18" xfId="33833"/>
    <cellStyle name="Comma 4 19" xfId="33834"/>
    <cellStyle name="Comma 4 2" xfId="42"/>
    <cellStyle name="Comma 4 2 2" xfId="33835"/>
    <cellStyle name="Comma 4 2 2 2" xfId="33836"/>
    <cellStyle name="Comma 4 2 2 2 2" xfId="33837"/>
    <cellStyle name="Comma 4 2 2 2 2 2" xfId="57663"/>
    <cellStyle name="Comma 4 2 2 2 3" xfId="57662"/>
    <cellStyle name="Comma 4 2 2 3" xfId="33838"/>
    <cellStyle name="Comma 4 2 2 4" xfId="33839"/>
    <cellStyle name="Comma 4 2 2 5" xfId="33840"/>
    <cellStyle name="Comma 4 2 2 6" xfId="57661"/>
    <cellStyle name="Comma 4 2 3" xfId="33841"/>
    <cellStyle name="Comma 4 2 3 2" xfId="33842"/>
    <cellStyle name="Comma 4 2 3 3" xfId="33843"/>
    <cellStyle name="Comma 4 2 3 4" xfId="33844"/>
    <cellStyle name="Comma 4 2 4" xfId="33845"/>
    <cellStyle name="Comma 4 2 4 2" xfId="33846"/>
    <cellStyle name="Comma 4 2 4 3" xfId="33847"/>
    <cellStyle name="Comma 4 2 5" xfId="33848"/>
    <cellStyle name="Comma 4 2 5 2" xfId="33849"/>
    <cellStyle name="Comma 4 2 6" xfId="33850"/>
    <cellStyle name="Comma 4 2 6 2" xfId="33851"/>
    <cellStyle name="Comma 4 2 7" xfId="33852"/>
    <cellStyle name="Comma 4 2 7 2" xfId="33853"/>
    <cellStyle name="Comma 4 2 8" xfId="33854"/>
    <cellStyle name="Comma 4 2 9" xfId="57660"/>
    <cellStyle name="Comma 4 20" xfId="33855"/>
    <cellStyle name="Comma 4 21" xfId="33856"/>
    <cellStyle name="Comma 4 22" xfId="33857"/>
    <cellStyle name="Comma 4 23" xfId="33858"/>
    <cellStyle name="Comma 4 24" xfId="33859"/>
    <cellStyle name="Comma 4 25" xfId="33860"/>
    <cellStyle name="Comma 4 26" xfId="33861"/>
    <cellStyle name="Comma 4 27" xfId="33862"/>
    <cellStyle name="Comma 4 28" xfId="33863"/>
    <cellStyle name="Comma 4 29" xfId="33864"/>
    <cellStyle name="Comma 4 3" xfId="33865"/>
    <cellStyle name="Comma 4 3 2" xfId="33866"/>
    <cellStyle name="Comma 4 3 2 2" xfId="33867"/>
    <cellStyle name="Comma 4 3 2 2 2" xfId="33868"/>
    <cellStyle name="Comma 4 3 2 3" xfId="33869"/>
    <cellStyle name="Comma 4 3 3" xfId="33870"/>
    <cellStyle name="Comma 4 3 3 2" xfId="33871"/>
    <cellStyle name="Comma 4 3 3 3" xfId="33872"/>
    <cellStyle name="Comma 4 3 4" xfId="33873"/>
    <cellStyle name="Comma 4 3 4 2" xfId="33874"/>
    <cellStyle name="Comma 4 3 5" xfId="33875"/>
    <cellStyle name="Comma 4 3 5 2" xfId="33876"/>
    <cellStyle name="Comma 4 3 6" xfId="33877"/>
    <cellStyle name="Comma 4 3 6 2" xfId="33878"/>
    <cellStyle name="Comma 4 3 7" xfId="33879"/>
    <cellStyle name="Comma 4 3 8" xfId="33880"/>
    <cellStyle name="Comma 4 30" xfId="33881"/>
    <cellStyle name="Comma 4 31" xfId="33882"/>
    <cellStyle name="Comma 4 32" xfId="33883"/>
    <cellStyle name="Comma 4 33" xfId="33884"/>
    <cellStyle name="Comma 4 34" xfId="33885"/>
    <cellStyle name="Comma 4 35" xfId="33886"/>
    <cellStyle name="Comma 4 36" xfId="33887"/>
    <cellStyle name="Comma 4 37" xfId="33888"/>
    <cellStyle name="Comma 4 38" xfId="33889"/>
    <cellStyle name="Comma 4 39" xfId="33890"/>
    <cellStyle name="Comma 4 4" xfId="33891"/>
    <cellStyle name="Comma 4 4 2" xfId="33892"/>
    <cellStyle name="Comma 4 4 2 2" xfId="33893"/>
    <cellStyle name="Comma 4 4 2 3" xfId="33894"/>
    <cellStyle name="Comma 4 4 3" xfId="33895"/>
    <cellStyle name="Comma 4 4 3 2" xfId="33896"/>
    <cellStyle name="Comma 4 4 4" xfId="33897"/>
    <cellStyle name="Comma 4 4 4 2" xfId="33898"/>
    <cellStyle name="Comma 4 4 5" xfId="33899"/>
    <cellStyle name="Comma 4 4 5 2" xfId="33900"/>
    <cellStyle name="Comma 4 4 6" xfId="33901"/>
    <cellStyle name="Comma 4 4 6 2" xfId="33902"/>
    <cellStyle name="Comma 4 4 7" xfId="57664"/>
    <cellStyle name="Comma 4 40" xfId="33903"/>
    <cellStyle name="Comma 4 41" xfId="33904"/>
    <cellStyle name="Comma 4 42" xfId="33905"/>
    <cellStyle name="Comma 4 43" xfId="33906"/>
    <cellStyle name="Comma 4 44" xfId="33907"/>
    <cellStyle name="Comma 4 45" xfId="33908"/>
    <cellStyle name="Comma 4 46" xfId="33909"/>
    <cellStyle name="Comma 4 47" xfId="33910"/>
    <cellStyle name="Comma 4 48" xfId="33911"/>
    <cellStyle name="Comma 4 49" xfId="33912"/>
    <cellStyle name="Comma 4 5" xfId="33913"/>
    <cellStyle name="Comma 4 5 2" xfId="33914"/>
    <cellStyle name="Comma 4 5 3" xfId="33915"/>
    <cellStyle name="Comma 4 5 4" xfId="33916"/>
    <cellStyle name="Comma 4 50" xfId="33917"/>
    <cellStyle name="Comma 4 51" xfId="33918"/>
    <cellStyle name="Comma 4 52" xfId="33919"/>
    <cellStyle name="Comma 4 53" xfId="33920"/>
    <cellStyle name="Comma 4 54" xfId="33921"/>
    <cellStyle name="Comma 4 55" xfId="33922"/>
    <cellStyle name="Comma 4 56" xfId="33923"/>
    <cellStyle name="Comma 4 57" xfId="33924"/>
    <cellStyle name="Comma 4 58" xfId="33925"/>
    <cellStyle name="Comma 4 59" xfId="33926"/>
    <cellStyle name="Comma 4 6" xfId="33927"/>
    <cellStyle name="Comma 4 6 2" xfId="33928"/>
    <cellStyle name="Comma 4 60" xfId="33929"/>
    <cellStyle name="Comma 4 61" xfId="33930"/>
    <cellStyle name="Comma 4 62" xfId="33931"/>
    <cellStyle name="Comma 4 63" xfId="33932"/>
    <cellStyle name="Comma 4 64" xfId="33933"/>
    <cellStyle name="Comma 4 65" xfId="33934"/>
    <cellStyle name="Comma 4 65 2" xfId="33935"/>
    <cellStyle name="Comma 4 66" xfId="33936"/>
    <cellStyle name="Comma 4 67" xfId="33937"/>
    <cellStyle name="Comma 4 68" xfId="33938"/>
    <cellStyle name="Comma 4 69" xfId="33939"/>
    <cellStyle name="Comma 4 7" xfId="33940"/>
    <cellStyle name="Comma 4 7 2" xfId="33941"/>
    <cellStyle name="Comma 4 70" xfId="57659"/>
    <cellStyle name="Comma 4 8" xfId="33942"/>
    <cellStyle name="Comma 4 8 2" xfId="33943"/>
    <cellStyle name="Comma 4 9" xfId="33944"/>
    <cellStyle name="Comma 4 9 2" xfId="33945"/>
    <cellStyle name="Comma 4_IS Detail Per Comp" xfId="33946"/>
    <cellStyle name="Comma 40" xfId="33947"/>
    <cellStyle name="Comma 40 2" xfId="33948"/>
    <cellStyle name="Comma 40 2 2" xfId="57666"/>
    <cellStyle name="Comma 40 3" xfId="57665"/>
    <cellStyle name="Comma 41" xfId="33949"/>
    <cellStyle name="Comma 41 2" xfId="33950"/>
    <cellStyle name="Comma 41 2 2" xfId="33951"/>
    <cellStyle name="Comma 41 2 2 2" xfId="33952"/>
    <cellStyle name="Comma 41 2 2 2 2" xfId="33953"/>
    <cellStyle name="Comma 41 2 2 3" xfId="33954"/>
    <cellStyle name="Comma 41 2 3" xfId="33955"/>
    <cellStyle name="Comma 41 2 3 2" xfId="33956"/>
    <cellStyle name="Comma 41 2 4" xfId="33957"/>
    <cellStyle name="Comma 41 2 5" xfId="33958"/>
    <cellStyle name="Comma 41 2 6" xfId="57668"/>
    <cellStyle name="Comma 41 3" xfId="33959"/>
    <cellStyle name="Comma 41 3 2" xfId="33960"/>
    <cellStyle name="Comma 41 3 2 2" xfId="33961"/>
    <cellStyle name="Comma 41 3 3" xfId="33962"/>
    <cellStyle name="Comma 41 4" xfId="33963"/>
    <cellStyle name="Comma 41 4 2" xfId="33964"/>
    <cellStyle name="Comma 41 5" xfId="33965"/>
    <cellStyle name="Comma 41 6" xfId="33966"/>
    <cellStyle name="Comma 41 7" xfId="33967"/>
    <cellStyle name="Comma 41 8" xfId="57667"/>
    <cellStyle name="Comma 42" xfId="33968"/>
    <cellStyle name="Comma 42 2" xfId="33969"/>
    <cellStyle name="Comma 42 2 2" xfId="57670"/>
    <cellStyle name="Comma 42 3" xfId="57669"/>
    <cellStyle name="Comma 43" xfId="33970"/>
    <cellStyle name="Comma 43 2" xfId="33971"/>
    <cellStyle name="Comma 43 2 2" xfId="33972"/>
    <cellStyle name="Comma 43 2 2 2" xfId="33973"/>
    <cellStyle name="Comma 43 2 2 2 2" xfId="33974"/>
    <cellStyle name="Comma 43 2 2 3" xfId="33975"/>
    <cellStyle name="Comma 43 2 3" xfId="33976"/>
    <cellStyle name="Comma 43 2 3 2" xfId="33977"/>
    <cellStyle name="Comma 43 2 4" xfId="33978"/>
    <cellStyle name="Comma 43 2 5" xfId="33979"/>
    <cellStyle name="Comma 43 2 6" xfId="57672"/>
    <cellStyle name="Comma 43 3" xfId="33980"/>
    <cellStyle name="Comma 43 3 2" xfId="33981"/>
    <cellStyle name="Comma 43 3 2 2" xfId="33982"/>
    <cellStyle name="Comma 43 3 3" xfId="33983"/>
    <cellStyle name="Comma 43 4" xfId="33984"/>
    <cellStyle name="Comma 43 4 2" xfId="33985"/>
    <cellStyle name="Comma 43 5" xfId="33986"/>
    <cellStyle name="Comma 43 6" xfId="33987"/>
    <cellStyle name="Comma 43 7" xfId="33988"/>
    <cellStyle name="Comma 43 8" xfId="57671"/>
    <cellStyle name="Comma 44" xfId="33989"/>
    <cellStyle name="Comma 44 2" xfId="33990"/>
    <cellStyle name="Comma 44 2 2" xfId="33991"/>
    <cellStyle name="Comma 44 2 2 2" xfId="33992"/>
    <cellStyle name="Comma 44 2 2 2 2" xfId="33993"/>
    <cellStyle name="Comma 44 2 2 3" xfId="33994"/>
    <cellStyle name="Comma 44 2 3" xfId="33995"/>
    <cellStyle name="Comma 44 2 3 2" xfId="33996"/>
    <cellStyle name="Comma 44 2 4" xfId="33997"/>
    <cellStyle name="Comma 44 2 5" xfId="33998"/>
    <cellStyle name="Comma 44 2 6" xfId="57674"/>
    <cellStyle name="Comma 44 3" xfId="33999"/>
    <cellStyle name="Comma 44 3 2" xfId="34000"/>
    <cellStyle name="Comma 44 3 2 2" xfId="34001"/>
    <cellStyle name="Comma 44 3 3" xfId="34002"/>
    <cellStyle name="Comma 44 4" xfId="34003"/>
    <cellStyle name="Comma 44 4 2" xfId="34004"/>
    <cellStyle name="Comma 44 5" xfId="34005"/>
    <cellStyle name="Comma 44 6" xfId="34006"/>
    <cellStyle name="Comma 44 7" xfId="34007"/>
    <cellStyle name="Comma 44 8" xfId="57673"/>
    <cellStyle name="Comma 45" xfId="34008"/>
    <cellStyle name="Comma 45 2" xfId="34009"/>
    <cellStyle name="Comma 45 2 2" xfId="34010"/>
    <cellStyle name="Comma 45 2 2 2" xfId="34011"/>
    <cellStyle name="Comma 45 2 2 2 2" xfId="34012"/>
    <cellStyle name="Comma 45 2 2 3" xfId="34013"/>
    <cellStyle name="Comma 45 2 3" xfId="34014"/>
    <cellStyle name="Comma 45 2 3 2" xfId="34015"/>
    <cellStyle name="Comma 45 2 4" xfId="34016"/>
    <cellStyle name="Comma 45 2 5" xfId="34017"/>
    <cellStyle name="Comma 45 2 6" xfId="57676"/>
    <cellStyle name="Comma 45 3" xfId="34018"/>
    <cellStyle name="Comma 45 3 2" xfId="34019"/>
    <cellStyle name="Comma 45 3 2 2" xfId="34020"/>
    <cellStyle name="Comma 45 3 3" xfId="34021"/>
    <cellStyle name="Comma 45 4" xfId="34022"/>
    <cellStyle name="Comma 45 4 2" xfId="34023"/>
    <cellStyle name="Comma 45 5" xfId="34024"/>
    <cellStyle name="Comma 45 6" xfId="34025"/>
    <cellStyle name="Comma 45 7" xfId="34026"/>
    <cellStyle name="Comma 45 8" xfId="57675"/>
    <cellStyle name="Comma 46" xfId="34027"/>
    <cellStyle name="Comma 46 2" xfId="34028"/>
    <cellStyle name="Comma 46 2 2" xfId="34029"/>
    <cellStyle name="Comma 46 2 2 2" xfId="34030"/>
    <cellStyle name="Comma 46 2 2 2 2" xfId="34031"/>
    <cellStyle name="Comma 46 2 2 3" xfId="34032"/>
    <cellStyle name="Comma 46 2 2 4" xfId="57679"/>
    <cellStyle name="Comma 46 2 3" xfId="34033"/>
    <cellStyle name="Comma 46 2 3 2" xfId="34034"/>
    <cellStyle name="Comma 46 2 4" xfId="34035"/>
    <cellStyle name="Comma 46 2 5" xfId="34036"/>
    <cellStyle name="Comma 46 2 6" xfId="57678"/>
    <cellStyle name="Comma 46 3" xfId="34037"/>
    <cellStyle name="Comma 46 3 2" xfId="34038"/>
    <cellStyle name="Comma 46 3 2 2" xfId="34039"/>
    <cellStyle name="Comma 46 3 3" xfId="34040"/>
    <cellStyle name="Comma 46 3 4" xfId="57680"/>
    <cellStyle name="Comma 46 4" xfId="34041"/>
    <cellStyle name="Comma 46 4 2" xfId="34042"/>
    <cellStyle name="Comma 46 5" xfId="34043"/>
    <cellStyle name="Comma 46 6" xfId="34044"/>
    <cellStyle name="Comma 46 7" xfId="34045"/>
    <cellStyle name="Comma 46 8" xfId="57677"/>
    <cellStyle name="Comma 47" xfId="34046"/>
    <cellStyle name="Comma 47 2" xfId="34047"/>
    <cellStyle name="Comma 47 2 2" xfId="34048"/>
    <cellStyle name="Comma 47 2 2 2" xfId="34049"/>
    <cellStyle name="Comma 47 2 2 2 2" xfId="34050"/>
    <cellStyle name="Comma 47 2 2 3" xfId="34051"/>
    <cellStyle name="Comma 47 2 3" xfId="34052"/>
    <cellStyle name="Comma 47 2 3 2" xfId="34053"/>
    <cellStyle name="Comma 47 2 4" xfId="34054"/>
    <cellStyle name="Comma 47 2 5" xfId="34055"/>
    <cellStyle name="Comma 47 2 6" xfId="57682"/>
    <cellStyle name="Comma 47 3" xfId="34056"/>
    <cellStyle name="Comma 47 3 2" xfId="34057"/>
    <cellStyle name="Comma 47 3 2 2" xfId="34058"/>
    <cellStyle name="Comma 47 3 3" xfId="34059"/>
    <cellStyle name="Comma 47 4" xfId="34060"/>
    <cellStyle name="Comma 47 4 2" xfId="34061"/>
    <cellStyle name="Comma 47 5" xfId="34062"/>
    <cellStyle name="Comma 47 6" xfId="34063"/>
    <cellStyle name="Comma 47 7" xfId="34064"/>
    <cellStyle name="Comma 47 8" xfId="57681"/>
    <cellStyle name="Comma 48" xfId="34065"/>
    <cellStyle name="Comma 48 2" xfId="34066"/>
    <cellStyle name="Comma 48 2 2" xfId="34067"/>
    <cellStyle name="Comma 48 2 2 2" xfId="34068"/>
    <cellStyle name="Comma 48 2 2 2 2" xfId="34069"/>
    <cellStyle name="Comma 48 2 2 3" xfId="34070"/>
    <cellStyle name="Comma 48 2 3" xfId="34071"/>
    <cellStyle name="Comma 48 2 3 2" xfId="34072"/>
    <cellStyle name="Comma 48 2 4" xfId="34073"/>
    <cellStyle name="Comma 48 2 5" xfId="34074"/>
    <cellStyle name="Comma 48 2 6" xfId="57684"/>
    <cellStyle name="Comma 48 3" xfId="34075"/>
    <cellStyle name="Comma 48 3 2" xfId="34076"/>
    <cellStyle name="Comma 48 3 2 2" xfId="34077"/>
    <cellStyle name="Comma 48 3 3" xfId="34078"/>
    <cellStyle name="Comma 48 4" xfId="34079"/>
    <cellStyle name="Comma 48 4 2" xfId="34080"/>
    <cellStyle name="Comma 48 5" xfId="34081"/>
    <cellStyle name="Comma 48 6" xfId="34082"/>
    <cellStyle name="Comma 48 7" xfId="34083"/>
    <cellStyle name="Comma 48 8" xfId="57683"/>
    <cellStyle name="Comma 49" xfId="34084"/>
    <cellStyle name="Comma 49 2" xfId="34085"/>
    <cellStyle name="Comma 49 2 2" xfId="34086"/>
    <cellStyle name="Comma 49 2 2 2" xfId="34087"/>
    <cellStyle name="Comma 49 2 2 2 2" xfId="34088"/>
    <cellStyle name="Comma 49 2 2 3" xfId="34089"/>
    <cellStyle name="Comma 49 2 3" xfId="34090"/>
    <cellStyle name="Comma 49 2 3 2" xfId="34091"/>
    <cellStyle name="Comma 49 2 4" xfId="34092"/>
    <cellStyle name="Comma 49 2 5" xfId="34093"/>
    <cellStyle name="Comma 49 2 6" xfId="57686"/>
    <cellStyle name="Comma 49 3" xfId="34094"/>
    <cellStyle name="Comma 49 3 2" xfId="34095"/>
    <cellStyle name="Comma 49 3 2 2" xfId="34096"/>
    <cellStyle name="Comma 49 3 3" xfId="34097"/>
    <cellStyle name="Comma 49 4" xfId="34098"/>
    <cellStyle name="Comma 49 4 2" xfId="34099"/>
    <cellStyle name="Comma 49 5" xfId="34100"/>
    <cellStyle name="Comma 49 6" xfId="34101"/>
    <cellStyle name="Comma 49 7" xfId="34102"/>
    <cellStyle name="Comma 49 8" xfId="57685"/>
    <cellStyle name="Comma 5" xfId="41"/>
    <cellStyle name="Comma 5 10" xfId="34103"/>
    <cellStyle name="Comma 5 11" xfId="34104"/>
    <cellStyle name="Comma 5 12" xfId="34105"/>
    <cellStyle name="Comma 5 13" xfId="57687"/>
    <cellStyle name="Comma 5 2" xfId="34106"/>
    <cellStyle name="Comma 5 2 10" xfId="34107"/>
    <cellStyle name="Comma 5 2 11" xfId="34108"/>
    <cellStyle name="Comma 5 2 12" xfId="34109"/>
    <cellStyle name="Comma 5 2 13" xfId="34110"/>
    <cellStyle name="Comma 5 2 14" xfId="34111"/>
    <cellStyle name="Comma 5 2 15" xfId="34112"/>
    <cellStyle name="Comma 5 2 16" xfId="34113"/>
    <cellStyle name="Comma 5 2 17" xfId="34114"/>
    <cellStyle name="Comma 5 2 18" xfId="34115"/>
    <cellStyle name="Comma 5 2 19" xfId="34116"/>
    <cellStyle name="Comma 5 2 2" xfId="34117"/>
    <cellStyle name="Comma 5 2 2 2" xfId="34118"/>
    <cellStyle name="Comma 5 2 2 3" xfId="57689"/>
    <cellStyle name="Comma 5 2 20" xfId="34119"/>
    <cellStyle name="Comma 5 2 21" xfId="34120"/>
    <cellStyle name="Comma 5 2 22" xfId="34121"/>
    <cellStyle name="Comma 5 2 23" xfId="34122"/>
    <cellStyle name="Comma 5 2 24" xfId="34123"/>
    <cellStyle name="Comma 5 2 25" xfId="34124"/>
    <cellStyle name="Comma 5 2 26" xfId="34125"/>
    <cellStyle name="Comma 5 2 27" xfId="34126"/>
    <cellStyle name="Comma 5 2 28" xfId="34127"/>
    <cellStyle name="Comma 5 2 29" xfId="34128"/>
    <cellStyle name="Comma 5 2 3" xfId="34129"/>
    <cellStyle name="Comma 5 2 3 2" xfId="57690"/>
    <cellStyle name="Comma 5 2 30" xfId="34130"/>
    <cellStyle name="Comma 5 2 31" xfId="34131"/>
    <cellStyle name="Comma 5 2 32" xfId="34132"/>
    <cellStyle name="Comma 5 2 33" xfId="34133"/>
    <cellStyle name="Comma 5 2 34" xfId="34134"/>
    <cellStyle name="Comma 5 2 35" xfId="34135"/>
    <cellStyle name="Comma 5 2 36" xfId="34136"/>
    <cellStyle name="Comma 5 2 37" xfId="34137"/>
    <cellStyle name="Comma 5 2 38" xfId="34138"/>
    <cellStyle name="Comma 5 2 39" xfId="34139"/>
    <cellStyle name="Comma 5 2 4" xfId="34140"/>
    <cellStyle name="Comma 5 2 40" xfId="34141"/>
    <cellStyle name="Comma 5 2 41" xfId="34142"/>
    <cellStyle name="Comma 5 2 42" xfId="34143"/>
    <cellStyle name="Comma 5 2 43" xfId="34144"/>
    <cellStyle name="Comma 5 2 44" xfId="34145"/>
    <cellStyle name="Comma 5 2 45" xfId="34146"/>
    <cellStyle name="Comma 5 2 46" xfId="34147"/>
    <cellStyle name="Comma 5 2 47" xfId="34148"/>
    <cellStyle name="Comma 5 2 48" xfId="34149"/>
    <cellStyle name="Comma 5 2 49" xfId="34150"/>
    <cellStyle name="Comma 5 2 5" xfId="34151"/>
    <cellStyle name="Comma 5 2 50" xfId="34152"/>
    <cellStyle name="Comma 5 2 51" xfId="34153"/>
    <cellStyle name="Comma 5 2 52" xfId="34154"/>
    <cellStyle name="Comma 5 2 53" xfId="34155"/>
    <cellStyle name="Comma 5 2 54" xfId="34156"/>
    <cellStyle name="Comma 5 2 55" xfId="34157"/>
    <cellStyle name="Comma 5 2 56" xfId="57688"/>
    <cellStyle name="Comma 5 2 6" xfId="34158"/>
    <cellStyle name="Comma 5 2 7" xfId="34159"/>
    <cellStyle name="Comma 5 2 8" xfId="34160"/>
    <cellStyle name="Comma 5 2 9" xfId="34161"/>
    <cellStyle name="Comma 5 3" xfId="34162"/>
    <cellStyle name="Comma 5 3 10" xfId="34163"/>
    <cellStyle name="Comma 5 3 11" xfId="34164"/>
    <cellStyle name="Comma 5 3 12" xfId="34165"/>
    <cellStyle name="Comma 5 3 13" xfId="34166"/>
    <cellStyle name="Comma 5 3 14" xfId="34167"/>
    <cellStyle name="Comma 5 3 15" xfId="34168"/>
    <cellStyle name="Comma 5 3 16" xfId="34169"/>
    <cellStyle name="Comma 5 3 17" xfId="34170"/>
    <cellStyle name="Comma 5 3 18" xfId="34171"/>
    <cellStyle name="Comma 5 3 19" xfId="34172"/>
    <cellStyle name="Comma 5 3 2" xfId="34173"/>
    <cellStyle name="Comma 5 3 2 2" xfId="34174"/>
    <cellStyle name="Comma 5 3 20" xfId="34175"/>
    <cellStyle name="Comma 5 3 21" xfId="34176"/>
    <cellStyle name="Comma 5 3 22" xfId="34177"/>
    <cellStyle name="Comma 5 3 23" xfId="34178"/>
    <cellStyle name="Comma 5 3 24" xfId="34179"/>
    <cellStyle name="Comma 5 3 25" xfId="34180"/>
    <cellStyle name="Comma 5 3 26" xfId="34181"/>
    <cellStyle name="Comma 5 3 27" xfId="34182"/>
    <cellStyle name="Comma 5 3 28" xfId="34183"/>
    <cellStyle name="Comma 5 3 29" xfId="34184"/>
    <cellStyle name="Comma 5 3 3" xfId="34185"/>
    <cellStyle name="Comma 5 3 30" xfId="34186"/>
    <cellStyle name="Comma 5 3 31" xfId="34187"/>
    <cellStyle name="Comma 5 3 32" xfId="34188"/>
    <cellStyle name="Comma 5 3 33" xfId="34189"/>
    <cellStyle name="Comma 5 3 34" xfId="34190"/>
    <cellStyle name="Comma 5 3 35" xfId="34191"/>
    <cellStyle name="Comma 5 3 36" xfId="34192"/>
    <cellStyle name="Comma 5 3 37" xfId="34193"/>
    <cellStyle name="Comma 5 3 38" xfId="34194"/>
    <cellStyle name="Comma 5 3 39" xfId="34195"/>
    <cellStyle name="Comma 5 3 4" xfId="34196"/>
    <cellStyle name="Comma 5 3 40" xfId="34197"/>
    <cellStyle name="Comma 5 3 41" xfId="34198"/>
    <cellStyle name="Comma 5 3 42" xfId="34199"/>
    <cellStyle name="Comma 5 3 43" xfId="34200"/>
    <cellStyle name="Comma 5 3 44" xfId="34201"/>
    <cellStyle name="Comma 5 3 45" xfId="34202"/>
    <cellStyle name="Comma 5 3 46" xfId="34203"/>
    <cellStyle name="Comma 5 3 47" xfId="34204"/>
    <cellStyle name="Comma 5 3 48" xfId="34205"/>
    <cellStyle name="Comma 5 3 49" xfId="34206"/>
    <cellStyle name="Comma 5 3 5" xfId="34207"/>
    <cellStyle name="Comma 5 3 50" xfId="34208"/>
    <cellStyle name="Comma 5 3 51" xfId="34209"/>
    <cellStyle name="Comma 5 3 52" xfId="34210"/>
    <cellStyle name="Comma 5 3 53" xfId="34211"/>
    <cellStyle name="Comma 5 3 54" xfId="34212"/>
    <cellStyle name="Comma 5 3 55" xfId="34213"/>
    <cellStyle name="Comma 5 3 56" xfId="57691"/>
    <cellStyle name="Comma 5 3 6" xfId="34214"/>
    <cellStyle name="Comma 5 3 7" xfId="34215"/>
    <cellStyle name="Comma 5 3 8" xfId="34216"/>
    <cellStyle name="Comma 5 3 9" xfId="34217"/>
    <cellStyle name="Comma 5 4" xfId="34218"/>
    <cellStyle name="Comma 5 4 2" xfId="34219"/>
    <cellStyle name="Comma 5 5" xfId="34220"/>
    <cellStyle name="Comma 5 5 2" xfId="34221"/>
    <cellStyle name="Comma 5 5 2 2" xfId="34222"/>
    <cellStyle name="Comma 5 5 3" xfId="34223"/>
    <cellStyle name="Comma 5 6" xfId="34224"/>
    <cellStyle name="Comma 5 6 2" xfId="57692"/>
    <cellStyle name="Comma 5 7" xfId="34225"/>
    <cellStyle name="Comma 5 8" xfId="34226"/>
    <cellStyle name="Comma 5 9" xfId="34227"/>
    <cellStyle name="Comma 50" xfId="34228"/>
    <cellStyle name="Comma 50 2" xfId="34229"/>
    <cellStyle name="Comma 50 2 2" xfId="34230"/>
    <cellStyle name="Comma 50 2 2 2" xfId="34231"/>
    <cellStyle name="Comma 50 2 2 2 2" xfId="34232"/>
    <cellStyle name="Comma 50 2 2 3" xfId="34233"/>
    <cellStyle name="Comma 50 2 2 4" xfId="57695"/>
    <cellStyle name="Comma 50 2 3" xfId="34234"/>
    <cellStyle name="Comma 50 2 3 2" xfId="34235"/>
    <cellStyle name="Comma 50 2 4" xfId="34236"/>
    <cellStyle name="Comma 50 2 5" xfId="34237"/>
    <cellStyle name="Comma 50 2 6" xfId="57694"/>
    <cellStyle name="Comma 50 3" xfId="34238"/>
    <cellStyle name="Comma 50 3 2" xfId="34239"/>
    <cellStyle name="Comma 50 3 2 2" xfId="34240"/>
    <cellStyle name="Comma 50 3 3" xfId="34241"/>
    <cellStyle name="Comma 50 3 4" xfId="57696"/>
    <cellStyle name="Comma 50 4" xfId="34242"/>
    <cellStyle name="Comma 50 4 2" xfId="34243"/>
    <cellStyle name="Comma 50 5" xfId="34244"/>
    <cellStyle name="Comma 50 6" xfId="34245"/>
    <cellStyle name="Comma 50 7" xfId="34246"/>
    <cellStyle name="Comma 50 8" xfId="57693"/>
    <cellStyle name="Comma 51" xfId="34247"/>
    <cellStyle name="Comma 51 2" xfId="34248"/>
    <cellStyle name="Comma 51 2 2" xfId="34249"/>
    <cellStyle name="Comma 51 2 2 2" xfId="34250"/>
    <cellStyle name="Comma 51 2 2 2 2" xfId="34251"/>
    <cellStyle name="Comma 51 2 2 3" xfId="34252"/>
    <cellStyle name="Comma 51 2 3" xfId="34253"/>
    <cellStyle name="Comma 51 2 3 2" xfId="34254"/>
    <cellStyle name="Comma 51 2 4" xfId="34255"/>
    <cellStyle name="Comma 51 2 5" xfId="34256"/>
    <cellStyle name="Comma 51 2 6" xfId="57698"/>
    <cellStyle name="Comma 51 3" xfId="34257"/>
    <cellStyle name="Comma 51 3 2" xfId="34258"/>
    <cellStyle name="Comma 51 3 2 2" xfId="34259"/>
    <cellStyle name="Comma 51 3 3" xfId="34260"/>
    <cellStyle name="Comma 51 4" xfId="34261"/>
    <cellStyle name="Comma 51 4 2" xfId="34262"/>
    <cellStyle name="Comma 51 5" xfId="34263"/>
    <cellStyle name="Comma 51 6" xfId="34264"/>
    <cellStyle name="Comma 51 7" xfId="34265"/>
    <cellStyle name="Comma 51 8" xfId="57697"/>
    <cellStyle name="Comma 52" xfId="34266"/>
    <cellStyle name="Comma 52 2" xfId="34267"/>
    <cellStyle name="Comma 52 2 2" xfId="34268"/>
    <cellStyle name="Comma 52 2 2 2" xfId="34269"/>
    <cellStyle name="Comma 52 2 2 2 2" xfId="34270"/>
    <cellStyle name="Comma 52 2 2 3" xfId="34271"/>
    <cellStyle name="Comma 52 2 3" xfId="34272"/>
    <cellStyle name="Comma 52 2 3 2" xfId="34273"/>
    <cellStyle name="Comma 52 2 4" xfId="34274"/>
    <cellStyle name="Comma 52 2 5" xfId="34275"/>
    <cellStyle name="Comma 52 2 6" xfId="57700"/>
    <cellStyle name="Comma 52 3" xfId="34276"/>
    <cellStyle name="Comma 52 3 2" xfId="34277"/>
    <cellStyle name="Comma 52 3 2 2" xfId="34278"/>
    <cellStyle name="Comma 52 3 3" xfId="34279"/>
    <cellStyle name="Comma 52 4" xfId="34280"/>
    <cellStyle name="Comma 52 4 2" xfId="34281"/>
    <cellStyle name="Comma 52 5" xfId="34282"/>
    <cellStyle name="Comma 52 6" xfId="34283"/>
    <cellStyle name="Comma 52 7" xfId="57699"/>
    <cellStyle name="Comma 53" xfId="34284"/>
    <cellStyle name="Comma 53 2" xfId="34285"/>
    <cellStyle name="Comma 53 2 2" xfId="34286"/>
    <cellStyle name="Comma 53 2 2 2" xfId="34287"/>
    <cellStyle name="Comma 53 2 2 2 2" xfId="34288"/>
    <cellStyle name="Comma 53 2 2 3" xfId="34289"/>
    <cellStyle name="Comma 53 2 3" xfId="34290"/>
    <cellStyle name="Comma 53 2 3 2" xfId="34291"/>
    <cellStyle name="Comma 53 2 4" xfId="34292"/>
    <cellStyle name="Comma 53 2 5" xfId="34293"/>
    <cellStyle name="Comma 53 2 6" xfId="57702"/>
    <cellStyle name="Comma 53 3" xfId="34294"/>
    <cellStyle name="Comma 53 3 2" xfId="34295"/>
    <cellStyle name="Comma 53 3 2 2" xfId="34296"/>
    <cellStyle name="Comma 53 3 3" xfId="34297"/>
    <cellStyle name="Comma 53 4" xfId="34298"/>
    <cellStyle name="Comma 53 4 2" xfId="34299"/>
    <cellStyle name="Comma 53 5" xfId="34300"/>
    <cellStyle name="Comma 53 6" xfId="34301"/>
    <cellStyle name="Comma 53 7" xfId="34302"/>
    <cellStyle name="Comma 53 8" xfId="57701"/>
    <cellStyle name="Comma 54" xfId="34303"/>
    <cellStyle name="Comma 54 2" xfId="34304"/>
    <cellStyle name="Comma 54 2 2" xfId="34305"/>
    <cellStyle name="Comma 54 2 2 2" xfId="34306"/>
    <cellStyle name="Comma 54 2 2 2 2" xfId="34307"/>
    <cellStyle name="Comma 54 2 2 3" xfId="34308"/>
    <cellStyle name="Comma 54 2 3" xfId="34309"/>
    <cellStyle name="Comma 54 2 3 2" xfId="34310"/>
    <cellStyle name="Comma 54 2 4" xfId="34311"/>
    <cellStyle name="Comma 54 2 5" xfId="34312"/>
    <cellStyle name="Comma 54 2 6" xfId="57704"/>
    <cellStyle name="Comma 54 3" xfId="34313"/>
    <cellStyle name="Comma 54 3 2" xfId="34314"/>
    <cellStyle name="Comma 54 3 2 2" xfId="34315"/>
    <cellStyle name="Comma 54 3 3" xfId="34316"/>
    <cellStyle name="Comma 54 4" xfId="34317"/>
    <cellStyle name="Comma 54 4 2" xfId="34318"/>
    <cellStyle name="Comma 54 5" xfId="34319"/>
    <cellStyle name="Comma 54 6" xfId="34320"/>
    <cellStyle name="Comma 54 7" xfId="57703"/>
    <cellStyle name="Comma 55" xfId="34321"/>
    <cellStyle name="Comma 55 2" xfId="34322"/>
    <cellStyle name="Comma 55 2 2" xfId="34323"/>
    <cellStyle name="Comma 55 2 2 2" xfId="34324"/>
    <cellStyle name="Comma 55 2 2 2 2" xfId="34325"/>
    <cellStyle name="Comma 55 2 2 3" xfId="34326"/>
    <cellStyle name="Comma 55 2 3" xfId="34327"/>
    <cellStyle name="Comma 55 2 3 2" xfId="34328"/>
    <cellStyle name="Comma 55 2 4" xfId="34329"/>
    <cellStyle name="Comma 55 2 5" xfId="34330"/>
    <cellStyle name="Comma 55 2 6" xfId="57706"/>
    <cellStyle name="Comma 55 3" xfId="34331"/>
    <cellStyle name="Comma 55 3 2" xfId="34332"/>
    <cellStyle name="Comma 55 3 2 2" xfId="34333"/>
    <cellStyle name="Comma 55 3 3" xfId="34334"/>
    <cellStyle name="Comma 55 4" xfId="34335"/>
    <cellStyle name="Comma 55 4 2" xfId="34336"/>
    <cellStyle name="Comma 55 5" xfId="34337"/>
    <cellStyle name="Comma 55 6" xfId="34338"/>
    <cellStyle name="Comma 55 7" xfId="57705"/>
    <cellStyle name="Comma 56" xfId="34339"/>
    <cellStyle name="Comma 56 2" xfId="34340"/>
    <cellStyle name="Comma 56 2 2" xfId="34341"/>
    <cellStyle name="Comma 56 2 2 2" xfId="34342"/>
    <cellStyle name="Comma 56 2 2 2 2" xfId="34343"/>
    <cellStyle name="Comma 56 2 2 3" xfId="34344"/>
    <cellStyle name="Comma 56 2 3" xfId="34345"/>
    <cellStyle name="Comma 56 2 3 2" xfId="34346"/>
    <cellStyle name="Comma 56 2 4" xfId="34347"/>
    <cellStyle name="Comma 56 2 5" xfId="34348"/>
    <cellStyle name="Comma 56 2 6" xfId="57708"/>
    <cellStyle name="Comma 56 3" xfId="34349"/>
    <cellStyle name="Comma 56 3 2" xfId="34350"/>
    <cellStyle name="Comma 56 3 2 2" xfId="34351"/>
    <cellStyle name="Comma 56 3 3" xfId="34352"/>
    <cellStyle name="Comma 56 4" xfId="34353"/>
    <cellStyle name="Comma 56 4 2" xfId="34354"/>
    <cellStyle name="Comma 56 5" xfId="34355"/>
    <cellStyle name="Comma 56 6" xfId="34356"/>
    <cellStyle name="Comma 56 7" xfId="57707"/>
    <cellStyle name="Comma 57" xfId="34357"/>
    <cellStyle name="Comma 57 2" xfId="34358"/>
    <cellStyle name="Comma 57 2 2" xfId="34359"/>
    <cellStyle name="Comma 57 2 2 2" xfId="34360"/>
    <cellStyle name="Comma 57 2 2 2 2" xfId="34361"/>
    <cellStyle name="Comma 57 2 2 3" xfId="34362"/>
    <cellStyle name="Comma 57 2 3" xfId="34363"/>
    <cellStyle name="Comma 57 2 3 2" xfId="34364"/>
    <cellStyle name="Comma 57 2 4" xfId="34365"/>
    <cellStyle name="Comma 57 2 5" xfId="34366"/>
    <cellStyle name="Comma 57 2 6" xfId="57710"/>
    <cellStyle name="Comma 57 3" xfId="34367"/>
    <cellStyle name="Comma 57 3 2" xfId="34368"/>
    <cellStyle name="Comma 57 3 2 2" xfId="34369"/>
    <cellStyle name="Comma 57 3 3" xfId="34370"/>
    <cellStyle name="Comma 57 4" xfId="34371"/>
    <cellStyle name="Comma 57 4 2" xfId="34372"/>
    <cellStyle name="Comma 57 5" xfId="34373"/>
    <cellStyle name="Comma 57 6" xfId="34374"/>
    <cellStyle name="Comma 57 7" xfId="57709"/>
    <cellStyle name="Comma 58" xfId="34375"/>
    <cellStyle name="Comma 58 2" xfId="34376"/>
    <cellStyle name="Comma 58 2 2" xfId="34377"/>
    <cellStyle name="Comma 58 2 2 2" xfId="34378"/>
    <cellStyle name="Comma 58 2 2 2 2" xfId="34379"/>
    <cellStyle name="Comma 58 2 2 3" xfId="34380"/>
    <cellStyle name="Comma 58 2 3" xfId="34381"/>
    <cellStyle name="Comma 58 2 3 2" xfId="34382"/>
    <cellStyle name="Comma 58 2 4" xfId="34383"/>
    <cellStyle name="Comma 58 2 5" xfId="34384"/>
    <cellStyle name="Comma 58 2 6" xfId="57712"/>
    <cellStyle name="Comma 58 3" xfId="34385"/>
    <cellStyle name="Comma 58 3 2" xfId="34386"/>
    <cellStyle name="Comma 58 3 2 2" xfId="34387"/>
    <cellStyle name="Comma 58 3 3" xfId="34388"/>
    <cellStyle name="Comma 58 4" xfId="34389"/>
    <cellStyle name="Comma 58 4 2" xfId="34390"/>
    <cellStyle name="Comma 58 5" xfId="34391"/>
    <cellStyle name="Comma 58 6" xfId="34392"/>
    <cellStyle name="Comma 58 7" xfId="57711"/>
    <cellStyle name="Comma 59" xfId="34393"/>
    <cellStyle name="Comma 59 2" xfId="34394"/>
    <cellStyle name="Comma 59 2 2" xfId="34395"/>
    <cellStyle name="Comma 59 2 2 2" xfId="34396"/>
    <cellStyle name="Comma 59 2 2 2 2" xfId="34397"/>
    <cellStyle name="Comma 59 2 2 3" xfId="34398"/>
    <cellStyle name="Comma 59 2 3" xfId="34399"/>
    <cellStyle name="Comma 59 2 3 2" xfId="34400"/>
    <cellStyle name="Comma 59 2 4" xfId="34401"/>
    <cellStyle name="Comma 59 2 5" xfId="34402"/>
    <cellStyle name="Comma 59 2 6" xfId="57714"/>
    <cellStyle name="Comma 59 3" xfId="34403"/>
    <cellStyle name="Comma 59 3 2" xfId="34404"/>
    <cellStyle name="Comma 59 3 2 2" xfId="34405"/>
    <cellStyle name="Comma 59 3 3" xfId="34406"/>
    <cellStyle name="Comma 59 4" xfId="34407"/>
    <cellStyle name="Comma 59 4 2" xfId="34408"/>
    <cellStyle name="Comma 59 5" xfId="34409"/>
    <cellStyle name="Comma 59 6" xfId="34410"/>
    <cellStyle name="Comma 59 7" xfId="57713"/>
    <cellStyle name="Comma 6" xfId="12"/>
    <cellStyle name="Comma 6 2" xfId="46"/>
    <cellStyle name="Comma 6 2 2" xfId="34411"/>
    <cellStyle name="Comma 6 2 2 2" xfId="34412"/>
    <cellStyle name="Comma 6 2 2 2 2" xfId="58416"/>
    <cellStyle name="Comma 6 2 2 3" xfId="57717"/>
    <cellStyle name="Comma 6 2 3" xfId="34413"/>
    <cellStyle name="Comma 6 2 3 2" xfId="57718"/>
    <cellStyle name="Comma 6 2 4" xfId="34414"/>
    <cellStyle name="Comma 6 2 4 2" xfId="57719"/>
    <cellStyle name="Comma 6 2 5" xfId="57716"/>
    <cellStyle name="Comma 6 3" xfId="34415"/>
    <cellStyle name="Comma 6 3 2" xfId="34416"/>
    <cellStyle name="Comma 6 3 2 2" xfId="57721"/>
    <cellStyle name="Comma 6 3 3" xfId="57720"/>
    <cellStyle name="Comma 6 4" xfId="34417"/>
    <cellStyle name="Comma 6 4 2" xfId="34418"/>
    <cellStyle name="Comma 6 4 3" xfId="57722"/>
    <cellStyle name="Comma 6 5" xfId="34419"/>
    <cellStyle name="Comma 6 5 2" xfId="34420"/>
    <cellStyle name="Comma 6 6" xfId="34421"/>
    <cellStyle name="Comma 6 7" xfId="34422"/>
    <cellStyle name="Comma 6 8" xfId="34423"/>
    <cellStyle name="Comma 6 9" xfId="57715"/>
    <cellStyle name="Comma 60" xfId="34424"/>
    <cellStyle name="Comma 60 2" xfId="34425"/>
    <cellStyle name="Comma 60 2 2" xfId="34426"/>
    <cellStyle name="Comma 60 2 2 2" xfId="34427"/>
    <cellStyle name="Comma 60 2 2 2 2" xfId="34428"/>
    <cellStyle name="Comma 60 2 2 3" xfId="34429"/>
    <cellStyle name="Comma 60 2 3" xfId="34430"/>
    <cellStyle name="Comma 60 2 3 2" xfId="34431"/>
    <cellStyle name="Comma 60 2 4" xfId="34432"/>
    <cellStyle name="Comma 60 2 5" xfId="34433"/>
    <cellStyle name="Comma 60 3" xfId="34434"/>
    <cellStyle name="Comma 60 3 2" xfId="34435"/>
    <cellStyle name="Comma 60 3 2 2" xfId="34436"/>
    <cellStyle name="Comma 60 3 3" xfId="34437"/>
    <cellStyle name="Comma 60 4" xfId="34438"/>
    <cellStyle name="Comma 60 4 2" xfId="34439"/>
    <cellStyle name="Comma 60 5" xfId="34440"/>
    <cellStyle name="Comma 60 6" xfId="34441"/>
    <cellStyle name="Comma 60 7" xfId="57723"/>
    <cellStyle name="Comma 61" xfId="34442"/>
    <cellStyle name="Comma 61 2" xfId="34443"/>
    <cellStyle name="Comma 61 2 2" xfId="34444"/>
    <cellStyle name="Comma 61 2 2 2" xfId="34445"/>
    <cellStyle name="Comma 61 2 2 2 2" xfId="34446"/>
    <cellStyle name="Comma 61 2 2 3" xfId="34447"/>
    <cellStyle name="Comma 61 2 3" xfId="34448"/>
    <cellStyle name="Comma 61 2 3 2" xfId="34449"/>
    <cellStyle name="Comma 61 2 4" xfId="34450"/>
    <cellStyle name="Comma 61 2 5" xfId="34451"/>
    <cellStyle name="Comma 61 3" xfId="34452"/>
    <cellStyle name="Comma 61 3 2" xfId="34453"/>
    <cellStyle name="Comma 61 3 2 2" xfId="34454"/>
    <cellStyle name="Comma 61 3 3" xfId="34455"/>
    <cellStyle name="Comma 61 4" xfId="34456"/>
    <cellStyle name="Comma 61 4 2" xfId="34457"/>
    <cellStyle name="Comma 61 5" xfId="34458"/>
    <cellStyle name="Comma 61 6" xfId="34459"/>
    <cellStyle name="Comma 61 7" xfId="57724"/>
    <cellStyle name="Comma 62" xfId="34460"/>
    <cellStyle name="Comma 62 2" xfId="34461"/>
    <cellStyle name="Comma 62 2 2" xfId="34462"/>
    <cellStyle name="Comma 62 2 2 2" xfId="34463"/>
    <cellStyle name="Comma 62 2 2 2 2" xfId="34464"/>
    <cellStyle name="Comma 62 2 2 3" xfId="34465"/>
    <cellStyle name="Comma 62 2 3" xfId="34466"/>
    <cellStyle name="Comma 62 2 3 2" xfId="34467"/>
    <cellStyle name="Comma 62 2 4" xfId="34468"/>
    <cellStyle name="Comma 62 2 5" xfId="34469"/>
    <cellStyle name="Comma 62 3" xfId="34470"/>
    <cellStyle name="Comma 62 3 2" xfId="34471"/>
    <cellStyle name="Comma 62 3 2 2" xfId="34472"/>
    <cellStyle name="Comma 62 3 3" xfId="34473"/>
    <cellStyle name="Comma 62 4" xfId="34474"/>
    <cellStyle name="Comma 62 4 2" xfId="34475"/>
    <cellStyle name="Comma 62 5" xfId="34476"/>
    <cellStyle name="Comma 62 6" xfId="34477"/>
    <cellStyle name="Comma 62 7" xfId="57725"/>
    <cellStyle name="Comma 63" xfId="34478"/>
    <cellStyle name="Comma 63 2" xfId="34479"/>
    <cellStyle name="Comma 63 2 2" xfId="34480"/>
    <cellStyle name="Comma 63 2 2 2" xfId="34481"/>
    <cellStyle name="Comma 63 2 2 2 2" xfId="34482"/>
    <cellStyle name="Comma 63 2 2 3" xfId="34483"/>
    <cellStyle name="Comma 63 2 3" xfId="34484"/>
    <cellStyle name="Comma 63 2 3 2" xfId="34485"/>
    <cellStyle name="Comma 63 2 4" xfId="34486"/>
    <cellStyle name="Comma 63 2 5" xfId="34487"/>
    <cellStyle name="Comma 63 3" xfId="34488"/>
    <cellStyle name="Comma 63 3 2" xfId="34489"/>
    <cellStyle name="Comma 63 3 2 2" xfId="34490"/>
    <cellStyle name="Comma 63 3 3" xfId="34491"/>
    <cellStyle name="Comma 63 4" xfId="34492"/>
    <cellStyle name="Comma 63 4 2" xfId="34493"/>
    <cellStyle name="Comma 63 5" xfId="34494"/>
    <cellStyle name="Comma 63 6" xfId="34495"/>
    <cellStyle name="Comma 64" xfId="34496"/>
    <cellStyle name="Comma 64 2" xfId="34497"/>
    <cellStyle name="Comma 64 2 2" xfId="34498"/>
    <cellStyle name="Comma 64 2 2 2" xfId="34499"/>
    <cellStyle name="Comma 64 2 2 2 2" xfId="34500"/>
    <cellStyle name="Comma 64 2 2 3" xfId="34501"/>
    <cellStyle name="Comma 64 2 3" xfId="34502"/>
    <cellStyle name="Comma 64 2 3 2" xfId="34503"/>
    <cellStyle name="Comma 64 2 4" xfId="34504"/>
    <cellStyle name="Comma 64 2 5" xfId="34505"/>
    <cellStyle name="Comma 64 3" xfId="34506"/>
    <cellStyle name="Comma 64 3 2" xfId="34507"/>
    <cellStyle name="Comma 64 3 2 2" xfId="34508"/>
    <cellStyle name="Comma 64 3 3" xfId="34509"/>
    <cellStyle name="Comma 64 4" xfId="34510"/>
    <cellStyle name="Comma 64 4 2" xfId="34511"/>
    <cellStyle name="Comma 64 5" xfId="34512"/>
    <cellStyle name="Comma 64 6" xfId="34513"/>
    <cellStyle name="Comma 65" xfId="34514"/>
    <cellStyle name="Comma 65 2" xfId="34515"/>
    <cellStyle name="Comma 65 2 2" xfId="34516"/>
    <cellStyle name="Comma 65 2 2 2" xfId="34517"/>
    <cellStyle name="Comma 65 2 2 2 2" xfId="34518"/>
    <cellStyle name="Comma 65 2 2 3" xfId="34519"/>
    <cellStyle name="Comma 65 2 3" xfId="34520"/>
    <cellStyle name="Comma 65 2 3 2" xfId="34521"/>
    <cellStyle name="Comma 65 2 4" xfId="34522"/>
    <cellStyle name="Comma 65 2 5" xfId="34523"/>
    <cellStyle name="Comma 65 3" xfId="34524"/>
    <cellStyle name="Comma 65 3 2" xfId="34525"/>
    <cellStyle name="Comma 65 3 2 2" xfId="34526"/>
    <cellStyle name="Comma 65 3 3" xfId="34527"/>
    <cellStyle name="Comma 65 4" xfId="34528"/>
    <cellStyle name="Comma 65 4 2" xfId="34529"/>
    <cellStyle name="Comma 65 5" xfId="34530"/>
    <cellStyle name="Comma 65 6" xfId="34531"/>
    <cellStyle name="Comma 66" xfId="34532"/>
    <cellStyle name="Comma 66 2" xfId="34533"/>
    <cellStyle name="Comma 66 2 2" xfId="34534"/>
    <cellStyle name="Comma 66 2 2 2" xfId="34535"/>
    <cellStyle name="Comma 66 2 2 2 2" xfId="34536"/>
    <cellStyle name="Comma 66 2 2 3" xfId="34537"/>
    <cellStyle name="Comma 66 2 3" xfId="34538"/>
    <cellStyle name="Comma 66 2 3 2" xfId="34539"/>
    <cellStyle name="Comma 66 2 4" xfId="34540"/>
    <cellStyle name="Comma 66 2 5" xfId="34541"/>
    <cellStyle name="Comma 66 3" xfId="34542"/>
    <cellStyle name="Comma 66 3 2" xfId="34543"/>
    <cellStyle name="Comma 66 3 2 2" xfId="34544"/>
    <cellStyle name="Comma 66 3 3" xfId="34545"/>
    <cellStyle name="Comma 66 4" xfId="34546"/>
    <cellStyle name="Comma 66 4 2" xfId="34547"/>
    <cellStyle name="Comma 66 5" xfId="34548"/>
    <cellStyle name="Comma 66 6" xfId="34549"/>
    <cellStyle name="Comma 67" xfId="34550"/>
    <cellStyle name="Comma 67 2" xfId="34551"/>
    <cellStyle name="Comma 67 2 2" xfId="34552"/>
    <cellStyle name="Comma 67 2 2 2" xfId="34553"/>
    <cellStyle name="Comma 67 2 2 2 2" xfId="34554"/>
    <cellStyle name="Comma 67 2 2 2 2 2" xfId="34555"/>
    <cellStyle name="Comma 67 2 2 2 3" xfId="34556"/>
    <cellStyle name="Comma 67 2 2 3" xfId="34557"/>
    <cellStyle name="Comma 67 2 2 3 2" xfId="34558"/>
    <cellStyle name="Comma 67 2 2 4" xfId="34559"/>
    <cellStyle name="Comma 67 2 2 5" xfId="34560"/>
    <cellStyle name="Comma 67 2 3" xfId="34561"/>
    <cellStyle name="Comma 67 2 3 2" xfId="34562"/>
    <cellStyle name="Comma 67 2 3 2 2" xfId="34563"/>
    <cellStyle name="Comma 67 2 3 3" xfId="34564"/>
    <cellStyle name="Comma 67 2 4" xfId="34565"/>
    <cellStyle name="Comma 67 2 4 2" xfId="34566"/>
    <cellStyle name="Comma 67 2 5" xfId="34567"/>
    <cellStyle name="Comma 67 2 6" xfId="34568"/>
    <cellStyle name="Comma 67 3" xfId="34569"/>
    <cellStyle name="Comma 67 3 2" xfId="34570"/>
    <cellStyle name="Comma 67 3 2 2" xfId="34571"/>
    <cellStyle name="Comma 67 3 2 2 2" xfId="34572"/>
    <cellStyle name="Comma 67 3 2 3" xfId="34573"/>
    <cellStyle name="Comma 67 3 3" xfId="34574"/>
    <cellStyle name="Comma 67 3 3 2" xfId="34575"/>
    <cellStyle name="Comma 67 3 4" xfId="34576"/>
    <cellStyle name="Comma 67 3 5" xfId="34577"/>
    <cellStyle name="Comma 67 4" xfId="34578"/>
    <cellStyle name="Comma 67 4 2" xfId="34579"/>
    <cellStyle name="Comma 67 4 2 2" xfId="34580"/>
    <cellStyle name="Comma 67 4 3" xfId="34581"/>
    <cellStyle name="Comma 67 5" xfId="34582"/>
    <cellStyle name="Comma 67 5 2" xfId="34583"/>
    <cellStyle name="Comma 67 6" xfId="34584"/>
    <cellStyle name="Comma 67 7" xfId="34585"/>
    <cellStyle name="Comma 68" xfId="34586"/>
    <cellStyle name="Comma 68 2" xfId="34587"/>
    <cellStyle name="Comma 68 2 2" xfId="34588"/>
    <cellStyle name="Comma 68 2 2 2" xfId="34589"/>
    <cellStyle name="Comma 68 2 2 2 2" xfId="34590"/>
    <cellStyle name="Comma 68 2 2 3" xfId="34591"/>
    <cellStyle name="Comma 68 2 3" xfId="34592"/>
    <cellStyle name="Comma 68 2 3 2" xfId="34593"/>
    <cellStyle name="Comma 68 2 4" xfId="34594"/>
    <cellStyle name="Comma 68 2 5" xfId="34595"/>
    <cellStyle name="Comma 68 3" xfId="34596"/>
    <cellStyle name="Comma 68 3 2" xfId="34597"/>
    <cellStyle name="Comma 68 3 2 2" xfId="34598"/>
    <cellStyle name="Comma 68 3 3" xfId="34599"/>
    <cellStyle name="Comma 68 4" xfId="34600"/>
    <cellStyle name="Comma 68 4 2" xfId="34601"/>
    <cellStyle name="Comma 68 5" xfId="34602"/>
    <cellStyle name="Comma 68 6" xfId="34603"/>
    <cellStyle name="Comma 69" xfId="34604"/>
    <cellStyle name="Comma 69 2" xfId="34605"/>
    <cellStyle name="Comma 69 2 2" xfId="34606"/>
    <cellStyle name="Comma 69 2 2 2" xfId="34607"/>
    <cellStyle name="Comma 69 2 2 2 2" xfId="34608"/>
    <cellStyle name="Comma 69 2 2 3" xfId="34609"/>
    <cellStyle name="Comma 69 2 3" xfId="34610"/>
    <cellStyle name="Comma 69 2 3 2" xfId="34611"/>
    <cellStyle name="Comma 69 2 4" xfId="34612"/>
    <cellStyle name="Comma 69 2 5" xfId="34613"/>
    <cellStyle name="Comma 69 3" xfId="34614"/>
    <cellStyle name="Comma 69 3 2" xfId="34615"/>
    <cellStyle name="Comma 69 3 2 2" xfId="34616"/>
    <cellStyle name="Comma 69 3 3" xfId="34617"/>
    <cellStyle name="Comma 69 4" xfId="34618"/>
    <cellStyle name="Comma 69 4 2" xfId="34619"/>
    <cellStyle name="Comma 69 5" xfId="34620"/>
    <cellStyle name="Comma 69 6" xfId="34621"/>
    <cellStyle name="Comma 7" xfId="34622"/>
    <cellStyle name="Comma 7 10" xfId="34623"/>
    <cellStyle name="Comma 7 11" xfId="34624"/>
    <cellStyle name="Comma 7 12" xfId="34625"/>
    <cellStyle name="Comma 7 13" xfId="34626"/>
    <cellStyle name="Comma 7 14" xfId="34627"/>
    <cellStyle name="Comma 7 15" xfId="34628"/>
    <cellStyle name="Comma 7 16" xfId="34629"/>
    <cellStyle name="Comma 7 17" xfId="34630"/>
    <cellStyle name="Comma 7 18" xfId="34631"/>
    <cellStyle name="Comma 7 19" xfId="34632"/>
    <cellStyle name="Comma 7 2" xfId="34633"/>
    <cellStyle name="Comma 7 2 2" xfId="34634"/>
    <cellStyle name="Comma 7 2 2 2" xfId="58417"/>
    <cellStyle name="Comma 7 2 3" xfId="34635"/>
    <cellStyle name="Comma 7 2 4" xfId="34636"/>
    <cellStyle name="Comma 7 2 5" xfId="58418"/>
    <cellStyle name="Comma 7 20" xfId="34637"/>
    <cellStyle name="Comma 7 21" xfId="34638"/>
    <cellStyle name="Comma 7 22" xfId="34639"/>
    <cellStyle name="Comma 7 23" xfId="34640"/>
    <cellStyle name="Comma 7 24" xfId="34641"/>
    <cellStyle name="Comma 7 25" xfId="34642"/>
    <cellStyle name="Comma 7 26" xfId="34643"/>
    <cellStyle name="Comma 7 27" xfId="34644"/>
    <cellStyle name="Comma 7 28" xfId="34645"/>
    <cellStyle name="Comma 7 29" xfId="34646"/>
    <cellStyle name="Comma 7 3" xfId="34647"/>
    <cellStyle name="Comma 7 3 10" xfId="34648"/>
    <cellStyle name="Comma 7 3 11" xfId="34649"/>
    <cellStyle name="Comma 7 3 12" xfId="34650"/>
    <cellStyle name="Comma 7 3 13" xfId="34651"/>
    <cellStyle name="Comma 7 3 14" xfId="34652"/>
    <cellStyle name="Comma 7 3 15" xfId="34653"/>
    <cellStyle name="Comma 7 3 16" xfId="34654"/>
    <cellStyle name="Comma 7 3 17" xfId="34655"/>
    <cellStyle name="Comma 7 3 18" xfId="34656"/>
    <cellStyle name="Comma 7 3 19" xfId="34657"/>
    <cellStyle name="Comma 7 3 2" xfId="34658"/>
    <cellStyle name="Comma 7 3 2 2" xfId="34659"/>
    <cellStyle name="Comma 7 3 20" xfId="34660"/>
    <cellStyle name="Comma 7 3 21" xfId="34661"/>
    <cellStyle name="Comma 7 3 22" xfId="34662"/>
    <cellStyle name="Comma 7 3 23" xfId="34663"/>
    <cellStyle name="Comma 7 3 24" xfId="34664"/>
    <cellStyle name="Comma 7 3 25" xfId="34665"/>
    <cellStyle name="Comma 7 3 26" xfId="34666"/>
    <cellStyle name="Comma 7 3 27" xfId="34667"/>
    <cellStyle name="Comma 7 3 28" xfId="34668"/>
    <cellStyle name="Comma 7 3 29" xfId="34669"/>
    <cellStyle name="Comma 7 3 3" xfId="34670"/>
    <cellStyle name="Comma 7 3 30" xfId="34671"/>
    <cellStyle name="Comma 7 3 31" xfId="34672"/>
    <cellStyle name="Comma 7 3 32" xfId="34673"/>
    <cellStyle name="Comma 7 3 33" xfId="34674"/>
    <cellStyle name="Comma 7 3 34" xfId="34675"/>
    <cellStyle name="Comma 7 3 35" xfId="34676"/>
    <cellStyle name="Comma 7 3 36" xfId="34677"/>
    <cellStyle name="Comma 7 3 37" xfId="34678"/>
    <cellStyle name="Comma 7 3 38" xfId="34679"/>
    <cellStyle name="Comma 7 3 39" xfId="34680"/>
    <cellStyle name="Comma 7 3 4" xfId="34681"/>
    <cellStyle name="Comma 7 3 40" xfId="34682"/>
    <cellStyle name="Comma 7 3 41" xfId="34683"/>
    <cellStyle name="Comma 7 3 42" xfId="34684"/>
    <cellStyle name="Comma 7 3 43" xfId="34685"/>
    <cellStyle name="Comma 7 3 44" xfId="34686"/>
    <cellStyle name="Comma 7 3 45" xfId="34687"/>
    <cellStyle name="Comma 7 3 46" xfId="34688"/>
    <cellStyle name="Comma 7 3 47" xfId="34689"/>
    <cellStyle name="Comma 7 3 48" xfId="34690"/>
    <cellStyle name="Comma 7 3 49" xfId="34691"/>
    <cellStyle name="Comma 7 3 5" xfId="34692"/>
    <cellStyle name="Comma 7 3 50" xfId="34693"/>
    <cellStyle name="Comma 7 3 51" xfId="34694"/>
    <cellStyle name="Comma 7 3 52" xfId="34695"/>
    <cellStyle name="Comma 7 3 53" xfId="34696"/>
    <cellStyle name="Comma 7 3 54" xfId="34697"/>
    <cellStyle name="Comma 7 3 55" xfId="34698"/>
    <cellStyle name="Comma 7 3 56" xfId="57727"/>
    <cellStyle name="Comma 7 3 6" xfId="34699"/>
    <cellStyle name="Comma 7 3 7" xfId="34700"/>
    <cellStyle name="Comma 7 3 8" xfId="34701"/>
    <cellStyle name="Comma 7 3 9" xfId="34702"/>
    <cellStyle name="Comma 7 30" xfId="34703"/>
    <cellStyle name="Comma 7 31" xfId="34704"/>
    <cellStyle name="Comma 7 32" xfId="34705"/>
    <cellStyle name="Comma 7 33" xfId="34706"/>
    <cellStyle name="Comma 7 34" xfId="34707"/>
    <cellStyle name="Comma 7 35" xfId="34708"/>
    <cellStyle name="Comma 7 36" xfId="34709"/>
    <cellStyle name="Comma 7 37" xfId="34710"/>
    <cellStyle name="Comma 7 38" xfId="34711"/>
    <cellStyle name="Comma 7 39" xfId="34712"/>
    <cellStyle name="Comma 7 4" xfId="34713"/>
    <cellStyle name="Comma 7 4 2" xfId="34714"/>
    <cellStyle name="Comma 7 4 3" xfId="57728"/>
    <cellStyle name="Comma 7 40" xfId="34715"/>
    <cellStyle name="Comma 7 41" xfId="34716"/>
    <cellStyle name="Comma 7 42" xfId="34717"/>
    <cellStyle name="Comma 7 43" xfId="34718"/>
    <cellStyle name="Comma 7 44" xfId="34719"/>
    <cellStyle name="Comma 7 45" xfId="34720"/>
    <cellStyle name="Comma 7 46" xfId="34721"/>
    <cellStyle name="Comma 7 47" xfId="34722"/>
    <cellStyle name="Comma 7 48" xfId="34723"/>
    <cellStyle name="Comma 7 49" xfId="34724"/>
    <cellStyle name="Comma 7 5" xfId="34725"/>
    <cellStyle name="Comma 7 5 2" xfId="34726"/>
    <cellStyle name="Comma 7 50" xfId="34727"/>
    <cellStyle name="Comma 7 51" xfId="34728"/>
    <cellStyle name="Comma 7 52" xfId="34729"/>
    <cellStyle name="Comma 7 53" xfId="34730"/>
    <cellStyle name="Comma 7 54" xfId="34731"/>
    <cellStyle name="Comma 7 55" xfId="34732"/>
    <cellStyle name="Comma 7 56" xfId="34733"/>
    <cellStyle name="Comma 7 57" xfId="34734"/>
    <cellStyle name="Comma 7 58" xfId="34735"/>
    <cellStyle name="Comma 7 59" xfId="34736"/>
    <cellStyle name="Comma 7 6" xfId="34737"/>
    <cellStyle name="Comma 7 6 2" xfId="34738"/>
    <cellStyle name="Comma 7 60" xfId="34739"/>
    <cellStyle name="Comma 7 61" xfId="34740"/>
    <cellStyle name="Comma 7 62" xfId="34741"/>
    <cellStyle name="Comma 7 63" xfId="34742"/>
    <cellStyle name="Comma 7 64" xfId="34743"/>
    <cellStyle name="Comma 7 65" xfId="34744"/>
    <cellStyle name="Comma 7 65 2" xfId="34745"/>
    <cellStyle name="Comma 7 66" xfId="34746"/>
    <cellStyle name="Comma 7 67" xfId="34747"/>
    <cellStyle name="Comma 7 68" xfId="34748"/>
    <cellStyle name="Comma 7 69" xfId="34749"/>
    <cellStyle name="Comma 7 7" xfId="34750"/>
    <cellStyle name="Comma 7 70" xfId="57726"/>
    <cellStyle name="Comma 7 8" xfId="34751"/>
    <cellStyle name="Comma 7 9" xfId="34752"/>
    <cellStyle name="Comma 70" xfId="34753"/>
    <cellStyle name="Comma 70 2" xfId="34754"/>
    <cellStyle name="Comma 70 2 2" xfId="34755"/>
    <cellStyle name="Comma 70 2 2 2" xfId="34756"/>
    <cellStyle name="Comma 70 2 2 2 2" xfId="34757"/>
    <cellStyle name="Comma 70 2 2 3" xfId="34758"/>
    <cellStyle name="Comma 70 2 3" xfId="34759"/>
    <cellStyle name="Comma 70 2 3 2" xfId="34760"/>
    <cellStyle name="Comma 70 2 4" xfId="34761"/>
    <cellStyle name="Comma 70 2 5" xfId="34762"/>
    <cellStyle name="Comma 70 3" xfId="34763"/>
    <cellStyle name="Comma 70 3 2" xfId="34764"/>
    <cellStyle name="Comma 70 3 2 2" xfId="34765"/>
    <cellStyle name="Comma 70 3 3" xfId="34766"/>
    <cellStyle name="Comma 70 4" xfId="34767"/>
    <cellStyle name="Comma 70 4 2" xfId="34768"/>
    <cellStyle name="Comma 70 5" xfId="34769"/>
    <cellStyle name="Comma 70 6" xfId="34770"/>
    <cellStyle name="Comma 71" xfId="34771"/>
    <cellStyle name="Comma 71 2" xfId="34772"/>
    <cellStyle name="Comma 71 2 2" xfId="34773"/>
    <cellStyle name="Comma 71 2 2 2" xfId="34774"/>
    <cellStyle name="Comma 71 2 2 2 2" xfId="34775"/>
    <cellStyle name="Comma 71 2 2 3" xfId="34776"/>
    <cellStyle name="Comma 71 2 3" xfId="34777"/>
    <cellStyle name="Comma 71 2 3 2" xfId="34778"/>
    <cellStyle name="Comma 71 2 4" xfId="34779"/>
    <cellStyle name="Comma 71 2 5" xfId="34780"/>
    <cellStyle name="Comma 71 3" xfId="34781"/>
    <cellStyle name="Comma 71 3 2" xfId="34782"/>
    <cellStyle name="Comma 71 3 2 2" xfId="34783"/>
    <cellStyle name="Comma 71 3 3" xfId="34784"/>
    <cellStyle name="Comma 71 4" xfId="34785"/>
    <cellStyle name="Comma 71 4 2" xfId="34786"/>
    <cellStyle name="Comma 71 5" xfId="34787"/>
    <cellStyle name="Comma 71 6" xfId="34788"/>
    <cellStyle name="Comma 72" xfId="34789"/>
    <cellStyle name="Comma 72 2" xfId="34790"/>
    <cellStyle name="Comma 72 2 2" xfId="34791"/>
    <cellStyle name="Comma 72 2 2 2" xfId="34792"/>
    <cellStyle name="Comma 72 2 2 2 2" xfId="34793"/>
    <cellStyle name="Comma 72 2 2 3" xfId="34794"/>
    <cellStyle name="Comma 72 2 3" xfId="34795"/>
    <cellStyle name="Comma 72 2 3 2" xfId="34796"/>
    <cellStyle name="Comma 72 2 4" xfId="34797"/>
    <cellStyle name="Comma 72 2 5" xfId="34798"/>
    <cellStyle name="Comma 72 3" xfId="34799"/>
    <cellStyle name="Comma 72 3 2" xfId="34800"/>
    <cellStyle name="Comma 72 3 2 2" xfId="34801"/>
    <cellStyle name="Comma 72 3 3" xfId="34802"/>
    <cellStyle name="Comma 72 4" xfId="34803"/>
    <cellStyle name="Comma 72 4 2" xfId="34804"/>
    <cellStyle name="Comma 72 5" xfId="34805"/>
    <cellStyle name="Comma 72 6" xfId="34806"/>
    <cellStyle name="Comma 73" xfId="34807"/>
    <cellStyle name="Comma 73 2" xfId="34808"/>
    <cellStyle name="Comma 73 2 2" xfId="34809"/>
    <cellStyle name="Comma 73 2 2 2" xfId="34810"/>
    <cellStyle name="Comma 73 2 2 2 2" xfId="34811"/>
    <cellStyle name="Comma 73 2 2 3" xfId="34812"/>
    <cellStyle name="Comma 73 2 3" xfId="34813"/>
    <cellStyle name="Comma 73 2 3 2" xfId="34814"/>
    <cellStyle name="Comma 73 2 4" xfId="34815"/>
    <cellStyle name="Comma 73 2 5" xfId="34816"/>
    <cellStyle name="Comma 73 3" xfId="34817"/>
    <cellStyle name="Comma 73 3 2" xfId="34818"/>
    <cellStyle name="Comma 73 3 2 2" xfId="34819"/>
    <cellStyle name="Comma 73 3 3" xfId="34820"/>
    <cellStyle name="Comma 73 4" xfId="34821"/>
    <cellStyle name="Comma 73 4 2" xfId="34822"/>
    <cellStyle name="Comma 73 5" xfId="34823"/>
    <cellStyle name="Comma 73 6" xfId="34824"/>
    <cellStyle name="Comma 74" xfId="34825"/>
    <cellStyle name="Comma 74 2" xfId="34826"/>
    <cellStyle name="Comma 74 2 2" xfId="34827"/>
    <cellStyle name="Comma 74 2 2 2" xfId="34828"/>
    <cellStyle name="Comma 74 2 2 2 2" xfId="34829"/>
    <cellStyle name="Comma 74 2 2 3" xfId="34830"/>
    <cellStyle name="Comma 74 2 3" xfId="34831"/>
    <cellStyle name="Comma 74 2 3 2" xfId="34832"/>
    <cellStyle name="Comma 74 2 4" xfId="34833"/>
    <cellStyle name="Comma 74 2 5" xfId="34834"/>
    <cellStyle name="Comma 74 3" xfId="34835"/>
    <cellStyle name="Comma 74 3 2" xfId="34836"/>
    <cellStyle name="Comma 74 3 2 2" xfId="34837"/>
    <cellStyle name="Comma 74 3 3" xfId="34838"/>
    <cellStyle name="Comma 74 4" xfId="34839"/>
    <cellStyle name="Comma 74 4 2" xfId="34840"/>
    <cellStyle name="Comma 74 5" xfId="34841"/>
    <cellStyle name="Comma 74 6" xfId="34842"/>
    <cellStyle name="Comma 75" xfId="34843"/>
    <cellStyle name="Comma 75 2" xfId="34844"/>
    <cellStyle name="Comma 75 2 2" xfId="34845"/>
    <cellStyle name="Comma 75 2 2 2" xfId="34846"/>
    <cellStyle name="Comma 75 2 2 2 2" xfId="34847"/>
    <cellStyle name="Comma 75 2 2 3" xfId="34848"/>
    <cellStyle name="Comma 75 2 3" xfId="34849"/>
    <cellStyle name="Comma 75 2 3 2" xfId="34850"/>
    <cellStyle name="Comma 75 2 4" xfId="34851"/>
    <cellStyle name="Comma 75 2 5" xfId="34852"/>
    <cellStyle name="Comma 75 3" xfId="34853"/>
    <cellStyle name="Comma 75 3 2" xfId="34854"/>
    <cellStyle name="Comma 75 3 2 2" xfId="34855"/>
    <cellStyle name="Comma 75 3 3" xfId="34856"/>
    <cellStyle name="Comma 75 4" xfId="34857"/>
    <cellStyle name="Comma 75 4 2" xfId="34858"/>
    <cellStyle name="Comma 75 5" xfId="34859"/>
    <cellStyle name="Comma 75 6" xfId="34860"/>
    <cellStyle name="Comma 76" xfId="34861"/>
    <cellStyle name="Comma 76 2" xfId="34862"/>
    <cellStyle name="Comma 76 2 2" xfId="34863"/>
    <cellStyle name="Comma 76 2 2 2" xfId="34864"/>
    <cellStyle name="Comma 76 2 2 2 2" xfId="34865"/>
    <cellStyle name="Comma 76 2 2 3" xfId="34866"/>
    <cellStyle name="Comma 76 2 3" xfId="34867"/>
    <cellStyle name="Comma 76 2 3 2" xfId="34868"/>
    <cellStyle name="Comma 76 2 4" xfId="34869"/>
    <cellStyle name="Comma 76 2 5" xfId="34870"/>
    <cellStyle name="Comma 76 3" xfId="34871"/>
    <cellStyle name="Comma 76 3 2" xfId="34872"/>
    <cellStyle name="Comma 76 3 2 2" xfId="34873"/>
    <cellStyle name="Comma 76 3 3" xfId="34874"/>
    <cellStyle name="Comma 76 4" xfId="34875"/>
    <cellStyle name="Comma 76 4 2" xfId="34876"/>
    <cellStyle name="Comma 76 5" xfId="34877"/>
    <cellStyle name="Comma 76 6" xfId="34878"/>
    <cellStyle name="Comma 77" xfId="34879"/>
    <cellStyle name="Comma 77 2" xfId="34880"/>
    <cellStyle name="Comma 77 2 2" xfId="34881"/>
    <cellStyle name="Comma 77 2 2 2" xfId="34882"/>
    <cellStyle name="Comma 77 2 2 2 2" xfId="34883"/>
    <cellStyle name="Comma 77 2 2 3" xfId="34884"/>
    <cellStyle name="Comma 77 2 3" xfId="34885"/>
    <cellStyle name="Comma 77 2 3 2" xfId="34886"/>
    <cellStyle name="Comma 77 2 4" xfId="34887"/>
    <cellStyle name="Comma 77 2 5" xfId="34888"/>
    <cellStyle name="Comma 77 3" xfId="34889"/>
    <cellStyle name="Comma 77 3 2" xfId="34890"/>
    <cellStyle name="Comma 77 3 2 2" xfId="34891"/>
    <cellStyle name="Comma 77 3 3" xfId="34892"/>
    <cellStyle name="Comma 77 4" xfId="34893"/>
    <cellStyle name="Comma 77 4 2" xfId="34894"/>
    <cellStyle name="Comma 77 5" xfId="34895"/>
    <cellStyle name="Comma 77 6" xfId="34896"/>
    <cellStyle name="Comma 78" xfId="34897"/>
    <cellStyle name="Comma 78 2" xfId="34898"/>
    <cellStyle name="Comma 78 2 2" xfId="34899"/>
    <cellStyle name="Comma 78 2 2 2" xfId="34900"/>
    <cellStyle name="Comma 78 2 2 2 2" xfId="34901"/>
    <cellStyle name="Comma 78 2 2 3" xfId="34902"/>
    <cellStyle name="Comma 78 2 3" xfId="34903"/>
    <cellStyle name="Comma 78 2 3 2" xfId="34904"/>
    <cellStyle name="Comma 78 2 4" xfId="34905"/>
    <cellStyle name="Comma 78 2 5" xfId="34906"/>
    <cellStyle name="Comma 78 3" xfId="34907"/>
    <cellStyle name="Comma 78 3 2" xfId="34908"/>
    <cellStyle name="Comma 78 3 2 2" xfId="34909"/>
    <cellStyle name="Comma 78 3 3" xfId="34910"/>
    <cellStyle name="Comma 78 4" xfId="34911"/>
    <cellStyle name="Comma 78 4 2" xfId="34912"/>
    <cellStyle name="Comma 78 5" xfId="34913"/>
    <cellStyle name="Comma 78 6" xfId="34914"/>
    <cellStyle name="Comma 79" xfId="34915"/>
    <cellStyle name="Comma 79 2" xfId="34916"/>
    <cellStyle name="Comma 79 2 2" xfId="34917"/>
    <cellStyle name="Comma 79 2 2 2" xfId="34918"/>
    <cellStyle name="Comma 79 2 2 2 2" xfId="34919"/>
    <cellStyle name="Comma 79 2 2 3" xfId="34920"/>
    <cellStyle name="Comma 79 2 3" xfId="34921"/>
    <cellStyle name="Comma 79 2 3 2" xfId="34922"/>
    <cellStyle name="Comma 79 2 4" xfId="34923"/>
    <cellStyle name="Comma 79 2 5" xfId="34924"/>
    <cellStyle name="Comma 79 3" xfId="34925"/>
    <cellStyle name="Comma 79 3 2" xfId="34926"/>
    <cellStyle name="Comma 79 3 2 2" xfId="34927"/>
    <cellStyle name="Comma 79 3 3" xfId="34928"/>
    <cellStyle name="Comma 79 4" xfId="34929"/>
    <cellStyle name="Comma 79 4 2" xfId="34930"/>
    <cellStyle name="Comma 79 5" xfId="34931"/>
    <cellStyle name="Comma 79 6" xfId="34932"/>
    <cellStyle name="Comma 8" xfId="34933"/>
    <cellStyle name="Comma 8 2" xfId="34934"/>
    <cellStyle name="Comma 8 2 2" xfId="34935"/>
    <cellStyle name="Comma 8 2 2 2" xfId="57731"/>
    <cellStyle name="Comma 8 2 2 3" xfId="58419"/>
    <cellStyle name="Comma 8 2 3" xfId="57730"/>
    <cellStyle name="Comma 8 2 4" xfId="58420"/>
    <cellStyle name="Comma 8 3" xfId="34936"/>
    <cellStyle name="Comma 8 3 2" xfId="34937"/>
    <cellStyle name="Comma 8 3 2 2" xfId="57733"/>
    <cellStyle name="Comma 8 3 3" xfId="34938"/>
    <cellStyle name="Comma 8 3 4" xfId="57732"/>
    <cellStyle name="Comma 8 4" xfId="34939"/>
    <cellStyle name="Comma 8 4 2" xfId="34940"/>
    <cellStyle name="Comma 8 4 3" xfId="57734"/>
    <cellStyle name="Comma 8 5" xfId="34941"/>
    <cellStyle name="Comma 8 6" xfId="34942"/>
    <cellStyle name="Comma 8 7" xfId="57729"/>
    <cellStyle name="Comma 80" xfId="34943"/>
    <cellStyle name="Comma 80 2" xfId="34944"/>
    <cellStyle name="Comma 80 2 2" xfId="34945"/>
    <cellStyle name="Comma 80 2 2 2" xfId="34946"/>
    <cellStyle name="Comma 80 2 2 2 2" xfId="34947"/>
    <cellStyle name="Comma 80 2 2 3" xfId="34948"/>
    <cellStyle name="Comma 80 2 3" xfId="34949"/>
    <cellStyle name="Comma 80 2 3 2" xfId="34950"/>
    <cellStyle name="Comma 80 2 4" xfId="34951"/>
    <cellStyle name="Comma 80 2 5" xfId="34952"/>
    <cellStyle name="Comma 80 3" xfId="34953"/>
    <cellStyle name="Comma 80 3 2" xfId="34954"/>
    <cellStyle name="Comma 80 3 2 2" xfId="34955"/>
    <cellStyle name="Comma 80 3 3" xfId="34956"/>
    <cellStyle name="Comma 80 4" xfId="34957"/>
    <cellStyle name="Comma 80 4 2" xfId="34958"/>
    <cellStyle name="Comma 80 5" xfId="34959"/>
    <cellStyle name="Comma 80 6" xfId="34960"/>
    <cellStyle name="Comma 81" xfId="34961"/>
    <cellStyle name="Comma 81 2" xfId="34962"/>
    <cellStyle name="Comma 81 2 2" xfId="34963"/>
    <cellStyle name="Comma 81 2 2 2" xfId="34964"/>
    <cellStyle name="Comma 81 2 2 2 2" xfId="34965"/>
    <cellStyle name="Comma 81 2 2 3" xfId="34966"/>
    <cellStyle name="Comma 81 2 3" xfId="34967"/>
    <cellStyle name="Comma 81 2 3 2" xfId="34968"/>
    <cellStyle name="Comma 81 2 4" xfId="34969"/>
    <cellStyle name="Comma 81 2 5" xfId="34970"/>
    <cellStyle name="Comma 81 3" xfId="34971"/>
    <cellStyle name="Comma 81 3 2" xfId="34972"/>
    <cellStyle name="Comma 81 3 2 2" xfId="34973"/>
    <cellStyle name="Comma 81 3 3" xfId="34974"/>
    <cellStyle name="Comma 81 4" xfId="34975"/>
    <cellStyle name="Comma 81 4 2" xfId="34976"/>
    <cellStyle name="Comma 81 5" xfId="34977"/>
    <cellStyle name="Comma 81 6" xfId="34978"/>
    <cellStyle name="Comma 82" xfId="34979"/>
    <cellStyle name="Comma 82 2" xfId="34980"/>
    <cellStyle name="Comma 82 2 2" xfId="34981"/>
    <cellStyle name="Comma 82 2 2 2" xfId="34982"/>
    <cellStyle name="Comma 82 2 2 2 2" xfId="34983"/>
    <cellStyle name="Comma 82 2 2 3" xfId="34984"/>
    <cellStyle name="Comma 82 2 3" xfId="34985"/>
    <cellStyle name="Comma 82 2 3 2" xfId="34986"/>
    <cellStyle name="Comma 82 2 4" xfId="34987"/>
    <cellStyle name="Comma 82 2 5" xfId="34988"/>
    <cellStyle name="Comma 82 3" xfId="34989"/>
    <cellStyle name="Comma 82 3 2" xfId="34990"/>
    <cellStyle name="Comma 82 3 2 2" xfId="34991"/>
    <cellStyle name="Comma 82 3 3" xfId="34992"/>
    <cellStyle name="Comma 82 4" xfId="34993"/>
    <cellStyle name="Comma 82 4 2" xfId="34994"/>
    <cellStyle name="Comma 82 5" xfId="34995"/>
    <cellStyle name="Comma 82 6" xfId="34996"/>
    <cellStyle name="Comma 83" xfId="34997"/>
    <cellStyle name="Comma 83 2" xfId="34998"/>
    <cellStyle name="Comma 83 2 2" xfId="34999"/>
    <cellStyle name="Comma 83 2 2 2" xfId="35000"/>
    <cellStyle name="Comma 83 2 2 2 2" xfId="35001"/>
    <cellStyle name="Comma 83 2 2 3" xfId="35002"/>
    <cellStyle name="Comma 83 2 3" xfId="35003"/>
    <cellStyle name="Comma 83 2 3 2" xfId="35004"/>
    <cellStyle name="Comma 83 2 4" xfId="35005"/>
    <cellStyle name="Comma 83 2 5" xfId="35006"/>
    <cellStyle name="Comma 83 2 6" xfId="57736"/>
    <cellStyle name="Comma 83 3" xfId="35007"/>
    <cellStyle name="Comma 83 3 2" xfId="35008"/>
    <cellStyle name="Comma 83 3 2 2" xfId="35009"/>
    <cellStyle name="Comma 83 3 3" xfId="35010"/>
    <cellStyle name="Comma 83 4" xfId="35011"/>
    <cellStyle name="Comma 83 4 2" xfId="35012"/>
    <cellStyle name="Comma 83 5" xfId="35013"/>
    <cellStyle name="Comma 83 6" xfId="35014"/>
    <cellStyle name="Comma 83 7" xfId="57735"/>
    <cellStyle name="Comma 84" xfId="35015"/>
    <cellStyle name="Comma 84 2" xfId="35016"/>
    <cellStyle name="Comma 84 2 2" xfId="35017"/>
    <cellStyle name="Comma 84 2 2 2" xfId="35018"/>
    <cellStyle name="Comma 84 2 2 2 2" xfId="35019"/>
    <cellStyle name="Comma 84 2 2 3" xfId="35020"/>
    <cellStyle name="Comma 84 2 3" xfId="35021"/>
    <cellStyle name="Comma 84 2 3 2" xfId="35022"/>
    <cellStyle name="Comma 84 2 4" xfId="35023"/>
    <cellStyle name="Comma 84 2 5" xfId="35024"/>
    <cellStyle name="Comma 84 3" xfId="35025"/>
    <cellStyle name="Comma 84 3 2" xfId="35026"/>
    <cellStyle name="Comma 84 3 2 2" xfId="35027"/>
    <cellStyle name="Comma 84 3 3" xfId="35028"/>
    <cellStyle name="Comma 84 4" xfId="35029"/>
    <cellStyle name="Comma 84 4 2" xfId="35030"/>
    <cellStyle name="Comma 85" xfId="35031"/>
    <cellStyle name="Comma 85 2" xfId="35032"/>
    <cellStyle name="Comma 85 2 2" xfId="35033"/>
    <cellStyle name="Comma 85 2 2 2" xfId="35034"/>
    <cellStyle name="Comma 85 2 2 2 2" xfId="35035"/>
    <cellStyle name="Comma 85 2 2 3" xfId="35036"/>
    <cellStyle name="Comma 85 2 3" xfId="35037"/>
    <cellStyle name="Comma 85 2 3 2" xfId="35038"/>
    <cellStyle name="Comma 85 2 4" xfId="35039"/>
    <cellStyle name="Comma 85 2 5" xfId="35040"/>
    <cellStyle name="Comma 85 3" xfId="35041"/>
    <cellStyle name="Comma 85 3 2" xfId="35042"/>
    <cellStyle name="Comma 85 3 2 2" xfId="35043"/>
    <cellStyle name="Comma 85 3 3" xfId="35044"/>
    <cellStyle name="Comma 85 4" xfId="35045"/>
    <cellStyle name="Comma 85 4 2" xfId="35046"/>
    <cellStyle name="Comma 86" xfId="35047"/>
    <cellStyle name="Comma 86 2" xfId="35048"/>
    <cellStyle name="Comma 86 2 2" xfId="35049"/>
    <cellStyle name="Comma 86 2 2 2" xfId="35050"/>
    <cellStyle name="Comma 86 2 2 2 2" xfId="35051"/>
    <cellStyle name="Comma 86 2 2 3" xfId="35052"/>
    <cellStyle name="Comma 86 2 3" xfId="35053"/>
    <cellStyle name="Comma 86 2 3 2" xfId="35054"/>
    <cellStyle name="Comma 86 2 4" xfId="35055"/>
    <cellStyle name="Comma 86 2 5" xfId="35056"/>
    <cellStyle name="Comma 86 3" xfId="35057"/>
    <cellStyle name="Comma 86 3 2" xfId="35058"/>
    <cellStyle name="Comma 86 3 2 2" xfId="35059"/>
    <cellStyle name="Comma 86 3 3" xfId="35060"/>
    <cellStyle name="Comma 86 4" xfId="35061"/>
    <cellStyle name="Comma 86 4 2" xfId="35062"/>
    <cellStyle name="Comma 86 5" xfId="35063"/>
    <cellStyle name="Comma 86 6" xfId="35064"/>
    <cellStyle name="Comma 87" xfId="35065"/>
    <cellStyle name="Comma 87 2" xfId="35066"/>
    <cellStyle name="Comma 87 2 2" xfId="35067"/>
    <cellStyle name="Comma 87 2 2 2" xfId="35068"/>
    <cellStyle name="Comma 87 2 2 2 2" xfId="35069"/>
    <cellStyle name="Comma 87 2 2 3" xfId="35070"/>
    <cellStyle name="Comma 87 2 3" xfId="35071"/>
    <cellStyle name="Comma 87 2 3 2" xfId="35072"/>
    <cellStyle name="Comma 87 2 4" xfId="35073"/>
    <cellStyle name="Comma 87 2 5" xfId="35074"/>
    <cellStyle name="Comma 87 3" xfId="35075"/>
    <cellStyle name="Comma 87 3 2" xfId="35076"/>
    <cellStyle name="Comma 87 3 2 2" xfId="35077"/>
    <cellStyle name="Comma 87 3 3" xfId="35078"/>
    <cellStyle name="Comma 87 4" xfId="35079"/>
    <cellStyle name="Comma 87 4 2" xfId="35080"/>
    <cellStyle name="Comma 87 5" xfId="35081"/>
    <cellStyle name="Comma 87 6" xfId="35082"/>
    <cellStyle name="Comma 88" xfId="35083"/>
    <cellStyle name="Comma 88 2" xfId="35084"/>
    <cellStyle name="Comma 88 2 2" xfId="35085"/>
    <cellStyle name="Comma 88 2 2 2" xfId="35086"/>
    <cellStyle name="Comma 88 2 2 2 2" xfId="35087"/>
    <cellStyle name="Comma 88 2 2 3" xfId="35088"/>
    <cellStyle name="Comma 88 2 3" xfId="35089"/>
    <cellStyle name="Comma 88 2 3 2" xfId="35090"/>
    <cellStyle name="Comma 88 2 4" xfId="35091"/>
    <cellStyle name="Comma 88 2 5" xfId="35092"/>
    <cellStyle name="Comma 88 3" xfId="35093"/>
    <cellStyle name="Comma 88 3 2" xfId="35094"/>
    <cellStyle name="Comma 88 3 2 2" xfId="35095"/>
    <cellStyle name="Comma 88 3 3" xfId="35096"/>
    <cellStyle name="Comma 88 4" xfId="35097"/>
    <cellStyle name="Comma 88 4 2" xfId="35098"/>
    <cellStyle name="Comma 88 5" xfId="35099"/>
    <cellStyle name="Comma 88 6" xfId="35100"/>
    <cellStyle name="Comma 89" xfId="35101"/>
    <cellStyle name="Comma 89 2" xfId="35102"/>
    <cellStyle name="Comma 89 2 2" xfId="35103"/>
    <cellStyle name="Comma 89 2 2 2" xfId="35104"/>
    <cellStyle name="Comma 89 2 2 2 2" xfId="35105"/>
    <cellStyle name="Comma 89 2 2 3" xfId="35106"/>
    <cellStyle name="Comma 89 2 3" xfId="35107"/>
    <cellStyle name="Comma 89 2 3 2" xfId="35108"/>
    <cellStyle name="Comma 89 2 4" xfId="35109"/>
    <cellStyle name="Comma 89 2 5" xfId="35110"/>
    <cellStyle name="Comma 89 3" xfId="35111"/>
    <cellStyle name="Comma 89 3 2" xfId="35112"/>
    <cellStyle name="Comma 89 3 2 2" xfId="35113"/>
    <cellStyle name="Comma 89 3 3" xfId="35114"/>
    <cellStyle name="Comma 89 4" xfId="35115"/>
    <cellStyle name="Comma 89 4 2" xfId="35116"/>
    <cellStyle name="Comma 89 5" xfId="35117"/>
    <cellStyle name="Comma 89 6" xfId="35118"/>
    <cellStyle name="Comma 9" xfId="35119"/>
    <cellStyle name="Comma 9 2" xfId="35120"/>
    <cellStyle name="Comma 9 2 2" xfId="35121"/>
    <cellStyle name="Comma 9 2 2 2" xfId="57739"/>
    <cellStyle name="Comma 9 2 3" xfId="57738"/>
    <cellStyle name="Comma 9 3" xfId="35122"/>
    <cellStyle name="Comma 9 3 10" xfId="35123"/>
    <cellStyle name="Comma 9 3 11" xfId="35124"/>
    <cellStyle name="Comma 9 3 12" xfId="35125"/>
    <cellStyle name="Comma 9 3 13" xfId="35126"/>
    <cellStyle name="Comma 9 3 14" xfId="35127"/>
    <cellStyle name="Comma 9 3 15" xfId="35128"/>
    <cellStyle name="Comma 9 3 16" xfId="35129"/>
    <cellStyle name="Comma 9 3 17" xfId="35130"/>
    <cellStyle name="Comma 9 3 18" xfId="35131"/>
    <cellStyle name="Comma 9 3 19" xfId="35132"/>
    <cellStyle name="Comma 9 3 2" xfId="35133"/>
    <cellStyle name="Comma 9 3 2 2" xfId="35134"/>
    <cellStyle name="Comma 9 3 2 3" xfId="57741"/>
    <cellStyle name="Comma 9 3 20" xfId="35135"/>
    <cellStyle name="Comma 9 3 21" xfId="35136"/>
    <cellStyle name="Comma 9 3 22" xfId="35137"/>
    <cellStyle name="Comma 9 3 23" xfId="35138"/>
    <cellStyle name="Comma 9 3 24" xfId="35139"/>
    <cellStyle name="Comma 9 3 25" xfId="35140"/>
    <cellStyle name="Comma 9 3 26" xfId="35141"/>
    <cellStyle name="Comma 9 3 27" xfId="35142"/>
    <cellStyle name="Comma 9 3 28" xfId="35143"/>
    <cellStyle name="Comma 9 3 29" xfId="35144"/>
    <cellStyle name="Comma 9 3 3" xfId="35145"/>
    <cellStyle name="Comma 9 3 30" xfId="35146"/>
    <cellStyle name="Comma 9 3 31" xfId="35147"/>
    <cellStyle name="Comma 9 3 32" xfId="35148"/>
    <cellStyle name="Comma 9 3 33" xfId="35149"/>
    <cellStyle name="Comma 9 3 34" xfId="35150"/>
    <cellStyle name="Comma 9 3 35" xfId="35151"/>
    <cellStyle name="Comma 9 3 36" xfId="35152"/>
    <cellStyle name="Comma 9 3 37" xfId="35153"/>
    <cellStyle name="Comma 9 3 38" xfId="35154"/>
    <cellStyle name="Comma 9 3 39" xfId="35155"/>
    <cellStyle name="Comma 9 3 4" xfId="35156"/>
    <cellStyle name="Comma 9 3 40" xfId="35157"/>
    <cellStyle name="Comma 9 3 41" xfId="35158"/>
    <cellStyle name="Comma 9 3 42" xfId="35159"/>
    <cellStyle name="Comma 9 3 43" xfId="35160"/>
    <cellStyle name="Comma 9 3 44" xfId="35161"/>
    <cellStyle name="Comma 9 3 45" xfId="35162"/>
    <cellStyle name="Comma 9 3 46" xfId="35163"/>
    <cellStyle name="Comma 9 3 47" xfId="35164"/>
    <cellStyle name="Comma 9 3 48" xfId="35165"/>
    <cellStyle name="Comma 9 3 49" xfId="35166"/>
    <cellStyle name="Comma 9 3 5" xfId="35167"/>
    <cellStyle name="Comma 9 3 50" xfId="35168"/>
    <cellStyle name="Comma 9 3 51" xfId="35169"/>
    <cellStyle name="Comma 9 3 52" xfId="35170"/>
    <cellStyle name="Comma 9 3 53" xfId="35171"/>
    <cellStyle name="Comma 9 3 54" xfId="35172"/>
    <cellStyle name="Comma 9 3 55" xfId="35173"/>
    <cellStyle name="Comma 9 3 56" xfId="57740"/>
    <cellStyle name="Comma 9 3 6" xfId="35174"/>
    <cellStyle name="Comma 9 3 7" xfId="35175"/>
    <cellStyle name="Comma 9 3 8" xfId="35176"/>
    <cellStyle name="Comma 9 3 9" xfId="35177"/>
    <cellStyle name="Comma 9 4" xfId="35178"/>
    <cellStyle name="Comma 9 4 2" xfId="35179"/>
    <cellStyle name="Comma 9 4 3" xfId="57742"/>
    <cellStyle name="Comma 9 5" xfId="35180"/>
    <cellStyle name="Comma 9 6" xfId="57737"/>
    <cellStyle name="Comma 90" xfId="35181"/>
    <cellStyle name="Comma 90 2" xfId="35182"/>
    <cellStyle name="Comma 90 2 2" xfId="35183"/>
    <cellStyle name="Comma 90 2 2 2" xfId="35184"/>
    <cellStyle name="Comma 90 2 2 2 2" xfId="35185"/>
    <cellStyle name="Comma 90 2 2 3" xfId="35186"/>
    <cellStyle name="Comma 90 2 3" xfId="35187"/>
    <cellStyle name="Comma 90 2 3 2" xfId="35188"/>
    <cellStyle name="Comma 90 2 4" xfId="35189"/>
    <cellStyle name="Comma 90 2 5" xfId="35190"/>
    <cellStyle name="Comma 90 3" xfId="35191"/>
    <cellStyle name="Comma 90 3 2" xfId="35192"/>
    <cellStyle name="Comma 90 3 2 2" xfId="35193"/>
    <cellStyle name="Comma 90 3 3" xfId="35194"/>
    <cellStyle name="Comma 90 4" xfId="35195"/>
    <cellStyle name="Comma 90 4 2" xfId="35196"/>
    <cellStyle name="Comma 90 5" xfId="35197"/>
    <cellStyle name="Comma 90 6" xfId="35198"/>
    <cellStyle name="Comma 91" xfId="35199"/>
    <cellStyle name="Comma 91 2" xfId="35200"/>
    <cellStyle name="Comma 91 2 2" xfId="35201"/>
    <cellStyle name="Comma 91 2 2 2" xfId="35202"/>
    <cellStyle name="Comma 91 2 2 2 2" xfId="35203"/>
    <cellStyle name="Comma 91 2 2 3" xfId="35204"/>
    <cellStyle name="Comma 91 2 3" xfId="35205"/>
    <cellStyle name="Comma 91 2 3 2" xfId="35206"/>
    <cellStyle name="Comma 91 2 4" xfId="35207"/>
    <cellStyle name="Comma 91 2 5" xfId="35208"/>
    <cellStyle name="Comma 91 3" xfId="35209"/>
    <cellStyle name="Comma 91 3 2" xfId="35210"/>
    <cellStyle name="Comma 91 3 2 2" xfId="35211"/>
    <cellStyle name="Comma 91 3 3" xfId="35212"/>
    <cellStyle name="Comma 91 4" xfId="35213"/>
    <cellStyle name="Comma 91 4 2" xfId="35214"/>
    <cellStyle name="Comma 91 5" xfId="35215"/>
    <cellStyle name="Comma 91 6" xfId="35216"/>
    <cellStyle name="Comma 92" xfId="35217"/>
    <cellStyle name="Comma 92 2" xfId="35218"/>
    <cellStyle name="Comma 92 2 2" xfId="35219"/>
    <cellStyle name="Comma 92 2 2 2" xfId="35220"/>
    <cellStyle name="Comma 92 2 2 2 2" xfId="35221"/>
    <cellStyle name="Comma 92 2 2 3" xfId="35222"/>
    <cellStyle name="Comma 92 2 3" xfId="35223"/>
    <cellStyle name="Comma 92 2 3 2" xfId="35224"/>
    <cellStyle name="Comma 92 2 4" xfId="35225"/>
    <cellStyle name="Comma 92 2 5" xfId="35226"/>
    <cellStyle name="Comma 92 3" xfId="35227"/>
    <cellStyle name="Comma 92 3 2" xfId="35228"/>
    <cellStyle name="Comma 92 3 2 2" xfId="35229"/>
    <cellStyle name="Comma 92 3 3" xfId="35230"/>
    <cellStyle name="Comma 92 4" xfId="35231"/>
    <cellStyle name="Comma 92 4 2" xfId="35232"/>
    <cellStyle name="Comma 92 5" xfId="35233"/>
    <cellStyle name="Comma 92 6" xfId="35234"/>
    <cellStyle name="Comma 93" xfId="35235"/>
    <cellStyle name="Comma 93 2" xfId="35236"/>
    <cellStyle name="Comma 93 2 2" xfId="35237"/>
    <cellStyle name="Comma 93 2 2 2" xfId="35238"/>
    <cellStyle name="Comma 93 2 2 2 2" xfId="35239"/>
    <cellStyle name="Comma 93 2 2 3" xfId="35240"/>
    <cellStyle name="Comma 93 2 3" xfId="35241"/>
    <cellStyle name="Comma 93 2 3 2" xfId="35242"/>
    <cellStyle name="Comma 93 2 4" xfId="35243"/>
    <cellStyle name="Comma 93 2 5" xfId="35244"/>
    <cellStyle name="Comma 93 3" xfId="35245"/>
    <cellStyle name="Comma 93 3 2" xfId="35246"/>
    <cellStyle name="Comma 93 3 2 2" xfId="35247"/>
    <cellStyle name="Comma 93 3 3" xfId="35248"/>
    <cellStyle name="Comma 93 4" xfId="35249"/>
    <cellStyle name="Comma 93 4 2" xfId="35250"/>
    <cellStyle name="Comma 93 5" xfId="35251"/>
    <cellStyle name="Comma 93 6" xfId="35252"/>
    <cellStyle name="Comma 94" xfId="35253"/>
    <cellStyle name="Comma 94 2" xfId="35254"/>
    <cellStyle name="Comma 94 2 2" xfId="35255"/>
    <cellStyle name="Comma 94 2 2 2" xfId="35256"/>
    <cellStyle name="Comma 94 2 2 2 2" xfId="35257"/>
    <cellStyle name="Comma 94 2 2 3" xfId="35258"/>
    <cellStyle name="Comma 94 2 3" xfId="35259"/>
    <cellStyle name="Comma 94 2 3 2" xfId="35260"/>
    <cellStyle name="Comma 94 2 4" xfId="35261"/>
    <cellStyle name="Comma 94 2 5" xfId="35262"/>
    <cellStyle name="Comma 94 3" xfId="35263"/>
    <cellStyle name="Comma 94 3 2" xfId="35264"/>
    <cellStyle name="Comma 94 3 2 2" xfId="35265"/>
    <cellStyle name="Comma 94 3 3" xfId="35266"/>
    <cellStyle name="Comma 94 4" xfId="35267"/>
    <cellStyle name="Comma 94 4 2" xfId="35268"/>
    <cellStyle name="Comma 94 5" xfId="35269"/>
    <cellStyle name="Comma 94 6" xfId="35270"/>
    <cellStyle name="Comma 95" xfId="35271"/>
    <cellStyle name="Comma 95 2" xfId="35272"/>
    <cellStyle name="Comma 95 2 2" xfId="35273"/>
    <cellStyle name="Comma 95 2 2 2" xfId="35274"/>
    <cellStyle name="Comma 95 2 2 2 2" xfId="35275"/>
    <cellStyle name="Comma 95 2 2 3" xfId="35276"/>
    <cellStyle name="Comma 95 2 3" xfId="35277"/>
    <cellStyle name="Comma 95 2 3 2" xfId="35278"/>
    <cellStyle name="Comma 95 2 4" xfId="35279"/>
    <cellStyle name="Comma 95 2 5" xfId="35280"/>
    <cellStyle name="Comma 95 3" xfId="35281"/>
    <cellStyle name="Comma 95 3 2" xfId="35282"/>
    <cellStyle name="Comma 95 3 2 2" xfId="35283"/>
    <cellStyle name="Comma 95 3 3" xfId="35284"/>
    <cellStyle name="Comma 95 4" xfId="35285"/>
    <cellStyle name="Comma 95 4 2" xfId="35286"/>
    <cellStyle name="Comma 95 5" xfId="35287"/>
    <cellStyle name="Comma 95 6" xfId="35288"/>
    <cellStyle name="Comma 96" xfId="35289"/>
    <cellStyle name="Comma 96 2" xfId="35290"/>
    <cellStyle name="Comma 96 2 2" xfId="35291"/>
    <cellStyle name="Comma 96 2 2 2" xfId="35292"/>
    <cellStyle name="Comma 96 2 2 2 2" xfId="35293"/>
    <cellStyle name="Comma 96 2 2 2 2 2" xfId="35294"/>
    <cellStyle name="Comma 96 2 2 2 3" xfId="35295"/>
    <cellStyle name="Comma 96 2 2 3" xfId="35296"/>
    <cellStyle name="Comma 96 2 2 3 2" xfId="35297"/>
    <cellStyle name="Comma 96 2 2 4" xfId="35298"/>
    <cellStyle name="Comma 96 2 2 5" xfId="35299"/>
    <cellStyle name="Comma 96 2 3" xfId="35300"/>
    <cellStyle name="Comma 96 2 3 2" xfId="35301"/>
    <cellStyle name="Comma 96 2 3 2 2" xfId="35302"/>
    <cellStyle name="Comma 96 2 3 3" xfId="35303"/>
    <cellStyle name="Comma 96 2 4" xfId="35304"/>
    <cellStyle name="Comma 96 2 4 2" xfId="35305"/>
    <cellStyle name="Comma 96 2 5" xfId="35306"/>
    <cellStyle name="Comma 96 2 6" xfId="35307"/>
    <cellStyle name="Comma 96 3" xfId="35308"/>
    <cellStyle name="Comma 96 3 2" xfId="35309"/>
    <cellStyle name="Comma 96 3 2 2" xfId="35310"/>
    <cellStyle name="Comma 96 3 2 2 2" xfId="35311"/>
    <cellStyle name="Comma 96 3 2 3" xfId="35312"/>
    <cellStyle name="Comma 96 3 3" xfId="35313"/>
    <cellStyle name="Comma 96 3 3 2" xfId="35314"/>
    <cellStyle name="Comma 96 3 4" xfId="35315"/>
    <cellStyle name="Comma 96 3 5" xfId="35316"/>
    <cellStyle name="Comma 96 4" xfId="35317"/>
    <cellStyle name="Comma 96 4 2" xfId="35318"/>
    <cellStyle name="Comma 96 4 2 2" xfId="35319"/>
    <cellStyle name="Comma 96 4 3" xfId="35320"/>
    <cellStyle name="Comma 96 5" xfId="35321"/>
    <cellStyle name="Comma 96 5 2" xfId="35322"/>
    <cellStyle name="Comma 96 6" xfId="35323"/>
    <cellStyle name="Comma 96 7" xfId="35324"/>
    <cellStyle name="Comma 97" xfId="35325"/>
    <cellStyle name="Comma 97 2" xfId="35326"/>
    <cellStyle name="Comma 97 2 2" xfId="35327"/>
    <cellStyle name="Comma 97 2 2 2" xfId="35328"/>
    <cellStyle name="Comma 97 2 2 2 2" xfId="35329"/>
    <cellStyle name="Comma 97 2 2 3" xfId="35330"/>
    <cellStyle name="Comma 97 2 3" xfId="35331"/>
    <cellStyle name="Comma 97 2 3 2" xfId="35332"/>
    <cellStyle name="Comma 97 2 4" xfId="35333"/>
    <cellStyle name="Comma 97 2 5" xfId="35334"/>
    <cellStyle name="Comma 97 3" xfId="35335"/>
    <cellStyle name="Comma 97 3 2" xfId="35336"/>
    <cellStyle name="Comma 97 3 2 2" xfId="35337"/>
    <cellStyle name="Comma 97 3 3" xfId="35338"/>
    <cellStyle name="Comma 97 4" xfId="35339"/>
    <cellStyle name="Comma 97 4 2" xfId="35340"/>
    <cellStyle name="Comma 97 5" xfId="35341"/>
    <cellStyle name="Comma 97 6" xfId="35342"/>
    <cellStyle name="Comma 98" xfId="35343"/>
    <cellStyle name="Comma 98 2" xfId="35344"/>
    <cellStyle name="Comma 98 2 2" xfId="35345"/>
    <cellStyle name="Comma 98 2 2 2" xfId="35346"/>
    <cellStyle name="Comma 98 2 2 2 2" xfId="35347"/>
    <cellStyle name="Comma 98 2 2 3" xfId="35348"/>
    <cellStyle name="Comma 98 2 3" xfId="35349"/>
    <cellStyle name="Comma 98 2 3 2" xfId="35350"/>
    <cellStyle name="Comma 98 2 4" xfId="35351"/>
    <cellStyle name="Comma 98 2 5" xfId="35352"/>
    <cellStyle name="Comma 98 3" xfId="35353"/>
    <cellStyle name="Comma 98 3 2" xfId="35354"/>
    <cellStyle name="Comma 98 3 2 2" xfId="35355"/>
    <cellStyle name="Comma 98 3 3" xfId="35356"/>
    <cellStyle name="Comma 98 4" xfId="35357"/>
    <cellStyle name="Comma 98 4 2" xfId="35358"/>
    <cellStyle name="Comma 98 5" xfId="35359"/>
    <cellStyle name="Comma 98 6" xfId="35360"/>
    <cellStyle name="Comma 985" xfId="57743"/>
    <cellStyle name="Comma 985 2" xfId="57744"/>
    <cellStyle name="Comma 99" xfId="35361"/>
    <cellStyle name="Comma 99 2" xfId="35362"/>
    <cellStyle name="Comma 99 2 2" xfId="35363"/>
    <cellStyle name="Comma 99 2 2 2" xfId="35364"/>
    <cellStyle name="Comma 99 2 3" xfId="35365"/>
    <cellStyle name="Comma 99 3" xfId="35366"/>
    <cellStyle name="Comma 99 3 2" xfId="35367"/>
    <cellStyle name="Comma 99 4" xfId="35368"/>
    <cellStyle name="Comma 99 5" xfId="35369"/>
    <cellStyle name="comma zerodec" xfId="35370"/>
    <cellStyle name="Comma0" xfId="35371"/>
    <cellStyle name="Comma0 2" xfId="35372"/>
    <cellStyle name="Comma1 - Style1" xfId="35373"/>
    <cellStyle name="Copied" xfId="35374"/>
    <cellStyle name="Copied 2" xfId="35375"/>
    <cellStyle name="Copied 2 2" xfId="35376"/>
    <cellStyle name="Copied 2 3" xfId="35377"/>
    <cellStyle name="Copied 3" xfId="35378"/>
    <cellStyle name="COST1" xfId="35379"/>
    <cellStyle name="COST1 2" xfId="35380"/>
    <cellStyle name="COST1 2 2" xfId="35381"/>
    <cellStyle name="COST1 2 3" xfId="35382"/>
    <cellStyle name="COST1 3" xfId="35383"/>
    <cellStyle name="Curren - Style2" xfId="35384"/>
    <cellStyle name="Curren - Style3" xfId="35385"/>
    <cellStyle name="Curren - Style4" xfId="35386"/>
    <cellStyle name="Currency $" xfId="35387"/>
    <cellStyle name="Currency (0.00)" xfId="35388"/>
    <cellStyle name="Currency (0.00) 2" xfId="35389"/>
    <cellStyle name="Currency (0.00) 2 2" xfId="35390"/>
    <cellStyle name="Currency (0.00) 2 2 2" xfId="57747"/>
    <cellStyle name="Currency (0.00) 2 3" xfId="57746"/>
    <cellStyle name="Currency (0.00) 3" xfId="35391"/>
    <cellStyle name="Currency (0.00) 3 2" xfId="35392"/>
    <cellStyle name="Currency (0.00) 3 3" xfId="57748"/>
    <cellStyle name="Currency (0.00) 4" xfId="35393"/>
    <cellStyle name="Currency (0.00) 5" xfId="57745"/>
    <cellStyle name="Currency [0] 2" xfId="35394"/>
    <cellStyle name="Currency [0] 2 2" xfId="35395"/>
    <cellStyle name="Currency [0] 2 2 2" xfId="57749"/>
    <cellStyle name="Currency [0] 2 3" xfId="35396"/>
    <cellStyle name="Currency [0] 3" xfId="35397"/>
    <cellStyle name="Currency [0] 3 2" xfId="35398"/>
    <cellStyle name="Currency [0] 3 3" xfId="35399"/>
    <cellStyle name="Currency [00]" xfId="35400"/>
    <cellStyle name="Currency 0" xfId="35401"/>
    <cellStyle name="Currency 0 2" xfId="35402"/>
    <cellStyle name="Currency 0 2 2" xfId="35403"/>
    <cellStyle name="Currency 0 2 3" xfId="35404"/>
    <cellStyle name="Currency 0 3" xfId="35405"/>
    <cellStyle name="Currency 0 3 2" xfId="35406"/>
    <cellStyle name="Currency 0 4" xfId="35407"/>
    <cellStyle name="Currency 0 4 2" xfId="35408"/>
    <cellStyle name="Currency 0 5" xfId="35409"/>
    <cellStyle name="Currency 0 5 2" xfId="35410"/>
    <cellStyle name="Currency 0 6" xfId="35411"/>
    <cellStyle name="Currency 0 6 2" xfId="35412"/>
    <cellStyle name="Currency 10" xfId="35413"/>
    <cellStyle name="Currency 11" xfId="35414"/>
    <cellStyle name="Currency 12" xfId="35415"/>
    <cellStyle name="Currency 12 2" xfId="35416"/>
    <cellStyle name="Currency 13" xfId="35417"/>
    <cellStyle name="Currency 13 2" xfId="35418"/>
    <cellStyle name="Currency 14" xfId="35419"/>
    <cellStyle name="Currency 15" xfId="35420"/>
    <cellStyle name="Currency 16" xfId="35421"/>
    <cellStyle name="Currency 17" xfId="57463"/>
    <cellStyle name="Currency 2" xfId="35422"/>
    <cellStyle name="Currency 2 2" xfId="35423"/>
    <cellStyle name="Currency 2 2 10" xfId="35424"/>
    <cellStyle name="Currency 2 2 11" xfId="35425"/>
    <cellStyle name="Currency 2 2 12" xfId="58421"/>
    <cellStyle name="Currency 2 2 2" xfId="35426"/>
    <cellStyle name="Currency 2 2 2 10" xfId="57750"/>
    <cellStyle name="Currency 2 2 2 2" xfId="35427"/>
    <cellStyle name="Currency 2 2 2 2 2" xfId="57751"/>
    <cellStyle name="Currency 2 2 2 3" xfId="35428"/>
    <cellStyle name="Currency 2 2 2 4" xfId="35429"/>
    <cellStyle name="Currency 2 2 2 5" xfId="35430"/>
    <cellStyle name="Currency 2 2 2 6" xfId="35431"/>
    <cellStyle name="Currency 2 2 2 7" xfId="35432"/>
    <cellStyle name="Currency 2 2 2 8" xfId="35433"/>
    <cellStyle name="Currency 2 2 2 9" xfId="35434"/>
    <cellStyle name="Currency 2 2 3" xfId="35435"/>
    <cellStyle name="Currency 2 2 3 2" xfId="35436"/>
    <cellStyle name="Currency 2 2 3 3" xfId="57752"/>
    <cellStyle name="Currency 2 2 4" xfId="35437"/>
    <cellStyle name="Currency 2 2 4 2" xfId="57753"/>
    <cellStyle name="Currency 2 2 5" xfId="35438"/>
    <cellStyle name="Currency 2 2 6" xfId="35439"/>
    <cellStyle name="Currency 2 2 7" xfId="35440"/>
    <cellStyle name="Currency 2 2 8" xfId="35441"/>
    <cellStyle name="Currency 2 2 9" xfId="35442"/>
    <cellStyle name="Currency 2 3" xfId="35443"/>
    <cellStyle name="Currency 2 3 2" xfId="35444"/>
    <cellStyle name="Currency 2 3 2 2" xfId="35445"/>
    <cellStyle name="Currency 2 3 2 3" xfId="57754"/>
    <cellStyle name="Currency 2 3 3" xfId="35446"/>
    <cellStyle name="Currency 2 3 3 2" xfId="57755"/>
    <cellStyle name="Currency 2 3 4" xfId="35447"/>
    <cellStyle name="Currency 2 3 4 2" xfId="57756"/>
    <cellStyle name="Currency 2 4" xfId="35448"/>
    <cellStyle name="Currency 2 4 2" xfId="35449"/>
    <cellStyle name="Currency 2 4 2 2" xfId="35450"/>
    <cellStyle name="Currency 2 4 3" xfId="35451"/>
    <cellStyle name="Currency 2 4 4" xfId="35452"/>
    <cellStyle name="Currency 2 5" xfId="35453"/>
    <cellStyle name="Currency 2 5 2" xfId="35454"/>
    <cellStyle name="Currency 2 5 2 2" xfId="57757"/>
    <cellStyle name="Currency 2 5 3" xfId="35455"/>
    <cellStyle name="Currency 2 6" xfId="35456"/>
    <cellStyle name="Currency 2 6 2" xfId="35457"/>
    <cellStyle name="Currency 2 6 2 2" xfId="57758"/>
    <cellStyle name="Currency 2 7" xfId="35458"/>
    <cellStyle name="Currency 2 7 2" xfId="35459"/>
    <cellStyle name="Currency 2 7 3" xfId="57759"/>
    <cellStyle name="Currency 2 8" xfId="35460"/>
    <cellStyle name="Currency 2 9" xfId="58422"/>
    <cellStyle name="Currency 2_1109-DIT New Dec09" xfId="35461"/>
    <cellStyle name="Currency 3" xfId="35462"/>
    <cellStyle name="Currency 3 2" xfId="35463"/>
    <cellStyle name="Currency 3 2 2" xfId="35464"/>
    <cellStyle name="Currency 3 2 3" xfId="57761"/>
    <cellStyle name="Currency 3 3" xfId="35465"/>
    <cellStyle name="Currency 3 3 2" xfId="57762"/>
    <cellStyle name="Currency 3 4" xfId="35466"/>
    <cellStyle name="Currency 3 5" xfId="57760"/>
    <cellStyle name="Currency 4" xfId="35467"/>
    <cellStyle name="Currency 4 2" xfId="35468"/>
    <cellStyle name="Currency 4 2 2" xfId="57764"/>
    <cellStyle name="Currency 4 3" xfId="35469"/>
    <cellStyle name="Currency 4 3 2" xfId="57765"/>
    <cellStyle name="Currency 4 4" xfId="57763"/>
    <cellStyle name="Currency 5" xfId="35470"/>
    <cellStyle name="Currency 5 2" xfId="35471"/>
    <cellStyle name="Currency 5 3" xfId="35472"/>
    <cellStyle name="Currency 6" xfId="35473"/>
    <cellStyle name="Currency 6 2" xfId="35474"/>
    <cellStyle name="Currency 6 3" xfId="35475"/>
    <cellStyle name="Currency 7" xfId="35476"/>
    <cellStyle name="Currency 7 2" xfId="35477"/>
    <cellStyle name="Currency 7 3" xfId="35478"/>
    <cellStyle name="Currency 8" xfId="35479"/>
    <cellStyle name="Currency 8 2" xfId="35480"/>
    <cellStyle name="Currency 8 3" xfId="35481"/>
    <cellStyle name="Currency 8 4" xfId="35482"/>
    <cellStyle name="Currency 8 5" xfId="35483"/>
    <cellStyle name="Currency 8 6" xfId="35484"/>
    <cellStyle name="Currency 8 7" xfId="35485"/>
    <cellStyle name="Currency 9" xfId="35486"/>
    <cellStyle name="Currency 礀0]_laroux_2_PERSONAL" xfId="35487"/>
    <cellStyle name="Currency0" xfId="35488"/>
    <cellStyle name="Currency0 2" xfId="35489"/>
    <cellStyle name="Currency0 2 2" xfId="57767"/>
    <cellStyle name="Currency0 2 3" xfId="57766"/>
    <cellStyle name="Currency0 3" xfId="35490"/>
    <cellStyle name="Currency1" xfId="35491"/>
    <cellStyle name="Currency_x0008_CONF-INT" xfId="35492"/>
    <cellStyle name="Curren䱣됀됀_x0001_" xfId="35493"/>
    <cellStyle name="Custom - Style1" xfId="35494"/>
    <cellStyle name="Custom - Style8" xfId="35495"/>
    <cellStyle name="dak" xfId="35496"/>
    <cellStyle name="dak 2" xfId="57768"/>
    <cellStyle name="Dan" xfId="35497"/>
    <cellStyle name="Data   - Style2" xfId="35498"/>
    <cellStyle name="Data   - Style2 2" xfId="35499"/>
    <cellStyle name="Data   - Style2 2 2" xfId="35500"/>
    <cellStyle name="Data   - Style2 3" xfId="35501"/>
    <cellStyle name="Data   - Style2 4" xfId="57769"/>
    <cellStyle name="Data Entry" xfId="35502"/>
    <cellStyle name="DataPilot Category" xfId="35503"/>
    <cellStyle name="DataPilot Category 2" xfId="35504"/>
    <cellStyle name="DataPilot Category 2 2" xfId="35505"/>
    <cellStyle name="DataPilot Category 2_PM Okt 2014 Plan VS Actual Planning Workshop" xfId="35506"/>
    <cellStyle name="DataPilot Category 3" xfId="35507"/>
    <cellStyle name="DataPilot Category 3 2" xfId="35508"/>
    <cellStyle name="DataPilot Category 4" xfId="35509"/>
    <cellStyle name="DataPilot Category 4 2" xfId="35510"/>
    <cellStyle name="DataPilot Category 5" xfId="35511"/>
    <cellStyle name="DataPilot Category_Format Template Preventive Maintenance" xfId="35512"/>
    <cellStyle name="DataPilot Corner" xfId="35513"/>
    <cellStyle name="DataPilot Corner 2" xfId="35514"/>
    <cellStyle name="DataPilot Corner 2 2" xfId="35515"/>
    <cellStyle name="DataPilot Corner 2_PM Okt 2014 Plan VS Actual Planning Workshop" xfId="35516"/>
    <cellStyle name="DataPilot Corner 3" xfId="35517"/>
    <cellStyle name="DataPilot Corner 3 2" xfId="35518"/>
    <cellStyle name="DataPilot Corner 4" xfId="35519"/>
    <cellStyle name="DataPilot Corner 4 2" xfId="35520"/>
    <cellStyle name="DataPilot Corner 5" xfId="35521"/>
    <cellStyle name="DataPilot Corner_Format Template Preventive Maintenance" xfId="35522"/>
    <cellStyle name="DataPilot Field" xfId="35523"/>
    <cellStyle name="DataPilot Field 2" xfId="35524"/>
    <cellStyle name="DataPilot Field 2 2" xfId="35525"/>
    <cellStyle name="DataPilot Field 2_PM Okt 2014 Plan VS Actual Planning Workshop" xfId="35526"/>
    <cellStyle name="DataPilot Field 3" xfId="35527"/>
    <cellStyle name="DataPilot Field 3 2" xfId="35528"/>
    <cellStyle name="DataPilot Field 4" xfId="35529"/>
    <cellStyle name="DataPilot Field 4 2" xfId="35530"/>
    <cellStyle name="DataPilot Field 5" xfId="35531"/>
    <cellStyle name="DataPilot Field_Format Template Preventive Maintenance" xfId="35532"/>
    <cellStyle name="DataPilot Result" xfId="35533"/>
    <cellStyle name="DataPilot Result 2" xfId="35534"/>
    <cellStyle name="DataPilot Result 2 2" xfId="35535"/>
    <cellStyle name="DataPilot Result 2_PM Okt 2014 Plan VS Actual Planning Workshop" xfId="35536"/>
    <cellStyle name="DataPilot Result 3" xfId="35537"/>
    <cellStyle name="DataPilot Result 3 2" xfId="35538"/>
    <cellStyle name="DataPilot Result 4" xfId="35539"/>
    <cellStyle name="DataPilot Result 4 2" xfId="35540"/>
    <cellStyle name="DataPilot Result 5" xfId="35541"/>
    <cellStyle name="DataPilot Result_Format Template Preventive Maintenance" xfId="35542"/>
    <cellStyle name="DataPilot Title" xfId="35543"/>
    <cellStyle name="DataPilot Title 2" xfId="35544"/>
    <cellStyle name="DataPilot Title 2 2" xfId="35545"/>
    <cellStyle name="DataPilot Title 2_PM Okt 2014 Plan VS Actual Planning Workshop" xfId="35546"/>
    <cellStyle name="DataPilot Title 3" xfId="35547"/>
    <cellStyle name="DataPilot Title 3 2" xfId="35548"/>
    <cellStyle name="DataPilot Title 4" xfId="35549"/>
    <cellStyle name="DataPilot Title 4 2" xfId="35550"/>
    <cellStyle name="DataPilot Title 5" xfId="35551"/>
    <cellStyle name="DataPilot Title_Format Template Preventive Maintenance" xfId="35552"/>
    <cellStyle name="DataPilot Value" xfId="35553"/>
    <cellStyle name="DataPilot Value 2" xfId="35554"/>
    <cellStyle name="DataPilot Value 2 2" xfId="35555"/>
    <cellStyle name="DataPilot Value 2_PM Okt 2014 Plan VS Actual Planning Workshop" xfId="35556"/>
    <cellStyle name="DataPilot Value 3" xfId="35557"/>
    <cellStyle name="DataPilot Value 3 2" xfId="35558"/>
    <cellStyle name="DataPilot Value 4" xfId="35559"/>
    <cellStyle name="DataPilot Value 4 2" xfId="35560"/>
    <cellStyle name="DataPilot Value 5" xfId="35561"/>
    <cellStyle name="DataPilot Value_Format Template Preventive Maintenance" xfId="35562"/>
    <cellStyle name="Date" xfId="35563"/>
    <cellStyle name="Date (dd mmm yy)" xfId="58423"/>
    <cellStyle name="Date (dd mmm yyyy)" xfId="58424"/>
    <cellStyle name="Date (dd-mm-yy)" xfId="58425"/>
    <cellStyle name="Date 2" xfId="35564"/>
    <cellStyle name="Date 2 2" xfId="58426"/>
    <cellStyle name="Date 3" xfId="58427"/>
    <cellStyle name="Date 4" xfId="58428"/>
    <cellStyle name="Date Aligned" xfId="35565"/>
    <cellStyle name="Date Aligned 2" xfId="35566"/>
    <cellStyle name="Date Aligned 2 2" xfId="35567"/>
    <cellStyle name="Date Aligned 2 3" xfId="35568"/>
    <cellStyle name="Date Aligned 3" xfId="35569"/>
    <cellStyle name="Date Aligned 3 2" xfId="35570"/>
    <cellStyle name="Date Aligned 4" xfId="35571"/>
    <cellStyle name="Date Aligned 4 2" xfId="35572"/>
    <cellStyle name="Date Aligned 5" xfId="35573"/>
    <cellStyle name="Date Aligned 5 2" xfId="35574"/>
    <cellStyle name="Date Aligned 6" xfId="35575"/>
    <cellStyle name="Date Aligned 6 2" xfId="35576"/>
    <cellStyle name="Date Short" xfId="35577"/>
    <cellStyle name="Date Short 2" xfId="35578"/>
    <cellStyle name="Date_{50ED89EF-4BBA-4588-8002-F6B13A05FB8E}" xfId="58429"/>
    <cellStyle name="defaultbowo" xfId="35579"/>
    <cellStyle name="Define your own named style" xfId="35580"/>
    <cellStyle name="DELTA" xfId="35581"/>
    <cellStyle name="Dezimal [0]_35ERI8T2gbIEMixb4v26icuOo" xfId="35582"/>
    <cellStyle name="Dezimal_35ERI8T2gbIEMixb4v26icuOo" xfId="35583"/>
    <cellStyle name="DG" xfId="35584"/>
    <cellStyle name="DG 2" xfId="35585"/>
    <cellStyle name="DG 2 2" xfId="35586"/>
    <cellStyle name="DG 3" xfId="57770"/>
    <cellStyle name="Discount" xfId="35587"/>
    <cellStyle name="Dollar (zero dec)" xfId="35588"/>
    <cellStyle name="Dotted Line" xfId="35589"/>
    <cellStyle name="Dotted Line 2" xfId="35590"/>
    <cellStyle name="Dotted Line 2 2" xfId="35591"/>
    <cellStyle name="Dotted Line 2 3" xfId="35592"/>
    <cellStyle name="Dotted Line 3" xfId="35593"/>
    <cellStyle name="Dotted Line 3 2" xfId="35594"/>
    <cellStyle name="Dotted Line 4" xfId="35595"/>
    <cellStyle name="Dotted Line 4 2" xfId="35596"/>
    <cellStyle name="Dotted Line 5" xfId="35597"/>
    <cellStyle name="Dotted Line 5 2" xfId="35598"/>
    <cellStyle name="Dotted Line 6" xfId="35599"/>
    <cellStyle name="Dotted Line 6 2" xfId="35600"/>
    <cellStyle name="Draw lines around data in range" xfId="35601"/>
    <cellStyle name="Draw shadow and lines within range" xfId="35602"/>
    <cellStyle name="eárky [0]_laroux" xfId="35603"/>
    <cellStyle name="eárky_laroux" xfId="35604"/>
    <cellStyle name="EC" xfId="35605"/>
    <cellStyle name="EC PRESENTATION" xfId="35606"/>
    <cellStyle name="EC_B" xfId="35607"/>
    <cellStyle name="eeeeeeeeee" xfId="35608"/>
    <cellStyle name="Eingabe" xfId="35609"/>
    <cellStyle name="Eingabe 2" xfId="35610"/>
    <cellStyle name="Eingabe 2 2" xfId="35611"/>
    <cellStyle name="Eingabe 2 2 2" xfId="35612"/>
    <cellStyle name="Eingabe 2 3" xfId="35613"/>
    <cellStyle name="Eingabe 3" xfId="35614"/>
    <cellStyle name="Eingabe 3 2" xfId="35615"/>
    <cellStyle name="Eingabe 3 2 2" xfId="35616"/>
    <cellStyle name="Eingabe 3 3" xfId="35617"/>
    <cellStyle name="Eingabe 4" xfId="35618"/>
    <cellStyle name="Eingabe 4 2" xfId="35619"/>
    <cellStyle name="Eingabe 5" xfId="35620"/>
    <cellStyle name="Emphasis 1" xfId="35621"/>
    <cellStyle name="Emphasis 2" xfId="35622"/>
    <cellStyle name="Emphasis 3" xfId="35623"/>
    <cellStyle name="Empty" xfId="35624"/>
    <cellStyle name="Enlarge title text, yellow on blue" xfId="35625"/>
    <cellStyle name="Enter Currency (0)" xfId="35626"/>
    <cellStyle name="Enter Currency (2)" xfId="35627"/>
    <cellStyle name="Enter Units (0)" xfId="35628"/>
    <cellStyle name="Enter Units (1)" xfId="35629"/>
    <cellStyle name="Enter Units (1) 2" xfId="35630"/>
    <cellStyle name="Enter Units (2)" xfId="35631"/>
    <cellStyle name="Entered" xfId="35632"/>
    <cellStyle name="Entered 2" xfId="35633"/>
    <cellStyle name="Entered 2 2" xfId="35634"/>
    <cellStyle name="Entered 2 3" xfId="35635"/>
    <cellStyle name="Entered 3" xfId="35636"/>
    <cellStyle name="Ergebnis" xfId="35637"/>
    <cellStyle name="Ergebnis 2" xfId="35638"/>
    <cellStyle name="Ergebnis 2 2" xfId="35639"/>
    <cellStyle name="Ergebnis 2 2 2" xfId="35640"/>
    <cellStyle name="Ergebnis 2 3" xfId="35641"/>
    <cellStyle name="Ergebnis 3" xfId="35642"/>
    <cellStyle name="Ergebnis 3 2" xfId="35643"/>
    <cellStyle name="Ergebnis 3 2 2" xfId="35644"/>
    <cellStyle name="Ergebnis 3 3" xfId="35645"/>
    <cellStyle name="Ergebnis 4" xfId="35646"/>
    <cellStyle name="Ergebnis 4 2" xfId="35647"/>
    <cellStyle name="Ergebnis 5" xfId="35648"/>
    <cellStyle name="Erklärender Text" xfId="35649"/>
    <cellStyle name="Euro" xfId="35650"/>
    <cellStyle name="Excel Built-in Comma [0]" xfId="35651"/>
    <cellStyle name="Excel Built-in Normal" xfId="35652"/>
    <cellStyle name="Excel Built-in Normal 1" xfId="35653"/>
    <cellStyle name="Excel Built-in Normal 2" xfId="35654"/>
    <cellStyle name="Excel Built-in Normal 2 2" xfId="35655"/>
    <cellStyle name="Excel Built-in Normal 2 3" xfId="35656"/>
    <cellStyle name="Excel Built-in Normal 2 4" xfId="35657"/>
    <cellStyle name="Excel Built-in Normal 2 5" xfId="35658"/>
    <cellStyle name="Excel Built-in Normal 2 6" xfId="35659"/>
    <cellStyle name="Excel Built-in Normal 2 7" xfId="35660"/>
    <cellStyle name="Excel Built-in Normal 2_PM Okt 2014 Plan VS Actual Planning Workshop" xfId="35661"/>
    <cellStyle name="Excel Built-in Normal 3" xfId="35662"/>
    <cellStyle name="Excel Built-in Normal 3 2" xfId="35663"/>
    <cellStyle name="Excel Built-in Normal 3 3" xfId="35664"/>
    <cellStyle name="Excel Built-in Normal 3 4" xfId="35665"/>
    <cellStyle name="Excel Built-in Normal 3 5" xfId="35666"/>
    <cellStyle name="Excel Built-in Normal 3 6" xfId="35667"/>
    <cellStyle name="Excel Built-in Normal 3 7" xfId="35668"/>
    <cellStyle name="Excel Built-in Normal 3_PM Okt 2014 Plan VS Actual Planning Workshop" xfId="35669"/>
    <cellStyle name="Excel Built-in Normal 4" xfId="35670"/>
    <cellStyle name="Excel Built-in Normal 4 2" xfId="35671"/>
    <cellStyle name="Excel Built-in Normal 5" xfId="35672"/>
    <cellStyle name="Excel Built-in Normal 6" xfId="35673"/>
    <cellStyle name="Excel Built-in Normal 7" xfId="35674"/>
    <cellStyle name="Excel Built-in Normal 8" xfId="35675"/>
    <cellStyle name="Excel Built-in Normal_Data Fixed Asset Trucking Oktober 2014" xfId="35676"/>
    <cellStyle name="Explanatory Text 10" xfId="35677"/>
    <cellStyle name="Explanatory Text 10 2" xfId="35678"/>
    <cellStyle name="Explanatory Text 10 3" xfId="35679"/>
    <cellStyle name="Explanatory Text 11" xfId="35680"/>
    <cellStyle name="Explanatory Text 11 2" xfId="35681"/>
    <cellStyle name="Explanatory Text 11 3" xfId="35682"/>
    <cellStyle name="Explanatory Text 12" xfId="35683"/>
    <cellStyle name="Explanatory Text 12 2" xfId="35684"/>
    <cellStyle name="Explanatory Text 12 3" xfId="35685"/>
    <cellStyle name="Explanatory Text 13" xfId="35686"/>
    <cellStyle name="Explanatory Text 13 2" xfId="35687"/>
    <cellStyle name="Explanatory Text 13 3" xfId="35688"/>
    <cellStyle name="Explanatory Text 14" xfId="35689"/>
    <cellStyle name="Explanatory Text 14 2" xfId="35690"/>
    <cellStyle name="Explanatory Text 14 3" xfId="35691"/>
    <cellStyle name="Explanatory Text 15" xfId="35692"/>
    <cellStyle name="Explanatory Text 15 2" xfId="35693"/>
    <cellStyle name="Explanatory Text 15 3" xfId="35694"/>
    <cellStyle name="Explanatory Text 16" xfId="35695"/>
    <cellStyle name="Explanatory Text 16 2" xfId="35696"/>
    <cellStyle name="Explanatory Text 16 3" xfId="35697"/>
    <cellStyle name="Explanatory Text 17" xfId="35698"/>
    <cellStyle name="Explanatory Text 17 2" xfId="35699"/>
    <cellStyle name="Explanatory Text 17 3" xfId="35700"/>
    <cellStyle name="Explanatory Text 18" xfId="35701"/>
    <cellStyle name="Explanatory Text 18 2" xfId="35702"/>
    <cellStyle name="Explanatory Text 18 3" xfId="35703"/>
    <cellStyle name="Explanatory Text 19" xfId="35704"/>
    <cellStyle name="Explanatory Text 2" xfId="35705"/>
    <cellStyle name="Explanatory Text 2 2" xfId="35706"/>
    <cellStyle name="Explanatory Text 2 2 2" xfId="35707"/>
    <cellStyle name="Explanatory Text 2 2 2 2" xfId="35708"/>
    <cellStyle name="Explanatory Text 2 2 2_PM Okt 2014 Plan VS Actual Planning Workshop" xfId="35709"/>
    <cellStyle name="Explanatory Text 2 2 3" xfId="35710"/>
    <cellStyle name="Explanatory Text 2 3" xfId="35711"/>
    <cellStyle name="Explanatory Text 2 3 2" xfId="35712"/>
    <cellStyle name="Explanatory Text 2 3 2 2" xfId="35713"/>
    <cellStyle name="Explanatory Text 2 3 2_PM Okt 2014 Plan VS Actual Planning Workshop" xfId="35714"/>
    <cellStyle name="Explanatory Text 2 3 3" xfId="35715"/>
    <cellStyle name="Explanatory Text 2 4" xfId="35716"/>
    <cellStyle name="Explanatory Text 2 4 2" xfId="35717"/>
    <cellStyle name="Explanatory Text 2 5" xfId="35718"/>
    <cellStyle name="Explanatory Text 3" xfId="35719"/>
    <cellStyle name="Explanatory Text 3 2" xfId="35720"/>
    <cellStyle name="Explanatory Text 3 3" xfId="35721"/>
    <cellStyle name="Explanatory Text 4" xfId="35722"/>
    <cellStyle name="Explanatory Text 4 2" xfId="35723"/>
    <cellStyle name="Explanatory Text 4 3" xfId="35724"/>
    <cellStyle name="Explanatory Text 4 4" xfId="58430"/>
    <cellStyle name="Explanatory Text 5" xfId="35725"/>
    <cellStyle name="Explanatory Text 5 2" xfId="35726"/>
    <cellStyle name="Explanatory Text 5 3" xfId="35727"/>
    <cellStyle name="Explanatory Text 6" xfId="35728"/>
    <cellStyle name="Explanatory Text 6 2" xfId="35729"/>
    <cellStyle name="Explanatory Text 6 3" xfId="35730"/>
    <cellStyle name="Explanatory Text 7" xfId="35731"/>
    <cellStyle name="Explanatory Text 7 2" xfId="35732"/>
    <cellStyle name="Explanatory Text 7 3" xfId="35733"/>
    <cellStyle name="Explanatory Text 8" xfId="35734"/>
    <cellStyle name="Explanatory Text 8 2" xfId="35735"/>
    <cellStyle name="Explanatory Text 8 3" xfId="35736"/>
    <cellStyle name="Explanatory Text 9" xfId="35737"/>
    <cellStyle name="Explanatory Text 9 2" xfId="35738"/>
    <cellStyle name="Explanatory Text 9 3" xfId="35739"/>
    <cellStyle name="F2" xfId="35740"/>
    <cellStyle name="F2 2" xfId="57771"/>
    <cellStyle name="F3" xfId="35741"/>
    <cellStyle name="F3 2" xfId="57772"/>
    <cellStyle name="F4" xfId="35742"/>
    <cellStyle name="F4 2" xfId="57773"/>
    <cellStyle name="F5" xfId="35743"/>
    <cellStyle name="F5 2" xfId="57774"/>
    <cellStyle name="F6" xfId="35744"/>
    <cellStyle name="F6 2" xfId="57775"/>
    <cellStyle name="F7" xfId="35745"/>
    <cellStyle name="F7 2" xfId="57776"/>
    <cellStyle name="F8" xfId="35746"/>
    <cellStyle name="F8 2" xfId="57777"/>
    <cellStyle name="Fill" xfId="58431"/>
    <cellStyle name="Fixed" xfId="35747"/>
    <cellStyle name="Fixed 2" xfId="35748"/>
    <cellStyle name="Fixed 2 2" xfId="58432"/>
    <cellStyle name="Fixed 3" xfId="58433"/>
    <cellStyle name="Footnote" xfId="35749"/>
    <cellStyle name="Format a column of totals" xfId="35750"/>
    <cellStyle name="Format a row of totals" xfId="35751"/>
    <cellStyle name="Format text as bold, black on yellow" xfId="35752"/>
    <cellStyle name="Gaji" xfId="35753"/>
    <cellStyle name="Gaji 2" xfId="35754"/>
    <cellStyle name="Gaji 2 2" xfId="35755"/>
    <cellStyle name="Gaji 3" xfId="57778"/>
    <cellStyle name="garis" xfId="35756"/>
    <cellStyle name="garis 2" xfId="35757"/>
    <cellStyle name="GC data" xfId="35758"/>
    <cellStyle name="general" xfId="35759"/>
    <cellStyle name="GG" xfId="35760"/>
    <cellStyle name="ggggg" xfId="35761"/>
    <cellStyle name="ggggg 2" xfId="57779"/>
    <cellStyle name="Good 10" xfId="35762"/>
    <cellStyle name="Good 10 2" xfId="35763"/>
    <cellStyle name="Good 10 3" xfId="35764"/>
    <cellStyle name="Good 11" xfId="35765"/>
    <cellStyle name="Good 11 2" xfId="35766"/>
    <cellStyle name="Good 11 3" xfId="35767"/>
    <cellStyle name="Good 12" xfId="35768"/>
    <cellStyle name="Good 12 2" xfId="35769"/>
    <cellStyle name="Good 12 3" xfId="35770"/>
    <cellStyle name="Good 13" xfId="35771"/>
    <cellStyle name="Good 13 2" xfId="35772"/>
    <cellStyle name="Good 13 3" xfId="35773"/>
    <cellStyle name="Good 14" xfId="35774"/>
    <cellStyle name="Good 14 2" xfId="35775"/>
    <cellStyle name="Good 14 3" xfId="35776"/>
    <cellStyle name="Good 15" xfId="35777"/>
    <cellStyle name="Good 15 2" xfId="35778"/>
    <cellStyle name="Good 15 3" xfId="35779"/>
    <cellStyle name="Good 16" xfId="35780"/>
    <cellStyle name="Good 16 2" xfId="35781"/>
    <cellStyle name="Good 16 3" xfId="35782"/>
    <cellStyle name="Good 17" xfId="35783"/>
    <cellStyle name="Good 17 2" xfId="35784"/>
    <cellStyle name="Good 17 3" xfId="35785"/>
    <cellStyle name="Good 18" xfId="35786"/>
    <cellStyle name="Good 18 2" xfId="35787"/>
    <cellStyle name="Good 18 3" xfId="35788"/>
    <cellStyle name="Good 19" xfId="35789"/>
    <cellStyle name="Good 2" xfId="35790"/>
    <cellStyle name="Good 2 2" xfId="35791"/>
    <cellStyle name="Good 2 2 2" xfId="35792"/>
    <cellStyle name="Good 2 2 2 2" xfId="35793"/>
    <cellStyle name="Good 2 2 2_PM Okt 2014 Plan VS Actual Planning Workshop" xfId="35794"/>
    <cellStyle name="Good 2 2 3" xfId="35795"/>
    <cellStyle name="Good 2 2 4" xfId="35796"/>
    <cellStyle name="Good 2 3" xfId="35797"/>
    <cellStyle name="Good 2 3 2" xfId="35798"/>
    <cellStyle name="Good 2 3 2 2" xfId="35799"/>
    <cellStyle name="Good 2 3 2_PM Okt 2014 Plan VS Actual Planning Workshop" xfId="35800"/>
    <cellStyle name="Good 2 3 3" xfId="35801"/>
    <cellStyle name="Good 2 4" xfId="35802"/>
    <cellStyle name="Good 2 4 2" xfId="35803"/>
    <cellStyle name="Good 2 5" xfId="35804"/>
    <cellStyle name="Good 2_Copy of PREPAID INSURANCE - ASSETS (deni)" xfId="35805"/>
    <cellStyle name="Good 20" xfId="35806"/>
    <cellStyle name="Good 21" xfId="35807"/>
    <cellStyle name="Good 22" xfId="35808"/>
    <cellStyle name="Good 23" xfId="35809"/>
    <cellStyle name="Good 24" xfId="35810"/>
    <cellStyle name="Good 25" xfId="35811"/>
    <cellStyle name="Good 26" xfId="35812"/>
    <cellStyle name="Good 27" xfId="35813"/>
    <cellStyle name="Good 28" xfId="35814"/>
    <cellStyle name="Good 29" xfId="35815"/>
    <cellStyle name="Good 3" xfId="35816"/>
    <cellStyle name="Good 3 2" xfId="35817"/>
    <cellStyle name="Good 3 3" xfId="35818"/>
    <cellStyle name="Good 30" xfId="35819"/>
    <cellStyle name="Good 31" xfId="35820"/>
    <cellStyle name="Good 32" xfId="35821"/>
    <cellStyle name="Good 33" xfId="35822"/>
    <cellStyle name="Good 34" xfId="35823"/>
    <cellStyle name="Good 35" xfId="35824"/>
    <cellStyle name="Good 36" xfId="35825"/>
    <cellStyle name="Good 37" xfId="35826"/>
    <cellStyle name="Good 38" xfId="35827"/>
    <cellStyle name="Good 39" xfId="35828"/>
    <cellStyle name="Good 4" xfId="35829"/>
    <cellStyle name="Good 4 2" xfId="35830"/>
    <cellStyle name="Good 4 3" xfId="35831"/>
    <cellStyle name="Good 4 4" xfId="58434"/>
    <cellStyle name="Good 40" xfId="35832"/>
    <cellStyle name="Good 41" xfId="35833"/>
    <cellStyle name="Good 42" xfId="35834"/>
    <cellStyle name="Good 43" xfId="35835"/>
    <cellStyle name="Good 44" xfId="35836"/>
    <cellStyle name="Good 45" xfId="35837"/>
    <cellStyle name="Good 46" xfId="35838"/>
    <cellStyle name="Good 47" xfId="35839"/>
    <cellStyle name="Good 48" xfId="35840"/>
    <cellStyle name="Good 49" xfId="35841"/>
    <cellStyle name="Good 5" xfId="35842"/>
    <cellStyle name="Good 5 2" xfId="35843"/>
    <cellStyle name="Good 5 3" xfId="35844"/>
    <cellStyle name="Good 50" xfId="35845"/>
    <cellStyle name="Good 51" xfId="35846"/>
    <cellStyle name="Good 52" xfId="35847"/>
    <cellStyle name="Good 53" xfId="35848"/>
    <cellStyle name="Good 54" xfId="35849"/>
    <cellStyle name="Good 55" xfId="35850"/>
    <cellStyle name="Good 56" xfId="35851"/>
    <cellStyle name="Good 57" xfId="35852"/>
    <cellStyle name="Good 58" xfId="35853"/>
    <cellStyle name="Good 59" xfId="35854"/>
    <cellStyle name="Good 6" xfId="35855"/>
    <cellStyle name="Good 6 2" xfId="35856"/>
    <cellStyle name="Good 6 3" xfId="35857"/>
    <cellStyle name="Good 60" xfId="35858"/>
    <cellStyle name="Good 61" xfId="35859"/>
    <cellStyle name="Good 7" xfId="35860"/>
    <cellStyle name="Good 7 2" xfId="35861"/>
    <cellStyle name="Good 7 3" xfId="35862"/>
    <cellStyle name="Good 8" xfId="35863"/>
    <cellStyle name="Good 8 2" xfId="35864"/>
    <cellStyle name="Good 8 3" xfId="35865"/>
    <cellStyle name="Good 9" xfId="35866"/>
    <cellStyle name="Good 9 2" xfId="35867"/>
    <cellStyle name="Good 9 3" xfId="35868"/>
    <cellStyle name="Grey" xfId="35869"/>
    <cellStyle name="Grey 2" xfId="35870"/>
    <cellStyle name="Grey 3" xfId="35871"/>
    <cellStyle name="Grey 4" xfId="35872"/>
    <cellStyle name="Grey 5" xfId="35873"/>
    <cellStyle name="Grey 6" xfId="35874"/>
    <cellStyle name="Gut" xfId="35875"/>
    <cellStyle name="hard no" xfId="35876"/>
    <cellStyle name="hard no 2" xfId="57780"/>
    <cellStyle name="Hard Percent" xfId="35877"/>
    <cellStyle name="Hard Percent 2" xfId="35878"/>
    <cellStyle name="Hard Percent 2 2" xfId="35879"/>
    <cellStyle name="Hard Percent 2 3" xfId="35880"/>
    <cellStyle name="Hard Percent 3" xfId="35881"/>
    <cellStyle name="Hard Percent 3 2" xfId="35882"/>
    <cellStyle name="Hard Percent 4" xfId="35883"/>
    <cellStyle name="Hard Percent 4 2" xfId="35884"/>
    <cellStyle name="Hard Percent 5" xfId="35885"/>
    <cellStyle name="Hard Percent 5 2" xfId="35886"/>
    <cellStyle name="Hard Percent 6" xfId="35887"/>
    <cellStyle name="Hard Percent 6 2" xfId="35888"/>
    <cellStyle name="HDR" xfId="35889"/>
    <cellStyle name="HDR 2" xfId="57781"/>
    <cellStyle name="Head1" xfId="35890"/>
    <cellStyle name="Header" xfId="35891"/>
    <cellStyle name="Header - Style1" xfId="35892"/>
    <cellStyle name="header1" xfId="35893"/>
    <cellStyle name="Header1 2" xfId="57782"/>
    <cellStyle name="header2" xfId="35894"/>
    <cellStyle name="header2 2" xfId="35895"/>
    <cellStyle name="header2 2 2" xfId="35896"/>
    <cellStyle name="header2 2 3" xfId="35897"/>
    <cellStyle name="header2 3" xfId="35898"/>
    <cellStyle name="Header2 4" xfId="57783"/>
    <cellStyle name="Heading" xfId="35899"/>
    <cellStyle name="Heading 1 1" xfId="35900"/>
    <cellStyle name="Heading 1 1 1" xfId="35901"/>
    <cellStyle name="Heading 1 1 2" xfId="35902"/>
    <cellStyle name="Heading 1 10" xfId="35903"/>
    <cellStyle name="Heading 1 10 2" xfId="35904"/>
    <cellStyle name="Heading 1 10 3" xfId="35905"/>
    <cellStyle name="Heading 1 11" xfId="35906"/>
    <cellStyle name="Heading 1 11 2" xfId="35907"/>
    <cellStyle name="Heading 1 11 3" xfId="35908"/>
    <cellStyle name="Heading 1 12" xfId="35909"/>
    <cellStyle name="Heading 1 12 2" xfId="35910"/>
    <cellStyle name="Heading 1 12 3" xfId="35911"/>
    <cellStyle name="Heading 1 13" xfId="35912"/>
    <cellStyle name="Heading 1 13 2" xfId="35913"/>
    <cellStyle name="Heading 1 13 3" xfId="35914"/>
    <cellStyle name="Heading 1 14" xfId="35915"/>
    <cellStyle name="Heading 1 14 2" xfId="35916"/>
    <cellStyle name="Heading 1 14 3" xfId="35917"/>
    <cellStyle name="Heading 1 15" xfId="35918"/>
    <cellStyle name="Heading 1 15 2" xfId="35919"/>
    <cellStyle name="Heading 1 15 3" xfId="35920"/>
    <cellStyle name="Heading 1 16" xfId="35921"/>
    <cellStyle name="Heading 1 16 2" xfId="35922"/>
    <cellStyle name="Heading 1 16 3" xfId="35923"/>
    <cellStyle name="Heading 1 17" xfId="35924"/>
    <cellStyle name="Heading 1 17 2" xfId="35925"/>
    <cellStyle name="Heading 1 17 3" xfId="35926"/>
    <cellStyle name="Heading 1 18" xfId="35927"/>
    <cellStyle name="Heading 1 18 2" xfId="35928"/>
    <cellStyle name="Heading 1 18 3" xfId="35929"/>
    <cellStyle name="Heading 1 19" xfId="35930"/>
    <cellStyle name="Heading 1 2" xfId="35931"/>
    <cellStyle name="Heading 1 2 2" xfId="35932"/>
    <cellStyle name="Heading 1 2 2 2" xfId="35933"/>
    <cellStyle name="Heading 1 2 2 2 2" xfId="35934"/>
    <cellStyle name="Heading 1 2 2 2_PM Okt 2014 Plan VS Actual Planning Workshop" xfId="35935"/>
    <cellStyle name="Heading 1 2 2 3" xfId="35936"/>
    <cellStyle name="Heading 1 2 2 4" xfId="35937"/>
    <cellStyle name="Heading 1 2 2_Format Template Preventive Maintenance" xfId="35938"/>
    <cellStyle name="Heading 1 2 3" xfId="35939"/>
    <cellStyle name="Heading 1 2 3 2" xfId="35940"/>
    <cellStyle name="Heading 1 2 3 2 2" xfId="35941"/>
    <cellStyle name="Heading 1 2 3 2_PM Okt 2014 Plan VS Actual Planning Workshop" xfId="35942"/>
    <cellStyle name="Heading 1 2 3 3" xfId="35943"/>
    <cellStyle name="Heading 1 2 3_Format Template Preventive Maintenance" xfId="35944"/>
    <cellStyle name="Heading 1 2 4" xfId="35945"/>
    <cellStyle name="Heading 1 2 4 2" xfId="35946"/>
    <cellStyle name="Heading 1 2 5" xfId="35947"/>
    <cellStyle name="Heading 1 2 6" xfId="57784"/>
    <cellStyle name="Heading 1 2_Caje 2011 (prepaid Rent Asset)" xfId="35948"/>
    <cellStyle name="Heading 1 20" xfId="35949"/>
    <cellStyle name="Heading 1 21" xfId="35950"/>
    <cellStyle name="Heading 1 22" xfId="35951"/>
    <cellStyle name="Heading 1 23" xfId="35952"/>
    <cellStyle name="Heading 1 24" xfId="35953"/>
    <cellStyle name="Heading 1 25" xfId="35954"/>
    <cellStyle name="Heading 1 26" xfId="35955"/>
    <cellStyle name="Heading 1 27" xfId="35956"/>
    <cellStyle name="Heading 1 28" xfId="35957"/>
    <cellStyle name="Heading 1 29" xfId="35958"/>
    <cellStyle name="Heading 1 3" xfId="35959"/>
    <cellStyle name="Heading 1 3 2" xfId="35960"/>
    <cellStyle name="Heading 1 3 3" xfId="35961"/>
    <cellStyle name="Heading 1 30" xfId="35962"/>
    <cellStyle name="Heading 1 31" xfId="35963"/>
    <cellStyle name="Heading 1 32" xfId="35964"/>
    <cellStyle name="Heading 1 33" xfId="35965"/>
    <cellStyle name="Heading 1 34" xfId="35966"/>
    <cellStyle name="Heading 1 35" xfId="35967"/>
    <cellStyle name="Heading 1 36" xfId="35968"/>
    <cellStyle name="Heading 1 37" xfId="35969"/>
    <cellStyle name="Heading 1 38" xfId="35970"/>
    <cellStyle name="Heading 1 39" xfId="35971"/>
    <cellStyle name="Heading 1 4" xfId="35972"/>
    <cellStyle name="Heading 1 4 2" xfId="35973"/>
    <cellStyle name="Heading 1 4 3" xfId="35974"/>
    <cellStyle name="Heading 1 4 4" xfId="58435"/>
    <cellStyle name="Heading 1 40" xfId="35975"/>
    <cellStyle name="Heading 1 41" xfId="35976"/>
    <cellStyle name="Heading 1 42" xfId="35977"/>
    <cellStyle name="Heading 1 43" xfId="35978"/>
    <cellStyle name="Heading 1 44" xfId="35979"/>
    <cellStyle name="Heading 1 45" xfId="35980"/>
    <cellStyle name="Heading 1 46" xfId="35981"/>
    <cellStyle name="Heading 1 47" xfId="35982"/>
    <cellStyle name="Heading 1 48" xfId="35983"/>
    <cellStyle name="Heading 1 49" xfId="35984"/>
    <cellStyle name="Heading 1 5" xfId="35985"/>
    <cellStyle name="Heading 1 5 2" xfId="35986"/>
    <cellStyle name="Heading 1 5 3" xfId="35987"/>
    <cellStyle name="Heading 1 50" xfId="35988"/>
    <cellStyle name="Heading 1 51" xfId="35989"/>
    <cellStyle name="Heading 1 52" xfId="35990"/>
    <cellStyle name="Heading 1 53" xfId="35991"/>
    <cellStyle name="Heading 1 6" xfId="35992"/>
    <cellStyle name="Heading 1 6 2" xfId="35993"/>
    <cellStyle name="Heading 1 6 3" xfId="35994"/>
    <cellStyle name="Heading 1 7" xfId="35995"/>
    <cellStyle name="Heading 1 7 2" xfId="35996"/>
    <cellStyle name="Heading 1 7 3" xfId="35997"/>
    <cellStyle name="Heading 1 8" xfId="35998"/>
    <cellStyle name="Heading 1 8 2" xfId="35999"/>
    <cellStyle name="Heading 1 8 3" xfId="36000"/>
    <cellStyle name="Heading 1 9" xfId="36001"/>
    <cellStyle name="Heading 1 9 2" xfId="36002"/>
    <cellStyle name="Heading 1 9 3" xfId="36003"/>
    <cellStyle name="Heading 2 10" xfId="36004"/>
    <cellStyle name="Heading 2 10 2" xfId="36005"/>
    <cellStyle name="Heading 2 10 3" xfId="36006"/>
    <cellStyle name="Heading 2 11" xfId="36007"/>
    <cellStyle name="Heading 2 11 2" xfId="36008"/>
    <cellStyle name="Heading 2 11 3" xfId="36009"/>
    <cellStyle name="Heading 2 12" xfId="36010"/>
    <cellStyle name="Heading 2 12 2" xfId="36011"/>
    <cellStyle name="Heading 2 12 3" xfId="36012"/>
    <cellStyle name="Heading 2 13" xfId="36013"/>
    <cellStyle name="Heading 2 13 2" xfId="36014"/>
    <cellStyle name="Heading 2 13 3" xfId="36015"/>
    <cellStyle name="Heading 2 14" xfId="36016"/>
    <cellStyle name="Heading 2 14 2" xfId="36017"/>
    <cellStyle name="Heading 2 14 3" xfId="36018"/>
    <cellStyle name="Heading 2 15" xfId="36019"/>
    <cellStyle name="Heading 2 15 2" xfId="36020"/>
    <cellStyle name="Heading 2 15 3" xfId="36021"/>
    <cellStyle name="Heading 2 16" xfId="36022"/>
    <cellStyle name="Heading 2 16 2" xfId="36023"/>
    <cellStyle name="Heading 2 16 3" xfId="36024"/>
    <cellStyle name="Heading 2 17" xfId="36025"/>
    <cellStyle name="Heading 2 17 2" xfId="36026"/>
    <cellStyle name="Heading 2 17 3" xfId="36027"/>
    <cellStyle name="Heading 2 18" xfId="36028"/>
    <cellStyle name="Heading 2 18 2" xfId="36029"/>
    <cellStyle name="Heading 2 18 3" xfId="36030"/>
    <cellStyle name="Heading 2 19" xfId="36031"/>
    <cellStyle name="Heading 2 2" xfId="36032"/>
    <cellStyle name="Heading 2 2 2" xfId="36033"/>
    <cellStyle name="Heading 2 2 2 2" xfId="36034"/>
    <cellStyle name="Heading 2 2 2 2 2" xfId="36035"/>
    <cellStyle name="Heading 2 2 2 2_PM Okt 2014 Plan VS Actual Planning Workshop" xfId="36036"/>
    <cellStyle name="Heading 2 2 2 3" xfId="36037"/>
    <cellStyle name="Heading 2 2 2 4" xfId="36038"/>
    <cellStyle name="Heading 2 2 2_Format Template Preventive Maintenance" xfId="36039"/>
    <cellStyle name="Heading 2 2 3" xfId="36040"/>
    <cellStyle name="Heading 2 2 3 2" xfId="36041"/>
    <cellStyle name="Heading 2 2 3 2 2" xfId="36042"/>
    <cellStyle name="Heading 2 2 3 2_PM Okt 2014 Plan VS Actual Planning Workshop" xfId="36043"/>
    <cellStyle name="Heading 2 2 3 3" xfId="36044"/>
    <cellStyle name="Heading 2 2 3_Format Template Preventive Maintenance" xfId="36045"/>
    <cellStyle name="Heading 2 2 4" xfId="36046"/>
    <cellStyle name="Heading 2 2 4 2" xfId="36047"/>
    <cellStyle name="Heading 2 2 5" xfId="36048"/>
    <cellStyle name="Heading 2 2 6" xfId="57785"/>
    <cellStyle name="Heading 2 2_Caje 2011 (prepaid Rent Asset)" xfId="36049"/>
    <cellStyle name="Heading 2 20" xfId="36050"/>
    <cellStyle name="Heading 2 21" xfId="36051"/>
    <cellStyle name="Heading 2 22" xfId="36052"/>
    <cellStyle name="Heading 2 23" xfId="36053"/>
    <cellStyle name="Heading 2 24" xfId="36054"/>
    <cellStyle name="Heading 2 25" xfId="36055"/>
    <cellStyle name="Heading 2 26" xfId="36056"/>
    <cellStyle name="Heading 2 27" xfId="36057"/>
    <cellStyle name="Heading 2 28" xfId="36058"/>
    <cellStyle name="Heading 2 29" xfId="36059"/>
    <cellStyle name="Heading 2 3" xfId="36060"/>
    <cellStyle name="Heading 2 3 2" xfId="36061"/>
    <cellStyle name="Heading 2 3 3" xfId="36062"/>
    <cellStyle name="Heading 2 30" xfId="36063"/>
    <cellStyle name="Heading 2 31" xfId="36064"/>
    <cellStyle name="Heading 2 32" xfId="36065"/>
    <cellStyle name="Heading 2 33" xfId="36066"/>
    <cellStyle name="Heading 2 34" xfId="36067"/>
    <cellStyle name="Heading 2 35" xfId="36068"/>
    <cellStyle name="Heading 2 36" xfId="36069"/>
    <cellStyle name="Heading 2 37" xfId="36070"/>
    <cellStyle name="Heading 2 38" xfId="36071"/>
    <cellStyle name="Heading 2 39" xfId="36072"/>
    <cellStyle name="Heading 2 4" xfId="36073"/>
    <cellStyle name="Heading 2 4 2" xfId="36074"/>
    <cellStyle name="Heading 2 4 3" xfId="36075"/>
    <cellStyle name="Heading 2 4 4" xfId="58436"/>
    <cellStyle name="Heading 2 40" xfId="36076"/>
    <cellStyle name="Heading 2 41" xfId="36077"/>
    <cellStyle name="Heading 2 42" xfId="36078"/>
    <cellStyle name="Heading 2 43" xfId="36079"/>
    <cellStyle name="Heading 2 44" xfId="36080"/>
    <cellStyle name="Heading 2 45" xfId="36081"/>
    <cellStyle name="Heading 2 46" xfId="36082"/>
    <cellStyle name="Heading 2 47" xfId="36083"/>
    <cellStyle name="Heading 2 48" xfId="36084"/>
    <cellStyle name="Heading 2 49" xfId="36085"/>
    <cellStyle name="Heading 2 5" xfId="36086"/>
    <cellStyle name="Heading 2 5 2" xfId="36087"/>
    <cellStyle name="Heading 2 5 3" xfId="36088"/>
    <cellStyle name="Heading 2 50" xfId="36089"/>
    <cellStyle name="Heading 2 51" xfId="36090"/>
    <cellStyle name="Heading 2 52" xfId="36091"/>
    <cellStyle name="Heading 2 53" xfId="36092"/>
    <cellStyle name="Heading 2 6" xfId="36093"/>
    <cellStyle name="Heading 2 6 2" xfId="36094"/>
    <cellStyle name="Heading 2 6 3" xfId="36095"/>
    <cellStyle name="Heading 2 7" xfId="36096"/>
    <cellStyle name="Heading 2 7 2" xfId="36097"/>
    <cellStyle name="Heading 2 7 3" xfId="36098"/>
    <cellStyle name="Heading 2 8" xfId="36099"/>
    <cellStyle name="Heading 2 8 2" xfId="36100"/>
    <cellStyle name="Heading 2 8 3" xfId="36101"/>
    <cellStyle name="Heading 2 9" xfId="36102"/>
    <cellStyle name="Heading 2 9 2" xfId="36103"/>
    <cellStyle name="Heading 2 9 3" xfId="36104"/>
    <cellStyle name="Heading 3 10" xfId="36105"/>
    <cellStyle name="Heading 3 10 2" xfId="36106"/>
    <cellStyle name="Heading 3 10 3" xfId="36107"/>
    <cellStyle name="Heading 3 11" xfId="36108"/>
    <cellStyle name="Heading 3 11 2" xfId="36109"/>
    <cellStyle name="Heading 3 11 3" xfId="36110"/>
    <cellStyle name="Heading 3 12" xfId="36111"/>
    <cellStyle name="Heading 3 12 2" xfId="36112"/>
    <cellStyle name="Heading 3 12 3" xfId="36113"/>
    <cellStyle name="Heading 3 13" xfId="36114"/>
    <cellStyle name="Heading 3 13 2" xfId="36115"/>
    <cellStyle name="Heading 3 13 3" xfId="36116"/>
    <cellStyle name="Heading 3 14" xfId="36117"/>
    <cellStyle name="Heading 3 14 2" xfId="36118"/>
    <cellStyle name="Heading 3 14 3" xfId="36119"/>
    <cellStyle name="Heading 3 15" xfId="36120"/>
    <cellStyle name="Heading 3 15 2" xfId="36121"/>
    <cellStyle name="Heading 3 15 3" xfId="36122"/>
    <cellStyle name="Heading 3 16" xfId="36123"/>
    <cellStyle name="Heading 3 16 2" xfId="36124"/>
    <cellStyle name="Heading 3 16 3" xfId="36125"/>
    <cellStyle name="Heading 3 17" xfId="36126"/>
    <cellStyle name="Heading 3 17 2" xfId="36127"/>
    <cellStyle name="Heading 3 17 3" xfId="36128"/>
    <cellStyle name="Heading 3 18" xfId="36129"/>
    <cellStyle name="Heading 3 18 2" xfId="36130"/>
    <cellStyle name="Heading 3 18 3" xfId="36131"/>
    <cellStyle name="Heading 3 19" xfId="36132"/>
    <cellStyle name="Heading 3 2" xfId="36133"/>
    <cellStyle name="Heading 3 2 2" xfId="36134"/>
    <cellStyle name="Heading 3 2 2 2" xfId="36135"/>
    <cellStyle name="Heading 3 2 2 2 2" xfId="36136"/>
    <cellStyle name="Heading 3 2 2 2_PM Okt 2014 Plan VS Actual Planning Workshop" xfId="36137"/>
    <cellStyle name="Heading 3 2 2 3" xfId="36138"/>
    <cellStyle name="Heading 3 2 2 4" xfId="36139"/>
    <cellStyle name="Heading 3 2 2_Format Template Preventive Maintenance" xfId="36140"/>
    <cellStyle name="Heading 3 2 3" xfId="36141"/>
    <cellStyle name="Heading 3 2 3 2" xfId="36142"/>
    <cellStyle name="Heading 3 2 3 2 2" xfId="36143"/>
    <cellStyle name="Heading 3 2 3 2_PM Okt 2014 Plan VS Actual Planning Workshop" xfId="36144"/>
    <cellStyle name="Heading 3 2 3 3" xfId="36145"/>
    <cellStyle name="Heading 3 2 3_Format Template Preventive Maintenance" xfId="36146"/>
    <cellStyle name="Heading 3 2 4" xfId="36147"/>
    <cellStyle name="Heading 3 2 4 2" xfId="36148"/>
    <cellStyle name="Heading 3 2 5" xfId="36149"/>
    <cellStyle name="Heading 3 2 5 2" xfId="36150"/>
    <cellStyle name="Heading 3 2 6" xfId="57786"/>
    <cellStyle name="Heading 3 2_Caje 2011 (prepaid Rent Asset)" xfId="36151"/>
    <cellStyle name="Heading 3 20" xfId="36152"/>
    <cellStyle name="Heading 3 21" xfId="36153"/>
    <cellStyle name="Heading 3 22" xfId="36154"/>
    <cellStyle name="Heading 3 23" xfId="36155"/>
    <cellStyle name="Heading 3 24" xfId="36156"/>
    <cellStyle name="Heading 3 25" xfId="36157"/>
    <cellStyle name="Heading 3 26" xfId="36158"/>
    <cellStyle name="Heading 3 27" xfId="36159"/>
    <cellStyle name="Heading 3 28" xfId="36160"/>
    <cellStyle name="Heading 3 29" xfId="36161"/>
    <cellStyle name="Heading 3 3" xfId="36162"/>
    <cellStyle name="Heading 3 3 2" xfId="36163"/>
    <cellStyle name="Heading 3 3 2 2" xfId="36164"/>
    <cellStyle name="Heading 3 3 2 3" xfId="58437"/>
    <cellStyle name="Heading 3 3 3" xfId="36165"/>
    <cellStyle name="Heading 3 3 4" xfId="57787"/>
    <cellStyle name="Heading 3 30" xfId="36166"/>
    <cellStyle name="Heading 3 31" xfId="36167"/>
    <cellStyle name="Heading 3 32" xfId="36168"/>
    <cellStyle name="Heading 3 33" xfId="36169"/>
    <cellStyle name="Heading 3 34" xfId="36170"/>
    <cellStyle name="Heading 3 35" xfId="36171"/>
    <cellStyle name="Heading 3 36" xfId="36172"/>
    <cellStyle name="Heading 3 37" xfId="36173"/>
    <cellStyle name="Heading 3 38" xfId="36174"/>
    <cellStyle name="Heading 3 39" xfId="36175"/>
    <cellStyle name="Heading 3 4" xfId="36176"/>
    <cellStyle name="Heading 3 4 2" xfId="36177"/>
    <cellStyle name="Heading 3 4 2 2" xfId="58438"/>
    <cellStyle name="Heading 3 4 3" xfId="36178"/>
    <cellStyle name="Heading 3 4 4" xfId="58439"/>
    <cellStyle name="Heading 3 40" xfId="36179"/>
    <cellStyle name="Heading 3 41" xfId="36180"/>
    <cellStyle name="Heading 3 42" xfId="36181"/>
    <cellStyle name="Heading 3 43" xfId="36182"/>
    <cellStyle name="Heading 3 44" xfId="36183"/>
    <cellStyle name="Heading 3 45" xfId="36184"/>
    <cellStyle name="Heading 3 46" xfId="36185"/>
    <cellStyle name="Heading 3 47" xfId="36186"/>
    <cellStyle name="Heading 3 48" xfId="36187"/>
    <cellStyle name="Heading 3 49" xfId="36188"/>
    <cellStyle name="Heading 3 5" xfId="36189"/>
    <cellStyle name="Heading 3 5 2" xfId="36190"/>
    <cellStyle name="Heading 3 5 3" xfId="36191"/>
    <cellStyle name="Heading 3 5 4" xfId="58440"/>
    <cellStyle name="Heading 3 50" xfId="36192"/>
    <cellStyle name="Heading 3 51" xfId="36193"/>
    <cellStyle name="Heading 3 52" xfId="36194"/>
    <cellStyle name="Heading 3 53" xfId="36195"/>
    <cellStyle name="Heading 3 6" xfId="36196"/>
    <cellStyle name="Heading 3 6 2" xfId="36197"/>
    <cellStyle name="Heading 3 6 3" xfId="36198"/>
    <cellStyle name="Heading 3 7" xfId="36199"/>
    <cellStyle name="Heading 3 7 2" xfId="36200"/>
    <cellStyle name="Heading 3 7 3" xfId="36201"/>
    <cellStyle name="Heading 3 8" xfId="36202"/>
    <cellStyle name="Heading 3 8 2" xfId="36203"/>
    <cellStyle name="Heading 3 8 3" xfId="36204"/>
    <cellStyle name="Heading 3 9" xfId="36205"/>
    <cellStyle name="Heading 3 9 2" xfId="36206"/>
    <cellStyle name="Heading 3 9 3" xfId="36207"/>
    <cellStyle name="Heading 4 10" xfId="36208"/>
    <cellStyle name="Heading 4 10 2" xfId="36209"/>
    <cellStyle name="Heading 4 10 3" xfId="36210"/>
    <cellStyle name="Heading 4 11" xfId="36211"/>
    <cellStyle name="Heading 4 11 2" xfId="36212"/>
    <cellStyle name="Heading 4 11 3" xfId="36213"/>
    <cellStyle name="Heading 4 12" xfId="36214"/>
    <cellStyle name="Heading 4 12 2" xfId="36215"/>
    <cellStyle name="Heading 4 12 3" xfId="36216"/>
    <cellStyle name="Heading 4 13" xfId="36217"/>
    <cellStyle name="Heading 4 13 2" xfId="36218"/>
    <cellStyle name="Heading 4 13 3" xfId="36219"/>
    <cellStyle name="Heading 4 14" xfId="36220"/>
    <cellStyle name="Heading 4 14 2" xfId="36221"/>
    <cellStyle name="Heading 4 14 3" xfId="36222"/>
    <cellStyle name="Heading 4 15" xfId="36223"/>
    <cellStyle name="Heading 4 15 2" xfId="36224"/>
    <cellStyle name="Heading 4 15 3" xfId="36225"/>
    <cellStyle name="Heading 4 16" xfId="36226"/>
    <cellStyle name="Heading 4 16 2" xfId="36227"/>
    <cellStyle name="Heading 4 16 3" xfId="36228"/>
    <cellStyle name="Heading 4 17" xfId="36229"/>
    <cellStyle name="Heading 4 17 2" xfId="36230"/>
    <cellStyle name="Heading 4 17 3" xfId="36231"/>
    <cellStyle name="Heading 4 18" xfId="36232"/>
    <cellStyle name="Heading 4 18 2" xfId="36233"/>
    <cellStyle name="Heading 4 18 3" xfId="36234"/>
    <cellStyle name="Heading 4 19" xfId="36235"/>
    <cellStyle name="Heading 4 2" xfId="36236"/>
    <cellStyle name="Heading 4 2 2" xfId="36237"/>
    <cellStyle name="Heading 4 2 2 2" xfId="36238"/>
    <cellStyle name="Heading 4 2 2 2 2" xfId="36239"/>
    <cellStyle name="Heading 4 2 2 2_PM Okt 2014 Plan VS Actual Planning Workshop" xfId="36240"/>
    <cellStyle name="Heading 4 2 2 3" xfId="36241"/>
    <cellStyle name="Heading 4 2 2 4" xfId="36242"/>
    <cellStyle name="Heading 4 2 3" xfId="36243"/>
    <cellStyle name="Heading 4 2 3 2" xfId="36244"/>
    <cellStyle name="Heading 4 2 3 2 2" xfId="36245"/>
    <cellStyle name="Heading 4 2 3 2_PM Okt 2014 Plan VS Actual Planning Workshop" xfId="36246"/>
    <cellStyle name="Heading 4 2 3 3" xfId="36247"/>
    <cellStyle name="Heading 4 2 4" xfId="36248"/>
    <cellStyle name="Heading 4 2 4 2" xfId="36249"/>
    <cellStyle name="Heading 4 2 5" xfId="36250"/>
    <cellStyle name="Heading 4 20" xfId="36251"/>
    <cellStyle name="Heading 4 21" xfId="36252"/>
    <cellStyle name="Heading 4 22" xfId="36253"/>
    <cellStyle name="Heading 4 23" xfId="36254"/>
    <cellStyle name="Heading 4 24" xfId="36255"/>
    <cellStyle name="Heading 4 25" xfId="36256"/>
    <cellStyle name="Heading 4 26" xfId="36257"/>
    <cellStyle name="Heading 4 27" xfId="36258"/>
    <cellStyle name="Heading 4 28" xfId="36259"/>
    <cellStyle name="Heading 4 29" xfId="36260"/>
    <cellStyle name="Heading 4 3" xfId="36261"/>
    <cellStyle name="Heading 4 3 2" xfId="36262"/>
    <cellStyle name="Heading 4 3 3" xfId="36263"/>
    <cellStyle name="Heading 4 30" xfId="36264"/>
    <cellStyle name="Heading 4 31" xfId="36265"/>
    <cellStyle name="Heading 4 32" xfId="36266"/>
    <cellStyle name="Heading 4 33" xfId="36267"/>
    <cellStyle name="Heading 4 34" xfId="36268"/>
    <cellStyle name="Heading 4 35" xfId="36269"/>
    <cellStyle name="Heading 4 36" xfId="36270"/>
    <cellStyle name="Heading 4 37" xfId="36271"/>
    <cellStyle name="Heading 4 38" xfId="36272"/>
    <cellStyle name="Heading 4 39" xfId="36273"/>
    <cellStyle name="Heading 4 4" xfId="36274"/>
    <cellStyle name="Heading 4 4 2" xfId="36275"/>
    <cellStyle name="Heading 4 4 3" xfId="36276"/>
    <cellStyle name="Heading 4 4 4" xfId="58441"/>
    <cellStyle name="Heading 4 40" xfId="36277"/>
    <cellStyle name="Heading 4 41" xfId="36278"/>
    <cellStyle name="Heading 4 42" xfId="36279"/>
    <cellStyle name="Heading 4 43" xfId="36280"/>
    <cellStyle name="Heading 4 44" xfId="36281"/>
    <cellStyle name="Heading 4 45" xfId="36282"/>
    <cellStyle name="Heading 4 46" xfId="36283"/>
    <cellStyle name="Heading 4 47" xfId="36284"/>
    <cellStyle name="Heading 4 48" xfId="36285"/>
    <cellStyle name="Heading 4 49" xfId="36286"/>
    <cellStyle name="Heading 4 5" xfId="36287"/>
    <cellStyle name="Heading 4 5 2" xfId="36288"/>
    <cellStyle name="Heading 4 5 3" xfId="36289"/>
    <cellStyle name="Heading 4 50" xfId="36290"/>
    <cellStyle name="Heading 4 51" xfId="36291"/>
    <cellStyle name="Heading 4 52" xfId="36292"/>
    <cellStyle name="Heading 4 53" xfId="36293"/>
    <cellStyle name="Heading 4 6" xfId="36294"/>
    <cellStyle name="Heading 4 6 2" xfId="36295"/>
    <cellStyle name="Heading 4 6 3" xfId="36296"/>
    <cellStyle name="Heading 4 7" xfId="36297"/>
    <cellStyle name="Heading 4 7 2" xfId="36298"/>
    <cellStyle name="Heading 4 7 3" xfId="36299"/>
    <cellStyle name="Heading 4 8" xfId="36300"/>
    <cellStyle name="Heading 4 8 2" xfId="36301"/>
    <cellStyle name="Heading 4 8 3" xfId="36302"/>
    <cellStyle name="Heading 4 9" xfId="36303"/>
    <cellStyle name="Heading 4 9 2" xfId="36304"/>
    <cellStyle name="Heading 4 9 3" xfId="36305"/>
    <cellStyle name="Heading 5" xfId="36306"/>
    <cellStyle name="Heading 5 2" xfId="36307"/>
    <cellStyle name="Heading DateA IvS" xfId="36308"/>
    <cellStyle name="Heading DateE IvS" xfId="36309"/>
    <cellStyle name="Heading IvS" xfId="36310"/>
    <cellStyle name="Heading1" xfId="36311"/>
    <cellStyle name="Heading1 1" xfId="36312"/>
    <cellStyle name="Heading1 1 1" xfId="36313"/>
    <cellStyle name="Heading1 1 2" xfId="36314"/>
    <cellStyle name="Heading1 2" xfId="36315"/>
    <cellStyle name="Heading1 2 2" xfId="36316"/>
    <cellStyle name="Heading1 2 3" xfId="58442"/>
    <cellStyle name="Heading1 3" xfId="36317"/>
    <cellStyle name="Heading1 4" xfId="58443"/>
    <cellStyle name="Heading1_Analisa Investasi Card Micropayment(AFA)" xfId="36318"/>
    <cellStyle name="Heading2" xfId="36319"/>
    <cellStyle name="Heading2 2" xfId="36320"/>
    <cellStyle name="Heading2 2 2" xfId="58444"/>
    <cellStyle name="Heading2 3" xfId="58445"/>
    <cellStyle name="HeadingColumn" xfId="36321"/>
    <cellStyle name="HEADINGS" xfId="36322"/>
    <cellStyle name="HEADINGS 2" xfId="36323"/>
    <cellStyle name="HEADINGS 2 2" xfId="36324"/>
    <cellStyle name="HEADINGS 2 3" xfId="36325"/>
    <cellStyle name="HEADINGS 2 3 2" xfId="36326"/>
    <cellStyle name="HEADINGS 3" xfId="36327"/>
    <cellStyle name="HEADINGS 3 2" xfId="36328"/>
    <cellStyle name="HEADINGSTOP" xfId="36329"/>
    <cellStyle name="HEADINGSTOP 2" xfId="36330"/>
    <cellStyle name="HEADINGSTOP 2 2" xfId="36331"/>
    <cellStyle name="HEADINGSTOP 2 3" xfId="36332"/>
    <cellStyle name="HEADINGSTOP 3" xfId="36333"/>
    <cellStyle name="HeadingYear" xfId="36334"/>
    <cellStyle name="HeadingYear 2" xfId="36335"/>
    <cellStyle name="HPproduct" xfId="36336"/>
    <cellStyle name="hrf besr" xfId="36337"/>
    <cellStyle name="Hyperlink 2" xfId="36338"/>
    <cellStyle name="Hyperlink 2 10" xfId="36339"/>
    <cellStyle name="Hyperlink 2 11" xfId="36340"/>
    <cellStyle name="Hyperlink 2 2" xfId="36341"/>
    <cellStyle name="Hyperlink 2 2 2" xfId="36342"/>
    <cellStyle name="Hyperlink 2 2 3" xfId="36343"/>
    <cellStyle name="Hyperlink 2 2 4" xfId="36344"/>
    <cellStyle name="Hyperlink 2 2 5" xfId="36345"/>
    <cellStyle name="Hyperlink 2 2 6" xfId="36346"/>
    <cellStyle name="Hyperlink 2 3" xfId="36347"/>
    <cellStyle name="Hyperlink 2 4" xfId="36348"/>
    <cellStyle name="Hyperlink 2 5" xfId="36349"/>
    <cellStyle name="Hyperlink 2 6" xfId="36350"/>
    <cellStyle name="Hyperlink 2 7" xfId="36351"/>
    <cellStyle name="Hyperlink 2 8" xfId="36352"/>
    <cellStyle name="Hyperlink 2 9" xfId="36353"/>
    <cellStyle name="Indent" xfId="36354"/>
    <cellStyle name="Input % IvS" xfId="36355"/>
    <cellStyle name="Input [yellow]" xfId="36356"/>
    <cellStyle name="Input [yellow] 10" xfId="36357"/>
    <cellStyle name="Input [yellow] 11" xfId="36358"/>
    <cellStyle name="Input [yellow] 12" xfId="36359"/>
    <cellStyle name="Input [yellow] 13" xfId="36360"/>
    <cellStyle name="Input [yellow] 14" xfId="36361"/>
    <cellStyle name="Input [yellow] 15" xfId="36362"/>
    <cellStyle name="Input [yellow] 16" xfId="36363"/>
    <cellStyle name="Input [yellow] 17" xfId="36364"/>
    <cellStyle name="Input [yellow] 18" xfId="36365"/>
    <cellStyle name="Input [yellow] 19" xfId="36366"/>
    <cellStyle name="Input [yellow] 2" xfId="36367"/>
    <cellStyle name="Input [yellow] 2 2" xfId="36368"/>
    <cellStyle name="Input [yellow] 20" xfId="36369"/>
    <cellStyle name="Input [yellow] 21" xfId="36370"/>
    <cellStyle name="Input [yellow] 22" xfId="36371"/>
    <cellStyle name="Input [yellow] 23" xfId="36372"/>
    <cellStyle name="Input [yellow] 24" xfId="36373"/>
    <cellStyle name="Input [yellow] 25" xfId="36374"/>
    <cellStyle name="Input [yellow] 26" xfId="36375"/>
    <cellStyle name="Input [yellow] 27" xfId="36376"/>
    <cellStyle name="Input [yellow] 28" xfId="36377"/>
    <cellStyle name="Input [yellow] 29" xfId="36378"/>
    <cellStyle name="Input [yellow] 3" xfId="36379"/>
    <cellStyle name="Input [yellow] 3 2" xfId="36380"/>
    <cellStyle name="Input [yellow] 30" xfId="36381"/>
    <cellStyle name="Input [yellow] 31" xfId="36382"/>
    <cellStyle name="Input [yellow] 32" xfId="36383"/>
    <cellStyle name="Input [yellow] 33" xfId="36384"/>
    <cellStyle name="Input [yellow] 34" xfId="36385"/>
    <cellStyle name="Input [yellow] 35" xfId="36386"/>
    <cellStyle name="Input [yellow] 36" xfId="36387"/>
    <cellStyle name="Input [yellow] 37" xfId="36388"/>
    <cellStyle name="Input [yellow] 38" xfId="36389"/>
    <cellStyle name="Input [yellow] 39" xfId="36390"/>
    <cellStyle name="Input [yellow] 4" xfId="36391"/>
    <cellStyle name="Input [yellow] 4 2" xfId="36392"/>
    <cellStyle name="Input [yellow] 40" xfId="36393"/>
    <cellStyle name="Input [yellow] 41" xfId="36394"/>
    <cellStyle name="Input [yellow] 42" xfId="36395"/>
    <cellStyle name="Input [yellow] 43" xfId="36396"/>
    <cellStyle name="Input [yellow] 44" xfId="36397"/>
    <cellStyle name="Input [yellow] 45" xfId="36398"/>
    <cellStyle name="Input [yellow] 46" xfId="36399"/>
    <cellStyle name="Input [yellow] 47" xfId="36400"/>
    <cellStyle name="Input [yellow] 48" xfId="36401"/>
    <cellStyle name="Input [yellow] 49" xfId="36402"/>
    <cellStyle name="Input [yellow] 5" xfId="36403"/>
    <cellStyle name="Input [yellow] 5 2" xfId="36404"/>
    <cellStyle name="Input [yellow] 5 3" xfId="36405"/>
    <cellStyle name="Input [yellow] 6" xfId="36406"/>
    <cellStyle name="Input [yellow] 7" xfId="36407"/>
    <cellStyle name="Input [yellow] 7 2" xfId="36408"/>
    <cellStyle name="Input [yellow] 8" xfId="36409"/>
    <cellStyle name="Input [yellow] 9" xfId="36410"/>
    <cellStyle name="Input 10" xfId="36411"/>
    <cellStyle name="Input 10 2" xfId="36412"/>
    <cellStyle name="Input 10 3" xfId="36413"/>
    <cellStyle name="Input 10 4" xfId="36414"/>
    <cellStyle name="Input 10 5" xfId="57788"/>
    <cellStyle name="Input 100" xfId="36415"/>
    <cellStyle name="Input 101" xfId="36416"/>
    <cellStyle name="Input 102" xfId="36417"/>
    <cellStyle name="Input 103" xfId="36418"/>
    <cellStyle name="Input 104" xfId="36419"/>
    <cellStyle name="Input 105" xfId="36420"/>
    <cellStyle name="Input 106" xfId="36421"/>
    <cellStyle name="Input 107" xfId="36422"/>
    <cellStyle name="Input 108" xfId="36423"/>
    <cellStyle name="Input 109" xfId="36424"/>
    <cellStyle name="Input 11" xfId="36425"/>
    <cellStyle name="Input 11 2" xfId="36426"/>
    <cellStyle name="Input 11 3" xfId="36427"/>
    <cellStyle name="Input 11 4" xfId="36428"/>
    <cellStyle name="Input 11 5" xfId="57789"/>
    <cellStyle name="Input 110" xfId="36429"/>
    <cellStyle name="Input 111" xfId="36430"/>
    <cellStyle name="Input 112" xfId="36431"/>
    <cellStyle name="Input 113" xfId="36432"/>
    <cellStyle name="Input 114" xfId="36433"/>
    <cellStyle name="Input 115" xfId="36434"/>
    <cellStyle name="Input 116" xfId="36435"/>
    <cellStyle name="Input 117" xfId="36436"/>
    <cellStyle name="Input 118" xfId="36437"/>
    <cellStyle name="Input 119" xfId="36438"/>
    <cellStyle name="Input 12" xfId="36439"/>
    <cellStyle name="Input 12 2" xfId="36440"/>
    <cellStyle name="Input 12 3" xfId="36441"/>
    <cellStyle name="Input 12 4" xfId="36442"/>
    <cellStyle name="Input 120" xfId="36443"/>
    <cellStyle name="Input 121" xfId="36444"/>
    <cellStyle name="Input 122" xfId="36445"/>
    <cellStyle name="Input 123" xfId="36446"/>
    <cellStyle name="Input 124" xfId="36447"/>
    <cellStyle name="Input 125" xfId="36448"/>
    <cellStyle name="Input 126" xfId="36449"/>
    <cellStyle name="Input 127" xfId="36450"/>
    <cellStyle name="Input 128" xfId="36451"/>
    <cellStyle name="Input 129" xfId="36452"/>
    <cellStyle name="Input 13" xfId="36453"/>
    <cellStyle name="Input 13 2" xfId="36454"/>
    <cellStyle name="Input 13 3" xfId="36455"/>
    <cellStyle name="Input 13 4" xfId="36456"/>
    <cellStyle name="Input 130" xfId="36457"/>
    <cellStyle name="Input 131" xfId="36458"/>
    <cellStyle name="Input 132" xfId="36459"/>
    <cellStyle name="Input 133" xfId="36460"/>
    <cellStyle name="Input 134" xfId="36461"/>
    <cellStyle name="Input 135" xfId="36462"/>
    <cellStyle name="Input 136" xfId="36463"/>
    <cellStyle name="Input 137" xfId="36464"/>
    <cellStyle name="Input 138" xfId="36465"/>
    <cellStyle name="Input 139" xfId="36466"/>
    <cellStyle name="Input 14" xfId="36467"/>
    <cellStyle name="Input 14 2" xfId="36468"/>
    <cellStyle name="Input 14 3" xfId="36469"/>
    <cellStyle name="Input 14 4" xfId="36470"/>
    <cellStyle name="Input 140" xfId="36471"/>
    <cellStyle name="Input 141" xfId="36472"/>
    <cellStyle name="Input 142" xfId="36473"/>
    <cellStyle name="Input 143" xfId="36474"/>
    <cellStyle name="Input 144" xfId="36475"/>
    <cellStyle name="Input 145" xfId="36476"/>
    <cellStyle name="Input 146" xfId="36477"/>
    <cellStyle name="Input 147" xfId="36478"/>
    <cellStyle name="Input 148" xfId="36479"/>
    <cellStyle name="Input 149" xfId="36480"/>
    <cellStyle name="Input 15" xfId="36481"/>
    <cellStyle name="Input 15 2" xfId="36482"/>
    <cellStyle name="Input 15 3" xfId="36483"/>
    <cellStyle name="Input 15 4" xfId="36484"/>
    <cellStyle name="Input 150" xfId="36485"/>
    <cellStyle name="Input 151" xfId="36486"/>
    <cellStyle name="Input 152" xfId="36487"/>
    <cellStyle name="Input 153" xfId="36488"/>
    <cellStyle name="Input 154" xfId="36489"/>
    <cellStyle name="Input 155" xfId="36490"/>
    <cellStyle name="Input 156" xfId="36491"/>
    <cellStyle name="Input 157" xfId="36492"/>
    <cellStyle name="Input 158" xfId="36493"/>
    <cellStyle name="Input 159" xfId="36494"/>
    <cellStyle name="Input 16" xfId="36495"/>
    <cellStyle name="Input 16 2" xfId="36496"/>
    <cellStyle name="Input 16 3" xfId="36497"/>
    <cellStyle name="Input 160" xfId="36498"/>
    <cellStyle name="Input 161" xfId="36499"/>
    <cellStyle name="Input 162" xfId="36500"/>
    <cellStyle name="Input 163" xfId="36501"/>
    <cellStyle name="Input 164" xfId="36502"/>
    <cellStyle name="Input 165" xfId="36503"/>
    <cellStyle name="Input 166" xfId="36504"/>
    <cellStyle name="Input 167" xfId="36505"/>
    <cellStyle name="Input 168" xfId="36506"/>
    <cellStyle name="Input 169" xfId="36507"/>
    <cellStyle name="Input 17" xfId="36508"/>
    <cellStyle name="Input 17 2" xfId="36509"/>
    <cellStyle name="Input 17 3" xfId="36510"/>
    <cellStyle name="Input 170" xfId="36511"/>
    <cellStyle name="Input 171" xfId="36512"/>
    <cellStyle name="Input 172" xfId="36513"/>
    <cellStyle name="Input 173" xfId="36514"/>
    <cellStyle name="Input 174" xfId="36515"/>
    <cellStyle name="Input 175" xfId="36516"/>
    <cellStyle name="Input 176" xfId="36517"/>
    <cellStyle name="Input 177" xfId="36518"/>
    <cellStyle name="Input 178" xfId="36519"/>
    <cellStyle name="Input 179" xfId="36520"/>
    <cellStyle name="Input 18" xfId="36521"/>
    <cellStyle name="Input 18 2" xfId="36522"/>
    <cellStyle name="Input 18 3" xfId="36523"/>
    <cellStyle name="Input 180" xfId="36524"/>
    <cellStyle name="Input 181" xfId="36525"/>
    <cellStyle name="Input 182" xfId="36526"/>
    <cellStyle name="Input 183" xfId="36527"/>
    <cellStyle name="Input 184" xfId="36528"/>
    <cellStyle name="Input 185" xfId="36529"/>
    <cellStyle name="Input 186" xfId="36530"/>
    <cellStyle name="Input 187" xfId="36531"/>
    <cellStyle name="Input 188" xfId="36532"/>
    <cellStyle name="Input 189" xfId="36533"/>
    <cellStyle name="Input 19" xfId="36534"/>
    <cellStyle name="Input 19 10" xfId="36535"/>
    <cellStyle name="Input 19 11" xfId="36536"/>
    <cellStyle name="Input 19 12" xfId="36537"/>
    <cellStyle name="Input 19 13" xfId="36538"/>
    <cellStyle name="Input 19 2" xfId="36539"/>
    <cellStyle name="Input 19 3" xfId="36540"/>
    <cellStyle name="Input 19 4" xfId="36541"/>
    <cellStyle name="Input 19 5" xfId="36542"/>
    <cellStyle name="Input 19 6" xfId="36543"/>
    <cellStyle name="Input 19 7" xfId="36544"/>
    <cellStyle name="Input 19 8" xfId="36545"/>
    <cellStyle name="Input 19 9" xfId="36546"/>
    <cellStyle name="Input 190" xfId="36547"/>
    <cellStyle name="Input 191" xfId="36548"/>
    <cellStyle name="Input 192" xfId="36549"/>
    <cellStyle name="Input 193" xfId="36550"/>
    <cellStyle name="Input 194" xfId="36551"/>
    <cellStyle name="Input 195" xfId="36552"/>
    <cellStyle name="Input 196" xfId="36553"/>
    <cellStyle name="Input 197" xfId="36554"/>
    <cellStyle name="Input 198" xfId="36555"/>
    <cellStyle name="Input 199" xfId="36556"/>
    <cellStyle name="Input 2" xfId="36557"/>
    <cellStyle name="Input 2 10" xfId="36558"/>
    <cellStyle name="Input 2 11" xfId="36559"/>
    <cellStyle name="Input 2 12" xfId="36560"/>
    <cellStyle name="Input 2 13" xfId="36561"/>
    <cellStyle name="Input 2 14" xfId="36562"/>
    <cellStyle name="Input 2 15" xfId="36563"/>
    <cellStyle name="Input 2 16" xfId="36564"/>
    <cellStyle name="Input 2 17" xfId="57790"/>
    <cellStyle name="Input 2 2" xfId="36565"/>
    <cellStyle name="Input 2 2 10" xfId="36566"/>
    <cellStyle name="Input 2 2 11" xfId="36567"/>
    <cellStyle name="Input 2 2 12" xfId="36568"/>
    <cellStyle name="Input 2 2 13" xfId="36569"/>
    <cellStyle name="Input 2 2 14" xfId="36570"/>
    <cellStyle name="Input 2 2 15" xfId="36571"/>
    <cellStyle name="Input 2 2 16" xfId="36572"/>
    <cellStyle name="Input 2 2 2" xfId="36573"/>
    <cellStyle name="Input 2 2 2 2" xfId="36574"/>
    <cellStyle name="Input 2 2 2_PM Okt 2014 Plan VS Actual Planning Workshop" xfId="36575"/>
    <cellStyle name="Input 2 2 3" xfId="36576"/>
    <cellStyle name="Input 2 2 3 2" xfId="36577"/>
    <cellStyle name="Input 2 2 4" xfId="36578"/>
    <cellStyle name="Input 2 2 4 2" xfId="36579"/>
    <cellStyle name="Input 2 2 5" xfId="36580"/>
    <cellStyle name="Input 2 2 5 2" xfId="36581"/>
    <cellStyle name="Input 2 2 6" xfId="36582"/>
    <cellStyle name="Input 2 2 7" xfId="36583"/>
    <cellStyle name="Input 2 2 8" xfId="36584"/>
    <cellStyle name="Input 2 2 9" xfId="36585"/>
    <cellStyle name="Input 2 2_Format Template Preventive Maintenance" xfId="36586"/>
    <cellStyle name="Input 2 3" xfId="36587"/>
    <cellStyle name="Input 2 3 2" xfId="36588"/>
    <cellStyle name="Input 2 3 2 2" xfId="36589"/>
    <cellStyle name="Input 2 3 2_PM Okt 2014 Plan VS Actual Planning Workshop" xfId="36590"/>
    <cellStyle name="Input 2 3 3" xfId="36591"/>
    <cellStyle name="Input 2 3_Format Template Preventive Maintenance" xfId="36592"/>
    <cellStyle name="Input 2 4" xfId="36593"/>
    <cellStyle name="Input 2 4 10" xfId="36594"/>
    <cellStyle name="Input 2 4 11" xfId="36595"/>
    <cellStyle name="Input 2 4 12" xfId="36596"/>
    <cellStyle name="Input 2 4 13" xfId="36597"/>
    <cellStyle name="Input 2 4 2" xfId="36598"/>
    <cellStyle name="Input 2 4 3" xfId="36599"/>
    <cellStyle name="Input 2 4 4" xfId="36600"/>
    <cellStyle name="Input 2 4 5" xfId="36601"/>
    <cellStyle name="Input 2 4 6" xfId="36602"/>
    <cellStyle name="Input 2 4 7" xfId="36603"/>
    <cellStyle name="Input 2 4 8" xfId="36604"/>
    <cellStyle name="Input 2 4 9" xfId="36605"/>
    <cellStyle name="Input 2 5" xfId="36606"/>
    <cellStyle name="Input 2 5 2" xfId="36607"/>
    <cellStyle name="Input 2 6" xfId="36608"/>
    <cellStyle name="Input 2 6 2" xfId="36609"/>
    <cellStyle name="Input 2 7" xfId="36610"/>
    <cellStyle name="Input 2 8" xfId="36611"/>
    <cellStyle name="Input 2 9" xfId="36612"/>
    <cellStyle name="Input 2_Caje 2011 (prepaid Rent Asset)" xfId="36613"/>
    <cellStyle name="Input 20" xfId="36614"/>
    <cellStyle name="Input 200" xfId="36615"/>
    <cellStyle name="Input 201" xfId="36616"/>
    <cellStyle name="Input 202" xfId="36617"/>
    <cellStyle name="Input 203" xfId="36618"/>
    <cellStyle name="Input 204" xfId="36619"/>
    <cellStyle name="Input 205" xfId="36620"/>
    <cellStyle name="Input 206" xfId="36621"/>
    <cellStyle name="Input 207" xfId="36622"/>
    <cellStyle name="Input 208" xfId="36623"/>
    <cellStyle name="Input 209" xfId="36624"/>
    <cellStyle name="Input 21" xfId="36625"/>
    <cellStyle name="Input 210" xfId="36626"/>
    <cellStyle name="Input 211" xfId="36627"/>
    <cellStyle name="Input 212" xfId="36628"/>
    <cellStyle name="Input 213" xfId="36629"/>
    <cellStyle name="Input 214" xfId="36630"/>
    <cellStyle name="Input 215" xfId="36631"/>
    <cellStyle name="Input 216" xfId="36632"/>
    <cellStyle name="Input 217" xfId="36633"/>
    <cellStyle name="Input 218" xfId="36634"/>
    <cellStyle name="Input 219" xfId="36635"/>
    <cellStyle name="Input 22" xfId="36636"/>
    <cellStyle name="Input 220" xfId="36637"/>
    <cellStyle name="Input 221" xfId="36638"/>
    <cellStyle name="Input 222" xfId="36639"/>
    <cellStyle name="Input 223" xfId="36640"/>
    <cellStyle name="Input 224" xfId="36641"/>
    <cellStyle name="Input 225" xfId="36642"/>
    <cellStyle name="Input 226" xfId="36643"/>
    <cellStyle name="Input 227" xfId="36644"/>
    <cellStyle name="Input 228" xfId="36645"/>
    <cellStyle name="Input 229" xfId="36646"/>
    <cellStyle name="Input 23" xfId="36647"/>
    <cellStyle name="Input 230" xfId="36648"/>
    <cellStyle name="Input 231" xfId="36649"/>
    <cellStyle name="Input 232" xfId="36650"/>
    <cellStyle name="Input 233" xfId="36651"/>
    <cellStyle name="Input 234" xfId="36652"/>
    <cellStyle name="Input 235" xfId="36653"/>
    <cellStyle name="Input 236" xfId="36654"/>
    <cellStyle name="Input 237" xfId="36655"/>
    <cellStyle name="Input 238" xfId="36656"/>
    <cellStyle name="Input 239" xfId="36657"/>
    <cellStyle name="Input 24" xfId="36658"/>
    <cellStyle name="Input 240" xfId="36659"/>
    <cellStyle name="Input 241" xfId="36660"/>
    <cellStyle name="Input 242" xfId="36661"/>
    <cellStyle name="Input 243" xfId="36662"/>
    <cellStyle name="Input 244" xfId="36663"/>
    <cellStyle name="Input 245" xfId="36664"/>
    <cellStyle name="Input 246" xfId="36665"/>
    <cellStyle name="Input 247" xfId="36666"/>
    <cellStyle name="Input 248" xfId="36667"/>
    <cellStyle name="Input 249" xfId="36668"/>
    <cellStyle name="Input 25" xfId="36669"/>
    <cellStyle name="Input 250" xfId="36670"/>
    <cellStyle name="Input 251" xfId="36671"/>
    <cellStyle name="Input 252" xfId="36672"/>
    <cellStyle name="Input 253" xfId="36673"/>
    <cellStyle name="Input 254" xfId="36674"/>
    <cellStyle name="Input 255" xfId="36675"/>
    <cellStyle name="Input 256" xfId="36676"/>
    <cellStyle name="Input 257" xfId="36677"/>
    <cellStyle name="Input 258" xfId="36678"/>
    <cellStyle name="Input 259" xfId="36679"/>
    <cellStyle name="Input 26" xfId="36680"/>
    <cellStyle name="Input 260" xfId="36681"/>
    <cellStyle name="Input 261" xfId="36682"/>
    <cellStyle name="Input 262" xfId="36683"/>
    <cellStyle name="Input 263" xfId="36684"/>
    <cellStyle name="Input 264" xfId="36685"/>
    <cellStyle name="Input 265" xfId="36686"/>
    <cellStyle name="Input 266" xfId="36687"/>
    <cellStyle name="Input 267" xfId="36688"/>
    <cellStyle name="Input 268" xfId="36689"/>
    <cellStyle name="Input 269" xfId="36690"/>
    <cellStyle name="Input 27" xfId="36691"/>
    <cellStyle name="Input 270" xfId="36692"/>
    <cellStyle name="Input 271" xfId="36693"/>
    <cellStyle name="Input 272" xfId="36694"/>
    <cellStyle name="Input 273" xfId="36695"/>
    <cellStyle name="Input 274" xfId="36696"/>
    <cellStyle name="Input 275" xfId="36697"/>
    <cellStyle name="Input 276" xfId="36698"/>
    <cellStyle name="Input 277" xfId="36699"/>
    <cellStyle name="Input 278" xfId="36700"/>
    <cellStyle name="Input 279" xfId="36701"/>
    <cellStyle name="Input 28" xfId="36702"/>
    <cellStyle name="Input 280" xfId="36703"/>
    <cellStyle name="Input 281" xfId="36704"/>
    <cellStyle name="Input 282" xfId="36705"/>
    <cellStyle name="Input 283" xfId="36706"/>
    <cellStyle name="Input 284" xfId="36707"/>
    <cellStyle name="Input 285" xfId="36708"/>
    <cellStyle name="Input 286" xfId="36709"/>
    <cellStyle name="Input 287" xfId="36710"/>
    <cellStyle name="Input 288" xfId="36711"/>
    <cellStyle name="Input 289" xfId="36712"/>
    <cellStyle name="Input 29" xfId="36713"/>
    <cellStyle name="Input 290" xfId="36714"/>
    <cellStyle name="Input 291" xfId="36715"/>
    <cellStyle name="Input 292" xfId="36716"/>
    <cellStyle name="Input 293" xfId="36717"/>
    <cellStyle name="Input 294" xfId="36718"/>
    <cellStyle name="Input 295" xfId="36719"/>
    <cellStyle name="Input 296" xfId="36720"/>
    <cellStyle name="Input 297" xfId="36721"/>
    <cellStyle name="Input 298" xfId="36722"/>
    <cellStyle name="Input 299" xfId="36723"/>
    <cellStyle name="Input 3" xfId="36724"/>
    <cellStyle name="Input 3 10" xfId="36725"/>
    <cellStyle name="Input 3 11" xfId="36726"/>
    <cellStyle name="Input 3 12" xfId="36727"/>
    <cellStyle name="Input 3 13" xfId="36728"/>
    <cellStyle name="Input 3 14" xfId="36729"/>
    <cellStyle name="Input 3 15" xfId="36730"/>
    <cellStyle name="Input 3 16" xfId="57791"/>
    <cellStyle name="Input 3 2" xfId="36731"/>
    <cellStyle name="Input 3 2 2" xfId="36732"/>
    <cellStyle name="Input 3 3" xfId="36733"/>
    <cellStyle name="Input 3 4" xfId="36734"/>
    <cellStyle name="Input 3 5" xfId="36735"/>
    <cellStyle name="Input 3 6" xfId="36736"/>
    <cellStyle name="Input 3 7" xfId="36737"/>
    <cellStyle name="Input 3 8" xfId="36738"/>
    <cellStyle name="Input 3 9" xfId="36739"/>
    <cellStyle name="Input 30" xfId="36740"/>
    <cellStyle name="Input 300" xfId="36741"/>
    <cellStyle name="Input 301" xfId="36742"/>
    <cellStyle name="Input 302" xfId="36743"/>
    <cellStyle name="Input 303" xfId="36744"/>
    <cellStyle name="Input 304" xfId="36745"/>
    <cellStyle name="Input 305" xfId="36746"/>
    <cellStyle name="Input 306" xfId="36747"/>
    <cellStyle name="Input 307" xfId="36748"/>
    <cellStyle name="Input 308" xfId="36749"/>
    <cellStyle name="Input 309" xfId="36750"/>
    <cellStyle name="Input 31" xfId="36751"/>
    <cellStyle name="Input 310" xfId="36752"/>
    <cellStyle name="Input 311" xfId="36753"/>
    <cellStyle name="Input 312" xfId="36754"/>
    <cellStyle name="Input 313" xfId="36755"/>
    <cellStyle name="Input 314" xfId="36756"/>
    <cellStyle name="Input 315" xfId="36757"/>
    <cellStyle name="Input 316" xfId="36758"/>
    <cellStyle name="Input 317" xfId="36759"/>
    <cellStyle name="Input 318" xfId="36760"/>
    <cellStyle name="Input 319" xfId="36761"/>
    <cellStyle name="Input 32" xfId="36762"/>
    <cellStyle name="Input 320" xfId="36763"/>
    <cellStyle name="Input 321" xfId="36764"/>
    <cellStyle name="Input 322" xfId="36765"/>
    <cellStyle name="Input 323" xfId="36766"/>
    <cellStyle name="Input 324" xfId="36767"/>
    <cellStyle name="Input 325" xfId="36768"/>
    <cellStyle name="Input 326" xfId="36769"/>
    <cellStyle name="Input 327" xfId="36770"/>
    <cellStyle name="Input 328" xfId="36771"/>
    <cellStyle name="Input 329" xfId="36772"/>
    <cellStyle name="Input 33" xfId="36773"/>
    <cellStyle name="Input 330" xfId="36774"/>
    <cellStyle name="Input 331" xfId="36775"/>
    <cellStyle name="Input 332" xfId="36776"/>
    <cellStyle name="Input 333" xfId="36777"/>
    <cellStyle name="Input 334" xfId="36778"/>
    <cellStyle name="Input 335" xfId="36779"/>
    <cellStyle name="Input 336" xfId="36780"/>
    <cellStyle name="Input 337" xfId="36781"/>
    <cellStyle name="Input 338" xfId="36782"/>
    <cellStyle name="Input 339" xfId="36783"/>
    <cellStyle name="Input 34" xfId="36784"/>
    <cellStyle name="Input 340" xfId="36785"/>
    <cellStyle name="Input 341" xfId="36786"/>
    <cellStyle name="Input 342" xfId="36787"/>
    <cellStyle name="Input 343" xfId="36788"/>
    <cellStyle name="Input 344" xfId="36789"/>
    <cellStyle name="Input 345" xfId="36790"/>
    <cellStyle name="Input 346" xfId="36791"/>
    <cellStyle name="Input 347" xfId="36792"/>
    <cellStyle name="Input 348" xfId="36793"/>
    <cellStyle name="Input 349" xfId="36794"/>
    <cellStyle name="Input 35" xfId="36795"/>
    <cellStyle name="Input 350" xfId="36796"/>
    <cellStyle name="Input 351" xfId="36797"/>
    <cellStyle name="Input 352" xfId="36798"/>
    <cellStyle name="Input 353" xfId="36799"/>
    <cellStyle name="Input 354" xfId="36800"/>
    <cellStyle name="Input 355" xfId="36801"/>
    <cellStyle name="Input 356" xfId="36802"/>
    <cellStyle name="Input 357" xfId="36803"/>
    <cellStyle name="Input 358" xfId="36804"/>
    <cellStyle name="Input 359" xfId="36805"/>
    <cellStyle name="Input 36" xfId="36806"/>
    <cellStyle name="Input 360" xfId="36807"/>
    <cellStyle name="Input 361" xfId="36808"/>
    <cellStyle name="Input 362" xfId="36809"/>
    <cellStyle name="Input 363" xfId="36810"/>
    <cellStyle name="Input 364" xfId="36811"/>
    <cellStyle name="Input 365" xfId="36812"/>
    <cellStyle name="Input 366" xfId="36813"/>
    <cellStyle name="Input 367" xfId="36814"/>
    <cellStyle name="Input 368" xfId="36815"/>
    <cellStyle name="Input 369" xfId="36816"/>
    <cellStyle name="Input 37" xfId="36817"/>
    <cellStyle name="Input 370" xfId="36818"/>
    <cellStyle name="Input 371" xfId="36819"/>
    <cellStyle name="Input 372" xfId="36820"/>
    <cellStyle name="Input 373" xfId="36821"/>
    <cellStyle name="Input 374" xfId="36822"/>
    <cellStyle name="Input 375" xfId="36823"/>
    <cellStyle name="Input 376" xfId="36824"/>
    <cellStyle name="Input 377" xfId="36825"/>
    <cellStyle name="Input 378" xfId="36826"/>
    <cellStyle name="Input 379" xfId="36827"/>
    <cellStyle name="Input 38" xfId="36828"/>
    <cellStyle name="Input 380" xfId="36829"/>
    <cellStyle name="Input 381" xfId="36830"/>
    <cellStyle name="Input 382" xfId="36831"/>
    <cellStyle name="Input 383" xfId="36832"/>
    <cellStyle name="Input 384" xfId="36833"/>
    <cellStyle name="Input 385" xfId="36834"/>
    <cellStyle name="Input 386" xfId="36835"/>
    <cellStyle name="Input 387" xfId="36836"/>
    <cellStyle name="Input 388" xfId="36837"/>
    <cellStyle name="Input 389" xfId="36838"/>
    <cellStyle name="Input 39" xfId="36839"/>
    <cellStyle name="Input 390" xfId="36840"/>
    <cellStyle name="Input 391" xfId="36841"/>
    <cellStyle name="Input 392" xfId="36842"/>
    <cellStyle name="Input 393" xfId="36843"/>
    <cellStyle name="Input 394" xfId="36844"/>
    <cellStyle name="Input 395" xfId="36845"/>
    <cellStyle name="Input 396" xfId="36846"/>
    <cellStyle name="Input 397" xfId="36847"/>
    <cellStyle name="Input 398" xfId="36848"/>
    <cellStyle name="Input 399" xfId="58446"/>
    <cellStyle name="Input 4" xfId="36849"/>
    <cellStyle name="Input 4 10" xfId="36850"/>
    <cellStyle name="Input 4 11" xfId="36851"/>
    <cellStyle name="Input 4 12" xfId="36852"/>
    <cellStyle name="Input 4 13" xfId="36853"/>
    <cellStyle name="Input 4 14" xfId="36854"/>
    <cellStyle name="Input 4 15" xfId="36855"/>
    <cellStyle name="Input 4 16" xfId="57792"/>
    <cellStyle name="Input 4 2" xfId="36856"/>
    <cellStyle name="Input 4 2 2" xfId="36857"/>
    <cellStyle name="Input 4 3" xfId="36858"/>
    <cellStyle name="Input 4 4" xfId="36859"/>
    <cellStyle name="Input 4 5" xfId="36860"/>
    <cellStyle name="Input 4 6" xfId="36861"/>
    <cellStyle name="Input 4 7" xfId="36862"/>
    <cellStyle name="Input 4 8" xfId="36863"/>
    <cellStyle name="Input 4 9" xfId="36864"/>
    <cellStyle name="Input 40" xfId="36865"/>
    <cellStyle name="Input 41" xfId="36866"/>
    <cellStyle name="Input 42" xfId="36867"/>
    <cellStyle name="Input 43" xfId="36868"/>
    <cellStyle name="Input 44" xfId="36869"/>
    <cellStyle name="Input 45" xfId="36870"/>
    <cellStyle name="Input 46" xfId="36871"/>
    <cellStyle name="Input 47" xfId="36872"/>
    <cellStyle name="Input 48" xfId="36873"/>
    <cellStyle name="Input 49" xfId="36874"/>
    <cellStyle name="Input 5" xfId="36875"/>
    <cellStyle name="Input 5 2" xfId="36876"/>
    <cellStyle name="Input 5 2 2" xfId="36877"/>
    <cellStyle name="Input 5 3" xfId="36878"/>
    <cellStyle name="Input 5 4" xfId="36879"/>
    <cellStyle name="Input 5 5" xfId="57793"/>
    <cellStyle name="Input 50" xfId="36880"/>
    <cellStyle name="Input 51" xfId="36881"/>
    <cellStyle name="Input 52" xfId="36882"/>
    <cellStyle name="Input 53" xfId="36883"/>
    <cellStyle name="Input 54" xfId="36884"/>
    <cellStyle name="Input 55" xfId="36885"/>
    <cellStyle name="Input 56" xfId="36886"/>
    <cellStyle name="Input 57" xfId="36887"/>
    <cellStyle name="Input 58" xfId="36888"/>
    <cellStyle name="Input 59" xfId="36889"/>
    <cellStyle name="Input 6" xfId="36890"/>
    <cellStyle name="Input 6 2" xfId="36891"/>
    <cellStyle name="Input 6 2 2" xfId="36892"/>
    <cellStyle name="Input 6 3" xfId="36893"/>
    <cellStyle name="Input 6 4" xfId="36894"/>
    <cellStyle name="Input 6 5" xfId="57794"/>
    <cellStyle name="Input 60" xfId="36895"/>
    <cellStyle name="Input 61" xfId="36896"/>
    <cellStyle name="Input 62" xfId="36897"/>
    <cellStyle name="Input 63" xfId="36898"/>
    <cellStyle name="Input 64" xfId="36899"/>
    <cellStyle name="Input 65" xfId="36900"/>
    <cellStyle name="Input 66" xfId="36901"/>
    <cellStyle name="Input 67" xfId="36902"/>
    <cellStyle name="Input 68" xfId="36903"/>
    <cellStyle name="Input 69" xfId="36904"/>
    <cellStyle name="Input 7" xfId="36905"/>
    <cellStyle name="Input 7 2" xfId="36906"/>
    <cellStyle name="Input 7 2 2" xfId="36907"/>
    <cellStyle name="Input 7 3" xfId="36908"/>
    <cellStyle name="Input 7 4" xfId="36909"/>
    <cellStyle name="Input 7 5" xfId="57795"/>
    <cellStyle name="Input 70" xfId="36910"/>
    <cellStyle name="Input 71" xfId="36911"/>
    <cellStyle name="Input 72" xfId="36912"/>
    <cellStyle name="Input 73" xfId="36913"/>
    <cellStyle name="Input 74" xfId="36914"/>
    <cellStyle name="Input 75" xfId="36915"/>
    <cellStyle name="Input 76" xfId="36916"/>
    <cellStyle name="Input 77" xfId="36917"/>
    <cellStyle name="Input 78" xfId="36918"/>
    <cellStyle name="Input 79" xfId="36919"/>
    <cellStyle name="Input 8" xfId="36920"/>
    <cellStyle name="Input 8 2" xfId="36921"/>
    <cellStyle name="Input 8 3" xfId="36922"/>
    <cellStyle name="Input 8 4" xfId="36923"/>
    <cellStyle name="Input 8 5" xfId="57796"/>
    <cellStyle name="Input 80" xfId="36924"/>
    <cellStyle name="Input 81" xfId="36925"/>
    <cellStyle name="Input 82" xfId="36926"/>
    <cellStyle name="Input 83" xfId="36927"/>
    <cellStyle name="Input 84" xfId="36928"/>
    <cellStyle name="Input 85" xfId="36929"/>
    <cellStyle name="Input 86" xfId="36930"/>
    <cellStyle name="Input 87" xfId="36931"/>
    <cellStyle name="Input 88" xfId="36932"/>
    <cellStyle name="Input 89" xfId="36933"/>
    <cellStyle name="Input 9" xfId="36934"/>
    <cellStyle name="Input 9 2" xfId="36935"/>
    <cellStyle name="Input 9 3" xfId="36936"/>
    <cellStyle name="Input 9 4" xfId="36937"/>
    <cellStyle name="Input 9 5" xfId="57797"/>
    <cellStyle name="Input 90" xfId="36938"/>
    <cellStyle name="Input 91" xfId="36939"/>
    <cellStyle name="Input 92" xfId="36940"/>
    <cellStyle name="Input 93" xfId="36941"/>
    <cellStyle name="Input 94" xfId="36942"/>
    <cellStyle name="Input 95" xfId="36943"/>
    <cellStyle name="Input 96" xfId="36944"/>
    <cellStyle name="Input 97" xfId="36945"/>
    <cellStyle name="Input 98" xfId="36946"/>
    <cellStyle name="Input 99" xfId="36947"/>
    <cellStyle name="Input Cells" xfId="36948"/>
    <cellStyle name="Input Cells 2" xfId="36949"/>
    <cellStyle name="Input IvS" xfId="36950"/>
    <cellStyle name="Input Undo" xfId="36951"/>
    <cellStyle name="Input X IvS" xfId="36952"/>
    <cellStyle name="Input0" xfId="36953"/>
    <cellStyle name="Input0 2" xfId="36954"/>
    <cellStyle name="Input0 2 2" xfId="36955"/>
    <cellStyle name="Input0 2 3" xfId="36956"/>
    <cellStyle name="Input0 3" xfId="36957"/>
    <cellStyle name="Input0 3 2" xfId="36958"/>
    <cellStyle name="Input0 4" xfId="36959"/>
    <cellStyle name="Input0 4 2" xfId="36960"/>
    <cellStyle name="Input0 5" xfId="36961"/>
    <cellStyle name="Input0 5 2" xfId="36962"/>
    <cellStyle name="Input0 6" xfId="36963"/>
    <cellStyle name="Input0 6 2" xfId="36964"/>
    <cellStyle name="InputNormal" xfId="36965"/>
    <cellStyle name="InputNormal 2" xfId="36966"/>
    <cellStyle name="InputNormal 2 2" xfId="36967"/>
    <cellStyle name="InputNormal 2 3" xfId="36968"/>
    <cellStyle name="InputNormal 3" xfId="36969"/>
    <cellStyle name="InputNormal 3 2" xfId="36970"/>
    <cellStyle name="InputNormal 4" xfId="36971"/>
    <cellStyle name="InputNormal 4 2" xfId="36972"/>
    <cellStyle name="InputNormal 5" xfId="36973"/>
    <cellStyle name="InputNormal 5 2" xfId="36974"/>
    <cellStyle name="InputNormal 6" xfId="36975"/>
    <cellStyle name="InputNormal 6 2" xfId="36976"/>
    <cellStyle name="InputPercent1" xfId="36977"/>
    <cellStyle name="Italic Normal" xfId="36978"/>
    <cellStyle name="Koma" xfId="57798"/>
    <cellStyle name="Komma [0]_BLAD" xfId="36980"/>
    <cellStyle name="Komma_BLAD" xfId="36981"/>
    <cellStyle name="L)p?lBC (1000 L)T?PBC (1000 L)8?" xfId="36982"/>
    <cellStyle name="L)p?lBC (1000 L)T?PBC (1000 L)8? 2" xfId="36983"/>
    <cellStyle name="L)p?lBC (1000 L)T?PBC (1000 L)8? 3" xfId="36984"/>
    <cellStyle name="L)p?lBC (1000 L)T?PBC (1000 L)8? 4" xfId="36985"/>
    <cellStyle name="L)p?lBC (1000 L)T?PBC (1000 L)8? 5" xfId="36986"/>
    <cellStyle name="L)p?lBC (1000 L)T?PBC (1000 L)8? 6" xfId="36987"/>
    <cellStyle name="L)p?lBC (1000 L)T?PBC (1000 L)8?_Data" xfId="36988"/>
    <cellStyle name="Labels - Style3" xfId="36989"/>
    <cellStyle name="Labels - Style3 2" xfId="36990"/>
    <cellStyle name="Labels - Style3 2 2" xfId="36991"/>
    <cellStyle name="Labels - Style3 3" xfId="36992"/>
    <cellStyle name="Labels - Style3 4" xfId="57799"/>
    <cellStyle name="Link Currency (0)" xfId="36993"/>
    <cellStyle name="Link Currency (2)" xfId="36994"/>
    <cellStyle name="Link Units (0)" xfId="36995"/>
    <cellStyle name="Link Units (1)" xfId="36996"/>
    <cellStyle name="Link Units (1) 2" xfId="36997"/>
    <cellStyle name="Link Units (2)" xfId="36998"/>
    <cellStyle name="Linked Cell 10" xfId="36999"/>
    <cellStyle name="Linked Cell 10 2" xfId="37000"/>
    <cellStyle name="Linked Cell 10 3" xfId="37001"/>
    <cellStyle name="Linked Cell 11" xfId="37002"/>
    <cellStyle name="Linked Cell 11 2" xfId="37003"/>
    <cellStyle name="Linked Cell 11 3" xfId="37004"/>
    <cellStyle name="Linked Cell 12" xfId="37005"/>
    <cellStyle name="Linked Cell 12 2" xfId="37006"/>
    <cellStyle name="Linked Cell 12 3" xfId="37007"/>
    <cellStyle name="Linked Cell 13" xfId="37008"/>
    <cellStyle name="Linked Cell 13 2" xfId="37009"/>
    <cellStyle name="Linked Cell 13 3" xfId="37010"/>
    <cellStyle name="Linked Cell 14" xfId="37011"/>
    <cellStyle name="Linked Cell 14 2" xfId="37012"/>
    <cellStyle name="Linked Cell 14 3" xfId="37013"/>
    <cellStyle name="Linked Cell 15" xfId="37014"/>
    <cellStyle name="Linked Cell 15 2" xfId="37015"/>
    <cellStyle name="Linked Cell 15 3" xfId="37016"/>
    <cellStyle name="Linked Cell 16" xfId="37017"/>
    <cellStyle name="Linked Cell 16 2" xfId="37018"/>
    <cellStyle name="Linked Cell 16 3" xfId="37019"/>
    <cellStyle name="Linked Cell 17" xfId="37020"/>
    <cellStyle name="Linked Cell 17 2" xfId="37021"/>
    <cellStyle name="Linked Cell 17 3" xfId="37022"/>
    <cellStyle name="Linked Cell 18" xfId="37023"/>
    <cellStyle name="Linked Cell 18 2" xfId="37024"/>
    <cellStyle name="Linked Cell 18 3" xfId="37025"/>
    <cellStyle name="Linked Cell 19" xfId="37026"/>
    <cellStyle name="Linked Cell 2" xfId="37027"/>
    <cellStyle name="Linked Cell 2 2" xfId="37028"/>
    <cellStyle name="Linked Cell 2 2 2" xfId="37029"/>
    <cellStyle name="Linked Cell 2 2 2 2" xfId="37030"/>
    <cellStyle name="Linked Cell 2 2 2_PM Okt 2014 Plan VS Actual Planning Workshop" xfId="37031"/>
    <cellStyle name="Linked Cell 2 2 3" xfId="37032"/>
    <cellStyle name="Linked Cell 2 2 4" xfId="37033"/>
    <cellStyle name="Linked Cell 2 2_Format Template Preventive Maintenance" xfId="37034"/>
    <cellStyle name="Linked Cell 2 3" xfId="37035"/>
    <cellStyle name="Linked Cell 2 3 2" xfId="37036"/>
    <cellStyle name="Linked Cell 2 3 2 2" xfId="37037"/>
    <cellStyle name="Linked Cell 2 3 2_PM Okt 2014 Plan VS Actual Planning Workshop" xfId="37038"/>
    <cellStyle name="Linked Cell 2 3 3" xfId="37039"/>
    <cellStyle name="Linked Cell 2 3_Format Template Preventive Maintenance" xfId="37040"/>
    <cellStyle name="Linked Cell 2 4" xfId="37041"/>
    <cellStyle name="Linked Cell 2 4 2" xfId="37042"/>
    <cellStyle name="Linked Cell 2 5" xfId="37043"/>
    <cellStyle name="Linked Cell 2_Caje 2011 (prepaid Rent Asset)" xfId="37044"/>
    <cellStyle name="Linked Cell 20" xfId="37045"/>
    <cellStyle name="Linked Cell 21" xfId="37046"/>
    <cellStyle name="Linked Cell 22" xfId="37047"/>
    <cellStyle name="Linked Cell 23" xfId="37048"/>
    <cellStyle name="Linked Cell 24" xfId="37049"/>
    <cellStyle name="Linked Cell 25" xfId="37050"/>
    <cellStyle name="Linked Cell 26" xfId="37051"/>
    <cellStyle name="Linked Cell 27" xfId="37052"/>
    <cellStyle name="Linked Cell 28" xfId="37053"/>
    <cellStyle name="Linked Cell 29" xfId="37054"/>
    <cellStyle name="Linked Cell 3" xfId="37055"/>
    <cellStyle name="Linked Cell 3 2" xfId="37056"/>
    <cellStyle name="Linked Cell 3 3" xfId="37057"/>
    <cellStyle name="Linked Cell 30" xfId="37058"/>
    <cellStyle name="Linked Cell 31" xfId="37059"/>
    <cellStyle name="Linked Cell 32" xfId="37060"/>
    <cellStyle name="Linked Cell 33" xfId="37061"/>
    <cellStyle name="Linked Cell 34" xfId="37062"/>
    <cellStyle name="Linked Cell 35" xfId="37063"/>
    <cellStyle name="Linked Cell 36" xfId="37064"/>
    <cellStyle name="Linked Cell 37" xfId="37065"/>
    <cellStyle name="Linked Cell 38" xfId="37066"/>
    <cellStyle name="Linked Cell 39" xfId="37067"/>
    <cellStyle name="Linked Cell 4" xfId="37068"/>
    <cellStyle name="Linked Cell 4 2" xfId="37069"/>
    <cellStyle name="Linked Cell 4 3" xfId="37070"/>
    <cellStyle name="Linked Cell 4 4" xfId="58447"/>
    <cellStyle name="Linked Cell 40" xfId="37071"/>
    <cellStyle name="Linked Cell 41" xfId="37072"/>
    <cellStyle name="Linked Cell 42" xfId="37073"/>
    <cellStyle name="Linked Cell 43" xfId="37074"/>
    <cellStyle name="Linked Cell 44" xfId="37075"/>
    <cellStyle name="Linked Cell 45" xfId="37076"/>
    <cellStyle name="Linked Cell 46" xfId="37077"/>
    <cellStyle name="Linked Cell 47" xfId="37078"/>
    <cellStyle name="Linked Cell 48" xfId="37079"/>
    <cellStyle name="Linked Cell 49" xfId="37080"/>
    <cellStyle name="Linked Cell 5" xfId="37081"/>
    <cellStyle name="Linked Cell 5 2" xfId="37082"/>
    <cellStyle name="Linked Cell 5 3" xfId="37083"/>
    <cellStyle name="Linked Cell 50" xfId="37084"/>
    <cellStyle name="Linked Cell 51" xfId="37085"/>
    <cellStyle name="Linked Cell 52" xfId="37086"/>
    <cellStyle name="Linked Cell 53" xfId="37087"/>
    <cellStyle name="Linked Cell 6" xfId="37088"/>
    <cellStyle name="Linked Cell 6 2" xfId="37089"/>
    <cellStyle name="Linked Cell 6 3" xfId="37090"/>
    <cellStyle name="Linked Cell 7" xfId="37091"/>
    <cellStyle name="Linked Cell 7 2" xfId="37092"/>
    <cellStyle name="Linked Cell 7 3" xfId="37093"/>
    <cellStyle name="Linked Cell 8" xfId="37094"/>
    <cellStyle name="Linked Cell 8 2" xfId="37095"/>
    <cellStyle name="Linked Cell 8 3" xfId="37096"/>
    <cellStyle name="Linked Cell 9" xfId="37097"/>
    <cellStyle name="Linked Cell 9 2" xfId="37098"/>
    <cellStyle name="Linked Cell 9 3" xfId="37099"/>
    <cellStyle name="Linked Cells" xfId="37100"/>
    <cellStyle name="Linked Cells 2" xfId="37101"/>
    <cellStyle name="Links - Style1" xfId="37102"/>
    <cellStyle name="List Price" xfId="37103"/>
    <cellStyle name="MAC" xfId="37104"/>
    <cellStyle name="Malý nadpis" xfId="37105"/>
    <cellStyle name="meny_laroux" xfId="37106"/>
    <cellStyle name="Merging" xfId="37107"/>
    <cellStyle name="Milliers [0]_!!!GO" xfId="37108"/>
    <cellStyle name="Milliers_!!!GO" xfId="37109"/>
    <cellStyle name="miny_laroux" xfId="37110"/>
    <cellStyle name="Model" xfId="37111"/>
    <cellStyle name="Model 2" xfId="57800"/>
    <cellStyle name="Moeda [0]_BOOK1" xfId="37112"/>
    <cellStyle name="Moeda_BOOK1" xfId="37113"/>
    <cellStyle name="Mon?aire [0]_AR1194" xfId="37114"/>
    <cellStyle name="Mon?aire_AR1194" xfId="37115"/>
    <cellStyle name="Monétaire [0]_!!!GO" xfId="37116"/>
    <cellStyle name="Monétaire_!!!GO" xfId="37117"/>
    <cellStyle name="Mon騁aire [0]_AR1194" xfId="37118"/>
    <cellStyle name="Mon騁aire_AR1194" xfId="37119"/>
    <cellStyle name="MS_Arabic" xfId="37120"/>
    <cellStyle name="Multiple" xfId="37121"/>
    <cellStyle name="Multiple 2" xfId="37122"/>
    <cellStyle name="Multiple 2 2" xfId="37123"/>
    <cellStyle name="Multiple 2 3" xfId="37124"/>
    <cellStyle name="Multiple 3" xfId="37125"/>
    <cellStyle name="Multiple 3 2" xfId="37126"/>
    <cellStyle name="Multiple 4" xfId="37127"/>
    <cellStyle name="Multiple 4 2" xfId="37128"/>
    <cellStyle name="Multiple 5" xfId="37129"/>
    <cellStyle name="Multiple 5 2" xfId="37130"/>
    <cellStyle name="Multiple 6" xfId="37131"/>
    <cellStyle name="Multiple 6 2" xfId="37132"/>
    <cellStyle name="n" xfId="37133"/>
    <cellStyle name="Names" xfId="37134"/>
    <cellStyle name="Names 2" xfId="37135"/>
    <cellStyle name="Neutral 10" xfId="37136"/>
    <cellStyle name="Neutral 10 2" xfId="37137"/>
    <cellStyle name="Neutral 10 3" xfId="37138"/>
    <cellStyle name="Neutral 11" xfId="37139"/>
    <cellStyle name="Neutral 11 2" xfId="37140"/>
    <cellStyle name="Neutral 11 3" xfId="37141"/>
    <cellStyle name="Neutral 12" xfId="37142"/>
    <cellStyle name="Neutral 12 2" xfId="37143"/>
    <cellStyle name="Neutral 12 3" xfId="37144"/>
    <cellStyle name="Neutral 13" xfId="37145"/>
    <cellStyle name="Neutral 13 2" xfId="37146"/>
    <cellStyle name="Neutral 13 3" xfId="37147"/>
    <cellStyle name="Neutral 14" xfId="37148"/>
    <cellStyle name="Neutral 14 2" xfId="37149"/>
    <cellStyle name="Neutral 14 3" xfId="37150"/>
    <cellStyle name="Neutral 15" xfId="37151"/>
    <cellStyle name="Neutral 15 2" xfId="37152"/>
    <cellStyle name="Neutral 15 3" xfId="37153"/>
    <cellStyle name="Neutral 16" xfId="37154"/>
    <cellStyle name="Neutral 16 2" xfId="37155"/>
    <cellStyle name="Neutral 16 3" xfId="37156"/>
    <cellStyle name="Neutral 17" xfId="37157"/>
    <cellStyle name="Neutral 17 2" xfId="37158"/>
    <cellStyle name="Neutral 17 3" xfId="37159"/>
    <cellStyle name="Neutral 18" xfId="37160"/>
    <cellStyle name="Neutral 18 2" xfId="37161"/>
    <cellStyle name="Neutral 18 3" xfId="37162"/>
    <cellStyle name="Neutral 19" xfId="37163"/>
    <cellStyle name="Neutral 2" xfId="37164"/>
    <cellStyle name="Neutral 2 2" xfId="37165"/>
    <cellStyle name="Neutral 2 2 2" xfId="37166"/>
    <cellStyle name="Neutral 2 2 2 2" xfId="37167"/>
    <cellStyle name="Neutral 2 2 2_PM Okt 2014 Plan VS Actual Planning Workshop" xfId="37168"/>
    <cellStyle name="Neutral 2 2 3" xfId="37169"/>
    <cellStyle name="Neutral 2 2 4" xfId="37170"/>
    <cellStyle name="Neutral 2 3" xfId="37171"/>
    <cellStyle name="Neutral 2 3 2" xfId="37172"/>
    <cellStyle name="Neutral 2 3 2 2" xfId="37173"/>
    <cellStyle name="Neutral 2 3 2_PM Okt 2014 Plan VS Actual Planning Workshop" xfId="37174"/>
    <cellStyle name="Neutral 2 3 3" xfId="37175"/>
    <cellStyle name="Neutral 2 4" xfId="37176"/>
    <cellStyle name="Neutral 2 4 2" xfId="37177"/>
    <cellStyle name="Neutral 2 5" xfId="37178"/>
    <cellStyle name="Neutral 2_Copy of PREPAID INSURANCE - ASSETS (deni)" xfId="37179"/>
    <cellStyle name="Neutral 20" xfId="37180"/>
    <cellStyle name="Neutral 21" xfId="37181"/>
    <cellStyle name="Neutral 22" xfId="37182"/>
    <cellStyle name="Neutral 23" xfId="37183"/>
    <cellStyle name="Neutral 24" xfId="37184"/>
    <cellStyle name="Neutral 25" xfId="37185"/>
    <cellStyle name="Neutral 26" xfId="37186"/>
    <cellStyle name="Neutral 27" xfId="37187"/>
    <cellStyle name="Neutral 28" xfId="37188"/>
    <cellStyle name="Neutral 29" xfId="37189"/>
    <cellStyle name="Neutral 3" xfId="37190"/>
    <cellStyle name="Neutral 3 2" xfId="37191"/>
    <cellStyle name="Neutral 3 3" xfId="37192"/>
    <cellStyle name="Neutral 30" xfId="37193"/>
    <cellStyle name="Neutral 31" xfId="37194"/>
    <cellStyle name="Neutral 32" xfId="37195"/>
    <cellStyle name="Neutral 33" xfId="37196"/>
    <cellStyle name="Neutral 34" xfId="37197"/>
    <cellStyle name="Neutral 35" xfId="37198"/>
    <cellStyle name="Neutral 36" xfId="37199"/>
    <cellStyle name="Neutral 37" xfId="37200"/>
    <cellStyle name="Neutral 38" xfId="37201"/>
    <cellStyle name="Neutral 39" xfId="37202"/>
    <cellStyle name="Neutral 4" xfId="37203"/>
    <cellStyle name="Neutral 4 2" xfId="37204"/>
    <cellStyle name="Neutral 4 3" xfId="37205"/>
    <cellStyle name="Neutral 4 4" xfId="58448"/>
    <cellStyle name="Neutral 40" xfId="37206"/>
    <cellStyle name="Neutral 41" xfId="37207"/>
    <cellStyle name="Neutral 42" xfId="37208"/>
    <cellStyle name="Neutral 43" xfId="37209"/>
    <cellStyle name="Neutral 44" xfId="37210"/>
    <cellStyle name="Neutral 45" xfId="37211"/>
    <cellStyle name="Neutral 46" xfId="37212"/>
    <cellStyle name="Neutral 47" xfId="37213"/>
    <cellStyle name="Neutral 48" xfId="37214"/>
    <cellStyle name="Neutral 49" xfId="37215"/>
    <cellStyle name="Neutral 5" xfId="37216"/>
    <cellStyle name="Neutral 5 2" xfId="37217"/>
    <cellStyle name="Neutral 5 3" xfId="37218"/>
    <cellStyle name="Neutral 50" xfId="37219"/>
    <cellStyle name="Neutral 51" xfId="37220"/>
    <cellStyle name="Neutral 52" xfId="37221"/>
    <cellStyle name="Neutral 53" xfId="37222"/>
    <cellStyle name="Neutral 54" xfId="37223"/>
    <cellStyle name="Neutral 55" xfId="37224"/>
    <cellStyle name="Neutral 56" xfId="37225"/>
    <cellStyle name="Neutral 57" xfId="37226"/>
    <cellStyle name="Neutral 58" xfId="37227"/>
    <cellStyle name="Neutral 59" xfId="37228"/>
    <cellStyle name="Neutral 6" xfId="37229"/>
    <cellStyle name="Neutral 6 2" xfId="37230"/>
    <cellStyle name="Neutral 6 3" xfId="37231"/>
    <cellStyle name="Neutral 60" xfId="37232"/>
    <cellStyle name="Neutral 61" xfId="37233"/>
    <cellStyle name="Neutral 7" xfId="37234"/>
    <cellStyle name="Neutral 7 2" xfId="37235"/>
    <cellStyle name="Neutral 7 3" xfId="37236"/>
    <cellStyle name="Neutral 8" xfId="37237"/>
    <cellStyle name="Neutral 8 2" xfId="37238"/>
    <cellStyle name="Neutral 8 3" xfId="37239"/>
    <cellStyle name="Neutral 9" xfId="37240"/>
    <cellStyle name="Neutral 9 2" xfId="37241"/>
    <cellStyle name="Neutral 9 3" xfId="37242"/>
    <cellStyle name="new" xfId="37243"/>
    <cellStyle name="No Data" xfId="37244"/>
    <cellStyle name="No Data 2" xfId="37245"/>
    <cellStyle name="no dec" xfId="37246"/>
    <cellStyle name="no dec 2" xfId="57801"/>
    <cellStyle name="nomor" xfId="37247"/>
    <cellStyle name="Nor_x0004_al" xfId="37248"/>
    <cellStyle name="Nor_x0004_al 2" xfId="37249"/>
    <cellStyle name="Nor_x0004_al_Data" xfId="37250"/>
    <cellStyle name="norm" xfId="37251"/>
    <cellStyle name="Norm੎੎ 2" xfId="57802"/>
    <cellStyle name="Normal" xfId="0" builtinId="0"/>
    <cellStyle name="Normal - Style1" xfId="37252"/>
    <cellStyle name="Normal - Style1 2" xfId="37253"/>
    <cellStyle name="Normal - Style2" xfId="37254"/>
    <cellStyle name="Normal - Style2 2" xfId="37255"/>
    <cellStyle name="Normal - Style3" xfId="37256"/>
    <cellStyle name="Normal - Style3 2" xfId="37257"/>
    <cellStyle name="Normal - Style4" xfId="37258"/>
    <cellStyle name="Normal - Style4 2" xfId="37259"/>
    <cellStyle name="Normal - Style5" xfId="37260"/>
    <cellStyle name="Normal - Style5 2" xfId="37261"/>
    <cellStyle name="Normal - Style5 3" xfId="58449"/>
    <cellStyle name="Normal - Style6" xfId="37262"/>
    <cellStyle name="Normal - Style6 2" xfId="37263"/>
    <cellStyle name="Normal - Style7" xfId="37264"/>
    <cellStyle name="Normal - Style7 2" xfId="37265"/>
    <cellStyle name="Normal - Style8" xfId="37266"/>
    <cellStyle name="Normal - Style8 2" xfId="37267"/>
    <cellStyle name="Normal - ｵ鮖蘯ｺ1" xfId="37268"/>
    <cellStyle name="Normal - ต้นแบบ1" xfId="37269"/>
    <cellStyle name="Normal %" xfId="37270"/>
    <cellStyle name="Normal 10" xfId="37271"/>
    <cellStyle name="Normal 10 10" xfId="37272"/>
    <cellStyle name="Normal 10 10 2" xfId="37273"/>
    <cellStyle name="Normal 10 10 2 2" xfId="57803"/>
    <cellStyle name="Normal 10 11" xfId="37274"/>
    <cellStyle name="Normal 10 12" xfId="37275"/>
    <cellStyle name="Normal 10 13" xfId="37276"/>
    <cellStyle name="Normal 10 14" xfId="37277"/>
    <cellStyle name="Normal 10 15" xfId="37278"/>
    <cellStyle name="Normal 10 16" xfId="37279"/>
    <cellStyle name="Normal 10 17" xfId="37280"/>
    <cellStyle name="Normal 10 18" xfId="37281"/>
    <cellStyle name="Normal 10 19" xfId="37282"/>
    <cellStyle name="Normal 10 2" xfId="36"/>
    <cellStyle name="Normal 10 2 2" xfId="37283"/>
    <cellStyle name="Normal 10 2 2 2" xfId="37284"/>
    <cellStyle name="Normal 10 2 3" xfId="37285"/>
    <cellStyle name="Normal 10 2 3 2" xfId="37286"/>
    <cellStyle name="Normal 10 2 3 2 2" xfId="37287"/>
    <cellStyle name="Normal 10 2 3 2 2 2" xfId="37288"/>
    <cellStyle name="Normal 10 2 3 2 3" xfId="37289"/>
    <cellStyle name="Normal 10 2 3 3" xfId="37290"/>
    <cellStyle name="Normal 10 2 3 3 2" xfId="37291"/>
    <cellStyle name="Normal 10 2 3 4" xfId="37292"/>
    <cellStyle name="Normal 10 2 4" xfId="37293"/>
    <cellStyle name="Normal 10 2 4 2" xfId="37294"/>
    <cellStyle name="Normal 10 2 4 2 2" xfId="37295"/>
    <cellStyle name="Normal 10 2 4 3" xfId="37296"/>
    <cellStyle name="Normal 10 2 5" xfId="37297"/>
    <cellStyle name="Normal 10 2 5 2" xfId="37298"/>
    <cellStyle name="Normal 10 2 6" xfId="37299"/>
    <cellStyle name="Normal 10 2 7" xfId="57804"/>
    <cellStyle name="Normal 10 2_ADVANCE 1189000004 REIMBURSHMENT NOP 11" xfId="37300"/>
    <cellStyle name="Normal 10 20" xfId="37301"/>
    <cellStyle name="Normal 10 21" xfId="37302"/>
    <cellStyle name="Normal 10 22" xfId="37303"/>
    <cellStyle name="Normal 10 23" xfId="37304"/>
    <cellStyle name="Normal 10 24" xfId="37305"/>
    <cellStyle name="Normal 10 25" xfId="37306"/>
    <cellStyle name="Normal 10 26" xfId="37307"/>
    <cellStyle name="Normal 10 27" xfId="37308"/>
    <cellStyle name="Normal 10 28" xfId="37309"/>
    <cellStyle name="Normal 10 29" xfId="37310"/>
    <cellStyle name="Normal 10 3" xfId="37311"/>
    <cellStyle name="Normal 10 3 10" xfId="37312"/>
    <cellStyle name="Normal 10 3 10 2" xfId="37313"/>
    <cellStyle name="Normal 10 3 11" xfId="37314"/>
    <cellStyle name="Normal 10 3 11 2" xfId="37315"/>
    <cellStyle name="Normal 10 3 12" xfId="37316"/>
    <cellStyle name="Normal 10 3 12 2" xfId="37317"/>
    <cellStyle name="Normal 10 3 13" xfId="37318"/>
    <cellStyle name="Normal 10 3 2" xfId="37319"/>
    <cellStyle name="Normal 10 3 2 2" xfId="37320"/>
    <cellStyle name="Normal 10 3 2 2 2" xfId="37321"/>
    <cellStyle name="Normal 10 3 2 2 2 2" xfId="37322"/>
    <cellStyle name="Normal 10 3 2 2 2 2 2" xfId="37323"/>
    <cellStyle name="Normal 10 3 2 2 2 2 2 2" xfId="37324"/>
    <cellStyle name="Normal 10 3 2 2 2 2 3" xfId="37325"/>
    <cellStyle name="Normal 10 3 2 2 2 3" xfId="37326"/>
    <cellStyle name="Normal 10 3 2 2 2 3 2" xfId="37327"/>
    <cellStyle name="Normal 10 3 2 2 2 4" xfId="37328"/>
    <cellStyle name="Normal 10 3 2 2 2 4 2" xfId="37329"/>
    <cellStyle name="Normal 10 3 2 2 2 5" xfId="37330"/>
    <cellStyle name="Normal 10 3 2 2 2 5 2" xfId="37331"/>
    <cellStyle name="Normal 10 3 2 2 2 6" xfId="37332"/>
    <cellStyle name="Normal 10 3 2 2 3" xfId="37333"/>
    <cellStyle name="Normal 10 3 2 2 3 2" xfId="37334"/>
    <cellStyle name="Normal 10 3 2 2 3 2 2" xfId="37335"/>
    <cellStyle name="Normal 10 3 2 2 3 3" xfId="37336"/>
    <cellStyle name="Normal 10 3 2 2 4" xfId="37337"/>
    <cellStyle name="Normal 10 3 2 2 4 2" xfId="37338"/>
    <cellStyle name="Normal 10 3 2 2 5" xfId="37339"/>
    <cellStyle name="Normal 10 3 2 2 5 2" xfId="37340"/>
    <cellStyle name="Normal 10 3 2 2 6" xfId="37341"/>
    <cellStyle name="Normal 10 3 2 2 6 2" xfId="37342"/>
    <cellStyle name="Normal 10 3 2 2 7" xfId="37343"/>
    <cellStyle name="Normal 10 3 2 3" xfId="37344"/>
    <cellStyle name="Normal 10 3 2 3 2" xfId="37345"/>
    <cellStyle name="Normal 10 3 2 3 2 2" xfId="37346"/>
    <cellStyle name="Normal 10 3 2 3 2 2 2" xfId="37347"/>
    <cellStyle name="Normal 10 3 2 3 2 3" xfId="37348"/>
    <cellStyle name="Normal 10 3 2 3 3" xfId="37349"/>
    <cellStyle name="Normal 10 3 2 3 3 2" xfId="37350"/>
    <cellStyle name="Normal 10 3 2 3 4" xfId="37351"/>
    <cellStyle name="Normal 10 3 2 3 4 2" xfId="37352"/>
    <cellStyle name="Normal 10 3 2 3 5" xfId="37353"/>
    <cellStyle name="Normal 10 3 2 3 5 2" xfId="37354"/>
    <cellStyle name="Normal 10 3 2 3 6" xfId="37355"/>
    <cellStyle name="Normal 10 3 2 4" xfId="37356"/>
    <cellStyle name="Normal 10 3 2 4 2" xfId="37357"/>
    <cellStyle name="Normal 10 3 2 4 2 2" xfId="37358"/>
    <cellStyle name="Normal 10 3 2 4 3" xfId="37359"/>
    <cellStyle name="Normal 10 3 2 5" xfId="37360"/>
    <cellStyle name="Normal 10 3 2 5 2" xfId="37361"/>
    <cellStyle name="Normal 10 3 2 6" xfId="37362"/>
    <cellStyle name="Normal 10 3 2 6 2" xfId="37363"/>
    <cellStyle name="Normal 10 3 2 7" xfId="37364"/>
    <cellStyle name="Normal 10 3 2 7 2" xfId="37365"/>
    <cellStyle name="Normal 10 3 2 8" xfId="37366"/>
    <cellStyle name="Normal 10 3 2 8 2" xfId="37367"/>
    <cellStyle name="Normal 10 3 2 9" xfId="57805"/>
    <cellStyle name="Normal 10 3 3" xfId="37368"/>
    <cellStyle name="Normal 10 3 3 2" xfId="37369"/>
    <cellStyle name="Normal 10 3 3 2 2" xfId="37370"/>
    <cellStyle name="Normal 10 3 3 2 2 2" xfId="37371"/>
    <cellStyle name="Normal 10 3 3 2 2 2 2" xfId="37372"/>
    <cellStyle name="Normal 10 3 3 2 2 2 2 2" xfId="37373"/>
    <cellStyle name="Normal 10 3 3 2 2 2 3" xfId="37374"/>
    <cellStyle name="Normal 10 3 3 2 2 3" xfId="37375"/>
    <cellStyle name="Normal 10 3 3 2 2 3 2" xfId="37376"/>
    <cellStyle name="Normal 10 3 3 2 2 4" xfId="37377"/>
    <cellStyle name="Normal 10 3 3 2 2 4 2" xfId="37378"/>
    <cellStyle name="Normal 10 3 3 2 2 5" xfId="37379"/>
    <cellStyle name="Normal 10 3 3 2 2 5 2" xfId="37380"/>
    <cellStyle name="Normal 10 3 3 2 2 6" xfId="37381"/>
    <cellStyle name="Normal 10 3 3 2 3" xfId="37382"/>
    <cellStyle name="Normal 10 3 3 2 3 2" xfId="37383"/>
    <cellStyle name="Normal 10 3 3 2 3 2 2" xfId="37384"/>
    <cellStyle name="Normal 10 3 3 2 3 3" xfId="37385"/>
    <cellStyle name="Normal 10 3 3 2 4" xfId="37386"/>
    <cellStyle name="Normal 10 3 3 2 4 2" xfId="37387"/>
    <cellStyle name="Normal 10 3 3 2 5" xfId="37388"/>
    <cellStyle name="Normal 10 3 3 2 5 2" xfId="37389"/>
    <cellStyle name="Normal 10 3 3 2 6" xfId="37390"/>
    <cellStyle name="Normal 10 3 3 2 6 2" xfId="37391"/>
    <cellStyle name="Normal 10 3 3 2 7" xfId="37392"/>
    <cellStyle name="Normal 10 3 3 3" xfId="37393"/>
    <cellStyle name="Normal 10 3 3 3 2" xfId="37394"/>
    <cellStyle name="Normal 10 3 3 3 2 2" xfId="37395"/>
    <cellStyle name="Normal 10 3 3 3 2 2 2" xfId="37396"/>
    <cellStyle name="Normal 10 3 3 3 2 3" xfId="37397"/>
    <cellStyle name="Normal 10 3 3 3 3" xfId="37398"/>
    <cellStyle name="Normal 10 3 3 3 3 2" xfId="37399"/>
    <cellStyle name="Normal 10 3 3 3 4" xfId="37400"/>
    <cellStyle name="Normal 10 3 3 3 4 2" xfId="37401"/>
    <cellStyle name="Normal 10 3 3 3 5" xfId="37402"/>
    <cellStyle name="Normal 10 3 3 3 5 2" xfId="37403"/>
    <cellStyle name="Normal 10 3 3 3 6" xfId="37404"/>
    <cellStyle name="Normal 10 3 3 4" xfId="37405"/>
    <cellStyle name="Normal 10 3 3 4 2" xfId="37406"/>
    <cellStyle name="Normal 10 3 3 4 2 2" xfId="37407"/>
    <cellStyle name="Normal 10 3 3 4 3" xfId="37408"/>
    <cellStyle name="Normal 10 3 3 5" xfId="37409"/>
    <cellStyle name="Normal 10 3 3 5 2" xfId="37410"/>
    <cellStyle name="Normal 10 3 3 6" xfId="37411"/>
    <cellStyle name="Normal 10 3 3 6 2" xfId="37412"/>
    <cellStyle name="Normal 10 3 3 7" xfId="37413"/>
    <cellStyle name="Normal 10 3 3 7 2" xfId="37414"/>
    <cellStyle name="Normal 10 3 3 8" xfId="37415"/>
    <cellStyle name="Normal 10 3 4" xfId="37416"/>
    <cellStyle name="Normal 10 3 4 2" xfId="37417"/>
    <cellStyle name="Normal 10 3 4 2 2" xfId="37418"/>
    <cellStyle name="Normal 10 3 4 2 2 2" xfId="37419"/>
    <cellStyle name="Normal 10 3 4 2 2 2 2" xfId="37420"/>
    <cellStyle name="Normal 10 3 4 2 2 3" xfId="37421"/>
    <cellStyle name="Normal 10 3 4 2 3" xfId="37422"/>
    <cellStyle name="Normal 10 3 4 2 3 2" xfId="37423"/>
    <cellStyle name="Normal 10 3 4 2 4" xfId="37424"/>
    <cellStyle name="Normal 10 3 4 2 4 2" xfId="37425"/>
    <cellStyle name="Normal 10 3 4 2 5" xfId="37426"/>
    <cellStyle name="Normal 10 3 4 2 5 2" xfId="37427"/>
    <cellStyle name="Normal 10 3 4 2 6" xfId="37428"/>
    <cellStyle name="Normal 10 3 4 3" xfId="37429"/>
    <cellStyle name="Normal 10 3 4 3 2" xfId="37430"/>
    <cellStyle name="Normal 10 3 4 3 2 2" xfId="37431"/>
    <cellStyle name="Normal 10 3 4 3 3" xfId="37432"/>
    <cellStyle name="Normal 10 3 4 4" xfId="37433"/>
    <cellStyle name="Normal 10 3 4 4 2" xfId="37434"/>
    <cellStyle name="Normal 10 3 4 5" xfId="37435"/>
    <cellStyle name="Normal 10 3 4 5 2" xfId="37436"/>
    <cellStyle name="Normal 10 3 4 6" xfId="37437"/>
    <cellStyle name="Normal 10 3 4 6 2" xfId="37438"/>
    <cellStyle name="Normal 10 3 4 7" xfId="37439"/>
    <cellStyle name="Normal 10 3 5" xfId="37440"/>
    <cellStyle name="Normal 10 3 5 2" xfId="37441"/>
    <cellStyle name="Normal 10 3 5 2 2" xfId="37442"/>
    <cellStyle name="Normal 10 3 5 2 2 2" xfId="37443"/>
    <cellStyle name="Normal 10 3 5 2 2 2 2" xfId="37444"/>
    <cellStyle name="Normal 10 3 5 2 2 3" xfId="37445"/>
    <cellStyle name="Normal 10 3 5 2 3" xfId="37446"/>
    <cellStyle name="Normal 10 3 5 2 3 2" xfId="37447"/>
    <cellStyle name="Normal 10 3 5 2 4" xfId="37448"/>
    <cellStyle name="Normal 10 3 5 2 4 2" xfId="37449"/>
    <cellStyle name="Normal 10 3 5 2 5" xfId="37450"/>
    <cellStyle name="Normal 10 3 5 2 5 2" xfId="37451"/>
    <cellStyle name="Normal 10 3 5 2 6" xfId="37452"/>
    <cellStyle name="Normal 10 3 5 3" xfId="37453"/>
    <cellStyle name="Normal 10 3 5 3 2" xfId="37454"/>
    <cellStyle name="Normal 10 3 5 3 2 2" xfId="37455"/>
    <cellStyle name="Normal 10 3 5 3 3" xfId="37456"/>
    <cellStyle name="Normal 10 3 5 4" xfId="37457"/>
    <cellStyle name="Normal 10 3 5 4 2" xfId="37458"/>
    <cellStyle name="Normal 10 3 5 5" xfId="37459"/>
    <cellStyle name="Normal 10 3 5 5 2" xfId="37460"/>
    <cellStyle name="Normal 10 3 5 6" xfId="37461"/>
    <cellStyle name="Normal 10 3 5 6 2" xfId="37462"/>
    <cellStyle name="Normal 10 3 5 7" xfId="37463"/>
    <cellStyle name="Normal 10 3 6" xfId="37464"/>
    <cellStyle name="Normal 10 3 6 2" xfId="37465"/>
    <cellStyle name="Normal 10 3 6 2 2" xfId="37466"/>
    <cellStyle name="Normal 10 3 6 2 2 2" xfId="37467"/>
    <cellStyle name="Normal 10 3 6 2 3" xfId="37468"/>
    <cellStyle name="Normal 10 3 6 3" xfId="37469"/>
    <cellStyle name="Normal 10 3 6 3 2" xfId="37470"/>
    <cellStyle name="Normal 10 3 6 4" xfId="37471"/>
    <cellStyle name="Normal 10 3 6 4 2" xfId="37472"/>
    <cellStyle name="Normal 10 3 6 5" xfId="37473"/>
    <cellStyle name="Normal 10 3 6 5 2" xfId="37474"/>
    <cellStyle name="Normal 10 3 6 6" xfId="37475"/>
    <cellStyle name="Normal 10 3 7" xfId="37476"/>
    <cellStyle name="Normal 10 3 7 2" xfId="37477"/>
    <cellStyle name="Normal 10 3 7 2 2" xfId="37478"/>
    <cellStyle name="Normal 10 3 7 2 2 2" xfId="37479"/>
    <cellStyle name="Normal 10 3 7 2 3" xfId="37480"/>
    <cellStyle name="Normal 10 3 7 3" xfId="37481"/>
    <cellStyle name="Normal 10 3 7 3 2" xfId="37482"/>
    <cellStyle name="Normal 10 3 7 4" xfId="37483"/>
    <cellStyle name="Normal 10 3 7 4 2" xfId="37484"/>
    <cellStyle name="Normal 10 3 7 5" xfId="37485"/>
    <cellStyle name="Normal 10 3 7 5 2" xfId="37486"/>
    <cellStyle name="Normal 10 3 7 6" xfId="37487"/>
    <cellStyle name="Normal 10 3 8" xfId="37488"/>
    <cellStyle name="Normal 10 3 8 2" xfId="37489"/>
    <cellStyle name="Normal 10 3 8 2 2" xfId="37490"/>
    <cellStyle name="Normal 10 3 8 2 2 2" xfId="37491"/>
    <cellStyle name="Normal 10 3 8 2 3" xfId="37492"/>
    <cellStyle name="Normal 10 3 8 3" xfId="37493"/>
    <cellStyle name="Normal 10 3 8 3 2" xfId="37494"/>
    <cellStyle name="Normal 10 3 8 4" xfId="37495"/>
    <cellStyle name="Normal 10 3 8 4 2" xfId="37496"/>
    <cellStyle name="Normal 10 3 8 5" xfId="37497"/>
    <cellStyle name="Normal 10 3 8 5 2" xfId="37498"/>
    <cellStyle name="Normal 10 3 8 6" xfId="37499"/>
    <cellStyle name="Normal 10 3 9" xfId="37500"/>
    <cellStyle name="Normal 10 3 9 2" xfId="37501"/>
    <cellStyle name="Normal 10 3 9 2 2" xfId="37502"/>
    <cellStyle name="Normal 10 3 9 3" xfId="37503"/>
    <cellStyle name="Normal 10 30" xfId="37504"/>
    <cellStyle name="Normal 10 31" xfId="37505"/>
    <cellStyle name="Normal 10 32" xfId="37506"/>
    <cellStyle name="Normal 10 33" xfId="37507"/>
    <cellStyle name="Normal 10 34" xfId="37508"/>
    <cellStyle name="Normal 10 35" xfId="37509"/>
    <cellStyle name="Normal 10 36" xfId="37510"/>
    <cellStyle name="Normal 10 37" xfId="37511"/>
    <cellStyle name="Normal 10 38" xfId="37512"/>
    <cellStyle name="Normal 10 39" xfId="37513"/>
    <cellStyle name="Normal 10 4" xfId="37514"/>
    <cellStyle name="Normal 10 4 2" xfId="37515"/>
    <cellStyle name="Normal 10 4 3" xfId="37516"/>
    <cellStyle name="Normal 10 4 4" xfId="57806"/>
    <cellStyle name="Normal 10 40" xfId="37517"/>
    <cellStyle name="Normal 10 41" xfId="37518"/>
    <cellStyle name="Normal 10 42" xfId="37519"/>
    <cellStyle name="Normal 10 43" xfId="37520"/>
    <cellStyle name="Normal 10 44" xfId="37521"/>
    <cellStyle name="Normal 10 45" xfId="37522"/>
    <cellStyle name="Normal 10 46" xfId="37523"/>
    <cellStyle name="Normal 10 47" xfId="37524"/>
    <cellStyle name="Normal 10 48" xfId="37525"/>
    <cellStyle name="Normal 10 49" xfId="37526"/>
    <cellStyle name="Normal 10 5" xfId="37527"/>
    <cellStyle name="Normal 10 5 2" xfId="37528"/>
    <cellStyle name="Normal 10 50" xfId="37529"/>
    <cellStyle name="Normal 10 51" xfId="37530"/>
    <cellStyle name="Normal 10 52" xfId="37531"/>
    <cellStyle name="Normal 10 53" xfId="37532"/>
    <cellStyle name="Normal 10 54" xfId="37533"/>
    <cellStyle name="Normal 10 55" xfId="37534"/>
    <cellStyle name="Normal 10 56" xfId="37535"/>
    <cellStyle name="Normal 10 57" xfId="37536"/>
    <cellStyle name="Normal 10 58" xfId="37537"/>
    <cellStyle name="Normal 10 59" xfId="37538"/>
    <cellStyle name="Normal 10 6" xfId="37539"/>
    <cellStyle name="Normal 10 60" xfId="37540"/>
    <cellStyle name="Normal 10 61" xfId="37541"/>
    <cellStyle name="Normal 10 62" xfId="37542"/>
    <cellStyle name="Normal 10 63" xfId="37543"/>
    <cellStyle name="Normal 10 64" xfId="37544"/>
    <cellStyle name="Normal 10 65" xfId="37545"/>
    <cellStyle name="Normal 10 66" xfId="37546"/>
    <cellStyle name="Normal 10 67" xfId="37547"/>
    <cellStyle name="Normal 10 68" xfId="37548"/>
    <cellStyle name="Normal 10 69" xfId="37549"/>
    <cellStyle name="Normal 10 7" xfId="37550"/>
    <cellStyle name="Normal 10 8" xfId="37551"/>
    <cellStyle name="Normal 10 9" xfId="37552"/>
    <cellStyle name="Normal 10_ADVANCE 1189000004 REIMBURSHMENT NOP 11" xfId="37553"/>
    <cellStyle name="Normal 100" xfId="37554"/>
    <cellStyle name="Normal 100 2" xfId="37555"/>
    <cellStyle name="Normal 100 2 2" xfId="37556"/>
    <cellStyle name="Normal 100 2 2 2" xfId="37557"/>
    <cellStyle name="Normal 100 2 2 2 2" xfId="37558"/>
    <cellStyle name="Normal 100 2 2 3" xfId="37559"/>
    <cellStyle name="Normal 100 2 3" xfId="37560"/>
    <cellStyle name="Normal 100 2 3 2" xfId="37561"/>
    <cellStyle name="Normal 100 2 4" xfId="37562"/>
    <cellStyle name="Normal 100 3" xfId="37563"/>
    <cellStyle name="Normal 100 3 2" xfId="37564"/>
    <cellStyle name="Normal 100 3 2 2" xfId="37565"/>
    <cellStyle name="Normal 100 4" xfId="37566"/>
    <cellStyle name="Normal 100 4 2" xfId="37567"/>
    <cellStyle name="Normal 100 5" xfId="37568"/>
    <cellStyle name="Normal 101" xfId="37569"/>
    <cellStyle name="Normal 101 2" xfId="37570"/>
    <cellStyle name="Normal 101 2 2" xfId="37571"/>
    <cellStyle name="Normal 101 2 2 2" xfId="37572"/>
    <cellStyle name="Normal 101 2 2 2 2" xfId="37573"/>
    <cellStyle name="Normal 101 2 2 3" xfId="37574"/>
    <cellStyle name="Normal 101 2 3" xfId="37575"/>
    <cellStyle name="Normal 101 2 3 2" xfId="37576"/>
    <cellStyle name="Normal 101 2 4" xfId="37577"/>
    <cellStyle name="Normal 101 3" xfId="37578"/>
    <cellStyle name="Normal 101 3 2" xfId="37579"/>
    <cellStyle name="Normal 101 3 2 2" xfId="37580"/>
    <cellStyle name="Normal 101 4" xfId="37581"/>
    <cellStyle name="Normal 101 4 2" xfId="37582"/>
    <cellStyle name="Normal 101 5" xfId="37583"/>
    <cellStyle name="Normal 102" xfId="37584"/>
    <cellStyle name="Normal 102 2" xfId="37585"/>
    <cellStyle name="Normal 102 2 2" xfId="37586"/>
    <cellStyle name="Normal 102 2 2 2" xfId="37587"/>
    <cellStyle name="Normal 102 2 2 2 2" xfId="37588"/>
    <cellStyle name="Normal 102 2 2 3" xfId="37589"/>
    <cellStyle name="Normal 102 2 3" xfId="37590"/>
    <cellStyle name="Normal 102 2 3 2" xfId="37591"/>
    <cellStyle name="Normal 102 2 4" xfId="37592"/>
    <cellStyle name="Normal 102 3" xfId="37593"/>
    <cellStyle name="Normal 102 3 2" xfId="37594"/>
    <cellStyle name="Normal 102 3 2 2" xfId="37595"/>
    <cellStyle name="Normal 102 4" xfId="37596"/>
    <cellStyle name="Normal 102 4 2" xfId="37597"/>
    <cellStyle name="Normal 102 5" xfId="37598"/>
    <cellStyle name="Normal 103" xfId="37599"/>
    <cellStyle name="Normal 103 2" xfId="37600"/>
    <cellStyle name="Normal 103 2 2" xfId="37601"/>
    <cellStyle name="Normal 103 2 2 2" xfId="37602"/>
    <cellStyle name="Normal 103 2 2 2 2" xfId="37603"/>
    <cellStyle name="Normal 103 2 2 3" xfId="37604"/>
    <cellStyle name="Normal 103 2 3" xfId="37605"/>
    <cellStyle name="Normal 103 2 3 2" xfId="37606"/>
    <cellStyle name="Normal 103 2 4" xfId="37607"/>
    <cellStyle name="Normal 103 3" xfId="37608"/>
    <cellStyle name="Normal 103 3 2" xfId="37609"/>
    <cellStyle name="Normal 103 3 2 2" xfId="37610"/>
    <cellStyle name="Normal 103 4" xfId="37611"/>
    <cellStyle name="Normal 103 4 2" xfId="37612"/>
    <cellStyle name="Normal 103 5" xfId="37613"/>
    <cellStyle name="Normal 104" xfId="37614"/>
    <cellStyle name="Normal 104 2" xfId="37615"/>
    <cellStyle name="Normal 104 2 2" xfId="37616"/>
    <cellStyle name="Normal 104 2 2 2" xfId="37617"/>
    <cellStyle name="Normal 104 2 2 2 2" xfId="37618"/>
    <cellStyle name="Normal 104 2 2 3" xfId="37619"/>
    <cellStyle name="Normal 104 2 3" xfId="37620"/>
    <cellStyle name="Normal 104 2 3 2" xfId="37621"/>
    <cellStyle name="Normal 104 2 4" xfId="37622"/>
    <cellStyle name="Normal 104 3" xfId="37623"/>
    <cellStyle name="Normal 104 3 2" xfId="37624"/>
    <cellStyle name="Normal 104 3 2 2" xfId="37625"/>
    <cellStyle name="Normal 104 4" xfId="37626"/>
    <cellStyle name="Normal 104 4 2" xfId="37627"/>
    <cellStyle name="Normal 104 5" xfId="37628"/>
    <cellStyle name="Normal 105" xfId="37629"/>
    <cellStyle name="Normal 105 2" xfId="37630"/>
    <cellStyle name="Normal 105 2 2" xfId="37631"/>
    <cellStyle name="Normal 105 2 2 2" xfId="37632"/>
    <cellStyle name="Normal 105 2 2 2 2" xfId="37633"/>
    <cellStyle name="Normal 105 2 2 3" xfId="37634"/>
    <cellStyle name="Normal 105 2 3" xfId="37635"/>
    <cellStyle name="Normal 105 2 3 2" xfId="37636"/>
    <cellStyle name="Normal 105 2 4" xfId="37637"/>
    <cellStyle name="Normal 105 3" xfId="37638"/>
    <cellStyle name="Normal 105 3 2" xfId="37639"/>
    <cellStyle name="Normal 105 3 2 2" xfId="37640"/>
    <cellStyle name="Normal 105 4" xfId="37641"/>
    <cellStyle name="Normal 105 4 2" xfId="37642"/>
    <cellStyle name="Normal 105 5" xfId="37643"/>
    <cellStyle name="Normal 106" xfId="37644"/>
    <cellStyle name="Normal 106 2" xfId="37645"/>
    <cellStyle name="Normal 106 2 2" xfId="37646"/>
    <cellStyle name="Normal 106 2 2 2" xfId="37647"/>
    <cellStyle name="Normal 106 2 2 2 2" xfId="37648"/>
    <cellStyle name="Normal 106 2 2 3" xfId="37649"/>
    <cellStyle name="Normal 106 2 3" xfId="37650"/>
    <cellStyle name="Normal 106 2 3 2" xfId="37651"/>
    <cellStyle name="Normal 106 2 4" xfId="37652"/>
    <cellStyle name="Normal 106 3" xfId="37653"/>
    <cellStyle name="Normal 106 3 2" xfId="37654"/>
    <cellStyle name="Normal 106 3 2 2" xfId="37655"/>
    <cellStyle name="Normal 106 4" xfId="37656"/>
    <cellStyle name="Normal 106 4 2" xfId="37657"/>
    <cellStyle name="Normal 106 5" xfId="37658"/>
    <cellStyle name="Normal 107" xfId="37659"/>
    <cellStyle name="Normal 107 2" xfId="37660"/>
    <cellStyle name="Normal 107 2 2" xfId="37661"/>
    <cellStyle name="Normal 107 2 2 2" xfId="37662"/>
    <cellStyle name="Normal 107 2 2 2 2" xfId="37663"/>
    <cellStyle name="Normal 107 2 2 3" xfId="37664"/>
    <cellStyle name="Normal 107 2 3" xfId="37665"/>
    <cellStyle name="Normal 107 2 3 2" xfId="37666"/>
    <cellStyle name="Normal 107 2 4" xfId="37667"/>
    <cellStyle name="Normal 107 3" xfId="37668"/>
    <cellStyle name="Normal 107 3 2" xfId="37669"/>
    <cellStyle name="Normal 107 3 2 2" xfId="37670"/>
    <cellStyle name="Normal 107 4" xfId="37671"/>
    <cellStyle name="Normal 107 4 2" xfId="37672"/>
    <cellStyle name="Normal 107 5" xfId="37673"/>
    <cellStyle name="Normal 108" xfId="37674"/>
    <cellStyle name="Normal 108 2" xfId="37675"/>
    <cellStyle name="Normal 108 2 2" xfId="37676"/>
    <cellStyle name="Normal 108 2 2 2" xfId="37677"/>
    <cellStyle name="Normal 108 2 2 2 2" xfId="37678"/>
    <cellStyle name="Normal 108 2 2 2 2 2" xfId="37679"/>
    <cellStyle name="Normal 108 2 2 2 3" xfId="37680"/>
    <cellStyle name="Normal 108 2 2 3" xfId="37681"/>
    <cellStyle name="Normal 108 2 2 3 2" xfId="37682"/>
    <cellStyle name="Normal 108 2 2 4" xfId="37683"/>
    <cellStyle name="Normal 108 2 3" xfId="37684"/>
    <cellStyle name="Normal 108 2 3 2" xfId="37685"/>
    <cellStyle name="Normal 108 2 3 2 2" xfId="37686"/>
    <cellStyle name="Normal 108 2 3 3" xfId="37687"/>
    <cellStyle name="Normal 108 2 4" xfId="37688"/>
    <cellStyle name="Normal 108 2 4 2" xfId="37689"/>
    <cellStyle name="Normal 108 2 5" xfId="37690"/>
    <cellStyle name="Normal 108 3" xfId="37691"/>
    <cellStyle name="Normal 108 3 2" xfId="37692"/>
    <cellStyle name="Normal 108 3 2 2" xfId="37693"/>
    <cellStyle name="Normal 108 3 2 2 2" xfId="37694"/>
    <cellStyle name="Normal 108 3 2 3" xfId="37695"/>
    <cellStyle name="Normal 108 3 3" xfId="37696"/>
    <cellStyle name="Normal 108 3 3 2" xfId="37697"/>
    <cellStyle name="Normal 108 3 4" xfId="37698"/>
    <cellStyle name="Normal 108 4" xfId="37699"/>
    <cellStyle name="Normal 108 4 2" xfId="37700"/>
    <cellStyle name="Normal 108 4 2 2" xfId="37701"/>
    <cellStyle name="Normal 108 5" xfId="37702"/>
    <cellStyle name="Normal 108 5 2" xfId="37703"/>
    <cellStyle name="Normal 108 6" xfId="37704"/>
    <cellStyle name="Normal 109" xfId="37705"/>
    <cellStyle name="Normal 109 2" xfId="37706"/>
    <cellStyle name="Normal 109 2 2" xfId="37707"/>
    <cellStyle name="Normal 109 2 2 2" xfId="37708"/>
    <cellStyle name="Normal 109 2 2 2 2" xfId="37709"/>
    <cellStyle name="Normal 109 2 2 2 2 2" xfId="37710"/>
    <cellStyle name="Normal 109 2 2 2 2 2 2" xfId="37711"/>
    <cellStyle name="Normal 109 2 2 2 2 2 2 2" xfId="37712"/>
    <cellStyle name="Normal 109 2 2 2 2 2 2 2 2" xfId="37713"/>
    <cellStyle name="Normal 109 2 2 2 2 2 2 2 2 2" xfId="37714"/>
    <cellStyle name="Normal 109 2 2 2 2 2 2 2 2 2 2" xfId="37715"/>
    <cellStyle name="Normal 109 2 2 2 2 2 2 2 2 2 2 2" xfId="37716"/>
    <cellStyle name="Normal 109 2 2 2 2 2 2 2 2 2 2 2 2" xfId="37717"/>
    <cellStyle name="Normal 109 2 2 2 2 2 2 2 2 2 2 2 2 2" xfId="37718"/>
    <cellStyle name="Normal 109 2 2 2 2 2 2 2 2 2 2 2 3" xfId="37719"/>
    <cellStyle name="Normal 109 2 2 2 2 2 2 2 2 2 2 3" xfId="37720"/>
    <cellStyle name="Normal 109 2 2 2 2 2 2 2 2 2 2 3 2" xfId="37721"/>
    <cellStyle name="Normal 109 2 2 2 2 2 2 2 2 2 2 4" xfId="37722"/>
    <cellStyle name="Normal 109 2 2 2 2 2 2 2 2 2 3" xfId="37723"/>
    <cellStyle name="Normal 109 2 2 2 2 2 2 2 2 2 3 2" xfId="37724"/>
    <cellStyle name="Normal 109 2 2 2 2 2 2 2 2 2 3 2 2" xfId="37725"/>
    <cellStyle name="Normal 109 2 2 2 2 2 2 2 2 2 3 3" xfId="37726"/>
    <cellStyle name="Normal 109 2 2 2 2 2 2 2 2 2 4" xfId="37727"/>
    <cellStyle name="Normal 109 2 2 2 2 2 2 2 2 2 4 2" xfId="37728"/>
    <cellStyle name="Normal 109 2 2 2 2 2 2 2 2 2 5" xfId="37729"/>
    <cellStyle name="Normal 109 2 2 2 2 2 2 2 2 3" xfId="37730"/>
    <cellStyle name="Normal 109 2 2 2 2 2 2 2 2 3 2" xfId="37731"/>
    <cellStyle name="Normal 109 2 2 2 2 2 2 2 2 3 2 2" xfId="37732"/>
    <cellStyle name="Normal 109 2 2 2 2 2 2 2 2 3 2 2 2" xfId="37733"/>
    <cellStyle name="Normal 109 2 2 2 2 2 2 2 2 3 2 3" xfId="37734"/>
    <cellStyle name="Normal 109 2 2 2 2 2 2 2 2 3 3" xfId="37735"/>
    <cellStyle name="Normal 109 2 2 2 2 2 2 2 2 3 3 2" xfId="37736"/>
    <cellStyle name="Normal 109 2 2 2 2 2 2 2 2 3 4" xfId="37737"/>
    <cellStyle name="Normal 109 2 2 2 2 2 2 2 2 4" xfId="37738"/>
    <cellStyle name="Normal 109 2 2 2 2 2 2 2 2 4 2" xfId="37739"/>
    <cellStyle name="Normal 109 2 2 2 2 2 2 2 2 4 2 2" xfId="37740"/>
    <cellStyle name="Normal 109 2 2 2 2 2 2 2 2 4 3" xfId="37741"/>
    <cellStyle name="Normal 109 2 2 2 2 2 2 2 2 5" xfId="37742"/>
    <cellStyle name="Normal 109 2 2 2 2 2 2 2 2 5 2" xfId="37743"/>
    <cellStyle name="Normal 109 2 2 2 2 2 2 2 2 6" xfId="37744"/>
    <cellStyle name="Normal 109 2 2 2 2 2 2 2 3" xfId="37745"/>
    <cellStyle name="Normal 109 2 2 2 2 2 2 2 3 2" xfId="37746"/>
    <cellStyle name="Normal 109 2 2 2 2 2 2 2 3 2 2" xfId="37747"/>
    <cellStyle name="Normal 109 2 2 2 2 2 2 2 3 2 2 2" xfId="37748"/>
    <cellStyle name="Normal 109 2 2 2 2 2 2 2 3 2 2 2 2" xfId="37749"/>
    <cellStyle name="Normal 109 2 2 2 2 2 2 2 3 2 2 2 2 2" xfId="37750"/>
    <cellStyle name="Normal 109 2 2 2 2 2 2 2 3 2 2 2 3" xfId="37751"/>
    <cellStyle name="Normal 109 2 2 2 2 2 2 2 3 2 2 3" xfId="37752"/>
    <cellStyle name="Normal 109 2 2 2 2 2 2 2 3 2 2 3 2" xfId="37753"/>
    <cellStyle name="Normal 109 2 2 2 2 2 2 2 3 2 2 4" xfId="37754"/>
    <cellStyle name="Normal 109 2 2 2 2 2 2 2 3 2 3" xfId="37755"/>
    <cellStyle name="Normal 109 2 2 2 2 2 2 2 3 2 3 2" xfId="37756"/>
    <cellStyle name="Normal 109 2 2 2 2 2 2 2 3 2 3 2 2" xfId="37757"/>
    <cellStyle name="Normal 109 2 2 2 2 2 2 2 3 2 3 3" xfId="37758"/>
    <cellStyle name="Normal 109 2 2 2 2 2 2 2 3 2 4" xfId="37759"/>
    <cellStyle name="Normal 109 2 2 2 2 2 2 2 3 2 4 2" xfId="37760"/>
    <cellStyle name="Normal 109 2 2 2 2 2 2 2 3 2 5" xfId="37761"/>
    <cellStyle name="Normal 109 2 2 2 2 2 2 2 3 3" xfId="37762"/>
    <cellStyle name="Normal 109 2 2 2 2 2 2 2 3 3 2" xfId="37763"/>
    <cellStyle name="Normal 109 2 2 2 2 2 2 2 3 3 2 2" xfId="37764"/>
    <cellStyle name="Normal 109 2 2 2 2 2 2 2 3 3 2 2 2" xfId="37765"/>
    <cellStyle name="Normal 109 2 2 2 2 2 2 2 3 3 2 3" xfId="37766"/>
    <cellStyle name="Normal 109 2 2 2 2 2 2 2 3 3 3" xfId="37767"/>
    <cellStyle name="Normal 109 2 2 2 2 2 2 2 3 3 3 2" xfId="37768"/>
    <cellStyle name="Normal 109 2 2 2 2 2 2 2 3 3 4" xfId="37769"/>
    <cellStyle name="Normal 109 2 2 2 2 2 2 2 3 4" xfId="37770"/>
    <cellStyle name="Normal 109 2 2 2 2 2 2 2 3 4 2" xfId="37771"/>
    <cellStyle name="Normal 109 2 2 2 2 2 2 2 3 4 2 2" xfId="37772"/>
    <cellStyle name="Normal 109 2 2 2 2 2 2 2 3 4 3" xfId="37773"/>
    <cellStyle name="Normal 109 2 2 2 2 2 2 2 3 5" xfId="37774"/>
    <cellStyle name="Normal 109 2 2 2 2 2 2 2 3 5 2" xfId="37775"/>
    <cellStyle name="Normal 109 2 2 2 2 2 2 2 3 6" xfId="37776"/>
    <cellStyle name="Normal 109 2 2 2 2 2 2 2 4" xfId="37777"/>
    <cellStyle name="Normal 109 2 2 2 2 2 2 2 4 2" xfId="37778"/>
    <cellStyle name="Normal 109 2 2 2 2 2 2 2 4 2 2" xfId="37779"/>
    <cellStyle name="Normal 109 2 2 2 2 2 2 2 4 2 2 2" xfId="37780"/>
    <cellStyle name="Normal 109 2 2 2 2 2 2 2 4 2 3" xfId="37781"/>
    <cellStyle name="Normal 109 2 2 2 2 2 2 2 4 3" xfId="37782"/>
    <cellStyle name="Normal 109 2 2 2 2 2 2 2 4 3 2" xfId="37783"/>
    <cellStyle name="Normal 109 2 2 2 2 2 2 2 4 4" xfId="37784"/>
    <cellStyle name="Normal 109 2 2 2 2 2 2 2 5" xfId="37785"/>
    <cellStyle name="Normal 109 2 2 2 2 2 2 2 5 2" xfId="37786"/>
    <cellStyle name="Normal 109 2 2 2 2 2 2 2 5 2 2" xfId="37787"/>
    <cellStyle name="Normal 109 2 2 2 2 2 2 2 5 3" xfId="37788"/>
    <cellStyle name="Normal 109 2 2 2 2 2 2 2 6" xfId="37789"/>
    <cellStyle name="Normal 109 2 2 2 2 2 2 2 6 2" xfId="37790"/>
    <cellStyle name="Normal 109 2 2 2 2 2 2 2 7" xfId="37791"/>
    <cellStyle name="Normal 109 2 2 2 2 2 2 3" xfId="37792"/>
    <cellStyle name="Normal 109 2 2 2 2 2 2 3 2" xfId="37793"/>
    <cellStyle name="Normal 109 2 2 2 2 2 2 3 2 2" xfId="37794"/>
    <cellStyle name="Normal 109 2 2 2 2 2 2 3 2 2 2" xfId="37795"/>
    <cellStyle name="Normal 109 2 2 2 2 2 2 3 2 3" xfId="37796"/>
    <cellStyle name="Normal 109 2 2 2 2 2 2 3 3" xfId="37797"/>
    <cellStyle name="Normal 109 2 2 2 2 2 2 3 3 2" xfId="37798"/>
    <cellStyle name="Normal 109 2 2 2 2 2 2 3 4" xfId="37799"/>
    <cellStyle name="Normal 109 2 2 2 2 2 2 4" xfId="37800"/>
    <cellStyle name="Normal 109 2 2 2 2 2 2 4 2" xfId="37801"/>
    <cellStyle name="Normal 109 2 2 2 2 2 2 4 2 2" xfId="37802"/>
    <cellStyle name="Normal 109 2 2 2 2 2 2 4 3" xfId="37803"/>
    <cellStyle name="Normal 109 2 2 2 2 2 2 5" xfId="37804"/>
    <cellStyle name="Normal 109 2 2 2 2 2 2 5 2" xfId="37805"/>
    <cellStyle name="Normal 109 2 2 2 2 2 2 6" xfId="37806"/>
    <cellStyle name="Normal 109 2 2 2 2 2 3" xfId="37807"/>
    <cellStyle name="Normal 109 2 2 2 2 2 3 2" xfId="37808"/>
    <cellStyle name="Normal 109 2 2 2 2 2 3 2 2" xfId="37809"/>
    <cellStyle name="Normal 109 2 2 2 2 2 3 2 2 2" xfId="37810"/>
    <cellStyle name="Normal 109 2 2 2 2 2 3 2 3" xfId="37811"/>
    <cellStyle name="Normal 109 2 2 2 2 2 3 3" xfId="37812"/>
    <cellStyle name="Normal 109 2 2 2 2 2 3 3 2" xfId="37813"/>
    <cellStyle name="Normal 109 2 2 2 2 2 3 4" xfId="37814"/>
    <cellStyle name="Normal 109 2 2 2 2 2 4" xfId="37815"/>
    <cellStyle name="Normal 109 2 2 2 2 2 4 2" xfId="37816"/>
    <cellStyle name="Normal 109 2 2 2 2 2 4 2 2" xfId="37817"/>
    <cellStyle name="Normal 109 2 2 2 2 2 4 3" xfId="37818"/>
    <cellStyle name="Normal 109 2 2 2 2 2 5" xfId="37819"/>
    <cellStyle name="Normal 109 2 2 2 2 2 5 2" xfId="37820"/>
    <cellStyle name="Normal 109 2 2 2 2 2 6" xfId="37821"/>
    <cellStyle name="Normal 109 2 2 2 2 3" xfId="37822"/>
    <cellStyle name="Normal 109 2 2 2 2 3 2" xfId="37823"/>
    <cellStyle name="Normal 109 2 2 2 2 3 2 2" xfId="37824"/>
    <cellStyle name="Normal 109 2 2 2 2 3 2 2 2" xfId="37825"/>
    <cellStyle name="Normal 109 2 2 2 2 3 2 2 2 2" xfId="37826"/>
    <cellStyle name="Normal 109 2 2 2 2 3 2 2 3" xfId="37827"/>
    <cellStyle name="Normal 109 2 2 2 2 3 2 3" xfId="37828"/>
    <cellStyle name="Normal 109 2 2 2 2 3 2 3 2" xfId="37829"/>
    <cellStyle name="Normal 109 2 2 2 2 3 2 4" xfId="37830"/>
    <cellStyle name="Normal 109 2 2 2 2 3 3" xfId="37831"/>
    <cellStyle name="Normal 109 2 2 2 2 3 3 2" xfId="37832"/>
    <cellStyle name="Normal 109 2 2 2 2 3 3 2 2" xfId="37833"/>
    <cellStyle name="Normal 109 2 2 2 2 3 3 3" xfId="37834"/>
    <cellStyle name="Normal 109 2 2 2 2 3 4" xfId="37835"/>
    <cellStyle name="Normal 109 2 2 2 2 3 4 2" xfId="37836"/>
    <cellStyle name="Normal 109 2 2 2 2 3 5" xfId="37837"/>
    <cellStyle name="Normal 109 2 2 2 2 4" xfId="37838"/>
    <cellStyle name="Normal 109 2 2 2 2 4 2" xfId="37839"/>
    <cellStyle name="Normal 109 2 2 2 2 4 2 2" xfId="37840"/>
    <cellStyle name="Normal 109 2 2 2 2 4 2 2 2" xfId="37841"/>
    <cellStyle name="Normal 109 2 2 2 2 4 2 2 2 2" xfId="37842"/>
    <cellStyle name="Normal 109 2 2 2 2 4 2 2 2 2 2" xfId="37843"/>
    <cellStyle name="Normal 109 2 2 2 2 4 2 2 2 2 2 2" xfId="37844"/>
    <cellStyle name="Normal 109 2 2 2 2 4 2 2 2 2 2 2 2" xfId="37845"/>
    <cellStyle name="Normal 109 2 2 2 2 4 2 2 2 2 2 3" xfId="37846"/>
    <cellStyle name="Normal 109 2 2 2 2 4 2 2 2 2 3" xfId="37847"/>
    <cellStyle name="Normal 109 2 2 2 2 4 2 2 2 2 3 2" xfId="37848"/>
    <cellStyle name="Normal 109 2 2 2 2 4 2 2 2 2 4" xfId="37849"/>
    <cellStyle name="Normal 109 2 2 2 2 4 2 2 2 3" xfId="37850"/>
    <cellStyle name="Normal 109 2 2 2 2 4 2 2 2 3 2" xfId="37851"/>
    <cellStyle name="Normal 109 2 2 2 2 4 2 2 2 3 2 2" xfId="37852"/>
    <cellStyle name="Normal 109 2 2 2 2 4 2 2 2 3 3" xfId="37853"/>
    <cellStyle name="Normal 109 2 2 2 2 4 2 2 2 4" xfId="37854"/>
    <cellStyle name="Normal 109 2 2 2 2 4 2 2 2 4 2" xfId="37855"/>
    <cellStyle name="Normal 109 2 2 2 2 4 2 2 2 5" xfId="37856"/>
    <cellStyle name="Normal 109 2 2 2 2 4 2 2 3" xfId="37857"/>
    <cellStyle name="Normal 109 2 2 2 2 4 2 2 3 2" xfId="37858"/>
    <cellStyle name="Normal 109 2 2 2 2 4 2 2 3 2 2" xfId="37859"/>
    <cellStyle name="Normal 109 2 2 2 2 4 2 2 3 2 2 2" xfId="37860"/>
    <cellStyle name="Normal 109 2 2 2 2 4 2 2 3 2 3" xfId="37861"/>
    <cellStyle name="Normal 109 2 2 2 2 4 2 2 3 3" xfId="37862"/>
    <cellStyle name="Normal 109 2 2 2 2 4 2 2 3 3 2" xfId="37863"/>
    <cellStyle name="Normal 109 2 2 2 2 4 2 2 3 4" xfId="37864"/>
    <cellStyle name="Normal 109 2 2 2 2 4 2 2 4" xfId="37865"/>
    <cellStyle name="Normal 109 2 2 2 2 4 2 2 4 2" xfId="37866"/>
    <cellStyle name="Normal 109 2 2 2 2 4 2 2 4 2 2" xfId="37867"/>
    <cellStyle name="Normal 109 2 2 2 2 4 2 2 4 3" xfId="37868"/>
    <cellStyle name="Normal 109 2 2 2 2 4 2 2 5" xfId="37869"/>
    <cellStyle name="Normal 109 2 2 2 2 4 2 2 5 2" xfId="37870"/>
    <cellStyle name="Normal 109 2 2 2 2 4 2 2 6" xfId="37871"/>
    <cellStyle name="Normal 109 2 2 2 2 4 2 3" xfId="37872"/>
    <cellStyle name="Normal 109 2 2 2 2 4 2 3 2" xfId="37873"/>
    <cellStyle name="Normal 109 2 2 2 2 4 2 3 2 2" xfId="37874"/>
    <cellStyle name="Normal 109 2 2 2 2 4 2 3 2 2 2" xfId="37875"/>
    <cellStyle name="Normal 109 2 2 2 2 4 2 3 2 2 2 2" xfId="37876"/>
    <cellStyle name="Normal 109 2 2 2 2 4 2 3 2 2 3" xfId="37877"/>
    <cellStyle name="Normal 109 2 2 2 2 4 2 3 2 3" xfId="37878"/>
    <cellStyle name="Normal 109 2 2 2 2 4 2 3 2 3 2" xfId="37879"/>
    <cellStyle name="Normal 109 2 2 2 2 4 2 3 2 4" xfId="37880"/>
    <cellStyle name="Normal 109 2 2 2 2 4 2 3 3" xfId="37881"/>
    <cellStyle name="Normal 109 2 2 2 2 4 2 3 3 2" xfId="37882"/>
    <cellStyle name="Normal 109 2 2 2 2 4 2 3 3 2 2" xfId="37883"/>
    <cellStyle name="Normal 109 2 2 2 2 4 2 3 3 3" xfId="37884"/>
    <cellStyle name="Normal 109 2 2 2 2 4 2 3 4" xfId="37885"/>
    <cellStyle name="Normal 109 2 2 2 2 4 2 3 4 2" xfId="37886"/>
    <cellStyle name="Normal 109 2 2 2 2 4 2 3 5" xfId="37887"/>
    <cellStyle name="Normal 109 2 2 2 2 4 2 4" xfId="37888"/>
    <cellStyle name="Normal 109 2 2 2 2 4 2 4 2" xfId="37889"/>
    <cellStyle name="Normal 109 2 2 2 2 4 2 4 2 2" xfId="37890"/>
    <cellStyle name="Normal 109 2 2 2 2 4 2 4 2 2 2" xfId="37891"/>
    <cellStyle name="Normal 109 2 2 2 2 4 2 4 2 2 2 2" xfId="37892"/>
    <cellStyle name="Normal 109 2 2 2 2 4 2 4 2 2 2 2 2" xfId="37893"/>
    <cellStyle name="Normal 109 2 2 2 2 4 2 4 2 2 2 2 2 2" xfId="37894"/>
    <cellStyle name="Normal 109 2 2 2 2 4 2 4 2 2 2 2 2 2 2" xfId="37895"/>
    <cellStyle name="Normal 109 2 2 2 2 4 2 4 2 2 2 2 2 2 2 2" xfId="37896"/>
    <cellStyle name="Normal 109 2 2 2 2 4 2 4 2 2 2 2 2 2 2 2 2" xfId="37897"/>
    <cellStyle name="Normal 109 2 2 2 2 4 2 4 2 2 2 2 2 2 2 2 2 2" xfId="37898"/>
    <cellStyle name="Normal 109 2 2 2 2 4 2 4 2 2 2 2 2 2 2 2 3" xfId="37899"/>
    <cellStyle name="Normal 109 2 2 2 2 4 2 4 2 2 2 2 2 2 2 3" xfId="37900"/>
    <cellStyle name="Normal 109 2 2 2 2 4 2 4 2 2 2 2 2 2 2 3 2" xfId="37901"/>
    <cellStyle name="Normal 109 2 2 2 2 4 2 4 2 2 2 2 2 2 2 4" xfId="37902"/>
    <cellStyle name="Normal 109 2 2 2 2 4 2 4 2 2 2 2 2 2 3" xfId="37903"/>
    <cellStyle name="Normal 109 2 2 2 2 4 2 4 2 2 2 2 2 2 3 2" xfId="37904"/>
    <cellStyle name="Normal 109 2 2 2 2 4 2 4 2 2 2 2 2 2 3 2 2" xfId="37905"/>
    <cellStyle name="Normal 109 2 2 2 2 4 2 4 2 2 2 2 2 2 3 3" xfId="37906"/>
    <cellStyle name="Normal 109 2 2 2 2 4 2 4 2 2 2 2 2 2 4" xfId="37907"/>
    <cellStyle name="Normal 109 2 2 2 2 4 2 4 2 2 2 2 2 2 4 2" xfId="37908"/>
    <cellStyle name="Normal 109 2 2 2 2 4 2 4 2 2 2 2 2 2 5" xfId="37909"/>
    <cellStyle name="Normal 109 2 2 2 2 4 2 4 2 2 2 2 2 3" xfId="37910"/>
    <cellStyle name="Normal 109 2 2 2 2 4 2 4 2 2 2 2 2 3 2" xfId="37911"/>
    <cellStyle name="Normal 109 2 2 2 2 4 2 4 2 2 2 2 2 3 2 2" xfId="37912"/>
    <cellStyle name="Normal 109 2 2 2 2 4 2 4 2 2 2 2 2 3 2 2 2" xfId="37913"/>
    <cellStyle name="Normal 109 2 2 2 2 4 2 4 2 2 2 2 2 3 2 2 2 2" xfId="37914"/>
    <cellStyle name="Normal 109 2 2 2 2 4 2 4 2 2 2 2 2 3 2 2 2 2 2" xfId="37915"/>
    <cellStyle name="Normal 109 2 2 2 2 4 2 4 2 2 2 2 2 3 2 2 2 2 2 2" xfId="37916"/>
    <cellStyle name="Normal 109 2 2 2 2 4 2 4 2 2 2 2 2 3 2 2 2 2 3" xfId="37917"/>
    <cellStyle name="Normal 109 2 2 2 2 4 2 4 2 2 2 2 2 3 2 2 2 3" xfId="37918"/>
    <cellStyle name="Normal 109 2 2 2 2 4 2 4 2 2 2 2 2 3 2 2 2 3 2" xfId="37919"/>
    <cellStyle name="Normal 109 2 2 2 2 4 2 4 2 2 2 2 2 3 2 2 2 4" xfId="37920"/>
    <cellStyle name="Normal 109 2 2 2 2 4 2 4 2 2 2 2 2 3 2 2 3" xfId="37921"/>
    <cellStyle name="Normal 109 2 2 2 2 4 2 4 2 2 2 2 2 3 2 2 3 2" xfId="37922"/>
    <cellStyle name="Normal 109 2 2 2 2 4 2 4 2 2 2 2 2 3 2 2 3 2 2" xfId="37923"/>
    <cellStyle name="Normal 109 2 2 2 2 4 2 4 2 2 2 2 2 3 2 2 3 3" xfId="37924"/>
    <cellStyle name="Normal 109 2 2 2 2 4 2 4 2 2 2 2 2 3 2 2 4" xfId="37925"/>
    <cellStyle name="Normal 109 2 2 2 2 4 2 4 2 2 2 2 2 3 2 2 4 2" xfId="37926"/>
    <cellStyle name="Normal 109 2 2 2 2 4 2 4 2 2 2 2 2 3 2 2 5" xfId="37927"/>
    <cellStyle name="Normal 109 2 2 2 2 4 2 4 2 2 2 2 2 3 2 3" xfId="37928"/>
    <cellStyle name="Normal 109 2 2 2 2 4 2 4 2 2 2 2 2 3 2 3 2" xfId="37929"/>
    <cellStyle name="Normal 109 2 2 2 2 4 2 4 2 2 2 2 2 3 2 3 2 2" xfId="37930"/>
    <cellStyle name="Normal 109 2 2 2 2 4 2 4 2 2 2 2 2 3 2 3 3" xfId="37931"/>
    <cellStyle name="Normal 109 2 2 2 2 4 2 4 2 2 2 2 2 3 2 4" xfId="37932"/>
    <cellStyle name="Normal 109 2 2 2 2 4 2 4 2 2 2 2 2 3 2 4 2" xfId="37933"/>
    <cellStyle name="Normal 109 2 2 2 2 4 2 4 2 2 2 2 2 3 2 5" xfId="37934"/>
    <cellStyle name="Normal 109 2 2 2 2 4 2 4 2 2 2 2 2 3 3" xfId="37935"/>
    <cellStyle name="Normal 109 2 2 2 2 4 2 4 2 2 2 2 2 3 3 2" xfId="37936"/>
    <cellStyle name="Normal 109 2 2 2 2 4 2 4 2 2 2 2 2 3 3 2 2" xfId="37937"/>
    <cellStyle name="Normal 109 2 2 2 2 4 2 4 2 2 2 2 2 3 3 2 2 2" xfId="37938"/>
    <cellStyle name="Normal 109 2 2 2 2 4 2 4 2 2 2 2 2 3 3 2 2 2 2" xfId="37939"/>
    <cellStyle name="Normal 109 2 2 2 2 4 2 4 2 2 2 2 2 3 3 2 2 2 2 2" xfId="37940"/>
    <cellStyle name="Normal 109 2 2 2 2 4 2 4 2 2 2 2 2 3 3 2 2 2 3" xfId="37941"/>
    <cellStyle name="Normal 109 2 2 2 2 4 2 4 2 2 2 2 2 3 3 2 2 3" xfId="37942"/>
    <cellStyle name="Normal 109 2 2 2 2 4 2 4 2 2 2 2 2 3 3 2 2 3 2" xfId="37943"/>
    <cellStyle name="Normal 109 2 2 2 2 4 2 4 2 2 2 2 2 3 3 2 2 4" xfId="37944"/>
    <cellStyle name="Normal 109 2 2 2 2 4 2 4 2 2 2 2 2 3 3 2 3" xfId="37945"/>
    <cellStyle name="Normal 109 2 2 2 2 4 2 4 2 2 2 2 2 3 3 2 3 2" xfId="37946"/>
    <cellStyle name="Normal 109 2 2 2 2 4 2 4 2 2 2 2 2 3 3 2 3 2 2" xfId="37947"/>
    <cellStyle name="Normal 109 2 2 2 2 4 2 4 2 2 2 2 2 3 3 2 3 2 2 2" xfId="37948"/>
    <cellStyle name="Normal 109 2 2 2 2 4 2 4 2 2 2 2 2 3 3 2 3 2 2 2 2" xfId="37949"/>
    <cellStyle name="Normal 109 2 2 2 2 4 2 4 2 2 2 2 2 3 3 2 3 2 2 2 2 2" xfId="37950"/>
    <cellStyle name="Normal 109 2 2 2 2 4 2 4 2 2 2 2 2 3 3 2 3 2 2 2 2 2 2" xfId="37951"/>
    <cellStyle name="Normal 109 2 2 2 2 4 2 4 2 2 2 2 2 3 3 2 3 2 2 2 2 2 2 2" xfId="37952"/>
    <cellStyle name="Normal 109 2 2 2 2 4 2 4 2 2 2 2 2 3 3 2 3 2 2 2 2 2 2 2 2" xfId="37953"/>
    <cellStyle name="Normal 109 2 2 2 2 4 2 4 2 2 2 2 2 3 3 2 3 2 2 2 2 2 2 2 2 2" xfId="37954"/>
    <cellStyle name="Normal 109 2 2 2 2 4 2 4 2 2 2 2 2 3 3 2 3 2 2 2 2 2 2 2 2 2 2" xfId="37955"/>
    <cellStyle name="Normal 109 2 2 2 2 4 2 4 2 2 2 2 2 3 3 2 3 2 2 2 2 2 2 2 2 2 2 2" xfId="37956"/>
    <cellStyle name="Normal 109 2 2 2 2 4 2 4 2 2 2 2 2 3 3 2 3 2 2 2 2 2 2 2 2 2 2 2 2" xfId="37957"/>
    <cellStyle name="Normal 109 2 2 2 2 4 2 4 2 2 2 2 2 3 3 2 3 2 2 2 2 2 2 2 2 2 2 2 2 2" xfId="37958"/>
    <cellStyle name="Normal 109 2 2 2 2 4 2 4 2 2 2 2 2 3 3 2 3 2 2 2 2 2 2 2 2 2 2 2 2 2 2" xfId="37959"/>
    <cellStyle name="Normal 109 2 2 2 2 4 2 4 2 2 2 2 2 3 3 2 3 2 2 2 2 2 2 2 2 2 2 2 2 3" xfId="37960"/>
    <cellStyle name="Normal 109 2 2 2 2 4 2 4 2 2 2 2 2 3 3 2 3 2 2 2 2 2 2 2 2 2 2 2 3" xfId="37961"/>
    <cellStyle name="Normal 109 2 2 2 2 4 2 4 2 2 2 2 2 3 3 2 3 2 2 2 2 2 2 2 2 2 2 2 3 2" xfId="37962"/>
    <cellStyle name="Normal 109 2 2 2 2 4 2 4 2 2 2 2 2 3 3 2 3 2 2 2 2 2 2 2 2 2 2 2 4" xfId="37963"/>
    <cellStyle name="Normal 109 2 2 2 2 4 2 4 2 2 2 2 2 3 3 2 3 2 2 2 2 2 2 2 2 2 2 3" xfId="37964"/>
    <cellStyle name="Normal 109 2 2 2 2 4 2 4 2 2 2 2 2 3 3 2 3 2 2 2 2 2 2 2 2 2 2 3 2" xfId="37965"/>
    <cellStyle name="Normal 109 2 2 2 2 4 2 4 2 2 2 2 2 3 3 2 3 2 2 2 2 2 2 2 2 2 2 3 2 2" xfId="37966"/>
    <cellStyle name="Normal 109 2 2 2 2 4 2 4 2 2 2 2 2 3 3 2 3 2 2 2 2 2 2 2 2 2 2 3 3" xfId="37967"/>
    <cellStyle name="Normal 109 2 2 2 2 4 2 4 2 2 2 2 2 3 3 2 3 2 2 2 2 2 2 2 2 2 2 4" xfId="37968"/>
    <cellStyle name="Normal 109 2 2 2 2 4 2 4 2 2 2 2 2 3 3 2 3 2 2 2 2 2 2 2 2 2 2 4 2" xfId="37969"/>
    <cellStyle name="Normal 109 2 2 2 2 4 2 4 2 2 2 2 2 3 3 2 3 2 2 2 2 2 2 2 2 2 2 4 2 2" xfId="37970"/>
    <cellStyle name="Normal 109 2 2 2 2 4 2 4 2 2 2 2 2 3 3 2 3 2 2 2 2 2 2 2 2 2 2 4 3" xfId="37971"/>
    <cellStyle name="Normal 109 2 2 2 2 4 2 4 2 2 2 2 2 3 3 2 3 2 2 2 2 2 2 2 2 2 2 5" xfId="37972"/>
    <cellStyle name="Normal 109 2 2 2 2 4 2 4 2 2 2 2 2 3 3 2 3 2 2 2 2 2 2 2 2 2 2 5 2" xfId="37973"/>
    <cellStyle name="Normal 109 2 2 2 2 4 2 4 2 2 2 2 2 3 3 2 3 2 2 2 2 2 2 2 2 2 2 6" xfId="37974"/>
    <cellStyle name="Normal 109 2 2 2 2 4 2 4 2 2 2 2 2 3 3 2 3 2 2 2 2 2 2 2 2 2 3" xfId="37975"/>
    <cellStyle name="Normal 109 2 2 2 2 4 2 4 2 2 2 2 2 3 3 2 3 2 2 2 2 2 2 2 2 2 3 2" xfId="37976"/>
    <cellStyle name="Normal 109 2 2 2 2 4 2 4 2 2 2 2 2 3 3 2 3 2 2 2 2 2 2 2 2 2 3 2 2" xfId="37977"/>
    <cellStyle name="Normal 109 2 2 2 2 4 2 4 2 2 2 2 2 3 3 2 3 2 2 2 2 2 2 2 2 2 3 2 2 2" xfId="37978"/>
    <cellStyle name="Normal 109 2 2 2 2 4 2 4 2 2 2 2 2 3 3 2 3 2 2 2 2 2 2 2 2 2 3 2 2 2 2" xfId="37979"/>
    <cellStyle name="Normal 109 2 2 2 2 4 2 4 2 2 2 2 2 3 3 2 3 2 2 2 2 2 2 2 2 2 3 2 2 3" xfId="37980"/>
    <cellStyle name="Normal 109 2 2 2 2 4 2 4 2 2 2 2 2 3 3 2 3 2 2 2 2 2 2 2 2 2 3 2 3" xfId="37981"/>
    <cellStyle name="Normal 109 2 2 2 2 4 2 4 2 2 2 2 2 3 3 2 3 2 2 2 2 2 2 2 2 2 3 2 3 2" xfId="37982"/>
    <cellStyle name="Normal 109 2 2 2 2 4 2 4 2 2 2 2 2 3 3 2 3 2 2 2 2 2 2 2 2 2 3 2 4" xfId="37983"/>
    <cellStyle name="Normal 109 2 2 2 2 4 2 4 2 2 2 2 2 3 3 2 3 2 2 2 2 2 2 2 2 2 3 2 4 2" xfId="37984"/>
    <cellStyle name="Normal 109 2 2 2 2 4 2 4 2 2 2 2 2 3 3 2 3 2 2 2 2 2 2 2 2 2 3 2 5" xfId="37985"/>
    <cellStyle name="Normal 109 2 2 2 2 4 2 4 2 2 2 2 2 3 3 2 3 2 2 2 2 2 2 2 2 2 3 3" xfId="37986"/>
    <cellStyle name="Normal 109 2 2 2 2 4 2 4 2 2 2 2 2 3 3 2 3 2 2 2 2 2 2 2 2 2 3 3 2" xfId="37987"/>
    <cellStyle name="Normal 109 2 2 2 2 4 2 4 2 2 2 2 2 3 3 2 3 2 2 2 2 2 2 2 2 2 3 4" xfId="37988"/>
    <cellStyle name="Normal 109 2 2 2 2 4 2 4 2 2 2 2 2 3 3 2 3 2 2 2 2 2 2 2 2 2 4" xfId="37989"/>
    <cellStyle name="Normal 109 2 2 2 2 4 2 4 2 2 2 2 2 3 3 2 3 2 2 2 2 2 2 2 2 2 4 2" xfId="37990"/>
    <cellStyle name="Normal 109 2 2 2 2 4 2 4 2 2 2 2 2 3 3 2 3 2 2 2 2 2 2 2 2 2 4 2 2" xfId="37991"/>
    <cellStyle name="Normal 109 2 2 2 2 4 2 4 2 2 2 2 2 3 3 2 3 2 2 2 2 2 2 2 2 2 4 2 2 2" xfId="37992"/>
    <cellStyle name="Normal 109 2 2 2 2 4 2 4 2 2 2 2 2 3 3 2 3 2 2 2 2 2 2 2 2 2 4 2 3" xfId="37993"/>
    <cellStyle name="Normal 109 2 2 2 2 4 2 4 2 2 2 2 2 3 3 2 3 2 2 2 2 2 2 2 2 2 4 3" xfId="37994"/>
    <cellStyle name="Normal 109 2 2 2 2 4 2 4 2 2 2 2 2 3 3 2 3 2 2 2 2 2 2 2 2 2 4 3 2" xfId="37995"/>
    <cellStyle name="Normal 109 2 2 2 2 4 2 4 2 2 2 2 2 3 3 2 3 2 2 2 2 2 2 2 2 2 4 4" xfId="37996"/>
    <cellStyle name="Normal 109 2 2 2 2 4 2 4 2 2 2 2 2 3 3 2 3 2 2 2 2 2 2 2 2 2 5" xfId="37997"/>
    <cellStyle name="Normal 109 2 2 2 2 4 2 4 2 2 2 2 2 3 3 2 3 2 2 2 2 2 2 2 2 2 5 2" xfId="37998"/>
    <cellStyle name="Normal 109 2 2 2 2 4 2 4 2 2 2 2 2 3 3 2 3 2 2 2 2 2 2 2 2 2 6" xfId="37999"/>
    <cellStyle name="Normal 109 2 2 2 2 4 2 4 2 2 2 2 2 3 3 2 3 2 2 2 2 2 2 2 2 3" xfId="38000"/>
    <cellStyle name="Normal 109 2 2 2 2 4 2 4 2 2 2 2 2 3 3 2 3 2 2 2 2 2 2 2 2 3 2" xfId="38001"/>
    <cellStyle name="Normal 109 2 2 2 2 4 2 4 2 2 2 2 2 3 3 2 3 2 2 2 2 2 2 2 2 3 2 2" xfId="38002"/>
    <cellStyle name="Normal 109 2 2 2 2 4 2 4 2 2 2 2 2 3 3 2 3 2 2 2 2 2 2 2 2 3 3" xfId="38003"/>
    <cellStyle name="Normal 109 2 2 2 2 4 2 4 2 2 2 2 2 3 3 2 3 2 2 2 2 2 2 2 2 4" xfId="38004"/>
    <cellStyle name="Normal 109 2 2 2 2 4 2 4 2 2 2 2 2 3 3 2 3 2 2 2 2 2 2 2 2 4 2" xfId="38005"/>
    <cellStyle name="Normal 109 2 2 2 2 4 2 4 2 2 2 2 2 3 3 2 3 2 2 2 2 2 2 2 2 5" xfId="38006"/>
    <cellStyle name="Normal 109 2 2 2 2 4 2 4 2 2 2 2 2 3 3 2 3 2 2 2 2 2 2 2 3" xfId="38007"/>
    <cellStyle name="Normal 109 2 2 2 2 4 2 4 2 2 2 2 2 3 3 2 3 2 2 2 2 2 2 2 3 2" xfId="38008"/>
    <cellStyle name="Normal 109 2 2 2 2 4 2 4 2 2 2 2 2 3 3 2 3 2 2 2 2 2 2 2 3 2 2" xfId="38009"/>
    <cellStyle name="Normal 109 2 2 2 2 4 2 4 2 2 2 2 2 3 3 2 3 2 2 2 2 2 2 2 3 3" xfId="38010"/>
    <cellStyle name="Normal 109 2 2 2 2 4 2 4 2 2 2 2 2 3 3 2 3 2 2 2 2 2 2 2 4" xfId="38011"/>
    <cellStyle name="Normal 109 2 2 2 2 4 2 4 2 2 2 2 2 3 3 2 3 2 2 2 2 2 2 2 4 2" xfId="38012"/>
    <cellStyle name="Normal 109 2 2 2 2 4 2 4 2 2 2 2 2 3 3 2 3 2 2 2 2 2 2 2 5" xfId="38013"/>
    <cellStyle name="Normal 109 2 2 2 2 4 2 4 2 2 2 2 2 3 3 2 3 2 2 2 2 2 2 3" xfId="38014"/>
    <cellStyle name="Normal 109 2 2 2 2 4 2 4 2 2 2 2 2 3 3 2 3 2 2 2 2 2 2 3 2" xfId="38015"/>
    <cellStyle name="Normal 109 2 2 2 2 4 2 4 2 2 2 2 2 3 3 2 3 2 2 2 2 2 2 3 2 2" xfId="38016"/>
    <cellStyle name="Normal 109 2 2 2 2 4 2 4 2 2 2 2 2 3 3 2 3 2 2 2 2 2 2 3 2 2 2" xfId="38017"/>
    <cellStyle name="Normal 109 2 2 2 2 4 2 4 2 2 2 2 2 3 3 2 3 2 2 2 2 2 2 3 2 2 2 2" xfId="38018"/>
    <cellStyle name="Normal 109 2 2 2 2 4 2 4 2 2 2 2 2 3 3 2 3 2 2 2 2 2 2 3 2 2 2 2 2" xfId="38019"/>
    <cellStyle name="Normal 109 2 2 2 2 4 2 4 2 2 2 2 2 3 3 2 3 2 2 2 2 2 2 3 2 2 2 2 2 2" xfId="38020"/>
    <cellStyle name="Normal 109 2 2 2 2 4 2 4 2 2 2 2 2 3 3 2 3 2 2 2 2 2 2 3 2 2 2 2 2 2 2" xfId="38021"/>
    <cellStyle name="Normal 109 2 2 2 2 4 2 4 2 2 2 2 2 3 3 2 3 2 2 2 2 2 2 3 2 2 2 2 2 2 2 2" xfId="38022"/>
    <cellStyle name="Normal 109 2 2 2 2 4 2 4 2 2 2 2 2 3 3 2 3 2 2 2 2 2 2 3 2 2 2 2 2 2 3" xfId="38023"/>
    <cellStyle name="Normal 109 2 2 2 2 4 2 4 2 2 2 2 2 3 3 2 3 2 2 2 2 2 2 3 2 2 2 2 2 3" xfId="38024"/>
    <cellStyle name="Normal 109 2 2 2 2 4 2 4 2 2 2 2 2 3 3 2 3 2 2 2 2 2 2 3 2 2 2 2 2 3 2" xfId="38025"/>
    <cellStyle name="Normal 109 2 2 2 2 4 2 4 2 2 2 2 2 3 3 2 3 2 2 2 2 2 2 3 2 2 2 2 2 4" xfId="38026"/>
    <cellStyle name="Normal 109 2 2 2 2 4 2 4 2 2 2 2 2 3 3 2 3 2 2 2 2 2 2 3 2 2 2 2 3" xfId="38027"/>
    <cellStyle name="Normal 109 2 2 2 2 4 2 4 2 2 2 2 2 3 3 2 3 2 2 2 2 2 2 3 2 2 2 2 3 2" xfId="38028"/>
    <cellStyle name="Normal 109 2 2 2 2 4 2 4 2 2 2 2 2 3 3 2 3 2 2 2 2 2 2 3 2 2 2 2 3 2 2" xfId="38029"/>
    <cellStyle name="Normal 109 2 2 2 2 4 2 4 2 2 2 2 2 3 3 2 3 2 2 2 2 2 2 3 2 2 2 2 3 3" xfId="38030"/>
    <cellStyle name="Normal 109 2 2 2 2 4 2 4 2 2 2 2 2 3 3 2 3 2 2 2 2 2 2 3 2 2 2 2 4" xfId="38031"/>
    <cellStyle name="Normal 109 2 2 2 2 4 2 4 2 2 2 2 2 3 3 2 3 2 2 2 2 2 2 3 2 2 2 2 4 2" xfId="38032"/>
    <cellStyle name="Normal 109 2 2 2 2 4 2 4 2 2 2 2 2 3 3 2 3 2 2 2 2 2 2 3 2 2 2 2 5" xfId="38033"/>
    <cellStyle name="Normal 109 2 2 2 2 4 2 4 2 2 2 2 2 3 3 2 3 2 2 2 2 2 2 3 2 2 2 3" xfId="38034"/>
    <cellStyle name="Normal 109 2 2 2 2 4 2 4 2 2 2 2 2 3 3 2 3 2 2 2 2 2 2 3 2 2 2 3 2" xfId="38035"/>
    <cellStyle name="Normal 109 2 2 2 2 4 2 4 2 2 2 2 2 3 3 2 3 2 2 2 2 2 2 3 2 2 2 3 2 2" xfId="38036"/>
    <cellStyle name="Normal 109 2 2 2 2 4 2 4 2 2 2 2 2 3 3 2 3 2 2 2 2 2 2 3 2 2 2 3 3" xfId="38037"/>
    <cellStyle name="Normal 109 2 2 2 2 4 2 4 2 2 2 2 2 3 3 2 3 2 2 2 2 2 2 3 2 2 2 4" xfId="38038"/>
    <cellStyle name="Normal 109 2 2 2 2 4 2 4 2 2 2 2 2 3 3 2 3 2 2 2 2 2 2 3 2 2 2 4 2" xfId="38039"/>
    <cellStyle name="Normal 109 2 2 2 2 4 2 4 2 2 2 2 2 3 3 2 3 2 2 2 2 2 2 3 2 2 2 5" xfId="38040"/>
    <cellStyle name="Normal 109 2 2 2 2 4 2 4 2 2 2 2 2 3 3 2 3 2 2 2 2 2 2 3 2 2 3" xfId="38041"/>
    <cellStyle name="Normal 109 2 2 2 2 4 2 4 2 2 2 2 2 3 3 2 3 2 2 2 2 2 2 3 2 2 3 2" xfId="38042"/>
    <cellStyle name="Normal 109 2 2 2 2 4 2 4 2 2 2 2 2 3 3 2 3 2 2 2 2 2 2 3 2 2 3 2 2" xfId="38043"/>
    <cellStyle name="Normal 109 2 2 2 2 4 2 4 2 2 2 2 2 3 3 2 3 2 2 2 2 2 2 3 2 2 3 2 2 2" xfId="38044"/>
    <cellStyle name="Normal 109 2 2 2 2 4 2 4 2 2 2 2 2 3 3 2 3 2 2 2 2 2 2 3 2 2 3 2 2 2 2" xfId="38045"/>
    <cellStyle name="Normal 109 2 2 2 2 4 2 4 2 2 2 2 2 3 3 2 3 2 2 2 2 2 2 3 2 2 3 2 2 2 2 2" xfId="38046"/>
    <cellStyle name="Normal 109 2 2 2 2 4 2 4 2 2 2 2 2 3 3 2 3 2 2 2 2 2 2 3 2 2 3 2 2 2 2 2 2" xfId="38047"/>
    <cellStyle name="Normal 109 2 2 2 2 4 2 4 2 2 2 2 2 3 3 2 3 2 2 2 2 2 2 3 2 2 3 2 2 2 2 3" xfId="38048"/>
    <cellStyle name="Normal 109 2 2 2 2 4 2 4 2 2 2 2 2 3 3 2 3 2 2 2 2 2 2 3 2 2 3 2 2 2 3" xfId="38049"/>
    <cellStyle name="Normal 109 2 2 2 2 4 2 4 2 2 2 2 2 3 3 2 3 2 2 2 2 2 2 3 2 2 3 2 2 2 3 2" xfId="38050"/>
    <cellStyle name="Normal 109 2 2 2 2 4 2 4 2 2 2 2 2 3 3 2 3 2 2 2 2 2 2 3 2 2 3 2 2 2 4" xfId="38051"/>
    <cellStyle name="Normal 109 2 2 2 2 4 2 4 2 2 2 2 2 3 3 2 3 2 2 2 2 2 2 3 2 2 3 2 2 3" xfId="38052"/>
    <cellStyle name="Normal 109 2 2 2 2 4 2 4 2 2 2 2 2 3 3 2 3 2 2 2 2 2 2 3 2 2 3 2 2 3 2" xfId="38053"/>
    <cellStyle name="Normal 109 2 2 2 2 4 2 4 2 2 2 2 2 3 3 2 3 2 2 2 2 2 2 3 2 2 3 2 2 3 2 2" xfId="38054"/>
    <cellStyle name="Normal 109 2 2 2 2 4 2 4 2 2 2 2 2 3 3 2 3 2 2 2 2 2 2 3 2 2 3 2 2 3 2 2 2" xfId="38055"/>
    <cellStyle name="Normal 109 2 2 2 2 4 2 4 2 2 2 2 2 3 3 2 3 2 2 2 2 2 2 3 2 2 3 2 2 3 2 2 2 2" xfId="38056"/>
    <cellStyle name="Normal 109 2 2 2 2 4 2 4 2 2 2 2 2 3 3 2 3 2 2 2 2 2 2 3 2 2 3 2 2 3 2 2 2 2 2" xfId="38057"/>
    <cellStyle name="Normal 109 2 2 2 2 4 2 4 2 2 2 2 2 3 3 2 3 2 2 2 2 2 2 3 2 2 3 2 2 3 2 2 2 3" xfId="38058"/>
    <cellStyle name="Normal 109 2 2 2 2 4 2 4 2 2 2 2 2 3 3 2 3 2 2 2 2 2 2 3 2 2 3 2 2 3 2 2 3" xfId="38059"/>
    <cellStyle name="Normal 109 2 2 2 2 4 2 4 2 2 2 2 2 3 3 2 3 2 2 2 2 2 2 3 2 2 3 2 2 3 2 2 3 2" xfId="38060"/>
    <cellStyle name="Normal 109 2 2 2 2 4 2 4 2 2 2 2 2 3 3 2 3 2 2 2 2 2 2 3 2 2 3 2 2 3 2 2 4" xfId="38061"/>
    <cellStyle name="Normal 109 2 2 2 2 4 2 4 2 2 2 2 2 3 3 2 3 2 2 2 2 2 2 3 2 2 3 2 2 3 2 3" xfId="38062"/>
    <cellStyle name="Normal 109 2 2 2 2 4 2 4 2 2 2 2 2 3 3 2 3 2 2 2 2 2 2 3 2 2 3 2 2 3 2 3 2" xfId="38063"/>
    <cellStyle name="Normal 109 2 2 2 2 4 2 4 2 2 2 2 2 3 3 2 3 2 2 2 2 2 2 3 2 2 3 2 2 3 2 3 2 2" xfId="38064"/>
    <cellStyle name="Normal 109 2 2 2 2 4 2 4 2 2 2 2 2 3 3 2 3 2 2 2 2 2 2 3 2 2 3 2 2 3 2 3 3" xfId="38065"/>
    <cellStyle name="Normal 109 2 2 2 2 4 2 4 2 2 2 2 2 3 3 2 3 2 2 2 2 2 2 3 2 2 3 2 2 3 2 4" xfId="38066"/>
    <cellStyle name="Normal 109 2 2 2 2 4 2 4 2 2 2 2 2 3 3 2 3 2 2 2 2 2 2 3 2 2 3 2 2 3 2 4 2" xfId="38067"/>
    <cellStyle name="Normal 109 2 2 2 2 4 2 4 2 2 2 2 2 3 3 2 3 2 2 2 2 2 2 3 2 2 3 2 2 3 2 5" xfId="38068"/>
    <cellStyle name="Normal 109 2 2 2 2 4 2 4 2 2 2 2 2 3 3 2 3 2 2 2 2 2 2 3 2 2 3 2 2 3 3" xfId="38069"/>
    <cellStyle name="Normal 109 2 2 2 2 4 2 4 2 2 2 2 2 3 3 2 3 2 2 2 2 2 2 3 2 2 3 2 2 3 3 2" xfId="38070"/>
    <cellStyle name="Normal 109 2 2 2 2 4 2 4 2 2 2 2 2 3 3 2 3 2 2 2 2 2 2 3 2 2 3 2 2 3 3 2 2" xfId="38071"/>
    <cellStyle name="Normal 109 2 2 2 2 4 2 4 2 2 2 2 2 3 3 2 3 2 2 2 2 2 2 3 2 2 3 2 2 3 3 3" xfId="38072"/>
    <cellStyle name="Normal 109 2 2 2 2 4 2 4 2 2 2 2 2 3 3 2 3 2 2 2 2 2 2 3 2 2 3 2 2 3 4" xfId="38073"/>
    <cellStyle name="Normal 109 2 2 2 2 4 2 4 2 2 2 2 2 3 3 2 3 2 2 2 2 2 2 3 2 2 3 2 2 3 4 2" xfId="38074"/>
    <cellStyle name="Normal 109 2 2 2 2 4 2 4 2 2 2 2 2 3 3 2 3 2 2 2 2 2 2 3 2 2 3 2 2 3 4 2 2" xfId="38075"/>
    <cellStyle name="Normal 109 2 2 2 2 4 2 4 2 2 2 2 2 3 3 2 3 2 2 2 2 2 2 3 2 2 3 2 2 3 4 3" xfId="38076"/>
    <cellStyle name="Normal 109 2 2 2 2 4 2 4 2 2 2 2 2 3 3 2 3 2 2 2 2 2 2 3 2 2 3 2 2 3 5" xfId="38077"/>
    <cellStyle name="Normal 109 2 2 2 2 4 2 4 2 2 2 2 2 3 3 2 3 2 2 2 2 2 2 3 2 2 3 2 2 3 5 2" xfId="38078"/>
    <cellStyle name="Normal 109 2 2 2 2 4 2 4 2 2 2 2 2 3 3 2 3 2 2 2 2 2 2 3 2 2 3 2 2 3 5 2 2" xfId="38079"/>
    <cellStyle name="Normal 109 2 2 2 2 4 2 4 2 2 2 2 2 3 3 2 3 2 2 2 2 2 2 3 2 2 3 2 2 3 5 2 2 2" xfId="38080"/>
    <cellStyle name="Normal 109 2 2 2 2 4 2 4 2 2 2 2 2 3 3 2 3 2 2 2 2 2 2 3 2 2 3 2 2 3 5 2 2 2 2" xfId="38081"/>
    <cellStyle name="Normal 109 2 2 2 2 4 2 4 2 2 2 2 2 3 3 2 3 2 2 2 2 2 2 3 2 2 3 2 2 3 5 2 2 3" xfId="38082"/>
    <cellStyle name="Normal 109 2 2 2 2 4 2 4 2 2 2 2 2 3 3 2 3 2 2 2 2 2 2 3 2 2 3 2 2 3 5 2 3" xfId="38083"/>
    <cellStyle name="Normal 109 2 2 2 2 4 2 4 2 2 2 2 2 3 3 2 3 2 2 2 2 2 2 3 2 2 3 2 2 3 5 2 3 2" xfId="38084"/>
    <cellStyle name="Normal 109 2 2 2 2 4 2 4 2 2 2 2 2 3 3 2 3 2 2 2 2 2 2 3 2 2 3 2 2 3 5 2 4" xfId="38085"/>
    <cellStyle name="Normal 109 2 2 2 2 4 2 4 2 2 2 2 2 3 3 2 3 2 2 2 2 2 2 3 2 2 3 2 2 3 5 2 4 2" xfId="38086"/>
    <cellStyle name="Normal 109 2 2 2 2 4 2 4 2 2 2 2 2 3 3 2 3 2 2 2 2 2 2 3 2 2 3 2 2 3 5 2 5" xfId="38087"/>
    <cellStyle name="Normal 109 2 2 2 2 4 2 4 2 2 2 2 2 3 3 2 3 2 2 2 2 2 2 3 2 2 3 2 2 3 5 3" xfId="38088"/>
    <cellStyle name="Normal 109 2 2 2 2 4 2 4 2 2 2 2 2 3 3 2 3 2 2 2 2 2 2 3 2 2 3 2 2 3 5 3 2" xfId="38089"/>
    <cellStyle name="Normal 109 2 2 2 2 4 2 4 2 2 2 2 2 3 3 2 3 2 2 2 2 2 2 3 2 2 3 2 2 3 5 4" xfId="38090"/>
    <cellStyle name="Normal 109 2 2 2 2 4 2 4 2 2 2 2 2 3 3 2 3 2 2 2 2 2 2 3 2 2 3 2 2 3 5 4 2" xfId="38091"/>
    <cellStyle name="Normal 109 2 2 2 2 4 2 4 2 2 2 2 2 3 3 2 3 2 2 2 2 2 2 3 2 2 3 2 2 3 5 5" xfId="38092"/>
    <cellStyle name="Normal 109 2 2 2 2 4 2 4 2 2 2 2 2 3 3 2 3 2 2 2 2 2 2 3 2 2 3 2 2 3 5 5 2" xfId="38093"/>
    <cellStyle name="Normal 109 2 2 2 2 4 2 4 2 2 2 2 2 3 3 2 3 2 2 2 2 2 2 3 2 2 3 2 2 3 5 6" xfId="38094"/>
    <cellStyle name="Normal 109 2 2 2 2 4 2 4 2 2 2 2 2 3 3 2 3 2 2 2 2 2 2 3 2 2 3 2 2 3 5 6 2" xfId="38095"/>
    <cellStyle name="Normal 109 2 2 2 2 4 2 4 2 2 2 2 2 3 3 2 3 2 2 2 2 2 2 3 2 2 3 2 2 3 5 7" xfId="38096"/>
    <cellStyle name="Normal 109 2 2 2 2 4 2 4 2 2 2 2 2 3 3 2 3 2 2 2 2 2 2 3 2 2 3 2 2 3 6" xfId="38097"/>
    <cellStyle name="Normal 109 2 2 2 2 4 2 4 2 2 2 2 2 3 3 2 3 2 2 2 2 2 2 3 2 2 3 2 2 3 6 2" xfId="38098"/>
    <cellStyle name="Normal 109 2 2 2 2 4 2 4 2 2 2 2 2 3 3 2 3 2 2 2 2 2 2 3 2 2 3 2 2 3 7" xfId="38099"/>
    <cellStyle name="Normal 109 2 2 2 2 4 2 4 2 2 2 2 2 3 3 2 3 2 2 2 2 2 2 3 2 2 3 2 2 4" xfId="38100"/>
    <cellStyle name="Normal 109 2 2 2 2 4 2 4 2 2 2 2 2 3 3 2 3 2 2 2 2 2 2 3 2 2 3 2 2 4 2" xfId="38101"/>
    <cellStyle name="Normal 109 2 2 2 2 4 2 4 2 2 2 2 2 3 3 2 3 2 2 2 2 2 2 3 2 2 3 2 2 4 2 2" xfId="38102"/>
    <cellStyle name="Normal 109 2 2 2 2 4 2 4 2 2 2 2 2 3 3 2 3 2 2 2 2 2 2 3 2 2 3 2 2 4 3" xfId="38103"/>
    <cellStyle name="Normal 109 2 2 2 2 4 2 4 2 2 2 2 2 3 3 2 3 2 2 2 2 2 2 3 2 2 3 2 2 5" xfId="38104"/>
    <cellStyle name="Normal 109 2 2 2 2 4 2 4 2 2 2 2 2 3 3 2 3 2 2 2 2 2 2 3 2 2 3 2 2 5 2" xfId="38105"/>
    <cellStyle name="Normal 109 2 2 2 2 4 2 4 2 2 2 2 2 3 3 2 3 2 2 2 2 2 2 3 2 2 3 2 2 6" xfId="38106"/>
    <cellStyle name="Normal 109 2 2 2 2 4 2 4 2 2 2 2 2 3 3 2 3 2 2 2 2 2 2 3 2 2 3 2 3" xfId="38107"/>
    <cellStyle name="Normal 109 2 2 2 2 4 2 4 2 2 2 2 2 3 3 2 3 2 2 2 2 2 2 3 2 2 3 2 3 2" xfId="38108"/>
    <cellStyle name="Normal 109 2 2 2 2 4 2 4 2 2 2 2 2 3 3 2 3 2 2 2 2 2 2 3 2 2 3 2 3 2 2" xfId="38109"/>
    <cellStyle name="Normal 109 2 2 2 2 4 2 4 2 2 2 2 2 3 3 2 3 2 2 2 2 2 2 3 2 2 3 2 3 3" xfId="38110"/>
    <cellStyle name="Normal 109 2 2 2 2 4 2 4 2 2 2 2 2 3 3 2 3 2 2 2 2 2 2 3 2 2 3 2 4" xfId="38111"/>
    <cellStyle name="Normal 109 2 2 2 2 4 2 4 2 2 2 2 2 3 3 2 3 2 2 2 2 2 2 3 2 2 3 2 4 2" xfId="38112"/>
    <cellStyle name="Normal 109 2 2 2 2 4 2 4 2 2 2 2 2 3 3 2 3 2 2 2 2 2 2 3 2 2 3 2 4 2 2" xfId="38113"/>
    <cellStyle name="Normal 109 2 2 2 2 4 2 4 2 2 2 2 2 3 3 2 3 2 2 2 2 2 2 3 2 2 3 2 4 2 2 2" xfId="38114"/>
    <cellStyle name="Normal 109 2 2 2 2 4 2 4 2 2 2 2 2 3 3 2 3 2 2 2 2 2 2 3 2 2 3 2 4 2 3" xfId="38115"/>
    <cellStyle name="Normal 109 2 2 2 2 4 2 4 2 2 2 2 2 3 3 2 3 2 2 2 2 2 2 3 2 2 3 2 4 3" xfId="38116"/>
    <cellStyle name="Normal 109 2 2 2 2 4 2 4 2 2 2 2 2 3 3 2 3 2 2 2 2 2 2 3 2 2 3 2 4 3 2" xfId="38117"/>
    <cellStyle name="Normal 109 2 2 2 2 4 2 4 2 2 2 2 2 3 3 2 3 2 2 2 2 2 2 3 2 2 3 2 4 4" xfId="38118"/>
    <cellStyle name="Normal 109 2 2 2 2 4 2 4 2 2 2 2 2 3 3 2 3 2 2 2 2 2 2 3 2 2 3 2 5" xfId="38119"/>
    <cellStyle name="Normal 109 2 2 2 2 4 2 4 2 2 2 2 2 3 3 2 3 2 2 2 2 2 2 3 2 2 3 2 5 2" xfId="38120"/>
    <cellStyle name="Normal 109 2 2 2 2 4 2 4 2 2 2 2 2 3 3 2 3 2 2 2 2 2 2 3 2 2 3 2 6" xfId="38121"/>
    <cellStyle name="Normal 109 2 2 2 2 4 2 4 2 2 2 2 2 3 3 2 3 2 2 2 2 2 2 3 2 2 3 2 6 2" xfId="38122"/>
    <cellStyle name="Normal 109 2 2 2 2 4 2 4 2 2 2 2 2 3 3 2 3 2 2 2 2 2 2 3 2 2 3 2 7" xfId="38123"/>
    <cellStyle name="Normal 109 2 2 2 2 4 2 4 2 2 2 2 2 3 3 2 3 2 2 2 2 2 2 3 2 2 3 3" xfId="38124"/>
    <cellStyle name="Normal 109 2 2 2 2 4 2 4 2 2 2 2 2 3 3 2 3 2 2 2 2 2 2 3 2 2 3 3 2" xfId="38125"/>
    <cellStyle name="Normal 109 2 2 2 2 4 2 4 2 2 2 2 2 3 3 2 3 2 2 2 2 2 2 3 2 2 3 3 2 2" xfId="38126"/>
    <cellStyle name="Normal 109 2 2 2 2 4 2 4 2 2 2 2 2 3 3 2 3 2 2 2 2 2 2 3 2 2 3 3 3" xfId="38127"/>
    <cellStyle name="Normal 109 2 2 2 2 4 2 4 2 2 2 2 2 3 3 2 3 2 2 2 2 2 2 3 2 2 3 4" xfId="38128"/>
    <cellStyle name="Normal 109 2 2 2 2 4 2 4 2 2 2 2 2 3 3 2 3 2 2 2 2 2 2 3 2 2 4" xfId="38129"/>
    <cellStyle name="Normal 109 2 2 2 2 4 2 4 2 2 2 2 2 3 3 2 3 2 2 2 2 2 2 3 2 2 4 2" xfId="38130"/>
    <cellStyle name="Normal 109 2 2 2 2 4 2 4 2 2 2 2 2 3 3 2 3 2 2 2 2 2 2 3 2 2 4 2 2" xfId="38131"/>
    <cellStyle name="Normal 109 2 2 2 2 4 2 4 2 2 2 2 2 3 3 2 3 2 2 2 2 2 2 3 2 2 4 3" xfId="38132"/>
    <cellStyle name="Normal 109 2 2 2 2 4 2 4 2 2 2 2 2 3 3 2 3 2 2 2 2 2 2 3 2 2 5" xfId="38133"/>
    <cellStyle name="Normal 109 2 2 2 2 4 2 4 2 2 2 2 2 3 3 2 3 2 2 2 2 2 2 3 2 3" xfId="38134"/>
    <cellStyle name="Normal 109 2 2 2 2 4 2 4 2 2 2 2 2 3 3 2 3 2 2 2 2 2 2 3 2 3 2" xfId="38135"/>
    <cellStyle name="Normal 109 2 2 2 2 4 2 4 2 2 2 2 2 3 3 2 3 2 2 2 2 2 2 3 2 3 2 2" xfId="38136"/>
    <cellStyle name="Normal 109 2 2 2 2 4 2 4 2 2 2 2 2 3 3 2 3 2 2 2 2 2 2 3 2 3 3" xfId="38137"/>
    <cellStyle name="Normal 109 2 2 2 2 4 2 4 2 2 2 2 2 3 3 2 3 2 2 2 2 2 2 3 2 4" xfId="38138"/>
    <cellStyle name="Normal 109 2 2 2 2 4 2 4 2 2 2 2 2 3 3 2 3 2 2 2 2 2 2 3 3" xfId="38139"/>
    <cellStyle name="Normal 109 2 2 2 2 4 2 4 2 2 2 2 2 3 3 2 3 2 2 2 2 2 2 3 3 2" xfId="38140"/>
    <cellStyle name="Normal 109 2 2 2 2 4 2 4 2 2 2 2 2 3 3 2 3 2 2 2 2 2 2 3 3 2 2" xfId="38141"/>
    <cellStyle name="Normal 109 2 2 2 2 4 2 4 2 2 2 2 2 3 3 2 3 2 2 2 2 2 2 3 3 3" xfId="38142"/>
    <cellStyle name="Normal 109 2 2 2 2 4 2 4 2 2 2 2 2 3 3 2 3 2 2 2 2 2 2 3 4" xfId="38143"/>
    <cellStyle name="Normal 109 2 2 2 2 4 2 4 2 2 2 2 2 3 3 2 3 2 2 2 2 2 2 4" xfId="38144"/>
    <cellStyle name="Normal 109 2 2 2 2 4 2 4 2 2 2 2 2 3 3 2 3 2 2 2 2 2 2 4 2" xfId="38145"/>
    <cellStyle name="Normal 109 2 2 2 2 4 2 4 2 2 2 2 2 3 3 2 3 2 2 2 2 2 2 4 2 2" xfId="38146"/>
    <cellStyle name="Normal 109 2 2 2 2 4 2 4 2 2 2 2 2 3 3 2 3 2 2 2 2 2 2 4 3" xfId="38147"/>
    <cellStyle name="Normal 109 2 2 2 2 4 2 4 2 2 2 2 2 3 3 2 3 2 2 2 2 2 2 5" xfId="38148"/>
    <cellStyle name="Normal 109 2 2 2 2 4 2 4 2 2 2 2 2 3 3 2 3 2 2 2 2 2 3" xfId="38149"/>
    <cellStyle name="Normal 109 2 2 2 2 4 2 4 2 2 2 2 2 3 3 2 3 2 2 2 2 2 3 2" xfId="38150"/>
    <cellStyle name="Normal 109 2 2 2 2 4 2 4 2 2 2 2 2 3 3 2 3 2 2 2 2 2 3 2 2" xfId="38151"/>
    <cellStyle name="Normal 109 2 2 2 2 4 2 4 2 2 2 2 2 3 3 2 3 2 2 2 2 2 3 3" xfId="38152"/>
    <cellStyle name="Normal 109 2 2 2 2 4 2 4 2 2 2 2 2 3 3 2 3 2 2 2 2 2 4" xfId="38153"/>
    <cellStyle name="Normal 109 2 2 2 2 4 2 4 2 2 2 2 2 3 3 2 3 2 2 2 2 3" xfId="38154"/>
    <cellStyle name="Normal 109 2 2 2 2 4 2 4 2 2 2 2 2 3 3 2 3 2 2 2 2 3 2" xfId="38155"/>
    <cellStyle name="Normal 109 2 2 2 2 4 2 4 2 2 2 2 2 3 3 2 3 2 2 2 2 3 2 2" xfId="38156"/>
    <cellStyle name="Normal 109 2 2 2 2 4 2 4 2 2 2 2 2 3 3 2 3 2 2 2 2 3 2 2 2" xfId="38157"/>
    <cellStyle name="Normal 109 2 2 2 2 4 2 4 2 2 2 2 2 3 3 2 3 2 2 2 2 3 2 3" xfId="38158"/>
    <cellStyle name="Normal 109 2 2 2 2 4 2 4 2 2 2 2 2 3 3 2 3 2 2 2 2 3 3" xfId="38159"/>
    <cellStyle name="Normal 109 2 2 2 2 4 2 4 2 2 2 2 2 3 3 2 3 2 2 2 2 3 3 2" xfId="38160"/>
    <cellStyle name="Normal 109 2 2 2 2 4 2 4 2 2 2 2 2 3 3 2 3 2 2 2 2 3 4" xfId="38161"/>
    <cellStyle name="Normal 109 2 2 2 2 4 2 4 2 2 2 2 2 3 3 2 3 2 2 2 2 4" xfId="38162"/>
    <cellStyle name="Normal 109 2 2 2 2 4 2 4 2 2 2 2 2 3 3 2 3 2 2 2 2 4 2" xfId="38163"/>
    <cellStyle name="Normal 109 2 2 2 2 4 2 4 2 2 2 2 2 3 3 2 3 2 2 2 2 4 2 2" xfId="38164"/>
    <cellStyle name="Normal 109 2 2 2 2 4 2 4 2 2 2 2 2 3 3 2 3 2 2 2 2 4 2 2 2" xfId="38165"/>
    <cellStyle name="Normal 109 2 2 2 2 4 2 4 2 2 2 2 2 3 3 2 3 2 2 2 2 4 2 3" xfId="38166"/>
    <cellStyle name="Normal 109 2 2 2 2 4 2 4 2 2 2 2 2 3 3 2 3 2 2 2 2 4 3" xfId="38167"/>
    <cellStyle name="Normal 109 2 2 2 2 4 2 4 2 2 2 2 2 3 3 2 3 2 2 2 2 4 3 2" xfId="38168"/>
    <cellStyle name="Normal 109 2 2 2 2 4 2 4 2 2 2 2 2 3 3 2 3 2 2 2 2 4 4" xfId="38169"/>
    <cellStyle name="Normal 109 2 2 2 2 4 2 4 2 2 2 2 2 3 3 2 3 2 2 2 2 5" xfId="38170"/>
    <cellStyle name="Normal 109 2 2 2 2 4 2 4 2 2 2 2 2 3 3 2 3 2 2 2 2 5 2" xfId="38171"/>
    <cellStyle name="Normal 109 2 2 2 2 4 2 4 2 2 2 2 2 3 3 2 3 2 2 2 2 5 2 2" xfId="38172"/>
    <cellStyle name="Normal 109 2 2 2 2 4 2 4 2 2 2 2 2 3 3 2 3 2 2 2 2 5 3" xfId="38173"/>
    <cellStyle name="Normal 109 2 2 2 2 4 2 4 2 2 2 2 2 3 3 2 3 2 2 2 2 6" xfId="38174"/>
    <cellStyle name="Normal 109 2 2 2 2 4 2 4 2 2 2 2 2 3 3 2 3 2 2 2 3" xfId="38175"/>
    <cellStyle name="Normal 109 2 2 2 2 4 2 4 2 2 2 2 2 3 3 2 3 2 2 2 3 2" xfId="38176"/>
    <cellStyle name="Normal 109 2 2 2 2 4 2 4 2 2 2 2 2 3 3 2 3 2 2 2 3 2 2" xfId="38177"/>
    <cellStyle name="Normal 109 2 2 2 2 4 2 4 2 2 2 2 2 3 3 2 3 2 2 2 3 3" xfId="38178"/>
    <cellStyle name="Normal 109 2 2 2 2 4 2 4 2 2 2 2 2 3 3 2 3 2 2 2 4" xfId="38179"/>
    <cellStyle name="Normal 109 2 2 2 2 4 2 4 2 2 2 2 2 3 3 2 3 2 2 3" xfId="38180"/>
    <cellStyle name="Normal 109 2 2 2 2 4 2 4 2 2 2 2 2 3 3 2 3 2 2 3 2" xfId="38181"/>
    <cellStyle name="Normal 109 2 2 2 2 4 2 4 2 2 2 2 2 3 3 2 3 2 2 3 2 2" xfId="38182"/>
    <cellStyle name="Normal 109 2 2 2 2 4 2 4 2 2 2 2 2 3 3 2 3 2 2 3 3" xfId="38183"/>
    <cellStyle name="Normal 109 2 2 2 2 4 2 4 2 2 2 2 2 3 3 2 3 2 2 4" xfId="38184"/>
    <cellStyle name="Normal 109 2 2 2 2 4 2 4 2 2 2 2 2 3 3 2 3 2 3" xfId="38185"/>
    <cellStyle name="Normal 109 2 2 2 2 4 2 4 2 2 2 2 2 3 3 2 3 2 3 2" xfId="38186"/>
    <cellStyle name="Normal 109 2 2 2 2 4 2 4 2 2 2 2 2 3 3 2 3 2 3 2 2" xfId="38187"/>
    <cellStyle name="Normal 109 2 2 2 2 4 2 4 2 2 2 2 2 3 3 2 3 2 3 3" xfId="38188"/>
    <cellStyle name="Normal 109 2 2 2 2 4 2 4 2 2 2 2 2 3 3 2 3 2 4" xfId="38189"/>
    <cellStyle name="Normal 109 2 2 2 2 4 2 4 2 2 2 2 2 3 3 2 3 3" xfId="38190"/>
    <cellStyle name="Normal 109 2 2 2 2 4 2 4 2 2 2 2 2 3 3 2 3 3 2" xfId="38191"/>
    <cellStyle name="Normal 109 2 2 2 2 4 2 4 2 2 2 2 2 3 3 2 3 3 2 2" xfId="38192"/>
    <cellStyle name="Normal 109 2 2 2 2 4 2 4 2 2 2 2 2 3 3 2 3 3 3" xfId="38193"/>
    <cellStyle name="Normal 109 2 2 2 2 4 2 4 2 2 2 2 2 3 3 2 3 4" xfId="38194"/>
    <cellStyle name="Normal 109 2 2 2 2 4 2 4 2 2 2 2 2 3 3 2 4" xfId="38195"/>
    <cellStyle name="Normal 109 2 2 2 2 4 2 4 2 2 2 2 2 3 3 2 4 2" xfId="38196"/>
    <cellStyle name="Normal 109 2 2 2 2 4 2 4 2 2 2 2 2 3 3 2 4 2 2" xfId="38197"/>
    <cellStyle name="Normal 109 2 2 2 2 4 2 4 2 2 2 2 2 3 3 2 4 3" xfId="38198"/>
    <cellStyle name="Normal 109 2 2 2 2 4 2 4 2 2 2 2 2 3 3 2 5" xfId="38199"/>
    <cellStyle name="Normal 109 2 2 2 2 4 2 4 2 2 2 2 2 3 3 3" xfId="38200"/>
    <cellStyle name="Normal 109 2 2 2 2 4 2 4 2 2 2 2 2 3 3 3 2" xfId="38201"/>
    <cellStyle name="Normal 109 2 2 2 2 4 2 4 2 2 2 2 2 3 3 3 2 2" xfId="38202"/>
    <cellStyle name="Normal 109 2 2 2 2 4 2 4 2 2 2 2 2 3 3 3 3" xfId="38203"/>
    <cellStyle name="Normal 109 2 2 2 2 4 2 4 2 2 2 2 2 3 3 4" xfId="38204"/>
    <cellStyle name="Normal 109 2 2 2 2 4 2 4 2 2 2 2 2 3 4" xfId="38205"/>
    <cellStyle name="Normal 109 2 2 2 2 4 2 4 2 2 2 2 2 3 4 2" xfId="38206"/>
    <cellStyle name="Normal 109 2 2 2 2 4 2 4 2 2 2 2 2 3 4 2 2" xfId="38207"/>
    <cellStyle name="Normal 109 2 2 2 2 4 2 4 2 2 2 2 2 3 4 3" xfId="38208"/>
    <cellStyle name="Normal 109 2 2 2 2 4 2 4 2 2 2 2 2 3 5" xfId="38209"/>
    <cellStyle name="Normal 109 2 2 2 2 4 2 4 2 2 2 2 2 4" xfId="38210"/>
    <cellStyle name="Normal 109 2 2 2 2 4 2 4 2 2 2 2 2 4 2" xfId="38211"/>
    <cellStyle name="Normal 109 2 2 2 2 4 2 4 2 2 2 2 2 4 2 2" xfId="38212"/>
    <cellStyle name="Normal 109 2 2 2 2 4 2 4 2 2 2 2 2 4 3" xfId="38213"/>
    <cellStyle name="Normal 109 2 2 2 2 4 2 4 2 2 2 2 2 5" xfId="38214"/>
    <cellStyle name="Normal 109 2 2 2 2 4 2 4 2 2 2 2 3" xfId="38215"/>
    <cellStyle name="Normal 109 2 2 2 2 4 2 4 2 2 2 2 3 2" xfId="38216"/>
    <cellStyle name="Normal 109 2 2 2 2 4 2 4 2 2 2 2 3 2 2" xfId="38217"/>
    <cellStyle name="Normal 109 2 2 2 2 4 2 4 2 2 2 2 3 3" xfId="38218"/>
    <cellStyle name="Normal 109 2 2 2 2 4 2 4 2 2 2 2 4" xfId="38219"/>
    <cellStyle name="Normal 109 2 2 2 2 4 2 4 2 2 2 3" xfId="38220"/>
    <cellStyle name="Normal 109 2 2 2 2 4 2 4 2 2 2 3 2" xfId="38221"/>
    <cellStyle name="Normal 109 2 2 2 2 4 2 4 2 2 2 3 2 2" xfId="38222"/>
    <cellStyle name="Normal 109 2 2 2 2 4 2 4 2 2 2 3 3" xfId="38223"/>
    <cellStyle name="Normal 109 2 2 2 2 4 2 4 2 2 2 4" xfId="38224"/>
    <cellStyle name="Normal 109 2 2 2 2 4 2 4 2 2 3" xfId="38225"/>
    <cellStyle name="Normal 109 2 2 2 2 4 2 4 2 2 3 2" xfId="38226"/>
    <cellStyle name="Normal 109 2 2 2 2 4 2 4 2 2 3 2 2" xfId="38227"/>
    <cellStyle name="Normal 109 2 2 2 2 4 2 4 2 2 3 3" xfId="38228"/>
    <cellStyle name="Normal 109 2 2 2 2 4 2 4 2 2 4" xfId="38229"/>
    <cellStyle name="Normal 109 2 2 2 2 4 2 4 2 3" xfId="38230"/>
    <cellStyle name="Normal 109 2 2 2 2 4 2 4 2 3 2" xfId="38231"/>
    <cellStyle name="Normal 109 2 2 2 2 4 2 4 2 3 2 2" xfId="38232"/>
    <cellStyle name="Normal 109 2 2 2 2 4 2 4 2 3 3" xfId="38233"/>
    <cellStyle name="Normal 109 2 2 2 2 4 2 4 2 4" xfId="38234"/>
    <cellStyle name="Normal 109 2 2 2 2 4 2 4 3" xfId="38235"/>
    <cellStyle name="Normal 109 2 2 2 2 4 2 4 3 2" xfId="38236"/>
    <cellStyle name="Normal 109 2 2 2 2 4 2 4 3 2 2" xfId="38237"/>
    <cellStyle name="Normal 109 2 2 2 2 4 2 4 3 3" xfId="38238"/>
    <cellStyle name="Normal 109 2 2 2 2 4 2 4 4" xfId="38239"/>
    <cellStyle name="Normal 109 2 2 2 2 4 2 5" xfId="38240"/>
    <cellStyle name="Normal 109 2 2 2 2 4 2 5 2" xfId="38241"/>
    <cellStyle name="Normal 109 2 2 2 2 4 2 5 2 2" xfId="38242"/>
    <cellStyle name="Normal 109 2 2 2 2 4 2 5 3" xfId="38243"/>
    <cellStyle name="Normal 109 2 2 2 2 4 2 6" xfId="38244"/>
    <cellStyle name="Normal 109 2 2 2 2 4 3" xfId="38245"/>
    <cellStyle name="Normal 109 2 2 2 2 4 3 2" xfId="38246"/>
    <cellStyle name="Normal 109 2 2 2 2 4 3 2 2" xfId="38247"/>
    <cellStyle name="Normal 109 2 2 2 2 4 3 3" xfId="38248"/>
    <cellStyle name="Normal 109 2 2 2 2 4 4" xfId="38249"/>
    <cellStyle name="Normal 109 2 2 2 2 5" xfId="38250"/>
    <cellStyle name="Normal 109 2 2 2 2 5 2" xfId="38251"/>
    <cellStyle name="Normal 109 2 2 2 2 5 2 2" xfId="38252"/>
    <cellStyle name="Normal 109 2 2 2 2 5 3" xfId="38253"/>
    <cellStyle name="Normal 109 2 2 2 2 6" xfId="38254"/>
    <cellStyle name="Normal 109 2 2 2 3" xfId="38255"/>
    <cellStyle name="Normal 109 2 2 2 3 2" xfId="38256"/>
    <cellStyle name="Normal 109 2 2 2 3 2 2" xfId="38257"/>
    <cellStyle name="Normal 109 2 2 2 3 3" xfId="38258"/>
    <cellStyle name="Normal 109 2 2 2 4" xfId="38259"/>
    <cellStyle name="Normal 109 2 2 3" xfId="38260"/>
    <cellStyle name="Normal 109 2 2 3 2" xfId="38261"/>
    <cellStyle name="Normal 109 2 2 3 2 2" xfId="38262"/>
    <cellStyle name="Normal 109 2 2 3 3" xfId="38263"/>
    <cellStyle name="Normal 109 2 2 4" xfId="38264"/>
    <cellStyle name="Normal 109 2 3" xfId="38265"/>
    <cellStyle name="Normal 109 2 3 2" xfId="38266"/>
    <cellStyle name="Normal 109 2 3 2 2" xfId="38267"/>
    <cellStyle name="Normal 109 2 3 2 2 2" xfId="38268"/>
    <cellStyle name="Normal 109 2 3 2 2 2 2" xfId="38269"/>
    <cellStyle name="Normal 109 2 3 2 2 3" xfId="38270"/>
    <cellStyle name="Normal 109 2 3 2 3" xfId="38271"/>
    <cellStyle name="Normal 109 2 3 2 3 2" xfId="38272"/>
    <cellStyle name="Normal 109 2 3 2 4" xfId="38273"/>
    <cellStyle name="Normal 109 2 3 3" xfId="38274"/>
    <cellStyle name="Normal 109 2 3 3 2" xfId="38275"/>
    <cellStyle name="Normal 109 2 3 3 2 2" xfId="38276"/>
    <cellStyle name="Normal 109 2 3 3 3" xfId="38277"/>
    <cellStyle name="Normal 109 2 3 4" xfId="38278"/>
    <cellStyle name="Normal 109 2 3 4 2" xfId="38279"/>
    <cellStyle name="Normal 109 2 3 5" xfId="38280"/>
    <cellStyle name="Normal 109 2 4" xfId="38281"/>
    <cellStyle name="Normal 109 2 4 2" xfId="38282"/>
    <cellStyle name="Normal 109 2 4 2 2" xfId="38283"/>
    <cellStyle name="Normal 109 2 4 2 2 2" xfId="38284"/>
    <cellStyle name="Normal 109 2 4 2 2 2 2" xfId="38285"/>
    <cellStyle name="Normal 109 2 4 2 2 3" xfId="38286"/>
    <cellStyle name="Normal 109 2 4 2 3" xfId="38287"/>
    <cellStyle name="Normal 109 2 4 2 3 2" xfId="38288"/>
    <cellStyle name="Normal 109 2 4 2 4" xfId="38289"/>
    <cellStyle name="Normal 109 2 4 3" xfId="38290"/>
    <cellStyle name="Normal 109 2 4 3 2" xfId="38291"/>
    <cellStyle name="Normal 109 2 4 3 2 2" xfId="38292"/>
    <cellStyle name="Normal 109 2 4 3 3" xfId="38293"/>
    <cellStyle name="Normal 109 2 4 4" xfId="38294"/>
    <cellStyle name="Normal 109 2 4 4 2" xfId="38295"/>
    <cellStyle name="Normal 109 2 4 5" xfId="38296"/>
    <cellStyle name="Normal 109 2 5" xfId="38297"/>
    <cellStyle name="Normal 109 2 5 2" xfId="38298"/>
    <cellStyle name="Normal 109 2 5 2 2" xfId="38299"/>
    <cellStyle name="Normal 109 2 5 2 2 2" xfId="38300"/>
    <cellStyle name="Normal 109 2 5 2 2 2 2" xfId="38301"/>
    <cellStyle name="Normal 109 2 5 2 2 3" xfId="38302"/>
    <cellStyle name="Normal 109 2 5 2 3" xfId="38303"/>
    <cellStyle name="Normal 109 2 5 2 3 2" xfId="38304"/>
    <cellStyle name="Normal 109 2 5 2 4" xfId="38305"/>
    <cellStyle name="Normal 109 2 5 3" xfId="38306"/>
    <cellStyle name="Normal 109 2 5 3 2" xfId="38307"/>
    <cellStyle name="Normal 109 2 5 3 2 2" xfId="38308"/>
    <cellStyle name="Normal 109 2 5 3 3" xfId="38309"/>
    <cellStyle name="Normal 109 2 5 4" xfId="38310"/>
    <cellStyle name="Normal 109 2 5 4 2" xfId="38311"/>
    <cellStyle name="Normal 109 2 5 5" xfId="38312"/>
    <cellStyle name="Normal 109 2 6" xfId="38313"/>
    <cellStyle name="Normal 109 2 6 2" xfId="38314"/>
    <cellStyle name="Normal 109 2 6 2 2" xfId="38315"/>
    <cellStyle name="Normal 109 2 6 3" xfId="38316"/>
    <cellStyle name="Normal 109 2 7" xfId="38317"/>
    <cellStyle name="Normal 109 3" xfId="38318"/>
    <cellStyle name="Normal 109 3 2" xfId="38319"/>
    <cellStyle name="Normal 109 3 2 2" xfId="38320"/>
    <cellStyle name="Normal 109 4" xfId="38321"/>
    <cellStyle name="Normal 11" xfId="38322"/>
    <cellStyle name="Normal 11 10" xfId="38323"/>
    <cellStyle name="Normal 11 10 2" xfId="38324"/>
    <cellStyle name="Normal 11 10 2 2" xfId="38325"/>
    <cellStyle name="Normal 11 10 3" xfId="38326"/>
    <cellStyle name="Normal 11 11" xfId="38327"/>
    <cellStyle name="Normal 11 11 2" xfId="38328"/>
    <cellStyle name="Normal 11 11 2 2" xfId="38329"/>
    <cellStyle name="Normal 11 11 3" xfId="38330"/>
    <cellStyle name="Normal 11 12" xfId="38331"/>
    <cellStyle name="Normal 11 12 2" xfId="38332"/>
    <cellStyle name="Normal 11 13" xfId="38333"/>
    <cellStyle name="Normal 11 13 2" xfId="38334"/>
    <cellStyle name="Normal 11 14" xfId="38335"/>
    <cellStyle name="Normal 11 14 2" xfId="38336"/>
    <cellStyle name="Normal 11 15" xfId="38337"/>
    <cellStyle name="Normal 11 16" xfId="38338"/>
    <cellStyle name="Normal 11 17" xfId="38339"/>
    <cellStyle name="Normal 11 18" xfId="38340"/>
    <cellStyle name="Normal 11 19" xfId="38341"/>
    <cellStyle name="Normal 11 2" xfId="38342"/>
    <cellStyle name="Normal 11 2 2" xfId="38343"/>
    <cellStyle name="Normal 11 2 3" xfId="38344"/>
    <cellStyle name="Normal 11 2 4" xfId="38345"/>
    <cellStyle name="Normal 11 2 5" xfId="38346"/>
    <cellStyle name="Normal 11 2_ADVANCE 1189000004 REIMBURSHMENT NOP 11" xfId="38347"/>
    <cellStyle name="Normal 11 20" xfId="38348"/>
    <cellStyle name="Normal 11 21" xfId="38349"/>
    <cellStyle name="Normal 11 22" xfId="38350"/>
    <cellStyle name="Normal 11 23" xfId="38351"/>
    <cellStyle name="Normal 11 24" xfId="38352"/>
    <cellStyle name="Normal 11 25" xfId="38353"/>
    <cellStyle name="Normal 11 26" xfId="38354"/>
    <cellStyle name="Normal 11 27" xfId="38355"/>
    <cellStyle name="Normal 11 28" xfId="38356"/>
    <cellStyle name="Normal 11 29" xfId="38357"/>
    <cellStyle name="Normal 11 3" xfId="38358"/>
    <cellStyle name="Normal 11 3 2" xfId="38359"/>
    <cellStyle name="Normal 11 3 2 2" xfId="38360"/>
    <cellStyle name="Normal 11 3 2 2 2" xfId="38361"/>
    <cellStyle name="Normal 11 3 2 2 2 2" xfId="38362"/>
    <cellStyle name="Normal 11 3 2 2 2 2 2" xfId="38363"/>
    <cellStyle name="Normal 11 3 2 2 2 3" xfId="38364"/>
    <cellStyle name="Normal 11 3 2 2 3" xfId="38365"/>
    <cellStyle name="Normal 11 3 2 2 3 2" xfId="38366"/>
    <cellStyle name="Normal 11 3 2 2 4" xfId="38367"/>
    <cellStyle name="Normal 11 3 2 2 4 2" xfId="38368"/>
    <cellStyle name="Normal 11 3 2 2 5" xfId="38369"/>
    <cellStyle name="Normal 11 3 2 2 5 2" xfId="38370"/>
    <cellStyle name="Normal 11 3 2 2 6" xfId="38371"/>
    <cellStyle name="Normal 11 3 2 3" xfId="38372"/>
    <cellStyle name="Normal 11 3 2 3 2" xfId="38373"/>
    <cellStyle name="Normal 11 3 2 3 2 2" xfId="38374"/>
    <cellStyle name="Normal 11 3 2 3 3" xfId="38375"/>
    <cellStyle name="Normal 11 3 2 4" xfId="38376"/>
    <cellStyle name="Normal 11 3 2 4 2" xfId="38377"/>
    <cellStyle name="Normal 11 3 2 5" xfId="38378"/>
    <cellStyle name="Normal 11 3 2 5 2" xfId="38379"/>
    <cellStyle name="Normal 11 3 2 6" xfId="38380"/>
    <cellStyle name="Normal 11 3 2 6 2" xfId="38381"/>
    <cellStyle name="Normal 11 3 2 7" xfId="38382"/>
    <cellStyle name="Normal 11 3 3" xfId="38383"/>
    <cellStyle name="Normal 11 3 3 2" xfId="38384"/>
    <cellStyle name="Normal 11 3 3 2 2" xfId="38385"/>
    <cellStyle name="Normal 11 3 3 2 2 2" xfId="38386"/>
    <cellStyle name="Normal 11 3 3 2 3" xfId="38387"/>
    <cellStyle name="Normal 11 3 3 3" xfId="38388"/>
    <cellStyle name="Normal 11 3 3 3 2" xfId="38389"/>
    <cellStyle name="Normal 11 3 3 4" xfId="38390"/>
    <cellStyle name="Normal 11 3 3 4 2" xfId="38391"/>
    <cellStyle name="Normal 11 3 3 5" xfId="38392"/>
    <cellStyle name="Normal 11 3 3 5 2" xfId="38393"/>
    <cellStyle name="Normal 11 3 3 6" xfId="38394"/>
    <cellStyle name="Normal 11 3 4" xfId="38395"/>
    <cellStyle name="Normal 11 3 4 2" xfId="38396"/>
    <cellStyle name="Normal 11 3 4 2 2" xfId="38397"/>
    <cellStyle name="Normal 11 3 4 3" xfId="38398"/>
    <cellStyle name="Normal 11 3 5" xfId="38399"/>
    <cellStyle name="Normal 11 3 5 2" xfId="38400"/>
    <cellStyle name="Normal 11 3 5 2 2" xfId="38401"/>
    <cellStyle name="Normal 11 3 5 3" xfId="38402"/>
    <cellStyle name="Normal 11 3 6" xfId="38403"/>
    <cellStyle name="Normal 11 3 6 2" xfId="38404"/>
    <cellStyle name="Normal 11 3 7" xfId="38405"/>
    <cellStyle name="Normal 11 3 8" xfId="38406"/>
    <cellStyle name="Normal 11 30" xfId="38407"/>
    <cellStyle name="Normal 11 31" xfId="38408"/>
    <cellStyle name="Normal 11 32" xfId="38409"/>
    <cellStyle name="Normal 11 33" xfId="38410"/>
    <cellStyle name="Normal 11 34" xfId="38411"/>
    <cellStyle name="Normal 11 35" xfId="38412"/>
    <cellStyle name="Normal 11 36" xfId="38413"/>
    <cellStyle name="Normal 11 37" xfId="38414"/>
    <cellStyle name="Normal 11 38" xfId="38415"/>
    <cellStyle name="Normal 11 39" xfId="38416"/>
    <cellStyle name="Normal 11 4" xfId="38417"/>
    <cellStyle name="Normal 11 4 2" xfId="38418"/>
    <cellStyle name="Normal 11 4 2 2" xfId="38419"/>
    <cellStyle name="Normal 11 4 2 2 2" xfId="38420"/>
    <cellStyle name="Normal 11 4 2 2 2 2" xfId="38421"/>
    <cellStyle name="Normal 11 4 2 2 2 2 2" xfId="38422"/>
    <cellStyle name="Normal 11 4 2 2 2 3" xfId="38423"/>
    <cellStyle name="Normal 11 4 2 2 3" xfId="38424"/>
    <cellStyle name="Normal 11 4 2 2 3 2" xfId="38425"/>
    <cellStyle name="Normal 11 4 2 2 4" xfId="38426"/>
    <cellStyle name="Normal 11 4 2 2 4 2" xfId="38427"/>
    <cellStyle name="Normal 11 4 2 2 5" xfId="38428"/>
    <cellStyle name="Normal 11 4 2 2 5 2" xfId="38429"/>
    <cellStyle name="Normal 11 4 2 2 6" xfId="38430"/>
    <cellStyle name="Normal 11 4 2 3" xfId="38431"/>
    <cellStyle name="Normal 11 4 2 3 2" xfId="38432"/>
    <cellStyle name="Normal 11 4 2 3 2 2" xfId="38433"/>
    <cellStyle name="Normal 11 4 2 3 3" xfId="38434"/>
    <cellStyle name="Normal 11 4 2 4" xfId="38435"/>
    <cellStyle name="Normal 11 4 2 4 2" xfId="38436"/>
    <cellStyle name="Normal 11 4 2 5" xfId="38437"/>
    <cellStyle name="Normal 11 4 2 5 2" xfId="38438"/>
    <cellStyle name="Normal 11 4 2 6" xfId="38439"/>
    <cellStyle name="Normal 11 4 2 6 2" xfId="38440"/>
    <cellStyle name="Normal 11 4 2 7" xfId="38441"/>
    <cellStyle name="Normal 11 4 3" xfId="38442"/>
    <cellStyle name="Normal 11 4 3 2" xfId="38443"/>
    <cellStyle name="Normal 11 4 3 2 2" xfId="38444"/>
    <cellStyle name="Normal 11 4 3 2 2 2" xfId="38445"/>
    <cellStyle name="Normal 11 4 3 2 3" xfId="38446"/>
    <cellStyle name="Normal 11 4 3 3" xfId="38447"/>
    <cellStyle name="Normal 11 4 3 3 2" xfId="38448"/>
    <cellStyle name="Normal 11 4 3 4" xfId="38449"/>
    <cellStyle name="Normal 11 4 3 4 2" xfId="38450"/>
    <cellStyle name="Normal 11 4 3 5" xfId="38451"/>
    <cellStyle name="Normal 11 4 3 5 2" xfId="38452"/>
    <cellStyle name="Normal 11 4 3 6" xfId="38453"/>
    <cellStyle name="Normal 11 4 4" xfId="38454"/>
    <cellStyle name="Normal 11 4 4 2" xfId="38455"/>
    <cellStyle name="Normal 11 4 4 2 2" xfId="38456"/>
    <cellStyle name="Normal 11 4 4 3" xfId="38457"/>
    <cellStyle name="Normal 11 4 5" xfId="38458"/>
    <cellStyle name="Normal 11 4 5 2" xfId="38459"/>
    <cellStyle name="Normal 11 4 6" xfId="38460"/>
    <cellStyle name="Normal 11 4 6 2" xfId="38461"/>
    <cellStyle name="Normal 11 4 7" xfId="38462"/>
    <cellStyle name="Normal 11 4 7 2" xfId="38463"/>
    <cellStyle name="Normal 11 4 8" xfId="38464"/>
    <cellStyle name="Normal 11 40" xfId="38465"/>
    <cellStyle name="Normal 11 41" xfId="38466"/>
    <cellStyle name="Normal 11 42" xfId="38467"/>
    <cellStyle name="Normal 11 43" xfId="38468"/>
    <cellStyle name="Normal 11 44" xfId="38469"/>
    <cellStyle name="Normal 11 45" xfId="38470"/>
    <cellStyle name="Normal 11 46" xfId="38471"/>
    <cellStyle name="Normal 11 47" xfId="38472"/>
    <cellStyle name="Normal 11 48" xfId="38473"/>
    <cellStyle name="Normal 11 49" xfId="38474"/>
    <cellStyle name="Normal 11 5" xfId="38475"/>
    <cellStyle name="Normal 11 5 2" xfId="38476"/>
    <cellStyle name="Normal 11 5 2 2" xfId="38477"/>
    <cellStyle name="Normal 11 5 2 2 2" xfId="38478"/>
    <cellStyle name="Normal 11 5 2 2 2 2" xfId="38479"/>
    <cellStyle name="Normal 11 5 2 2 3" xfId="38480"/>
    <cellStyle name="Normal 11 5 2 3" xfId="38481"/>
    <cellStyle name="Normal 11 5 2 3 2" xfId="38482"/>
    <cellStyle name="Normal 11 5 2 4" xfId="38483"/>
    <cellStyle name="Normal 11 5 2 4 2" xfId="38484"/>
    <cellStyle name="Normal 11 5 2 5" xfId="38485"/>
    <cellStyle name="Normal 11 5 2 5 2" xfId="38486"/>
    <cellStyle name="Normal 11 5 2 6" xfId="38487"/>
    <cellStyle name="Normal 11 5 3" xfId="38488"/>
    <cellStyle name="Normal 11 5 3 2" xfId="38489"/>
    <cellStyle name="Normal 11 5 3 2 2" xfId="38490"/>
    <cellStyle name="Normal 11 5 3 3" xfId="38491"/>
    <cellStyle name="Normal 11 5 4" xfId="38492"/>
    <cellStyle name="Normal 11 5 4 2" xfId="38493"/>
    <cellStyle name="Normal 11 5 5" xfId="38494"/>
    <cellStyle name="Normal 11 5 5 2" xfId="38495"/>
    <cellStyle name="Normal 11 5 6" xfId="38496"/>
    <cellStyle name="Normal 11 5 6 2" xfId="38497"/>
    <cellStyle name="Normal 11 5 7" xfId="38498"/>
    <cellStyle name="Normal 11 50" xfId="38499"/>
    <cellStyle name="Normal 11 51" xfId="38500"/>
    <cellStyle name="Normal 11 52" xfId="38501"/>
    <cellStyle name="Normal 11 53" xfId="38502"/>
    <cellStyle name="Normal 11 54" xfId="38503"/>
    <cellStyle name="Normal 11 55" xfId="38504"/>
    <cellStyle name="Normal 11 56" xfId="38505"/>
    <cellStyle name="Normal 11 57" xfId="38506"/>
    <cellStyle name="Normal 11 58" xfId="38507"/>
    <cellStyle name="Normal 11 59" xfId="38508"/>
    <cellStyle name="Normal 11 6" xfId="38509"/>
    <cellStyle name="Normal 11 6 2" xfId="38510"/>
    <cellStyle name="Normal 11 6 2 2" xfId="38511"/>
    <cellStyle name="Normal 11 6 2 2 2" xfId="38512"/>
    <cellStyle name="Normal 11 6 2 2 2 2" xfId="38513"/>
    <cellStyle name="Normal 11 6 2 2 3" xfId="38514"/>
    <cellStyle name="Normal 11 6 2 3" xfId="38515"/>
    <cellStyle name="Normal 11 6 2 3 2" xfId="38516"/>
    <cellStyle name="Normal 11 6 2 4" xfId="38517"/>
    <cellStyle name="Normal 11 6 2 4 2" xfId="38518"/>
    <cellStyle name="Normal 11 6 2 5" xfId="38519"/>
    <cellStyle name="Normal 11 6 2 5 2" xfId="38520"/>
    <cellStyle name="Normal 11 6 2 6" xfId="38521"/>
    <cellStyle name="Normal 11 6 3" xfId="38522"/>
    <cellStyle name="Normal 11 6 3 2" xfId="38523"/>
    <cellStyle name="Normal 11 6 3 2 2" xfId="38524"/>
    <cellStyle name="Normal 11 6 3 3" xfId="38525"/>
    <cellStyle name="Normal 11 6 4" xfId="38526"/>
    <cellStyle name="Normal 11 6 4 2" xfId="38527"/>
    <cellStyle name="Normal 11 6 5" xfId="38528"/>
    <cellStyle name="Normal 11 6 5 2" xfId="38529"/>
    <cellStyle name="Normal 11 6 6" xfId="38530"/>
    <cellStyle name="Normal 11 6 6 2" xfId="38531"/>
    <cellStyle name="Normal 11 6 7" xfId="38532"/>
    <cellStyle name="Normal 11 60" xfId="38533"/>
    <cellStyle name="Normal 11 61" xfId="38534"/>
    <cellStyle name="Normal 11 62" xfId="38535"/>
    <cellStyle name="Normal 11 63" xfId="38536"/>
    <cellStyle name="Normal 11 64" xfId="38537"/>
    <cellStyle name="Normal 11 65" xfId="38538"/>
    <cellStyle name="Normal 11 66" xfId="38539"/>
    <cellStyle name="Normal 11 67" xfId="38540"/>
    <cellStyle name="Normal 11 68" xfId="38541"/>
    <cellStyle name="Normal 11 69" xfId="38542"/>
    <cellStyle name="Normal 11 7" xfId="38543"/>
    <cellStyle name="Normal 11 7 2" xfId="38544"/>
    <cellStyle name="Normal 11 7 2 2" xfId="38545"/>
    <cellStyle name="Normal 11 7 2 2 2" xfId="38546"/>
    <cellStyle name="Normal 11 7 2 3" xfId="38547"/>
    <cellStyle name="Normal 11 7 3" xfId="38548"/>
    <cellStyle name="Normal 11 7 3 2" xfId="38549"/>
    <cellStyle name="Normal 11 7 4" xfId="38550"/>
    <cellStyle name="Normal 11 7 4 2" xfId="38551"/>
    <cellStyle name="Normal 11 7 5" xfId="38552"/>
    <cellStyle name="Normal 11 7 5 2" xfId="38553"/>
    <cellStyle name="Normal 11 7 6" xfId="38554"/>
    <cellStyle name="Normal 11 70" xfId="38555"/>
    <cellStyle name="Normal 11 71" xfId="38556"/>
    <cellStyle name="Normal 11 72" xfId="38557"/>
    <cellStyle name="Normal 11 73" xfId="38558"/>
    <cellStyle name="Normal 11 74" xfId="38559"/>
    <cellStyle name="Normal 11 75" xfId="38560"/>
    <cellStyle name="Normal 11 76" xfId="38561"/>
    <cellStyle name="Normal 11 77" xfId="38562"/>
    <cellStyle name="Normal 11 78" xfId="38563"/>
    <cellStyle name="Normal 11 79" xfId="38564"/>
    <cellStyle name="Normal 11 8" xfId="38565"/>
    <cellStyle name="Normal 11 8 2" xfId="38566"/>
    <cellStyle name="Normal 11 8 2 2" xfId="38567"/>
    <cellStyle name="Normal 11 8 2 2 2" xfId="38568"/>
    <cellStyle name="Normal 11 8 2 3" xfId="38569"/>
    <cellStyle name="Normal 11 8 3" xfId="38570"/>
    <cellStyle name="Normal 11 8 3 2" xfId="38571"/>
    <cellStyle name="Normal 11 8 4" xfId="38572"/>
    <cellStyle name="Normal 11 8 4 2" xfId="38573"/>
    <cellStyle name="Normal 11 8 5" xfId="38574"/>
    <cellStyle name="Normal 11 8 5 2" xfId="38575"/>
    <cellStyle name="Normal 11 8 6" xfId="38576"/>
    <cellStyle name="Normal 11 80" xfId="38577"/>
    <cellStyle name="Normal 11 81" xfId="38578"/>
    <cellStyle name="Normal 11 82" xfId="38579"/>
    <cellStyle name="Normal 11 83" xfId="38580"/>
    <cellStyle name="Normal 11 84" xfId="38581"/>
    <cellStyle name="Normal 11 9" xfId="38582"/>
    <cellStyle name="Normal 11 9 2" xfId="38583"/>
    <cellStyle name="Normal 11 9 2 2" xfId="38584"/>
    <cellStyle name="Normal 11 9 2 2 2" xfId="38585"/>
    <cellStyle name="Normal 11 9 2 3" xfId="38586"/>
    <cellStyle name="Normal 11 9 3" xfId="38587"/>
    <cellStyle name="Normal 11 9 3 2" xfId="38588"/>
    <cellStyle name="Normal 11 9 4" xfId="38589"/>
    <cellStyle name="Normal 11 9 4 2" xfId="38590"/>
    <cellStyle name="Normal 11 9 5" xfId="38591"/>
    <cellStyle name="Normal 11 9 5 2" xfId="38592"/>
    <cellStyle name="Normal 11 9 6" xfId="38593"/>
    <cellStyle name="Normal 11_ADVANCE 1189000004 REIMBURSHMENT NOP 11" xfId="38594"/>
    <cellStyle name="Normal 110" xfId="38595"/>
    <cellStyle name="Normal 110 2" xfId="38596"/>
    <cellStyle name="Normal 110 2 2" xfId="38597"/>
    <cellStyle name="Normal 110 2 2 2" xfId="38598"/>
    <cellStyle name="Normal 110 2 2 2 2" xfId="38599"/>
    <cellStyle name="Normal 110 2 2 3" xfId="38600"/>
    <cellStyle name="Normal 110 2 3" xfId="38601"/>
    <cellStyle name="Normal 110 2 3 2" xfId="38602"/>
    <cellStyle name="Normal 110 2 4" xfId="38603"/>
    <cellStyle name="Normal 110 3" xfId="38604"/>
    <cellStyle name="Normal 110 3 2" xfId="38605"/>
    <cellStyle name="Normal 110 3 2 2" xfId="38606"/>
    <cellStyle name="Normal 110 4" xfId="38607"/>
    <cellStyle name="Normal 110 4 2" xfId="38608"/>
    <cellStyle name="Normal 110 5" xfId="38609"/>
    <cellStyle name="Normal 111" xfId="38610"/>
    <cellStyle name="Normal 111 2" xfId="38611"/>
    <cellStyle name="Normal 111 2 2" xfId="38612"/>
    <cellStyle name="Normal 111 2 2 2" xfId="38613"/>
    <cellStyle name="Normal 111 2 2 2 2" xfId="38614"/>
    <cellStyle name="Normal 111 2 2 3" xfId="38615"/>
    <cellStyle name="Normal 111 2 3" xfId="38616"/>
    <cellStyle name="Normal 111 2 3 2" xfId="38617"/>
    <cellStyle name="Normal 111 2 4" xfId="38618"/>
    <cellStyle name="Normal 111 3" xfId="38619"/>
    <cellStyle name="Normal 111 3 2" xfId="38620"/>
    <cellStyle name="Normal 111 3 2 2" xfId="38621"/>
    <cellStyle name="Normal 111 4" xfId="38622"/>
    <cellStyle name="Normal 111 4 2" xfId="38623"/>
    <cellStyle name="Normal 111 5" xfId="38624"/>
    <cellStyle name="Normal 112" xfId="38625"/>
    <cellStyle name="Normal 112 2" xfId="38626"/>
    <cellStyle name="Normal 112 2 2" xfId="38627"/>
    <cellStyle name="Normal 112 2 2 2" xfId="38628"/>
    <cellStyle name="Normal 112 2 2 2 2" xfId="38629"/>
    <cellStyle name="Normal 112 2 2 3" xfId="38630"/>
    <cellStyle name="Normal 112 2 3" xfId="38631"/>
    <cellStyle name="Normal 112 2 3 2" xfId="38632"/>
    <cellStyle name="Normal 112 2 4" xfId="38633"/>
    <cellStyle name="Normal 112 3" xfId="38634"/>
    <cellStyle name="Normal 112 3 2" xfId="38635"/>
    <cellStyle name="Normal 112 3 2 2" xfId="38636"/>
    <cellStyle name="Normal 112 4" xfId="38637"/>
    <cellStyle name="Normal 112 4 2" xfId="38638"/>
    <cellStyle name="Normal 112 5" xfId="38639"/>
    <cellStyle name="Normal 1128" xfId="57807"/>
    <cellStyle name="Normal 113" xfId="38640"/>
    <cellStyle name="Normal 113 2" xfId="38641"/>
    <cellStyle name="Normal 113 2 2" xfId="38642"/>
    <cellStyle name="Normal 113 2 2 2" xfId="38643"/>
    <cellStyle name="Normal 113 2 2 2 2" xfId="38644"/>
    <cellStyle name="Normal 113 2 2 3" xfId="38645"/>
    <cellStyle name="Normal 113 2 3" xfId="38646"/>
    <cellStyle name="Normal 113 2 3 2" xfId="38647"/>
    <cellStyle name="Normal 113 2 4" xfId="38648"/>
    <cellStyle name="Normal 113 3" xfId="38649"/>
    <cellStyle name="Normal 113 3 2" xfId="38650"/>
    <cellStyle name="Normal 113 3 2 2" xfId="38651"/>
    <cellStyle name="Normal 113 4" xfId="38652"/>
    <cellStyle name="Normal 113 4 2" xfId="38653"/>
    <cellStyle name="Normal 113 5" xfId="38654"/>
    <cellStyle name="Normal 114" xfId="38655"/>
    <cellStyle name="Normal 114 2" xfId="38656"/>
    <cellStyle name="Normal 114 2 2" xfId="38657"/>
    <cellStyle name="Normal 114 2 2 2" xfId="38658"/>
    <cellStyle name="Normal 114 2 2 2 2" xfId="38659"/>
    <cellStyle name="Normal 114 2 2 3" xfId="38660"/>
    <cellStyle name="Normal 114 2 3" xfId="38661"/>
    <cellStyle name="Normal 114 2 3 2" xfId="38662"/>
    <cellStyle name="Normal 114 2 4" xfId="38663"/>
    <cellStyle name="Normal 114 3" xfId="38664"/>
    <cellStyle name="Normal 114 3 2" xfId="38665"/>
    <cellStyle name="Normal 114 3 2 2" xfId="38666"/>
    <cellStyle name="Normal 114 4" xfId="38667"/>
    <cellStyle name="Normal 114 4 2" xfId="38668"/>
    <cellStyle name="Normal 114 5" xfId="38669"/>
    <cellStyle name="Normal 115" xfId="38670"/>
    <cellStyle name="Normal 115 2" xfId="38671"/>
    <cellStyle name="Normal 115 2 2" xfId="38672"/>
    <cellStyle name="Normal 115 2 2 2" xfId="38673"/>
    <cellStyle name="Normal 115 2 2 2 2" xfId="38674"/>
    <cellStyle name="Normal 115 2 2 3" xfId="38675"/>
    <cellStyle name="Normal 115 2 3" xfId="38676"/>
    <cellStyle name="Normal 115 2 3 2" xfId="38677"/>
    <cellStyle name="Normal 115 2 4" xfId="38678"/>
    <cellStyle name="Normal 115 3" xfId="38679"/>
    <cellStyle name="Normal 115 3 2" xfId="38680"/>
    <cellStyle name="Normal 115 3 2 2" xfId="38681"/>
    <cellStyle name="Normal 115 4" xfId="38682"/>
    <cellStyle name="Normal 115 4 2" xfId="38683"/>
    <cellStyle name="Normal 115 5" xfId="38684"/>
    <cellStyle name="Normal 116" xfId="38685"/>
    <cellStyle name="Normal 116 2" xfId="38686"/>
    <cellStyle name="Normal 116 2 2" xfId="38687"/>
    <cellStyle name="Normal 116 2 2 2" xfId="38688"/>
    <cellStyle name="Normal 116 2 2 2 2" xfId="38689"/>
    <cellStyle name="Normal 116 2 2 3" xfId="38690"/>
    <cellStyle name="Normal 116 2 3" xfId="38691"/>
    <cellStyle name="Normal 116 2 3 2" xfId="38692"/>
    <cellStyle name="Normal 116 2 4" xfId="38693"/>
    <cellStyle name="Normal 116 3" xfId="38694"/>
    <cellStyle name="Normal 116 3 2" xfId="38695"/>
    <cellStyle name="Normal 116 3 2 2" xfId="38696"/>
    <cellStyle name="Normal 116 4" xfId="38697"/>
    <cellStyle name="Normal 116 4 2" xfId="38698"/>
    <cellStyle name="Normal 116 5" xfId="38699"/>
    <cellStyle name="Normal 117" xfId="38700"/>
    <cellStyle name="Normal 117 2" xfId="38701"/>
    <cellStyle name="Normal 117 2 2" xfId="38702"/>
    <cellStyle name="Normal 117 2 2 2" xfId="38703"/>
    <cellStyle name="Normal 117 2 2 2 2" xfId="38704"/>
    <cellStyle name="Normal 117 2 2 3" xfId="38705"/>
    <cellStyle name="Normal 117 2 3" xfId="38706"/>
    <cellStyle name="Normal 117 2 3 2" xfId="38707"/>
    <cellStyle name="Normal 117 2 4" xfId="38708"/>
    <cellStyle name="Normal 117 3" xfId="38709"/>
    <cellStyle name="Normal 117 3 2" xfId="38710"/>
    <cellStyle name="Normal 117 3 2 2" xfId="38711"/>
    <cellStyle name="Normal 117 4" xfId="38712"/>
    <cellStyle name="Normal 117 4 2" xfId="38713"/>
    <cellStyle name="Normal 117 5" xfId="38714"/>
    <cellStyle name="Normal 118" xfId="38715"/>
    <cellStyle name="Normal 118 2" xfId="38716"/>
    <cellStyle name="Normal 118 2 2" xfId="38717"/>
    <cellStyle name="Normal 118 2 2 2" xfId="38718"/>
    <cellStyle name="Normal 118 2 2 2 2" xfId="38719"/>
    <cellStyle name="Normal 118 2 2 3" xfId="38720"/>
    <cellStyle name="Normal 118 2 3" xfId="38721"/>
    <cellStyle name="Normal 118 2 3 2" xfId="38722"/>
    <cellStyle name="Normal 118 2 4" xfId="38723"/>
    <cellStyle name="Normal 118 3" xfId="38724"/>
    <cellStyle name="Normal 118 3 2" xfId="38725"/>
    <cellStyle name="Normal 118 3 2 2" xfId="38726"/>
    <cellStyle name="Normal 118 4" xfId="38727"/>
    <cellStyle name="Normal 118 4 2" xfId="38728"/>
    <cellStyle name="Normal 118 5" xfId="38729"/>
    <cellStyle name="Normal 119" xfId="38730"/>
    <cellStyle name="Normal 119 2" xfId="38731"/>
    <cellStyle name="Normal 119 2 2" xfId="38732"/>
    <cellStyle name="Normal 119 2 2 2" xfId="38733"/>
    <cellStyle name="Normal 119 2 2 2 2" xfId="38734"/>
    <cellStyle name="Normal 119 2 2 3" xfId="38735"/>
    <cellStyle name="Normal 119 2 3" xfId="38736"/>
    <cellStyle name="Normal 119 2 3 2" xfId="38737"/>
    <cellStyle name="Normal 119 2 4" xfId="38738"/>
    <cellStyle name="Normal 119 3" xfId="38739"/>
    <cellStyle name="Normal 119 3 2" xfId="38740"/>
    <cellStyle name="Normal 119 3 2 2" xfId="38741"/>
    <cellStyle name="Normal 119 4" xfId="38742"/>
    <cellStyle name="Normal 119 4 2" xfId="38743"/>
    <cellStyle name="Normal 119 5" xfId="38744"/>
    <cellStyle name="Normal 12" xfId="38745"/>
    <cellStyle name="Normal 12 10" xfId="38746"/>
    <cellStyle name="Normal 12 10 2" xfId="38747"/>
    <cellStyle name="Normal 12 11" xfId="38748"/>
    <cellStyle name="Normal 12 11 2" xfId="38749"/>
    <cellStyle name="Normal 12 12" xfId="38750"/>
    <cellStyle name="Normal 12 12 2" xfId="38751"/>
    <cellStyle name="Normal 12 13" xfId="38752"/>
    <cellStyle name="Normal 12 14" xfId="38753"/>
    <cellStyle name="Normal 12 15" xfId="38754"/>
    <cellStyle name="Normal 12 16" xfId="38755"/>
    <cellStyle name="Normal 12 17" xfId="38756"/>
    <cellStyle name="Normal 12 18" xfId="38757"/>
    <cellStyle name="Normal 12 19" xfId="38758"/>
    <cellStyle name="Normal 12 2" xfId="38759"/>
    <cellStyle name="Normal 12 2 2" xfId="38760"/>
    <cellStyle name="Normal 12 2 2 2" xfId="38761"/>
    <cellStyle name="Normal 12 2 2 2 2" xfId="38762"/>
    <cellStyle name="Normal 12 2 2 2 2 2" xfId="38763"/>
    <cellStyle name="Normal 12 2 2 2 2 2 2" xfId="38764"/>
    <cellStyle name="Normal 12 2 2 2 2 3" xfId="38765"/>
    <cellStyle name="Normal 12 2 2 2 3" xfId="38766"/>
    <cellStyle name="Normal 12 2 2 2 3 2" xfId="38767"/>
    <cellStyle name="Normal 12 2 2 2 4" xfId="38768"/>
    <cellStyle name="Normal 12 2 2 2 4 2" xfId="38769"/>
    <cellStyle name="Normal 12 2 2 2 5" xfId="38770"/>
    <cellStyle name="Normal 12 2 2 2 5 2" xfId="38771"/>
    <cellStyle name="Normal 12 2 2 2 6" xfId="38772"/>
    <cellStyle name="Normal 12 2 2 3" xfId="38773"/>
    <cellStyle name="Normal 12 2 2 3 2" xfId="38774"/>
    <cellStyle name="Normal 12 2 2 3 2 2" xfId="38775"/>
    <cellStyle name="Normal 12 2 2 3 3" xfId="38776"/>
    <cellStyle name="Normal 12 2 2 4" xfId="38777"/>
    <cellStyle name="Normal 12 2 2 4 2" xfId="38778"/>
    <cellStyle name="Normal 12 2 2 5" xfId="38779"/>
    <cellStyle name="Normal 12 2 2 5 2" xfId="38780"/>
    <cellStyle name="Normal 12 2 2 6" xfId="38781"/>
    <cellStyle name="Normal 12 2 2 6 2" xfId="38782"/>
    <cellStyle name="Normal 12 2 2 7" xfId="38783"/>
    <cellStyle name="Normal 12 2 3" xfId="38784"/>
    <cellStyle name="Normal 12 2 3 2" xfId="38785"/>
    <cellStyle name="Normal 12 2 3 2 2" xfId="38786"/>
    <cellStyle name="Normal 12 2 3 2 2 2" xfId="38787"/>
    <cellStyle name="Normal 12 2 3 2 3" xfId="38788"/>
    <cellStyle name="Normal 12 2 3 3" xfId="38789"/>
    <cellStyle name="Normal 12 2 3 3 2" xfId="38790"/>
    <cellStyle name="Normal 12 2 3 4" xfId="38791"/>
    <cellStyle name="Normal 12 2 3 4 2" xfId="38792"/>
    <cellStyle name="Normal 12 2 3 5" xfId="38793"/>
    <cellStyle name="Normal 12 2 3 5 2" xfId="38794"/>
    <cellStyle name="Normal 12 2 3 6" xfId="38795"/>
    <cellStyle name="Normal 12 2 4" xfId="38796"/>
    <cellStyle name="Normal 12 2 4 2" xfId="38797"/>
    <cellStyle name="Normal 12 2 4 2 2" xfId="38798"/>
    <cellStyle name="Normal 12 2 4 3" xfId="38799"/>
    <cellStyle name="Normal 12 2 5" xfId="38800"/>
    <cellStyle name="Normal 12 2 5 2" xfId="38801"/>
    <cellStyle name="Normal 12 2 6" xfId="38802"/>
    <cellStyle name="Normal 12 2 6 2" xfId="38803"/>
    <cellStyle name="Normal 12 2 7" xfId="38804"/>
    <cellStyle name="Normal 12 2 7 2" xfId="38805"/>
    <cellStyle name="Normal 12 2 8" xfId="38806"/>
    <cellStyle name="Normal 12 2 9" xfId="57808"/>
    <cellStyle name="Normal 12 2_ADVANCE 1189000004 REIMBURSHMENT NOP 11" xfId="38807"/>
    <cellStyle name="Normal 12 20" xfId="38808"/>
    <cellStyle name="Normal 12 21" xfId="38809"/>
    <cellStyle name="Normal 12 22" xfId="38810"/>
    <cellStyle name="Normal 12 23" xfId="38811"/>
    <cellStyle name="Normal 12 24" xfId="38812"/>
    <cellStyle name="Normal 12 25" xfId="38813"/>
    <cellStyle name="Normal 12 26" xfId="38814"/>
    <cellStyle name="Normal 12 27" xfId="38815"/>
    <cellStyle name="Normal 12 28" xfId="38816"/>
    <cellStyle name="Normal 12 29" xfId="38817"/>
    <cellStyle name="Normal 12 3" xfId="38818"/>
    <cellStyle name="Normal 12 3 2" xfId="38819"/>
    <cellStyle name="Normal 12 3 2 2" xfId="38820"/>
    <cellStyle name="Normal 12 3 2 2 2" xfId="38821"/>
    <cellStyle name="Normal 12 3 2 2 2 2" xfId="38822"/>
    <cellStyle name="Normal 12 3 2 2 2 2 2" xfId="38823"/>
    <cellStyle name="Normal 12 3 2 2 2 3" xfId="38824"/>
    <cellStyle name="Normal 12 3 2 2 3" xfId="38825"/>
    <cellStyle name="Normal 12 3 2 2 3 2" xfId="38826"/>
    <cellStyle name="Normal 12 3 2 2 4" xfId="38827"/>
    <cellStyle name="Normal 12 3 2 2 4 2" xfId="38828"/>
    <cellStyle name="Normal 12 3 2 2 5" xfId="38829"/>
    <cellStyle name="Normal 12 3 2 2 5 2" xfId="38830"/>
    <cellStyle name="Normal 12 3 2 2 6" xfId="38831"/>
    <cellStyle name="Normal 12 3 2 3" xfId="38832"/>
    <cellStyle name="Normal 12 3 2 3 2" xfId="38833"/>
    <cellStyle name="Normal 12 3 2 3 2 2" xfId="38834"/>
    <cellStyle name="Normal 12 3 2 3 3" xfId="38835"/>
    <cellStyle name="Normal 12 3 2 4" xfId="38836"/>
    <cellStyle name="Normal 12 3 2 4 2" xfId="38837"/>
    <cellStyle name="Normal 12 3 2 5" xfId="38838"/>
    <cellStyle name="Normal 12 3 2 5 2" xfId="38839"/>
    <cellStyle name="Normal 12 3 2 6" xfId="38840"/>
    <cellStyle name="Normal 12 3 2 6 2" xfId="38841"/>
    <cellStyle name="Normal 12 3 2 7" xfId="38842"/>
    <cellStyle name="Normal 12 3 3" xfId="38843"/>
    <cellStyle name="Normal 12 3 3 2" xfId="38844"/>
    <cellStyle name="Normal 12 3 3 2 2" xfId="38845"/>
    <cellStyle name="Normal 12 3 3 2 2 2" xfId="38846"/>
    <cellStyle name="Normal 12 3 3 2 3" xfId="38847"/>
    <cellStyle name="Normal 12 3 3 3" xfId="38848"/>
    <cellStyle name="Normal 12 3 3 3 2" xfId="38849"/>
    <cellStyle name="Normal 12 3 3 4" xfId="38850"/>
    <cellStyle name="Normal 12 3 3 4 2" xfId="38851"/>
    <cellStyle name="Normal 12 3 3 5" xfId="38852"/>
    <cellStyle name="Normal 12 3 3 5 2" xfId="38853"/>
    <cellStyle name="Normal 12 3 3 6" xfId="38854"/>
    <cellStyle name="Normal 12 3 4" xfId="38855"/>
    <cellStyle name="Normal 12 3 4 2" xfId="38856"/>
    <cellStyle name="Normal 12 3 4 2 2" xfId="38857"/>
    <cellStyle name="Normal 12 3 4 3" xfId="38858"/>
    <cellStyle name="Normal 12 3 5" xfId="38859"/>
    <cellStyle name="Normal 12 3 5 2" xfId="38860"/>
    <cellStyle name="Normal 12 3 6" xfId="38861"/>
    <cellStyle name="Normal 12 3 6 2" xfId="38862"/>
    <cellStyle name="Normal 12 3 7" xfId="38863"/>
    <cellStyle name="Normal 12 3 7 2" xfId="38864"/>
    <cellStyle name="Normal 12 3 8" xfId="38865"/>
    <cellStyle name="Normal 12 3 9" xfId="57809"/>
    <cellStyle name="Normal 12 30" xfId="38866"/>
    <cellStyle name="Normal 12 31" xfId="38867"/>
    <cellStyle name="Normal 12 32" xfId="38868"/>
    <cellStyle name="Normal 12 33" xfId="38869"/>
    <cellStyle name="Normal 12 34" xfId="38870"/>
    <cellStyle name="Normal 12 35" xfId="38871"/>
    <cellStyle name="Normal 12 36" xfId="38872"/>
    <cellStyle name="Normal 12 37" xfId="38873"/>
    <cellStyle name="Normal 12 38" xfId="38874"/>
    <cellStyle name="Normal 12 39" xfId="38875"/>
    <cellStyle name="Normal 12 4" xfId="38876"/>
    <cellStyle name="Normal 12 4 2" xfId="38877"/>
    <cellStyle name="Normal 12 4 2 2" xfId="38878"/>
    <cellStyle name="Normal 12 4 2 2 2" xfId="38879"/>
    <cellStyle name="Normal 12 4 2 2 2 2" xfId="38880"/>
    <cellStyle name="Normal 12 4 2 2 3" xfId="38881"/>
    <cellStyle name="Normal 12 4 2 3" xfId="38882"/>
    <cellStyle name="Normal 12 4 2 3 2" xfId="38883"/>
    <cellStyle name="Normal 12 4 2 4" xfId="38884"/>
    <cellStyle name="Normal 12 4 2 4 2" xfId="38885"/>
    <cellStyle name="Normal 12 4 2 5" xfId="38886"/>
    <cellStyle name="Normal 12 4 2 5 2" xfId="38887"/>
    <cellStyle name="Normal 12 4 2 6" xfId="38888"/>
    <cellStyle name="Normal 12 4 3" xfId="38889"/>
    <cellStyle name="Normal 12 4 3 2" xfId="38890"/>
    <cellStyle name="Normal 12 4 3 2 2" xfId="38891"/>
    <cellStyle name="Normal 12 4 3 3" xfId="38892"/>
    <cellStyle name="Normal 12 4 4" xfId="38893"/>
    <cellStyle name="Normal 12 4 4 2" xfId="38894"/>
    <cellStyle name="Normal 12 4 5" xfId="38895"/>
    <cellStyle name="Normal 12 4 5 2" xfId="38896"/>
    <cellStyle name="Normal 12 4 6" xfId="38897"/>
    <cellStyle name="Normal 12 4 6 2" xfId="38898"/>
    <cellStyle name="Normal 12 4 7" xfId="38899"/>
    <cellStyle name="Normal 12 4 8" xfId="57810"/>
    <cellStyle name="Normal 12 40" xfId="38900"/>
    <cellStyle name="Normal 12 41" xfId="38901"/>
    <cellStyle name="Normal 12 42" xfId="38902"/>
    <cellStyle name="Normal 12 43" xfId="38903"/>
    <cellStyle name="Normal 12 44" xfId="38904"/>
    <cellStyle name="Normal 12 45" xfId="38905"/>
    <cellStyle name="Normal 12 46" xfId="38906"/>
    <cellStyle name="Normal 12 47" xfId="38907"/>
    <cellStyle name="Normal 12 48" xfId="38908"/>
    <cellStyle name="Normal 12 49" xfId="38909"/>
    <cellStyle name="Normal 12 5" xfId="38910"/>
    <cellStyle name="Normal 12 5 2" xfId="38911"/>
    <cellStyle name="Normal 12 5 2 2" xfId="38912"/>
    <cellStyle name="Normal 12 5 2 2 2" xfId="38913"/>
    <cellStyle name="Normal 12 5 2 2 2 2" xfId="38914"/>
    <cellStyle name="Normal 12 5 2 2 3" xfId="38915"/>
    <cellStyle name="Normal 12 5 2 3" xfId="38916"/>
    <cellStyle name="Normal 12 5 2 3 2" xfId="38917"/>
    <cellStyle name="Normal 12 5 2 4" xfId="38918"/>
    <cellStyle name="Normal 12 5 2 4 2" xfId="38919"/>
    <cellStyle name="Normal 12 5 2 5" xfId="38920"/>
    <cellStyle name="Normal 12 5 2 5 2" xfId="38921"/>
    <cellStyle name="Normal 12 5 2 6" xfId="38922"/>
    <cellStyle name="Normal 12 5 3" xfId="38923"/>
    <cellStyle name="Normal 12 5 3 2" xfId="38924"/>
    <cellStyle name="Normal 12 5 3 2 2" xfId="38925"/>
    <cellStyle name="Normal 12 5 3 3" xfId="38926"/>
    <cellStyle name="Normal 12 5 4" xfId="38927"/>
    <cellStyle name="Normal 12 5 4 2" xfId="38928"/>
    <cellStyle name="Normal 12 5 5" xfId="38929"/>
    <cellStyle name="Normal 12 5 5 2" xfId="38930"/>
    <cellStyle name="Normal 12 5 6" xfId="38931"/>
    <cellStyle name="Normal 12 5 6 2" xfId="38932"/>
    <cellStyle name="Normal 12 5 7" xfId="38933"/>
    <cellStyle name="Normal 12 50" xfId="38934"/>
    <cellStyle name="Normal 12 51" xfId="38935"/>
    <cellStyle name="Normal 12 52" xfId="38936"/>
    <cellStyle name="Normal 12 53" xfId="38937"/>
    <cellStyle name="Normal 12 54" xfId="38938"/>
    <cellStyle name="Normal 12 55" xfId="38939"/>
    <cellStyle name="Normal 12 56" xfId="38940"/>
    <cellStyle name="Normal 12 57" xfId="38941"/>
    <cellStyle name="Normal 12 58" xfId="38942"/>
    <cellStyle name="Normal 12 59" xfId="38943"/>
    <cellStyle name="Normal 12 6" xfId="38944"/>
    <cellStyle name="Normal 12 6 2" xfId="38945"/>
    <cellStyle name="Normal 12 6 2 2" xfId="38946"/>
    <cellStyle name="Normal 12 6 2 2 2" xfId="38947"/>
    <cellStyle name="Normal 12 6 2 3" xfId="38948"/>
    <cellStyle name="Normal 12 6 3" xfId="38949"/>
    <cellStyle name="Normal 12 6 3 2" xfId="38950"/>
    <cellStyle name="Normal 12 6 4" xfId="38951"/>
    <cellStyle name="Normal 12 6 4 2" xfId="38952"/>
    <cellStyle name="Normal 12 6 5" xfId="38953"/>
    <cellStyle name="Normal 12 6 5 2" xfId="38954"/>
    <cellStyle name="Normal 12 6 6" xfId="38955"/>
    <cellStyle name="Normal 12 60" xfId="38956"/>
    <cellStyle name="Normal 12 61" xfId="38957"/>
    <cellStyle name="Normal 12 62" xfId="38958"/>
    <cellStyle name="Normal 12 63" xfId="38959"/>
    <cellStyle name="Normal 12 64" xfId="38960"/>
    <cellStyle name="Normal 12 7" xfId="38961"/>
    <cellStyle name="Normal 12 7 2" xfId="38962"/>
    <cellStyle name="Normal 12 7 2 2" xfId="38963"/>
    <cellStyle name="Normal 12 7 2 2 2" xfId="38964"/>
    <cellStyle name="Normal 12 7 2 3" xfId="38965"/>
    <cellStyle name="Normal 12 7 3" xfId="38966"/>
    <cellStyle name="Normal 12 7 3 2" xfId="38967"/>
    <cellStyle name="Normal 12 7 4" xfId="38968"/>
    <cellStyle name="Normal 12 7 4 2" xfId="38969"/>
    <cellStyle name="Normal 12 7 5" xfId="38970"/>
    <cellStyle name="Normal 12 7 5 2" xfId="38971"/>
    <cellStyle name="Normal 12 7 6" xfId="38972"/>
    <cellStyle name="Normal 12 8" xfId="38973"/>
    <cellStyle name="Normal 12 8 2" xfId="38974"/>
    <cellStyle name="Normal 12 8 2 2" xfId="38975"/>
    <cellStyle name="Normal 12 8 2 2 2" xfId="38976"/>
    <cellStyle name="Normal 12 8 2 3" xfId="38977"/>
    <cellStyle name="Normal 12 8 3" xfId="38978"/>
    <cellStyle name="Normal 12 8 3 2" xfId="38979"/>
    <cellStyle name="Normal 12 8 4" xfId="38980"/>
    <cellStyle name="Normal 12 8 4 2" xfId="38981"/>
    <cellStyle name="Normal 12 8 5" xfId="38982"/>
    <cellStyle name="Normal 12 8 5 2" xfId="38983"/>
    <cellStyle name="Normal 12 8 6" xfId="38984"/>
    <cellStyle name="Normal 12 9" xfId="38985"/>
    <cellStyle name="Normal 12 9 2" xfId="38986"/>
    <cellStyle name="Normal 12 9 2 2" xfId="38987"/>
    <cellStyle name="Normal 12 9 3" xfId="38988"/>
    <cellStyle name="Normal 12_ADVANCE 1189000004 REIMBURSHMENT NOP 11" xfId="38989"/>
    <cellStyle name="Normal 120" xfId="38990"/>
    <cellStyle name="Normal 120 2" xfId="38991"/>
    <cellStyle name="Normal 120 2 2" xfId="38992"/>
    <cellStyle name="Normal 120 2 2 2" xfId="38993"/>
    <cellStyle name="Normal 120 2 2 2 2" xfId="38994"/>
    <cellStyle name="Normal 120 2 2 3" xfId="38995"/>
    <cellStyle name="Normal 120 2 3" xfId="38996"/>
    <cellStyle name="Normal 120 2 3 2" xfId="38997"/>
    <cellStyle name="Normal 120 2 4" xfId="38998"/>
    <cellStyle name="Normal 120 3" xfId="38999"/>
    <cellStyle name="Normal 120 3 2" xfId="39000"/>
    <cellStyle name="Normal 120 3 2 2" xfId="39001"/>
    <cellStyle name="Normal 120 4" xfId="39002"/>
    <cellStyle name="Normal 120 4 2" xfId="39003"/>
    <cellStyle name="Normal 120 5" xfId="39004"/>
    <cellStyle name="Normal 121" xfId="39005"/>
    <cellStyle name="Normal 121 2" xfId="39006"/>
    <cellStyle name="Normal 121 2 2" xfId="39007"/>
    <cellStyle name="Normal 121 2 2 2" xfId="39008"/>
    <cellStyle name="Normal 121 2 2 2 2" xfId="39009"/>
    <cellStyle name="Normal 121 2 2 3" xfId="39010"/>
    <cellStyle name="Normal 121 2 3" xfId="39011"/>
    <cellStyle name="Normal 121 2 3 2" xfId="39012"/>
    <cellStyle name="Normal 121 2 4" xfId="39013"/>
    <cellStyle name="Normal 121 3" xfId="39014"/>
    <cellStyle name="Normal 121 3 2" xfId="39015"/>
    <cellStyle name="Normal 121 3 2 2" xfId="39016"/>
    <cellStyle name="Normal 121 3 3" xfId="39017"/>
    <cellStyle name="Normal 121 4" xfId="39018"/>
    <cellStyle name="Normal 121 4 2" xfId="39019"/>
    <cellStyle name="Normal 121 5" xfId="39020"/>
    <cellStyle name="Normal 122" xfId="39021"/>
    <cellStyle name="Normal 122 2" xfId="39022"/>
    <cellStyle name="Normal 122 2 2" xfId="39023"/>
    <cellStyle name="Normal 122 2 2 2" xfId="39024"/>
    <cellStyle name="Normal 122 2 2 2 2" xfId="39025"/>
    <cellStyle name="Normal 122 2 2 3" xfId="39026"/>
    <cellStyle name="Normal 122 2 3" xfId="39027"/>
    <cellStyle name="Normal 122 2 3 2" xfId="39028"/>
    <cellStyle name="Normal 122 2 4" xfId="39029"/>
    <cellStyle name="Normal 122 3" xfId="39030"/>
    <cellStyle name="Normal 122 3 2" xfId="39031"/>
    <cellStyle name="Normal 122 3 2 2" xfId="39032"/>
    <cellStyle name="Normal 122 4" xfId="39033"/>
    <cellStyle name="Normal 122 4 2" xfId="39034"/>
    <cellStyle name="Normal 122 5" xfId="39035"/>
    <cellStyle name="Normal 123" xfId="39036"/>
    <cellStyle name="Normal 123 2" xfId="39037"/>
    <cellStyle name="Normal 123 2 2" xfId="39038"/>
    <cellStyle name="Normal 123 2 2 2" xfId="39039"/>
    <cellStyle name="Normal 123 2 2 2 2" xfId="39040"/>
    <cellStyle name="Normal 123 2 2 3" xfId="39041"/>
    <cellStyle name="Normal 123 2 3" xfId="39042"/>
    <cellStyle name="Normal 123 2 3 2" xfId="39043"/>
    <cellStyle name="Normal 123 2 4" xfId="39044"/>
    <cellStyle name="Normal 123 3" xfId="39045"/>
    <cellStyle name="Normal 123 3 2" xfId="39046"/>
    <cellStyle name="Normal 123 3 2 2" xfId="39047"/>
    <cellStyle name="Normal 123 4" xfId="39048"/>
    <cellStyle name="Normal 123 4 2" xfId="39049"/>
    <cellStyle name="Normal 123 5" xfId="39050"/>
    <cellStyle name="Normal 123 6" xfId="57811"/>
    <cellStyle name="Normal 124" xfId="39051"/>
    <cellStyle name="Normal 124 2" xfId="39052"/>
    <cellStyle name="Normal 124 2 2" xfId="39053"/>
    <cellStyle name="Normal 124 2 2 2" xfId="39054"/>
    <cellStyle name="Normal 124 2 2 2 2" xfId="39055"/>
    <cellStyle name="Normal 124 2 2 3" xfId="39056"/>
    <cellStyle name="Normal 124 2 3" xfId="39057"/>
    <cellStyle name="Normal 124 2 3 2" xfId="39058"/>
    <cellStyle name="Normal 124 2 4" xfId="39059"/>
    <cellStyle name="Normal 124 3" xfId="39060"/>
    <cellStyle name="Normal 124 3 2" xfId="39061"/>
    <cellStyle name="Normal 124 3 2 2" xfId="39062"/>
    <cellStyle name="Normal 124 4" xfId="39063"/>
    <cellStyle name="Normal 124 4 2" xfId="39064"/>
    <cellStyle name="Normal 124 5" xfId="39065"/>
    <cellStyle name="Normal 125" xfId="39066"/>
    <cellStyle name="Normal 125 2" xfId="39067"/>
    <cellStyle name="Normal 125 2 2" xfId="39068"/>
    <cellStyle name="Normal 125 2 2 2" xfId="39069"/>
    <cellStyle name="Normal 125 2 2 2 2" xfId="39070"/>
    <cellStyle name="Normal 125 2 2 3" xfId="39071"/>
    <cellStyle name="Normal 125 2 3" xfId="39072"/>
    <cellStyle name="Normal 125 2 3 2" xfId="39073"/>
    <cellStyle name="Normal 125 2 4" xfId="39074"/>
    <cellStyle name="Normal 125 3" xfId="39075"/>
    <cellStyle name="Normal 125 3 2" xfId="39076"/>
    <cellStyle name="Normal 125 3 2 2" xfId="39077"/>
    <cellStyle name="Normal 125 4" xfId="39078"/>
    <cellStyle name="Normal 125 4 2" xfId="39079"/>
    <cellStyle name="Normal 125 5" xfId="39080"/>
    <cellStyle name="Normal 126" xfId="39081"/>
    <cellStyle name="Normal 126 2" xfId="39082"/>
    <cellStyle name="Normal 126 2 2" xfId="39083"/>
    <cellStyle name="Normal 126 2 2 2" xfId="39084"/>
    <cellStyle name="Normal 126 2 2 2 2" xfId="39085"/>
    <cellStyle name="Normal 126 2 2 3" xfId="39086"/>
    <cellStyle name="Normal 126 2 3" xfId="39087"/>
    <cellStyle name="Normal 126 2 3 2" xfId="39088"/>
    <cellStyle name="Normal 126 2 4" xfId="39089"/>
    <cellStyle name="Normal 126 3" xfId="39090"/>
    <cellStyle name="Normal 126 3 2" xfId="39091"/>
    <cellStyle name="Normal 126 3 2 2" xfId="39092"/>
    <cellStyle name="Normal 126 4" xfId="39093"/>
    <cellStyle name="Normal 126 4 2" xfId="39094"/>
    <cellStyle name="Normal 127" xfId="39095"/>
    <cellStyle name="Normal 127 2" xfId="39096"/>
    <cellStyle name="Normal 127 2 2" xfId="39097"/>
    <cellStyle name="Normal 127 2 2 2" xfId="39098"/>
    <cellStyle name="Normal 127 2 2 2 2" xfId="39099"/>
    <cellStyle name="Normal 127 2 2 3" xfId="39100"/>
    <cellStyle name="Normal 127 2 3" xfId="39101"/>
    <cellStyle name="Normal 127 2 3 2" xfId="39102"/>
    <cellStyle name="Normal 127 2 4" xfId="39103"/>
    <cellStyle name="Normal 127 3" xfId="39104"/>
    <cellStyle name="Normal 127 3 2" xfId="39105"/>
    <cellStyle name="Normal 127 3 2 2" xfId="39106"/>
    <cellStyle name="Normal 127 4" xfId="39107"/>
    <cellStyle name="Normal 127 4 2" xfId="39108"/>
    <cellStyle name="Normal 128" xfId="39109"/>
    <cellStyle name="Normal 128 2" xfId="39110"/>
    <cellStyle name="Normal 128 2 2" xfId="39111"/>
    <cellStyle name="Normal 128 2 2 2" xfId="39112"/>
    <cellStyle name="Normal 128 2 2 2 2" xfId="39113"/>
    <cellStyle name="Normal 128 2 2 3" xfId="39114"/>
    <cellStyle name="Normal 128 2 3" xfId="39115"/>
    <cellStyle name="Normal 128 2 3 2" xfId="39116"/>
    <cellStyle name="Normal 128 2 4" xfId="39117"/>
    <cellStyle name="Normal 128 3" xfId="39118"/>
    <cellStyle name="Normal 128 3 2" xfId="39119"/>
    <cellStyle name="Normal 128 3 2 2" xfId="39120"/>
    <cellStyle name="Normal 128 4" xfId="39121"/>
    <cellStyle name="Normal 128 4 2" xfId="39122"/>
    <cellStyle name="Normal 128 4 2 2" xfId="39123"/>
    <cellStyle name="Normal 128 4 2 2 2" xfId="39124"/>
    <cellStyle name="Normal 128 4 2 2 2 2" xfId="39125"/>
    <cellStyle name="Normal 128 4 2 2 3" xfId="39126"/>
    <cellStyle name="Normal 128 4 2 3" xfId="39127"/>
    <cellStyle name="Normal 128 4 2 3 2" xfId="39128"/>
    <cellStyle name="Normal 128 4 2 4" xfId="39129"/>
    <cellStyle name="Normal 128 4 3" xfId="39130"/>
    <cellStyle name="Normal 128 4 3 2" xfId="39131"/>
    <cellStyle name="Normal 128 4 3 2 2" xfId="39132"/>
    <cellStyle name="Normal 128 4 3 3" xfId="39133"/>
    <cellStyle name="Normal 128 4 4" xfId="39134"/>
    <cellStyle name="Normal 128 4 4 2" xfId="39135"/>
    <cellStyle name="Normal 128 4 5" xfId="39136"/>
    <cellStyle name="Normal 128 4 6" xfId="39137"/>
    <cellStyle name="Normal 128 4 6 2" xfId="39138"/>
    <cellStyle name="Normal 128 4 7" xfId="39139"/>
    <cellStyle name="Normal 128 4 8" xfId="4"/>
    <cellStyle name="Normal 128 4 8 2" xfId="39140"/>
    <cellStyle name="Normal 128 4 8 3" xfId="57453"/>
    <cellStyle name="Normal 128 4 9" xfId="57454"/>
    <cellStyle name="Normal 128 5" xfId="39141"/>
    <cellStyle name="Normal 128 5 2" xfId="39142"/>
    <cellStyle name="Normal 128 5 2 2" xfId="39143"/>
    <cellStyle name="Normal 128 5 2 2 2" xfId="39144"/>
    <cellStyle name="Normal 128 5 2 3" xfId="39145"/>
    <cellStyle name="Normal 128 5 3" xfId="39146"/>
    <cellStyle name="Normal 128 5 3 2" xfId="39147"/>
    <cellStyle name="Normal 128 5 4" xfId="39148"/>
    <cellStyle name="Normal 128 6" xfId="39149"/>
    <cellStyle name="Normal 128 6 2" xfId="39150"/>
    <cellStyle name="Normal 128 6 2 2" xfId="39151"/>
    <cellStyle name="Normal 128 6 3" xfId="39152"/>
    <cellStyle name="Normal 128 7" xfId="39153"/>
    <cellStyle name="Normal 128 7 2" xfId="39154"/>
    <cellStyle name="Normal 128 8" xfId="39155"/>
    <cellStyle name="Normal 129" xfId="39156"/>
    <cellStyle name="Normal 129 2" xfId="39157"/>
    <cellStyle name="Normal 129 2 2" xfId="39158"/>
    <cellStyle name="Normal 129 2 2 2" xfId="39159"/>
    <cellStyle name="Normal 129 2 2 2 2" xfId="39160"/>
    <cellStyle name="Normal 129 2 2 3" xfId="39161"/>
    <cellStyle name="Normal 129 2 3" xfId="39162"/>
    <cellStyle name="Normal 129 2 3 2" xfId="39163"/>
    <cellStyle name="Normal 129 2 4" xfId="39164"/>
    <cellStyle name="Normal 129 3" xfId="39165"/>
    <cellStyle name="Normal 129 3 2" xfId="39166"/>
    <cellStyle name="Normal 129 3 2 2" xfId="39167"/>
    <cellStyle name="Normal 129 4" xfId="39168"/>
    <cellStyle name="Normal 129 4 2" xfId="39169"/>
    <cellStyle name="Normal 129 4 2 2" xfId="39170"/>
    <cellStyle name="Normal 129 4 2 2 2" xfId="39171"/>
    <cellStyle name="Normal 129 4 2 2 2 2" xfId="39172"/>
    <cellStyle name="Normal 129 4 2 2 3" xfId="39173"/>
    <cellStyle name="Normal 129 4 2 3" xfId="39174"/>
    <cellStyle name="Normal 129 4 2 3 2" xfId="39175"/>
    <cellStyle name="Normal 129 4 2 4" xfId="39176"/>
    <cellStyle name="Normal 129 4 3" xfId="39177"/>
    <cellStyle name="Normal 129 4 3 2" xfId="39178"/>
    <cellStyle name="Normal 129 4 3 2 2" xfId="39179"/>
    <cellStyle name="Normal 129 4 3 3" xfId="39180"/>
    <cellStyle name="Normal 129 4 4" xfId="39181"/>
    <cellStyle name="Normal 129 4 4 2" xfId="39182"/>
    <cellStyle name="Normal 129 4 5" xfId="39183"/>
    <cellStyle name="Normal 129 4 6" xfId="39184"/>
    <cellStyle name="Normal 129 4 6 2" xfId="39185"/>
    <cellStyle name="Normal 129 5" xfId="39186"/>
    <cellStyle name="Normal 129 5 2" xfId="39187"/>
    <cellStyle name="Normal 129 5 2 2" xfId="39188"/>
    <cellStyle name="Normal 129 5 2 2 2" xfId="39189"/>
    <cellStyle name="Normal 129 5 2 3" xfId="39190"/>
    <cellStyle name="Normal 129 5 3" xfId="39191"/>
    <cellStyle name="Normal 129 5 3 2" xfId="39192"/>
    <cellStyle name="Normal 129 5 4" xfId="39193"/>
    <cellStyle name="Normal 129 6" xfId="39194"/>
    <cellStyle name="Normal 129 6 2" xfId="39195"/>
    <cellStyle name="Normal 129 6 2 2" xfId="39196"/>
    <cellStyle name="Normal 129 6 3" xfId="39197"/>
    <cellStyle name="Normal 129 7" xfId="39198"/>
    <cellStyle name="Normal 129 7 2" xfId="39199"/>
    <cellStyle name="Normal 129 8" xfId="39200"/>
    <cellStyle name="Normal 13" xfId="39201"/>
    <cellStyle name="Normal 13 10" xfId="39202"/>
    <cellStyle name="Normal 13 10 2" xfId="39203"/>
    <cellStyle name="Normal 13 10 2 2" xfId="39204"/>
    <cellStyle name="Normal 13 10 3" xfId="39205"/>
    <cellStyle name="Normal 13 11" xfId="39206"/>
    <cellStyle name="Normal 13 11 2" xfId="39207"/>
    <cellStyle name="Normal 13 12" xfId="39208"/>
    <cellStyle name="Normal 13 12 2" xfId="39209"/>
    <cellStyle name="Normal 13 13" xfId="39210"/>
    <cellStyle name="Normal 13 13 2" xfId="39211"/>
    <cellStyle name="Normal 13 14" xfId="39212"/>
    <cellStyle name="Normal 13 15" xfId="39213"/>
    <cellStyle name="Normal 13 16" xfId="39214"/>
    <cellStyle name="Normal 13 17" xfId="39215"/>
    <cellStyle name="Normal 13 18" xfId="39216"/>
    <cellStyle name="Normal 13 19" xfId="39217"/>
    <cellStyle name="Normal 13 2" xfId="39218"/>
    <cellStyle name="Normal 13 2 2" xfId="39219"/>
    <cellStyle name="Normal 13 2 2 2" xfId="39220"/>
    <cellStyle name="Normal 13 2 2 2 2" xfId="39221"/>
    <cellStyle name="Normal 13 2 2 2 2 2" xfId="39222"/>
    <cellStyle name="Normal 13 2 2 2 2 2 2" xfId="39223"/>
    <cellStyle name="Normal 13 2 2 2 2 3" xfId="39224"/>
    <cellStyle name="Normal 13 2 2 2 3" xfId="39225"/>
    <cellStyle name="Normal 13 2 2 2 3 2" xfId="39226"/>
    <cellStyle name="Normal 13 2 2 2 4" xfId="39227"/>
    <cellStyle name="Normal 13 2 2 2 4 2" xfId="39228"/>
    <cellStyle name="Normal 13 2 2 2 5" xfId="39229"/>
    <cellStyle name="Normal 13 2 2 2 5 2" xfId="39230"/>
    <cellStyle name="Normal 13 2 2 2 6" xfId="39231"/>
    <cellStyle name="Normal 13 2 2 3" xfId="39232"/>
    <cellStyle name="Normal 13 2 2 3 2" xfId="39233"/>
    <cellStyle name="Normal 13 2 2 3 2 2" xfId="39234"/>
    <cellStyle name="Normal 13 2 2 3 3" xfId="39235"/>
    <cellStyle name="Normal 13 2 2 4" xfId="39236"/>
    <cellStyle name="Normal 13 2 2 4 2" xfId="39237"/>
    <cellStyle name="Normal 13 2 2 5" xfId="39238"/>
    <cellStyle name="Normal 13 2 2 5 2" xfId="39239"/>
    <cellStyle name="Normal 13 2 2 6" xfId="39240"/>
    <cellStyle name="Normal 13 2 2 6 2" xfId="39241"/>
    <cellStyle name="Normal 13 2 2 7" xfId="39242"/>
    <cellStyle name="Normal 13 2 2 8" xfId="57813"/>
    <cellStyle name="Normal 13 2 3" xfId="39243"/>
    <cellStyle name="Normal 13 2 3 2" xfId="39244"/>
    <cellStyle name="Normal 13 2 3 2 2" xfId="39245"/>
    <cellStyle name="Normal 13 2 3 2 2 2" xfId="39246"/>
    <cellStyle name="Normal 13 2 3 2 3" xfId="39247"/>
    <cellStyle name="Normal 13 2 3 3" xfId="39248"/>
    <cellStyle name="Normal 13 2 3 3 2" xfId="39249"/>
    <cellStyle name="Normal 13 2 3 4" xfId="39250"/>
    <cellStyle name="Normal 13 2 3 4 2" xfId="39251"/>
    <cellStyle name="Normal 13 2 3 5" xfId="39252"/>
    <cellStyle name="Normal 13 2 3 5 2" xfId="39253"/>
    <cellStyle name="Normal 13 2 3 6" xfId="39254"/>
    <cellStyle name="Normal 13 2 4" xfId="39255"/>
    <cellStyle name="Normal 13 2 4 2" xfId="39256"/>
    <cellStyle name="Normal 13 2 4 2 2" xfId="39257"/>
    <cellStyle name="Normal 13 2 4 3" xfId="39258"/>
    <cellStyle name="Normal 13 2 5" xfId="39259"/>
    <cellStyle name="Normal 13 2 5 2" xfId="39260"/>
    <cellStyle name="Normal 13 2 6" xfId="39261"/>
    <cellStyle name="Normal 13 2 6 2" xfId="39262"/>
    <cellStyle name="Normal 13 2 7" xfId="39263"/>
    <cellStyle name="Normal 13 2 7 2" xfId="39264"/>
    <cellStyle name="Normal 13 2 8" xfId="39265"/>
    <cellStyle name="Normal 13 2 9" xfId="57812"/>
    <cellStyle name="Normal 13 20" xfId="39266"/>
    <cellStyle name="Normal 13 21" xfId="39267"/>
    <cellStyle name="Normal 13 22" xfId="39268"/>
    <cellStyle name="Normal 13 23" xfId="39269"/>
    <cellStyle name="Normal 13 24" xfId="39270"/>
    <cellStyle name="Normal 13 25" xfId="39271"/>
    <cellStyle name="Normal 13 26" xfId="39272"/>
    <cellStyle name="Normal 13 27" xfId="39273"/>
    <cellStyle name="Normal 13 28" xfId="39274"/>
    <cellStyle name="Normal 13 29" xfId="39275"/>
    <cellStyle name="Normal 13 3" xfId="39276"/>
    <cellStyle name="Normal 13 3 2" xfId="39277"/>
    <cellStyle name="Normal 13 3 2 2" xfId="39278"/>
    <cellStyle name="Normal 13 3 2 2 2" xfId="39279"/>
    <cellStyle name="Normal 13 3 2 2 2 2" xfId="39280"/>
    <cellStyle name="Normal 13 3 2 2 2 2 2" xfId="39281"/>
    <cellStyle name="Normal 13 3 2 2 2 3" xfId="39282"/>
    <cellStyle name="Normal 13 3 2 2 3" xfId="39283"/>
    <cellStyle name="Normal 13 3 2 2 3 2" xfId="39284"/>
    <cellStyle name="Normal 13 3 2 2 4" xfId="39285"/>
    <cellStyle name="Normal 13 3 2 2 4 2" xfId="39286"/>
    <cellStyle name="Normal 13 3 2 2 5" xfId="39287"/>
    <cellStyle name="Normal 13 3 2 2 5 2" xfId="39288"/>
    <cellStyle name="Normal 13 3 2 2 6" xfId="39289"/>
    <cellStyle name="Normal 13 3 2 3" xfId="39290"/>
    <cellStyle name="Normal 13 3 2 3 2" xfId="39291"/>
    <cellStyle name="Normal 13 3 2 3 2 2" xfId="39292"/>
    <cellStyle name="Normal 13 3 2 3 3" xfId="39293"/>
    <cellStyle name="Normal 13 3 2 4" xfId="39294"/>
    <cellStyle name="Normal 13 3 2 4 2" xfId="39295"/>
    <cellStyle name="Normal 13 3 2 5" xfId="39296"/>
    <cellStyle name="Normal 13 3 2 5 2" xfId="39297"/>
    <cellStyle name="Normal 13 3 2 6" xfId="39298"/>
    <cellStyle name="Normal 13 3 2 6 2" xfId="39299"/>
    <cellStyle name="Normal 13 3 2 7" xfId="39300"/>
    <cellStyle name="Normal 13 3 3" xfId="39301"/>
    <cellStyle name="Normal 13 3 3 2" xfId="39302"/>
    <cellStyle name="Normal 13 3 3 2 2" xfId="39303"/>
    <cellStyle name="Normal 13 3 3 2 2 2" xfId="39304"/>
    <cellStyle name="Normal 13 3 3 2 3" xfId="39305"/>
    <cellStyle name="Normal 13 3 3 3" xfId="39306"/>
    <cellStyle name="Normal 13 3 3 3 2" xfId="39307"/>
    <cellStyle name="Normal 13 3 3 4" xfId="39308"/>
    <cellStyle name="Normal 13 3 3 4 2" xfId="39309"/>
    <cellStyle name="Normal 13 3 3 5" xfId="39310"/>
    <cellStyle name="Normal 13 3 3 5 2" xfId="39311"/>
    <cellStyle name="Normal 13 3 3 6" xfId="39312"/>
    <cellStyle name="Normal 13 3 4" xfId="39313"/>
    <cellStyle name="Normal 13 3 4 2" xfId="39314"/>
    <cellStyle name="Normal 13 3 4 2 2" xfId="39315"/>
    <cellStyle name="Normal 13 3 4 3" xfId="39316"/>
    <cellStyle name="Normal 13 3 5" xfId="39317"/>
    <cellStyle name="Normal 13 3 5 2" xfId="39318"/>
    <cellStyle name="Normal 13 3 6" xfId="39319"/>
    <cellStyle name="Normal 13 3 6 2" xfId="39320"/>
    <cellStyle name="Normal 13 3 7" xfId="39321"/>
    <cellStyle name="Normal 13 3 7 2" xfId="39322"/>
    <cellStyle name="Normal 13 3 8" xfId="39323"/>
    <cellStyle name="Normal 13 30" xfId="39324"/>
    <cellStyle name="Normal 13 31" xfId="39325"/>
    <cellStyle name="Normal 13 32" xfId="39326"/>
    <cellStyle name="Normal 13 33" xfId="39327"/>
    <cellStyle name="Normal 13 34" xfId="39328"/>
    <cellStyle name="Normal 13 35" xfId="39329"/>
    <cellStyle name="Normal 13 36" xfId="39330"/>
    <cellStyle name="Normal 13 37" xfId="39331"/>
    <cellStyle name="Normal 13 38" xfId="39332"/>
    <cellStyle name="Normal 13 39" xfId="39333"/>
    <cellStyle name="Normal 13 4" xfId="39334"/>
    <cellStyle name="Normal 13 4 2" xfId="39335"/>
    <cellStyle name="Normal 13 4 2 2" xfId="39336"/>
    <cellStyle name="Normal 13 4 2 2 2" xfId="39337"/>
    <cellStyle name="Normal 13 4 2 2 2 2" xfId="39338"/>
    <cellStyle name="Normal 13 4 2 2 3" xfId="39339"/>
    <cellStyle name="Normal 13 4 2 3" xfId="39340"/>
    <cellStyle name="Normal 13 4 2 3 2" xfId="39341"/>
    <cellStyle name="Normal 13 4 2 4" xfId="39342"/>
    <cellStyle name="Normal 13 4 2 4 2" xfId="39343"/>
    <cellStyle name="Normal 13 4 2 5" xfId="39344"/>
    <cellStyle name="Normal 13 4 2 5 2" xfId="39345"/>
    <cellStyle name="Normal 13 4 2 6" xfId="39346"/>
    <cellStyle name="Normal 13 4 3" xfId="39347"/>
    <cellStyle name="Normal 13 4 3 2" xfId="39348"/>
    <cellStyle name="Normal 13 4 3 2 2" xfId="39349"/>
    <cellStyle name="Normal 13 4 3 3" xfId="39350"/>
    <cellStyle name="Normal 13 4 4" xfId="39351"/>
    <cellStyle name="Normal 13 4 4 2" xfId="39352"/>
    <cellStyle name="Normal 13 4 5" xfId="39353"/>
    <cellStyle name="Normal 13 4 5 2" xfId="39354"/>
    <cellStyle name="Normal 13 4 6" xfId="39355"/>
    <cellStyle name="Normal 13 4 6 2" xfId="39356"/>
    <cellStyle name="Normal 13 4 7" xfId="39357"/>
    <cellStyle name="Normal 13 40" xfId="39358"/>
    <cellStyle name="Normal 13 41" xfId="39359"/>
    <cellStyle name="Normal 13 42" xfId="39360"/>
    <cellStyle name="Normal 13 43" xfId="39361"/>
    <cellStyle name="Normal 13 44" xfId="39362"/>
    <cellStyle name="Normal 13 45" xfId="39363"/>
    <cellStyle name="Normal 13 46" xfId="39364"/>
    <cellStyle name="Normal 13 47" xfId="39365"/>
    <cellStyle name="Normal 13 48" xfId="39366"/>
    <cellStyle name="Normal 13 49" xfId="39367"/>
    <cellStyle name="Normal 13 5" xfId="39368"/>
    <cellStyle name="Normal 13 5 2" xfId="39369"/>
    <cellStyle name="Normal 13 5 2 2" xfId="39370"/>
    <cellStyle name="Normal 13 5 2 2 2" xfId="39371"/>
    <cellStyle name="Normal 13 5 2 2 2 2" xfId="39372"/>
    <cellStyle name="Normal 13 5 2 2 2 2 2" xfId="39373"/>
    <cellStyle name="Normal 13 5 2 2 2 3" xfId="39374"/>
    <cellStyle name="Normal 13 5 2 2 3" xfId="39375"/>
    <cellStyle name="Normal 13 5 2 2 3 2" xfId="39376"/>
    <cellStyle name="Normal 13 5 2 2 4" xfId="39377"/>
    <cellStyle name="Normal 13 5 2 2 4 2" xfId="39378"/>
    <cellStyle name="Normal 13 5 2 2 5" xfId="39379"/>
    <cellStyle name="Normal 13 5 2 2 5 2" xfId="39380"/>
    <cellStyle name="Normal 13 5 2 2 6" xfId="39381"/>
    <cellStyle name="Normal 13 5 2 3" xfId="39382"/>
    <cellStyle name="Normal 13 5 2 3 2" xfId="39383"/>
    <cellStyle name="Normal 13 5 2 3 2 2" xfId="39384"/>
    <cellStyle name="Normal 13 5 2 3 3" xfId="39385"/>
    <cellStyle name="Normal 13 5 2 4" xfId="39386"/>
    <cellStyle name="Normal 13 5 2 4 2" xfId="39387"/>
    <cellStyle name="Normal 13 5 2 5" xfId="39388"/>
    <cellStyle name="Normal 13 5 2 5 2" xfId="39389"/>
    <cellStyle name="Normal 13 5 2 6" xfId="39390"/>
    <cellStyle name="Normal 13 5 2 6 2" xfId="39391"/>
    <cellStyle name="Normal 13 5 2 7" xfId="39392"/>
    <cellStyle name="Normal 13 5 3" xfId="39393"/>
    <cellStyle name="Normal 13 5 3 2" xfId="39394"/>
    <cellStyle name="Normal 13 5 3 2 2" xfId="39395"/>
    <cellStyle name="Normal 13 5 3 2 2 2" xfId="39396"/>
    <cellStyle name="Normal 13 5 3 2 3" xfId="39397"/>
    <cellStyle name="Normal 13 5 3 3" xfId="39398"/>
    <cellStyle name="Normal 13 5 3 3 2" xfId="39399"/>
    <cellStyle name="Normal 13 5 3 4" xfId="39400"/>
    <cellStyle name="Normal 13 5 3 4 2" xfId="39401"/>
    <cellStyle name="Normal 13 5 3 5" xfId="39402"/>
    <cellStyle name="Normal 13 5 3 5 2" xfId="39403"/>
    <cellStyle name="Normal 13 5 3 6" xfId="39404"/>
    <cellStyle name="Normal 13 5 4" xfId="39405"/>
    <cellStyle name="Normal 13 5 4 2" xfId="39406"/>
    <cellStyle name="Normal 13 5 4 2 2" xfId="39407"/>
    <cellStyle name="Normal 13 5 4 3" xfId="39408"/>
    <cellStyle name="Normal 13 5 5" xfId="39409"/>
    <cellStyle name="Normal 13 5 5 2" xfId="39410"/>
    <cellStyle name="Normal 13 5 6" xfId="39411"/>
    <cellStyle name="Normal 13 5 6 2" xfId="39412"/>
    <cellStyle name="Normal 13 5 7" xfId="39413"/>
    <cellStyle name="Normal 13 5 7 2" xfId="39414"/>
    <cellStyle name="Normal 13 5 8" xfId="39415"/>
    <cellStyle name="Normal 13 50" xfId="39416"/>
    <cellStyle name="Normal 13 51" xfId="39417"/>
    <cellStyle name="Normal 13 52" xfId="39418"/>
    <cellStyle name="Normal 13 53" xfId="39419"/>
    <cellStyle name="Normal 13 54" xfId="39420"/>
    <cellStyle name="Normal 13 55" xfId="39421"/>
    <cellStyle name="Normal 13 56" xfId="39422"/>
    <cellStyle name="Normal 13 57" xfId="39423"/>
    <cellStyle name="Normal 13 58" xfId="39424"/>
    <cellStyle name="Normal 13 59" xfId="39425"/>
    <cellStyle name="Normal 13 6" xfId="39426"/>
    <cellStyle name="Normal 13 6 2" xfId="39427"/>
    <cellStyle name="Normal 13 6 2 2" xfId="39428"/>
    <cellStyle name="Normal 13 6 2 2 2" xfId="39429"/>
    <cellStyle name="Normal 13 6 2 2 2 2" xfId="39430"/>
    <cellStyle name="Normal 13 6 2 2 3" xfId="39431"/>
    <cellStyle name="Normal 13 6 2 3" xfId="39432"/>
    <cellStyle name="Normal 13 6 2 3 2" xfId="39433"/>
    <cellStyle name="Normal 13 6 2 4" xfId="39434"/>
    <cellStyle name="Normal 13 6 2 4 2" xfId="39435"/>
    <cellStyle name="Normal 13 6 2 5" xfId="39436"/>
    <cellStyle name="Normal 13 6 2 5 2" xfId="39437"/>
    <cellStyle name="Normal 13 6 2 6" xfId="39438"/>
    <cellStyle name="Normal 13 6 3" xfId="39439"/>
    <cellStyle name="Normal 13 6 3 2" xfId="39440"/>
    <cellStyle name="Normal 13 6 3 2 2" xfId="39441"/>
    <cellStyle name="Normal 13 6 3 3" xfId="39442"/>
    <cellStyle name="Normal 13 6 4" xfId="39443"/>
    <cellStyle name="Normal 13 6 4 2" xfId="39444"/>
    <cellStyle name="Normal 13 6 5" xfId="39445"/>
    <cellStyle name="Normal 13 6 5 2" xfId="39446"/>
    <cellStyle name="Normal 13 6 6" xfId="39447"/>
    <cellStyle name="Normal 13 6 6 2" xfId="39448"/>
    <cellStyle name="Normal 13 6 7" xfId="39449"/>
    <cellStyle name="Normal 13 60" xfId="39450"/>
    <cellStyle name="Normal 13 61" xfId="39451"/>
    <cellStyle name="Normal 13 62" xfId="39452"/>
    <cellStyle name="Normal 13 63" xfId="39453"/>
    <cellStyle name="Normal 13 64" xfId="39454"/>
    <cellStyle name="Normal 13 65" xfId="39455"/>
    <cellStyle name="Normal 13 66" xfId="58450"/>
    <cellStyle name="Normal 13 7" xfId="39456"/>
    <cellStyle name="Normal 13 7 2" xfId="39457"/>
    <cellStyle name="Normal 13 7 2 2" xfId="39458"/>
    <cellStyle name="Normal 13 7 2 2 2" xfId="39459"/>
    <cellStyle name="Normal 13 7 2 3" xfId="39460"/>
    <cellStyle name="Normal 13 7 3" xfId="39461"/>
    <cellStyle name="Normal 13 7 3 2" xfId="39462"/>
    <cellStyle name="Normal 13 7 4" xfId="39463"/>
    <cellStyle name="Normal 13 7 4 2" xfId="39464"/>
    <cellStyle name="Normal 13 7 5" xfId="39465"/>
    <cellStyle name="Normal 13 7 5 2" xfId="39466"/>
    <cellStyle name="Normal 13 7 6" xfId="39467"/>
    <cellStyle name="Normal 13 8" xfId="39468"/>
    <cellStyle name="Normal 13 8 2" xfId="39469"/>
    <cellStyle name="Normal 13 8 2 2" xfId="39470"/>
    <cellStyle name="Normal 13 8 2 2 2" xfId="39471"/>
    <cellStyle name="Normal 13 8 2 3" xfId="39472"/>
    <cellStyle name="Normal 13 8 3" xfId="39473"/>
    <cellStyle name="Normal 13 8 3 2" xfId="39474"/>
    <cellStyle name="Normal 13 8 4" xfId="39475"/>
    <cellStyle name="Normal 13 8 4 2" xfId="39476"/>
    <cellStyle name="Normal 13 8 5" xfId="39477"/>
    <cellStyle name="Normal 13 8 5 2" xfId="39478"/>
    <cellStyle name="Normal 13 8 6" xfId="39479"/>
    <cellStyle name="Normal 13 9" xfId="39480"/>
    <cellStyle name="Normal 13 9 2" xfId="39481"/>
    <cellStyle name="Normal 13 9 2 2" xfId="39482"/>
    <cellStyle name="Normal 13 9 2 2 2" xfId="39483"/>
    <cellStyle name="Normal 13 9 2 3" xfId="39484"/>
    <cellStyle name="Normal 13 9 3" xfId="39485"/>
    <cellStyle name="Normal 13 9 3 2" xfId="39486"/>
    <cellStyle name="Normal 13 9 4" xfId="39487"/>
    <cellStyle name="Normal 13 9 4 2" xfId="39488"/>
    <cellStyle name="Normal 13 9 5" xfId="39489"/>
    <cellStyle name="Normal 13 9 5 2" xfId="39490"/>
    <cellStyle name="Normal 13 9 6" xfId="39491"/>
    <cellStyle name="Normal 13_ADVANCE 1189000004 REIMBURSHMENT NOP 11" xfId="39492"/>
    <cellStyle name="Normal 130" xfId="39493"/>
    <cellStyle name="Normal 130 2" xfId="39494"/>
    <cellStyle name="Normal 130 2 2" xfId="39495"/>
    <cellStyle name="Normal 130 2 2 2" xfId="39496"/>
    <cellStyle name="Normal 130 2 2 2 2" xfId="39497"/>
    <cellStyle name="Normal 130 2 2 3" xfId="39498"/>
    <cellStyle name="Normal 130 2 3" xfId="39499"/>
    <cellStyle name="Normal 130 2 3 2" xfId="39500"/>
    <cellStyle name="Normal 130 2 4" xfId="39501"/>
    <cellStyle name="Normal 130 3" xfId="39502"/>
    <cellStyle name="Normal 130 3 2" xfId="39503"/>
    <cellStyle name="Normal 130 3 2 2" xfId="39504"/>
    <cellStyle name="Normal 130 4" xfId="39505"/>
    <cellStyle name="Normal 130 4 2" xfId="39506"/>
    <cellStyle name="Normal 130 4 2 2" xfId="39507"/>
    <cellStyle name="Normal 130 4 2 2 2" xfId="39508"/>
    <cellStyle name="Normal 130 4 2 2 2 2" xfId="39509"/>
    <cellStyle name="Normal 130 4 2 2 3" xfId="39510"/>
    <cellStyle name="Normal 130 4 2 3" xfId="39511"/>
    <cellStyle name="Normal 130 4 2 3 2" xfId="39512"/>
    <cellStyle name="Normal 130 4 2 4" xfId="39513"/>
    <cellStyle name="Normal 130 4 3" xfId="39514"/>
    <cellStyle name="Normal 130 4 3 2" xfId="39515"/>
    <cellStyle name="Normal 130 4 3 2 2" xfId="39516"/>
    <cellStyle name="Normal 130 4 3 3" xfId="39517"/>
    <cellStyle name="Normal 130 4 4" xfId="39518"/>
    <cellStyle name="Normal 130 4 4 2" xfId="39519"/>
    <cellStyle name="Normal 130 4 5" xfId="39520"/>
    <cellStyle name="Normal 130 4 6" xfId="39521"/>
    <cellStyle name="Normal 130 4 6 2" xfId="39522"/>
    <cellStyle name="Normal 130 5" xfId="39523"/>
    <cellStyle name="Normal 130 5 2" xfId="39524"/>
    <cellStyle name="Normal 130 5 2 2" xfId="39525"/>
    <cellStyle name="Normal 130 5 2 2 2" xfId="39526"/>
    <cellStyle name="Normal 130 5 2 3" xfId="39527"/>
    <cellStyle name="Normal 130 5 3" xfId="39528"/>
    <cellStyle name="Normal 130 5 3 2" xfId="39529"/>
    <cellStyle name="Normal 130 5 4" xfId="39530"/>
    <cellStyle name="Normal 130 6" xfId="39531"/>
    <cellStyle name="Normal 130 6 2" xfId="39532"/>
    <cellStyle name="Normal 130 6 2 2" xfId="39533"/>
    <cellStyle name="Normal 130 6 3" xfId="39534"/>
    <cellStyle name="Normal 130 7" xfId="39535"/>
    <cellStyle name="Normal 130 7 2" xfId="39536"/>
    <cellStyle name="Normal 130 8" xfId="39537"/>
    <cellStyle name="Normal 131" xfId="39538"/>
    <cellStyle name="Normal 131 2" xfId="39539"/>
    <cellStyle name="Normal 131 2 2" xfId="39540"/>
    <cellStyle name="Normal 131 2 2 2" xfId="39541"/>
    <cellStyle name="Normal 131 2 2 2 2" xfId="39542"/>
    <cellStyle name="Normal 131 2 2 3" xfId="39543"/>
    <cellStyle name="Normal 131 2 3" xfId="39544"/>
    <cellStyle name="Normal 131 2 3 2" xfId="39545"/>
    <cellStyle name="Normal 131 2 4" xfId="39546"/>
    <cellStyle name="Normal 131 3" xfId="39547"/>
    <cellStyle name="Normal 131 3 2" xfId="39548"/>
    <cellStyle name="Normal 131 3 2 2" xfId="39549"/>
    <cellStyle name="Normal 131 4" xfId="39550"/>
    <cellStyle name="Normal 131 4 2" xfId="39551"/>
    <cellStyle name="Normal 131 5" xfId="39552"/>
    <cellStyle name="Normal 132" xfId="39553"/>
    <cellStyle name="Normal 132 2" xfId="39554"/>
    <cellStyle name="Normal 132 2 2" xfId="39555"/>
    <cellStyle name="Normal 132 2 2 2" xfId="39556"/>
    <cellStyle name="Normal 132 2 2 2 2" xfId="39557"/>
    <cellStyle name="Normal 132 2 2 3" xfId="39558"/>
    <cellStyle name="Normal 132 2 3" xfId="39559"/>
    <cellStyle name="Normal 132 2 3 2" xfId="39560"/>
    <cellStyle name="Normal 132 2 4" xfId="39561"/>
    <cellStyle name="Normal 132 3" xfId="39562"/>
    <cellStyle name="Normal 132 3 2" xfId="39563"/>
    <cellStyle name="Normal 132 3 2 2" xfId="39564"/>
    <cellStyle name="Normal 132 4" xfId="39565"/>
    <cellStyle name="Normal 132 4 2" xfId="39566"/>
    <cellStyle name="Normal 132 5" xfId="39567"/>
    <cellStyle name="Normal 133" xfId="39568"/>
    <cellStyle name="Normal 133 2" xfId="39569"/>
    <cellStyle name="Normal 134" xfId="39570"/>
    <cellStyle name="Normal 134 2" xfId="39571"/>
    <cellStyle name="Normal 135" xfId="39572"/>
    <cellStyle name="Normal 135 2" xfId="39573"/>
    <cellStyle name="Normal 136" xfId="39574"/>
    <cellStyle name="Normal 136 2" xfId="39575"/>
    <cellStyle name="Normal 136 2 2" xfId="39576"/>
    <cellStyle name="Normal 136 2 2 2" xfId="39577"/>
    <cellStyle name="Normal 136 2 2 2 2" xfId="39578"/>
    <cellStyle name="Normal 136 2 2 3" xfId="39579"/>
    <cellStyle name="Normal 136 2 3" xfId="39580"/>
    <cellStyle name="Normal 136 2 3 2" xfId="39581"/>
    <cellStyle name="Normal 136 2 4" xfId="39582"/>
    <cellStyle name="Normal 136 3" xfId="39583"/>
    <cellStyle name="Normal 136 3 2" xfId="39584"/>
    <cellStyle name="Normal 136 3 2 2" xfId="39585"/>
    <cellStyle name="Normal 136 4" xfId="39586"/>
    <cellStyle name="Normal 136 4 2" xfId="39587"/>
    <cellStyle name="Normal 136 5" xfId="39588"/>
    <cellStyle name="Normal 137" xfId="39589"/>
    <cellStyle name="Normal 137 2" xfId="39590"/>
    <cellStyle name="Normal 137 2 2" xfId="39591"/>
    <cellStyle name="Normal 137 2 2 2" xfId="39592"/>
    <cellStyle name="Normal 137 2 2 2 2" xfId="39593"/>
    <cellStyle name="Normal 137 2 2 3" xfId="39594"/>
    <cellStyle name="Normal 137 2 3" xfId="39595"/>
    <cellStyle name="Normal 137 2 3 2" xfId="39596"/>
    <cellStyle name="Normal 137 2 4" xfId="39597"/>
    <cellStyle name="Normal 137 3" xfId="39598"/>
    <cellStyle name="Normal 137 3 2" xfId="39599"/>
    <cellStyle name="Normal 137 3 2 2" xfId="39600"/>
    <cellStyle name="Normal 137 3 3" xfId="39601"/>
    <cellStyle name="Normal 137 4" xfId="39602"/>
    <cellStyle name="Normal 137 4 2" xfId="39603"/>
    <cellStyle name="Normal 137 5" xfId="39604"/>
    <cellStyle name="Normal 138" xfId="39605"/>
    <cellStyle name="Normal 138 2" xfId="39606"/>
    <cellStyle name="Normal 138 2 2" xfId="39607"/>
    <cellStyle name="Normal 138 2 2 2" xfId="39608"/>
    <cellStyle name="Normal 138 2 2 2 2" xfId="39609"/>
    <cellStyle name="Normal 138 2 2 2 2 2" xfId="39610"/>
    <cellStyle name="Normal 138 2 2 2 3" xfId="39611"/>
    <cellStyle name="Normal 138 2 2 3" xfId="39612"/>
    <cellStyle name="Normal 138 2 2 3 2" xfId="39613"/>
    <cellStyle name="Normal 138 2 2 4" xfId="39614"/>
    <cellStyle name="Normal 138 2 3" xfId="39615"/>
    <cellStyle name="Normal 138 2 3 2" xfId="39616"/>
    <cellStyle name="Normal 138 2 3 2 2" xfId="39617"/>
    <cellStyle name="Normal 138 2 3 3" xfId="39618"/>
    <cellStyle name="Normal 138 2 4" xfId="39619"/>
    <cellStyle name="Normal 138 2 4 2" xfId="39620"/>
    <cellStyle name="Normal 138 2 5" xfId="39621"/>
    <cellStyle name="Normal 138 3" xfId="39622"/>
    <cellStyle name="Normal 138 3 2" xfId="39623"/>
    <cellStyle name="Normal 138 3 2 2" xfId="39624"/>
    <cellStyle name="Normal 138 3 2 2 2" xfId="39625"/>
    <cellStyle name="Normal 138 3 2 3" xfId="39626"/>
    <cellStyle name="Normal 138 3 3" xfId="39627"/>
    <cellStyle name="Normal 138 3 3 2" xfId="39628"/>
    <cellStyle name="Normal 138 3 4" xfId="39629"/>
    <cellStyle name="Normal 138 4" xfId="39630"/>
    <cellStyle name="Normal 138 4 2" xfId="39631"/>
    <cellStyle name="Normal 138 4 2 2" xfId="39632"/>
    <cellStyle name="Normal 138 5" xfId="39633"/>
    <cellStyle name="Normal 138 5 2" xfId="39634"/>
    <cellStyle name="Normal 138 6" xfId="39635"/>
    <cellStyle name="Normal 139" xfId="39636"/>
    <cellStyle name="Normal 139 2" xfId="39637"/>
    <cellStyle name="Normal 139 2 2" xfId="39638"/>
    <cellStyle name="Normal 139 2 2 2" xfId="39639"/>
    <cellStyle name="Normal 139 2 2 2 2" xfId="39640"/>
    <cellStyle name="Normal 139 2 2 3" xfId="39641"/>
    <cellStyle name="Normal 139 2 3" xfId="39642"/>
    <cellStyle name="Normal 139 2 3 2" xfId="39643"/>
    <cellStyle name="Normal 139 2 4" xfId="39644"/>
    <cellStyle name="Normal 139 3" xfId="39645"/>
    <cellStyle name="Normal 139 3 2" xfId="39646"/>
    <cellStyle name="Normal 139 3 2 2" xfId="39647"/>
    <cellStyle name="Normal 139 4" xfId="39648"/>
    <cellStyle name="Normal 139 4 2" xfId="39649"/>
    <cellStyle name="Normal 139 5" xfId="39650"/>
    <cellStyle name="Normal 14" xfId="39651"/>
    <cellStyle name="Normal 14 10" xfId="39652"/>
    <cellStyle name="Normal 14 10 2" xfId="39653"/>
    <cellStyle name="Normal 14 11" xfId="39654"/>
    <cellStyle name="Normal 14 11 2" xfId="39655"/>
    <cellStyle name="Normal 14 12" xfId="39656"/>
    <cellStyle name="Normal 14 12 2" xfId="39657"/>
    <cellStyle name="Normal 14 13" xfId="39658"/>
    <cellStyle name="Normal 14 14" xfId="39659"/>
    <cellStyle name="Normal 14 15" xfId="39660"/>
    <cellStyle name="Normal 14 16" xfId="39661"/>
    <cellStyle name="Normal 14 17" xfId="39662"/>
    <cellStyle name="Normal 14 18" xfId="39663"/>
    <cellStyle name="Normal 14 19" xfId="39664"/>
    <cellStyle name="Normal 14 2" xfId="39665"/>
    <cellStyle name="Normal 14 2 2" xfId="39666"/>
    <cellStyle name="Normal 14 2 2 2" xfId="39667"/>
    <cellStyle name="Normal 14 2 2 2 2" xfId="39668"/>
    <cellStyle name="Normal 14 2 2 2 2 2" xfId="39669"/>
    <cellStyle name="Normal 14 2 2 2 2 2 2" xfId="39670"/>
    <cellStyle name="Normal 14 2 2 2 2 3" xfId="39671"/>
    <cellStyle name="Normal 14 2 2 2 3" xfId="39672"/>
    <cellStyle name="Normal 14 2 2 2 3 2" xfId="39673"/>
    <cellStyle name="Normal 14 2 2 2 4" xfId="39674"/>
    <cellStyle name="Normal 14 2 2 2 4 2" xfId="39675"/>
    <cellStyle name="Normal 14 2 2 2 5" xfId="39676"/>
    <cellStyle name="Normal 14 2 2 2 5 2" xfId="39677"/>
    <cellStyle name="Normal 14 2 2 2 6" xfId="39678"/>
    <cellStyle name="Normal 14 2 2 3" xfId="39679"/>
    <cellStyle name="Normal 14 2 2 3 2" xfId="39680"/>
    <cellStyle name="Normal 14 2 2 3 2 2" xfId="39681"/>
    <cellStyle name="Normal 14 2 2 3 3" xfId="39682"/>
    <cellStyle name="Normal 14 2 2 4" xfId="39683"/>
    <cellStyle name="Normal 14 2 2 4 2" xfId="39684"/>
    <cellStyle name="Normal 14 2 2 5" xfId="39685"/>
    <cellStyle name="Normal 14 2 2 5 2" xfId="39686"/>
    <cellStyle name="Normal 14 2 2 6" xfId="39687"/>
    <cellStyle name="Normal 14 2 2 6 2" xfId="39688"/>
    <cellStyle name="Normal 14 2 2 7" xfId="39689"/>
    <cellStyle name="Normal 14 2 3" xfId="39690"/>
    <cellStyle name="Normal 14 2 3 2" xfId="39691"/>
    <cellStyle name="Normal 14 2 3 2 2" xfId="39692"/>
    <cellStyle name="Normal 14 2 3 2 2 2" xfId="39693"/>
    <cellStyle name="Normal 14 2 3 2 3" xfId="39694"/>
    <cellStyle name="Normal 14 2 3 3" xfId="39695"/>
    <cellStyle name="Normal 14 2 3 3 2" xfId="39696"/>
    <cellStyle name="Normal 14 2 3 4" xfId="39697"/>
    <cellStyle name="Normal 14 2 3 4 2" xfId="39698"/>
    <cellStyle name="Normal 14 2 3 5" xfId="39699"/>
    <cellStyle name="Normal 14 2 3 5 2" xfId="39700"/>
    <cellStyle name="Normal 14 2 3 6" xfId="39701"/>
    <cellStyle name="Normal 14 2 4" xfId="39702"/>
    <cellStyle name="Normal 14 2 4 2" xfId="39703"/>
    <cellStyle name="Normal 14 2 4 2 2" xfId="39704"/>
    <cellStyle name="Normal 14 2 4 3" xfId="39705"/>
    <cellStyle name="Normal 14 2 5" xfId="39706"/>
    <cellStyle name="Normal 14 2 5 2" xfId="39707"/>
    <cellStyle name="Normal 14 2 6" xfId="39708"/>
    <cellStyle name="Normal 14 2 6 2" xfId="39709"/>
    <cellStyle name="Normal 14 2 7" xfId="39710"/>
    <cellStyle name="Normal 14 2 7 2" xfId="39711"/>
    <cellStyle name="Normal 14 2 8" xfId="39712"/>
    <cellStyle name="Normal 14 2 9" xfId="58451"/>
    <cellStyle name="Normal 14 20" xfId="39713"/>
    <cellStyle name="Normal 14 21" xfId="39714"/>
    <cellStyle name="Normal 14 22" xfId="39715"/>
    <cellStyle name="Normal 14 23" xfId="39716"/>
    <cellStyle name="Normal 14 24" xfId="39717"/>
    <cellStyle name="Normal 14 25" xfId="39718"/>
    <cellStyle name="Normal 14 26" xfId="39719"/>
    <cellStyle name="Normal 14 27" xfId="39720"/>
    <cellStyle name="Normal 14 28" xfId="39721"/>
    <cellStyle name="Normal 14 29" xfId="39722"/>
    <cellStyle name="Normal 14 3" xfId="39723"/>
    <cellStyle name="Normal 14 3 2" xfId="39724"/>
    <cellStyle name="Normal 14 3 2 2" xfId="39725"/>
    <cellStyle name="Normal 14 3 2 2 2" xfId="39726"/>
    <cellStyle name="Normal 14 3 2 2 2 2" xfId="39727"/>
    <cellStyle name="Normal 14 3 2 2 2 2 2" xfId="39728"/>
    <cellStyle name="Normal 14 3 2 2 2 3" xfId="39729"/>
    <cellStyle name="Normal 14 3 2 2 3" xfId="39730"/>
    <cellStyle name="Normal 14 3 2 2 3 2" xfId="39731"/>
    <cellStyle name="Normal 14 3 2 2 4" xfId="39732"/>
    <cellStyle name="Normal 14 3 2 2 4 2" xfId="39733"/>
    <cellStyle name="Normal 14 3 2 2 5" xfId="39734"/>
    <cellStyle name="Normal 14 3 2 2 5 2" xfId="39735"/>
    <cellStyle name="Normal 14 3 2 2 6" xfId="39736"/>
    <cellStyle name="Normal 14 3 2 3" xfId="39737"/>
    <cellStyle name="Normal 14 3 2 3 2" xfId="39738"/>
    <cellStyle name="Normal 14 3 2 3 2 2" xfId="39739"/>
    <cellStyle name="Normal 14 3 2 3 3" xfId="39740"/>
    <cellStyle name="Normal 14 3 2 4" xfId="39741"/>
    <cellStyle name="Normal 14 3 2 4 2" xfId="39742"/>
    <cellStyle name="Normal 14 3 2 5" xfId="39743"/>
    <cellStyle name="Normal 14 3 2 5 2" xfId="39744"/>
    <cellStyle name="Normal 14 3 2 6" xfId="39745"/>
    <cellStyle name="Normal 14 3 2 6 2" xfId="39746"/>
    <cellStyle name="Normal 14 3 2 7" xfId="39747"/>
    <cellStyle name="Normal 14 3 3" xfId="39748"/>
    <cellStyle name="Normal 14 3 3 2" xfId="39749"/>
    <cellStyle name="Normal 14 3 3 2 2" xfId="39750"/>
    <cellStyle name="Normal 14 3 3 2 2 2" xfId="39751"/>
    <cellStyle name="Normal 14 3 3 2 3" xfId="39752"/>
    <cellStyle name="Normal 14 3 3 3" xfId="39753"/>
    <cellStyle name="Normal 14 3 3 3 2" xfId="39754"/>
    <cellStyle name="Normal 14 3 3 4" xfId="39755"/>
    <cellStyle name="Normal 14 3 3 4 2" xfId="39756"/>
    <cellStyle name="Normal 14 3 3 5" xfId="39757"/>
    <cellStyle name="Normal 14 3 3 5 2" xfId="39758"/>
    <cellStyle name="Normal 14 3 3 6" xfId="39759"/>
    <cellStyle name="Normal 14 3 4" xfId="39760"/>
    <cellStyle name="Normal 14 3 4 2" xfId="39761"/>
    <cellStyle name="Normal 14 3 4 2 2" xfId="39762"/>
    <cellStyle name="Normal 14 3 4 3" xfId="39763"/>
    <cellStyle name="Normal 14 3 5" xfId="39764"/>
    <cellStyle name="Normal 14 3 5 2" xfId="39765"/>
    <cellStyle name="Normal 14 3 6" xfId="39766"/>
    <cellStyle name="Normal 14 3 6 2" xfId="39767"/>
    <cellStyle name="Normal 14 3 7" xfId="39768"/>
    <cellStyle name="Normal 14 3 7 2" xfId="39769"/>
    <cellStyle name="Normal 14 3 8" xfId="39770"/>
    <cellStyle name="Normal 14 30" xfId="39771"/>
    <cellStyle name="Normal 14 31" xfId="39772"/>
    <cellStyle name="Normal 14 32" xfId="39773"/>
    <cellStyle name="Normal 14 33" xfId="39774"/>
    <cellStyle name="Normal 14 34" xfId="39775"/>
    <cellStyle name="Normal 14 35" xfId="39776"/>
    <cellStyle name="Normal 14 36" xfId="39777"/>
    <cellStyle name="Normal 14 37" xfId="39778"/>
    <cellStyle name="Normal 14 38" xfId="39779"/>
    <cellStyle name="Normal 14 39" xfId="39780"/>
    <cellStyle name="Normal 14 4" xfId="39781"/>
    <cellStyle name="Normal 14 4 2" xfId="39782"/>
    <cellStyle name="Normal 14 4 2 2" xfId="39783"/>
    <cellStyle name="Normal 14 4 2 2 2" xfId="39784"/>
    <cellStyle name="Normal 14 4 2 2 2 2" xfId="39785"/>
    <cellStyle name="Normal 14 4 2 2 3" xfId="39786"/>
    <cellStyle name="Normal 14 4 2 3" xfId="39787"/>
    <cellStyle name="Normal 14 4 2 3 2" xfId="39788"/>
    <cellStyle name="Normal 14 4 2 4" xfId="39789"/>
    <cellStyle name="Normal 14 4 2 4 2" xfId="39790"/>
    <cellStyle name="Normal 14 4 2 5" xfId="39791"/>
    <cellStyle name="Normal 14 4 2 5 2" xfId="39792"/>
    <cellStyle name="Normal 14 4 2 6" xfId="39793"/>
    <cellStyle name="Normal 14 4 3" xfId="39794"/>
    <cellStyle name="Normal 14 4 3 2" xfId="39795"/>
    <cellStyle name="Normal 14 4 3 2 2" xfId="39796"/>
    <cellStyle name="Normal 14 4 3 3" xfId="39797"/>
    <cellStyle name="Normal 14 4 4" xfId="39798"/>
    <cellStyle name="Normal 14 4 4 2" xfId="39799"/>
    <cellStyle name="Normal 14 4 5" xfId="39800"/>
    <cellStyle name="Normal 14 4 5 2" xfId="39801"/>
    <cellStyle name="Normal 14 4 6" xfId="39802"/>
    <cellStyle name="Normal 14 4 6 2" xfId="39803"/>
    <cellStyle name="Normal 14 4 7" xfId="39804"/>
    <cellStyle name="Normal 14 40" xfId="39805"/>
    <cellStyle name="Normal 14 41" xfId="39806"/>
    <cellStyle name="Normal 14 42" xfId="39807"/>
    <cellStyle name="Normal 14 43" xfId="39808"/>
    <cellStyle name="Normal 14 44" xfId="39809"/>
    <cellStyle name="Normal 14 45" xfId="39810"/>
    <cellStyle name="Normal 14 46" xfId="39811"/>
    <cellStyle name="Normal 14 47" xfId="39812"/>
    <cellStyle name="Normal 14 48" xfId="39813"/>
    <cellStyle name="Normal 14 49" xfId="39814"/>
    <cellStyle name="Normal 14 5" xfId="39815"/>
    <cellStyle name="Normal 14 5 2" xfId="39816"/>
    <cellStyle name="Normal 14 5 2 2" xfId="39817"/>
    <cellStyle name="Normal 14 5 2 2 2" xfId="39818"/>
    <cellStyle name="Normal 14 5 2 2 2 2" xfId="39819"/>
    <cellStyle name="Normal 14 5 2 2 3" xfId="39820"/>
    <cellStyle name="Normal 14 5 2 3" xfId="39821"/>
    <cellStyle name="Normal 14 5 2 3 2" xfId="39822"/>
    <cellStyle name="Normal 14 5 2 4" xfId="39823"/>
    <cellStyle name="Normal 14 5 2 4 2" xfId="39824"/>
    <cellStyle name="Normal 14 5 2 5" xfId="39825"/>
    <cellStyle name="Normal 14 5 2 5 2" xfId="39826"/>
    <cellStyle name="Normal 14 5 2 6" xfId="39827"/>
    <cellStyle name="Normal 14 5 3" xfId="39828"/>
    <cellStyle name="Normal 14 5 3 2" xfId="39829"/>
    <cellStyle name="Normal 14 5 3 2 2" xfId="39830"/>
    <cellStyle name="Normal 14 5 3 3" xfId="39831"/>
    <cellStyle name="Normal 14 5 4" xfId="39832"/>
    <cellStyle name="Normal 14 5 4 2" xfId="39833"/>
    <cellStyle name="Normal 14 5 5" xfId="39834"/>
    <cellStyle name="Normal 14 5 5 2" xfId="39835"/>
    <cellStyle name="Normal 14 5 6" xfId="39836"/>
    <cellStyle name="Normal 14 5 6 2" xfId="39837"/>
    <cellStyle name="Normal 14 5 7" xfId="39838"/>
    <cellStyle name="Normal 14 50" xfId="39839"/>
    <cellStyle name="Normal 14 51" xfId="39840"/>
    <cellStyle name="Normal 14 52" xfId="39841"/>
    <cellStyle name="Normal 14 53" xfId="39842"/>
    <cellStyle name="Normal 14 54" xfId="39843"/>
    <cellStyle name="Normal 14 55" xfId="39844"/>
    <cellStyle name="Normal 14 56" xfId="39845"/>
    <cellStyle name="Normal 14 57" xfId="39846"/>
    <cellStyle name="Normal 14 58" xfId="39847"/>
    <cellStyle name="Normal 14 59" xfId="39848"/>
    <cellStyle name="Normal 14 6" xfId="39849"/>
    <cellStyle name="Normal 14 6 2" xfId="39850"/>
    <cellStyle name="Normal 14 6 2 2" xfId="39851"/>
    <cellStyle name="Normal 14 6 2 2 2" xfId="39852"/>
    <cellStyle name="Normal 14 6 2 3" xfId="39853"/>
    <cellStyle name="Normal 14 6 3" xfId="39854"/>
    <cellStyle name="Normal 14 6 3 2" xfId="39855"/>
    <cellStyle name="Normal 14 6 4" xfId="39856"/>
    <cellStyle name="Normal 14 6 4 2" xfId="39857"/>
    <cellStyle name="Normal 14 6 5" xfId="39858"/>
    <cellStyle name="Normal 14 6 5 2" xfId="39859"/>
    <cellStyle name="Normal 14 6 6" xfId="39860"/>
    <cellStyle name="Normal 14 60" xfId="39861"/>
    <cellStyle name="Normal 14 61" xfId="39862"/>
    <cellStyle name="Normal 14 62" xfId="39863"/>
    <cellStyle name="Normal 14 63" xfId="39864"/>
    <cellStyle name="Normal 14 64" xfId="39865"/>
    <cellStyle name="Normal 14 65" xfId="39866"/>
    <cellStyle name="Normal 14 66" xfId="39867"/>
    <cellStyle name="Normal 14 67" xfId="58452"/>
    <cellStyle name="Normal 14 7" xfId="39868"/>
    <cellStyle name="Normal 14 7 2" xfId="39869"/>
    <cellStyle name="Normal 14 7 2 2" xfId="39870"/>
    <cellStyle name="Normal 14 7 2 2 2" xfId="39871"/>
    <cellStyle name="Normal 14 7 2 3" xfId="39872"/>
    <cellStyle name="Normal 14 7 3" xfId="39873"/>
    <cellStyle name="Normal 14 7 3 2" xfId="39874"/>
    <cellStyle name="Normal 14 7 4" xfId="39875"/>
    <cellStyle name="Normal 14 7 4 2" xfId="39876"/>
    <cellStyle name="Normal 14 7 5" xfId="39877"/>
    <cellStyle name="Normal 14 7 5 2" xfId="39878"/>
    <cellStyle name="Normal 14 7 6" xfId="39879"/>
    <cellStyle name="Normal 14 8" xfId="39880"/>
    <cellStyle name="Normal 14 8 2" xfId="39881"/>
    <cellStyle name="Normal 14 8 2 2" xfId="39882"/>
    <cellStyle name="Normal 14 8 2 2 2" xfId="39883"/>
    <cellStyle name="Normal 14 8 2 3" xfId="39884"/>
    <cellStyle name="Normal 14 8 3" xfId="39885"/>
    <cellStyle name="Normal 14 8 3 2" xfId="39886"/>
    <cellStyle name="Normal 14 8 4" xfId="39887"/>
    <cellStyle name="Normal 14 8 4 2" xfId="39888"/>
    <cellStyle name="Normal 14 8 5" xfId="39889"/>
    <cellStyle name="Normal 14 8 5 2" xfId="39890"/>
    <cellStyle name="Normal 14 8 6" xfId="39891"/>
    <cellStyle name="Normal 14 9" xfId="39892"/>
    <cellStyle name="Normal 14 9 2" xfId="39893"/>
    <cellStyle name="Normal 14 9 2 2" xfId="39894"/>
    <cellStyle name="Normal 14 9 3" xfId="39895"/>
    <cellStyle name="Normal 14_ADVANCE 1189000004 REIMBURSHMENT NOP 11" xfId="39896"/>
    <cellStyle name="Normal 140" xfId="39897"/>
    <cellStyle name="Normal 140 2" xfId="39898"/>
    <cellStyle name="Normal 140 2 2" xfId="39899"/>
    <cellStyle name="Normal 140 2 2 2" xfId="39900"/>
    <cellStyle name="Normal 140 3" xfId="39901"/>
    <cellStyle name="Normal 140 3 2" xfId="39902"/>
    <cellStyle name="Normal 140 4" xfId="39903"/>
    <cellStyle name="Normal 141" xfId="39904"/>
    <cellStyle name="Normal 141 2" xfId="39905"/>
    <cellStyle name="Normal 141 2 2" xfId="39906"/>
    <cellStyle name="Normal 141 2 2 2" xfId="39907"/>
    <cellStyle name="Normal 141 3" xfId="39908"/>
    <cellStyle name="Normal 141 3 2" xfId="39909"/>
    <cellStyle name="Normal 141 4" xfId="39910"/>
    <cellStyle name="Normal 142" xfId="39911"/>
    <cellStyle name="Normal 142 2" xfId="39912"/>
    <cellStyle name="Normal 142 2 2" xfId="39913"/>
    <cellStyle name="Normal 142 2 2 2" xfId="39914"/>
    <cellStyle name="Normal 142 3" xfId="39915"/>
    <cellStyle name="Normal 142 3 2" xfId="39916"/>
    <cellStyle name="Normal 142 4" xfId="39917"/>
    <cellStyle name="Normal 143" xfId="39918"/>
    <cellStyle name="Normal 143 2" xfId="39919"/>
    <cellStyle name="Normal 143 2 2" xfId="39920"/>
    <cellStyle name="Normal 143 3" xfId="39921"/>
    <cellStyle name="Normal 144" xfId="39922"/>
    <cellStyle name="Normal 144 2" xfId="39923"/>
    <cellStyle name="Normal 144 2 2" xfId="39924"/>
    <cellStyle name="Normal 144 3" xfId="39925"/>
    <cellStyle name="Normal 145" xfId="39926"/>
    <cellStyle name="Normal 145 2" xfId="39927"/>
    <cellStyle name="Normal 145 2 2" xfId="39928"/>
    <cellStyle name="Normal 145 3" xfId="39929"/>
    <cellStyle name="Normal 146" xfId="39930"/>
    <cellStyle name="Normal 146 2" xfId="39931"/>
    <cellStyle name="Normal 146 2 2" xfId="39932"/>
    <cellStyle name="Normal 146 3" xfId="39933"/>
    <cellStyle name="Normal 147" xfId="39934"/>
    <cellStyle name="Normal 147 2" xfId="39935"/>
    <cellStyle name="Normal 147 2 2" xfId="39936"/>
    <cellStyle name="Normal 147 3" xfId="39937"/>
    <cellStyle name="Normal 148" xfId="39938"/>
    <cellStyle name="Normal 148 2" xfId="39939"/>
    <cellStyle name="Normal 148 2 2" xfId="39940"/>
    <cellStyle name="Normal 148 3" xfId="39941"/>
    <cellStyle name="Normal 149" xfId="39942"/>
    <cellStyle name="Normal 149 2" xfId="39943"/>
    <cellStyle name="Normal 149 2 2" xfId="39944"/>
    <cellStyle name="Normal 149 3" xfId="39945"/>
    <cellStyle name="Normal 15" xfId="39946"/>
    <cellStyle name="Normal 15 10" xfId="39947"/>
    <cellStyle name="Normal 15 10 2" xfId="39948"/>
    <cellStyle name="Normal 15 10 2 2" xfId="39949"/>
    <cellStyle name="Normal 15 10 3" xfId="39950"/>
    <cellStyle name="Normal 15 11" xfId="39951"/>
    <cellStyle name="Normal 15 11 2" xfId="39952"/>
    <cellStyle name="Normal 15 12" xfId="39953"/>
    <cellStyle name="Normal 15 12 2" xfId="39954"/>
    <cellStyle name="Normal 15 13" xfId="39955"/>
    <cellStyle name="Normal 15 14" xfId="39956"/>
    <cellStyle name="Normal 15 15" xfId="39957"/>
    <cellStyle name="Normal 15 16" xfId="39958"/>
    <cellStyle name="Normal 15 17" xfId="39959"/>
    <cellStyle name="Normal 15 18" xfId="39960"/>
    <cellStyle name="Normal 15 19" xfId="39961"/>
    <cellStyle name="Normal 15 2" xfId="39962"/>
    <cellStyle name="Normal 15 2 2" xfId="39963"/>
    <cellStyle name="Normal 15 2 2 2" xfId="39964"/>
    <cellStyle name="Normal 15 2 2 2 2" xfId="39965"/>
    <cellStyle name="Normal 15 2 2 2 2 2" xfId="39966"/>
    <cellStyle name="Normal 15 2 2 2 2 2 2" xfId="39967"/>
    <cellStyle name="Normal 15 2 2 2 2 3" xfId="39968"/>
    <cellStyle name="Normal 15 2 2 2 3" xfId="39969"/>
    <cellStyle name="Normal 15 2 2 2 3 2" xfId="39970"/>
    <cellStyle name="Normal 15 2 2 2 4" xfId="39971"/>
    <cellStyle name="Normal 15 2 2 2 4 2" xfId="39972"/>
    <cellStyle name="Normal 15 2 2 2 5" xfId="39973"/>
    <cellStyle name="Normal 15 2 2 2 5 2" xfId="39974"/>
    <cellStyle name="Normal 15 2 2 2 6" xfId="39975"/>
    <cellStyle name="Normal 15 2 2 3" xfId="39976"/>
    <cellStyle name="Normal 15 2 2 3 2" xfId="39977"/>
    <cellStyle name="Normal 15 2 2 3 2 2" xfId="39978"/>
    <cellStyle name="Normal 15 2 2 3 3" xfId="39979"/>
    <cellStyle name="Normal 15 2 2 4" xfId="39980"/>
    <cellStyle name="Normal 15 2 2 4 2" xfId="39981"/>
    <cellStyle name="Normal 15 2 2 5" xfId="39982"/>
    <cellStyle name="Normal 15 2 2 5 2" xfId="39983"/>
    <cellStyle name="Normal 15 2 2 6" xfId="39984"/>
    <cellStyle name="Normal 15 2 2 6 2" xfId="39985"/>
    <cellStyle name="Normal 15 2 2 7" xfId="39986"/>
    <cellStyle name="Normal 15 2 3" xfId="39987"/>
    <cellStyle name="Normal 15 2 3 2" xfId="39988"/>
    <cellStyle name="Normal 15 2 3 2 2" xfId="39989"/>
    <cellStyle name="Normal 15 2 3 2 2 2" xfId="39990"/>
    <cellStyle name="Normal 15 2 3 2 3" xfId="39991"/>
    <cellStyle name="Normal 15 2 3 3" xfId="39992"/>
    <cellStyle name="Normal 15 2 3 3 2" xfId="39993"/>
    <cellStyle name="Normal 15 2 3 4" xfId="39994"/>
    <cellStyle name="Normal 15 2 3 4 2" xfId="39995"/>
    <cellStyle name="Normal 15 2 3 5" xfId="39996"/>
    <cellStyle name="Normal 15 2 3 5 2" xfId="39997"/>
    <cellStyle name="Normal 15 2 3 6" xfId="39998"/>
    <cellStyle name="Normal 15 2 4" xfId="39999"/>
    <cellStyle name="Normal 15 2 4 2" xfId="40000"/>
    <cellStyle name="Normal 15 2 4 2 2" xfId="40001"/>
    <cellStyle name="Normal 15 2 4 3" xfId="40002"/>
    <cellStyle name="Normal 15 2 5" xfId="40003"/>
    <cellStyle name="Normal 15 2 5 2" xfId="40004"/>
    <cellStyle name="Normal 15 2 6" xfId="40005"/>
    <cellStyle name="Normal 15 2 6 2" xfId="40006"/>
    <cellStyle name="Normal 15 2 7" xfId="40007"/>
    <cellStyle name="Normal 15 2 7 2" xfId="40008"/>
    <cellStyle name="Normal 15 2 8" xfId="40009"/>
    <cellStyle name="Normal 15 2 9" xfId="58453"/>
    <cellStyle name="Normal 15 20" xfId="40010"/>
    <cellStyle name="Normal 15 21" xfId="40011"/>
    <cellStyle name="Normal 15 22" xfId="40012"/>
    <cellStyle name="Normal 15 23" xfId="40013"/>
    <cellStyle name="Normal 15 24" xfId="40014"/>
    <cellStyle name="Normal 15 25" xfId="40015"/>
    <cellStyle name="Normal 15 26" xfId="40016"/>
    <cellStyle name="Normal 15 27" xfId="40017"/>
    <cellStyle name="Normal 15 28" xfId="40018"/>
    <cellStyle name="Normal 15 29" xfId="40019"/>
    <cellStyle name="Normal 15 3" xfId="40020"/>
    <cellStyle name="Normal 15 3 2" xfId="40021"/>
    <cellStyle name="Normal 15 3 2 2" xfId="40022"/>
    <cellStyle name="Normal 15 3 2 2 2" xfId="40023"/>
    <cellStyle name="Normal 15 3 2 2 2 2" xfId="40024"/>
    <cellStyle name="Normal 15 3 2 2 2 2 2" xfId="40025"/>
    <cellStyle name="Normal 15 3 2 2 2 2 2 2" xfId="40026"/>
    <cellStyle name="Normal 15 3 2 2 2 2 3" xfId="40027"/>
    <cellStyle name="Normal 15 3 2 2 2 3" xfId="40028"/>
    <cellStyle name="Normal 15 3 2 2 2 3 2" xfId="40029"/>
    <cellStyle name="Normal 15 3 2 2 2 4" xfId="40030"/>
    <cellStyle name="Normal 15 3 2 2 3" xfId="40031"/>
    <cellStyle name="Normal 15 3 2 2 3 2" xfId="40032"/>
    <cellStyle name="Normal 15 3 2 2 3 2 2" xfId="40033"/>
    <cellStyle name="Normal 15 3 2 2 3 3" xfId="40034"/>
    <cellStyle name="Normal 15 3 2 2 4" xfId="40035"/>
    <cellStyle name="Normal 15 3 2 2 4 2" xfId="40036"/>
    <cellStyle name="Normal 15 3 2 2 5" xfId="40037"/>
    <cellStyle name="Normal 15 3 2 2 5 2" xfId="40038"/>
    <cellStyle name="Normal 15 3 2 2 6" xfId="40039"/>
    <cellStyle name="Normal 15 3 2 3" xfId="40040"/>
    <cellStyle name="Normal 15 3 2 3 2" xfId="40041"/>
    <cellStyle name="Normal 15 3 2 3 2 2" xfId="40042"/>
    <cellStyle name="Normal 15 3 2 3 2 2 2" xfId="40043"/>
    <cellStyle name="Normal 15 3 2 3 2 3" xfId="40044"/>
    <cellStyle name="Normal 15 3 2 3 3" xfId="40045"/>
    <cellStyle name="Normal 15 3 2 3 3 2" xfId="40046"/>
    <cellStyle name="Normal 15 3 2 3 4" xfId="40047"/>
    <cellStyle name="Normal 15 3 2 4" xfId="40048"/>
    <cellStyle name="Normal 15 3 2 4 2" xfId="40049"/>
    <cellStyle name="Normal 15 3 2 4 2 2" xfId="40050"/>
    <cellStyle name="Normal 15 3 2 4 3" xfId="40051"/>
    <cellStyle name="Normal 15 3 2 5" xfId="40052"/>
    <cellStyle name="Normal 15 3 2 5 2" xfId="40053"/>
    <cellStyle name="Normal 15 3 2 6" xfId="40054"/>
    <cellStyle name="Normal 15 3 2 6 2" xfId="40055"/>
    <cellStyle name="Normal 15 3 2 7" xfId="40056"/>
    <cellStyle name="Normal 15 3 3" xfId="40057"/>
    <cellStyle name="Normal 15 3 3 2" xfId="40058"/>
    <cellStyle name="Normal 15 3 3 2 2" xfId="40059"/>
    <cellStyle name="Normal 15 3 3 2 2 2" xfId="40060"/>
    <cellStyle name="Normal 15 3 3 2 2 2 2" xfId="40061"/>
    <cellStyle name="Normal 15 3 3 2 2 3" xfId="40062"/>
    <cellStyle name="Normal 15 3 3 2 3" xfId="40063"/>
    <cellStyle name="Normal 15 3 3 2 3 2" xfId="40064"/>
    <cellStyle name="Normal 15 3 3 2 4" xfId="40065"/>
    <cellStyle name="Normal 15 3 3 3" xfId="40066"/>
    <cellStyle name="Normal 15 3 3 3 2" xfId="40067"/>
    <cellStyle name="Normal 15 3 3 3 2 2" xfId="40068"/>
    <cellStyle name="Normal 15 3 3 3 3" xfId="40069"/>
    <cellStyle name="Normal 15 3 3 4" xfId="40070"/>
    <cellStyle name="Normal 15 3 3 4 2" xfId="40071"/>
    <cellStyle name="Normal 15 3 3 5" xfId="40072"/>
    <cellStyle name="Normal 15 3 3 5 2" xfId="40073"/>
    <cellStyle name="Normal 15 3 3 6" xfId="40074"/>
    <cellStyle name="Normal 15 3 4" xfId="40075"/>
    <cellStyle name="Normal 15 3 4 2" xfId="40076"/>
    <cellStyle name="Normal 15 3 4 2 2" xfId="40077"/>
    <cellStyle name="Normal 15 3 4 2 2 2" xfId="40078"/>
    <cellStyle name="Normal 15 3 4 2 3" xfId="40079"/>
    <cellStyle name="Normal 15 3 4 3" xfId="40080"/>
    <cellStyle name="Normal 15 3 4 3 2" xfId="40081"/>
    <cellStyle name="Normal 15 3 4 4" xfId="40082"/>
    <cellStyle name="Normal 15 3 5" xfId="40083"/>
    <cellStyle name="Normal 15 3 5 2" xfId="40084"/>
    <cellStyle name="Normal 15 3 5 2 2" xfId="40085"/>
    <cellStyle name="Normal 15 3 5 3" xfId="40086"/>
    <cellStyle name="Normal 15 3 6" xfId="40087"/>
    <cellStyle name="Normal 15 3 6 2" xfId="40088"/>
    <cellStyle name="Normal 15 3 7" xfId="40089"/>
    <cellStyle name="Normal 15 3 7 2" xfId="40090"/>
    <cellStyle name="Normal 15 3 8" xfId="40091"/>
    <cellStyle name="Normal 15 30" xfId="40092"/>
    <cellStyle name="Normal 15 31" xfId="40093"/>
    <cellStyle name="Normal 15 32" xfId="40094"/>
    <cellStyle name="Normal 15 33" xfId="40095"/>
    <cellStyle name="Normal 15 34" xfId="40096"/>
    <cellStyle name="Normal 15 35" xfId="40097"/>
    <cellStyle name="Normal 15 36" xfId="40098"/>
    <cellStyle name="Normal 15 37" xfId="40099"/>
    <cellStyle name="Normal 15 38" xfId="40100"/>
    <cellStyle name="Normal 15 39" xfId="40101"/>
    <cellStyle name="Normal 15 4" xfId="40102"/>
    <cellStyle name="Normal 15 4 2" xfId="40103"/>
    <cellStyle name="Normal 15 4 2 2" xfId="40104"/>
    <cellStyle name="Normal 15 4 2 2 2" xfId="40105"/>
    <cellStyle name="Normal 15 4 2 2 2 2" xfId="40106"/>
    <cellStyle name="Normal 15 4 2 2 2 2 2" xfId="40107"/>
    <cellStyle name="Normal 15 4 2 2 2 2 2 2" xfId="40108"/>
    <cellStyle name="Normal 15 4 2 2 2 2 3" xfId="40109"/>
    <cellStyle name="Normal 15 4 2 2 2 3" xfId="40110"/>
    <cellStyle name="Normal 15 4 2 2 2 3 2" xfId="40111"/>
    <cellStyle name="Normal 15 4 2 2 2 4" xfId="40112"/>
    <cellStyle name="Normal 15 4 2 2 3" xfId="40113"/>
    <cellStyle name="Normal 15 4 2 2 3 2" xfId="40114"/>
    <cellStyle name="Normal 15 4 2 2 3 2 2" xfId="40115"/>
    <cellStyle name="Normal 15 4 2 2 3 3" xfId="40116"/>
    <cellStyle name="Normal 15 4 2 2 4" xfId="40117"/>
    <cellStyle name="Normal 15 4 2 2 4 2" xfId="40118"/>
    <cellStyle name="Normal 15 4 2 2 5" xfId="40119"/>
    <cellStyle name="Normal 15 4 2 3" xfId="40120"/>
    <cellStyle name="Normal 15 4 2 3 2" xfId="40121"/>
    <cellStyle name="Normal 15 4 2 3 2 2" xfId="40122"/>
    <cellStyle name="Normal 15 4 2 3 2 2 2" xfId="40123"/>
    <cellStyle name="Normal 15 4 2 3 2 3" xfId="40124"/>
    <cellStyle name="Normal 15 4 2 3 3" xfId="40125"/>
    <cellStyle name="Normal 15 4 2 3 3 2" xfId="40126"/>
    <cellStyle name="Normal 15 4 2 3 4" xfId="40127"/>
    <cellStyle name="Normal 15 4 2 4" xfId="40128"/>
    <cellStyle name="Normal 15 4 2 4 2" xfId="40129"/>
    <cellStyle name="Normal 15 4 2 4 2 2" xfId="40130"/>
    <cellStyle name="Normal 15 4 2 4 3" xfId="40131"/>
    <cellStyle name="Normal 15 4 2 5" xfId="40132"/>
    <cellStyle name="Normal 15 4 2 5 2" xfId="40133"/>
    <cellStyle name="Normal 15 4 2 6" xfId="40134"/>
    <cellStyle name="Normal 15 4 3" xfId="40135"/>
    <cellStyle name="Normal 15 4 3 2" xfId="40136"/>
    <cellStyle name="Normal 15 4 3 2 2" xfId="40137"/>
    <cellStyle name="Normal 15 4 3 2 2 2" xfId="40138"/>
    <cellStyle name="Normal 15 4 3 2 2 2 2" xfId="40139"/>
    <cellStyle name="Normal 15 4 3 2 2 3" xfId="40140"/>
    <cellStyle name="Normal 15 4 3 2 3" xfId="40141"/>
    <cellStyle name="Normal 15 4 3 2 3 2" xfId="40142"/>
    <cellStyle name="Normal 15 4 3 2 4" xfId="40143"/>
    <cellStyle name="Normal 15 4 3 3" xfId="40144"/>
    <cellStyle name="Normal 15 4 3 3 2" xfId="40145"/>
    <cellStyle name="Normal 15 4 3 3 2 2" xfId="40146"/>
    <cellStyle name="Normal 15 4 3 3 3" xfId="40147"/>
    <cellStyle name="Normal 15 4 3 4" xfId="40148"/>
    <cellStyle name="Normal 15 4 3 4 2" xfId="40149"/>
    <cellStyle name="Normal 15 4 3 5" xfId="40150"/>
    <cellStyle name="Normal 15 4 4" xfId="40151"/>
    <cellStyle name="Normal 15 4 4 2" xfId="40152"/>
    <cellStyle name="Normal 15 4 4 2 2" xfId="40153"/>
    <cellStyle name="Normal 15 4 4 2 2 2" xfId="40154"/>
    <cellStyle name="Normal 15 4 4 2 3" xfId="40155"/>
    <cellStyle name="Normal 15 4 4 3" xfId="40156"/>
    <cellStyle name="Normal 15 4 4 3 2" xfId="40157"/>
    <cellStyle name="Normal 15 4 4 4" xfId="40158"/>
    <cellStyle name="Normal 15 4 5" xfId="40159"/>
    <cellStyle name="Normal 15 4 5 2" xfId="40160"/>
    <cellStyle name="Normal 15 4 5 2 2" xfId="40161"/>
    <cellStyle name="Normal 15 4 5 3" xfId="40162"/>
    <cellStyle name="Normal 15 4 6" xfId="40163"/>
    <cellStyle name="Normal 15 4 6 2" xfId="40164"/>
    <cellStyle name="Normal 15 4 7" xfId="40165"/>
    <cellStyle name="Normal 15 40" xfId="40166"/>
    <cellStyle name="Normal 15 41" xfId="40167"/>
    <cellStyle name="Normal 15 42" xfId="40168"/>
    <cellStyle name="Normal 15 43" xfId="40169"/>
    <cellStyle name="Normal 15 44" xfId="40170"/>
    <cellStyle name="Normal 15 45" xfId="40171"/>
    <cellStyle name="Normal 15 46" xfId="40172"/>
    <cellStyle name="Normal 15 47" xfId="40173"/>
    <cellStyle name="Normal 15 48" xfId="40174"/>
    <cellStyle name="Normal 15 49" xfId="40175"/>
    <cellStyle name="Normal 15 5" xfId="40176"/>
    <cellStyle name="Normal 15 5 2" xfId="40177"/>
    <cellStyle name="Normal 15 5 2 2" xfId="40178"/>
    <cellStyle name="Normal 15 5 2 2 2" xfId="40179"/>
    <cellStyle name="Normal 15 5 2 2 2 2" xfId="40180"/>
    <cellStyle name="Normal 15 5 2 2 3" xfId="40181"/>
    <cellStyle name="Normal 15 5 2 3" xfId="40182"/>
    <cellStyle name="Normal 15 5 2 3 2" xfId="40183"/>
    <cellStyle name="Normal 15 5 2 4" xfId="40184"/>
    <cellStyle name="Normal 15 5 2 4 2" xfId="40185"/>
    <cellStyle name="Normal 15 5 2 5" xfId="40186"/>
    <cellStyle name="Normal 15 5 2 5 2" xfId="40187"/>
    <cellStyle name="Normal 15 5 2 6" xfId="40188"/>
    <cellStyle name="Normal 15 5 3" xfId="40189"/>
    <cellStyle name="Normal 15 5 3 2" xfId="40190"/>
    <cellStyle name="Normal 15 5 3 2 2" xfId="40191"/>
    <cellStyle name="Normal 15 5 3 3" xfId="40192"/>
    <cellStyle name="Normal 15 5 4" xfId="40193"/>
    <cellStyle name="Normal 15 5 4 2" xfId="40194"/>
    <cellStyle name="Normal 15 5 5" xfId="40195"/>
    <cellStyle name="Normal 15 5 5 2" xfId="40196"/>
    <cellStyle name="Normal 15 5 6" xfId="40197"/>
    <cellStyle name="Normal 15 5 6 2" xfId="40198"/>
    <cellStyle name="Normal 15 5 7" xfId="40199"/>
    <cellStyle name="Normal 15 50" xfId="40200"/>
    <cellStyle name="Normal 15 51" xfId="40201"/>
    <cellStyle name="Normal 15 52" xfId="40202"/>
    <cellStyle name="Normal 15 53" xfId="40203"/>
    <cellStyle name="Normal 15 54" xfId="40204"/>
    <cellStyle name="Normal 15 55" xfId="40205"/>
    <cellStyle name="Normal 15 56" xfId="40206"/>
    <cellStyle name="Normal 15 57" xfId="40207"/>
    <cellStyle name="Normal 15 58" xfId="40208"/>
    <cellStyle name="Normal 15 59" xfId="40209"/>
    <cellStyle name="Normal 15 6" xfId="40210"/>
    <cellStyle name="Normal 15 6 2" xfId="40211"/>
    <cellStyle name="Normal 15 6 2 2" xfId="40212"/>
    <cellStyle name="Normal 15 6 2 2 2" xfId="40213"/>
    <cellStyle name="Normal 15 6 2 3" xfId="40214"/>
    <cellStyle name="Normal 15 6 3" xfId="40215"/>
    <cellStyle name="Normal 15 6 3 2" xfId="40216"/>
    <cellStyle name="Normal 15 6 4" xfId="40217"/>
    <cellStyle name="Normal 15 6 4 2" xfId="40218"/>
    <cellStyle name="Normal 15 6 5" xfId="40219"/>
    <cellStyle name="Normal 15 6 5 2" xfId="40220"/>
    <cellStyle name="Normal 15 6 6" xfId="40221"/>
    <cellStyle name="Normal 15 60" xfId="40222"/>
    <cellStyle name="Normal 15 61" xfId="40223"/>
    <cellStyle name="Normal 15 62" xfId="40224"/>
    <cellStyle name="Normal 15 63" xfId="40225"/>
    <cellStyle name="Normal 15 64" xfId="40226"/>
    <cellStyle name="Normal 15 65" xfId="40227"/>
    <cellStyle name="Normal 15 66" xfId="40228"/>
    <cellStyle name="Normal 15 7" xfId="40229"/>
    <cellStyle name="Normal 15 7 2" xfId="40230"/>
    <cellStyle name="Normal 15 7 2 2" xfId="40231"/>
    <cellStyle name="Normal 15 7 2 2 2" xfId="40232"/>
    <cellStyle name="Normal 15 7 2 2 2 2" xfId="40233"/>
    <cellStyle name="Normal 15 7 2 2 2 2 2" xfId="40234"/>
    <cellStyle name="Normal 15 7 2 2 2 3" xfId="40235"/>
    <cellStyle name="Normal 15 7 2 2 3" xfId="40236"/>
    <cellStyle name="Normal 15 7 2 2 3 2" xfId="40237"/>
    <cellStyle name="Normal 15 7 2 2 4" xfId="40238"/>
    <cellStyle name="Normal 15 7 2 3" xfId="40239"/>
    <cellStyle name="Normal 15 7 2 3 2" xfId="40240"/>
    <cellStyle name="Normal 15 7 2 3 2 2" xfId="40241"/>
    <cellStyle name="Normal 15 7 2 3 3" xfId="40242"/>
    <cellStyle name="Normal 15 7 2 4" xfId="40243"/>
    <cellStyle name="Normal 15 7 2 4 2" xfId="40244"/>
    <cellStyle name="Normal 15 7 2 5" xfId="40245"/>
    <cellStyle name="Normal 15 7 3" xfId="40246"/>
    <cellStyle name="Normal 15 7 3 2" xfId="40247"/>
    <cellStyle name="Normal 15 7 3 2 2" xfId="40248"/>
    <cellStyle name="Normal 15 7 3 2 2 2" xfId="40249"/>
    <cellStyle name="Normal 15 7 3 2 3" xfId="40250"/>
    <cellStyle name="Normal 15 7 3 3" xfId="40251"/>
    <cellStyle name="Normal 15 7 3 3 2" xfId="40252"/>
    <cellStyle name="Normal 15 7 3 4" xfId="40253"/>
    <cellStyle name="Normal 15 7 4" xfId="40254"/>
    <cellStyle name="Normal 15 7 4 2" xfId="40255"/>
    <cellStyle name="Normal 15 7 4 2 2" xfId="40256"/>
    <cellStyle name="Normal 15 7 4 3" xfId="40257"/>
    <cellStyle name="Normal 15 7 5" xfId="40258"/>
    <cellStyle name="Normal 15 7 5 2" xfId="40259"/>
    <cellStyle name="Normal 15 7 6" xfId="40260"/>
    <cellStyle name="Normal 15 8" xfId="40261"/>
    <cellStyle name="Normal 15 8 2" xfId="40262"/>
    <cellStyle name="Normal 15 8 2 2" xfId="40263"/>
    <cellStyle name="Normal 15 8 2 2 2" xfId="40264"/>
    <cellStyle name="Normal 15 8 2 2 2 2" xfId="40265"/>
    <cellStyle name="Normal 15 8 2 2 3" xfId="40266"/>
    <cellStyle name="Normal 15 8 2 3" xfId="40267"/>
    <cellStyle name="Normal 15 8 2 3 2" xfId="40268"/>
    <cellStyle name="Normal 15 8 2 4" xfId="40269"/>
    <cellStyle name="Normal 15 8 3" xfId="40270"/>
    <cellStyle name="Normal 15 8 3 2" xfId="40271"/>
    <cellStyle name="Normal 15 8 3 2 2" xfId="40272"/>
    <cellStyle name="Normal 15 8 3 3" xfId="40273"/>
    <cellStyle name="Normal 15 8 4" xfId="40274"/>
    <cellStyle name="Normal 15 8 4 2" xfId="40275"/>
    <cellStyle name="Normal 15 8 5" xfId="40276"/>
    <cellStyle name="Normal 15 8 5 2" xfId="40277"/>
    <cellStyle name="Normal 15 8 6" xfId="40278"/>
    <cellStyle name="Normal 15 9" xfId="40279"/>
    <cellStyle name="Normal 15 9 2" xfId="40280"/>
    <cellStyle name="Normal 15 9 2 2" xfId="40281"/>
    <cellStyle name="Normal 15 9 2 2 2" xfId="40282"/>
    <cellStyle name="Normal 15 9 2 3" xfId="40283"/>
    <cellStyle name="Normal 15 9 3" xfId="40284"/>
    <cellStyle name="Normal 15 9 3 2" xfId="40285"/>
    <cellStyle name="Normal 15 9 4" xfId="40286"/>
    <cellStyle name="Normal 15_ACC JANUARI (YOSEPH)" xfId="40287"/>
    <cellStyle name="Normal 150" xfId="40288"/>
    <cellStyle name="Normal 150 2" xfId="40289"/>
    <cellStyle name="Normal 150 2 2" xfId="40290"/>
    <cellStyle name="Normal 150 3" xfId="40291"/>
    <cellStyle name="Normal 151" xfId="40292"/>
    <cellStyle name="Normal 151 2" xfId="40293"/>
    <cellStyle name="Normal 151 2 2" xfId="40294"/>
    <cellStyle name="Normal 151 2 2 2" xfId="40295"/>
    <cellStyle name="Normal 151 3" xfId="40296"/>
    <cellStyle name="Normal 151 3 2" xfId="40297"/>
    <cellStyle name="Normal 152" xfId="40298"/>
    <cellStyle name="Normal 152 2" xfId="40299"/>
    <cellStyle name="Normal 152 2 2" xfId="40300"/>
    <cellStyle name="Normal 152 2 2 2" xfId="40301"/>
    <cellStyle name="Normal 152 3" xfId="40302"/>
    <cellStyle name="Normal 152 3 2" xfId="40303"/>
    <cellStyle name="Normal 153" xfId="40304"/>
    <cellStyle name="Normal 153 2" xfId="40305"/>
    <cellStyle name="Normal 153 2 2" xfId="40306"/>
    <cellStyle name="Normal 153 2 2 2" xfId="40307"/>
    <cellStyle name="Normal 153 3" xfId="40308"/>
    <cellStyle name="Normal 153 3 2" xfId="40309"/>
    <cellStyle name="Normal 153 4" xfId="40310"/>
    <cellStyle name="Normal 154" xfId="40311"/>
    <cellStyle name="Normal 154 2" xfId="40312"/>
    <cellStyle name="Normal 154 2 2" xfId="40313"/>
    <cellStyle name="Normal 154 2 2 2" xfId="40314"/>
    <cellStyle name="Normal 154 3" xfId="40315"/>
    <cellStyle name="Normal 154 3 2" xfId="40316"/>
    <cellStyle name="Normal 154 4" xfId="40317"/>
    <cellStyle name="Normal 155" xfId="40318"/>
    <cellStyle name="Normal 155 2" xfId="40319"/>
    <cellStyle name="Normal 155 2 2" xfId="40320"/>
    <cellStyle name="Normal 155 2 2 2" xfId="40321"/>
    <cellStyle name="Normal 155 2 2 2 2" xfId="40322"/>
    <cellStyle name="Normal 155 2 2 3" xfId="40323"/>
    <cellStyle name="Normal 155 2 3" xfId="40324"/>
    <cellStyle name="Normal 155 2 3 2" xfId="40325"/>
    <cellStyle name="Normal 155 3" xfId="40326"/>
    <cellStyle name="Normal 155 3 2" xfId="40327"/>
    <cellStyle name="Normal 155 3 2 2" xfId="40328"/>
    <cellStyle name="Normal 155 3 3" xfId="40329"/>
    <cellStyle name="Normal 155 4" xfId="40330"/>
    <cellStyle name="Normal 155 4 2" xfId="40331"/>
    <cellStyle name="Normal 155 5" xfId="40332"/>
    <cellStyle name="Normal 156" xfId="40333"/>
    <cellStyle name="Normal 156 2" xfId="40334"/>
    <cellStyle name="Normal 156 2 2" xfId="40335"/>
    <cellStyle name="Normal 156 2 2 2" xfId="40336"/>
    <cellStyle name="Normal 156 3" xfId="40337"/>
    <cellStyle name="Normal 156 3 2" xfId="40338"/>
    <cellStyle name="Normal 157" xfId="40339"/>
    <cellStyle name="Normal 157 2" xfId="40340"/>
    <cellStyle name="Normal 157 2 2" xfId="40341"/>
    <cellStyle name="Normal 157 2 2 2" xfId="40342"/>
    <cellStyle name="Normal 157 2 3" xfId="40343"/>
    <cellStyle name="Normal 157 3" xfId="40344"/>
    <cellStyle name="Normal 157 3 2" xfId="40345"/>
    <cellStyle name="Normal 158" xfId="40346"/>
    <cellStyle name="Normal 158 2" xfId="40347"/>
    <cellStyle name="Normal 158 2 2" xfId="40348"/>
    <cellStyle name="Normal 158 2 2 2" xfId="40349"/>
    <cellStyle name="Normal 158 3" xfId="40350"/>
    <cellStyle name="Normal 158 3 2" xfId="40351"/>
    <cellStyle name="Normal 159" xfId="40352"/>
    <cellStyle name="Normal 159 2" xfId="40353"/>
    <cellStyle name="Normal 159 2 2" xfId="40354"/>
    <cellStyle name="Normal 159 2 2 2" xfId="40355"/>
    <cellStyle name="Normal 159 2 3" xfId="40356"/>
    <cellStyle name="Normal 159 3" xfId="40357"/>
    <cellStyle name="Normal 159 3 2" xfId="40358"/>
    <cellStyle name="Normal 16" xfId="40359"/>
    <cellStyle name="Normal 16 10" xfId="40360"/>
    <cellStyle name="Normal 16 10 2" xfId="40361"/>
    <cellStyle name="Normal 16 11" xfId="40362"/>
    <cellStyle name="Normal 16 11 2" xfId="40363"/>
    <cellStyle name="Normal 16 12" xfId="40364"/>
    <cellStyle name="Normal 16 12 2" xfId="40365"/>
    <cellStyle name="Normal 16 13" xfId="40366"/>
    <cellStyle name="Normal 16 14" xfId="40367"/>
    <cellStyle name="Normal 16 15" xfId="40368"/>
    <cellStyle name="Normal 16 16" xfId="40369"/>
    <cellStyle name="Normal 16 17" xfId="40370"/>
    <cellStyle name="Normal 16 18" xfId="40371"/>
    <cellStyle name="Normal 16 19" xfId="40372"/>
    <cellStyle name="Normal 16 2" xfId="40373"/>
    <cellStyle name="Normal 16 2 2" xfId="40374"/>
    <cellStyle name="Normal 16 2 2 2" xfId="40375"/>
    <cellStyle name="Normal 16 2 2 2 2" xfId="40376"/>
    <cellStyle name="Normal 16 2 2 2 2 2" xfId="40377"/>
    <cellStyle name="Normal 16 2 2 2 2 2 2" xfId="40378"/>
    <cellStyle name="Normal 16 2 2 2 2 3" xfId="40379"/>
    <cellStyle name="Normal 16 2 2 2 3" xfId="40380"/>
    <cellStyle name="Normal 16 2 2 2 3 2" xfId="40381"/>
    <cellStyle name="Normal 16 2 2 2 4" xfId="40382"/>
    <cellStyle name="Normal 16 2 2 2 4 2" xfId="40383"/>
    <cellStyle name="Normal 16 2 2 2 5" xfId="40384"/>
    <cellStyle name="Normal 16 2 2 2 5 2" xfId="40385"/>
    <cellStyle name="Normal 16 2 2 2 6" xfId="40386"/>
    <cellStyle name="Normal 16 2 2 3" xfId="40387"/>
    <cellStyle name="Normal 16 2 2 3 2" xfId="40388"/>
    <cellStyle name="Normal 16 2 2 3 2 2" xfId="40389"/>
    <cellStyle name="Normal 16 2 2 3 3" xfId="40390"/>
    <cellStyle name="Normal 16 2 2 4" xfId="40391"/>
    <cellStyle name="Normal 16 2 2 4 2" xfId="40392"/>
    <cellStyle name="Normal 16 2 2 5" xfId="40393"/>
    <cellStyle name="Normal 16 2 2 5 2" xfId="40394"/>
    <cellStyle name="Normal 16 2 2 6" xfId="40395"/>
    <cellStyle name="Normal 16 2 2 6 2" xfId="40396"/>
    <cellStyle name="Normal 16 2 2 7" xfId="40397"/>
    <cellStyle name="Normal 16 2 3" xfId="40398"/>
    <cellStyle name="Normal 16 2 3 2" xfId="40399"/>
    <cellStyle name="Normal 16 2 3 2 2" xfId="40400"/>
    <cellStyle name="Normal 16 2 3 2 2 2" xfId="40401"/>
    <cellStyle name="Normal 16 2 3 2 3" xfId="40402"/>
    <cellStyle name="Normal 16 2 3 3" xfId="40403"/>
    <cellStyle name="Normal 16 2 3 3 2" xfId="40404"/>
    <cellStyle name="Normal 16 2 3 4" xfId="40405"/>
    <cellStyle name="Normal 16 2 3 4 2" xfId="40406"/>
    <cellStyle name="Normal 16 2 3 5" xfId="40407"/>
    <cellStyle name="Normal 16 2 3 5 2" xfId="40408"/>
    <cellStyle name="Normal 16 2 3 6" xfId="40409"/>
    <cellStyle name="Normal 16 2 4" xfId="40410"/>
    <cellStyle name="Normal 16 2 4 2" xfId="40411"/>
    <cellStyle name="Normal 16 2 4 2 2" xfId="40412"/>
    <cellStyle name="Normal 16 2 4 3" xfId="40413"/>
    <cellStyle name="Normal 16 2 5" xfId="40414"/>
    <cellStyle name="Normal 16 2 5 2" xfId="40415"/>
    <cellStyle name="Normal 16 2 6" xfId="40416"/>
    <cellStyle name="Normal 16 2 6 2" xfId="40417"/>
    <cellStyle name="Normal 16 2 7" xfId="40418"/>
    <cellStyle name="Normal 16 2 7 2" xfId="40419"/>
    <cellStyle name="Normal 16 2 8" xfId="40420"/>
    <cellStyle name="Normal 16 2 9" xfId="58454"/>
    <cellStyle name="Normal 16 20" xfId="40421"/>
    <cellStyle name="Normal 16 21" xfId="40422"/>
    <cellStyle name="Normal 16 22" xfId="40423"/>
    <cellStyle name="Normal 16 23" xfId="40424"/>
    <cellStyle name="Normal 16 24" xfId="40425"/>
    <cellStyle name="Normal 16 25" xfId="40426"/>
    <cellStyle name="Normal 16 26" xfId="40427"/>
    <cellStyle name="Normal 16 27" xfId="40428"/>
    <cellStyle name="Normal 16 28" xfId="40429"/>
    <cellStyle name="Normal 16 29" xfId="40430"/>
    <cellStyle name="Normal 16 3" xfId="40431"/>
    <cellStyle name="Normal 16 3 2" xfId="40432"/>
    <cellStyle name="Normal 16 3 2 2" xfId="40433"/>
    <cellStyle name="Normal 16 3 2 2 2" xfId="40434"/>
    <cellStyle name="Normal 16 3 2 2 2 2" xfId="40435"/>
    <cellStyle name="Normal 16 3 2 2 2 2 2" xfId="40436"/>
    <cellStyle name="Normal 16 3 2 2 2 3" xfId="40437"/>
    <cellStyle name="Normal 16 3 2 2 3" xfId="40438"/>
    <cellStyle name="Normal 16 3 2 2 3 2" xfId="40439"/>
    <cellStyle name="Normal 16 3 2 2 4" xfId="40440"/>
    <cellStyle name="Normal 16 3 2 2 4 2" xfId="40441"/>
    <cellStyle name="Normal 16 3 2 2 5" xfId="40442"/>
    <cellStyle name="Normal 16 3 2 2 5 2" xfId="40443"/>
    <cellStyle name="Normal 16 3 2 2 6" xfId="40444"/>
    <cellStyle name="Normal 16 3 2 3" xfId="40445"/>
    <cellStyle name="Normal 16 3 2 3 2" xfId="40446"/>
    <cellStyle name="Normal 16 3 2 3 2 2" xfId="40447"/>
    <cellStyle name="Normal 16 3 2 3 3" xfId="40448"/>
    <cellStyle name="Normal 16 3 2 4" xfId="40449"/>
    <cellStyle name="Normal 16 3 2 4 2" xfId="40450"/>
    <cellStyle name="Normal 16 3 2 5" xfId="40451"/>
    <cellStyle name="Normal 16 3 2 5 2" xfId="40452"/>
    <cellStyle name="Normal 16 3 2 6" xfId="40453"/>
    <cellStyle name="Normal 16 3 2 6 2" xfId="40454"/>
    <cellStyle name="Normal 16 3 2 7" xfId="40455"/>
    <cellStyle name="Normal 16 3 3" xfId="40456"/>
    <cellStyle name="Normal 16 3 3 2" xfId="40457"/>
    <cellStyle name="Normal 16 3 3 2 2" xfId="40458"/>
    <cellStyle name="Normal 16 3 3 2 2 2" xfId="40459"/>
    <cellStyle name="Normal 16 3 3 2 3" xfId="40460"/>
    <cellStyle name="Normal 16 3 3 3" xfId="40461"/>
    <cellStyle name="Normal 16 3 3 3 2" xfId="40462"/>
    <cellStyle name="Normal 16 3 3 4" xfId="40463"/>
    <cellStyle name="Normal 16 3 3 4 2" xfId="40464"/>
    <cellStyle name="Normal 16 3 3 5" xfId="40465"/>
    <cellStyle name="Normal 16 3 3 5 2" xfId="40466"/>
    <cellStyle name="Normal 16 3 3 6" xfId="40467"/>
    <cellStyle name="Normal 16 3 4" xfId="40468"/>
    <cellStyle name="Normal 16 3 4 2" xfId="40469"/>
    <cellStyle name="Normal 16 3 4 2 2" xfId="40470"/>
    <cellStyle name="Normal 16 3 4 3" xfId="40471"/>
    <cellStyle name="Normal 16 3 5" xfId="40472"/>
    <cellStyle name="Normal 16 3 5 2" xfId="40473"/>
    <cellStyle name="Normal 16 3 6" xfId="40474"/>
    <cellStyle name="Normal 16 3 6 2" xfId="40475"/>
    <cellStyle name="Normal 16 3 7" xfId="40476"/>
    <cellStyle name="Normal 16 3 7 2" xfId="40477"/>
    <cellStyle name="Normal 16 3 8" xfId="40478"/>
    <cellStyle name="Normal 16 30" xfId="40479"/>
    <cellStyle name="Normal 16 31" xfId="40480"/>
    <cellStyle name="Normal 16 32" xfId="40481"/>
    <cellStyle name="Normal 16 33" xfId="40482"/>
    <cellStyle name="Normal 16 34" xfId="40483"/>
    <cellStyle name="Normal 16 35" xfId="40484"/>
    <cellStyle name="Normal 16 36" xfId="40485"/>
    <cellStyle name="Normal 16 37" xfId="40486"/>
    <cellStyle name="Normal 16 38" xfId="40487"/>
    <cellStyle name="Normal 16 39" xfId="40488"/>
    <cellStyle name="Normal 16 4" xfId="40489"/>
    <cellStyle name="Normal 16 4 2" xfId="40490"/>
    <cellStyle name="Normal 16 4 2 2" xfId="40491"/>
    <cellStyle name="Normal 16 4 2 2 2" xfId="40492"/>
    <cellStyle name="Normal 16 4 2 2 2 2" xfId="40493"/>
    <cellStyle name="Normal 16 4 2 2 3" xfId="40494"/>
    <cellStyle name="Normal 16 4 2 3" xfId="40495"/>
    <cellStyle name="Normal 16 4 2 3 2" xfId="40496"/>
    <cellStyle name="Normal 16 4 2 4" xfId="40497"/>
    <cellStyle name="Normal 16 4 2 4 2" xfId="40498"/>
    <cellStyle name="Normal 16 4 2 5" xfId="40499"/>
    <cellStyle name="Normal 16 4 2 5 2" xfId="40500"/>
    <cellStyle name="Normal 16 4 2 6" xfId="40501"/>
    <cellStyle name="Normal 16 4 3" xfId="40502"/>
    <cellStyle name="Normal 16 4 3 2" xfId="40503"/>
    <cellStyle name="Normal 16 4 3 2 2" xfId="40504"/>
    <cellStyle name="Normal 16 4 3 3" xfId="40505"/>
    <cellStyle name="Normal 16 4 4" xfId="40506"/>
    <cellStyle name="Normal 16 4 4 2" xfId="40507"/>
    <cellStyle name="Normal 16 4 5" xfId="40508"/>
    <cellStyle name="Normal 16 4 5 2" xfId="40509"/>
    <cellStyle name="Normal 16 4 6" xfId="40510"/>
    <cellStyle name="Normal 16 4 6 2" xfId="40511"/>
    <cellStyle name="Normal 16 4 7" xfId="40512"/>
    <cellStyle name="Normal 16 40" xfId="40513"/>
    <cellStyle name="Normal 16 41" xfId="40514"/>
    <cellStyle name="Normal 16 42" xfId="40515"/>
    <cellStyle name="Normal 16 43" xfId="40516"/>
    <cellStyle name="Normal 16 44" xfId="40517"/>
    <cellStyle name="Normal 16 45" xfId="40518"/>
    <cellStyle name="Normal 16 46" xfId="40519"/>
    <cellStyle name="Normal 16 47" xfId="40520"/>
    <cellStyle name="Normal 16 48" xfId="40521"/>
    <cellStyle name="Normal 16 49" xfId="40522"/>
    <cellStyle name="Normal 16 5" xfId="40523"/>
    <cellStyle name="Normal 16 5 2" xfId="40524"/>
    <cellStyle name="Normal 16 5 2 2" xfId="40525"/>
    <cellStyle name="Normal 16 5 2 2 2" xfId="40526"/>
    <cellStyle name="Normal 16 5 2 2 2 2" xfId="40527"/>
    <cellStyle name="Normal 16 5 2 2 3" xfId="40528"/>
    <cellStyle name="Normal 16 5 2 3" xfId="40529"/>
    <cellStyle name="Normal 16 5 2 3 2" xfId="40530"/>
    <cellStyle name="Normal 16 5 2 4" xfId="40531"/>
    <cellStyle name="Normal 16 5 2 4 2" xfId="40532"/>
    <cellStyle name="Normal 16 5 2 5" xfId="40533"/>
    <cellStyle name="Normal 16 5 2 5 2" xfId="40534"/>
    <cellStyle name="Normal 16 5 2 6" xfId="40535"/>
    <cellStyle name="Normal 16 5 3" xfId="40536"/>
    <cellStyle name="Normal 16 5 3 2" xfId="40537"/>
    <cellStyle name="Normal 16 5 3 2 2" xfId="40538"/>
    <cellStyle name="Normal 16 5 3 3" xfId="40539"/>
    <cellStyle name="Normal 16 5 4" xfId="40540"/>
    <cellStyle name="Normal 16 5 4 2" xfId="40541"/>
    <cellStyle name="Normal 16 5 5" xfId="40542"/>
    <cellStyle name="Normal 16 5 5 2" xfId="40543"/>
    <cellStyle name="Normal 16 5 6" xfId="40544"/>
    <cellStyle name="Normal 16 5 6 2" xfId="40545"/>
    <cellStyle name="Normal 16 5 7" xfId="40546"/>
    <cellStyle name="Normal 16 50" xfId="40547"/>
    <cellStyle name="Normal 16 51" xfId="40548"/>
    <cellStyle name="Normal 16 52" xfId="40549"/>
    <cellStyle name="Normal 16 53" xfId="40550"/>
    <cellStyle name="Normal 16 54" xfId="40551"/>
    <cellStyle name="Normal 16 55" xfId="40552"/>
    <cellStyle name="Normal 16 56" xfId="40553"/>
    <cellStyle name="Normal 16 57" xfId="40554"/>
    <cellStyle name="Normal 16 58" xfId="40555"/>
    <cellStyle name="Normal 16 59" xfId="40556"/>
    <cellStyle name="Normal 16 6" xfId="40557"/>
    <cellStyle name="Normal 16 6 2" xfId="40558"/>
    <cellStyle name="Normal 16 6 2 2" xfId="40559"/>
    <cellStyle name="Normal 16 6 2 2 2" xfId="40560"/>
    <cellStyle name="Normal 16 6 2 3" xfId="40561"/>
    <cellStyle name="Normal 16 6 3" xfId="40562"/>
    <cellStyle name="Normal 16 6 3 2" xfId="40563"/>
    <cellStyle name="Normal 16 6 4" xfId="40564"/>
    <cellStyle name="Normal 16 6 4 2" xfId="40565"/>
    <cellStyle name="Normal 16 6 5" xfId="40566"/>
    <cellStyle name="Normal 16 6 5 2" xfId="40567"/>
    <cellStyle name="Normal 16 6 6" xfId="40568"/>
    <cellStyle name="Normal 16 60" xfId="40569"/>
    <cellStyle name="Normal 16 61" xfId="40570"/>
    <cellStyle name="Normal 16 62" xfId="40571"/>
    <cellStyle name="Normal 16 63" xfId="40572"/>
    <cellStyle name="Normal 16 64" xfId="40573"/>
    <cellStyle name="Normal 16 65" xfId="40574"/>
    <cellStyle name="Normal 16 66" xfId="58455"/>
    <cellStyle name="Normal 16 7" xfId="40575"/>
    <cellStyle name="Normal 16 7 2" xfId="40576"/>
    <cellStyle name="Normal 16 7 2 2" xfId="40577"/>
    <cellStyle name="Normal 16 7 2 2 2" xfId="40578"/>
    <cellStyle name="Normal 16 7 2 3" xfId="40579"/>
    <cellStyle name="Normal 16 7 3" xfId="40580"/>
    <cellStyle name="Normal 16 7 3 2" xfId="40581"/>
    <cellStyle name="Normal 16 7 4" xfId="40582"/>
    <cellStyle name="Normal 16 7 4 2" xfId="40583"/>
    <cellStyle name="Normal 16 7 5" xfId="40584"/>
    <cellStyle name="Normal 16 7 5 2" xfId="40585"/>
    <cellStyle name="Normal 16 7 6" xfId="40586"/>
    <cellStyle name="Normal 16 8" xfId="40587"/>
    <cellStyle name="Normal 16 8 2" xfId="40588"/>
    <cellStyle name="Normal 16 8 2 2" xfId="40589"/>
    <cellStyle name="Normal 16 8 2 2 2" xfId="40590"/>
    <cellStyle name="Normal 16 8 2 3" xfId="40591"/>
    <cellStyle name="Normal 16 8 3" xfId="40592"/>
    <cellStyle name="Normal 16 8 3 2" xfId="40593"/>
    <cellStyle name="Normal 16 8 4" xfId="40594"/>
    <cellStyle name="Normal 16 8 4 2" xfId="40595"/>
    <cellStyle name="Normal 16 8 5" xfId="40596"/>
    <cellStyle name="Normal 16 8 5 2" xfId="40597"/>
    <cellStyle name="Normal 16 8 6" xfId="40598"/>
    <cellStyle name="Normal 16 9" xfId="40599"/>
    <cellStyle name="Normal 16 9 2" xfId="40600"/>
    <cellStyle name="Normal 16 9 2 2" xfId="40601"/>
    <cellStyle name="Normal 16 9 3" xfId="40602"/>
    <cellStyle name="Normal 16_Amortize Prepaid Other" xfId="40603"/>
    <cellStyle name="Normal 160" xfId="40604"/>
    <cellStyle name="Normal 160 2" xfId="40605"/>
    <cellStyle name="Normal 160 2 2" xfId="40606"/>
    <cellStyle name="Normal 160 2 2 2" xfId="40607"/>
    <cellStyle name="Normal 160 2 3" xfId="40608"/>
    <cellStyle name="Normal 160 3" xfId="40609"/>
    <cellStyle name="Normal 160 3 2" xfId="40610"/>
    <cellStyle name="Normal 161" xfId="40611"/>
    <cellStyle name="Normal 161 2" xfId="40612"/>
    <cellStyle name="Normal 161 2 2" xfId="40613"/>
    <cellStyle name="Normal 161 2 2 2" xfId="40614"/>
    <cellStyle name="Normal 161 2 2 2 2" xfId="40615"/>
    <cellStyle name="Normal 161 2 2 3" xfId="40616"/>
    <cellStyle name="Normal 161 2 3" xfId="40617"/>
    <cellStyle name="Normal 161 2 3 2" xfId="40618"/>
    <cellStyle name="Normal 161 2 4" xfId="40619"/>
    <cellStyle name="Normal 161 3" xfId="40620"/>
    <cellStyle name="Normal 161 3 2" xfId="40621"/>
    <cellStyle name="Normal 161 3 2 2" xfId="40622"/>
    <cellStyle name="Normal 161 3 2 2 2" xfId="40623"/>
    <cellStyle name="Normal 161 3 2 2 2 2" xfId="40624"/>
    <cellStyle name="Normal 161 3 2 2 2 2 2" xfId="40625"/>
    <cellStyle name="Normal 161 3 2 2 2 2 2 2" xfId="40626"/>
    <cellStyle name="Normal 161 3 2 2 2 2 2 2 2" xfId="40627"/>
    <cellStyle name="Normal 161 3 2 2 2 2 2 3" xfId="40628"/>
    <cellStyle name="Normal 161 3 2 2 2 2 3" xfId="40629"/>
    <cellStyle name="Normal 161 3 2 2 2 2 3 2" xfId="40630"/>
    <cellStyle name="Normal 161 3 2 2 2 2 4" xfId="40631"/>
    <cellStyle name="Normal 161 3 2 2 2 3" xfId="40632"/>
    <cellStyle name="Normal 161 3 2 2 2 3 2" xfId="40633"/>
    <cellStyle name="Normal 161 3 2 2 2 3 2 2" xfId="40634"/>
    <cellStyle name="Normal 161 3 2 2 2 3 3" xfId="40635"/>
    <cellStyle name="Normal 161 3 2 2 2 4" xfId="40636"/>
    <cellStyle name="Normal 161 3 2 2 2 4 2" xfId="40637"/>
    <cellStyle name="Normal 161 3 2 2 2 5" xfId="40638"/>
    <cellStyle name="Normal 161 3 2 2 3" xfId="40639"/>
    <cellStyle name="Normal 161 3 2 2 3 2" xfId="40640"/>
    <cellStyle name="Normal 161 3 2 2 3 2 2" xfId="40641"/>
    <cellStyle name="Normal 161 3 2 2 3 3" xfId="40642"/>
    <cellStyle name="Normal 161 3 2 2 4" xfId="40643"/>
    <cellStyle name="Normal 161 3 2 2 4 2" xfId="40644"/>
    <cellStyle name="Normal 161 3 2 2 4 2 2" xfId="40645"/>
    <cellStyle name="Normal 161 3 2 2 4 3" xfId="40646"/>
    <cellStyle name="Normal 161 3 2 2 5" xfId="40647"/>
    <cellStyle name="Normal 161 3 2 2 5 2" xfId="40648"/>
    <cellStyle name="Normal 161 3 2 2 5 2 2" xfId="40649"/>
    <cellStyle name="Normal 161 3 2 2 5 2 2 2" xfId="40650"/>
    <cellStyle name="Normal 161 3 2 2 5 2 3" xfId="40651"/>
    <cellStyle name="Normal 161 3 2 2 5 2 3 2" xfId="40652"/>
    <cellStyle name="Normal 161 3 2 2 5 2 4" xfId="40653"/>
    <cellStyle name="Normal 161 3 2 2 5 2 4 2" xfId="40654"/>
    <cellStyle name="Normal 161 3 2 2 5 2 5" xfId="40655"/>
    <cellStyle name="Normal 161 3 2 2 5 3" xfId="40656"/>
    <cellStyle name="Normal 161 3 2 2 5 3 2" xfId="40657"/>
    <cellStyle name="Normal 161 3 2 2 5 4" xfId="40658"/>
    <cellStyle name="Normal 161 3 2 2 6" xfId="40659"/>
    <cellStyle name="Normal 161 3 2 2 6 2" xfId="40660"/>
    <cellStyle name="Normal 161 3 2 2 7" xfId="40661"/>
    <cellStyle name="Normal 161 3 2 3" xfId="40662"/>
    <cellStyle name="Normal 161 3 2 3 2" xfId="40663"/>
    <cellStyle name="Normal 161 3 2 3 2 2" xfId="40664"/>
    <cellStyle name="Normal 161 3 2 3 3" xfId="40665"/>
    <cellStyle name="Normal 161 3 2 4" xfId="40666"/>
    <cellStyle name="Normal 161 3 2 4 2" xfId="40667"/>
    <cellStyle name="Normal 161 3 2 4 2 2" xfId="40668"/>
    <cellStyle name="Normal 161 3 2 4 2 2 2" xfId="40669"/>
    <cellStyle name="Normal 161 3 2 4 2 3" xfId="40670"/>
    <cellStyle name="Normal 161 3 2 4 3" xfId="40671"/>
    <cellStyle name="Normal 161 3 2 4 3 2" xfId="40672"/>
    <cellStyle name="Normal 161 3 2 4 4" xfId="40673"/>
    <cellStyle name="Normal 161 3 2 5" xfId="40674"/>
    <cellStyle name="Normal 161 3 2 5 2" xfId="40675"/>
    <cellStyle name="Normal 161 3 2 6" xfId="40676"/>
    <cellStyle name="Normal 161 3 2 6 2" xfId="40677"/>
    <cellStyle name="Normal 161 3 2 7" xfId="40678"/>
    <cellStyle name="Normal 161 3 2 7 2" xfId="40679"/>
    <cellStyle name="Normal 161 3 2 8" xfId="40680"/>
    <cellStyle name="Normal 161 3 2 8 2" xfId="40681"/>
    <cellStyle name="Normal 161 3 2 9" xfId="40682"/>
    <cellStyle name="Normal 161 3 3" xfId="40683"/>
    <cellStyle name="Normal 161 3 3 2" xfId="40684"/>
    <cellStyle name="Normal 161 3 3 2 2" xfId="40685"/>
    <cellStyle name="Normal 161 3 3 3" xfId="40686"/>
    <cellStyle name="Normal 161 3 4" xfId="40687"/>
    <cellStyle name="Normal 161 4" xfId="40688"/>
    <cellStyle name="Normal 161 4 2" xfId="40689"/>
    <cellStyle name="Normal 161 4 2 2" xfId="40690"/>
    <cellStyle name="Normal 161 4 3" xfId="40691"/>
    <cellStyle name="Normal 162" xfId="40692"/>
    <cellStyle name="Normal 162 2" xfId="40693"/>
    <cellStyle name="Normal 162 2 2" xfId="40694"/>
    <cellStyle name="Normal 162 2 2 2" xfId="40695"/>
    <cellStyle name="Normal 162 2 3" xfId="40696"/>
    <cellStyle name="Normal 162 3" xfId="40697"/>
    <cellStyle name="Normal 162 3 2" xfId="40698"/>
    <cellStyle name="Normal 163" xfId="40699"/>
    <cellStyle name="Normal 163 2" xfId="40700"/>
    <cellStyle name="Normal 163 2 2" xfId="40701"/>
    <cellStyle name="Normal 164" xfId="40702"/>
    <cellStyle name="Normal 164 2" xfId="40703"/>
    <cellStyle name="Normal 164 2 2" xfId="40704"/>
    <cellStyle name="Normal 165" xfId="40705"/>
    <cellStyle name="Normal 165 2" xfId="40706"/>
    <cellStyle name="Normal 165 2 2" xfId="40707"/>
    <cellStyle name="Normal 165 2 2 2" xfId="40708"/>
    <cellStyle name="Normal 165 2 3" xfId="40709"/>
    <cellStyle name="Normal 165 3" xfId="40710"/>
    <cellStyle name="Normal 165 3 2" xfId="40711"/>
    <cellStyle name="Normal 166" xfId="40712"/>
    <cellStyle name="Normal 166 2" xfId="40713"/>
    <cellStyle name="Normal 166 2 2" xfId="40714"/>
    <cellStyle name="Normal 167" xfId="40715"/>
    <cellStyle name="Normal 167 2" xfId="40716"/>
    <cellStyle name="Normal 167 2 2" xfId="40717"/>
    <cellStyle name="Normal 167 3" xfId="40718"/>
    <cellStyle name="Normal 167 4" xfId="57814"/>
    <cellStyle name="Normal 168" xfId="40719"/>
    <cellStyle name="Normal 168 2" xfId="40720"/>
    <cellStyle name="Normal 168 2 2" xfId="40721"/>
    <cellStyle name="Normal 168 3" xfId="40722"/>
    <cellStyle name="Normal 169" xfId="40723"/>
    <cellStyle name="Normal 169 2" xfId="40724"/>
    <cellStyle name="Normal 169 2 2" xfId="57816"/>
    <cellStyle name="Normal 169 3" xfId="57815"/>
    <cellStyle name="Normal 17" xfId="40725"/>
    <cellStyle name="Normal 17 10" xfId="40726"/>
    <cellStyle name="Normal 17 10 2" xfId="40727"/>
    <cellStyle name="Normal 17 11" xfId="40728"/>
    <cellStyle name="Normal 17 11 2" xfId="40729"/>
    <cellStyle name="Normal 17 12" xfId="40730"/>
    <cellStyle name="Normal 17 12 2" xfId="40731"/>
    <cellStyle name="Normal 17 13" xfId="40732"/>
    <cellStyle name="Normal 17 14" xfId="40733"/>
    <cellStyle name="Normal 17 15" xfId="40734"/>
    <cellStyle name="Normal 17 16" xfId="40735"/>
    <cellStyle name="Normal 17 17" xfId="40736"/>
    <cellStyle name="Normal 17 18" xfId="40737"/>
    <cellStyle name="Normal 17 19" xfId="40738"/>
    <cellStyle name="Normal 17 2" xfId="40739"/>
    <cellStyle name="Normal 17 2 10" xfId="40740"/>
    <cellStyle name="Normal 17 2 11" xfId="40741"/>
    <cellStyle name="Normal 17 2 12" xfId="40742"/>
    <cellStyle name="Normal 17 2 13" xfId="40743"/>
    <cellStyle name="Normal 17 2 14" xfId="40744"/>
    <cellStyle name="Normal 17 2 15" xfId="40745"/>
    <cellStyle name="Normal 17 2 16" xfId="40746"/>
    <cellStyle name="Normal 17 2 17" xfId="40747"/>
    <cellStyle name="Normal 17 2 18" xfId="40748"/>
    <cellStyle name="Normal 17 2 19" xfId="40749"/>
    <cellStyle name="Normal 17 2 2" xfId="40750"/>
    <cellStyle name="Normal 17 2 2 2" xfId="40751"/>
    <cellStyle name="Normal 17 2 2 2 2" xfId="40752"/>
    <cellStyle name="Normal 17 2 2 2 2 2" xfId="40753"/>
    <cellStyle name="Normal 17 2 2 2 2 2 2" xfId="40754"/>
    <cellStyle name="Normal 17 2 2 2 2 3" xfId="40755"/>
    <cellStyle name="Normal 17 2 2 2 3" xfId="40756"/>
    <cellStyle name="Normal 17 2 2 2 3 2" xfId="40757"/>
    <cellStyle name="Normal 17 2 2 2 4" xfId="40758"/>
    <cellStyle name="Normal 17 2 2 2 4 2" xfId="40759"/>
    <cellStyle name="Normal 17 2 2 2 5" xfId="40760"/>
    <cellStyle name="Normal 17 2 2 2 5 2" xfId="40761"/>
    <cellStyle name="Normal 17 2 2 2 6" xfId="40762"/>
    <cellStyle name="Normal 17 2 2 3" xfId="40763"/>
    <cellStyle name="Normal 17 2 2 3 2" xfId="40764"/>
    <cellStyle name="Normal 17 2 2 3 2 2" xfId="40765"/>
    <cellStyle name="Normal 17 2 2 3 3" xfId="40766"/>
    <cellStyle name="Normal 17 2 2 4" xfId="40767"/>
    <cellStyle name="Normal 17 2 2 4 2" xfId="40768"/>
    <cellStyle name="Normal 17 2 2 5" xfId="40769"/>
    <cellStyle name="Normal 17 2 2 5 2" xfId="40770"/>
    <cellStyle name="Normal 17 2 2 6" xfId="40771"/>
    <cellStyle name="Normal 17 2 2 6 2" xfId="40772"/>
    <cellStyle name="Normal 17 2 2 7" xfId="40773"/>
    <cellStyle name="Normal 17 2 20" xfId="40774"/>
    <cellStyle name="Normal 17 2 21" xfId="40775"/>
    <cellStyle name="Normal 17 2 22" xfId="40776"/>
    <cellStyle name="Normal 17 2 23" xfId="40777"/>
    <cellStyle name="Normal 17 2 24" xfId="40778"/>
    <cellStyle name="Normal 17 2 25" xfId="40779"/>
    <cellStyle name="Normal 17 2 26" xfId="40780"/>
    <cellStyle name="Normal 17 2 27" xfId="40781"/>
    <cellStyle name="Normal 17 2 28" xfId="40782"/>
    <cellStyle name="Normal 17 2 29" xfId="40783"/>
    <cellStyle name="Normal 17 2 3" xfId="40784"/>
    <cellStyle name="Normal 17 2 3 2" xfId="40785"/>
    <cellStyle name="Normal 17 2 3 2 2" xfId="40786"/>
    <cellStyle name="Normal 17 2 3 2 2 2" xfId="40787"/>
    <cellStyle name="Normal 17 2 3 2 3" xfId="40788"/>
    <cellStyle name="Normal 17 2 3 3" xfId="40789"/>
    <cellStyle name="Normal 17 2 3 3 2" xfId="40790"/>
    <cellStyle name="Normal 17 2 3 4" xfId="40791"/>
    <cellStyle name="Normal 17 2 3 4 2" xfId="40792"/>
    <cellStyle name="Normal 17 2 3 5" xfId="40793"/>
    <cellStyle name="Normal 17 2 3 5 2" xfId="40794"/>
    <cellStyle name="Normal 17 2 3 6" xfId="40795"/>
    <cellStyle name="Normal 17 2 30" xfId="40796"/>
    <cellStyle name="Normal 17 2 31" xfId="40797"/>
    <cellStyle name="Normal 17 2 32" xfId="40798"/>
    <cellStyle name="Normal 17 2 33" xfId="40799"/>
    <cellStyle name="Normal 17 2 34" xfId="40800"/>
    <cellStyle name="Normal 17 2 35" xfId="40801"/>
    <cellStyle name="Normal 17 2 36" xfId="40802"/>
    <cellStyle name="Normal 17 2 37" xfId="40803"/>
    <cellStyle name="Normal 17 2 38" xfId="40804"/>
    <cellStyle name="Normal 17 2 39" xfId="40805"/>
    <cellStyle name="Normal 17 2 4" xfId="40806"/>
    <cellStyle name="Normal 17 2 4 2" xfId="40807"/>
    <cellStyle name="Normal 17 2 4 2 2" xfId="40808"/>
    <cellStyle name="Normal 17 2 4 3" xfId="40809"/>
    <cellStyle name="Normal 17 2 40" xfId="40810"/>
    <cellStyle name="Normal 17 2 41" xfId="40811"/>
    <cellStyle name="Normal 17 2 42" xfId="40812"/>
    <cellStyle name="Normal 17 2 43" xfId="40813"/>
    <cellStyle name="Normal 17 2 44" xfId="40814"/>
    <cellStyle name="Normal 17 2 45" xfId="40815"/>
    <cellStyle name="Normal 17 2 46" xfId="40816"/>
    <cellStyle name="Normal 17 2 47" xfId="40817"/>
    <cellStyle name="Normal 17 2 48" xfId="40818"/>
    <cellStyle name="Normal 17 2 49" xfId="40819"/>
    <cellStyle name="Normal 17 2 5" xfId="40820"/>
    <cellStyle name="Normal 17 2 5 2" xfId="40821"/>
    <cellStyle name="Normal 17 2 50" xfId="40822"/>
    <cellStyle name="Normal 17 2 51" xfId="40823"/>
    <cellStyle name="Normal 17 2 52" xfId="40824"/>
    <cellStyle name="Normal 17 2 53" xfId="40825"/>
    <cellStyle name="Normal 17 2 54" xfId="40826"/>
    <cellStyle name="Normal 17 2 55" xfId="40827"/>
    <cellStyle name="Normal 17 2 56" xfId="57818"/>
    <cellStyle name="Normal 17 2 6" xfId="40828"/>
    <cellStyle name="Normal 17 2 6 2" xfId="40829"/>
    <cellStyle name="Normal 17 2 7" xfId="40830"/>
    <cellStyle name="Normal 17 2 7 2" xfId="40831"/>
    <cellStyle name="Normal 17 2 8" xfId="40832"/>
    <cellStyle name="Normal 17 2 9" xfId="40833"/>
    <cellStyle name="Normal 17 20" xfId="40834"/>
    <cellStyle name="Normal 17 21" xfId="40835"/>
    <cellStyle name="Normal 17 22" xfId="40836"/>
    <cellStyle name="Normal 17 23" xfId="40837"/>
    <cellStyle name="Normal 17 24" xfId="40838"/>
    <cellStyle name="Normal 17 25" xfId="40839"/>
    <cellStyle name="Normal 17 26" xfId="40840"/>
    <cellStyle name="Normal 17 27" xfId="40841"/>
    <cellStyle name="Normal 17 28" xfId="40842"/>
    <cellStyle name="Normal 17 29" xfId="40843"/>
    <cellStyle name="Normal 17 3" xfId="40844"/>
    <cellStyle name="Normal 17 3 10" xfId="40845"/>
    <cellStyle name="Normal 17 3 11" xfId="40846"/>
    <cellStyle name="Normal 17 3 12" xfId="40847"/>
    <cellStyle name="Normal 17 3 13" xfId="40848"/>
    <cellStyle name="Normal 17 3 14" xfId="40849"/>
    <cellStyle name="Normal 17 3 15" xfId="40850"/>
    <cellStyle name="Normal 17 3 16" xfId="40851"/>
    <cellStyle name="Normal 17 3 17" xfId="40852"/>
    <cellStyle name="Normal 17 3 18" xfId="40853"/>
    <cellStyle name="Normal 17 3 19" xfId="40854"/>
    <cellStyle name="Normal 17 3 2" xfId="40855"/>
    <cellStyle name="Normal 17 3 2 2" xfId="40856"/>
    <cellStyle name="Normal 17 3 2 2 2" xfId="40857"/>
    <cellStyle name="Normal 17 3 2 2 2 2" xfId="40858"/>
    <cellStyle name="Normal 17 3 2 2 2 2 2" xfId="40859"/>
    <cellStyle name="Normal 17 3 2 2 2 3" xfId="40860"/>
    <cellStyle name="Normal 17 3 2 2 3" xfId="40861"/>
    <cellStyle name="Normal 17 3 2 2 3 2" xfId="40862"/>
    <cellStyle name="Normal 17 3 2 2 4" xfId="40863"/>
    <cellStyle name="Normal 17 3 2 2 4 2" xfId="40864"/>
    <cellStyle name="Normal 17 3 2 2 5" xfId="40865"/>
    <cellStyle name="Normal 17 3 2 2 5 2" xfId="40866"/>
    <cellStyle name="Normal 17 3 2 2 6" xfId="40867"/>
    <cellStyle name="Normal 17 3 2 3" xfId="40868"/>
    <cellStyle name="Normal 17 3 2 3 2" xfId="40869"/>
    <cellStyle name="Normal 17 3 2 3 2 2" xfId="40870"/>
    <cellStyle name="Normal 17 3 2 3 3" xfId="40871"/>
    <cellStyle name="Normal 17 3 2 4" xfId="40872"/>
    <cellStyle name="Normal 17 3 2 4 2" xfId="40873"/>
    <cellStyle name="Normal 17 3 2 5" xfId="40874"/>
    <cellStyle name="Normal 17 3 2 5 2" xfId="40875"/>
    <cellStyle name="Normal 17 3 2 6" xfId="40876"/>
    <cellStyle name="Normal 17 3 2 6 2" xfId="40877"/>
    <cellStyle name="Normal 17 3 2 7" xfId="40878"/>
    <cellStyle name="Normal 17 3 20" xfId="40879"/>
    <cellStyle name="Normal 17 3 21" xfId="40880"/>
    <cellStyle name="Normal 17 3 22" xfId="40881"/>
    <cellStyle name="Normal 17 3 23" xfId="40882"/>
    <cellStyle name="Normal 17 3 24" xfId="40883"/>
    <cellStyle name="Normal 17 3 25" xfId="40884"/>
    <cellStyle name="Normal 17 3 26" xfId="40885"/>
    <cellStyle name="Normal 17 3 27" xfId="40886"/>
    <cellStyle name="Normal 17 3 28" xfId="40887"/>
    <cellStyle name="Normal 17 3 29" xfId="40888"/>
    <cellStyle name="Normal 17 3 3" xfId="40889"/>
    <cellStyle name="Normal 17 3 3 2" xfId="40890"/>
    <cellStyle name="Normal 17 3 3 2 2" xfId="40891"/>
    <cellStyle name="Normal 17 3 3 2 2 2" xfId="40892"/>
    <cellStyle name="Normal 17 3 3 2 3" xfId="40893"/>
    <cellStyle name="Normal 17 3 3 3" xfId="40894"/>
    <cellStyle name="Normal 17 3 3 3 2" xfId="40895"/>
    <cellStyle name="Normal 17 3 3 4" xfId="40896"/>
    <cellStyle name="Normal 17 3 3 4 2" xfId="40897"/>
    <cellStyle name="Normal 17 3 3 5" xfId="40898"/>
    <cellStyle name="Normal 17 3 3 5 2" xfId="40899"/>
    <cellStyle name="Normal 17 3 3 6" xfId="40900"/>
    <cellStyle name="Normal 17 3 30" xfId="40901"/>
    <cellStyle name="Normal 17 3 31" xfId="40902"/>
    <cellStyle name="Normal 17 3 32" xfId="40903"/>
    <cellStyle name="Normal 17 3 33" xfId="40904"/>
    <cellStyle name="Normal 17 3 34" xfId="40905"/>
    <cellStyle name="Normal 17 3 35" xfId="40906"/>
    <cellStyle name="Normal 17 3 36" xfId="40907"/>
    <cellStyle name="Normal 17 3 37" xfId="40908"/>
    <cellStyle name="Normal 17 3 38" xfId="40909"/>
    <cellStyle name="Normal 17 3 39" xfId="40910"/>
    <cellStyle name="Normal 17 3 4" xfId="40911"/>
    <cellStyle name="Normal 17 3 4 2" xfId="40912"/>
    <cellStyle name="Normal 17 3 4 2 2" xfId="40913"/>
    <cellStyle name="Normal 17 3 4 3" xfId="40914"/>
    <cellStyle name="Normal 17 3 40" xfId="40915"/>
    <cellStyle name="Normal 17 3 41" xfId="40916"/>
    <cellStyle name="Normal 17 3 42" xfId="40917"/>
    <cellStyle name="Normal 17 3 43" xfId="40918"/>
    <cellStyle name="Normal 17 3 44" xfId="40919"/>
    <cellStyle name="Normal 17 3 45" xfId="40920"/>
    <cellStyle name="Normal 17 3 46" xfId="40921"/>
    <cellStyle name="Normal 17 3 47" xfId="40922"/>
    <cellStyle name="Normal 17 3 48" xfId="40923"/>
    <cellStyle name="Normal 17 3 49" xfId="40924"/>
    <cellStyle name="Normal 17 3 5" xfId="40925"/>
    <cellStyle name="Normal 17 3 5 2" xfId="40926"/>
    <cellStyle name="Normal 17 3 50" xfId="40927"/>
    <cellStyle name="Normal 17 3 51" xfId="40928"/>
    <cellStyle name="Normal 17 3 52" xfId="40929"/>
    <cellStyle name="Normal 17 3 53" xfId="40930"/>
    <cellStyle name="Normal 17 3 54" xfId="40931"/>
    <cellStyle name="Normal 17 3 55" xfId="40932"/>
    <cellStyle name="Normal 17 3 56" xfId="40933"/>
    <cellStyle name="Normal 17 3 6" xfId="40934"/>
    <cellStyle name="Normal 17 3 6 2" xfId="40935"/>
    <cellStyle name="Normal 17 3 7" xfId="40936"/>
    <cellStyle name="Normal 17 3 7 2" xfId="40937"/>
    <cellStyle name="Normal 17 3 8" xfId="40938"/>
    <cellStyle name="Normal 17 3 9" xfId="40939"/>
    <cellStyle name="Normal 17 30" xfId="40940"/>
    <cellStyle name="Normal 17 31" xfId="40941"/>
    <cellStyle name="Normal 17 32" xfId="40942"/>
    <cellStyle name="Normal 17 33" xfId="40943"/>
    <cellStyle name="Normal 17 34" xfId="40944"/>
    <cellStyle name="Normal 17 35" xfId="40945"/>
    <cellStyle name="Normal 17 36" xfId="40946"/>
    <cellStyle name="Normal 17 37" xfId="40947"/>
    <cellStyle name="Normal 17 38" xfId="40948"/>
    <cellStyle name="Normal 17 39" xfId="40949"/>
    <cellStyle name="Normal 17 4" xfId="40950"/>
    <cellStyle name="Normal 17 4 2" xfId="40951"/>
    <cellStyle name="Normal 17 4 2 2" xfId="40952"/>
    <cellStyle name="Normal 17 4 2 2 2" xfId="40953"/>
    <cellStyle name="Normal 17 4 2 2 2 2" xfId="40954"/>
    <cellStyle name="Normal 17 4 2 2 3" xfId="40955"/>
    <cellStyle name="Normal 17 4 2 3" xfId="40956"/>
    <cellStyle name="Normal 17 4 2 3 2" xfId="40957"/>
    <cellStyle name="Normal 17 4 2 4" xfId="40958"/>
    <cellStyle name="Normal 17 4 2 4 2" xfId="40959"/>
    <cellStyle name="Normal 17 4 2 5" xfId="40960"/>
    <cellStyle name="Normal 17 4 2 5 2" xfId="40961"/>
    <cellStyle name="Normal 17 4 2 6" xfId="40962"/>
    <cellStyle name="Normal 17 4 3" xfId="40963"/>
    <cellStyle name="Normal 17 4 3 2" xfId="40964"/>
    <cellStyle name="Normal 17 4 3 2 2" xfId="40965"/>
    <cellStyle name="Normal 17 4 3 3" xfId="40966"/>
    <cellStyle name="Normal 17 4 4" xfId="40967"/>
    <cellStyle name="Normal 17 4 4 2" xfId="40968"/>
    <cellStyle name="Normal 17 4 5" xfId="40969"/>
    <cellStyle name="Normal 17 4 5 2" xfId="40970"/>
    <cellStyle name="Normal 17 4 6" xfId="40971"/>
    <cellStyle name="Normal 17 4 6 2" xfId="40972"/>
    <cellStyle name="Normal 17 4 7" xfId="40973"/>
    <cellStyle name="Normal 17 40" xfId="40974"/>
    <cellStyle name="Normal 17 41" xfId="40975"/>
    <cellStyle name="Normal 17 42" xfId="40976"/>
    <cellStyle name="Normal 17 43" xfId="40977"/>
    <cellStyle name="Normal 17 44" xfId="40978"/>
    <cellStyle name="Normal 17 45" xfId="40979"/>
    <cellStyle name="Normal 17 46" xfId="40980"/>
    <cellStyle name="Normal 17 47" xfId="40981"/>
    <cellStyle name="Normal 17 48" xfId="40982"/>
    <cellStyle name="Normal 17 49" xfId="40983"/>
    <cellStyle name="Normal 17 5" xfId="40984"/>
    <cellStyle name="Normal 17 5 2" xfId="40985"/>
    <cellStyle name="Normal 17 5 2 2" xfId="40986"/>
    <cellStyle name="Normal 17 5 2 2 2" xfId="40987"/>
    <cellStyle name="Normal 17 5 2 2 2 2" xfId="40988"/>
    <cellStyle name="Normal 17 5 2 2 3" xfId="40989"/>
    <cellStyle name="Normal 17 5 2 3" xfId="40990"/>
    <cellStyle name="Normal 17 5 2 3 2" xfId="40991"/>
    <cellStyle name="Normal 17 5 2 4" xfId="40992"/>
    <cellStyle name="Normal 17 5 2 4 2" xfId="40993"/>
    <cellStyle name="Normal 17 5 2 5" xfId="40994"/>
    <cellStyle name="Normal 17 5 2 5 2" xfId="40995"/>
    <cellStyle name="Normal 17 5 2 6" xfId="40996"/>
    <cellStyle name="Normal 17 5 3" xfId="40997"/>
    <cellStyle name="Normal 17 5 3 2" xfId="40998"/>
    <cellStyle name="Normal 17 5 3 2 2" xfId="40999"/>
    <cellStyle name="Normal 17 5 3 3" xfId="41000"/>
    <cellStyle name="Normal 17 5 4" xfId="41001"/>
    <cellStyle name="Normal 17 5 4 2" xfId="41002"/>
    <cellStyle name="Normal 17 5 5" xfId="41003"/>
    <cellStyle name="Normal 17 5 5 2" xfId="41004"/>
    <cellStyle name="Normal 17 5 6" xfId="41005"/>
    <cellStyle name="Normal 17 5 6 2" xfId="41006"/>
    <cellStyle name="Normal 17 5 7" xfId="41007"/>
    <cellStyle name="Normal 17 50" xfId="41008"/>
    <cellStyle name="Normal 17 51" xfId="41009"/>
    <cellStyle name="Normal 17 52" xfId="41010"/>
    <cellStyle name="Normal 17 53" xfId="41011"/>
    <cellStyle name="Normal 17 54" xfId="41012"/>
    <cellStyle name="Normal 17 55" xfId="41013"/>
    <cellStyle name="Normal 17 56" xfId="41014"/>
    <cellStyle name="Normal 17 57" xfId="41015"/>
    <cellStyle name="Normal 17 58" xfId="41016"/>
    <cellStyle name="Normal 17 59" xfId="41017"/>
    <cellStyle name="Normal 17 6" xfId="41018"/>
    <cellStyle name="Normal 17 6 2" xfId="41019"/>
    <cellStyle name="Normal 17 6 2 2" xfId="41020"/>
    <cellStyle name="Normal 17 6 2 2 2" xfId="41021"/>
    <cellStyle name="Normal 17 6 2 3" xfId="41022"/>
    <cellStyle name="Normal 17 6 3" xfId="41023"/>
    <cellStyle name="Normal 17 6 3 2" xfId="41024"/>
    <cellStyle name="Normal 17 6 4" xfId="41025"/>
    <cellStyle name="Normal 17 6 4 2" xfId="41026"/>
    <cellStyle name="Normal 17 6 5" xfId="41027"/>
    <cellStyle name="Normal 17 6 5 2" xfId="41028"/>
    <cellStyle name="Normal 17 6 6" xfId="41029"/>
    <cellStyle name="Normal 17 60" xfId="41030"/>
    <cellStyle name="Normal 17 61" xfId="41031"/>
    <cellStyle name="Normal 17 62" xfId="41032"/>
    <cellStyle name="Normal 17 63" xfId="41033"/>
    <cellStyle name="Normal 17 64" xfId="41034"/>
    <cellStyle name="Normal 17 65" xfId="41035"/>
    <cellStyle name="Normal 17 66" xfId="57817"/>
    <cellStyle name="Normal 17 7" xfId="41036"/>
    <cellStyle name="Normal 17 7 2" xfId="41037"/>
    <cellStyle name="Normal 17 7 2 2" xfId="41038"/>
    <cellStyle name="Normal 17 7 2 2 2" xfId="41039"/>
    <cellStyle name="Normal 17 7 2 3" xfId="41040"/>
    <cellStyle name="Normal 17 7 3" xfId="41041"/>
    <cellStyle name="Normal 17 7 3 2" xfId="41042"/>
    <cellStyle name="Normal 17 7 4" xfId="41043"/>
    <cellStyle name="Normal 17 7 4 2" xfId="41044"/>
    <cellStyle name="Normal 17 7 5" xfId="41045"/>
    <cellStyle name="Normal 17 7 5 2" xfId="41046"/>
    <cellStyle name="Normal 17 7 6" xfId="41047"/>
    <cellStyle name="Normal 17 8" xfId="41048"/>
    <cellStyle name="Normal 17 8 2" xfId="41049"/>
    <cellStyle name="Normal 17 8 2 2" xfId="41050"/>
    <cellStyle name="Normal 17 8 2 2 2" xfId="41051"/>
    <cellStyle name="Normal 17 8 2 3" xfId="41052"/>
    <cellStyle name="Normal 17 8 3" xfId="41053"/>
    <cellStyle name="Normal 17 8 3 2" xfId="41054"/>
    <cellStyle name="Normal 17 8 4" xfId="41055"/>
    <cellStyle name="Normal 17 8 4 2" xfId="41056"/>
    <cellStyle name="Normal 17 8 5" xfId="41057"/>
    <cellStyle name="Normal 17 8 5 2" xfId="41058"/>
    <cellStyle name="Normal 17 8 6" xfId="41059"/>
    <cellStyle name="Normal 17 9" xfId="41060"/>
    <cellStyle name="Normal 17 9 2" xfId="41061"/>
    <cellStyle name="Normal 17 9 2 2" xfId="41062"/>
    <cellStyle name="Normal 17 9 3" xfId="41063"/>
    <cellStyle name="Normal 17_ADVANCE 1189000004 REIMBURSHMENT NOP 11" xfId="41064"/>
    <cellStyle name="Normal 170" xfId="41065"/>
    <cellStyle name="Normal 170 2" xfId="41066"/>
    <cellStyle name="Normal 170 3" xfId="41067"/>
    <cellStyle name="Normal 171" xfId="41068"/>
    <cellStyle name="Normal 171 2" xfId="41069"/>
    <cellStyle name="Normal 171 2 2" xfId="41070"/>
    <cellStyle name="Normal 171 3" xfId="41071"/>
    <cellStyle name="Normal 172" xfId="41072"/>
    <cellStyle name="Normal 172 2" xfId="41073"/>
    <cellStyle name="Normal 172 3" xfId="41074"/>
    <cellStyle name="Normal 173" xfId="41075"/>
    <cellStyle name="Normal 173 2" xfId="41076"/>
    <cellStyle name="Normal 174" xfId="41077"/>
    <cellStyle name="Normal 175" xfId="41078"/>
    <cellStyle name="Normal 176" xfId="41079"/>
    <cellStyle name="Normal 177" xfId="41080"/>
    <cellStyle name="Normal 177 2" xfId="41081"/>
    <cellStyle name="Normal 177 3" xfId="41082"/>
    <cellStyle name="Normal 177 4" xfId="57819"/>
    <cellStyle name="Normal 178" xfId="41083"/>
    <cellStyle name="Normal 178 2" xfId="41084"/>
    <cellStyle name="Normal 178 2 2" xfId="41085"/>
    <cellStyle name="Normal 178 3" xfId="41086"/>
    <cellStyle name="Normal 178 3 2" xfId="41087"/>
    <cellStyle name="Normal 178 3 2 2" xfId="41088"/>
    <cellStyle name="Normal 178 3 2 2 2" xfId="41089"/>
    <cellStyle name="Normal 178 3 2 2 2 2" xfId="41090"/>
    <cellStyle name="Normal 178 3 2 2 3" xfId="41091"/>
    <cellStyle name="Normal 178 3 2 3" xfId="41092"/>
    <cellStyle name="Normal 178 3 2 3 2" xfId="41093"/>
    <cellStyle name="Normal 178 3 2 4" xfId="41094"/>
    <cellStyle name="Normal 178 3 3" xfId="41095"/>
    <cellStyle name="Normal 178 3 3 2" xfId="41096"/>
    <cellStyle name="Normal 178 3 3 2 2" xfId="41097"/>
    <cellStyle name="Normal 178 3 3 3" xfId="41098"/>
    <cellStyle name="Normal 178 3 4" xfId="41099"/>
    <cellStyle name="Normal 178 3 4 2" xfId="41100"/>
    <cellStyle name="Normal 178 3 5" xfId="41101"/>
    <cellStyle name="Normal 178 4" xfId="41102"/>
    <cellStyle name="Normal 178 4 2" xfId="41103"/>
    <cellStyle name="Normal 178 4 2 2" xfId="41104"/>
    <cellStyle name="Normal 178 4 2 2 2" xfId="41105"/>
    <cellStyle name="Normal 178 4 2 3" xfId="41106"/>
    <cellStyle name="Normal 178 4 3" xfId="41107"/>
    <cellStyle name="Normal 178 4 3 2" xfId="41108"/>
    <cellStyle name="Normal 178 4 4" xfId="41109"/>
    <cellStyle name="Normal 178 5" xfId="41110"/>
    <cellStyle name="Normal 178 5 2" xfId="41111"/>
    <cellStyle name="Normal 178 5 2 2" xfId="41112"/>
    <cellStyle name="Normal 178 5 3" xfId="41113"/>
    <cellStyle name="Normal 178 6" xfId="41114"/>
    <cellStyle name="Normal 178 6 2" xfId="41115"/>
    <cellStyle name="Normal 178 7" xfId="41116"/>
    <cellStyle name="Normal 179" xfId="41117"/>
    <cellStyle name="Normal 179 2" xfId="41118"/>
    <cellStyle name="Normal 179 2 2" xfId="41119"/>
    <cellStyle name="Normal 179 3" xfId="41120"/>
    <cellStyle name="Normal 179 3 2" xfId="41121"/>
    <cellStyle name="Normal 179 3 2 2" xfId="41122"/>
    <cellStyle name="Normal 179 3 2 2 2" xfId="41123"/>
    <cellStyle name="Normal 179 3 2 2 2 2" xfId="41124"/>
    <cellStyle name="Normal 179 3 2 2 3" xfId="41125"/>
    <cellStyle name="Normal 179 3 2 3" xfId="41126"/>
    <cellStyle name="Normal 179 3 2 3 2" xfId="41127"/>
    <cellStyle name="Normal 179 3 2 4" xfId="41128"/>
    <cellStyle name="Normal 179 3 3" xfId="41129"/>
    <cellStyle name="Normal 179 3 3 2" xfId="41130"/>
    <cellStyle name="Normal 179 3 3 2 2" xfId="41131"/>
    <cellStyle name="Normal 179 3 3 3" xfId="41132"/>
    <cellStyle name="Normal 179 3 4" xfId="41133"/>
    <cellStyle name="Normal 179 3 4 2" xfId="41134"/>
    <cellStyle name="Normal 179 3 5" xfId="41135"/>
    <cellStyle name="Normal 179 4" xfId="41136"/>
    <cellStyle name="Normal 179 4 2" xfId="41137"/>
    <cellStyle name="Normal 179 4 2 2" xfId="41138"/>
    <cellStyle name="Normal 179 4 2 2 2" xfId="41139"/>
    <cellStyle name="Normal 179 4 2 3" xfId="41140"/>
    <cellStyle name="Normal 179 4 3" xfId="41141"/>
    <cellStyle name="Normal 179 4 3 2" xfId="41142"/>
    <cellStyle name="Normal 179 4 4" xfId="41143"/>
    <cellStyle name="Normal 179 5" xfId="41144"/>
    <cellStyle name="Normal 179 5 2" xfId="41145"/>
    <cellStyle name="Normal 179 5 2 2" xfId="41146"/>
    <cellStyle name="Normal 179 5 3" xfId="41147"/>
    <cellStyle name="Normal 179 6" xfId="41148"/>
    <cellStyle name="Normal 179 6 2" xfId="41149"/>
    <cellStyle name="Normal 179 7" xfId="41150"/>
    <cellStyle name="Normal 18" xfId="41151"/>
    <cellStyle name="Normal 18 10" xfId="41152"/>
    <cellStyle name="Normal 18 10 2" xfId="41153"/>
    <cellStyle name="Normal 18 11" xfId="41154"/>
    <cellStyle name="Normal 18 11 2" xfId="41155"/>
    <cellStyle name="Normal 18 12" xfId="41156"/>
    <cellStyle name="Normal 18 12 2" xfId="41157"/>
    <cellStyle name="Normal 18 13" xfId="41158"/>
    <cellStyle name="Normal 18 2" xfId="41159"/>
    <cellStyle name="Normal 18 2 2" xfId="41160"/>
    <cellStyle name="Normal 18 2 2 2" xfId="41161"/>
    <cellStyle name="Normal 18 2 2 2 2" xfId="41162"/>
    <cellStyle name="Normal 18 2 2 2 2 2" xfId="41163"/>
    <cellStyle name="Normal 18 2 2 2 2 2 2" xfId="41164"/>
    <cellStyle name="Normal 18 2 2 2 2 3" xfId="41165"/>
    <cellStyle name="Normal 18 2 2 2 3" xfId="41166"/>
    <cellStyle name="Normal 18 2 2 2 3 2" xfId="41167"/>
    <cellStyle name="Normal 18 2 2 2 4" xfId="41168"/>
    <cellStyle name="Normal 18 2 2 2 4 2" xfId="41169"/>
    <cellStyle name="Normal 18 2 2 2 5" xfId="41170"/>
    <cellStyle name="Normal 18 2 2 2 5 2" xfId="41171"/>
    <cellStyle name="Normal 18 2 2 2 6" xfId="41172"/>
    <cellStyle name="Normal 18 2 2 3" xfId="41173"/>
    <cellStyle name="Normal 18 2 2 3 2" xfId="41174"/>
    <cellStyle name="Normal 18 2 2 3 2 2" xfId="41175"/>
    <cellStyle name="Normal 18 2 2 3 3" xfId="41176"/>
    <cellStyle name="Normal 18 2 2 4" xfId="41177"/>
    <cellStyle name="Normal 18 2 2 4 2" xfId="41178"/>
    <cellStyle name="Normal 18 2 2 5" xfId="41179"/>
    <cellStyle name="Normal 18 2 2 5 2" xfId="41180"/>
    <cellStyle name="Normal 18 2 2 6" xfId="41181"/>
    <cellStyle name="Normal 18 2 2 6 2" xfId="41182"/>
    <cellStyle name="Normal 18 2 2 7" xfId="41183"/>
    <cellStyle name="Normal 18 2 3" xfId="41184"/>
    <cellStyle name="Normal 18 2 3 2" xfId="41185"/>
    <cellStyle name="Normal 18 2 3 2 2" xfId="41186"/>
    <cellStyle name="Normal 18 2 3 2 2 2" xfId="41187"/>
    <cellStyle name="Normal 18 2 3 2 3" xfId="41188"/>
    <cellStyle name="Normal 18 2 3 3" xfId="41189"/>
    <cellStyle name="Normal 18 2 3 3 2" xfId="41190"/>
    <cellStyle name="Normal 18 2 3 4" xfId="41191"/>
    <cellStyle name="Normal 18 2 3 4 2" xfId="41192"/>
    <cellStyle name="Normal 18 2 3 5" xfId="41193"/>
    <cellStyle name="Normal 18 2 3 5 2" xfId="41194"/>
    <cellStyle name="Normal 18 2 3 6" xfId="41195"/>
    <cellStyle name="Normal 18 2 4" xfId="41196"/>
    <cellStyle name="Normal 18 2 4 2" xfId="41197"/>
    <cellStyle name="Normal 18 2 4 2 2" xfId="41198"/>
    <cellStyle name="Normal 18 2 4 3" xfId="41199"/>
    <cellStyle name="Normal 18 2 5" xfId="41200"/>
    <cellStyle name="Normal 18 2 5 2" xfId="41201"/>
    <cellStyle name="Normal 18 2 6" xfId="41202"/>
    <cellStyle name="Normal 18 2 6 2" xfId="41203"/>
    <cellStyle name="Normal 18 2 7" xfId="41204"/>
    <cellStyle name="Normal 18 2 7 2" xfId="41205"/>
    <cellStyle name="Normal 18 2 8" xfId="41206"/>
    <cellStyle name="Normal 18 3" xfId="41207"/>
    <cellStyle name="Normal 18 3 2" xfId="41208"/>
    <cellStyle name="Normal 18 3 2 2" xfId="41209"/>
    <cellStyle name="Normal 18 3 2 2 2" xfId="41210"/>
    <cellStyle name="Normal 18 3 2 2 2 2" xfId="41211"/>
    <cellStyle name="Normal 18 3 2 2 2 2 2" xfId="41212"/>
    <cellStyle name="Normal 18 3 2 2 2 3" xfId="41213"/>
    <cellStyle name="Normal 18 3 2 2 3" xfId="41214"/>
    <cellStyle name="Normal 18 3 2 2 3 2" xfId="41215"/>
    <cellStyle name="Normal 18 3 2 2 4" xfId="41216"/>
    <cellStyle name="Normal 18 3 2 2 4 2" xfId="41217"/>
    <cellStyle name="Normal 18 3 2 2 5" xfId="41218"/>
    <cellStyle name="Normal 18 3 2 2 5 2" xfId="41219"/>
    <cellStyle name="Normal 18 3 2 2 6" xfId="41220"/>
    <cellStyle name="Normal 18 3 2 3" xfId="41221"/>
    <cellStyle name="Normal 18 3 2 3 2" xfId="41222"/>
    <cellStyle name="Normal 18 3 2 3 2 2" xfId="41223"/>
    <cellStyle name="Normal 18 3 2 3 3" xfId="41224"/>
    <cellStyle name="Normal 18 3 2 4" xfId="41225"/>
    <cellStyle name="Normal 18 3 2 4 2" xfId="41226"/>
    <cellStyle name="Normal 18 3 2 5" xfId="41227"/>
    <cellStyle name="Normal 18 3 2 5 2" xfId="41228"/>
    <cellStyle name="Normal 18 3 2 6" xfId="41229"/>
    <cellStyle name="Normal 18 3 2 6 2" xfId="41230"/>
    <cellStyle name="Normal 18 3 2 7" xfId="41231"/>
    <cellStyle name="Normal 18 3 3" xfId="41232"/>
    <cellStyle name="Normal 18 3 3 2" xfId="41233"/>
    <cellStyle name="Normal 18 3 3 2 2" xfId="41234"/>
    <cellStyle name="Normal 18 3 3 2 2 2" xfId="41235"/>
    <cellStyle name="Normal 18 3 3 2 3" xfId="41236"/>
    <cellStyle name="Normal 18 3 3 3" xfId="41237"/>
    <cellStyle name="Normal 18 3 3 3 2" xfId="41238"/>
    <cellStyle name="Normal 18 3 3 4" xfId="41239"/>
    <cellStyle name="Normal 18 3 3 4 2" xfId="41240"/>
    <cellStyle name="Normal 18 3 3 5" xfId="41241"/>
    <cellStyle name="Normal 18 3 3 5 2" xfId="41242"/>
    <cellStyle name="Normal 18 3 3 6" xfId="41243"/>
    <cellStyle name="Normal 18 3 4" xfId="41244"/>
    <cellStyle name="Normal 18 3 4 2" xfId="41245"/>
    <cellStyle name="Normal 18 3 4 2 2" xfId="41246"/>
    <cellStyle name="Normal 18 3 4 3" xfId="41247"/>
    <cellStyle name="Normal 18 3 5" xfId="41248"/>
    <cellStyle name="Normal 18 3 5 2" xfId="41249"/>
    <cellStyle name="Normal 18 3 6" xfId="41250"/>
    <cellStyle name="Normal 18 3 6 2" xfId="41251"/>
    <cellStyle name="Normal 18 3 7" xfId="41252"/>
    <cellStyle name="Normal 18 3 7 2" xfId="41253"/>
    <cellStyle name="Normal 18 3 8" xfId="41254"/>
    <cellStyle name="Normal 18 4" xfId="41255"/>
    <cellStyle name="Normal 18 4 2" xfId="41256"/>
    <cellStyle name="Normal 18 4 2 2" xfId="41257"/>
    <cellStyle name="Normal 18 4 2 2 2" xfId="41258"/>
    <cellStyle name="Normal 18 4 2 2 2 2" xfId="41259"/>
    <cellStyle name="Normal 18 4 2 2 3" xfId="41260"/>
    <cellStyle name="Normal 18 4 2 3" xfId="41261"/>
    <cellStyle name="Normal 18 4 2 3 2" xfId="41262"/>
    <cellStyle name="Normal 18 4 2 4" xfId="41263"/>
    <cellStyle name="Normal 18 4 2 4 2" xfId="41264"/>
    <cellStyle name="Normal 18 4 2 5" xfId="41265"/>
    <cellStyle name="Normal 18 4 2 5 2" xfId="41266"/>
    <cellStyle name="Normal 18 4 2 6" xfId="41267"/>
    <cellStyle name="Normal 18 4 3" xfId="41268"/>
    <cellStyle name="Normal 18 4 3 2" xfId="41269"/>
    <cellStyle name="Normal 18 4 3 2 2" xfId="41270"/>
    <cellStyle name="Normal 18 4 3 3" xfId="41271"/>
    <cellStyle name="Normal 18 4 4" xfId="41272"/>
    <cellStyle name="Normal 18 4 4 2" xfId="41273"/>
    <cellStyle name="Normal 18 4 5" xfId="41274"/>
    <cellStyle name="Normal 18 4 5 2" xfId="41275"/>
    <cellStyle name="Normal 18 4 6" xfId="41276"/>
    <cellStyle name="Normal 18 4 6 2" xfId="41277"/>
    <cellStyle name="Normal 18 4 7" xfId="41278"/>
    <cellStyle name="Normal 18 5" xfId="41279"/>
    <cellStyle name="Normal 18 5 2" xfId="41280"/>
    <cellStyle name="Normal 18 5 2 2" xfId="41281"/>
    <cellStyle name="Normal 18 5 2 2 2" xfId="41282"/>
    <cellStyle name="Normal 18 5 2 2 2 2" xfId="41283"/>
    <cellStyle name="Normal 18 5 2 2 3" xfId="41284"/>
    <cellStyle name="Normal 18 5 2 3" xfId="41285"/>
    <cellStyle name="Normal 18 5 2 3 2" xfId="41286"/>
    <cellStyle name="Normal 18 5 2 4" xfId="41287"/>
    <cellStyle name="Normal 18 5 2 4 2" xfId="41288"/>
    <cellStyle name="Normal 18 5 2 5" xfId="41289"/>
    <cellStyle name="Normal 18 5 2 5 2" xfId="41290"/>
    <cellStyle name="Normal 18 5 2 6" xfId="41291"/>
    <cellStyle name="Normal 18 5 3" xfId="41292"/>
    <cellStyle name="Normal 18 5 3 2" xfId="41293"/>
    <cellStyle name="Normal 18 5 3 2 2" xfId="41294"/>
    <cellStyle name="Normal 18 5 3 3" xfId="41295"/>
    <cellStyle name="Normal 18 5 4" xfId="41296"/>
    <cellStyle name="Normal 18 5 4 2" xfId="41297"/>
    <cellStyle name="Normal 18 5 5" xfId="41298"/>
    <cellStyle name="Normal 18 5 5 2" xfId="41299"/>
    <cellStyle name="Normal 18 5 6" xfId="41300"/>
    <cellStyle name="Normal 18 5 6 2" xfId="41301"/>
    <cellStyle name="Normal 18 5 7" xfId="41302"/>
    <cellStyle name="Normal 18 6" xfId="41303"/>
    <cellStyle name="Normal 18 6 2" xfId="41304"/>
    <cellStyle name="Normal 18 6 2 2" xfId="41305"/>
    <cellStyle name="Normal 18 6 2 2 2" xfId="41306"/>
    <cellStyle name="Normal 18 6 2 3" xfId="41307"/>
    <cellStyle name="Normal 18 6 3" xfId="41308"/>
    <cellStyle name="Normal 18 6 3 2" xfId="41309"/>
    <cellStyle name="Normal 18 6 4" xfId="41310"/>
    <cellStyle name="Normal 18 6 4 2" xfId="41311"/>
    <cellStyle name="Normal 18 6 5" xfId="41312"/>
    <cellStyle name="Normal 18 6 5 2" xfId="41313"/>
    <cellStyle name="Normal 18 6 6" xfId="41314"/>
    <cellStyle name="Normal 18 7" xfId="41315"/>
    <cellStyle name="Normal 18 7 2" xfId="41316"/>
    <cellStyle name="Normal 18 7 2 2" xfId="41317"/>
    <cellStyle name="Normal 18 7 2 2 2" xfId="41318"/>
    <cellStyle name="Normal 18 7 2 3" xfId="41319"/>
    <cellStyle name="Normal 18 7 3" xfId="41320"/>
    <cellStyle name="Normal 18 7 3 2" xfId="41321"/>
    <cellStyle name="Normal 18 7 4" xfId="41322"/>
    <cellStyle name="Normal 18 7 4 2" xfId="41323"/>
    <cellStyle name="Normal 18 7 5" xfId="41324"/>
    <cellStyle name="Normal 18 7 5 2" xfId="41325"/>
    <cellStyle name="Normal 18 7 6" xfId="41326"/>
    <cellStyle name="Normal 18 8" xfId="41327"/>
    <cellStyle name="Normal 18 8 2" xfId="41328"/>
    <cellStyle name="Normal 18 8 2 2" xfId="41329"/>
    <cellStyle name="Normal 18 8 2 2 2" xfId="41330"/>
    <cellStyle name="Normal 18 8 2 3" xfId="41331"/>
    <cellStyle name="Normal 18 8 3" xfId="41332"/>
    <cellStyle name="Normal 18 8 3 2" xfId="41333"/>
    <cellStyle name="Normal 18 8 4" xfId="41334"/>
    <cellStyle name="Normal 18 8 4 2" xfId="41335"/>
    <cellStyle name="Normal 18 8 5" xfId="41336"/>
    <cellStyle name="Normal 18 8 5 2" xfId="41337"/>
    <cellStyle name="Normal 18 8 6" xfId="41338"/>
    <cellStyle name="Normal 18 9" xfId="41339"/>
    <cellStyle name="Normal 18 9 2" xfId="41340"/>
    <cellStyle name="Normal 18 9 2 2" xfId="41341"/>
    <cellStyle name="Normal 18 9 3" xfId="41342"/>
    <cellStyle name="Normal 18_ADVANCE 1189000004 REIMBURSHMENT NOP 11" xfId="41343"/>
    <cellStyle name="Normal 180" xfId="41344"/>
    <cellStyle name="Normal 181" xfId="41345"/>
    <cellStyle name="Normal 181 2" xfId="41346"/>
    <cellStyle name="Normal 182" xfId="41347"/>
    <cellStyle name="Normal 183" xfId="41348"/>
    <cellStyle name="Normal 183 2" xfId="41349"/>
    <cellStyle name="Normal 184" xfId="41350"/>
    <cellStyle name="Normal 184 2" xfId="41351"/>
    <cellStyle name="Normal 185" xfId="41352"/>
    <cellStyle name="Normal 185 2" xfId="41353"/>
    <cellStyle name="Normal 185 2 2" xfId="41354"/>
    <cellStyle name="Normal 185 2 2 2" xfId="41355"/>
    <cellStyle name="Normal 185 2 2 2 2" xfId="41356"/>
    <cellStyle name="Normal 185 2 2 3" xfId="41357"/>
    <cellStyle name="Normal 185 2 3" xfId="41358"/>
    <cellStyle name="Normal 185 2 3 2" xfId="41359"/>
    <cellStyle name="Normal 185 2 4" xfId="41360"/>
    <cellStyle name="Normal 185 3" xfId="41361"/>
    <cellStyle name="Normal 185 3 2" xfId="41362"/>
    <cellStyle name="Normal 185 3 2 2" xfId="41363"/>
    <cellStyle name="Normal 185 3 3" xfId="41364"/>
    <cellStyle name="Normal 185 4" xfId="41365"/>
    <cellStyle name="Normal 185 4 2" xfId="41366"/>
    <cellStyle name="Normal 185 5" xfId="41367"/>
    <cellStyle name="Normal 186" xfId="41368"/>
    <cellStyle name="Normal 186 2" xfId="41369"/>
    <cellStyle name="Normal 186 2 2" xfId="41370"/>
    <cellStyle name="Normal 186 2 2 2" xfId="41371"/>
    <cellStyle name="Normal 186 2 2 2 2" xfId="41372"/>
    <cellStyle name="Normal 186 2 2 3" xfId="41373"/>
    <cellStyle name="Normal 186 2 3" xfId="41374"/>
    <cellStyle name="Normal 186 2 3 2" xfId="41375"/>
    <cellStyle name="Normal 186 2 4" xfId="41376"/>
    <cellStyle name="Normal 186 3" xfId="41377"/>
    <cellStyle name="Normal 186 3 2" xfId="41378"/>
    <cellStyle name="Normal 186 3 2 2" xfId="41379"/>
    <cellStyle name="Normal 186 3 3" xfId="41380"/>
    <cellStyle name="Normal 186 4" xfId="41381"/>
    <cellStyle name="Normal 186 4 2" xfId="41382"/>
    <cellStyle name="Normal 186 5" xfId="41383"/>
    <cellStyle name="Normal 187" xfId="41384"/>
    <cellStyle name="Normal 188" xfId="41385"/>
    <cellStyle name="Normal 189" xfId="41386"/>
    <cellStyle name="Normal 189 2" xfId="41387"/>
    <cellStyle name="Normal 189 2 2" xfId="41388"/>
    <cellStyle name="Normal 189 2 2 2" xfId="41389"/>
    <cellStyle name="Normal 189 2 2 2 2" xfId="41390"/>
    <cellStyle name="Normal 189 2 2 3" xfId="41391"/>
    <cellStyle name="Normal 189 2 3" xfId="41392"/>
    <cellStyle name="Normal 189 2 3 2" xfId="41393"/>
    <cellStyle name="Normal 189 2 4" xfId="41394"/>
    <cellStyle name="Normal 189 3" xfId="41395"/>
    <cellStyle name="Normal 189 3 2" xfId="41396"/>
    <cellStyle name="Normal 189 3 2 2" xfId="41397"/>
    <cellStyle name="Normal 189 3 3" xfId="41398"/>
    <cellStyle name="Normal 189 4" xfId="41399"/>
    <cellStyle name="Normal 189 4 2" xfId="41400"/>
    <cellStyle name="Normal 189 5" xfId="41401"/>
    <cellStyle name="Normal 189 6" xfId="41402"/>
    <cellStyle name="Normal 19" xfId="41403"/>
    <cellStyle name="Normal 19 10" xfId="41404"/>
    <cellStyle name="Normal 19 10 2" xfId="41405"/>
    <cellStyle name="Normal 19 11" xfId="41406"/>
    <cellStyle name="Normal 19 11 2" xfId="41407"/>
    <cellStyle name="Normal 19 12" xfId="41408"/>
    <cellStyle name="Normal 19 12 2" xfId="41409"/>
    <cellStyle name="Normal 19 13" xfId="41410"/>
    <cellStyle name="Normal 19 14" xfId="41411"/>
    <cellStyle name="Normal 19 15" xfId="41412"/>
    <cellStyle name="Normal 19 16" xfId="41413"/>
    <cellStyle name="Normal 19 17" xfId="41414"/>
    <cellStyle name="Normal 19 18" xfId="41415"/>
    <cellStyle name="Normal 19 19" xfId="41416"/>
    <cellStyle name="Normal 19 2" xfId="41417"/>
    <cellStyle name="Normal 19 2 10" xfId="41418"/>
    <cellStyle name="Normal 19 2 11" xfId="41419"/>
    <cellStyle name="Normal 19 2 12" xfId="41420"/>
    <cellStyle name="Normal 19 2 13" xfId="41421"/>
    <cellStyle name="Normal 19 2 14" xfId="41422"/>
    <cellStyle name="Normal 19 2 15" xfId="41423"/>
    <cellStyle name="Normal 19 2 16" xfId="41424"/>
    <cellStyle name="Normal 19 2 17" xfId="41425"/>
    <cellStyle name="Normal 19 2 18" xfId="41426"/>
    <cellStyle name="Normal 19 2 19" xfId="41427"/>
    <cellStyle name="Normal 19 2 2" xfId="41428"/>
    <cellStyle name="Normal 19 2 2 2" xfId="41429"/>
    <cellStyle name="Normal 19 2 2 2 2" xfId="41430"/>
    <cellStyle name="Normal 19 2 2 2 2 2" xfId="41431"/>
    <cellStyle name="Normal 19 2 2 2 2 2 2" xfId="41432"/>
    <cellStyle name="Normal 19 2 2 2 2 3" xfId="41433"/>
    <cellStyle name="Normal 19 2 2 2 3" xfId="41434"/>
    <cellStyle name="Normal 19 2 2 2 3 2" xfId="41435"/>
    <cellStyle name="Normal 19 2 2 2 4" xfId="41436"/>
    <cellStyle name="Normal 19 2 2 2 4 2" xfId="41437"/>
    <cellStyle name="Normal 19 2 2 2 5" xfId="41438"/>
    <cellStyle name="Normal 19 2 2 2 5 2" xfId="41439"/>
    <cellStyle name="Normal 19 2 2 2 6" xfId="41440"/>
    <cellStyle name="Normal 19 2 2 3" xfId="41441"/>
    <cellStyle name="Normal 19 2 2 3 2" xfId="41442"/>
    <cellStyle name="Normal 19 2 2 3 2 2" xfId="41443"/>
    <cellStyle name="Normal 19 2 2 3 3" xfId="41444"/>
    <cellStyle name="Normal 19 2 2 4" xfId="41445"/>
    <cellStyle name="Normal 19 2 2 4 2" xfId="41446"/>
    <cellStyle name="Normal 19 2 2 5" xfId="41447"/>
    <cellStyle name="Normal 19 2 2 5 2" xfId="41448"/>
    <cellStyle name="Normal 19 2 2 6" xfId="41449"/>
    <cellStyle name="Normal 19 2 2 6 2" xfId="41450"/>
    <cellStyle name="Normal 19 2 2 7" xfId="41451"/>
    <cellStyle name="Normal 19 2 20" xfId="41452"/>
    <cellStyle name="Normal 19 2 21" xfId="41453"/>
    <cellStyle name="Normal 19 2 22" xfId="41454"/>
    <cellStyle name="Normal 19 2 23" xfId="41455"/>
    <cellStyle name="Normal 19 2 24" xfId="41456"/>
    <cellStyle name="Normal 19 2 25" xfId="41457"/>
    <cellStyle name="Normal 19 2 26" xfId="41458"/>
    <cellStyle name="Normal 19 2 27" xfId="41459"/>
    <cellStyle name="Normal 19 2 28" xfId="41460"/>
    <cellStyle name="Normal 19 2 29" xfId="41461"/>
    <cellStyle name="Normal 19 2 3" xfId="41462"/>
    <cellStyle name="Normal 19 2 3 2" xfId="41463"/>
    <cellStyle name="Normal 19 2 3 2 2" xfId="41464"/>
    <cellStyle name="Normal 19 2 3 2 2 2" xfId="41465"/>
    <cellStyle name="Normal 19 2 3 2 3" xfId="41466"/>
    <cellStyle name="Normal 19 2 3 3" xfId="41467"/>
    <cellStyle name="Normal 19 2 3 3 2" xfId="41468"/>
    <cellStyle name="Normal 19 2 3 4" xfId="41469"/>
    <cellStyle name="Normal 19 2 3 4 2" xfId="41470"/>
    <cellStyle name="Normal 19 2 3 5" xfId="41471"/>
    <cellStyle name="Normal 19 2 3 5 2" xfId="41472"/>
    <cellStyle name="Normal 19 2 3 6" xfId="41473"/>
    <cellStyle name="Normal 19 2 30" xfId="41474"/>
    <cellStyle name="Normal 19 2 31" xfId="41475"/>
    <cellStyle name="Normal 19 2 32" xfId="41476"/>
    <cellStyle name="Normal 19 2 33" xfId="41477"/>
    <cellStyle name="Normal 19 2 34" xfId="41478"/>
    <cellStyle name="Normal 19 2 35" xfId="41479"/>
    <cellStyle name="Normal 19 2 36" xfId="41480"/>
    <cellStyle name="Normal 19 2 37" xfId="41481"/>
    <cellStyle name="Normal 19 2 38" xfId="41482"/>
    <cellStyle name="Normal 19 2 39" xfId="41483"/>
    <cellStyle name="Normal 19 2 4" xfId="41484"/>
    <cellStyle name="Normal 19 2 4 2" xfId="41485"/>
    <cellStyle name="Normal 19 2 4 2 2" xfId="41486"/>
    <cellStyle name="Normal 19 2 4 3" xfId="41487"/>
    <cellStyle name="Normal 19 2 40" xfId="41488"/>
    <cellStyle name="Normal 19 2 41" xfId="41489"/>
    <cellStyle name="Normal 19 2 42" xfId="41490"/>
    <cellStyle name="Normal 19 2 43" xfId="41491"/>
    <cellStyle name="Normal 19 2 44" xfId="41492"/>
    <cellStyle name="Normal 19 2 45" xfId="41493"/>
    <cellStyle name="Normal 19 2 46" xfId="41494"/>
    <cellStyle name="Normal 19 2 47" xfId="41495"/>
    <cellStyle name="Normal 19 2 48" xfId="41496"/>
    <cellStyle name="Normal 19 2 49" xfId="41497"/>
    <cellStyle name="Normal 19 2 5" xfId="41498"/>
    <cellStyle name="Normal 19 2 5 2" xfId="41499"/>
    <cellStyle name="Normal 19 2 50" xfId="41500"/>
    <cellStyle name="Normal 19 2 51" xfId="41501"/>
    <cellStyle name="Normal 19 2 52" xfId="41502"/>
    <cellStyle name="Normal 19 2 53" xfId="41503"/>
    <cellStyle name="Normal 19 2 54" xfId="41504"/>
    <cellStyle name="Normal 19 2 55" xfId="41505"/>
    <cellStyle name="Normal 19 2 56" xfId="41506"/>
    <cellStyle name="Normal 19 2 6" xfId="41507"/>
    <cellStyle name="Normal 19 2 6 2" xfId="41508"/>
    <cellStyle name="Normal 19 2 7" xfId="41509"/>
    <cellStyle name="Normal 19 2 7 2" xfId="41510"/>
    <cellStyle name="Normal 19 2 8" xfId="41511"/>
    <cellStyle name="Normal 19 2 9" xfId="41512"/>
    <cellStyle name="Normal 19 20" xfId="41513"/>
    <cellStyle name="Normal 19 21" xfId="41514"/>
    <cellStyle name="Normal 19 22" xfId="41515"/>
    <cellStyle name="Normal 19 23" xfId="41516"/>
    <cellStyle name="Normal 19 24" xfId="41517"/>
    <cellStyle name="Normal 19 25" xfId="41518"/>
    <cellStyle name="Normal 19 26" xfId="41519"/>
    <cellStyle name="Normal 19 27" xfId="41520"/>
    <cellStyle name="Normal 19 28" xfId="41521"/>
    <cellStyle name="Normal 19 29" xfId="41522"/>
    <cellStyle name="Normal 19 3" xfId="41523"/>
    <cellStyle name="Normal 19 3 10" xfId="41524"/>
    <cellStyle name="Normal 19 3 11" xfId="41525"/>
    <cellStyle name="Normal 19 3 12" xfId="41526"/>
    <cellStyle name="Normal 19 3 13" xfId="41527"/>
    <cellStyle name="Normal 19 3 14" xfId="41528"/>
    <cellStyle name="Normal 19 3 15" xfId="41529"/>
    <cellStyle name="Normal 19 3 16" xfId="41530"/>
    <cellStyle name="Normal 19 3 17" xfId="41531"/>
    <cellStyle name="Normal 19 3 18" xfId="41532"/>
    <cellStyle name="Normal 19 3 19" xfId="41533"/>
    <cellStyle name="Normal 19 3 2" xfId="41534"/>
    <cellStyle name="Normal 19 3 2 2" xfId="41535"/>
    <cellStyle name="Normal 19 3 2 2 2" xfId="41536"/>
    <cellStyle name="Normal 19 3 2 2 2 2" xfId="41537"/>
    <cellStyle name="Normal 19 3 2 2 2 2 2" xfId="41538"/>
    <cellStyle name="Normal 19 3 2 2 2 3" xfId="41539"/>
    <cellStyle name="Normal 19 3 2 2 3" xfId="41540"/>
    <cellStyle name="Normal 19 3 2 2 3 2" xfId="41541"/>
    <cellStyle name="Normal 19 3 2 2 4" xfId="41542"/>
    <cellStyle name="Normal 19 3 2 2 4 2" xfId="41543"/>
    <cellStyle name="Normal 19 3 2 2 5" xfId="41544"/>
    <cellStyle name="Normal 19 3 2 2 5 2" xfId="41545"/>
    <cellStyle name="Normal 19 3 2 2 6" xfId="41546"/>
    <cellStyle name="Normal 19 3 2 3" xfId="41547"/>
    <cellStyle name="Normal 19 3 2 3 2" xfId="41548"/>
    <cellStyle name="Normal 19 3 2 3 2 2" xfId="41549"/>
    <cellStyle name="Normal 19 3 2 3 3" xfId="41550"/>
    <cellStyle name="Normal 19 3 2 4" xfId="41551"/>
    <cellStyle name="Normal 19 3 2 4 2" xfId="41552"/>
    <cellStyle name="Normal 19 3 2 5" xfId="41553"/>
    <cellStyle name="Normal 19 3 2 5 2" xfId="41554"/>
    <cellStyle name="Normal 19 3 2 6" xfId="41555"/>
    <cellStyle name="Normal 19 3 2 6 2" xfId="41556"/>
    <cellStyle name="Normal 19 3 2 7" xfId="41557"/>
    <cellStyle name="Normal 19 3 20" xfId="41558"/>
    <cellStyle name="Normal 19 3 21" xfId="41559"/>
    <cellStyle name="Normal 19 3 22" xfId="41560"/>
    <cellStyle name="Normal 19 3 23" xfId="41561"/>
    <cellStyle name="Normal 19 3 24" xfId="41562"/>
    <cellStyle name="Normal 19 3 25" xfId="41563"/>
    <cellStyle name="Normal 19 3 26" xfId="41564"/>
    <cellStyle name="Normal 19 3 27" xfId="41565"/>
    <cellStyle name="Normal 19 3 28" xfId="41566"/>
    <cellStyle name="Normal 19 3 29" xfId="41567"/>
    <cellStyle name="Normal 19 3 3" xfId="41568"/>
    <cellStyle name="Normal 19 3 3 2" xfId="41569"/>
    <cellStyle name="Normal 19 3 3 2 2" xfId="41570"/>
    <cellStyle name="Normal 19 3 3 2 2 2" xfId="41571"/>
    <cellStyle name="Normal 19 3 3 2 3" xfId="41572"/>
    <cellStyle name="Normal 19 3 3 3" xfId="41573"/>
    <cellStyle name="Normal 19 3 3 3 2" xfId="41574"/>
    <cellStyle name="Normal 19 3 3 4" xfId="41575"/>
    <cellStyle name="Normal 19 3 3 4 2" xfId="41576"/>
    <cellStyle name="Normal 19 3 3 5" xfId="41577"/>
    <cellStyle name="Normal 19 3 3 5 2" xfId="41578"/>
    <cellStyle name="Normal 19 3 3 6" xfId="41579"/>
    <cellStyle name="Normal 19 3 30" xfId="41580"/>
    <cellStyle name="Normal 19 3 31" xfId="41581"/>
    <cellStyle name="Normal 19 3 32" xfId="41582"/>
    <cellStyle name="Normal 19 3 33" xfId="41583"/>
    <cellStyle name="Normal 19 3 34" xfId="41584"/>
    <cellStyle name="Normal 19 3 35" xfId="41585"/>
    <cellStyle name="Normal 19 3 36" xfId="41586"/>
    <cellStyle name="Normal 19 3 37" xfId="41587"/>
    <cellStyle name="Normal 19 3 38" xfId="41588"/>
    <cellStyle name="Normal 19 3 39" xfId="41589"/>
    <cellStyle name="Normal 19 3 4" xfId="41590"/>
    <cellStyle name="Normal 19 3 4 2" xfId="41591"/>
    <cellStyle name="Normal 19 3 4 2 2" xfId="41592"/>
    <cellStyle name="Normal 19 3 4 3" xfId="41593"/>
    <cellStyle name="Normal 19 3 40" xfId="41594"/>
    <cellStyle name="Normal 19 3 41" xfId="41595"/>
    <cellStyle name="Normal 19 3 42" xfId="41596"/>
    <cellStyle name="Normal 19 3 43" xfId="41597"/>
    <cellStyle name="Normal 19 3 44" xfId="41598"/>
    <cellStyle name="Normal 19 3 45" xfId="41599"/>
    <cellStyle name="Normal 19 3 46" xfId="41600"/>
    <cellStyle name="Normal 19 3 47" xfId="41601"/>
    <cellStyle name="Normal 19 3 48" xfId="41602"/>
    <cellStyle name="Normal 19 3 49" xfId="41603"/>
    <cellStyle name="Normal 19 3 5" xfId="41604"/>
    <cellStyle name="Normal 19 3 5 2" xfId="41605"/>
    <cellStyle name="Normal 19 3 50" xfId="41606"/>
    <cellStyle name="Normal 19 3 51" xfId="41607"/>
    <cellStyle name="Normal 19 3 52" xfId="41608"/>
    <cellStyle name="Normal 19 3 53" xfId="41609"/>
    <cellStyle name="Normal 19 3 54" xfId="41610"/>
    <cellStyle name="Normal 19 3 55" xfId="41611"/>
    <cellStyle name="Normal 19 3 6" xfId="41612"/>
    <cellStyle name="Normal 19 3 6 2" xfId="41613"/>
    <cellStyle name="Normal 19 3 7" xfId="41614"/>
    <cellStyle name="Normal 19 3 7 2" xfId="41615"/>
    <cellStyle name="Normal 19 3 8" xfId="41616"/>
    <cellStyle name="Normal 19 3 9" xfId="41617"/>
    <cellStyle name="Normal 19 30" xfId="41618"/>
    <cellStyle name="Normal 19 31" xfId="41619"/>
    <cellStyle name="Normal 19 32" xfId="41620"/>
    <cellStyle name="Normal 19 33" xfId="41621"/>
    <cellStyle name="Normal 19 34" xfId="41622"/>
    <cellStyle name="Normal 19 35" xfId="41623"/>
    <cellStyle name="Normal 19 36" xfId="41624"/>
    <cellStyle name="Normal 19 37" xfId="41625"/>
    <cellStyle name="Normal 19 38" xfId="41626"/>
    <cellStyle name="Normal 19 39" xfId="41627"/>
    <cellStyle name="Normal 19 4" xfId="41628"/>
    <cellStyle name="Normal 19 4 2" xfId="41629"/>
    <cellStyle name="Normal 19 4 2 2" xfId="41630"/>
    <cellStyle name="Normal 19 4 2 2 2" xfId="41631"/>
    <cellStyle name="Normal 19 4 2 2 2 2" xfId="41632"/>
    <cellStyle name="Normal 19 4 2 2 3" xfId="41633"/>
    <cellStyle name="Normal 19 4 2 3" xfId="41634"/>
    <cellStyle name="Normal 19 4 2 3 2" xfId="41635"/>
    <cellStyle name="Normal 19 4 2 4" xfId="41636"/>
    <cellStyle name="Normal 19 4 2 4 2" xfId="41637"/>
    <cellStyle name="Normal 19 4 2 5" xfId="41638"/>
    <cellStyle name="Normal 19 4 2 5 2" xfId="41639"/>
    <cellStyle name="Normal 19 4 2 6" xfId="41640"/>
    <cellStyle name="Normal 19 4 3" xfId="41641"/>
    <cellStyle name="Normal 19 4 3 2" xfId="41642"/>
    <cellStyle name="Normal 19 4 3 2 2" xfId="41643"/>
    <cellStyle name="Normal 19 4 3 3" xfId="41644"/>
    <cellStyle name="Normal 19 4 4" xfId="41645"/>
    <cellStyle name="Normal 19 4 4 2" xfId="41646"/>
    <cellStyle name="Normal 19 4 5" xfId="41647"/>
    <cellStyle name="Normal 19 4 5 2" xfId="41648"/>
    <cellStyle name="Normal 19 4 6" xfId="41649"/>
    <cellStyle name="Normal 19 4 6 2" xfId="41650"/>
    <cellStyle name="Normal 19 4 7" xfId="41651"/>
    <cellStyle name="Normal 19 40" xfId="41652"/>
    <cellStyle name="Normal 19 41" xfId="41653"/>
    <cellStyle name="Normal 19 42" xfId="41654"/>
    <cellStyle name="Normal 19 43" xfId="41655"/>
    <cellStyle name="Normal 19 44" xfId="41656"/>
    <cellStyle name="Normal 19 45" xfId="41657"/>
    <cellStyle name="Normal 19 46" xfId="41658"/>
    <cellStyle name="Normal 19 47" xfId="41659"/>
    <cellStyle name="Normal 19 48" xfId="41660"/>
    <cellStyle name="Normal 19 49" xfId="41661"/>
    <cellStyle name="Normal 19 5" xfId="41662"/>
    <cellStyle name="Normal 19 5 2" xfId="41663"/>
    <cellStyle name="Normal 19 5 2 2" xfId="41664"/>
    <cellStyle name="Normal 19 5 2 2 2" xfId="41665"/>
    <cellStyle name="Normal 19 5 2 2 2 2" xfId="41666"/>
    <cellStyle name="Normal 19 5 2 2 3" xfId="41667"/>
    <cellStyle name="Normal 19 5 2 3" xfId="41668"/>
    <cellStyle name="Normal 19 5 2 3 2" xfId="41669"/>
    <cellStyle name="Normal 19 5 2 4" xfId="41670"/>
    <cellStyle name="Normal 19 5 2 4 2" xfId="41671"/>
    <cellStyle name="Normal 19 5 2 5" xfId="41672"/>
    <cellStyle name="Normal 19 5 2 5 2" xfId="41673"/>
    <cellStyle name="Normal 19 5 2 6" xfId="41674"/>
    <cellStyle name="Normal 19 5 3" xfId="41675"/>
    <cellStyle name="Normal 19 5 3 2" xfId="41676"/>
    <cellStyle name="Normal 19 5 3 2 2" xfId="41677"/>
    <cellStyle name="Normal 19 5 3 3" xfId="41678"/>
    <cellStyle name="Normal 19 5 4" xfId="41679"/>
    <cellStyle name="Normal 19 5 4 2" xfId="41680"/>
    <cellStyle name="Normal 19 5 5" xfId="41681"/>
    <cellStyle name="Normal 19 5 5 2" xfId="41682"/>
    <cellStyle name="Normal 19 5 6" xfId="41683"/>
    <cellStyle name="Normal 19 5 6 2" xfId="41684"/>
    <cellStyle name="Normal 19 5 7" xfId="41685"/>
    <cellStyle name="Normal 19 50" xfId="41686"/>
    <cellStyle name="Normal 19 51" xfId="41687"/>
    <cellStyle name="Normal 19 52" xfId="41688"/>
    <cellStyle name="Normal 19 53" xfId="41689"/>
    <cellStyle name="Normal 19 54" xfId="41690"/>
    <cellStyle name="Normal 19 55" xfId="41691"/>
    <cellStyle name="Normal 19 56" xfId="41692"/>
    <cellStyle name="Normal 19 57" xfId="41693"/>
    <cellStyle name="Normal 19 58" xfId="41694"/>
    <cellStyle name="Normal 19 59" xfId="41695"/>
    <cellStyle name="Normal 19 6" xfId="41696"/>
    <cellStyle name="Normal 19 6 2" xfId="41697"/>
    <cellStyle name="Normal 19 6 2 2" xfId="41698"/>
    <cellStyle name="Normal 19 6 2 2 2" xfId="41699"/>
    <cellStyle name="Normal 19 6 2 3" xfId="41700"/>
    <cellStyle name="Normal 19 6 3" xfId="41701"/>
    <cellStyle name="Normal 19 6 3 2" xfId="41702"/>
    <cellStyle name="Normal 19 6 4" xfId="41703"/>
    <cellStyle name="Normal 19 6 4 2" xfId="41704"/>
    <cellStyle name="Normal 19 6 5" xfId="41705"/>
    <cellStyle name="Normal 19 6 5 2" xfId="41706"/>
    <cellStyle name="Normal 19 6 6" xfId="41707"/>
    <cellStyle name="Normal 19 60" xfId="41708"/>
    <cellStyle name="Normal 19 61" xfId="41709"/>
    <cellStyle name="Normal 19 62" xfId="41710"/>
    <cellStyle name="Normal 19 63" xfId="41711"/>
    <cellStyle name="Normal 19 64" xfId="41712"/>
    <cellStyle name="Normal 19 65" xfId="41713"/>
    <cellStyle name="Normal 19 66" xfId="41714"/>
    <cellStyle name="Normal 19 67" xfId="57820"/>
    <cellStyle name="Normal 19 7" xfId="41715"/>
    <cellStyle name="Normal 19 7 2" xfId="41716"/>
    <cellStyle name="Normal 19 7 2 2" xfId="41717"/>
    <cellStyle name="Normal 19 7 2 2 2" xfId="41718"/>
    <cellStyle name="Normal 19 7 2 3" xfId="41719"/>
    <cellStyle name="Normal 19 7 3" xfId="41720"/>
    <cellStyle name="Normal 19 7 3 2" xfId="41721"/>
    <cellStyle name="Normal 19 7 4" xfId="41722"/>
    <cellStyle name="Normal 19 7 4 2" xfId="41723"/>
    <cellStyle name="Normal 19 7 5" xfId="41724"/>
    <cellStyle name="Normal 19 7 5 2" xfId="41725"/>
    <cellStyle name="Normal 19 7 6" xfId="41726"/>
    <cellStyle name="Normal 19 8" xfId="41727"/>
    <cellStyle name="Normal 19 8 2" xfId="41728"/>
    <cellStyle name="Normal 19 8 2 2" xfId="41729"/>
    <cellStyle name="Normal 19 8 2 2 2" xfId="41730"/>
    <cellStyle name="Normal 19 8 2 3" xfId="41731"/>
    <cellStyle name="Normal 19 8 3" xfId="41732"/>
    <cellStyle name="Normal 19 8 3 2" xfId="41733"/>
    <cellStyle name="Normal 19 8 4" xfId="41734"/>
    <cellStyle name="Normal 19 8 4 2" xfId="41735"/>
    <cellStyle name="Normal 19 8 5" xfId="41736"/>
    <cellStyle name="Normal 19 8 5 2" xfId="41737"/>
    <cellStyle name="Normal 19 8 6" xfId="41738"/>
    <cellStyle name="Normal 19 9" xfId="41739"/>
    <cellStyle name="Normal 19 9 2" xfId="41740"/>
    <cellStyle name="Normal 19 9 2 2" xfId="41741"/>
    <cellStyle name="Normal 19 9 3" xfId="41742"/>
    <cellStyle name="Normal 19_Perhtgn By Tlp" xfId="41743"/>
    <cellStyle name="Normal 190" xfId="41744"/>
    <cellStyle name="Normal 191" xfId="41745"/>
    <cellStyle name="Normal 191 2" xfId="41746"/>
    <cellStyle name="Normal 192" xfId="41747"/>
    <cellStyle name="Normal 192 2" xfId="41748"/>
    <cellStyle name="Normal 192 2 2" xfId="41749"/>
    <cellStyle name="Normal 192 2 2 2" xfId="41750"/>
    <cellStyle name="Normal 192 2 3" xfId="41751"/>
    <cellStyle name="Normal 192 3" xfId="41752"/>
    <cellStyle name="Normal 192 3 2" xfId="41753"/>
    <cellStyle name="Normal 192 4" xfId="41754"/>
    <cellStyle name="Normal 193" xfId="41755"/>
    <cellStyle name="Normal 193 2" xfId="41756"/>
    <cellStyle name="Normal 194" xfId="41757"/>
    <cellStyle name="Normal 194 2" xfId="41758"/>
    <cellStyle name="Normal 194 2 2" xfId="41759"/>
    <cellStyle name="Normal 194 3" xfId="41760"/>
    <cellStyle name="Normal 195" xfId="41761"/>
    <cellStyle name="Normal 195 2" xfId="41762"/>
    <cellStyle name="Normal 196" xfId="41763"/>
    <cellStyle name="Normal 197" xfId="41764"/>
    <cellStyle name="Normal 198" xfId="41765"/>
    <cellStyle name="Normal 199" xfId="41766"/>
    <cellStyle name="Normal 2" xfId="16"/>
    <cellStyle name="Normal 2 1" xfId="41767"/>
    <cellStyle name="Normal 2 1 2" xfId="41768"/>
    <cellStyle name="Normal 2 10" xfId="41769"/>
    <cellStyle name="Normal 2 10 10" xfId="41770"/>
    <cellStyle name="Normal 2 10 10 2" xfId="41771"/>
    <cellStyle name="Normal 2 10 10 2 2" xfId="41772"/>
    <cellStyle name="Normal 2 10 10 3" xfId="41773"/>
    <cellStyle name="Normal 2 10 11" xfId="41774"/>
    <cellStyle name="Normal 2 10 11 2" xfId="41775"/>
    <cellStyle name="Normal 2 10 11 2 2" xfId="41776"/>
    <cellStyle name="Normal 2 10 11 3" xfId="41777"/>
    <cellStyle name="Normal 2 10 12" xfId="41778"/>
    <cellStyle name="Normal 2 10 12 2" xfId="41779"/>
    <cellStyle name="Normal 2 10 13" xfId="41780"/>
    <cellStyle name="Normal 2 10 14" xfId="41781"/>
    <cellStyle name="Normal 2 10 15" xfId="57821"/>
    <cellStyle name="Normal 2 10 2" xfId="37"/>
    <cellStyle name="Normal 2 10 2 2" xfId="41782"/>
    <cellStyle name="Normal 2 10 2 2 2" xfId="41783"/>
    <cellStyle name="Normal 2 10 2 2 2 2" xfId="41784"/>
    <cellStyle name="Normal 2 10 2 2 2 3" xfId="41785"/>
    <cellStyle name="Normal 2 10 2 2 3" xfId="41786"/>
    <cellStyle name="Normal 2 10 2 2 3 2" xfId="41787"/>
    <cellStyle name="Normal 2 10 2 2 4" xfId="41788"/>
    <cellStyle name="Normal 2 10 2 2 4 2" xfId="41789"/>
    <cellStyle name="Normal 2 10 2 2 5" xfId="41790"/>
    <cellStyle name="Normal 2 10 2 2 6" xfId="41791"/>
    <cellStyle name="Normal 2 10 2 3" xfId="41792"/>
    <cellStyle name="Normal 2 10 2 3 2" xfId="41793"/>
    <cellStyle name="Normal 2 10 2 3 3" xfId="41794"/>
    <cellStyle name="Normal 2 10 2 4" xfId="41795"/>
    <cellStyle name="Normal 2 10 2 4 2" xfId="41796"/>
    <cellStyle name="Normal 2 10 2 5" xfId="41797"/>
    <cellStyle name="Normal 2 10 2 5 2" xfId="41798"/>
    <cellStyle name="Normal 2 10 2 6" xfId="41799"/>
    <cellStyle name="Normal 2 10 2 6 2" xfId="41800"/>
    <cellStyle name="Normal 2 10 2 7" xfId="41801"/>
    <cellStyle name="Normal 2 10 2 8" xfId="57455"/>
    <cellStyle name="Normal 2 10 2 9" xfId="57456"/>
    <cellStyle name="Normal 2 10 3" xfId="41802"/>
    <cellStyle name="Normal 2 10 3 2" xfId="41803"/>
    <cellStyle name="Normal 2 10 4" xfId="41804"/>
    <cellStyle name="Normal 2 10 4 2" xfId="41805"/>
    <cellStyle name="Normal 2 10 4 2 2" xfId="41806"/>
    <cellStyle name="Normal 2 10 4 2 2 2" xfId="41807"/>
    <cellStyle name="Normal 2 10 4 2 2 2 2" xfId="41808"/>
    <cellStyle name="Normal 2 10 4 2 2 2 2 2" xfId="41809"/>
    <cellStyle name="Normal 2 10 4 2 2 2 3" xfId="41810"/>
    <cellStyle name="Normal 2 10 4 2 2 3" xfId="41811"/>
    <cellStyle name="Normal 2 10 4 2 2 3 2" xfId="41812"/>
    <cellStyle name="Normal 2 10 4 2 2 4" xfId="41813"/>
    <cellStyle name="Normal 2 10 4 2 2 4 2" xfId="41814"/>
    <cellStyle name="Normal 2 10 4 2 2 5" xfId="41815"/>
    <cellStyle name="Normal 2 10 4 2 2 5 2" xfId="41816"/>
    <cellStyle name="Normal 2 10 4 2 2 6" xfId="41817"/>
    <cellStyle name="Normal 2 10 4 2 3" xfId="41818"/>
    <cellStyle name="Normal 2 10 4 2 3 2" xfId="41819"/>
    <cellStyle name="Normal 2 10 4 2 3 2 2" xfId="41820"/>
    <cellStyle name="Normal 2 10 4 2 3 3" xfId="41821"/>
    <cellStyle name="Normal 2 10 4 2 4" xfId="41822"/>
    <cellStyle name="Normal 2 10 4 2 4 2" xfId="41823"/>
    <cellStyle name="Normal 2 10 4 2 5" xfId="41824"/>
    <cellStyle name="Normal 2 10 4 2 5 2" xfId="41825"/>
    <cellStyle name="Normal 2 10 4 2 6" xfId="41826"/>
    <cellStyle name="Normal 2 10 4 2 6 2" xfId="41827"/>
    <cellStyle name="Normal 2 10 4 2 7" xfId="41828"/>
    <cellStyle name="Normal 2 10 4 3" xfId="41829"/>
    <cellStyle name="Normal 2 10 4 3 2" xfId="41830"/>
    <cellStyle name="Normal 2 10 4 3 2 2" xfId="41831"/>
    <cellStyle name="Normal 2 10 4 3 2 2 2" xfId="41832"/>
    <cellStyle name="Normal 2 10 4 3 2 3" xfId="41833"/>
    <cellStyle name="Normal 2 10 4 3 3" xfId="41834"/>
    <cellStyle name="Normal 2 10 4 3 3 2" xfId="41835"/>
    <cellStyle name="Normal 2 10 4 3 4" xfId="41836"/>
    <cellStyle name="Normal 2 10 4 3 4 2" xfId="41837"/>
    <cellStyle name="Normal 2 10 4 3 5" xfId="41838"/>
    <cellStyle name="Normal 2 10 4 3 5 2" xfId="41839"/>
    <cellStyle name="Normal 2 10 4 3 6" xfId="41840"/>
    <cellStyle name="Normal 2 10 4 4" xfId="41841"/>
    <cellStyle name="Normal 2 10 4 4 2" xfId="41842"/>
    <cellStyle name="Normal 2 10 4 4 2 2" xfId="41843"/>
    <cellStyle name="Normal 2 10 4 4 3" xfId="41844"/>
    <cellStyle name="Normal 2 10 4 5" xfId="41845"/>
    <cellStyle name="Normal 2 10 4 5 2" xfId="41846"/>
    <cellStyle name="Normal 2 10 4 6" xfId="41847"/>
    <cellStyle name="Normal 2 10 4 6 2" xfId="41848"/>
    <cellStyle name="Normal 2 10 4 7" xfId="41849"/>
    <cellStyle name="Normal 2 10 4 7 2" xfId="41850"/>
    <cellStyle name="Normal 2 10 4 8" xfId="41851"/>
    <cellStyle name="Normal 2 10 5" xfId="41852"/>
    <cellStyle name="Normal 2 10 5 2" xfId="41853"/>
    <cellStyle name="Normal 2 10 5 2 2" xfId="41854"/>
    <cellStyle name="Normal 2 10 5 2 2 2" xfId="41855"/>
    <cellStyle name="Normal 2 10 5 2 2 2 2" xfId="41856"/>
    <cellStyle name="Normal 2 10 5 2 2 2 2 2" xfId="41857"/>
    <cellStyle name="Normal 2 10 5 2 2 2 3" xfId="41858"/>
    <cellStyle name="Normal 2 10 5 2 2 3" xfId="41859"/>
    <cellStyle name="Normal 2 10 5 2 2 3 2" xfId="41860"/>
    <cellStyle name="Normal 2 10 5 2 2 4" xfId="41861"/>
    <cellStyle name="Normal 2 10 5 2 2 4 2" xfId="41862"/>
    <cellStyle name="Normal 2 10 5 2 2 5" xfId="41863"/>
    <cellStyle name="Normal 2 10 5 2 2 5 2" xfId="41864"/>
    <cellStyle name="Normal 2 10 5 2 2 6" xfId="41865"/>
    <cellStyle name="Normal 2 10 5 2 3" xfId="41866"/>
    <cellStyle name="Normal 2 10 5 2 3 2" xfId="41867"/>
    <cellStyle name="Normal 2 10 5 2 3 2 2" xfId="41868"/>
    <cellStyle name="Normal 2 10 5 2 3 3" xfId="41869"/>
    <cellStyle name="Normal 2 10 5 2 4" xfId="41870"/>
    <cellStyle name="Normal 2 10 5 2 4 2" xfId="41871"/>
    <cellStyle name="Normal 2 10 5 2 5" xfId="41872"/>
    <cellStyle name="Normal 2 10 5 2 5 2" xfId="41873"/>
    <cellStyle name="Normal 2 10 5 2 6" xfId="41874"/>
    <cellStyle name="Normal 2 10 5 2 6 2" xfId="41875"/>
    <cellStyle name="Normal 2 10 5 2 7" xfId="41876"/>
    <cellStyle name="Normal 2 10 5 3" xfId="41877"/>
    <cellStyle name="Normal 2 10 5 3 2" xfId="41878"/>
    <cellStyle name="Normal 2 10 5 3 2 2" xfId="41879"/>
    <cellStyle name="Normal 2 10 5 3 2 2 2" xfId="41880"/>
    <cellStyle name="Normal 2 10 5 3 2 3" xfId="41881"/>
    <cellStyle name="Normal 2 10 5 3 3" xfId="41882"/>
    <cellStyle name="Normal 2 10 5 3 3 2" xfId="41883"/>
    <cellStyle name="Normal 2 10 5 3 4" xfId="41884"/>
    <cellStyle name="Normal 2 10 5 3 4 2" xfId="41885"/>
    <cellStyle name="Normal 2 10 5 3 5" xfId="41886"/>
    <cellStyle name="Normal 2 10 5 3 5 2" xfId="41887"/>
    <cellStyle name="Normal 2 10 5 3 6" xfId="41888"/>
    <cellStyle name="Normal 2 10 5 4" xfId="41889"/>
    <cellStyle name="Normal 2 10 5 4 2" xfId="41890"/>
    <cellStyle name="Normal 2 10 5 4 2 2" xfId="41891"/>
    <cellStyle name="Normal 2 10 5 4 3" xfId="41892"/>
    <cellStyle name="Normal 2 10 5 5" xfId="41893"/>
    <cellStyle name="Normal 2 10 5 5 2" xfId="41894"/>
    <cellStyle name="Normal 2 10 5 6" xfId="41895"/>
    <cellStyle name="Normal 2 10 5 6 2" xfId="41896"/>
    <cellStyle name="Normal 2 10 5 7" xfId="41897"/>
    <cellStyle name="Normal 2 10 5 7 2" xfId="41898"/>
    <cellStyle name="Normal 2 10 5 8" xfId="41899"/>
    <cellStyle name="Normal 2 10 6" xfId="41900"/>
    <cellStyle name="Normal 2 10 6 2" xfId="41901"/>
    <cellStyle name="Normal 2 10 6 2 2" xfId="41902"/>
    <cellStyle name="Normal 2 10 6 2 2 2" xfId="41903"/>
    <cellStyle name="Normal 2 10 6 2 2 2 2" xfId="41904"/>
    <cellStyle name="Normal 2 10 6 2 2 3" xfId="41905"/>
    <cellStyle name="Normal 2 10 6 2 3" xfId="41906"/>
    <cellStyle name="Normal 2 10 6 2 3 2" xfId="41907"/>
    <cellStyle name="Normal 2 10 6 2 4" xfId="41908"/>
    <cellStyle name="Normal 2 10 6 2 4 2" xfId="41909"/>
    <cellStyle name="Normal 2 10 6 2 5" xfId="41910"/>
    <cellStyle name="Normal 2 10 6 2 5 2" xfId="41911"/>
    <cellStyle name="Normal 2 10 6 2 6" xfId="41912"/>
    <cellStyle name="Normal 2 10 6 3" xfId="41913"/>
    <cellStyle name="Normal 2 10 6 3 2" xfId="41914"/>
    <cellStyle name="Normal 2 10 6 3 2 2" xfId="41915"/>
    <cellStyle name="Normal 2 10 6 3 3" xfId="41916"/>
    <cellStyle name="Normal 2 10 6 4" xfId="41917"/>
    <cellStyle name="Normal 2 10 6 4 2" xfId="41918"/>
    <cellStyle name="Normal 2 10 6 5" xfId="41919"/>
    <cellStyle name="Normal 2 10 6 5 2" xfId="41920"/>
    <cellStyle name="Normal 2 10 6 6" xfId="41921"/>
    <cellStyle name="Normal 2 10 6 6 2" xfId="41922"/>
    <cellStyle name="Normal 2 10 6 7" xfId="41923"/>
    <cellStyle name="Normal 2 10 7" xfId="41924"/>
    <cellStyle name="Normal 2 10 7 2" xfId="41925"/>
    <cellStyle name="Normal 2 10 7 2 2" xfId="41926"/>
    <cellStyle name="Normal 2 10 7 2 2 2" xfId="41927"/>
    <cellStyle name="Normal 2 10 7 2 2 2 2" xfId="41928"/>
    <cellStyle name="Normal 2 10 7 2 2 3" xfId="41929"/>
    <cellStyle name="Normal 2 10 7 2 3" xfId="41930"/>
    <cellStyle name="Normal 2 10 7 2 3 2" xfId="41931"/>
    <cellStyle name="Normal 2 10 7 2 4" xfId="41932"/>
    <cellStyle name="Normal 2 10 7 2 4 2" xfId="41933"/>
    <cellStyle name="Normal 2 10 7 2 5" xfId="41934"/>
    <cellStyle name="Normal 2 10 7 2 5 2" xfId="41935"/>
    <cellStyle name="Normal 2 10 7 2 6" xfId="41936"/>
    <cellStyle name="Normal 2 10 7 3" xfId="41937"/>
    <cellStyle name="Normal 2 10 7 3 2" xfId="41938"/>
    <cellStyle name="Normal 2 10 7 3 2 2" xfId="41939"/>
    <cellStyle name="Normal 2 10 7 3 3" xfId="41940"/>
    <cellStyle name="Normal 2 10 7 4" xfId="41941"/>
    <cellStyle name="Normal 2 10 7 4 2" xfId="41942"/>
    <cellStyle name="Normal 2 10 7 5" xfId="41943"/>
    <cellStyle name="Normal 2 10 7 5 2" xfId="41944"/>
    <cellStyle name="Normal 2 10 7 6" xfId="41945"/>
    <cellStyle name="Normal 2 10 7 6 2" xfId="41946"/>
    <cellStyle name="Normal 2 10 7 7" xfId="41947"/>
    <cellStyle name="Normal 2 10 8" xfId="41948"/>
    <cellStyle name="Normal 2 10 8 2" xfId="41949"/>
    <cellStyle name="Normal 2 10 8 2 2" xfId="41950"/>
    <cellStyle name="Normal 2 10 8 2 2 2" xfId="41951"/>
    <cellStyle name="Normal 2 10 8 2 3" xfId="41952"/>
    <cellStyle name="Normal 2 10 8 3" xfId="41953"/>
    <cellStyle name="Normal 2 10 8 3 2" xfId="41954"/>
    <cellStyle name="Normal 2 10 8 4" xfId="41955"/>
    <cellStyle name="Normal 2 10 8 4 2" xfId="41956"/>
    <cellStyle name="Normal 2 10 8 5" xfId="41957"/>
    <cellStyle name="Normal 2 10 8 5 2" xfId="41958"/>
    <cellStyle name="Normal 2 10 8 6" xfId="41959"/>
    <cellStyle name="Normal 2 10 9" xfId="41960"/>
    <cellStyle name="Normal 2 10 9 2" xfId="41961"/>
    <cellStyle name="Normal 2 10 9 2 2" xfId="41962"/>
    <cellStyle name="Normal 2 10 9 2 2 2" xfId="41963"/>
    <cellStyle name="Normal 2 10 9 2 3" xfId="41964"/>
    <cellStyle name="Normal 2 10 9 3" xfId="41965"/>
    <cellStyle name="Normal 2 10 9 3 2" xfId="41966"/>
    <cellStyle name="Normal 2 10 9 4" xfId="41967"/>
    <cellStyle name="Normal 2 10 9 4 2" xfId="41968"/>
    <cellStyle name="Normal 2 10 9 5" xfId="41969"/>
    <cellStyle name="Normal 2 10 9 5 2" xfId="41970"/>
    <cellStyle name="Normal 2 10 9 6" xfId="41971"/>
    <cellStyle name="Normal 2 102" xfId="57822"/>
    <cellStyle name="Normal 2 102 2 2" xfId="57823"/>
    <cellStyle name="Normal 2 102 3" xfId="57824"/>
    <cellStyle name="Normal 2 11" xfId="41972"/>
    <cellStyle name="Normal 2 11 10" xfId="41973"/>
    <cellStyle name="Normal 2 11 10 2" xfId="41974"/>
    <cellStyle name="Normal 2 11 11" xfId="41975"/>
    <cellStyle name="Normal 2 11 11 2" xfId="41976"/>
    <cellStyle name="Normal 2 11 12" xfId="41977"/>
    <cellStyle name="Normal 2 11 12 2" xfId="41978"/>
    <cellStyle name="Normal 2 11 13" xfId="41979"/>
    <cellStyle name="Normal 2 11 14" xfId="57825"/>
    <cellStyle name="Normal 2 11 2" xfId="41980"/>
    <cellStyle name="Normal 2 11 2 2" xfId="41981"/>
    <cellStyle name="Normal 2 11 3" xfId="41982"/>
    <cellStyle name="Normal 2 11 3 2" xfId="41983"/>
    <cellStyle name="Normal 2 11 3 2 2" xfId="41984"/>
    <cellStyle name="Normal 2 11 3 2 2 2" xfId="41985"/>
    <cellStyle name="Normal 2 11 3 2 2 2 2" xfId="41986"/>
    <cellStyle name="Normal 2 11 3 2 2 2 2 2" xfId="41987"/>
    <cellStyle name="Normal 2 11 3 2 2 2 3" xfId="41988"/>
    <cellStyle name="Normal 2 11 3 2 2 3" xfId="41989"/>
    <cellStyle name="Normal 2 11 3 2 2 3 2" xfId="41990"/>
    <cellStyle name="Normal 2 11 3 2 2 4" xfId="41991"/>
    <cellStyle name="Normal 2 11 3 2 2 4 2" xfId="41992"/>
    <cellStyle name="Normal 2 11 3 2 2 5" xfId="41993"/>
    <cellStyle name="Normal 2 11 3 2 2 5 2" xfId="41994"/>
    <cellStyle name="Normal 2 11 3 2 2 6" xfId="41995"/>
    <cellStyle name="Normal 2 11 3 2 3" xfId="41996"/>
    <cellStyle name="Normal 2 11 3 2 3 2" xfId="41997"/>
    <cellStyle name="Normal 2 11 3 2 3 2 2" xfId="41998"/>
    <cellStyle name="Normal 2 11 3 2 3 3" xfId="41999"/>
    <cellStyle name="Normal 2 11 3 2 4" xfId="42000"/>
    <cellStyle name="Normal 2 11 3 2 4 2" xfId="42001"/>
    <cellStyle name="Normal 2 11 3 2 5" xfId="42002"/>
    <cellStyle name="Normal 2 11 3 2 5 2" xfId="42003"/>
    <cellStyle name="Normal 2 11 3 2 6" xfId="42004"/>
    <cellStyle name="Normal 2 11 3 2 6 2" xfId="42005"/>
    <cellStyle name="Normal 2 11 3 2 7" xfId="42006"/>
    <cellStyle name="Normal 2 11 3 3" xfId="42007"/>
    <cellStyle name="Normal 2 11 3 3 2" xfId="42008"/>
    <cellStyle name="Normal 2 11 3 3 2 2" xfId="42009"/>
    <cellStyle name="Normal 2 11 3 3 2 2 2" xfId="42010"/>
    <cellStyle name="Normal 2 11 3 3 2 3" xfId="42011"/>
    <cellStyle name="Normal 2 11 3 3 3" xfId="42012"/>
    <cellStyle name="Normal 2 11 3 3 3 2" xfId="42013"/>
    <cellStyle name="Normal 2 11 3 3 4" xfId="42014"/>
    <cellStyle name="Normal 2 11 3 3 4 2" xfId="42015"/>
    <cellStyle name="Normal 2 11 3 3 5" xfId="42016"/>
    <cellStyle name="Normal 2 11 3 3 5 2" xfId="42017"/>
    <cellStyle name="Normal 2 11 3 3 6" xfId="42018"/>
    <cellStyle name="Normal 2 11 3 4" xfId="42019"/>
    <cellStyle name="Normal 2 11 3 4 2" xfId="42020"/>
    <cellStyle name="Normal 2 11 3 4 2 2" xfId="42021"/>
    <cellStyle name="Normal 2 11 3 4 3" xfId="42022"/>
    <cellStyle name="Normal 2 11 3 5" xfId="42023"/>
    <cellStyle name="Normal 2 11 3 5 2" xfId="42024"/>
    <cellStyle name="Normal 2 11 3 6" xfId="42025"/>
    <cellStyle name="Normal 2 11 3 6 2" xfId="42026"/>
    <cellStyle name="Normal 2 11 3 7" xfId="42027"/>
    <cellStyle name="Normal 2 11 3 7 2" xfId="42028"/>
    <cellStyle name="Normal 2 11 3 8" xfId="42029"/>
    <cellStyle name="Normal 2 11 4" xfId="42030"/>
    <cellStyle name="Normal 2 11 4 2" xfId="42031"/>
    <cellStyle name="Normal 2 11 4 2 2" xfId="42032"/>
    <cellStyle name="Normal 2 11 4 2 2 2" xfId="42033"/>
    <cellStyle name="Normal 2 11 4 2 2 2 2" xfId="42034"/>
    <cellStyle name="Normal 2 11 4 2 2 2 2 2" xfId="42035"/>
    <cellStyle name="Normal 2 11 4 2 2 2 3" xfId="42036"/>
    <cellStyle name="Normal 2 11 4 2 2 3" xfId="42037"/>
    <cellStyle name="Normal 2 11 4 2 2 3 2" xfId="42038"/>
    <cellStyle name="Normal 2 11 4 2 2 4" xfId="42039"/>
    <cellStyle name="Normal 2 11 4 2 2 4 2" xfId="42040"/>
    <cellStyle name="Normal 2 11 4 2 2 5" xfId="42041"/>
    <cellStyle name="Normal 2 11 4 2 2 5 2" xfId="42042"/>
    <cellStyle name="Normal 2 11 4 2 2 6" xfId="42043"/>
    <cellStyle name="Normal 2 11 4 2 3" xfId="42044"/>
    <cellStyle name="Normal 2 11 4 2 3 2" xfId="42045"/>
    <cellStyle name="Normal 2 11 4 2 3 2 2" xfId="42046"/>
    <cellStyle name="Normal 2 11 4 2 3 3" xfId="42047"/>
    <cellStyle name="Normal 2 11 4 2 4" xfId="42048"/>
    <cellStyle name="Normal 2 11 4 2 4 2" xfId="42049"/>
    <cellStyle name="Normal 2 11 4 2 5" xfId="42050"/>
    <cellStyle name="Normal 2 11 4 2 5 2" xfId="42051"/>
    <cellStyle name="Normal 2 11 4 2 6" xfId="42052"/>
    <cellStyle name="Normal 2 11 4 2 6 2" xfId="42053"/>
    <cellStyle name="Normal 2 11 4 2 7" xfId="42054"/>
    <cellStyle name="Normal 2 11 4 3" xfId="42055"/>
    <cellStyle name="Normal 2 11 4 3 2" xfId="42056"/>
    <cellStyle name="Normal 2 11 4 3 2 2" xfId="42057"/>
    <cellStyle name="Normal 2 11 4 3 2 2 2" xfId="42058"/>
    <cellStyle name="Normal 2 11 4 3 2 3" xfId="42059"/>
    <cellStyle name="Normal 2 11 4 3 3" xfId="42060"/>
    <cellStyle name="Normal 2 11 4 3 3 2" xfId="42061"/>
    <cellStyle name="Normal 2 11 4 3 4" xfId="42062"/>
    <cellStyle name="Normal 2 11 4 3 4 2" xfId="42063"/>
    <cellStyle name="Normal 2 11 4 3 5" xfId="42064"/>
    <cellStyle name="Normal 2 11 4 3 5 2" xfId="42065"/>
    <cellStyle name="Normal 2 11 4 3 6" xfId="42066"/>
    <cellStyle name="Normal 2 11 4 4" xfId="42067"/>
    <cellStyle name="Normal 2 11 4 4 2" xfId="42068"/>
    <cellStyle name="Normal 2 11 4 4 2 2" xfId="42069"/>
    <cellStyle name="Normal 2 11 4 4 3" xfId="42070"/>
    <cellStyle name="Normal 2 11 4 5" xfId="42071"/>
    <cellStyle name="Normal 2 11 4 5 2" xfId="42072"/>
    <cellStyle name="Normal 2 11 4 6" xfId="42073"/>
    <cellStyle name="Normal 2 11 4 6 2" xfId="42074"/>
    <cellStyle name="Normal 2 11 4 7" xfId="42075"/>
    <cellStyle name="Normal 2 11 4 7 2" xfId="42076"/>
    <cellStyle name="Normal 2 11 4 8" xfId="42077"/>
    <cellStyle name="Normal 2 11 5" xfId="42078"/>
    <cellStyle name="Normal 2 11 5 2" xfId="42079"/>
    <cellStyle name="Normal 2 11 5 2 2" xfId="42080"/>
    <cellStyle name="Normal 2 11 5 2 2 2" xfId="42081"/>
    <cellStyle name="Normal 2 11 5 2 2 2 2" xfId="42082"/>
    <cellStyle name="Normal 2 11 5 2 2 3" xfId="42083"/>
    <cellStyle name="Normal 2 11 5 2 3" xfId="42084"/>
    <cellStyle name="Normal 2 11 5 2 3 2" xfId="42085"/>
    <cellStyle name="Normal 2 11 5 2 4" xfId="42086"/>
    <cellStyle name="Normal 2 11 5 2 4 2" xfId="42087"/>
    <cellStyle name="Normal 2 11 5 2 5" xfId="42088"/>
    <cellStyle name="Normal 2 11 5 2 5 2" xfId="42089"/>
    <cellStyle name="Normal 2 11 5 2 6" xfId="42090"/>
    <cellStyle name="Normal 2 11 5 3" xfId="42091"/>
    <cellStyle name="Normal 2 11 5 3 2" xfId="42092"/>
    <cellStyle name="Normal 2 11 5 3 2 2" xfId="42093"/>
    <cellStyle name="Normal 2 11 5 3 3" xfId="42094"/>
    <cellStyle name="Normal 2 11 5 4" xfId="42095"/>
    <cellStyle name="Normal 2 11 5 4 2" xfId="42096"/>
    <cellStyle name="Normal 2 11 5 5" xfId="42097"/>
    <cellStyle name="Normal 2 11 5 5 2" xfId="42098"/>
    <cellStyle name="Normal 2 11 5 6" xfId="42099"/>
    <cellStyle name="Normal 2 11 5 6 2" xfId="42100"/>
    <cellStyle name="Normal 2 11 5 7" xfId="42101"/>
    <cellStyle name="Normal 2 11 6" xfId="42102"/>
    <cellStyle name="Normal 2 11 6 2" xfId="42103"/>
    <cellStyle name="Normal 2 11 6 2 2" xfId="42104"/>
    <cellStyle name="Normal 2 11 6 2 2 2" xfId="42105"/>
    <cellStyle name="Normal 2 11 6 2 2 2 2" xfId="42106"/>
    <cellStyle name="Normal 2 11 6 2 2 3" xfId="42107"/>
    <cellStyle name="Normal 2 11 6 2 3" xfId="42108"/>
    <cellStyle name="Normal 2 11 6 2 3 2" xfId="42109"/>
    <cellStyle name="Normal 2 11 6 2 4" xfId="42110"/>
    <cellStyle name="Normal 2 11 6 2 4 2" xfId="42111"/>
    <cellStyle name="Normal 2 11 6 2 5" xfId="42112"/>
    <cellStyle name="Normal 2 11 6 2 5 2" xfId="42113"/>
    <cellStyle name="Normal 2 11 6 2 6" xfId="42114"/>
    <cellStyle name="Normal 2 11 6 3" xfId="42115"/>
    <cellStyle name="Normal 2 11 6 3 2" xfId="42116"/>
    <cellStyle name="Normal 2 11 6 3 2 2" xfId="42117"/>
    <cellStyle name="Normal 2 11 6 3 3" xfId="42118"/>
    <cellStyle name="Normal 2 11 6 4" xfId="42119"/>
    <cellStyle name="Normal 2 11 6 4 2" xfId="42120"/>
    <cellStyle name="Normal 2 11 6 5" xfId="42121"/>
    <cellStyle name="Normal 2 11 6 5 2" xfId="42122"/>
    <cellStyle name="Normal 2 11 6 6" xfId="42123"/>
    <cellStyle name="Normal 2 11 6 6 2" xfId="42124"/>
    <cellStyle name="Normal 2 11 6 7" xfId="42125"/>
    <cellStyle name="Normal 2 11 7" xfId="42126"/>
    <cellStyle name="Normal 2 11 7 2" xfId="42127"/>
    <cellStyle name="Normal 2 11 7 2 2" xfId="42128"/>
    <cellStyle name="Normal 2 11 7 2 2 2" xfId="42129"/>
    <cellStyle name="Normal 2 11 7 2 3" xfId="42130"/>
    <cellStyle name="Normal 2 11 7 3" xfId="42131"/>
    <cellStyle name="Normal 2 11 7 3 2" xfId="42132"/>
    <cellStyle name="Normal 2 11 7 4" xfId="42133"/>
    <cellStyle name="Normal 2 11 7 4 2" xfId="42134"/>
    <cellStyle name="Normal 2 11 7 5" xfId="42135"/>
    <cellStyle name="Normal 2 11 7 5 2" xfId="42136"/>
    <cellStyle name="Normal 2 11 7 6" xfId="42137"/>
    <cellStyle name="Normal 2 11 8" xfId="42138"/>
    <cellStyle name="Normal 2 11 8 2" xfId="42139"/>
    <cellStyle name="Normal 2 11 8 2 2" xfId="42140"/>
    <cellStyle name="Normal 2 11 8 2 2 2" xfId="42141"/>
    <cellStyle name="Normal 2 11 8 2 3" xfId="42142"/>
    <cellStyle name="Normal 2 11 8 3" xfId="42143"/>
    <cellStyle name="Normal 2 11 8 3 2" xfId="42144"/>
    <cellStyle name="Normal 2 11 8 4" xfId="42145"/>
    <cellStyle name="Normal 2 11 8 4 2" xfId="42146"/>
    <cellStyle name="Normal 2 11 8 5" xfId="42147"/>
    <cellStyle name="Normal 2 11 8 5 2" xfId="42148"/>
    <cellStyle name="Normal 2 11 8 6" xfId="42149"/>
    <cellStyle name="Normal 2 11 9" xfId="42150"/>
    <cellStyle name="Normal 2 11 9 2" xfId="42151"/>
    <cellStyle name="Normal 2 11 9 2 2" xfId="42152"/>
    <cellStyle name="Normal 2 11 9 3" xfId="42153"/>
    <cellStyle name="Normal 2 12" xfId="42154"/>
    <cellStyle name="Normal 2 12 10" xfId="42155"/>
    <cellStyle name="Normal 2 12 10 2" xfId="42156"/>
    <cellStyle name="Normal 2 12 11" xfId="42157"/>
    <cellStyle name="Normal 2 12 11 2" xfId="42158"/>
    <cellStyle name="Normal 2 12 12" xfId="42159"/>
    <cellStyle name="Normal 2 12 2" xfId="42160"/>
    <cellStyle name="Normal 2 12 2 2" xfId="42161"/>
    <cellStyle name="Normal 2 12 2 2 2" xfId="42162"/>
    <cellStyle name="Normal 2 12 2 2 2 2" xfId="42163"/>
    <cellStyle name="Normal 2 12 2 2 2 2 2" xfId="42164"/>
    <cellStyle name="Normal 2 12 2 2 2 2 2 2" xfId="42165"/>
    <cellStyle name="Normal 2 12 2 2 2 2 3" xfId="42166"/>
    <cellStyle name="Normal 2 12 2 2 2 3" xfId="42167"/>
    <cellStyle name="Normal 2 12 2 2 2 3 2" xfId="42168"/>
    <cellStyle name="Normal 2 12 2 2 2 4" xfId="42169"/>
    <cellStyle name="Normal 2 12 2 2 2 4 2" xfId="42170"/>
    <cellStyle name="Normal 2 12 2 2 2 5" xfId="42171"/>
    <cellStyle name="Normal 2 12 2 2 2 5 2" xfId="42172"/>
    <cellStyle name="Normal 2 12 2 2 2 6" xfId="42173"/>
    <cellStyle name="Normal 2 12 2 2 3" xfId="42174"/>
    <cellStyle name="Normal 2 12 2 2 3 2" xfId="42175"/>
    <cellStyle name="Normal 2 12 2 2 3 2 2" xfId="42176"/>
    <cellStyle name="Normal 2 12 2 2 3 3" xfId="42177"/>
    <cellStyle name="Normal 2 12 2 2 4" xfId="42178"/>
    <cellStyle name="Normal 2 12 2 2 4 2" xfId="42179"/>
    <cellStyle name="Normal 2 12 2 2 5" xfId="42180"/>
    <cellStyle name="Normal 2 12 2 2 5 2" xfId="42181"/>
    <cellStyle name="Normal 2 12 2 2 6" xfId="42182"/>
    <cellStyle name="Normal 2 12 2 2 6 2" xfId="42183"/>
    <cellStyle name="Normal 2 12 2 2 7" xfId="42184"/>
    <cellStyle name="Normal 2 12 2 3" xfId="42185"/>
    <cellStyle name="Normal 2 12 2 3 2" xfId="42186"/>
    <cellStyle name="Normal 2 12 2 3 2 2" xfId="42187"/>
    <cellStyle name="Normal 2 12 2 3 2 2 2" xfId="42188"/>
    <cellStyle name="Normal 2 12 2 3 2 3" xfId="42189"/>
    <cellStyle name="Normal 2 12 2 3 3" xfId="42190"/>
    <cellStyle name="Normal 2 12 2 3 3 2" xfId="42191"/>
    <cellStyle name="Normal 2 12 2 3 4" xfId="42192"/>
    <cellStyle name="Normal 2 12 2 3 4 2" xfId="42193"/>
    <cellStyle name="Normal 2 12 2 3 5" xfId="42194"/>
    <cellStyle name="Normal 2 12 2 3 5 2" xfId="42195"/>
    <cellStyle name="Normal 2 12 2 3 6" xfId="42196"/>
    <cellStyle name="Normal 2 12 2 4" xfId="42197"/>
    <cellStyle name="Normal 2 12 2 4 2" xfId="42198"/>
    <cellStyle name="Normal 2 12 2 4 2 2" xfId="42199"/>
    <cellStyle name="Normal 2 12 2 4 3" xfId="42200"/>
    <cellStyle name="Normal 2 12 2 5" xfId="42201"/>
    <cellStyle name="Normal 2 12 2 5 2" xfId="42202"/>
    <cellStyle name="Normal 2 12 2 6" xfId="42203"/>
    <cellStyle name="Normal 2 12 2 6 2" xfId="42204"/>
    <cellStyle name="Normal 2 12 2 7" xfId="42205"/>
    <cellStyle name="Normal 2 12 2 7 2" xfId="42206"/>
    <cellStyle name="Normal 2 12 2 8" xfId="42207"/>
    <cellStyle name="Normal 2 12 3" xfId="42208"/>
    <cellStyle name="Normal 2 12 3 2" xfId="42209"/>
    <cellStyle name="Normal 2 12 3 2 2" xfId="42210"/>
    <cellStyle name="Normal 2 12 3 2 2 2" xfId="42211"/>
    <cellStyle name="Normal 2 12 3 2 2 2 2" xfId="42212"/>
    <cellStyle name="Normal 2 12 3 2 2 2 2 2" xfId="42213"/>
    <cellStyle name="Normal 2 12 3 2 2 2 3" xfId="42214"/>
    <cellStyle name="Normal 2 12 3 2 2 3" xfId="42215"/>
    <cellStyle name="Normal 2 12 3 2 2 3 2" xfId="42216"/>
    <cellStyle name="Normal 2 12 3 2 2 4" xfId="42217"/>
    <cellStyle name="Normal 2 12 3 2 2 4 2" xfId="42218"/>
    <cellStyle name="Normal 2 12 3 2 2 5" xfId="42219"/>
    <cellStyle name="Normal 2 12 3 2 2 5 2" xfId="42220"/>
    <cellStyle name="Normal 2 12 3 2 2 6" xfId="42221"/>
    <cellStyle name="Normal 2 12 3 2 3" xfId="42222"/>
    <cellStyle name="Normal 2 12 3 2 3 2" xfId="42223"/>
    <cellStyle name="Normal 2 12 3 2 3 2 2" xfId="42224"/>
    <cellStyle name="Normal 2 12 3 2 3 3" xfId="42225"/>
    <cellStyle name="Normal 2 12 3 2 4" xfId="42226"/>
    <cellStyle name="Normal 2 12 3 2 4 2" xfId="42227"/>
    <cellStyle name="Normal 2 12 3 2 5" xfId="42228"/>
    <cellStyle name="Normal 2 12 3 2 5 2" xfId="42229"/>
    <cellStyle name="Normal 2 12 3 2 6" xfId="42230"/>
    <cellStyle name="Normal 2 12 3 2 6 2" xfId="42231"/>
    <cellStyle name="Normal 2 12 3 2 7" xfId="42232"/>
    <cellStyle name="Normal 2 12 3 3" xfId="42233"/>
    <cellStyle name="Normal 2 12 3 3 2" xfId="42234"/>
    <cellStyle name="Normal 2 12 3 3 2 2" xfId="42235"/>
    <cellStyle name="Normal 2 12 3 3 2 2 2" xfId="42236"/>
    <cellStyle name="Normal 2 12 3 3 2 3" xfId="42237"/>
    <cellStyle name="Normal 2 12 3 3 3" xfId="42238"/>
    <cellStyle name="Normal 2 12 3 3 3 2" xfId="42239"/>
    <cellStyle name="Normal 2 12 3 3 4" xfId="42240"/>
    <cellStyle name="Normal 2 12 3 3 4 2" xfId="42241"/>
    <cellStyle name="Normal 2 12 3 3 5" xfId="42242"/>
    <cellStyle name="Normal 2 12 3 3 5 2" xfId="42243"/>
    <cellStyle name="Normal 2 12 3 3 6" xfId="42244"/>
    <cellStyle name="Normal 2 12 3 4" xfId="42245"/>
    <cellStyle name="Normal 2 12 3 4 2" xfId="42246"/>
    <cellStyle name="Normal 2 12 3 4 2 2" xfId="42247"/>
    <cellStyle name="Normal 2 12 3 4 3" xfId="42248"/>
    <cellStyle name="Normal 2 12 3 5" xfId="42249"/>
    <cellStyle name="Normal 2 12 3 5 2" xfId="42250"/>
    <cellStyle name="Normal 2 12 3 6" xfId="42251"/>
    <cellStyle name="Normal 2 12 3 6 2" xfId="42252"/>
    <cellStyle name="Normal 2 12 3 7" xfId="42253"/>
    <cellStyle name="Normal 2 12 3 7 2" xfId="42254"/>
    <cellStyle name="Normal 2 12 3 8" xfId="42255"/>
    <cellStyle name="Normal 2 12 4" xfId="42256"/>
    <cellStyle name="Normal 2 12 4 2" xfId="42257"/>
    <cellStyle name="Normal 2 12 4 2 2" xfId="42258"/>
    <cellStyle name="Normal 2 12 4 2 2 2" xfId="42259"/>
    <cellStyle name="Normal 2 12 4 2 2 2 2" xfId="42260"/>
    <cellStyle name="Normal 2 12 4 2 2 3" xfId="42261"/>
    <cellStyle name="Normal 2 12 4 2 3" xfId="42262"/>
    <cellStyle name="Normal 2 12 4 2 3 2" xfId="42263"/>
    <cellStyle name="Normal 2 12 4 2 4" xfId="42264"/>
    <cellStyle name="Normal 2 12 4 2 4 2" xfId="42265"/>
    <cellStyle name="Normal 2 12 4 2 5" xfId="42266"/>
    <cellStyle name="Normal 2 12 4 2 5 2" xfId="42267"/>
    <cellStyle name="Normal 2 12 4 2 6" xfId="42268"/>
    <cellStyle name="Normal 2 12 4 3" xfId="42269"/>
    <cellStyle name="Normal 2 12 4 3 2" xfId="42270"/>
    <cellStyle name="Normal 2 12 4 3 2 2" xfId="42271"/>
    <cellStyle name="Normal 2 12 4 3 3" xfId="42272"/>
    <cellStyle name="Normal 2 12 4 4" xfId="42273"/>
    <cellStyle name="Normal 2 12 4 4 2" xfId="42274"/>
    <cellStyle name="Normal 2 12 4 5" xfId="42275"/>
    <cellStyle name="Normal 2 12 4 5 2" xfId="42276"/>
    <cellStyle name="Normal 2 12 4 6" xfId="42277"/>
    <cellStyle name="Normal 2 12 4 6 2" xfId="42278"/>
    <cellStyle name="Normal 2 12 4 7" xfId="42279"/>
    <cellStyle name="Normal 2 12 5" xfId="42280"/>
    <cellStyle name="Normal 2 12 5 2" xfId="42281"/>
    <cellStyle name="Normal 2 12 5 2 2" xfId="42282"/>
    <cellStyle name="Normal 2 12 5 2 2 2" xfId="42283"/>
    <cellStyle name="Normal 2 12 5 2 2 2 2" xfId="42284"/>
    <cellStyle name="Normal 2 12 5 2 2 3" xfId="42285"/>
    <cellStyle name="Normal 2 12 5 2 3" xfId="42286"/>
    <cellStyle name="Normal 2 12 5 2 3 2" xfId="42287"/>
    <cellStyle name="Normal 2 12 5 2 4" xfId="42288"/>
    <cellStyle name="Normal 2 12 5 2 4 2" xfId="42289"/>
    <cellStyle name="Normal 2 12 5 2 5" xfId="42290"/>
    <cellStyle name="Normal 2 12 5 2 5 2" xfId="42291"/>
    <cellStyle name="Normal 2 12 5 2 6" xfId="42292"/>
    <cellStyle name="Normal 2 12 5 3" xfId="42293"/>
    <cellStyle name="Normal 2 12 5 3 2" xfId="42294"/>
    <cellStyle name="Normal 2 12 5 3 2 2" xfId="42295"/>
    <cellStyle name="Normal 2 12 5 3 3" xfId="42296"/>
    <cellStyle name="Normal 2 12 5 4" xfId="42297"/>
    <cellStyle name="Normal 2 12 5 4 2" xfId="42298"/>
    <cellStyle name="Normal 2 12 5 5" xfId="42299"/>
    <cellStyle name="Normal 2 12 5 5 2" xfId="42300"/>
    <cellStyle name="Normal 2 12 5 6" xfId="42301"/>
    <cellStyle name="Normal 2 12 5 6 2" xfId="42302"/>
    <cellStyle name="Normal 2 12 5 7" xfId="42303"/>
    <cellStyle name="Normal 2 12 6" xfId="42304"/>
    <cellStyle name="Normal 2 12 6 2" xfId="42305"/>
    <cellStyle name="Normal 2 12 6 2 2" xfId="42306"/>
    <cellStyle name="Normal 2 12 6 2 2 2" xfId="42307"/>
    <cellStyle name="Normal 2 12 6 2 3" xfId="42308"/>
    <cellStyle name="Normal 2 12 6 3" xfId="42309"/>
    <cellStyle name="Normal 2 12 6 3 2" xfId="42310"/>
    <cellStyle name="Normal 2 12 6 4" xfId="42311"/>
    <cellStyle name="Normal 2 12 6 4 2" xfId="42312"/>
    <cellStyle name="Normal 2 12 6 5" xfId="42313"/>
    <cellStyle name="Normal 2 12 6 5 2" xfId="42314"/>
    <cellStyle name="Normal 2 12 6 6" xfId="42315"/>
    <cellStyle name="Normal 2 12 7" xfId="42316"/>
    <cellStyle name="Normal 2 12 7 2" xfId="42317"/>
    <cellStyle name="Normal 2 12 7 2 2" xfId="42318"/>
    <cellStyle name="Normal 2 12 7 2 2 2" xfId="42319"/>
    <cellStyle name="Normal 2 12 7 2 3" xfId="42320"/>
    <cellStyle name="Normal 2 12 7 3" xfId="42321"/>
    <cellStyle name="Normal 2 12 7 3 2" xfId="42322"/>
    <cellStyle name="Normal 2 12 7 4" xfId="42323"/>
    <cellStyle name="Normal 2 12 7 4 2" xfId="42324"/>
    <cellStyle name="Normal 2 12 7 5" xfId="42325"/>
    <cellStyle name="Normal 2 12 7 5 2" xfId="42326"/>
    <cellStyle name="Normal 2 12 7 6" xfId="42327"/>
    <cellStyle name="Normal 2 12 8" xfId="42328"/>
    <cellStyle name="Normal 2 12 8 2" xfId="42329"/>
    <cellStyle name="Normal 2 12 8 2 2" xfId="42330"/>
    <cellStyle name="Normal 2 12 8 3" xfId="42331"/>
    <cellStyle name="Normal 2 12 9" xfId="42332"/>
    <cellStyle name="Normal 2 12 9 2" xfId="42333"/>
    <cellStyle name="Normal 2 13" xfId="42334"/>
    <cellStyle name="Normal 2 13 10" xfId="42335"/>
    <cellStyle name="Normal 2 13 10 2" xfId="42336"/>
    <cellStyle name="Normal 2 13 10 2 2" xfId="42337"/>
    <cellStyle name="Normal 2 13 10 3" xfId="42338"/>
    <cellStyle name="Normal 2 13 11" xfId="42339"/>
    <cellStyle name="Normal 2 13 11 2" xfId="42340"/>
    <cellStyle name="Normal 2 13 12" xfId="42341"/>
    <cellStyle name="Normal 2 13 12 2" xfId="42342"/>
    <cellStyle name="Normal 2 13 13" xfId="42343"/>
    <cellStyle name="Normal 2 13 13 2" xfId="42344"/>
    <cellStyle name="Normal 2 13 14" xfId="42345"/>
    <cellStyle name="Normal 2 13 2" xfId="42346"/>
    <cellStyle name="Normal 2 13 2 2" xfId="42347"/>
    <cellStyle name="Normal 2 13 2 3" xfId="42348"/>
    <cellStyle name="Normal 2 13 2 4" xfId="42349"/>
    <cellStyle name="Normal 2 13 2 5" xfId="42350"/>
    <cellStyle name="Normal 2 13 3" xfId="42351"/>
    <cellStyle name="Normal 2 13 3 2" xfId="42352"/>
    <cellStyle name="Normal 2 13 3 2 2" xfId="42353"/>
    <cellStyle name="Normal 2 13 3 2 2 2" xfId="42354"/>
    <cellStyle name="Normal 2 13 3 2 2 2 2" xfId="42355"/>
    <cellStyle name="Normal 2 13 3 2 2 2 2 2" xfId="42356"/>
    <cellStyle name="Normal 2 13 3 2 2 2 3" xfId="42357"/>
    <cellStyle name="Normal 2 13 3 2 2 3" xfId="42358"/>
    <cellStyle name="Normal 2 13 3 2 2 3 2" xfId="42359"/>
    <cellStyle name="Normal 2 13 3 2 2 4" xfId="42360"/>
    <cellStyle name="Normal 2 13 3 2 2 4 2" xfId="42361"/>
    <cellStyle name="Normal 2 13 3 2 2 5" xfId="42362"/>
    <cellStyle name="Normal 2 13 3 2 2 5 2" xfId="42363"/>
    <cellStyle name="Normal 2 13 3 2 2 6" xfId="42364"/>
    <cellStyle name="Normal 2 13 3 2 3" xfId="42365"/>
    <cellStyle name="Normal 2 13 3 2 3 2" xfId="42366"/>
    <cellStyle name="Normal 2 13 3 2 3 2 2" xfId="42367"/>
    <cellStyle name="Normal 2 13 3 2 3 3" xfId="42368"/>
    <cellStyle name="Normal 2 13 3 2 4" xfId="42369"/>
    <cellStyle name="Normal 2 13 3 2 4 2" xfId="42370"/>
    <cellStyle name="Normal 2 13 3 2 5" xfId="42371"/>
    <cellStyle name="Normal 2 13 3 2 5 2" xfId="42372"/>
    <cellStyle name="Normal 2 13 3 2 6" xfId="42373"/>
    <cellStyle name="Normal 2 13 3 2 6 2" xfId="42374"/>
    <cellStyle name="Normal 2 13 3 2 7" xfId="42375"/>
    <cellStyle name="Normal 2 13 3 3" xfId="42376"/>
    <cellStyle name="Normal 2 13 3 3 2" xfId="42377"/>
    <cellStyle name="Normal 2 13 3 3 2 2" xfId="42378"/>
    <cellStyle name="Normal 2 13 3 3 2 2 2" xfId="42379"/>
    <cellStyle name="Normal 2 13 3 3 2 3" xfId="42380"/>
    <cellStyle name="Normal 2 13 3 3 3" xfId="42381"/>
    <cellStyle name="Normal 2 13 3 3 3 2" xfId="42382"/>
    <cellStyle name="Normal 2 13 3 3 4" xfId="42383"/>
    <cellStyle name="Normal 2 13 3 3 4 2" xfId="42384"/>
    <cellStyle name="Normal 2 13 3 3 5" xfId="42385"/>
    <cellStyle name="Normal 2 13 3 3 5 2" xfId="42386"/>
    <cellStyle name="Normal 2 13 3 3 6" xfId="42387"/>
    <cellStyle name="Normal 2 13 3 4" xfId="42388"/>
    <cellStyle name="Normal 2 13 3 4 2" xfId="42389"/>
    <cellStyle name="Normal 2 13 3 4 2 2" xfId="42390"/>
    <cellStyle name="Normal 2 13 3 4 3" xfId="42391"/>
    <cellStyle name="Normal 2 13 3 5" xfId="42392"/>
    <cellStyle name="Normal 2 13 3 5 2" xfId="42393"/>
    <cellStyle name="Normal 2 13 3 6" xfId="42394"/>
    <cellStyle name="Normal 2 13 3 6 2" xfId="42395"/>
    <cellStyle name="Normal 2 13 3 7" xfId="42396"/>
    <cellStyle name="Normal 2 13 3 7 2" xfId="42397"/>
    <cellStyle name="Normal 2 13 3 8" xfId="42398"/>
    <cellStyle name="Normal 2 13 4" xfId="42399"/>
    <cellStyle name="Normal 2 13 4 2" xfId="42400"/>
    <cellStyle name="Normal 2 13 4 2 2" xfId="42401"/>
    <cellStyle name="Normal 2 13 4 2 2 2" xfId="42402"/>
    <cellStyle name="Normal 2 13 4 2 2 2 2" xfId="42403"/>
    <cellStyle name="Normal 2 13 4 2 2 2 2 2" xfId="42404"/>
    <cellStyle name="Normal 2 13 4 2 2 2 3" xfId="42405"/>
    <cellStyle name="Normal 2 13 4 2 2 3" xfId="42406"/>
    <cellStyle name="Normal 2 13 4 2 2 3 2" xfId="42407"/>
    <cellStyle name="Normal 2 13 4 2 2 4" xfId="42408"/>
    <cellStyle name="Normal 2 13 4 2 2 4 2" xfId="42409"/>
    <cellStyle name="Normal 2 13 4 2 2 5" xfId="42410"/>
    <cellStyle name="Normal 2 13 4 2 2 5 2" xfId="42411"/>
    <cellStyle name="Normal 2 13 4 2 2 6" xfId="42412"/>
    <cellStyle name="Normal 2 13 4 2 3" xfId="42413"/>
    <cellStyle name="Normal 2 13 4 2 3 2" xfId="42414"/>
    <cellStyle name="Normal 2 13 4 2 3 2 2" xfId="42415"/>
    <cellStyle name="Normal 2 13 4 2 3 3" xfId="42416"/>
    <cellStyle name="Normal 2 13 4 2 4" xfId="42417"/>
    <cellStyle name="Normal 2 13 4 2 4 2" xfId="42418"/>
    <cellStyle name="Normal 2 13 4 2 5" xfId="42419"/>
    <cellStyle name="Normal 2 13 4 2 5 2" xfId="42420"/>
    <cellStyle name="Normal 2 13 4 2 6" xfId="42421"/>
    <cellStyle name="Normal 2 13 4 2 6 2" xfId="42422"/>
    <cellStyle name="Normal 2 13 4 2 7" xfId="42423"/>
    <cellStyle name="Normal 2 13 4 3" xfId="42424"/>
    <cellStyle name="Normal 2 13 4 3 2" xfId="42425"/>
    <cellStyle name="Normal 2 13 4 3 2 2" xfId="42426"/>
    <cellStyle name="Normal 2 13 4 3 2 2 2" xfId="42427"/>
    <cellStyle name="Normal 2 13 4 3 2 3" xfId="42428"/>
    <cellStyle name="Normal 2 13 4 3 3" xfId="42429"/>
    <cellStyle name="Normal 2 13 4 3 3 2" xfId="42430"/>
    <cellStyle name="Normal 2 13 4 3 4" xfId="42431"/>
    <cellStyle name="Normal 2 13 4 3 4 2" xfId="42432"/>
    <cellStyle name="Normal 2 13 4 3 5" xfId="42433"/>
    <cellStyle name="Normal 2 13 4 3 5 2" xfId="42434"/>
    <cellStyle name="Normal 2 13 4 3 6" xfId="42435"/>
    <cellStyle name="Normal 2 13 4 4" xfId="42436"/>
    <cellStyle name="Normal 2 13 4 4 2" xfId="42437"/>
    <cellStyle name="Normal 2 13 4 4 2 2" xfId="42438"/>
    <cellStyle name="Normal 2 13 4 4 3" xfId="42439"/>
    <cellStyle name="Normal 2 13 4 5" xfId="42440"/>
    <cellStyle name="Normal 2 13 4 5 2" xfId="42441"/>
    <cellStyle name="Normal 2 13 4 6" xfId="42442"/>
    <cellStyle name="Normal 2 13 4 6 2" xfId="42443"/>
    <cellStyle name="Normal 2 13 4 7" xfId="42444"/>
    <cellStyle name="Normal 2 13 4 7 2" xfId="42445"/>
    <cellStyle name="Normal 2 13 4 8" xfId="42446"/>
    <cellStyle name="Normal 2 13 5" xfId="42447"/>
    <cellStyle name="Normal 2 13 5 2" xfId="42448"/>
    <cellStyle name="Normal 2 13 5 2 2" xfId="42449"/>
    <cellStyle name="Normal 2 13 5 2 2 2" xfId="42450"/>
    <cellStyle name="Normal 2 13 5 2 2 2 2" xfId="42451"/>
    <cellStyle name="Normal 2 13 5 2 2 3" xfId="42452"/>
    <cellStyle name="Normal 2 13 5 2 3" xfId="42453"/>
    <cellStyle name="Normal 2 13 5 2 3 2" xfId="42454"/>
    <cellStyle name="Normal 2 13 5 2 4" xfId="42455"/>
    <cellStyle name="Normal 2 13 5 2 4 2" xfId="42456"/>
    <cellStyle name="Normal 2 13 5 2 5" xfId="42457"/>
    <cellStyle name="Normal 2 13 5 2 5 2" xfId="42458"/>
    <cellStyle name="Normal 2 13 5 2 6" xfId="42459"/>
    <cellStyle name="Normal 2 13 5 3" xfId="42460"/>
    <cellStyle name="Normal 2 13 5 3 2" xfId="42461"/>
    <cellStyle name="Normal 2 13 5 3 2 2" xfId="42462"/>
    <cellStyle name="Normal 2 13 5 3 3" xfId="42463"/>
    <cellStyle name="Normal 2 13 5 4" xfId="42464"/>
    <cellStyle name="Normal 2 13 5 4 2" xfId="42465"/>
    <cellStyle name="Normal 2 13 5 5" xfId="42466"/>
    <cellStyle name="Normal 2 13 5 5 2" xfId="42467"/>
    <cellStyle name="Normal 2 13 5 6" xfId="42468"/>
    <cellStyle name="Normal 2 13 5 6 2" xfId="42469"/>
    <cellStyle name="Normal 2 13 5 7" xfId="42470"/>
    <cellStyle name="Normal 2 13 6" xfId="42471"/>
    <cellStyle name="Normal 2 13 6 2" xfId="42472"/>
    <cellStyle name="Normal 2 13 6 2 2" xfId="42473"/>
    <cellStyle name="Normal 2 13 6 2 2 2" xfId="42474"/>
    <cellStyle name="Normal 2 13 6 2 2 2 2" xfId="42475"/>
    <cellStyle name="Normal 2 13 6 2 2 3" xfId="42476"/>
    <cellStyle name="Normal 2 13 6 2 3" xfId="42477"/>
    <cellStyle name="Normal 2 13 6 2 3 2" xfId="42478"/>
    <cellStyle name="Normal 2 13 6 2 4" xfId="42479"/>
    <cellStyle name="Normal 2 13 6 2 4 2" xfId="42480"/>
    <cellStyle name="Normal 2 13 6 2 5" xfId="42481"/>
    <cellStyle name="Normal 2 13 6 2 5 2" xfId="42482"/>
    <cellStyle name="Normal 2 13 6 2 6" xfId="42483"/>
    <cellStyle name="Normal 2 13 6 3" xfId="42484"/>
    <cellStyle name="Normal 2 13 6 3 2" xfId="42485"/>
    <cellStyle name="Normal 2 13 6 3 2 2" xfId="42486"/>
    <cellStyle name="Normal 2 13 6 3 3" xfId="42487"/>
    <cellStyle name="Normal 2 13 6 4" xfId="42488"/>
    <cellStyle name="Normal 2 13 6 4 2" xfId="42489"/>
    <cellStyle name="Normal 2 13 6 5" xfId="42490"/>
    <cellStyle name="Normal 2 13 6 5 2" xfId="42491"/>
    <cellStyle name="Normal 2 13 6 6" xfId="42492"/>
    <cellStyle name="Normal 2 13 6 6 2" xfId="42493"/>
    <cellStyle name="Normal 2 13 6 7" xfId="42494"/>
    <cellStyle name="Normal 2 13 7" xfId="42495"/>
    <cellStyle name="Normal 2 13 7 2" xfId="42496"/>
    <cellStyle name="Normal 2 13 7 2 2" xfId="42497"/>
    <cellStyle name="Normal 2 13 7 2 2 2" xfId="42498"/>
    <cellStyle name="Normal 2 13 7 2 3" xfId="42499"/>
    <cellStyle name="Normal 2 13 7 3" xfId="42500"/>
    <cellStyle name="Normal 2 13 7 3 2" xfId="42501"/>
    <cellStyle name="Normal 2 13 7 4" xfId="42502"/>
    <cellStyle name="Normal 2 13 7 4 2" xfId="42503"/>
    <cellStyle name="Normal 2 13 7 5" xfId="42504"/>
    <cellStyle name="Normal 2 13 7 5 2" xfId="42505"/>
    <cellStyle name="Normal 2 13 7 6" xfId="42506"/>
    <cellStyle name="Normal 2 13 8" xfId="42507"/>
    <cellStyle name="Normal 2 13 8 2" xfId="42508"/>
    <cellStyle name="Normal 2 13 8 2 2" xfId="42509"/>
    <cellStyle name="Normal 2 13 8 2 2 2" xfId="42510"/>
    <cellStyle name="Normal 2 13 8 2 3" xfId="42511"/>
    <cellStyle name="Normal 2 13 8 3" xfId="42512"/>
    <cellStyle name="Normal 2 13 8 3 2" xfId="42513"/>
    <cellStyle name="Normal 2 13 8 4" xfId="42514"/>
    <cellStyle name="Normal 2 13 8 4 2" xfId="42515"/>
    <cellStyle name="Normal 2 13 8 5" xfId="42516"/>
    <cellStyle name="Normal 2 13 8 5 2" xfId="42517"/>
    <cellStyle name="Normal 2 13 8 6" xfId="42518"/>
    <cellStyle name="Normal 2 13 9" xfId="42519"/>
    <cellStyle name="Normal 2 13 9 2" xfId="42520"/>
    <cellStyle name="Normal 2 13 9 2 2" xfId="42521"/>
    <cellStyle name="Normal 2 13 9 2 2 2" xfId="42522"/>
    <cellStyle name="Normal 2 13 9 2 3" xfId="42523"/>
    <cellStyle name="Normal 2 13 9 3" xfId="42524"/>
    <cellStyle name="Normal 2 13 9 3 2" xfId="42525"/>
    <cellStyle name="Normal 2 13 9 4" xfId="42526"/>
    <cellStyle name="Normal 2 13 9 4 2" xfId="42527"/>
    <cellStyle name="Normal 2 13 9 5" xfId="42528"/>
    <cellStyle name="Normal 2 13 9 5 2" xfId="42529"/>
    <cellStyle name="Normal 2 13 9 6" xfId="42530"/>
    <cellStyle name="Normal 2 14" xfId="42531"/>
    <cellStyle name="Normal 2 14 2" xfId="42532"/>
    <cellStyle name="Normal 2 14 2 2" xfId="42533"/>
    <cellStyle name="Normal 2 15" xfId="42534"/>
    <cellStyle name="Normal 2 15 2" xfId="42535"/>
    <cellStyle name="Normal 2 15 2 2" xfId="42536"/>
    <cellStyle name="Normal 2 15 2 2 2" xfId="42537"/>
    <cellStyle name="Normal 2 15 2 2 2 2" xfId="42538"/>
    <cellStyle name="Normal 2 15 2 2 2 2 2" xfId="42539"/>
    <cellStyle name="Normal 2 15 2 2 2 3" xfId="42540"/>
    <cellStyle name="Normal 2 15 2 2 3" xfId="42541"/>
    <cellStyle name="Normal 2 15 2 2 3 2" xfId="42542"/>
    <cellStyle name="Normal 2 15 2 2 4" xfId="42543"/>
    <cellStyle name="Normal 2 15 2 2 4 2" xfId="42544"/>
    <cellStyle name="Normal 2 15 2 2 5" xfId="42545"/>
    <cellStyle name="Normal 2 15 2 2 5 2" xfId="42546"/>
    <cellStyle name="Normal 2 15 2 2 6" xfId="42547"/>
    <cellStyle name="Normal 2 15 2 3" xfId="42548"/>
    <cellStyle name="Normal 2 15 2 3 2" xfId="42549"/>
    <cellStyle name="Normal 2 15 2 3 2 2" xfId="42550"/>
    <cellStyle name="Normal 2 15 2 3 3" xfId="42551"/>
    <cellStyle name="Normal 2 15 2 4" xfId="42552"/>
    <cellStyle name="Normal 2 15 2 4 2" xfId="42553"/>
    <cellStyle name="Normal 2 15 2 5" xfId="42554"/>
    <cellStyle name="Normal 2 15 2 5 2" xfId="42555"/>
    <cellStyle name="Normal 2 15 2 6" xfId="42556"/>
    <cellStyle name="Normal 2 15 2 6 2" xfId="42557"/>
    <cellStyle name="Normal 2 15 2 7" xfId="42558"/>
    <cellStyle name="Normal 2 15 3" xfId="42559"/>
    <cellStyle name="Normal 2 15 3 2" xfId="42560"/>
    <cellStyle name="Normal 2 15 3 2 2" xfId="42561"/>
    <cellStyle name="Normal 2 15 3 2 2 2" xfId="42562"/>
    <cellStyle name="Normal 2 15 3 2 3" xfId="42563"/>
    <cellStyle name="Normal 2 15 3 3" xfId="42564"/>
    <cellStyle name="Normal 2 15 3 3 2" xfId="42565"/>
    <cellStyle name="Normal 2 15 3 4" xfId="42566"/>
    <cellStyle name="Normal 2 15 3 4 2" xfId="42567"/>
    <cellStyle name="Normal 2 15 3 5" xfId="42568"/>
    <cellStyle name="Normal 2 15 3 5 2" xfId="42569"/>
    <cellStyle name="Normal 2 15 3 6" xfId="42570"/>
    <cellStyle name="Normal 2 15 4" xfId="42571"/>
    <cellStyle name="Normal 2 15 4 2" xfId="42572"/>
    <cellStyle name="Normal 2 15 4 2 2" xfId="42573"/>
    <cellStyle name="Normal 2 15 4 3" xfId="42574"/>
    <cellStyle name="Normal 2 15 5" xfId="42575"/>
    <cellStyle name="Normal 2 15 5 2" xfId="42576"/>
    <cellStyle name="Normal 2 15 6" xfId="42577"/>
    <cellStyle name="Normal 2 15 6 2" xfId="42578"/>
    <cellStyle name="Normal 2 15 7" xfId="42579"/>
    <cellStyle name="Normal 2 15 7 2" xfId="42580"/>
    <cellStyle name="Normal 2 15 8" xfId="42581"/>
    <cellStyle name="Normal 2 16" xfId="42582"/>
    <cellStyle name="Normal 2 16 2" xfId="42583"/>
    <cellStyle name="Normal 2 16 2 2" xfId="42584"/>
    <cellStyle name="Normal 2 16 2 2 2" xfId="42585"/>
    <cellStyle name="Normal 2 16 2 2 2 2" xfId="42586"/>
    <cellStyle name="Normal 2 16 2 2 2 2 2" xfId="42587"/>
    <cellStyle name="Normal 2 16 2 2 2 2 2 2" xfId="42588"/>
    <cellStyle name="Normal 2 16 2 2 2 2 2 2 2" xfId="42589"/>
    <cellStyle name="Normal 2 16 2 2 2 2 2 3" xfId="42590"/>
    <cellStyle name="Normal 2 16 2 2 2 2 3" xfId="42591"/>
    <cellStyle name="Normal 2 16 2 2 2 2 3 2" xfId="42592"/>
    <cellStyle name="Normal 2 16 2 2 2 2 4" xfId="42593"/>
    <cellStyle name="Normal 2 16 2 2 2 3" xfId="42594"/>
    <cellStyle name="Normal 2 16 2 2 2 3 2" xfId="42595"/>
    <cellStyle name="Normal 2 16 2 2 2 3 2 2" xfId="42596"/>
    <cellStyle name="Normal 2 16 2 2 2 3 3" xfId="42597"/>
    <cellStyle name="Normal 2 16 2 2 2 4" xfId="42598"/>
    <cellStyle name="Normal 2 16 2 2 2 4 2" xfId="42599"/>
    <cellStyle name="Normal 2 16 2 2 2 5" xfId="42600"/>
    <cellStyle name="Normal 2 16 2 2 3" xfId="42601"/>
    <cellStyle name="Normal 2 16 2 2 3 2" xfId="42602"/>
    <cellStyle name="Normal 2 16 2 2 3 2 2" xfId="42603"/>
    <cellStyle name="Normal 2 16 2 2 3 2 2 2" xfId="42604"/>
    <cellStyle name="Normal 2 16 2 2 3 2 3" xfId="42605"/>
    <cellStyle name="Normal 2 16 2 2 3 3" xfId="42606"/>
    <cellStyle name="Normal 2 16 2 2 3 3 2" xfId="42607"/>
    <cellStyle name="Normal 2 16 2 2 3 4" xfId="42608"/>
    <cellStyle name="Normal 2 16 2 2 4" xfId="42609"/>
    <cellStyle name="Normal 2 16 2 2 4 2" xfId="42610"/>
    <cellStyle name="Normal 2 16 2 2 4 2 2" xfId="42611"/>
    <cellStyle name="Normal 2 16 2 2 4 3" xfId="42612"/>
    <cellStyle name="Normal 2 16 2 2 5" xfId="42613"/>
    <cellStyle name="Normal 2 16 2 2 5 2" xfId="42614"/>
    <cellStyle name="Normal 2 16 2 2 6" xfId="42615"/>
    <cellStyle name="Normal 2 16 2 3" xfId="42616"/>
    <cellStyle name="Normal 2 16 2 3 2" xfId="42617"/>
    <cellStyle name="Normal 2 16 2 3 2 2" xfId="42618"/>
    <cellStyle name="Normal 2 16 2 3 3" xfId="42619"/>
    <cellStyle name="Normal 2 16 2 4" xfId="42620"/>
    <cellStyle name="Normal 2 16 2 4 2" xfId="42621"/>
    <cellStyle name="Normal 2 16 2 5" xfId="42622"/>
    <cellStyle name="Normal 2 16 2 5 2" xfId="42623"/>
    <cellStyle name="Normal 2 16 2 6" xfId="42624"/>
    <cellStyle name="Normal 2 16 2 6 2" xfId="42625"/>
    <cellStyle name="Normal 2 16 2 7" xfId="42626"/>
    <cellStyle name="Normal 2 16 3" xfId="42627"/>
    <cellStyle name="Normal 2 16 3 2" xfId="42628"/>
    <cellStyle name="Normal 2 16 3 2 2" xfId="42629"/>
    <cellStyle name="Normal 2 16 3 2 2 2" xfId="42630"/>
    <cellStyle name="Normal 2 16 3 2 3" xfId="42631"/>
    <cellStyle name="Normal 2 16 3 3" xfId="42632"/>
    <cellStyle name="Normal 2 16 3 3 2" xfId="42633"/>
    <cellStyle name="Normal 2 16 3 4" xfId="42634"/>
    <cellStyle name="Normal 2 16 3 4 2" xfId="42635"/>
    <cellStyle name="Normal 2 16 3 5" xfId="42636"/>
    <cellStyle name="Normal 2 16 3 5 2" xfId="42637"/>
    <cellStyle name="Normal 2 16 3 6" xfId="42638"/>
    <cellStyle name="Normal 2 16 4" xfId="42639"/>
    <cellStyle name="Normal 2 16 4 2" xfId="42640"/>
    <cellStyle name="Normal 2 16 4 2 2" xfId="42641"/>
    <cellStyle name="Normal 2 16 4 3" xfId="42642"/>
    <cellStyle name="Normal 2 16 5" xfId="42643"/>
    <cellStyle name="Normal 2 16 5 2" xfId="42644"/>
    <cellStyle name="Normal 2 16 6" xfId="42645"/>
    <cellStyle name="Normal 2 16 6 2" xfId="42646"/>
    <cellStyle name="Normal 2 16 7" xfId="42647"/>
    <cellStyle name="Normal 2 16 7 2" xfId="42648"/>
    <cellStyle name="Normal 2 16 8" xfId="42649"/>
    <cellStyle name="Normal 2 17" xfId="42650"/>
    <cellStyle name="Normal 2 17 2" xfId="42651"/>
    <cellStyle name="Normal 2 17 2 2" xfId="42652"/>
    <cellStyle name="Normal 2 17 2 2 2" xfId="42653"/>
    <cellStyle name="Normal 2 17 2 2 2 2" xfId="42654"/>
    <cellStyle name="Normal 2 17 2 2 2 2 2" xfId="42655"/>
    <cellStyle name="Normal 2 17 2 2 2 3" xfId="42656"/>
    <cellStyle name="Normal 2 17 2 2 3" xfId="42657"/>
    <cellStyle name="Normal 2 17 2 2 3 2" xfId="42658"/>
    <cellStyle name="Normal 2 17 2 2 4" xfId="42659"/>
    <cellStyle name="Normal 2 17 2 2 4 2" xfId="42660"/>
    <cellStyle name="Normal 2 17 2 2 5" xfId="42661"/>
    <cellStyle name="Normal 2 17 2 2 5 2" xfId="42662"/>
    <cellStyle name="Normal 2 17 2 2 6" xfId="42663"/>
    <cellStyle name="Normal 2 17 2 3" xfId="42664"/>
    <cellStyle name="Normal 2 17 2 3 2" xfId="42665"/>
    <cellStyle name="Normal 2 17 2 3 2 2" xfId="42666"/>
    <cellStyle name="Normal 2 17 2 3 3" xfId="42667"/>
    <cellStyle name="Normal 2 17 2 4" xfId="42668"/>
    <cellStyle name="Normal 2 17 2 4 2" xfId="42669"/>
    <cellStyle name="Normal 2 17 2 5" xfId="42670"/>
    <cellStyle name="Normal 2 17 2 5 2" xfId="42671"/>
    <cellStyle name="Normal 2 17 2 6" xfId="42672"/>
    <cellStyle name="Normal 2 17 2 6 2" xfId="42673"/>
    <cellStyle name="Normal 2 17 2 7" xfId="42674"/>
    <cellStyle name="Normal 2 17 3" xfId="42675"/>
    <cellStyle name="Normal 2 17 3 2" xfId="42676"/>
    <cellStyle name="Normal 2 17 3 2 2" xfId="42677"/>
    <cellStyle name="Normal 2 17 3 2 2 2" xfId="42678"/>
    <cellStyle name="Normal 2 17 3 2 3" xfId="42679"/>
    <cellStyle name="Normal 2 17 3 3" xfId="42680"/>
    <cellStyle name="Normal 2 17 3 3 2" xfId="42681"/>
    <cellStyle name="Normal 2 17 3 4" xfId="42682"/>
    <cellStyle name="Normal 2 17 3 4 2" xfId="42683"/>
    <cellStyle name="Normal 2 17 3 5" xfId="42684"/>
    <cellStyle name="Normal 2 17 3 5 2" xfId="42685"/>
    <cellStyle name="Normal 2 17 3 6" xfId="42686"/>
    <cellStyle name="Normal 2 17 4" xfId="42687"/>
    <cellStyle name="Normal 2 17 4 2" xfId="42688"/>
    <cellStyle name="Normal 2 17 4 2 2" xfId="42689"/>
    <cellStyle name="Normal 2 17 4 3" xfId="42690"/>
    <cellStyle name="Normal 2 17 5" xfId="42691"/>
    <cellStyle name="Normal 2 17 5 2" xfId="42692"/>
    <cellStyle name="Normal 2 17 6" xfId="42693"/>
    <cellStyle name="Normal 2 17 6 2" xfId="42694"/>
    <cellStyle name="Normal 2 17 7" xfId="42695"/>
    <cellStyle name="Normal 2 17 7 2" xfId="42696"/>
    <cellStyle name="Normal 2 17 8" xfId="42697"/>
    <cellStyle name="Normal 2 18" xfId="42698"/>
    <cellStyle name="Normal 2 18 2" xfId="42699"/>
    <cellStyle name="Normal 2 18 2 2" xfId="42700"/>
    <cellStyle name="Normal 2 18 2 2 2" xfId="42701"/>
    <cellStyle name="Normal 2 18 2 2 2 2" xfId="42702"/>
    <cellStyle name="Normal 2 18 2 2 3" xfId="42703"/>
    <cellStyle name="Normal 2 18 2 3" xfId="42704"/>
    <cellStyle name="Normal 2 18 2 3 2" xfId="42705"/>
    <cellStyle name="Normal 2 18 2 4" xfId="42706"/>
    <cellStyle name="Normal 2 18 2 4 2" xfId="42707"/>
    <cellStyle name="Normal 2 18 2 5" xfId="42708"/>
    <cellStyle name="Normal 2 18 2 5 2" xfId="42709"/>
    <cellStyle name="Normal 2 18 2 6" xfId="42710"/>
    <cellStyle name="Normal 2 18 3" xfId="42711"/>
    <cellStyle name="Normal 2 18 3 2" xfId="42712"/>
    <cellStyle name="Normal 2 18 3 2 2" xfId="42713"/>
    <cellStyle name="Normal 2 18 3 3" xfId="42714"/>
    <cellStyle name="Normal 2 18 4" xfId="42715"/>
    <cellStyle name="Normal 2 18 4 2" xfId="42716"/>
    <cellStyle name="Normal 2 18 5" xfId="42717"/>
    <cellStyle name="Normal 2 18 5 2" xfId="42718"/>
    <cellStyle name="Normal 2 18 6" xfId="42719"/>
    <cellStyle name="Normal 2 18 6 2" xfId="42720"/>
    <cellStyle name="Normal 2 18 7" xfId="42721"/>
    <cellStyle name="Normal 2 19" xfId="42722"/>
    <cellStyle name="Normal 2 19 2" xfId="42723"/>
    <cellStyle name="Normal 2 19 2 2" xfId="42724"/>
    <cellStyle name="Normal 2 19 2 2 2" xfId="42725"/>
    <cellStyle name="Normal 2 19 2 2 2 2" xfId="42726"/>
    <cellStyle name="Normal 2 19 2 2 3" xfId="42727"/>
    <cellStyle name="Normal 2 19 2 3" xfId="42728"/>
    <cellStyle name="Normal 2 19 2 3 2" xfId="42729"/>
    <cellStyle name="Normal 2 19 2 4" xfId="42730"/>
    <cellStyle name="Normal 2 19 2 4 2" xfId="42731"/>
    <cellStyle name="Normal 2 19 2 5" xfId="42732"/>
    <cellStyle name="Normal 2 19 2 5 2" xfId="42733"/>
    <cellStyle name="Normal 2 19 2 6" xfId="42734"/>
    <cellStyle name="Normal 2 19 3" xfId="42735"/>
    <cellStyle name="Normal 2 19 3 2" xfId="42736"/>
    <cellStyle name="Normal 2 19 3 2 2" xfId="42737"/>
    <cellStyle name="Normal 2 19 3 3" xfId="42738"/>
    <cellStyle name="Normal 2 19 4" xfId="42739"/>
    <cellStyle name="Normal 2 19 4 2" xfId="42740"/>
    <cellStyle name="Normal 2 19 5" xfId="42741"/>
    <cellStyle name="Normal 2 19 5 2" xfId="42742"/>
    <cellStyle name="Normal 2 19 6" xfId="42743"/>
    <cellStyle name="Normal 2 19 6 2" xfId="42744"/>
    <cellStyle name="Normal 2 19 7" xfId="42745"/>
    <cellStyle name="Normal 2 2" xfId="42746"/>
    <cellStyle name="Normal 2 2 10" xfId="42747"/>
    <cellStyle name="Normal 2 2 10 2" xfId="42748"/>
    <cellStyle name="Normal 2 2 11" xfId="42749"/>
    <cellStyle name="Normal 2 2 11 2" xfId="42750"/>
    <cellStyle name="Normal 2 2 12" xfId="42751"/>
    <cellStyle name="Normal 2 2 12 2" xfId="42752"/>
    <cellStyle name="Normal 2 2 13" xfId="42753"/>
    <cellStyle name="Normal 2 2 13 2" xfId="42754"/>
    <cellStyle name="Normal 2 2 14" xfId="42755"/>
    <cellStyle name="Normal 2 2 14 2" xfId="42756"/>
    <cellStyle name="Normal 2 2 15" xfId="42757"/>
    <cellStyle name="Normal 2 2 15 2" xfId="42758"/>
    <cellStyle name="Normal 2 2 16" xfId="42759"/>
    <cellStyle name="Normal 2 2 16 2" xfId="42760"/>
    <cellStyle name="Normal 2 2 17" xfId="42761"/>
    <cellStyle name="Normal 2 2 17 2" xfId="42762"/>
    <cellStyle name="Normal 2 2 18" xfId="42763"/>
    <cellStyle name="Normal 2 2 18 2" xfId="42764"/>
    <cellStyle name="Normal 2 2 19" xfId="42765"/>
    <cellStyle name="Normal 2 2 19 2" xfId="42766"/>
    <cellStyle name="Normal 2 2 2" xfId="2"/>
    <cellStyle name="Normal 2 2 2 10 3" xfId="57827"/>
    <cellStyle name="Normal 2 2 2 2" xfId="42767"/>
    <cellStyle name="Normal 2 2 2 2 2" xfId="42768"/>
    <cellStyle name="Normal 2 2 2 2 2 2" xfId="42769"/>
    <cellStyle name="Normal 2 2 2 2 2 2 2" xfId="42770"/>
    <cellStyle name="Normal 2 2 2 2 2 3" xfId="42771"/>
    <cellStyle name="Normal 2 2 2 2 2 4" xfId="58456"/>
    <cellStyle name="Normal 2 2 2 2 3" xfId="42772"/>
    <cellStyle name="Normal 2 2 2 2 3 2" xfId="42773"/>
    <cellStyle name="Normal 2 2 2 2 4" xfId="42774"/>
    <cellStyle name="Normal 2 2 2 2 4 2" xfId="42775"/>
    <cellStyle name="Normal 2 2 2 2 5" xfId="42776"/>
    <cellStyle name="Normal 2 2 2 2 6" xfId="42777"/>
    <cellStyle name="Normal 2 2 2 2 7" xfId="58457"/>
    <cellStyle name="Normal 2 2 2 3" xfId="42778"/>
    <cellStyle name="Normal 2 2 2 3 2" xfId="42779"/>
    <cellStyle name="Normal 2 2 2 3 3" xfId="42780"/>
    <cellStyle name="Normal 2 2 2 4" xfId="42781"/>
    <cellStyle name="Normal 2 2 2 4 2" xfId="42782"/>
    <cellStyle name="Normal 2 2 2 4 3" xfId="42783"/>
    <cellStyle name="Normal 2 2 2 5" xfId="42784"/>
    <cellStyle name="Normal 2 2 2 5 2" xfId="42785"/>
    <cellStyle name="Normal 2 2 2 5 3" xfId="42786"/>
    <cellStyle name="Normal 2 2 2 6" xfId="42787"/>
    <cellStyle name="Normal 2 2 2 6 2" xfId="42788"/>
    <cellStyle name="Normal 2 2 2 7" xfId="42789"/>
    <cellStyle name="Normal 2 2 2_ADVANCE 1189000004 REIMBURSHMENT NOP 11" xfId="42790"/>
    <cellStyle name="Normal 2 2 20" xfId="42791"/>
    <cellStyle name="Normal 2 2 20 2" xfId="42792"/>
    <cellStyle name="Normal 2 2 21" xfId="42793"/>
    <cellStyle name="Normal 2 2 21 2" xfId="42794"/>
    <cellStyle name="Normal 2 2 22" xfId="42795"/>
    <cellStyle name="Normal 2 2 22 2" xfId="42796"/>
    <cellStyle name="Normal 2 2 23" xfId="42797"/>
    <cellStyle name="Normal 2 2 23 2" xfId="42798"/>
    <cellStyle name="Normal 2 2 24" xfId="42799"/>
    <cellStyle name="Normal 2 2 24 2" xfId="42800"/>
    <cellStyle name="Normal 2 2 25" xfId="42801"/>
    <cellStyle name="Normal 2 2 25 2" xfId="42802"/>
    <cellStyle name="Normal 2 2 26" xfId="42803"/>
    <cellStyle name="Normal 2 2 26 2" xfId="42804"/>
    <cellStyle name="Normal 2 2 27" xfId="42805"/>
    <cellStyle name="Normal 2 2 27 2" xfId="42806"/>
    <cellStyle name="Normal 2 2 28" xfId="42807"/>
    <cellStyle name="Normal 2 2 28 2" xfId="42808"/>
    <cellStyle name="Normal 2 2 29" xfId="42809"/>
    <cellStyle name="Normal 2 2 29 2" xfId="42810"/>
    <cellStyle name="Normal 2 2 3" xfId="42811"/>
    <cellStyle name="Normal 2 2 3 2" xfId="42812"/>
    <cellStyle name="Normal 2 2 3 2 2" xfId="42813"/>
    <cellStyle name="Normal 2 2 3 2 3" xfId="57828"/>
    <cellStyle name="Normal 2 2 3 3" xfId="42814"/>
    <cellStyle name="Normal 2 2 3 4" xfId="42815"/>
    <cellStyle name="Normal 2 2 3 5" xfId="42816"/>
    <cellStyle name="Normal 2 2 3 6" xfId="42817"/>
    <cellStyle name="Normal 2 2 3 7" xfId="58458"/>
    <cellStyle name="Normal 2 2 30" xfId="42818"/>
    <cellStyle name="Normal 2 2 30 2" xfId="42819"/>
    <cellStyle name="Normal 2 2 31" xfId="42820"/>
    <cellStyle name="Normal 2 2 31 2" xfId="42821"/>
    <cellStyle name="Normal 2 2 32" xfId="42822"/>
    <cellStyle name="Normal 2 2 32 2" xfId="42823"/>
    <cellStyle name="Normal 2 2 33" xfId="42824"/>
    <cellStyle name="Normal 2 2 33 2" xfId="42825"/>
    <cellStyle name="Normal 2 2 34" xfId="42826"/>
    <cellStyle name="Normal 2 2 34 2" xfId="42827"/>
    <cellStyle name="Normal 2 2 35" xfId="42828"/>
    <cellStyle name="Normal 2 2 35 2" xfId="42829"/>
    <cellStyle name="Normal 2 2 36" xfId="42830"/>
    <cellStyle name="Normal 2 2 36 2" xfId="42831"/>
    <cellStyle name="Normal 2 2 37" xfId="42832"/>
    <cellStyle name="Normal 2 2 37 2" xfId="42833"/>
    <cellStyle name="Normal 2 2 38" xfId="42834"/>
    <cellStyle name="Normal 2 2 38 2" xfId="42835"/>
    <cellStyle name="Normal 2 2 39" xfId="42836"/>
    <cellStyle name="Normal 2 2 39 2" xfId="42837"/>
    <cellStyle name="Normal 2 2 4" xfId="42838"/>
    <cellStyle name="Normal 2 2 4 2" xfId="42839"/>
    <cellStyle name="Normal 2 2 4 2 2" xfId="42840"/>
    <cellStyle name="Normal 2 2 4 2 2 2" xfId="42841"/>
    <cellStyle name="Normal 2 2 4 2 3" xfId="57829"/>
    <cellStyle name="Normal 2 2 4 3" xfId="42842"/>
    <cellStyle name="Normal 2 2 4 4" xfId="42843"/>
    <cellStyle name="Normal 2 2 4 5" xfId="42844"/>
    <cellStyle name="Normal 2 2 4 6" xfId="42845"/>
    <cellStyle name="Normal 2 2 4 7" xfId="58459"/>
    <cellStyle name="Normal 2 2 40" xfId="42846"/>
    <cellStyle name="Normal 2 2 40 2" xfId="42847"/>
    <cellStyle name="Normal 2 2 41" xfId="42848"/>
    <cellStyle name="Normal 2 2 42" xfId="42849"/>
    <cellStyle name="Normal 2 2 43" xfId="42850"/>
    <cellStyle name="Normal 2 2 44" xfId="42851"/>
    <cellStyle name="Normal 2 2 45" xfId="42852"/>
    <cellStyle name="Normal 2 2 45 2" xfId="42853"/>
    <cellStyle name="Normal 2 2 45 2 2" xfId="42854"/>
    <cellStyle name="Normal 2 2 45 2 2 2" xfId="42855"/>
    <cellStyle name="Normal 2 2 45 2 2 2 2" xfId="42856"/>
    <cellStyle name="Normal 2 2 45 2 2 3" xfId="42857"/>
    <cellStyle name="Normal 2 2 45 2 3" xfId="42858"/>
    <cellStyle name="Normal 2 2 45 2 3 2" xfId="42859"/>
    <cellStyle name="Normal 2 2 45 2 4" xfId="42860"/>
    <cellStyle name="Normal 2 2 45 3" xfId="42861"/>
    <cellStyle name="Normal 2 2 45 3 2" xfId="42862"/>
    <cellStyle name="Normal 2 2 45 3 2 2" xfId="42863"/>
    <cellStyle name="Normal 2 2 45 3 3" xfId="42864"/>
    <cellStyle name="Normal 2 2 45 4" xfId="42865"/>
    <cellStyle name="Normal 2 2 45 4 2" xfId="42866"/>
    <cellStyle name="Normal 2 2 45 5" xfId="42867"/>
    <cellStyle name="Normal 2 2 46" xfId="42868"/>
    <cellStyle name="Normal 2 2 46 2" xfId="42869"/>
    <cellStyle name="Normal 2 2 47" xfId="42870"/>
    <cellStyle name="Normal 2 2 47 2" xfId="42871"/>
    <cellStyle name="Normal 2 2 47 2 2" xfId="42872"/>
    <cellStyle name="Normal 2 2 47 2 2 2" xfId="42873"/>
    <cellStyle name="Normal 2 2 47 2 2 2 2" xfId="42874"/>
    <cellStyle name="Normal 2 2 47 2 2 2 2 2" xfId="42875"/>
    <cellStyle name="Normal 2 2 47 2 2 2 2 2 2" xfId="42876"/>
    <cellStyle name="Normal 2 2 47 2 2 2 2 3" xfId="42877"/>
    <cellStyle name="Normal 2 2 47 2 2 2 3" xfId="42878"/>
    <cellStyle name="Normal 2 2 47 2 2 2 3 2" xfId="42879"/>
    <cellStyle name="Normal 2 2 47 2 2 2 4" xfId="42880"/>
    <cellStyle name="Normal 2 2 47 2 2 3" xfId="42881"/>
    <cellStyle name="Normal 2 2 47 2 2 3 2" xfId="42882"/>
    <cellStyle name="Normal 2 2 47 2 2 3 2 2" xfId="42883"/>
    <cellStyle name="Normal 2 2 47 2 2 3 3" xfId="42884"/>
    <cellStyle name="Normal 2 2 47 2 2 4" xfId="42885"/>
    <cellStyle name="Normal 2 2 47 2 2 4 2" xfId="42886"/>
    <cellStyle name="Normal 2 2 47 2 2 5" xfId="42887"/>
    <cellStyle name="Normal 2 2 47 2 3" xfId="42888"/>
    <cellStyle name="Normal 2 2 47 2 3 2" xfId="42889"/>
    <cellStyle name="Normal 2 2 47 2 3 2 2" xfId="42890"/>
    <cellStyle name="Normal 2 2 47 2 3 2 2 2" xfId="42891"/>
    <cellStyle name="Normal 2 2 47 2 3 2 3" xfId="42892"/>
    <cellStyle name="Normal 2 2 47 2 3 3" xfId="42893"/>
    <cellStyle name="Normal 2 2 47 2 3 3 2" xfId="42894"/>
    <cellStyle name="Normal 2 2 47 2 3 4" xfId="42895"/>
    <cellStyle name="Normal 2 2 47 2 4" xfId="42896"/>
    <cellStyle name="Normal 2 2 47 2 4 2" xfId="42897"/>
    <cellStyle name="Normal 2 2 47 2 4 2 2" xfId="42898"/>
    <cellStyle name="Normal 2 2 47 2 4 3" xfId="42899"/>
    <cellStyle name="Normal 2 2 47 2 5" xfId="42900"/>
    <cellStyle name="Normal 2 2 47 2 5 2" xfId="42901"/>
    <cellStyle name="Normal 2 2 47 2 6" xfId="42902"/>
    <cellStyle name="Normal 2 2 47 3" xfId="42903"/>
    <cellStyle name="Normal 2 2 47 3 2" xfId="42904"/>
    <cellStyle name="Normal 2 2 47 3 2 2" xfId="42905"/>
    <cellStyle name="Normal 2 2 47 3 2 2 2" xfId="42906"/>
    <cellStyle name="Normal 2 2 47 3 2 2 2 2" xfId="42907"/>
    <cellStyle name="Normal 2 2 47 3 2 2 3" xfId="42908"/>
    <cellStyle name="Normal 2 2 47 3 2 3" xfId="42909"/>
    <cellStyle name="Normal 2 2 47 3 2 3 2" xfId="42910"/>
    <cellStyle name="Normal 2 2 47 3 2 4" xfId="42911"/>
    <cellStyle name="Normal 2 2 47 3 3" xfId="42912"/>
    <cellStyle name="Normal 2 2 47 3 3 2" xfId="42913"/>
    <cellStyle name="Normal 2 2 47 3 3 2 2" xfId="42914"/>
    <cellStyle name="Normal 2 2 47 3 3 3" xfId="42915"/>
    <cellStyle name="Normal 2 2 47 3 4" xfId="42916"/>
    <cellStyle name="Normal 2 2 47 3 4 2" xfId="42917"/>
    <cellStyle name="Normal 2 2 47 3 5" xfId="42918"/>
    <cellStyle name="Normal 2 2 47 4" xfId="42919"/>
    <cellStyle name="Normal 2 2 47 4 2" xfId="42920"/>
    <cellStyle name="Normal 2 2 47 4 2 2" xfId="42921"/>
    <cellStyle name="Normal 2 2 47 4 2 2 2" xfId="42922"/>
    <cellStyle name="Normal 2 2 47 4 2 3" xfId="42923"/>
    <cellStyle name="Normal 2 2 47 4 3" xfId="42924"/>
    <cellStyle name="Normal 2 2 47 4 3 2" xfId="42925"/>
    <cellStyle name="Normal 2 2 47 4 4" xfId="42926"/>
    <cellStyle name="Normal 2 2 47 5" xfId="42927"/>
    <cellStyle name="Normal 2 2 47 5 2" xfId="42928"/>
    <cellStyle name="Normal 2 2 47 5 2 2" xfId="42929"/>
    <cellStyle name="Normal 2 2 47 5 3" xfId="42930"/>
    <cellStyle name="Normal 2 2 47 6" xfId="42931"/>
    <cellStyle name="Normal 2 2 47 6 2" xfId="42932"/>
    <cellStyle name="Normal 2 2 47 7" xfId="42933"/>
    <cellStyle name="Normal 2 2 48" xfId="42934"/>
    <cellStyle name="Normal 2 2 49" xfId="42935"/>
    <cellStyle name="Normal 2 2 5" xfId="42936"/>
    <cellStyle name="Normal 2 2 5 2" xfId="42937"/>
    <cellStyle name="Normal 2 2 5 2 2" xfId="42938"/>
    <cellStyle name="Normal 2 2 5 2 3" xfId="42939"/>
    <cellStyle name="Normal 2 2 5 3" xfId="42940"/>
    <cellStyle name="Normal 2 2 5 3 2" xfId="42941"/>
    <cellStyle name="Normal 2 2 5 4" xfId="42942"/>
    <cellStyle name="Normal 2 2 5 4 2" xfId="42943"/>
    <cellStyle name="Normal 2 2 5 5" xfId="42944"/>
    <cellStyle name="Normal 2 2 5 5 2" xfId="42945"/>
    <cellStyle name="Normal 2 2 5 6" xfId="42946"/>
    <cellStyle name="Normal 2 2 5 6 2" xfId="42947"/>
    <cellStyle name="Normal 2 2 5 7" xfId="57830"/>
    <cellStyle name="Normal 2 2 50" xfId="57826"/>
    <cellStyle name="Normal 2 2 6" xfId="42948"/>
    <cellStyle name="Normal 2 2 6 2" xfId="42949"/>
    <cellStyle name="Normal 2 2 6 3" xfId="42950"/>
    <cellStyle name="Normal 2 2 6 4" xfId="42951"/>
    <cellStyle name="Normal 2 2 6 5" xfId="42952"/>
    <cellStyle name="Normal 2 2 7" xfId="42953"/>
    <cellStyle name="Normal 2 2 7 2" xfId="42954"/>
    <cellStyle name="Normal 2 2 8" xfId="42955"/>
    <cellStyle name="Normal 2 2 8 2" xfId="42956"/>
    <cellStyle name="Normal 2 2 9" xfId="42957"/>
    <cellStyle name="Normal 2 2 9 2" xfId="42958"/>
    <cellStyle name="Normal 2 2_1109-DIT New Dec09" xfId="42959"/>
    <cellStyle name="Normal 2 20" xfId="42960"/>
    <cellStyle name="Normal 2 20 2" xfId="42961"/>
    <cellStyle name="Normal 2 20 2 2" xfId="42962"/>
    <cellStyle name="Normal 2 20 2 2 2" xfId="42963"/>
    <cellStyle name="Normal 2 20 2 2 2 2" xfId="42964"/>
    <cellStyle name="Normal 2 20 2 2 2 2 2" xfId="42965"/>
    <cellStyle name="Normal 2 20 2 2 2 2 2 2" xfId="42966"/>
    <cellStyle name="Normal 2 20 2 2 2 2 3" xfId="42967"/>
    <cellStyle name="Normal 2 20 2 2 2 3" xfId="42968"/>
    <cellStyle name="Normal 2 20 2 2 2 3 2" xfId="42969"/>
    <cellStyle name="Normal 2 20 2 2 2 4" xfId="42970"/>
    <cellStyle name="Normal 2 20 2 2 3" xfId="42971"/>
    <cellStyle name="Normal 2 20 2 2 3 2" xfId="42972"/>
    <cellStyle name="Normal 2 20 2 2 3 2 2" xfId="42973"/>
    <cellStyle name="Normal 2 20 2 2 3 3" xfId="42974"/>
    <cellStyle name="Normal 2 20 2 2 4" xfId="42975"/>
    <cellStyle name="Normal 2 20 2 2 4 2" xfId="42976"/>
    <cellStyle name="Normal 2 20 2 2 5" xfId="42977"/>
    <cellStyle name="Normal 2 20 2 3" xfId="42978"/>
    <cellStyle name="Normal 2 20 2 3 2" xfId="42979"/>
    <cellStyle name="Normal 2 20 2 3 2 2" xfId="42980"/>
    <cellStyle name="Normal 2 20 2 3 2 2 2" xfId="42981"/>
    <cellStyle name="Normal 2 20 2 3 2 3" xfId="42982"/>
    <cellStyle name="Normal 2 20 2 3 3" xfId="42983"/>
    <cellStyle name="Normal 2 20 2 3 3 2" xfId="42984"/>
    <cellStyle name="Normal 2 20 2 3 4" xfId="42985"/>
    <cellStyle name="Normal 2 20 2 4" xfId="42986"/>
    <cellStyle name="Normal 2 20 2 4 2" xfId="42987"/>
    <cellStyle name="Normal 2 20 2 4 2 2" xfId="42988"/>
    <cellStyle name="Normal 2 20 2 4 3" xfId="42989"/>
    <cellStyle name="Normal 2 20 2 5" xfId="42990"/>
    <cellStyle name="Normal 2 20 2 5 2" xfId="42991"/>
    <cellStyle name="Normal 2 20 2 6" xfId="42992"/>
    <cellStyle name="Normal 2 20 3" xfId="42993"/>
    <cellStyle name="Normal 2 20 3 2" xfId="42994"/>
    <cellStyle name="Normal 2 20 3 2 2" xfId="42995"/>
    <cellStyle name="Normal 2 20 3 2 2 2" xfId="42996"/>
    <cellStyle name="Normal 2 20 3 2 2 2 2" xfId="42997"/>
    <cellStyle name="Normal 2 20 3 2 2 3" xfId="42998"/>
    <cellStyle name="Normal 2 20 3 2 3" xfId="42999"/>
    <cellStyle name="Normal 2 20 3 2 3 2" xfId="43000"/>
    <cellStyle name="Normal 2 20 3 2 4" xfId="43001"/>
    <cellStyle name="Normal 2 20 3 3" xfId="43002"/>
    <cellStyle name="Normal 2 20 3 3 2" xfId="43003"/>
    <cellStyle name="Normal 2 20 3 3 2 2" xfId="43004"/>
    <cellStyle name="Normal 2 20 3 3 3" xfId="43005"/>
    <cellStyle name="Normal 2 20 3 4" xfId="43006"/>
    <cellStyle name="Normal 2 20 3 4 2" xfId="43007"/>
    <cellStyle name="Normal 2 20 3 5" xfId="43008"/>
    <cellStyle name="Normal 2 20 4" xfId="43009"/>
    <cellStyle name="Normal 2 20 4 2" xfId="43010"/>
    <cellStyle name="Normal 2 20 4 2 2" xfId="43011"/>
    <cellStyle name="Normal 2 20 4 2 2 2" xfId="43012"/>
    <cellStyle name="Normal 2 20 4 2 3" xfId="43013"/>
    <cellStyle name="Normal 2 20 4 3" xfId="43014"/>
    <cellStyle name="Normal 2 20 4 3 2" xfId="43015"/>
    <cellStyle name="Normal 2 20 4 4" xfId="43016"/>
    <cellStyle name="Normal 2 20 5" xfId="43017"/>
    <cellStyle name="Normal 2 20 5 2" xfId="43018"/>
    <cellStyle name="Normal 2 20 5 2 2" xfId="43019"/>
    <cellStyle name="Normal 2 20 5 3" xfId="43020"/>
    <cellStyle name="Normal 2 20 6" xfId="43021"/>
    <cellStyle name="Normal 2 20 6 2" xfId="43022"/>
    <cellStyle name="Normal 2 20 7" xfId="43023"/>
    <cellStyle name="Normal 2 21" xfId="43024"/>
    <cellStyle name="Normal 2 21 2" xfId="43025"/>
    <cellStyle name="Normal 2 21 2 2" xfId="43026"/>
    <cellStyle name="Normal 2 21 2 2 2" xfId="43027"/>
    <cellStyle name="Normal 2 21 2 2 2 2" xfId="43028"/>
    <cellStyle name="Normal 2 21 2 2 3" xfId="43029"/>
    <cellStyle name="Normal 2 21 2 3" xfId="43030"/>
    <cellStyle name="Normal 2 21 2 3 2" xfId="43031"/>
    <cellStyle name="Normal 2 21 2 4" xfId="43032"/>
    <cellStyle name="Normal 2 21 2 4 2" xfId="43033"/>
    <cellStyle name="Normal 2 21 2 5" xfId="43034"/>
    <cellStyle name="Normal 2 21 2 5 2" xfId="43035"/>
    <cellStyle name="Normal 2 21 2 6" xfId="43036"/>
    <cellStyle name="Normal 2 21 3" xfId="43037"/>
    <cellStyle name="Normal 2 21 3 2" xfId="43038"/>
    <cellStyle name="Normal 2 21 3 2 2" xfId="43039"/>
    <cellStyle name="Normal 2 21 3 3" xfId="43040"/>
    <cellStyle name="Normal 2 21 4" xfId="43041"/>
    <cellStyle name="Normal 2 21 4 2" xfId="43042"/>
    <cellStyle name="Normal 2 21 5" xfId="43043"/>
    <cellStyle name="Normal 2 21 5 2" xfId="43044"/>
    <cellStyle name="Normal 2 21 6" xfId="43045"/>
    <cellStyle name="Normal 2 21 6 2" xfId="43046"/>
    <cellStyle name="Normal 2 21 7" xfId="43047"/>
    <cellStyle name="Normal 2 22" xfId="43048"/>
    <cellStyle name="Normal 2 22 2" xfId="43049"/>
    <cellStyle name="Normal 2 22 2 2" xfId="43050"/>
    <cellStyle name="Normal 2 22 2 2 2" xfId="43051"/>
    <cellStyle name="Normal 2 22 2 2 2 2" xfId="43052"/>
    <cellStyle name="Normal 2 22 2 2 3" xfId="43053"/>
    <cellStyle name="Normal 2 22 2 3" xfId="43054"/>
    <cellStyle name="Normal 2 22 2 3 2" xfId="43055"/>
    <cellStyle name="Normal 2 22 2 4" xfId="43056"/>
    <cellStyle name="Normal 2 22 3" xfId="43057"/>
    <cellStyle name="Normal 2 22 3 2" xfId="43058"/>
    <cellStyle name="Normal 2 22 3 2 2" xfId="43059"/>
    <cellStyle name="Normal 2 22 3 3" xfId="43060"/>
    <cellStyle name="Normal 2 22 4" xfId="43061"/>
    <cellStyle name="Normal 2 22 4 2" xfId="43062"/>
    <cellStyle name="Normal 2 22 5" xfId="43063"/>
    <cellStyle name="Normal 2 22 5 2" xfId="43064"/>
    <cellStyle name="Normal 2 22 6" xfId="43065"/>
    <cellStyle name="Normal 2 23" xfId="43066"/>
    <cellStyle name="Normal 2 23 2" xfId="43067"/>
    <cellStyle name="Normal 2 23 2 2" xfId="43068"/>
    <cellStyle name="Normal 2 23 2 2 2" xfId="43069"/>
    <cellStyle name="Normal 2 23 2 3" xfId="43070"/>
    <cellStyle name="Normal 2 23 3" xfId="43071"/>
    <cellStyle name="Normal 2 23 3 2" xfId="43072"/>
    <cellStyle name="Normal 2 23 3 2 2" xfId="43073"/>
    <cellStyle name="Normal 2 23 3 2 2 2" xfId="43074"/>
    <cellStyle name="Normal 2 23 3 2 2 2 2" xfId="43075"/>
    <cellStyle name="Normal 2 23 3 2 2 3" xfId="43076"/>
    <cellStyle name="Normal 2 23 3 2 3" xfId="43077"/>
    <cellStyle name="Normal 2 23 3 2 3 2" xfId="43078"/>
    <cellStyle name="Normal 2 23 3 2 4" xfId="43079"/>
    <cellStyle name="Normal 2 23 3 3" xfId="43080"/>
    <cellStyle name="Normal 2 23 3 3 2" xfId="43081"/>
    <cellStyle name="Normal 2 23 3 3 2 2" xfId="43082"/>
    <cellStyle name="Normal 2 23 3 3 3" xfId="43083"/>
    <cellStyle name="Normal 2 23 3 4" xfId="43084"/>
    <cellStyle name="Normal 2 23 3 4 2" xfId="43085"/>
    <cellStyle name="Normal 2 23 3 5" xfId="43086"/>
    <cellStyle name="Normal 2 23 3 6" xfId="43087"/>
    <cellStyle name="Normal 2 23 3 6 2" xfId="43088"/>
    <cellStyle name="Normal 2 23 4" xfId="43089"/>
    <cellStyle name="Normal 2 23 4 2" xfId="43090"/>
    <cellStyle name="Normal 2 23 4 2 2" xfId="43091"/>
    <cellStyle name="Normal 2 23 4 2 2 2" xfId="43092"/>
    <cellStyle name="Normal 2 23 4 2 3" xfId="43093"/>
    <cellStyle name="Normal 2 23 4 3" xfId="43094"/>
    <cellStyle name="Normal 2 23 4 3 2" xfId="43095"/>
    <cellStyle name="Normal 2 23 4 4" xfId="43096"/>
    <cellStyle name="Normal 2 23 5" xfId="43097"/>
    <cellStyle name="Normal 2 23 5 2" xfId="43098"/>
    <cellStyle name="Normal 2 23 5 2 2" xfId="43099"/>
    <cellStyle name="Normal 2 23 5 3" xfId="43100"/>
    <cellStyle name="Normal 2 23 6" xfId="43101"/>
    <cellStyle name="Normal 2 23 6 2" xfId="43102"/>
    <cellStyle name="Normal 2 23 7" xfId="43103"/>
    <cellStyle name="Normal 2 24" xfId="43104"/>
    <cellStyle name="Normal 2 24 2" xfId="43105"/>
    <cellStyle name="Normal 2 24 2 2" xfId="43106"/>
    <cellStyle name="Normal 2 24 2 2 2" xfId="43107"/>
    <cellStyle name="Normal 2 24 2 3" xfId="43108"/>
    <cellStyle name="Normal 2 24 3" xfId="43109"/>
    <cellStyle name="Normal 2 24 3 2" xfId="43110"/>
    <cellStyle name="Normal 2 24 3 2 2" xfId="43111"/>
    <cellStyle name="Normal 2 24 3 2 2 2" xfId="43112"/>
    <cellStyle name="Normal 2 24 3 2 2 2 2" xfId="43113"/>
    <cellStyle name="Normal 2 24 3 2 2 3" xfId="43114"/>
    <cellStyle name="Normal 2 24 3 2 3" xfId="43115"/>
    <cellStyle name="Normal 2 24 3 2 3 2" xfId="43116"/>
    <cellStyle name="Normal 2 24 3 2 4" xfId="43117"/>
    <cellStyle name="Normal 2 24 3 3" xfId="43118"/>
    <cellStyle name="Normal 2 24 3 3 2" xfId="43119"/>
    <cellStyle name="Normal 2 24 3 3 2 2" xfId="43120"/>
    <cellStyle name="Normal 2 24 3 3 3" xfId="43121"/>
    <cellStyle name="Normal 2 24 3 4" xfId="43122"/>
    <cellStyle name="Normal 2 24 3 4 2" xfId="43123"/>
    <cellStyle name="Normal 2 24 3 5" xfId="43124"/>
    <cellStyle name="Normal 2 24 3 6" xfId="43125"/>
    <cellStyle name="Normal 2 24 3 6 2" xfId="43126"/>
    <cellStyle name="Normal 2 24 4" xfId="43127"/>
    <cellStyle name="Normal 2 24 4 2" xfId="43128"/>
    <cellStyle name="Normal 2 24 4 2 2" xfId="43129"/>
    <cellStyle name="Normal 2 24 4 2 2 2" xfId="43130"/>
    <cellStyle name="Normal 2 24 4 2 3" xfId="43131"/>
    <cellStyle name="Normal 2 24 4 3" xfId="43132"/>
    <cellStyle name="Normal 2 24 4 3 2" xfId="43133"/>
    <cellStyle name="Normal 2 24 4 4" xfId="43134"/>
    <cellStyle name="Normal 2 24 5" xfId="43135"/>
    <cellStyle name="Normal 2 24 5 2" xfId="43136"/>
    <cellStyle name="Normal 2 24 5 2 2" xfId="43137"/>
    <cellStyle name="Normal 2 24 5 3" xfId="43138"/>
    <cellStyle name="Normal 2 24 6" xfId="43139"/>
    <cellStyle name="Normal 2 24 6 2" xfId="43140"/>
    <cellStyle name="Normal 2 24 7" xfId="43141"/>
    <cellStyle name="Normal 2 25" xfId="43142"/>
    <cellStyle name="Normal 2 25 2" xfId="43143"/>
    <cellStyle name="Normal 2 25 2 2" xfId="43144"/>
    <cellStyle name="Normal 2 25 2 2 2" xfId="43145"/>
    <cellStyle name="Normal 2 25 2 3" xfId="43146"/>
    <cellStyle name="Normal 2 25 3" xfId="43147"/>
    <cellStyle name="Normal 2 25 3 2" xfId="43148"/>
    <cellStyle name="Normal 2 25 3 2 2" xfId="43149"/>
    <cellStyle name="Normal 2 25 3 2 2 2" xfId="43150"/>
    <cellStyle name="Normal 2 25 3 2 2 2 2" xfId="43151"/>
    <cellStyle name="Normal 2 25 3 2 2 3" xfId="43152"/>
    <cellStyle name="Normal 2 25 3 2 3" xfId="43153"/>
    <cellStyle name="Normal 2 25 3 2 3 2" xfId="43154"/>
    <cellStyle name="Normal 2 25 3 2 4" xfId="43155"/>
    <cellStyle name="Normal 2 25 3 3" xfId="43156"/>
    <cellStyle name="Normal 2 25 3 3 2" xfId="43157"/>
    <cellStyle name="Normal 2 25 3 3 2 2" xfId="43158"/>
    <cellStyle name="Normal 2 25 3 3 3" xfId="43159"/>
    <cellStyle name="Normal 2 25 3 4" xfId="43160"/>
    <cellStyle name="Normal 2 25 3 4 2" xfId="43161"/>
    <cellStyle name="Normal 2 25 3 5" xfId="43162"/>
    <cellStyle name="Normal 2 25 4" xfId="43163"/>
    <cellStyle name="Normal 2 25 4 2" xfId="43164"/>
    <cellStyle name="Normal 2 25 4 2 2" xfId="43165"/>
    <cellStyle name="Normal 2 25 4 2 2 2" xfId="43166"/>
    <cellStyle name="Normal 2 25 4 2 3" xfId="43167"/>
    <cellStyle name="Normal 2 25 4 3" xfId="43168"/>
    <cellStyle name="Normal 2 25 4 3 2" xfId="43169"/>
    <cellStyle name="Normal 2 25 4 4" xfId="43170"/>
    <cellStyle name="Normal 2 25 5" xfId="43171"/>
    <cellStyle name="Normal 2 25 5 2" xfId="43172"/>
    <cellStyle name="Normal 2 25 5 2 2" xfId="43173"/>
    <cellStyle name="Normal 2 25 5 3" xfId="43174"/>
    <cellStyle name="Normal 2 25 6" xfId="43175"/>
    <cellStyle name="Normal 2 25 6 2" xfId="43176"/>
    <cellStyle name="Normal 2 25 7" xfId="43177"/>
    <cellStyle name="Normal 2 26" xfId="43178"/>
    <cellStyle name="Normal 2 26 2" xfId="43179"/>
    <cellStyle name="Normal 2 26 2 2" xfId="43180"/>
    <cellStyle name="Normal 2 26 2 2 2" xfId="43181"/>
    <cellStyle name="Normal 2 26 2 2 2 2" xfId="43182"/>
    <cellStyle name="Normal 2 26 2 2 2 2 2" xfId="43183"/>
    <cellStyle name="Normal 2 26 2 2 2 3" xfId="43184"/>
    <cellStyle name="Normal 2 26 2 2 3" xfId="43185"/>
    <cellStyle name="Normal 2 26 2 2 3 2" xfId="43186"/>
    <cellStyle name="Normal 2 26 2 2 4" xfId="43187"/>
    <cellStyle name="Normal 2 26 2 3" xfId="43188"/>
    <cellStyle name="Normal 2 26 2 3 2" xfId="43189"/>
    <cellStyle name="Normal 2 26 2 3 2 2" xfId="43190"/>
    <cellStyle name="Normal 2 26 2 3 3" xfId="43191"/>
    <cellStyle name="Normal 2 26 2 4" xfId="43192"/>
    <cellStyle name="Normal 2 26 2 4 2" xfId="43193"/>
    <cellStyle name="Normal 2 26 2 5" xfId="43194"/>
    <cellStyle name="Normal 2 26 3" xfId="43195"/>
    <cellStyle name="Normal 2 26 3 2" xfId="43196"/>
    <cellStyle name="Normal 2 26 3 2 2" xfId="43197"/>
    <cellStyle name="Normal 2 26 3 2 2 2" xfId="43198"/>
    <cellStyle name="Normal 2 26 3 2 3" xfId="43199"/>
    <cellStyle name="Normal 2 26 3 3" xfId="43200"/>
    <cellStyle name="Normal 2 26 3 3 2" xfId="43201"/>
    <cellStyle name="Normal 2 26 3 4" xfId="43202"/>
    <cellStyle name="Normal 2 26 4" xfId="43203"/>
    <cellStyle name="Normal 2 26 4 2" xfId="43204"/>
    <cellStyle name="Normal 2 26 4 2 2" xfId="43205"/>
    <cellStyle name="Normal 2 26 4 3" xfId="43206"/>
    <cellStyle name="Normal 2 26 5" xfId="43207"/>
    <cellStyle name="Normal 2 26 5 2" xfId="43208"/>
    <cellStyle name="Normal 2 26 6" xfId="43209"/>
    <cellStyle name="Normal 2 26 7" xfId="43210"/>
    <cellStyle name="Normal 2 26 7 2" xfId="43211"/>
    <cellStyle name="Normal 2 27" xfId="43212"/>
    <cellStyle name="Normal 2 27 2" xfId="43213"/>
    <cellStyle name="Normal 2 27 2 2" xfId="43214"/>
    <cellStyle name="Normal 2 27 3" xfId="43215"/>
    <cellStyle name="Normal 2 28" xfId="43216"/>
    <cellStyle name="Normal 2 28 2" xfId="43217"/>
    <cellStyle name="Normal 2 28 2 2" xfId="43218"/>
    <cellStyle name="Normal 2 28 3" xfId="43219"/>
    <cellStyle name="Normal 2 29" xfId="43220"/>
    <cellStyle name="Normal 2 29 2" xfId="43221"/>
    <cellStyle name="Normal 2 29 2 2" xfId="43222"/>
    <cellStyle name="Normal 2 29 3" xfId="43223"/>
    <cellStyle name="Normal 2 3" xfId="43224"/>
    <cellStyle name="Normal 2 3 10" xfId="43225"/>
    <cellStyle name="Normal 2 3 11" xfId="43226"/>
    <cellStyle name="Normal 2 3 12" xfId="43227"/>
    <cellStyle name="Normal 2 3 13" xfId="43228"/>
    <cellStyle name="Normal 2 3 14" xfId="43229"/>
    <cellStyle name="Normal 2 3 15" xfId="43230"/>
    <cellStyle name="Normal 2 3 16" xfId="43231"/>
    <cellStyle name="Normal 2 3 17" xfId="43232"/>
    <cellStyle name="Normal 2 3 18" xfId="43233"/>
    <cellStyle name="Normal 2 3 19" xfId="43234"/>
    <cellStyle name="Normal 2 3 2" xfId="43235"/>
    <cellStyle name="Normal 2 3 2 2" xfId="43236"/>
    <cellStyle name="Normal 2 3 2 2 10" xfId="43237"/>
    <cellStyle name="Normal 2 3 2 2 11" xfId="43238"/>
    <cellStyle name="Normal 2 3 2 2 12" xfId="43239"/>
    <cellStyle name="Normal 2 3 2 2 13" xfId="43240"/>
    <cellStyle name="Normal 2 3 2 2 14" xfId="43241"/>
    <cellStyle name="Normal 2 3 2 2 15" xfId="43242"/>
    <cellStyle name="Normal 2 3 2 2 16" xfId="43243"/>
    <cellStyle name="Normal 2 3 2 2 17" xfId="43244"/>
    <cellStyle name="Normal 2 3 2 2 18" xfId="43245"/>
    <cellStyle name="Normal 2 3 2 2 19" xfId="43246"/>
    <cellStyle name="Normal 2 3 2 2 2" xfId="43247"/>
    <cellStyle name="Normal 2 3 2 2 2 2" xfId="43248"/>
    <cellStyle name="Normal 2 3 2 2 2 2 2" xfId="43249"/>
    <cellStyle name="Normal 2 3 2 2 2 2 2 2" xfId="43250"/>
    <cellStyle name="Normal 2 3 2 2 2 2 3" xfId="43251"/>
    <cellStyle name="Normal 2 3 2 2 2 3" xfId="43252"/>
    <cellStyle name="Normal 2 3 2 2 2 3 2" xfId="43253"/>
    <cellStyle name="Normal 2 3 2 2 2 4" xfId="43254"/>
    <cellStyle name="Normal 2 3 2 2 2 5" xfId="57831"/>
    <cellStyle name="Normal 2 3 2 2 20" xfId="43255"/>
    <cellStyle name="Normal 2 3 2 2 21" xfId="43256"/>
    <cellStyle name="Normal 2 3 2 2 22" xfId="43257"/>
    <cellStyle name="Normal 2 3 2 2 23" xfId="43258"/>
    <cellStyle name="Normal 2 3 2 2 24" xfId="43259"/>
    <cellStyle name="Normal 2 3 2 2 25" xfId="43260"/>
    <cellStyle name="Normal 2 3 2 2 26" xfId="43261"/>
    <cellStyle name="Normal 2 3 2 2 27" xfId="43262"/>
    <cellStyle name="Normal 2 3 2 2 28" xfId="43263"/>
    <cellStyle name="Normal 2 3 2 2 29" xfId="43264"/>
    <cellStyle name="Normal 2 3 2 2 3" xfId="43265"/>
    <cellStyle name="Normal 2 3 2 2 3 2" xfId="43266"/>
    <cellStyle name="Normal 2 3 2 2 3 2 2" xfId="43267"/>
    <cellStyle name="Normal 2 3 2 2 3 3" xfId="43268"/>
    <cellStyle name="Normal 2 3 2 2 30" xfId="43269"/>
    <cellStyle name="Normal 2 3 2 2 31" xfId="43270"/>
    <cellStyle name="Normal 2 3 2 2 32" xfId="43271"/>
    <cellStyle name="Normal 2 3 2 2 33" xfId="43272"/>
    <cellStyle name="Normal 2 3 2 2 34" xfId="43273"/>
    <cellStyle name="Normal 2 3 2 2 35" xfId="43274"/>
    <cellStyle name="Normal 2 3 2 2 36" xfId="43275"/>
    <cellStyle name="Normal 2 3 2 2 37" xfId="43276"/>
    <cellStyle name="Normal 2 3 2 2 38" xfId="43277"/>
    <cellStyle name="Normal 2 3 2 2 39" xfId="43278"/>
    <cellStyle name="Normal 2 3 2 2 4" xfId="43279"/>
    <cellStyle name="Normal 2 3 2 2 4 2" xfId="43280"/>
    <cellStyle name="Normal 2 3 2 2 40" xfId="43281"/>
    <cellStyle name="Normal 2 3 2 2 41" xfId="43282"/>
    <cellStyle name="Normal 2 3 2 2 42" xfId="43283"/>
    <cellStyle name="Normal 2 3 2 2 43" xfId="43284"/>
    <cellStyle name="Normal 2 3 2 2 44" xfId="43285"/>
    <cellStyle name="Normal 2 3 2 2 45" xfId="43286"/>
    <cellStyle name="Normal 2 3 2 2 46" xfId="43287"/>
    <cellStyle name="Normal 2 3 2 2 47" xfId="43288"/>
    <cellStyle name="Normal 2 3 2 2 48" xfId="43289"/>
    <cellStyle name="Normal 2 3 2 2 49" xfId="43290"/>
    <cellStyle name="Normal 2 3 2 2 5" xfId="43291"/>
    <cellStyle name="Normal 2 3 2 2 50" xfId="43292"/>
    <cellStyle name="Normal 2 3 2 2 51" xfId="43293"/>
    <cellStyle name="Normal 2 3 2 2 52" xfId="43294"/>
    <cellStyle name="Normal 2 3 2 2 53" xfId="43295"/>
    <cellStyle name="Normal 2 3 2 2 54" xfId="43296"/>
    <cellStyle name="Normal 2 3 2 2 55" xfId="43297"/>
    <cellStyle name="Normal 2 3 2 2 56" xfId="58460"/>
    <cellStyle name="Normal 2 3 2 2 6" xfId="43298"/>
    <cellStyle name="Normal 2 3 2 2 7" xfId="43299"/>
    <cellStyle name="Normal 2 3 2 2 8" xfId="43300"/>
    <cellStyle name="Normal 2 3 2 2 9" xfId="43301"/>
    <cellStyle name="Normal 2 3 2 3" xfId="43302"/>
    <cellStyle name="Normal 2 3 2 3 2" xfId="43303"/>
    <cellStyle name="Normal 2 3 2 3 3" xfId="43304"/>
    <cellStyle name="Normal 2 3 2 3 4" xfId="58461"/>
    <cellStyle name="Normal 2 3 2 4" xfId="43305"/>
    <cellStyle name="Normal 2 3 2 4 2" xfId="43306"/>
    <cellStyle name="Normal 2 3 2 4 3" xfId="43307"/>
    <cellStyle name="Normal 2 3 2 5" xfId="43308"/>
    <cellStyle name="Normal 2 3 2 5 2" xfId="43309"/>
    <cellStyle name="Normal 2 3 2 5 3" xfId="43310"/>
    <cellStyle name="Normal 2 3 2 6" xfId="43311"/>
    <cellStyle name="Normal 2 3 2 6 2" xfId="43312"/>
    <cellStyle name="Normal 2 3 2 7" xfId="43313"/>
    <cellStyle name="Normal 2 3 20" xfId="43314"/>
    <cellStyle name="Normal 2 3 21" xfId="43315"/>
    <cellStyle name="Normal 2 3 22" xfId="43316"/>
    <cellStyle name="Normal 2 3 23" xfId="43317"/>
    <cellStyle name="Normal 2 3 24" xfId="43318"/>
    <cellStyle name="Normal 2 3 25" xfId="43319"/>
    <cellStyle name="Normal 2 3 26" xfId="43320"/>
    <cellStyle name="Normal 2 3 27" xfId="43321"/>
    <cellStyle name="Normal 2 3 28" xfId="43322"/>
    <cellStyle name="Normal 2 3 29" xfId="43323"/>
    <cellStyle name="Normal 2 3 3" xfId="43324"/>
    <cellStyle name="Normal 2 3 3 2" xfId="43325"/>
    <cellStyle name="Normal 2 3 3 2 2" xfId="43326"/>
    <cellStyle name="Normal 2 3 3 3" xfId="43327"/>
    <cellStyle name="Normal 2 3 3 4" xfId="43328"/>
    <cellStyle name="Normal 2 3 3 5" xfId="43329"/>
    <cellStyle name="Normal 2 3 3 6" xfId="58462"/>
    <cellStyle name="Normal 2 3 30" xfId="43330"/>
    <cellStyle name="Normal 2 3 31" xfId="43331"/>
    <cellStyle name="Normal 2 3 32" xfId="43332"/>
    <cellStyle name="Normal 2 3 33" xfId="43333"/>
    <cellStyle name="Normal 2 3 34" xfId="43334"/>
    <cellStyle name="Normal 2 3 35" xfId="43335"/>
    <cellStyle name="Normal 2 3 36" xfId="43336"/>
    <cellStyle name="Normal 2 3 37" xfId="43337"/>
    <cellStyle name="Normal 2 3 38" xfId="43338"/>
    <cellStyle name="Normal 2 3 39" xfId="43339"/>
    <cellStyle name="Normal 2 3 4" xfId="43340"/>
    <cellStyle name="Normal 2 3 4 2" xfId="43341"/>
    <cellStyle name="Normal 2 3 4 2 2" xfId="43342"/>
    <cellStyle name="Normal 2 3 4 2 2 2" xfId="43343"/>
    <cellStyle name="Normal 2 3 4 2 3" xfId="43344"/>
    <cellStyle name="Normal 2 3 4 3" xfId="43345"/>
    <cellStyle name="Normal 2 3 4 3 2" xfId="43346"/>
    <cellStyle name="Normal 2 3 4 4" xfId="43347"/>
    <cellStyle name="Normal 2 3 4 4 2" xfId="43348"/>
    <cellStyle name="Normal 2 3 4 5" xfId="43349"/>
    <cellStyle name="Normal 2 3 4 5 2" xfId="43350"/>
    <cellStyle name="Normal 2 3 4 6" xfId="43351"/>
    <cellStyle name="Normal 2 3 40" xfId="43352"/>
    <cellStyle name="Normal 2 3 41" xfId="43353"/>
    <cellStyle name="Normal 2 3 42" xfId="43354"/>
    <cellStyle name="Normal 2 3 43" xfId="43355"/>
    <cellStyle name="Normal 2 3 44" xfId="43356"/>
    <cellStyle name="Normal 2 3 45" xfId="43357"/>
    <cellStyle name="Normal 2 3 46" xfId="43358"/>
    <cellStyle name="Normal 2 3 47" xfId="43359"/>
    <cellStyle name="Normal 2 3 48" xfId="43360"/>
    <cellStyle name="Normal 2 3 49" xfId="43361"/>
    <cellStyle name="Normal 2 3 5" xfId="43362"/>
    <cellStyle name="Normal 2 3 5 2" xfId="43363"/>
    <cellStyle name="Normal 2 3 5 3" xfId="43364"/>
    <cellStyle name="Normal 2 3 5 4" xfId="43365"/>
    <cellStyle name="Normal 2 3 50" xfId="43366"/>
    <cellStyle name="Normal 2 3 51" xfId="43367"/>
    <cellStyle name="Normal 2 3 52" xfId="43368"/>
    <cellStyle name="Normal 2 3 53" xfId="43369"/>
    <cellStyle name="Normal 2 3 54" xfId="43370"/>
    <cellStyle name="Normal 2 3 55" xfId="43371"/>
    <cellStyle name="Normal 2 3 56" xfId="43372"/>
    <cellStyle name="Normal 2 3 6" xfId="43373"/>
    <cellStyle name="Normal 2 3 6 2" xfId="43374"/>
    <cellStyle name="Normal 2 3 6 3" xfId="43375"/>
    <cellStyle name="Normal 2 3 7" xfId="43376"/>
    <cellStyle name="Normal 2 3 7 2" xfId="43377"/>
    <cellStyle name="Normal 2 3 8" xfId="43378"/>
    <cellStyle name="Normal 2 3 9" xfId="43379"/>
    <cellStyle name="Normal 2 3_BCAIDR" xfId="43380"/>
    <cellStyle name="Normal 2 30" xfId="43381"/>
    <cellStyle name="Normal 2 30 2" xfId="43382"/>
    <cellStyle name="Normal 2 30 2 2" xfId="43383"/>
    <cellStyle name="Normal 2 30 3" xfId="43384"/>
    <cellStyle name="Normal 2 31" xfId="43385"/>
    <cellStyle name="Normal 2 31 2" xfId="43386"/>
    <cellStyle name="Normal 2 31 2 2" xfId="43387"/>
    <cellStyle name="Normal 2 31 3" xfId="43388"/>
    <cellStyle name="Normal 2 32" xfId="43389"/>
    <cellStyle name="Normal 2 32 2" xfId="43390"/>
    <cellStyle name="Normal 2 33" xfId="43391"/>
    <cellStyle name="Normal 2 33 2" xfId="43392"/>
    <cellStyle name="Normal 2 34" xfId="43393"/>
    <cellStyle name="Normal 2 34 2" xfId="43394"/>
    <cellStyle name="Normal 2 35" xfId="43395"/>
    <cellStyle name="Normal 2 36" xfId="43396"/>
    <cellStyle name="Normal 2 37" xfId="43397"/>
    <cellStyle name="Normal 2 38" xfId="43398"/>
    <cellStyle name="Normal 2 39" xfId="43399"/>
    <cellStyle name="Normal 2 4" xfId="43400"/>
    <cellStyle name="Normal 2 4 2" xfId="43401"/>
    <cellStyle name="Normal 2 4 2 2" xfId="43402"/>
    <cellStyle name="Normal 2 4 2 2 2" xfId="43403"/>
    <cellStyle name="Normal 2 4 2 2 2 2" xfId="43404"/>
    <cellStyle name="Normal 2 4 2 2 2 2 2" xfId="43405"/>
    <cellStyle name="Normal 2 4 2 2 2 2 2 2" xfId="43406"/>
    <cellStyle name="Normal 2 4 2 2 2 2 3" xfId="43407"/>
    <cellStyle name="Normal 2 4 2 2 2 3" xfId="43408"/>
    <cellStyle name="Normal 2 4 2 2 2 3 2" xfId="43409"/>
    <cellStyle name="Normal 2 4 2 2 2 4" xfId="43410"/>
    <cellStyle name="Normal 2 4 2 2 3" xfId="43411"/>
    <cellStyle name="Normal 2 4 2 2 3 2" xfId="43412"/>
    <cellStyle name="Normal 2 4 2 2 3 2 2" xfId="43413"/>
    <cellStyle name="Normal 2 4 2 2 3 3" xfId="43414"/>
    <cellStyle name="Normal 2 4 2 2 4" xfId="43415"/>
    <cellStyle name="Normal 2 4 2 2 4 2" xfId="43416"/>
    <cellStyle name="Normal 2 4 2 2 5" xfId="43417"/>
    <cellStyle name="Normal 2 4 2 3" xfId="43418"/>
    <cellStyle name="Normal 2 4 2 3 2" xfId="43419"/>
    <cellStyle name="Normal 2 4 2 3 2 2" xfId="43420"/>
    <cellStyle name="Normal 2 4 2 3 2 2 2" xfId="43421"/>
    <cellStyle name="Normal 2 4 2 3 2 3" xfId="43422"/>
    <cellStyle name="Normal 2 4 2 3 3" xfId="43423"/>
    <cellStyle name="Normal 2 4 2 3 3 2" xfId="43424"/>
    <cellStyle name="Normal 2 4 2 3 4" xfId="43425"/>
    <cellStyle name="Normal 2 4 2 3 5" xfId="57832"/>
    <cellStyle name="Normal 2 4 2 4" xfId="43426"/>
    <cellStyle name="Normal 2 4 2 4 2" xfId="43427"/>
    <cellStyle name="Normal 2 4 2 4 2 2" xfId="43428"/>
    <cellStyle name="Normal 2 4 2 4 3" xfId="43429"/>
    <cellStyle name="Normal 2 4 2 5" xfId="43430"/>
    <cellStyle name="Normal 2 4 2 5 2" xfId="43431"/>
    <cellStyle name="Normal 2 4 2 5 3" xfId="43432"/>
    <cellStyle name="Normal 2 4 2 6" xfId="43433"/>
    <cellStyle name="Normal 2 4 2 6 2" xfId="43434"/>
    <cellStyle name="Normal 2 4 2 7" xfId="43435"/>
    <cellStyle name="Normal 2 4 2 8" xfId="58463"/>
    <cellStyle name="Normal 2 4 3" xfId="43436"/>
    <cellStyle name="Normal 2 4 3 2" xfId="43437"/>
    <cellStyle name="Normal 2 4 3 2 2" xfId="43438"/>
    <cellStyle name="Normal 2 4 3 2 2 2" xfId="43439"/>
    <cellStyle name="Normal 2 4 3 2 3" xfId="58464"/>
    <cellStyle name="Normal 2 4 3 3" xfId="43440"/>
    <cellStyle name="Normal 2 4 3 4" xfId="43441"/>
    <cellStyle name="Normal 2 4 3 5" xfId="43442"/>
    <cellStyle name="Normal 2 4 3 6" xfId="57833"/>
    <cellStyle name="Normal 2 4 4" xfId="43443"/>
    <cellStyle name="Normal 2 4 4 2" xfId="43444"/>
    <cellStyle name="Normal 2 4 4 3" xfId="58465"/>
    <cellStyle name="Normal 2 4 5" xfId="43445"/>
    <cellStyle name="Normal 2 4 5 2" xfId="43446"/>
    <cellStyle name="Normal 2 4 6" xfId="43447"/>
    <cellStyle name="Normal 2 4 6 2" xfId="43448"/>
    <cellStyle name="Normal 2 4 7" xfId="43449"/>
    <cellStyle name="Normal 2 4 8" xfId="43450"/>
    <cellStyle name="Normal 2 4 9" xfId="58466"/>
    <cellStyle name="Normal 2 40" xfId="43451"/>
    <cellStyle name="Normal 2 41" xfId="43452"/>
    <cellStyle name="Normal 2 42" xfId="43453"/>
    <cellStyle name="Normal 2 43" xfId="43454"/>
    <cellStyle name="Normal 2 44" xfId="43455"/>
    <cellStyle name="Normal 2 45" xfId="43456"/>
    <cellStyle name="Normal 2 46" xfId="43457"/>
    <cellStyle name="Normal 2 47" xfId="43458"/>
    <cellStyle name="Normal 2 48" xfId="43459"/>
    <cellStyle name="Normal 2 49" xfId="43460"/>
    <cellStyle name="Normal 2 5" xfId="43461"/>
    <cellStyle name="Normal 2 5 10" xfId="43462"/>
    <cellStyle name="Normal 2 5 11" xfId="43463"/>
    <cellStyle name="Normal 2 5 12" xfId="43464"/>
    <cellStyle name="Normal 2 5 13" xfId="43465"/>
    <cellStyle name="Normal 2 5 14" xfId="43466"/>
    <cellStyle name="Normal 2 5 15" xfId="43467"/>
    <cellStyle name="Normal 2 5 16" xfId="43468"/>
    <cellStyle name="Normal 2 5 17" xfId="43469"/>
    <cellStyle name="Normal 2 5 18" xfId="43470"/>
    <cellStyle name="Normal 2 5 19" xfId="43471"/>
    <cellStyle name="Normal 2 5 2" xfId="43472"/>
    <cellStyle name="Normal 2 5 2 2" xfId="43473"/>
    <cellStyle name="Normal 2 5 2 2 2" xfId="43474"/>
    <cellStyle name="Normal 2 5 2 2 2 2" xfId="43475"/>
    <cellStyle name="Normal 2 5 2 2 2 2 2" xfId="43476"/>
    <cellStyle name="Normal 2 5 2 2 2 3" xfId="43477"/>
    <cellStyle name="Normal 2 5 2 2 3" xfId="43478"/>
    <cellStyle name="Normal 2 5 2 2 3 2" xfId="43479"/>
    <cellStyle name="Normal 2 5 2 2 4" xfId="43480"/>
    <cellStyle name="Normal 2 5 2 3" xfId="43481"/>
    <cellStyle name="Normal 2 5 2 3 2" xfId="43482"/>
    <cellStyle name="Normal 2 5 2 3 2 2" xfId="43483"/>
    <cellStyle name="Normal 2 5 2 3 3" xfId="43484"/>
    <cellStyle name="Normal 2 5 2 4" xfId="43485"/>
    <cellStyle name="Normal 2 5 2 4 2" xfId="43486"/>
    <cellStyle name="Normal 2 5 2 5" xfId="43487"/>
    <cellStyle name="Normal 2 5 2 6" xfId="43488"/>
    <cellStyle name="Normal 2 5 2 6 2" xfId="43489"/>
    <cellStyle name="Normal 2 5 2 6 2 2" xfId="57457"/>
    <cellStyle name="Normal 2 5 20" xfId="43490"/>
    <cellStyle name="Normal 2 5 21" xfId="43491"/>
    <cellStyle name="Normal 2 5 22" xfId="43492"/>
    <cellStyle name="Normal 2 5 23" xfId="43493"/>
    <cellStyle name="Normal 2 5 24" xfId="43494"/>
    <cellStyle name="Normal 2 5 25" xfId="43495"/>
    <cellStyle name="Normal 2 5 26" xfId="43496"/>
    <cellStyle name="Normal 2 5 27" xfId="43497"/>
    <cellStyle name="Normal 2 5 28" xfId="43498"/>
    <cellStyle name="Normal 2 5 29" xfId="43499"/>
    <cellStyle name="Normal 2 5 3" xfId="43500"/>
    <cellStyle name="Normal 2 5 3 2" xfId="43501"/>
    <cellStyle name="Normal 2 5 3 2 2" xfId="43502"/>
    <cellStyle name="Normal 2 5 3 2 2 2" xfId="43503"/>
    <cellStyle name="Normal 2 5 3 2 2 2 2" xfId="43504"/>
    <cellStyle name="Normal 2 5 3 2 2 3" xfId="43505"/>
    <cellStyle name="Normal 2 5 3 2 3" xfId="43506"/>
    <cellStyle name="Normal 2 5 3 2 3 2" xfId="43507"/>
    <cellStyle name="Normal 2 5 3 2 4" xfId="43508"/>
    <cellStyle name="Normal 2 5 3 3" xfId="43509"/>
    <cellStyle name="Normal 2 5 3 3 2" xfId="43510"/>
    <cellStyle name="Normal 2 5 3 3 2 2" xfId="43511"/>
    <cellStyle name="Normal 2 5 3 3 3" xfId="43512"/>
    <cellStyle name="Normal 2 5 3 4" xfId="43513"/>
    <cellStyle name="Normal 2 5 3 4 2" xfId="43514"/>
    <cellStyle name="Normal 2 5 3 5" xfId="43515"/>
    <cellStyle name="Normal 2 5 3 6" xfId="43516"/>
    <cellStyle name="Normal 2 5 30" xfId="43517"/>
    <cellStyle name="Normal 2 5 31" xfId="43518"/>
    <cellStyle name="Normal 2 5 32" xfId="43519"/>
    <cellStyle name="Normal 2 5 33" xfId="43520"/>
    <cellStyle name="Normal 2 5 34" xfId="43521"/>
    <cellStyle name="Normal 2 5 35" xfId="43522"/>
    <cellStyle name="Normal 2 5 36" xfId="43523"/>
    <cellStyle name="Normal 2 5 37" xfId="43524"/>
    <cellStyle name="Normal 2 5 38" xfId="43525"/>
    <cellStyle name="Normal 2 5 39" xfId="43526"/>
    <cellStyle name="Normal 2 5 4" xfId="43527"/>
    <cellStyle name="Normal 2 5 4 2" xfId="43528"/>
    <cellStyle name="Normal 2 5 4 2 2" xfId="43529"/>
    <cellStyle name="Normal 2 5 4 2 2 2" xfId="43530"/>
    <cellStyle name="Normal 2 5 4 2 2 2 2" xfId="43531"/>
    <cellStyle name="Normal 2 5 4 2 2 3" xfId="43532"/>
    <cellStyle name="Normal 2 5 4 2 3" xfId="43533"/>
    <cellStyle name="Normal 2 5 4 2 3 2" xfId="43534"/>
    <cellStyle name="Normal 2 5 4 2 4" xfId="43535"/>
    <cellStyle name="Normal 2 5 4 3" xfId="43536"/>
    <cellStyle name="Normal 2 5 4 3 2" xfId="43537"/>
    <cellStyle name="Normal 2 5 4 3 2 2" xfId="43538"/>
    <cellStyle name="Normal 2 5 4 3 3" xfId="43539"/>
    <cellStyle name="Normal 2 5 4 4" xfId="43540"/>
    <cellStyle name="Normal 2 5 4 4 2" xfId="43541"/>
    <cellStyle name="Normal 2 5 4 5" xfId="43542"/>
    <cellStyle name="Normal 2 5 4 6" xfId="43543"/>
    <cellStyle name="Normal 2 5 40" xfId="43544"/>
    <cellStyle name="Normal 2 5 41" xfId="43545"/>
    <cellStyle name="Normal 2 5 42" xfId="43546"/>
    <cellStyle name="Normal 2 5 43" xfId="43547"/>
    <cellStyle name="Normal 2 5 44" xfId="43548"/>
    <cellStyle name="Normal 2 5 45" xfId="43549"/>
    <cellStyle name="Normal 2 5 46" xfId="43550"/>
    <cellStyle name="Normal 2 5 47" xfId="43551"/>
    <cellStyle name="Normal 2 5 48" xfId="43552"/>
    <cellStyle name="Normal 2 5 49" xfId="43553"/>
    <cellStyle name="Normal 2 5 5" xfId="43554"/>
    <cellStyle name="Normal 2 5 5 2" xfId="43555"/>
    <cellStyle name="Normal 2 5 5 2 2" xfId="43556"/>
    <cellStyle name="Normal 2 5 5 2 2 2" xfId="43557"/>
    <cellStyle name="Normal 2 5 5 2 2 2 2" xfId="43558"/>
    <cellStyle name="Normal 2 5 5 2 2 3" xfId="43559"/>
    <cellStyle name="Normal 2 5 5 2 3" xfId="43560"/>
    <cellStyle name="Normal 2 5 5 2 3 2" xfId="43561"/>
    <cellStyle name="Normal 2 5 5 2 4" xfId="43562"/>
    <cellStyle name="Normal 2 5 5 3" xfId="43563"/>
    <cellStyle name="Normal 2 5 5 3 2" xfId="43564"/>
    <cellStyle name="Normal 2 5 5 3 2 2" xfId="43565"/>
    <cellStyle name="Normal 2 5 5 3 3" xfId="43566"/>
    <cellStyle name="Normal 2 5 5 4" xfId="43567"/>
    <cellStyle name="Normal 2 5 5 4 2" xfId="43568"/>
    <cellStyle name="Normal 2 5 5 5" xfId="43569"/>
    <cellStyle name="Normal 2 5 5 6" xfId="43570"/>
    <cellStyle name="Normal 2 5 50" xfId="43571"/>
    <cellStyle name="Normal 2 5 51" xfId="43572"/>
    <cellStyle name="Normal 2 5 52" xfId="43573"/>
    <cellStyle name="Normal 2 5 53" xfId="43574"/>
    <cellStyle name="Normal 2 5 54" xfId="43575"/>
    <cellStyle name="Normal 2 5 55" xfId="43576"/>
    <cellStyle name="Normal 2 5 56" xfId="43577"/>
    <cellStyle name="Normal 2 5 57" xfId="43578"/>
    <cellStyle name="Normal 2 5 58" xfId="43579"/>
    <cellStyle name="Normal 2 5 59" xfId="43580"/>
    <cellStyle name="Normal 2 5 6" xfId="43581"/>
    <cellStyle name="Normal 2 5 6 2" xfId="43582"/>
    <cellStyle name="Normal 2 5 6 2 2" xfId="43583"/>
    <cellStyle name="Normal 2 5 6 2 2 2" xfId="43584"/>
    <cellStyle name="Normal 2 5 6 2 2 2 2" xfId="43585"/>
    <cellStyle name="Normal 2 5 6 2 2 3" xfId="43586"/>
    <cellStyle name="Normal 2 5 6 2 3" xfId="43587"/>
    <cellStyle name="Normal 2 5 6 2 3 2" xfId="43588"/>
    <cellStyle name="Normal 2 5 6 2 4" xfId="43589"/>
    <cellStyle name="Normal 2 5 6 3" xfId="43590"/>
    <cellStyle name="Normal 2 5 6 3 2" xfId="43591"/>
    <cellStyle name="Normal 2 5 6 3 2 2" xfId="43592"/>
    <cellStyle name="Normal 2 5 6 3 3" xfId="43593"/>
    <cellStyle name="Normal 2 5 6 4" xfId="43594"/>
    <cellStyle name="Normal 2 5 6 4 2" xfId="43595"/>
    <cellStyle name="Normal 2 5 6 5" xfId="43596"/>
    <cellStyle name="Normal 2 5 6 6" xfId="43597"/>
    <cellStyle name="Normal 2 5 60" xfId="43598"/>
    <cellStyle name="Normal 2 5 61" xfId="43599"/>
    <cellStyle name="Normal 2 5 62" xfId="43600"/>
    <cellStyle name="Normal 2 5 63" xfId="43601"/>
    <cellStyle name="Normal 2 5 64" xfId="43602"/>
    <cellStyle name="Normal 2 5 65" xfId="43603"/>
    <cellStyle name="Normal 2 5 66" xfId="43604"/>
    <cellStyle name="Normal 2 5 67" xfId="43605"/>
    <cellStyle name="Normal 2 5 68" xfId="43606"/>
    <cellStyle name="Normal 2 5 69" xfId="43607"/>
    <cellStyle name="Normal 2 5 7" xfId="43608"/>
    <cellStyle name="Normal 2 5 7 2" xfId="43609"/>
    <cellStyle name="Normal 2 5 70" xfId="43610"/>
    <cellStyle name="Normal 2 5 71" xfId="43611"/>
    <cellStyle name="Normal 2 5 72" xfId="43612"/>
    <cellStyle name="Normal 2 5 73" xfId="43613"/>
    <cellStyle name="Normal 2 5 74" xfId="43614"/>
    <cellStyle name="Normal 2 5 75" xfId="43615"/>
    <cellStyle name="Normal 2 5 76" xfId="43616"/>
    <cellStyle name="Normal 2 5 77" xfId="43617"/>
    <cellStyle name="Normal 2 5 78" xfId="43618"/>
    <cellStyle name="Normal 2 5 79" xfId="43619"/>
    <cellStyle name="Normal 2 5 8" xfId="43620"/>
    <cellStyle name="Normal 2 5 80" xfId="43621"/>
    <cellStyle name="Normal 2 5 81" xfId="43622"/>
    <cellStyle name="Normal 2 5 9" xfId="43623"/>
    <cellStyle name="Normal 2 5_PM Okt 2014 Plan VS Actual Planning Workshop" xfId="43624"/>
    <cellStyle name="Normal 2 50" xfId="43625"/>
    <cellStyle name="Normal 2 51" xfId="43626"/>
    <cellStyle name="Normal 2 52" xfId="43627"/>
    <cellStyle name="Normal 2 53" xfId="43628"/>
    <cellStyle name="Normal 2 54" xfId="43629"/>
    <cellStyle name="Normal 2 55" xfId="43630"/>
    <cellStyle name="Normal 2 56" xfId="43631"/>
    <cellStyle name="Normal 2 57" xfId="43632"/>
    <cellStyle name="Normal 2 58" xfId="43633"/>
    <cellStyle name="Normal 2 59" xfId="43634"/>
    <cellStyle name="Normal 2 6" xfId="43635"/>
    <cellStyle name="Normal 2 6 2" xfId="43636"/>
    <cellStyle name="Normal 2 6 3" xfId="43637"/>
    <cellStyle name="Normal 2 6 4" xfId="43638"/>
    <cellStyle name="Normal 2 6 5" xfId="43639"/>
    <cellStyle name="Normal 2 60" xfId="43640"/>
    <cellStyle name="Normal 2 61" xfId="43641"/>
    <cellStyle name="Normal 2 62" xfId="43642"/>
    <cellStyle name="Normal 2 63" xfId="43643"/>
    <cellStyle name="Normal 2 64" xfId="43644"/>
    <cellStyle name="Normal 2 65" xfId="43645"/>
    <cellStyle name="Normal 2 66" xfId="43646"/>
    <cellStyle name="Normal 2 67" xfId="43647"/>
    <cellStyle name="Normal 2 68" xfId="43648"/>
    <cellStyle name="Normal 2 69" xfId="43649"/>
    <cellStyle name="Normal 2 7" xfId="43650"/>
    <cellStyle name="Normal 2 7 10" xfId="43651"/>
    <cellStyle name="Normal 2 7 10 2" xfId="43652"/>
    <cellStyle name="Normal 2 7 10 2 2" xfId="43653"/>
    <cellStyle name="Normal 2 7 10 2 2 2" xfId="43654"/>
    <cellStyle name="Normal 2 7 10 2 2 2 2" xfId="43655"/>
    <cellStyle name="Normal 2 7 10 2 2 3" xfId="43656"/>
    <cellStyle name="Normal 2 7 10 2 3" xfId="43657"/>
    <cellStyle name="Normal 2 7 10 2 3 2" xfId="43658"/>
    <cellStyle name="Normal 2 7 10 2 4" xfId="43659"/>
    <cellStyle name="Normal 2 7 10 2 4 2" xfId="43660"/>
    <cellStyle name="Normal 2 7 10 2 5" xfId="43661"/>
    <cellStyle name="Normal 2 7 10 2 5 2" xfId="43662"/>
    <cellStyle name="Normal 2 7 10 2 6" xfId="43663"/>
    <cellStyle name="Normal 2 7 10 3" xfId="43664"/>
    <cellStyle name="Normal 2 7 10 3 2" xfId="43665"/>
    <cellStyle name="Normal 2 7 10 3 2 2" xfId="43666"/>
    <cellStyle name="Normal 2 7 10 3 3" xfId="43667"/>
    <cellStyle name="Normal 2 7 10 4" xfId="43668"/>
    <cellStyle name="Normal 2 7 10 4 2" xfId="43669"/>
    <cellStyle name="Normal 2 7 10 5" xfId="43670"/>
    <cellStyle name="Normal 2 7 10 5 2" xfId="43671"/>
    <cellStyle name="Normal 2 7 10 6" xfId="43672"/>
    <cellStyle name="Normal 2 7 10 6 2" xfId="43673"/>
    <cellStyle name="Normal 2 7 10 7" xfId="43674"/>
    <cellStyle name="Normal 2 7 11" xfId="43675"/>
    <cellStyle name="Normal 2 7 11 2" xfId="43676"/>
    <cellStyle name="Normal 2 7 11 2 2" xfId="43677"/>
    <cellStyle name="Normal 2 7 11 2 2 2" xfId="43678"/>
    <cellStyle name="Normal 2 7 11 2 3" xfId="43679"/>
    <cellStyle name="Normal 2 7 11 3" xfId="43680"/>
    <cellStyle name="Normal 2 7 11 3 2" xfId="43681"/>
    <cellStyle name="Normal 2 7 11 4" xfId="43682"/>
    <cellStyle name="Normal 2 7 11 4 2" xfId="43683"/>
    <cellStyle name="Normal 2 7 11 5" xfId="43684"/>
    <cellStyle name="Normal 2 7 11 5 2" xfId="43685"/>
    <cellStyle name="Normal 2 7 11 6" xfId="43686"/>
    <cellStyle name="Normal 2 7 12" xfId="43687"/>
    <cellStyle name="Normal 2 7 12 2" xfId="43688"/>
    <cellStyle name="Normal 2 7 12 3" xfId="43689"/>
    <cellStyle name="Normal 2 7 12 4" xfId="43690"/>
    <cellStyle name="Normal 2 7 13" xfId="43691"/>
    <cellStyle name="Normal 2 7 13 2" xfId="43692"/>
    <cellStyle name="Normal 2 7 13 2 2" xfId="43693"/>
    <cellStyle name="Normal 2 7 13 2 2 2" xfId="43694"/>
    <cellStyle name="Normal 2 7 13 2 3" xfId="43695"/>
    <cellStyle name="Normal 2 7 13 3" xfId="43696"/>
    <cellStyle name="Normal 2 7 13 3 2" xfId="43697"/>
    <cellStyle name="Normal 2 7 13 4" xfId="43698"/>
    <cellStyle name="Normal 2 7 13 4 2" xfId="43699"/>
    <cellStyle name="Normal 2 7 13 5" xfId="43700"/>
    <cellStyle name="Normal 2 7 13 5 2" xfId="43701"/>
    <cellStyle name="Normal 2 7 13 6" xfId="43702"/>
    <cellStyle name="Normal 2 7 14" xfId="43703"/>
    <cellStyle name="Normal 2 7 14 2" xfId="43704"/>
    <cellStyle name="Normal 2 7 14 2 2" xfId="43705"/>
    <cellStyle name="Normal 2 7 14 3" xfId="43706"/>
    <cellStyle name="Normal 2 7 15" xfId="43707"/>
    <cellStyle name="Normal 2 7 15 2" xfId="43708"/>
    <cellStyle name="Normal 2 7 15 2 2" xfId="43709"/>
    <cellStyle name="Normal 2 7 15 3" xfId="43710"/>
    <cellStyle name="Normal 2 7 16" xfId="43711"/>
    <cellStyle name="Normal 2 7 16 2" xfId="43712"/>
    <cellStyle name="Normal 2 7 17" xfId="43713"/>
    <cellStyle name="Normal 2 7 17 2" xfId="43714"/>
    <cellStyle name="Normal 2 7 18" xfId="43715"/>
    <cellStyle name="Normal 2 7 2" xfId="43716"/>
    <cellStyle name="Normal 2 7 2 10" xfId="43717"/>
    <cellStyle name="Normal 2 7 2 10 2" xfId="43718"/>
    <cellStyle name="Normal 2 7 2 10 2 2" xfId="43719"/>
    <cellStyle name="Normal 2 7 2 10 3" xfId="43720"/>
    <cellStyle name="Normal 2 7 2 11" xfId="43721"/>
    <cellStyle name="Normal 2 7 2 11 2" xfId="43722"/>
    <cellStyle name="Normal 2 7 2 12" xfId="43723"/>
    <cellStyle name="Normal 2 7 2 12 2" xfId="43724"/>
    <cellStyle name="Normal 2 7 2 13" xfId="43725"/>
    <cellStyle name="Normal 2 7 2 14" xfId="43726"/>
    <cellStyle name="Normal 2 7 2 2" xfId="43727"/>
    <cellStyle name="Normal 2 7 2 2 2" xfId="43728"/>
    <cellStyle name="Normal 2 7 2 2 2 2" xfId="43729"/>
    <cellStyle name="Normal 2 7 2 2 3" xfId="43730"/>
    <cellStyle name="Normal 2 7 2 2 3 2" xfId="43731"/>
    <cellStyle name="Normal 2 7 2 2 4" xfId="43732"/>
    <cellStyle name="Normal 2 7 2 2 4 2" xfId="43733"/>
    <cellStyle name="Normal 2 7 2 2 5" xfId="43734"/>
    <cellStyle name="Normal 2 7 2 2 5 2" xfId="43735"/>
    <cellStyle name="Normal 2 7 2 2 5 3" xfId="43736"/>
    <cellStyle name="Normal 2 7 2 2 6" xfId="43737"/>
    <cellStyle name="Normal 2 7 2 3" xfId="43738"/>
    <cellStyle name="Normal 2 7 2 3 2" xfId="43739"/>
    <cellStyle name="Normal 2 7 2 4" xfId="43740"/>
    <cellStyle name="Normal 2 7 2 4 2" xfId="43741"/>
    <cellStyle name="Normal 2 7 2 4 2 2" xfId="43742"/>
    <cellStyle name="Normal 2 7 2 4 2 2 2" xfId="43743"/>
    <cellStyle name="Normal 2 7 2 4 2 2 2 2" xfId="43744"/>
    <cellStyle name="Normal 2 7 2 4 2 2 2 2 2" xfId="43745"/>
    <cellStyle name="Normal 2 7 2 4 2 2 2 3" xfId="43746"/>
    <cellStyle name="Normal 2 7 2 4 2 2 3" xfId="43747"/>
    <cellStyle name="Normal 2 7 2 4 2 2 3 2" xfId="43748"/>
    <cellStyle name="Normal 2 7 2 4 2 2 4" xfId="43749"/>
    <cellStyle name="Normal 2 7 2 4 2 2 4 2" xfId="43750"/>
    <cellStyle name="Normal 2 7 2 4 2 2 5" xfId="43751"/>
    <cellStyle name="Normal 2 7 2 4 2 2 5 2" xfId="43752"/>
    <cellStyle name="Normal 2 7 2 4 2 2 6" xfId="43753"/>
    <cellStyle name="Normal 2 7 2 4 2 3" xfId="43754"/>
    <cellStyle name="Normal 2 7 2 4 2 3 2" xfId="43755"/>
    <cellStyle name="Normal 2 7 2 4 2 3 2 2" xfId="43756"/>
    <cellStyle name="Normal 2 7 2 4 2 3 3" xfId="43757"/>
    <cellStyle name="Normal 2 7 2 4 2 4" xfId="43758"/>
    <cellStyle name="Normal 2 7 2 4 2 4 2" xfId="43759"/>
    <cellStyle name="Normal 2 7 2 4 2 5" xfId="43760"/>
    <cellStyle name="Normal 2 7 2 4 2 5 2" xfId="43761"/>
    <cellStyle name="Normal 2 7 2 4 2 6" xfId="43762"/>
    <cellStyle name="Normal 2 7 2 4 2 6 2" xfId="43763"/>
    <cellStyle name="Normal 2 7 2 4 2 7" xfId="43764"/>
    <cellStyle name="Normal 2 7 2 4 3" xfId="43765"/>
    <cellStyle name="Normal 2 7 2 4 3 2" xfId="43766"/>
    <cellStyle name="Normal 2 7 2 4 3 2 2" xfId="43767"/>
    <cellStyle name="Normal 2 7 2 4 3 2 2 2" xfId="43768"/>
    <cellStyle name="Normal 2 7 2 4 3 2 3" xfId="43769"/>
    <cellStyle name="Normal 2 7 2 4 3 3" xfId="43770"/>
    <cellStyle name="Normal 2 7 2 4 3 3 2" xfId="43771"/>
    <cellStyle name="Normal 2 7 2 4 3 4" xfId="43772"/>
    <cellStyle name="Normal 2 7 2 4 3 4 2" xfId="43773"/>
    <cellStyle name="Normal 2 7 2 4 3 5" xfId="43774"/>
    <cellStyle name="Normal 2 7 2 4 3 5 2" xfId="43775"/>
    <cellStyle name="Normal 2 7 2 4 3 6" xfId="43776"/>
    <cellStyle name="Normal 2 7 2 4 4" xfId="43777"/>
    <cellStyle name="Normal 2 7 2 4 4 2" xfId="43778"/>
    <cellStyle name="Normal 2 7 2 4 4 2 2" xfId="43779"/>
    <cellStyle name="Normal 2 7 2 4 4 3" xfId="43780"/>
    <cellStyle name="Normal 2 7 2 4 5" xfId="43781"/>
    <cellStyle name="Normal 2 7 2 4 5 2" xfId="43782"/>
    <cellStyle name="Normal 2 7 2 4 6" xfId="43783"/>
    <cellStyle name="Normal 2 7 2 4 6 2" xfId="43784"/>
    <cellStyle name="Normal 2 7 2 4 7" xfId="43785"/>
    <cellStyle name="Normal 2 7 2 4 7 2" xfId="43786"/>
    <cellStyle name="Normal 2 7 2 4 8" xfId="43787"/>
    <cellStyle name="Normal 2 7 2 5" xfId="43788"/>
    <cellStyle name="Normal 2 7 2 5 2" xfId="43789"/>
    <cellStyle name="Normal 2 7 2 5 2 2" xfId="43790"/>
    <cellStyle name="Normal 2 7 2 5 2 2 2" xfId="43791"/>
    <cellStyle name="Normal 2 7 2 5 2 2 2 2" xfId="43792"/>
    <cellStyle name="Normal 2 7 2 5 2 2 2 2 2" xfId="43793"/>
    <cellStyle name="Normal 2 7 2 5 2 2 2 3" xfId="43794"/>
    <cellStyle name="Normal 2 7 2 5 2 2 3" xfId="43795"/>
    <cellStyle name="Normal 2 7 2 5 2 2 3 2" xfId="43796"/>
    <cellStyle name="Normal 2 7 2 5 2 2 4" xfId="43797"/>
    <cellStyle name="Normal 2 7 2 5 2 2 4 2" xfId="43798"/>
    <cellStyle name="Normal 2 7 2 5 2 2 5" xfId="43799"/>
    <cellStyle name="Normal 2 7 2 5 2 2 5 2" xfId="43800"/>
    <cellStyle name="Normal 2 7 2 5 2 2 6" xfId="43801"/>
    <cellStyle name="Normal 2 7 2 5 2 3" xfId="43802"/>
    <cellStyle name="Normal 2 7 2 5 2 3 2" xfId="43803"/>
    <cellStyle name="Normal 2 7 2 5 2 3 2 2" xfId="43804"/>
    <cellStyle name="Normal 2 7 2 5 2 3 3" xfId="43805"/>
    <cellStyle name="Normal 2 7 2 5 2 4" xfId="43806"/>
    <cellStyle name="Normal 2 7 2 5 2 4 2" xfId="43807"/>
    <cellStyle name="Normal 2 7 2 5 2 5" xfId="43808"/>
    <cellStyle name="Normal 2 7 2 5 2 5 2" xfId="43809"/>
    <cellStyle name="Normal 2 7 2 5 2 6" xfId="43810"/>
    <cellStyle name="Normal 2 7 2 5 2 6 2" xfId="43811"/>
    <cellStyle name="Normal 2 7 2 5 2 7" xfId="43812"/>
    <cellStyle name="Normal 2 7 2 5 3" xfId="43813"/>
    <cellStyle name="Normal 2 7 2 5 3 2" xfId="43814"/>
    <cellStyle name="Normal 2 7 2 5 3 2 2" xfId="43815"/>
    <cellStyle name="Normal 2 7 2 5 3 2 2 2" xfId="43816"/>
    <cellStyle name="Normal 2 7 2 5 3 2 3" xfId="43817"/>
    <cellStyle name="Normal 2 7 2 5 3 3" xfId="43818"/>
    <cellStyle name="Normal 2 7 2 5 3 3 2" xfId="43819"/>
    <cellStyle name="Normal 2 7 2 5 3 4" xfId="43820"/>
    <cellStyle name="Normal 2 7 2 5 3 4 2" xfId="43821"/>
    <cellStyle name="Normal 2 7 2 5 3 5" xfId="43822"/>
    <cellStyle name="Normal 2 7 2 5 3 5 2" xfId="43823"/>
    <cellStyle name="Normal 2 7 2 5 3 6" xfId="43824"/>
    <cellStyle name="Normal 2 7 2 5 4" xfId="43825"/>
    <cellStyle name="Normal 2 7 2 5 4 2" xfId="43826"/>
    <cellStyle name="Normal 2 7 2 5 4 2 2" xfId="43827"/>
    <cellStyle name="Normal 2 7 2 5 4 3" xfId="43828"/>
    <cellStyle name="Normal 2 7 2 5 5" xfId="43829"/>
    <cellStyle name="Normal 2 7 2 5 5 2" xfId="43830"/>
    <cellStyle name="Normal 2 7 2 5 6" xfId="43831"/>
    <cellStyle name="Normal 2 7 2 5 6 2" xfId="43832"/>
    <cellStyle name="Normal 2 7 2 5 7" xfId="43833"/>
    <cellStyle name="Normal 2 7 2 5 7 2" xfId="43834"/>
    <cellStyle name="Normal 2 7 2 5 8" xfId="43835"/>
    <cellStyle name="Normal 2 7 2 6" xfId="43836"/>
    <cellStyle name="Normal 2 7 2 6 2" xfId="43837"/>
    <cellStyle name="Normal 2 7 2 6 2 2" xfId="43838"/>
    <cellStyle name="Normal 2 7 2 6 2 2 2" xfId="43839"/>
    <cellStyle name="Normal 2 7 2 6 2 2 2 2" xfId="43840"/>
    <cellStyle name="Normal 2 7 2 6 2 2 3" xfId="43841"/>
    <cellStyle name="Normal 2 7 2 6 2 3" xfId="43842"/>
    <cellStyle name="Normal 2 7 2 6 2 3 2" xfId="43843"/>
    <cellStyle name="Normal 2 7 2 6 2 4" xfId="43844"/>
    <cellStyle name="Normal 2 7 2 6 2 4 2" xfId="43845"/>
    <cellStyle name="Normal 2 7 2 6 2 5" xfId="43846"/>
    <cellStyle name="Normal 2 7 2 6 2 5 2" xfId="43847"/>
    <cellStyle name="Normal 2 7 2 6 2 6" xfId="43848"/>
    <cellStyle name="Normal 2 7 2 6 3" xfId="43849"/>
    <cellStyle name="Normal 2 7 2 6 3 2" xfId="43850"/>
    <cellStyle name="Normal 2 7 2 6 3 2 2" xfId="43851"/>
    <cellStyle name="Normal 2 7 2 6 3 3" xfId="43852"/>
    <cellStyle name="Normal 2 7 2 6 4" xfId="43853"/>
    <cellStyle name="Normal 2 7 2 6 4 2" xfId="43854"/>
    <cellStyle name="Normal 2 7 2 6 5" xfId="43855"/>
    <cellStyle name="Normal 2 7 2 6 5 2" xfId="43856"/>
    <cellStyle name="Normal 2 7 2 6 6" xfId="43857"/>
    <cellStyle name="Normal 2 7 2 6 6 2" xfId="43858"/>
    <cellStyle name="Normal 2 7 2 6 7" xfId="43859"/>
    <cellStyle name="Normal 2 7 2 7" xfId="43860"/>
    <cellStyle name="Normal 2 7 2 7 2" xfId="43861"/>
    <cellStyle name="Normal 2 7 2 7 2 2" xfId="43862"/>
    <cellStyle name="Normal 2 7 2 7 2 2 2" xfId="43863"/>
    <cellStyle name="Normal 2 7 2 7 2 2 2 2" xfId="43864"/>
    <cellStyle name="Normal 2 7 2 7 2 2 3" xfId="43865"/>
    <cellStyle name="Normal 2 7 2 7 2 3" xfId="43866"/>
    <cellStyle name="Normal 2 7 2 7 2 3 2" xfId="43867"/>
    <cellStyle name="Normal 2 7 2 7 2 4" xfId="43868"/>
    <cellStyle name="Normal 2 7 2 7 2 4 2" xfId="43869"/>
    <cellStyle name="Normal 2 7 2 7 2 5" xfId="43870"/>
    <cellStyle name="Normal 2 7 2 7 2 5 2" xfId="43871"/>
    <cellStyle name="Normal 2 7 2 7 2 6" xfId="43872"/>
    <cellStyle name="Normal 2 7 2 7 3" xfId="43873"/>
    <cellStyle name="Normal 2 7 2 7 3 2" xfId="43874"/>
    <cellStyle name="Normal 2 7 2 7 3 2 2" xfId="43875"/>
    <cellStyle name="Normal 2 7 2 7 3 3" xfId="43876"/>
    <cellStyle name="Normal 2 7 2 7 4" xfId="43877"/>
    <cellStyle name="Normal 2 7 2 7 4 2" xfId="43878"/>
    <cellStyle name="Normal 2 7 2 7 5" xfId="43879"/>
    <cellStyle name="Normal 2 7 2 7 5 2" xfId="43880"/>
    <cellStyle name="Normal 2 7 2 7 6" xfId="43881"/>
    <cellStyle name="Normal 2 7 2 7 6 2" xfId="43882"/>
    <cellStyle name="Normal 2 7 2 7 7" xfId="43883"/>
    <cellStyle name="Normal 2 7 2 8" xfId="43884"/>
    <cellStyle name="Normal 2 7 2 8 2" xfId="43885"/>
    <cellStyle name="Normal 2 7 2 8 2 2" xfId="43886"/>
    <cellStyle name="Normal 2 7 2 8 2 2 2" xfId="43887"/>
    <cellStyle name="Normal 2 7 2 8 2 3" xfId="43888"/>
    <cellStyle name="Normal 2 7 2 8 3" xfId="43889"/>
    <cellStyle name="Normal 2 7 2 8 3 2" xfId="43890"/>
    <cellStyle name="Normal 2 7 2 8 4" xfId="43891"/>
    <cellStyle name="Normal 2 7 2 8 4 2" xfId="43892"/>
    <cellStyle name="Normal 2 7 2 8 5" xfId="43893"/>
    <cellStyle name="Normal 2 7 2 8 5 2" xfId="43894"/>
    <cellStyle name="Normal 2 7 2 8 6" xfId="43895"/>
    <cellStyle name="Normal 2 7 2 9" xfId="43896"/>
    <cellStyle name="Normal 2 7 2 9 2" xfId="43897"/>
    <cellStyle name="Normal 2 7 2 9 2 2" xfId="43898"/>
    <cellStyle name="Normal 2 7 2 9 2 2 2" xfId="43899"/>
    <cellStyle name="Normal 2 7 2 9 2 3" xfId="43900"/>
    <cellStyle name="Normal 2 7 2 9 3" xfId="43901"/>
    <cellStyle name="Normal 2 7 2 9 3 2" xfId="43902"/>
    <cellStyle name="Normal 2 7 2 9 4" xfId="43903"/>
    <cellStyle name="Normal 2 7 2 9 4 2" xfId="43904"/>
    <cellStyle name="Normal 2 7 2 9 5" xfId="43905"/>
    <cellStyle name="Normal 2 7 2 9 5 2" xfId="43906"/>
    <cellStyle name="Normal 2 7 2 9 6" xfId="43907"/>
    <cellStyle name="Normal 2 7 3" xfId="43908"/>
    <cellStyle name="Normal 2 7 3 10" xfId="43909"/>
    <cellStyle name="Normal 2 7 3 10 2" xfId="43910"/>
    <cellStyle name="Normal 2 7 3 10 2 2" xfId="43911"/>
    <cellStyle name="Normal 2 7 3 10 2 2 2" xfId="43912"/>
    <cellStyle name="Normal 2 7 3 10 2 3" xfId="43913"/>
    <cellStyle name="Normal 2 7 3 10 3" xfId="43914"/>
    <cellStyle name="Normal 2 7 3 10 3 2" xfId="43915"/>
    <cellStyle name="Normal 2 7 3 10 4" xfId="43916"/>
    <cellStyle name="Normal 2 7 3 10 4 2" xfId="43917"/>
    <cellStyle name="Normal 2 7 3 10 5" xfId="43918"/>
    <cellStyle name="Normal 2 7 3 10 5 2" xfId="43919"/>
    <cellStyle name="Normal 2 7 3 10 6" xfId="43920"/>
    <cellStyle name="Normal 2 7 3 11" xfId="43921"/>
    <cellStyle name="Normal 2 7 3 11 2" xfId="43922"/>
    <cellStyle name="Normal 2 7 3 11 2 2" xfId="43923"/>
    <cellStyle name="Normal 2 7 3 11 3" xfId="43924"/>
    <cellStyle name="Normal 2 7 3 12" xfId="43925"/>
    <cellStyle name="Normal 2 7 3 12 2" xfId="43926"/>
    <cellStyle name="Normal 2 7 3 13" xfId="43927"/>
    <cellStyle name="Normal 2 7 3 13 2" xfId="43928"/>
    <cellStyle name="Normal 2 7 3 14" xfId="43929"/>
    <cellStyle name="Normal 2 7 3 14 2" xfId="43930"/>
    <cellStyle name="Normal 2 7 3 15" xfId="43931"/>
    <cellStyle name="Normal 2 7 3 2" xfId="43932"/>
    <cellStyle name="Normal 2 7 3 2 10" xfId="43933"/>
    <cellStyle name="Normal 2 7 3 2 10 2" xfId="43934"/>
    <cellStyle name="Normal 2 7 3 2 11" xfId="43935"/>
    <cellStyle name="Normal 2 7 3 2 11 2" xfId="43936"/>
    <cellStyle name="Normal 2 7 3 2 12" xfId="43937"/>
    <cellStyle name="Normal 2 7 3 2 2" xfId="43938"/>
    <cellStyle name="Normal 2 7 3 2 2 2" xfId="43939"/>
    <cellStyle name="Normal 2 7 3 2 2 2 2" xfId="43940"/>
    <cellStyle name="Normal 2 7 3 2 2 2 2 2" xfId="43941"/>
    <cellStyle name="Normal 2 7 3 2 2 2 2 2 2" xfId="43942"/>
    <cellStyle name="Normal 2 7 3 2 2 2 2 2 2 2" xfId="43943"/>
    <cellStyle name="Normal 2 7 3 2 2 2 2 2 3" xfId="43944"/>
    <cellStyle name="Normal 2 7 3 2 2 2 2 3" xfId="43945"/>
    <cellStyle name="Normal 2 7 3 2 2 2 2 3 2" xfId="43946"/>
    <cellStyle name="Normal 2 7 3 2 2 2 2 4" xfId="43947"/>
    <cellStyle name="Normal 2 7 3 2 2 2 2 4 2" xfId="43948"/>
    <cellStyle name="Normal 2 7 3 2 2 2 2 5" xfId="43949"/>
    <cellStyle name="Normal 2 7 3 2 2 2 2 5 2" xfId="43950"/>
    <cellStyle name="Normal 2 7 3 2 2 2 2 6" xfId="43951"/>
    <cellStyle name="Normal 2 7 3 2 2 2 3" xfId="43952"/>
    <cellStyle name="Normal 2 7 3 2 2 2 3 2" xfId="43953"/>
    <cellStyle name="Normal 2 7 3 2 2 2 3 2 2" xfId="43954"/>
    <cellStyle name="Normal 2 7 3 2 2 2 3 3" xfId="43955"/>
    <cellStyle name="Normal 2 7 3 2 2 2 4" xfId="43956"/>
    <cellStyle name="Normal 2 7 3 2 2 2 4 2" xfId="43957"/>
    <cellStyle name="Normal 2 7 3 2 2 2 5" xfId="43958"/>
    <cellStyle name="Normal 2 7 3 2 2 2 5 2" xfId="43959"/>
    <cellStyle name="Normal 2 7 3 2 2 2 6" xfId="43960"/>
    <cellStyle name="Normal 2 7 3 2 2 2 6 2" xfId="43961"/>
    <cellStyle name="Normal 2 7 3 2 2 2 7" xfId="43962"/>
    <cellStyle name="Normal 2 7 3 2 2 3" xfId="43963"/>
    <cellStyle name="Normal 2 7 3 2 2 3 2" xfId="43964"/>
    <cellStyle name="Normal 2 7 3 2 2 3 2 2" xfId="43965"/>
    <cellStyle name="Normal 2 7 3 2 2 3 2 2 2" xfId="43966"/>
    <cellStyle name="Normal 2 7 3 2 2 3 2 3" xfId="43967"/>
    <cellStyle name="Normal 2 7 3 2 2 3 3" xfId="43968"/>
    <cellStyle name="Normal 2 7 3 2 2 3 3 2" xfId="43969"/>
    <cellStyle name="Normal 2 7 3 2 2 3 4" xfId="43970"/>
    <cellStyle name="Normal 2 7 3 2 2 3 4 2" xfId="43971"/>
    <cellStyle name="Normal 2 7 3 2 2 3 5" xfId="43972"/>
    <cellStyle name="Normal 2 7 3 2 2 3 5 2" xfId="43973"/>
    <cellStyle name="Normal 2 7 3 2 2 3 6" xfId="43974"/>
    <cellStyle name="Normal 2 7 3 2 2 4" xfId="43975"/>
    <cellStyle name="Normal 2 7 3 2 2 4 2" xfId="43976"/>
    <cellStyle name="Normal 2 7 3 2 2 4 2 2" xfId="43977"/>
    <cellStyle name="Normal 2 7 3 2 2 4 3" xfId="43978"/>
    <cellStyle name="Normal 2 7 3 2 2 5" xfId="43979"/>
    <cellStyle name="Normal 2 7 3 2 2 5 2" xfId="43980"/>
    <cellStyle name="Normal 2 7 3 2 2 6" xfId="43981"/>
    <cellStyle name="Normal 2 7 3 2 2 6 2" xfId="43982"/>
    <cellStyle name="Normal 2 7 3 2 2 7" xfId="43983"/>
    <cellStyle name="Normal 2 7 3 2 2 7 2" xfId="43984"/>
    <cellStyle name="Normal 2 7 3 2 2 8" xfId="43985"/>
    <cellStyle name="Normal 2 7 3 2 3" xfId="43986"/>
    <cellStyle name="Normal 2 7 3 2 3 2" xfId="43987"/>
    <cellStyle name="Normal 2 7 3 2 3 2 2" xfId="43988"/>
    <cellStyle name="Normal 2 7 3 2 3 2 2 2" xfId="43989"/>
    <cellStyle name="Normal 2 7 3 2 3 2 2 2 2" xfId="43990"/>
    <cellStyle name="Normal 2 7 3 2 3 2 2 2 2 2" xfId="43991"/>
    <cellStyle name="Normal 2 7 3 2 3 2 2 2 3" xfId="43992"/>
    <cellStyle name="Normal 2 7 3 2 3 2 2 3" xfId="43993"/>
    <cellStyle name="Normal 2 7 3 2 3 2 2 3 2" xfId="43994"/>
    <cellStyle name="Normal 2 7 3 2 3 2 2 4" xfId="43995"/>
    <cellStyle name="Normal 2 7 3 2 3 2 2 4 2" xfId="43996"/>
    <cellStyle name="Normal 2 7 3 2 3 2 2 5" xfId="43997"/>
    <cellStyle name="Normal 2 7 3 2 3 2 2 5 2" xfId="43998"/>
    <cellStyle name="Normal 2 7 3 2 3 2 2 6" xfId="43999"/>
    <cellStyle name="Normal 2 7 3 2 3 2 3" xfId="44000"/>
    <cellStyle name="Normal 2 7 3 2 3 2 3 2" xfId="44001"/>
    <cellStyle name="Normal 2 7 3 2 3 2 3 2 2" xfId="44002"/>
    <cellStyle name="Normal 2 7 3 2 3 2 3 3" xfId="44003"/>
    <cellStyle name="Normal 2 7 3 2 3 2 4" xfId="44004"/>
    <cellStyle name="Normal 2 7 3 2 3 2 4 2" xfId="44005"/>
    <cellStyle name="Normal 2 7 3 2 3 2 5" xfId="44006"/>
    <cellStyle name="Normal 2 7 3 2 3 2 5 2" xfId="44007"/>
    <cellStyle name="Normal 2 7 3 2 3 2 6" xfId="44008"/>
    <cellStyle name="Normal 2 7 3 2 3 2 6 2" xfId="44009"/>
    <cellStyle name="Normal 2 7 3 2 3 2 7" xfId="44010"/>
    <cellStyle name="Normal 2 7 3 2 3 3" xfId="44011"/>
    <cellStyle name="Normal 2 7 3 2 3 3 2" xfId="44012"/>
    <cellStyle name="Normal 2 7 3 2 3 3 2 2" xfId="44013"/>
    <cellStyle name="Normal 2 7 3 2 3 3 2 2 2" xfId="44014"/>
    <cellStyle name="Normal 2 7 3 2 3 3 2 3" xfId="44015"/>
    <cellStyle name="Normal 2 7 3 2 3 3 3" xfId="44016"/>
    <cellStyle name="Normal 2 7 3 2 3 3 3 2" xfId="44017"/>
    <cellStyle name="Normal 2 7 3 2 3 3 4" xfId="44018"/>
    <cellStyle name="Normal 2 7 3 2 3 3 4 2" xfId="44019"/>
    <cellStyle name="Normal 2 7 3 2 3 3 5" xfId="44020"/>
    <cellStyle name="Normal 2 7 3 2 3 3 5 2" xfId="44021"/>
    <cellStyle name="Normal 2 7 3 2 3 3 6" xfId="44022"/>
    <cellStyle name="Normal 2 7 3 2 3 4" xfId="44023"/>
    <cellStyle name="Normal 2 7 3 2 3 4 2" xfId="44024"/>
    <cellStyle name="Normal 2 7 3 2 3 4 2 2" xfId="44025"/>
    <cellStyle name="Normal 2 7 3 2 3 4 3" xfId="44026"/>
    <cellStyle name="Normal 2 7 3 2 3 5" xfId="44027"/>
    <cellStyle name="Normal 2 7 3 2 3 5 2" xfId="44028"/>
    <cellStyle name="Normal 2 7 3 2 3 6" xfId="44029"/>
    <cellStyle name="Normal 2 7 3 2 3 6 2" xfId="44030"/>
    <cellStyle name="Normal 2 7 3 2 3 7" xfId="44031"/>
    <cellStyle name="Normal 2 7 3 2 3 7 2" xfId="44032"/>
    <cellStyle name="Normal 2 7 3 2 3 8" xfId="44033"/>
    <cellStyle name="Normal 2 7 3 2 4" xfId="44034"/>
    <cellStyle name="Normal 2 7 3 2 4 2" xfId="44035"/>
    <cellStyle name="Normal 2 7 3 2 4 2 2" xfId="44036"/>
    <cellStyle name="Normal 2 7 3 2 4 2 2 2" xfId="44037"/>
    <cellStyle name="Normal 2 7 3 2 4 2 2 2 2" xfId="44038"/>
    <cellStyle name="Normal 2 7 3 2 4 2 2 3" xfId="44039"/>
    <cellStyle name="Normal 2 7 3 2 4 2 3" xfId="44040"/>
    <cellStyle name="Normal 2 7 3 2 4 2 3 2" xfId="44041"/>
    <cellStyle name="Normal 2 7 3 2 4 2 4" xfId="44042"/>
    <cellStyle name="Normal 2 7 3 2 4 2 4 2" xfId="44043"/>
    <cellStyle name="Normal 2 7 3 2 4 2 5" xfId="44044"/>
    <cellStyle name="Normal 2 7 3 2 4 2 5 2" xfId="44045"/>
    <cellStyle name="Normal 2 7 3 2 4 2 6" xfId="44046"/>
    <cellStyle name="Normal 2 7 3 2 4 3" xfId="44047"/>
    <cellStyle name="Normal 2 7 3 2 4 3 2" xfId="44048"/>
    <cellStyle name="Normal 2 7 3 2 4 3 2 2" xfId="44049"/>
    <cellStyle name="Normal 2 7 3 2 4 3 3" xfId="44050"/>
    <cellStyle name="Normal 2 7 3 2 4 4" xfId="44051"/>
    <cellStyle name="Normal 2 7 3 2 4 4 2" xfId="44052"/>
    <cellStyle name="Normal 2 7 3 2 4 5" xfId="44053"/>
    <cellStyle name="Normal 2 7 3 2 4 5 2" xfId="44054"/>
    <cellStyle name="Normal 2 7 3 2 4 6" xfId="44055"/>
    <cellStyle name="Normal 2 7 3 2 4 6 2" xfId="44056"/>
    <cellStyle name="Normal 2 7 3 2 4 7" xfId="44057"/>
    <cellStyle name="Normal 2 7 3 2 5" xfId="44058"/>
    <cellStyle name="Normal 2 7 3 2 5 2" xfId="44059"/>
    <cellStyle name="Normal 2 7 3 2 5 2 2" xfId="44060"/>
    <cellStyle name="Normal 2 7 3 2 5 2 2 2" xfId="44061"/>
    <cellStyle name="Normal 2 7 3 2 5 2 2 2 2" xfId="44062"/>
    <cellStyle name="Normal 2 7 3 2 5 2 2 3" xfId="44063"/>
    <cellStyle name="Normal 2 7 3 2 5 2 3" xfId="44064"/>
    <cellStyle name="Normal 2 7 3 2 5 2 3 2" xfId="44065"/>
    <cellStyle name="Normal 2 7 3 2 5 2 4" xfId="44066"/>
    <cellStyle name="Normal 2 7 3 2 5 2 4 2" xfId="44067"/>
    <cellStyle name="Normal 2 7 3 2 5 2 5" xfId="44068"/>
    <cellStyle name="Normal 2 7 3 2 5 2 5 2" xfId="44069"/>
    <cellStyle name="Normal 2 7 3 2 5 2 6" xfId="44070"/>
    <cellStyle name="Normal 2 7 3 2 5 3" xfId="44071"/>
    <cellStyle name="Normal 2 7 3 2 5 3 2" xfId="44072"/>
    <cellStyle name="Normal 2 7 3 2 5 3 2 2" xfId="44073"/>
    <cellStyle name="Normal 2 7 3 2 5 3 3" xfId="44074"/>
    <cellStyle name="Normal 2 7 3 2 5 4" xfId="44075"/>
    <cellStyle name="Normal 2 7 3 2 5 4 2" xfId="44076"/>
    <cellStyle name="Normal 2 7 3 2 5 5" xfId="44077"/>
    <cellStyle name="Normal 2 7 3 2 5 5 2" xfId="44078"/>
    <cellStyle name="Normal 2 7 3 2 5 6" xfId="44079"/>
    <cellStyle name="Normal 2 7 3 2 5 6 2" xfId="44080"/>
    <cellStyle name="Normal 2 7 3 2 5 7" xfId="44081"/>
    <cellStyle name="Normal 2 7 3 2 6" xfId="44082"/>
    <cellStyle name="Normal 2 7 3 2 6 2" xfId="44083"/>
    <cellStyle name="Normal 2 7 3 2 6 2 2" xfId="44084"/>
    <cellStyle name="Normal 2 7 3 2 6 2 2 2" xfId="44085"/>
    <cellStyle name="Normal 2 7 3 2 6 2 3" xfId="44086"/>
    <cellStyle name="Normal 2 7 3 2 6 3" xfId="44087"/>
    <cellStyle name="Normal 2 7 3 2 6 3 2" xfId="44088"/>
    <cellStyle name="Normal 2 7 3 2 6 4" xfId="44089"/>
    <cellStyle name="Normal 2 7 3 2 6 4 2" xfId="44090"/>
    <cellStyle name="Normal 2 7 3 2 6 5" xfId="44091"/>
    <cellStyle name="Normal 2 7 3 2 6 5 2" xfId="44092"/>
    <cellStyle name="Normal 2 7 3 2 6 6" xfId="44093"/>
    <cellStyle name="Normal 2 7 3 2 7" xfId="44094"/>
    <cellStyle name="Normal 2 7 3 2 7 2" xfId="44095"/>
    <cellStyle name="Normal 2 7 3 2 7 2 2" xfId="44096"/>
    <cellStyle name="Normal 2 7 3 2 7 2 2 2" xfId="44097"/>
    <cellStyle name="Normal 2 7 3 2 7 2 3" xfId="44098"/>
    <cellStyle name="Normal 2 7 3 2 7 3" xfId="44099"/>
    <cellStyle name="Normal 2 7 3 2 7 3 2" xfId="44100"/>
    <cellStyle name="Normal 2 7 3 2 7 4" xfId="44101"/>
    <cellStyle name="Normal 2 7 3 2 7 4 2" xfId="44102"/>
    <cellStyle name="Normal 2 7 3 2 7 5" xfId="44103"/>
    <cellStyle name="Normal 2 7 3 2 7 5 2" xfId="44104"/>
    <cellStyle name="Normal 2 7 3 2 7 6" xfId="44105"/>
    <cellStyle name="Normal 2 7 3 2 8" xfId="44106"/>
    <cellStyle name="Normal 2 7 3 2 8 2" xfId="44107"/>
    <cellStyle name="Normal 2 7 3 2 8 2 2" xfId="44108"/>
    <cellStyle name="Normal 2 7 3 2 8 3" xfId="44109"/>
    <cellStyle name="Normal 2 7 3 2 9" xfId="44110"/>
    <cellStyle name="Normal 2 7 3 2 9 2" xfId="44111"/>
    <cellStyle name="Normal 2 7 3 3" xfId="44112"/>
    <cellStyle name="Normal 2 7 3 3 2" xfId="44113"/>
    <cellStyle name="Normal 2 7 3 4" xfId="44114"/>
    <cellStyle name="Normal 2 7 3 4 2" xfId="44115"/>
    <cellStyle name="Normal 2 7 3 4 2 2" xfId="44116"/>
    <cellStyle name="Normal 2 7 3 4 2 2 2" xfId="44117"/>
    <cellStyle name="Normal 2 7 3 4 2 2 2 2" xfId="44118"/>
    <cellStyle name="Normal 2 7 3 4 2 2 2 2 2" xfId="44119"/>
    <cellStyle name="Normal 2 7 3 4 2 2 2 3" xfId="44120"/>
    <cellStyle name="Normal 2 7 3 4 2 2 3" xfId="44121"/>
    <cellStyle name="Normal 2 7 3 4 2 2 3 2" xfId="44122"/>
    <cellStyle name="Normal 2 7 3 4 2 2 4" xfId="44123"/>
    <cellStyle name="Normal 2 7 3 4 2 2 4 2" xfId="44124"/>
    <cellStyle name="Normal 2 7 3 4 2 2 5" xfId="44125"/>
    <cellStyle name="Normal 2 7 3 4 2 2 5 2" xfId="44126"/>
    <cellStyle name="Normal 2 7 3 4 2 2 6" xfId="44127"/>
    <cellStyle name="Normal 2 7 3 4 2 3" xfId="44128"/>
    <cellStyle name="Normal 2 7 3 4 2 3 2" xfId="44129"/>
    <cellStyle name="Normal 2 7 3 4 2 3 2 2" xfId="44130"/>
    <cellStyle name="Normal 2 7 3 4 2 3 3" xfId="44131"/>
    <cellStyle name="Normal 2 7 3 4 2 4" xfId="44132"/>
    <cellStyle name="Normal 2 7 3 4 2 4 2" xfId="44133"/>
    <cellStyle name="Normal 2 7 3 4 2 5" xfId="44134"/>
    <cellStyle name="Normal 2 7 3 4 2 5 2" xfId="44135"/>
    <cellStyle name="Normal 2 7 3 4 2 6" xfId="44136"/>
    <cellStyle name="Normal 2 7 3 4 2 6 2" xfId="44137"/>
    <cellStyle name="Normal 2 7 3 4 2 7" xfId="44138"/>
    <cellStyle name="Normal 2 7 3 4 3" xfId="44139"/>
    <cellStyle name="Normal 2 7 3 4 3 2" xfId="44140"/>
    <cellStyle name="Normal 2 7 3 4 3 2 2" xfId="44141"/>
    <cellStyle name="Normal 2 7 3 4 3 2 2 2" xfId="44142"/>
    <cellStyle name="Normal 2 7 3 4 3 2 3" xfId="44143"/>
    <cellStyle name="Normal 2 7 3 4 3 3" xfId="44144"/>
    <cellStyle name="Normal 2 7 3 4 3 3 2" xfId="44145"/>
    <cellStyle name="Normal 2 7 3 4 3 4" xfId="44146"/>
    <cellStyle name="Normal 2 7 3 4 3 4 2" xfId="44147"/>
    <cellStyle name="Normal 2 7 3 4 3 5" xfId="44148"/>
    <cellStyle name="Normal 2 7 3 4 3 5 2" xfId="44149"/>
    <cellStyle name="Normal 2 7 3 4 3 6" xfId="44150"/>
    <cellStyle name="Normal 2 7 3 4 4" xfId="44151"/>
    <cellStyle name="Normal 2 7 3 4 4 2" xfId="44152"/>
    <cellStyle name="Normal 2 7 3 4 4 2 2" xfId="44153"/>
    <cellStyle name="Normal 2 7 3 4 4 3" xfId="44154"/>
    <cellStyle name="Normal 2 7 3 4 5" xfId="44155"/>
    <cellStyle name="Normal 2 7 3 4 5 2" xfId="44156"/>
    <cellStyle name="Normal 2 7 3 4 6" xfId="44157"/>
    <cellStyle name="Normal 2 7 3 4 6 2" xfId="44158"/>
    <cellStyle name="Normal 2 7 3 4 7" xfId="44159"/>
    <cellStyle name="Normal 2 7 3 4 7 2" xfId="44160"/>
    <cellStyle name="Normal 2 7 3 4 8" xfId="44161"/>
    <cellStyle name="Normal 2 7 3 5" xfId="44162"/>
    <cellStyle name="Normal 2 7 3 5 2" xfId="44163"/>
    <cellStyle name="Normal 2 7 3 5 2 2" xfId="44164"/>
    <cellStyle name="Normal 2 7 3 5 2 2 2" xfId="44165"/>
    <cellStyle name="Normal 2 7 3 5 2 2 2 2" xfId="44166"/>
    <cellStyle name="Normal 2 7 3 5 2 2 2 2 2" xfId="44167"/>
    <cellStyle name="Normal 2 7 3 5 2 2 2 3" xfId="44168"/>
    <cellStyle name="Normal 2 7 3 5 2 2 3" xfId="44169"/>
    <cellStyle name="Normal 2 7 3 5 2 2 3 2" xfId="44170"/>
    <cellStyle name="Normal 2 7 3 5 2 2 4" xfId="44171"/>
    <cellStyle name="Normal 2 7 3 5 2 2 4 2" xfId="44172"/>
    <cellStyle name="Normal 2 7 3 5 2 2 5" xfId="44173"/>
    <cellStyle name="Normal 2 7 3 5 2 2 5 2" xfId="44174"/>
    <cellStyle name="Normal 2 7 3 5 2 2 6" xfId="44175"/>
    <cellStyle name="Normal 2 7 3 5 2 3" xfId="44176"/>
    <cellStyle name="Normal 2 7 3 5 2 3 2" xfId="44177"/>
    <cellStyle name="Normal 2 7 3 5 2 3 2 2" xfId="44178"/>
    <cellStyle name="Normal 2 7 3 5 2 3 3" xfId="44179"/>
    <cellStyle name="Normal 2 7 3 5 2 4" xfId="44180"/>
    <cellStyle name="Normal 2 7 3 5 2 4 2" xfId="44181"/>
    <cellStyle name="Normal 2 7 3 5 2 5" xfId="44182"/>
    <cellStyle name="Normal 2 7 3 5 2 5 2" xfId="44183"/>
    <cellStyle name="Normal 2 7 3 5 2 6" xfId="44184"/>
    <cellStyle name="Normal 2 7 3 5 2 6 2" xfId="44185"/>
    <cellStyle name="Normal 2 7 3 5 2 7" xfId="44186"/>
    <cellStyle name="Normal 2 7 3 5 3" xfId="44187"/>
    <cellStyle name="Normal 2 7 3 5 3 2" xfId="44188"/>
    <cellStyle name="Normal 2 7 3 5 3 2 2" xfId="44189"/>
    <cellStyle name="Normal 2 7 3 5 3 2 2 2" xfId="44190"/>
    <cellStyle name="Normal 2 7 3 5 3 2 3" xfId="44191"/>
    <cellStyle name="Normal 2 7 3 5 3 3" xfId="44192"/>
    <cellStyle name="Normal 2 7 3 5 3 3 2" xfId="44193"/>
    <cellStyle name="Normal 2 7 3 5 3 4" xfId="44194"/>
    <cellStyle name="Normal 2 7 3 5 3 4 2" xfId="44195"/>
    <cellStyle name="Normal 2 7 3 5 3 5" xfId="44196"/>
    <cellStyle name="Normal 2 7 3 5 3 5 2" xfId="44197"/>
    <cellStyle name="Normal 2 7 3 5 3 6" xfId="44198"/>
    <cellStyle name="Normal 2 7 3 5 4" xfId="44199"/>
    <cellStyle name="Normal 2 7 3 5 4 2" xfId="44200"/>
    <cellStyle name="Normal 2 7 3 5 4 2 2" xfId="44201"/>
    <cellStyle name="Normal 2 7 3 5 4 3" xfId="44202"/>
    <cellStyle name="Normal 2 7 3 5 5" xfId="44203"/>
    <cellStyle name="Normal 2 7 3 5 5 2" xfId="44204"/>
    <cellStyle name="Normal 2 7 3 5 6" xfId="44205"/>
    <cellStyle name="Normal 2 7 3 5 6 2" xfId="44206"/>
    <cellStyle name="Normal 2 7 3 5 7" xfId="44207"/>
    <cellStyle name="Normal 2 7 3 5 7 2" xfId="44208"/>
    <cellStyle name="Normal 2 7 3 5 8" xfId="44209"/>
    <cellStyle name="Normal 2 7 3 6" xfId="44210"/>
    <cellStyle name="Normal 2 7 3 6 2" xfId="44211"/>
    <cellStyle name="Normal 2 7 3 6 2 2" xfId="44212"/>
    <cellStyle name="Normal 2 7 3 6 2 2 2" xfId="44213"/>
    <cellStyle name="Normal 2 7 3 6 2 2 2 2" xfId="44214"/>
    <cellStyle name="Normal 2 7 3 6 2 2 3" xfId="44215"/>
    <cellStyle name="Normal 2 7 3 6 2 3" xfId="44216"/>
    <cellStyle name="Normal 2 7 3 6 2 3 2" xfId="44217"/>
    <cellStyle name="Normal 2 7 3 6 2 4" xfId="44218"/>
    <cellStyle name="Normal 2 7 3 6 2 4 2" xfId="44219"/>
    <cellStyle name="Normal 2 7 3 6 2 5" xfId="44220"/>
    <cellStyle name="Normal 2 7 3 6 2 5 2" xfId="44221"/>
    <cellStyle name="Normal 2 7 3 6 2 6" xfId="44222"/>
    <cellStyle name="Normal 2 7 3 6 3" xfId="44223"/>
    <cellStyle name="Normal 2 7 3 6 3 2" xfId="44224"/>
    <cellStyle name="Normal 2 7 3 6 3 2 2" xfId="44225"/>
    <cellStyle name="Normal 2 7 3 6 3 3" xfId="44226"/>
    <cellStyle name="Normal 2 7 3 6 4" xfId="44227"/>
    <cellStyle name="Normal 2 7 3 6 4 2" xfId="44228"/>
    <cellStyle name="Normal 2 7 3 6 5" xfId="44229"/>
    <cellStyle name="Normal 2 7 3 6 5 2" xfId="44230"/>
    <cellStyle name="Normal 2 7 3 6 6" xfId="44231"/>
    <cellStyle name="Normal 2 7 3 6 6 2" xfId="44232"/>
    <cellStyle name="Normal 2 7 3 6 7" xfId="44233"/>
    <cellStyle name="Normal 2 7 3 7" xfId="44234"/>
    <cellStyle name="Normal 2 7 3 7 2" xfId="44235"/>
    <cellStyle name="Normal 2 7 3 7 2 2" xfId="44236"/>
    <cellStyle name="Normal 2 7 3 7 2 2 2" xfId="44237"/>
    <cellStyle name="Normal 2 7 3 7 2 2 2 2" xfId="44238"/>
    <cellStyle name="Normal 2 7 3 7 2 2 3" xfId="44239"/>
    <cellStyle name="Normal 2 7 3 7 2 3" xfId="44240"/>
    <cellStyle name="Normal 2 7 3 7 2 3 2" xfId="44241"/>
    <cellStyle name="Normal 2 7 3 7 2 4" xfId="44242"/>
    <cellStyle name="Normal 2 7 3 7 2 4 2" xfId="44243"/>
    <cellStyle name="Normal 2 7 3 7 2 5" xfId="44244"/>
    <cellStyle name="Normal 2 7 3 7 2 5 2" xfId="44245"/>
    <cellStyle name="Normal 2 7 3 7 2 6" xfId="44246"/>
    <cellStyle name="Normal 2 7 3 7 3" xfId="44247"/>
    <cellStyle name="Normal 2 7 3 7 3 2" xfId="44248"/>
    <cellStyle name="Normal 2 7 3 7 3 2 2" xfId="44249"/>
    <cellStyle name="Normal 2 7 3 7 3 3" xfId="44250"/>
    <cellStyle name="Normal 2 7 3 7 4" xfId="44251"/>
    <cellStyle name="Normal 2 7 3 7 4 2" xfId="44252"/>
    <cellStyle name="Normal 2 7 3 7 5" xfId="44253"/>
    <cellStyle name="Normal 2 7 3 7 5 2" xfId="44254"/>
    <cellStyle name="Normal 2 7 3 7 6" xfId="44255"/>
    <cellStyle name="Normal 2 7 3 7 6 2" xfId="44256"/>
    <cellStyle name="Normal 2 7 3 7 7" xfId="44257"/>
    <cellStyle name="Normal 2 7 3 8" xfId="44258"/>
    <cellStyle name="Normal 2 7 3 8 2" xfId="44259"/>
    <cellStyle name="Normal 2 7 3 8 2 2" xfId="44260"/>
    <cellStyle name="Normal 2 7 3 8 2 2 2" xfId="44261"/>
    <cellStyle name="Normal 2 7 3 8 2 3" xfId="44262"/>
    <cellStyle name="Normal 2 7 3 8 3" xfId="44263"/>
    <cellStyle name="Normal 2 7 3 8 3 2" xfId="44264"/>
    <cellStyle name="Normal 2 7 3 8 4" xfId="44265"/>
    <cellStyle name="Normal 2 7 3 8 4 2" xfId="44266"/>
    <cellStyle name="Normal 2 7 3 8 5" xfId="44267"/>
    <cellStyle name="Normal 2 7 3 8 5 2" xfId="44268"/>
    <cellStyle name="Normal 2 7 3 8 6" xfId="44269"/>
    <cellStyle name="Normal 2 7 3 9" xfId="44270"/>
    <cellStyle name="Normal 2 7 3 9 2" xfId="44271"/>
    <cellStyle name="Normal 2 7 3 9 2 2" xfId="44272"/>
    <cellStyle name="Normal 2 7 3 9 2 2 2" xfId="44273"/>
    <cellStyle name="Normal 2 7 3 9 2 3" xfId="44274"/>
    <cellStyle name="Normal 2 7 3 9 3" xfId="44275"/>
    <cellStyle name="Normal 2 7 3 9 3 2" xfId="44276"/>
    <cellStyle name="Normal 2 7 3 9 4" xfId="44277"/>
    <cellStyle name="Normal 2 7 3 9 4 2" xfId="44278"/>
    <cellStyle name="Normal 2 7 3 9 5" xfId="44279"/>
    <cellStyle name="Normal 2 7 3 9 5 2" xfId="44280"/>
    <cellStyle name="Normal 2 7 3 9 6" xfId="44281"/>
    <cellStyle name="Normal 2 7 4" xfId="44282"/>
    <cellStyle name="Normal 2 7 4 10" xfId="44283"/>
    <cellStyle name="Normal 2 7 4 10 2" xfId="44284"/>
    <cellStyle name="Normal 2 7 4 11" xfId="44285"/>
    <cellStyle name="Normal 2 7 4 11 2" xfId="44286"/>
    <cellStyle name="Normal 2 7 4 12" xfId="44287"/>
    <cellStyle name="Normal 2 7 4 2" xfId="44288"/>
    <cellStyle name="Normal 2 7 4 2 2" xfId="44289"/>
    <cellStyle name="Normal 2 7 4 2 2 2" xfId="44290"/>
    <cellStyle name="Normal 2 7 4 2 2 2 2" xfId="44291"/>
    <cellStyle name="Normal 2 7 4 2 2 2 2 2" xfId="44292"/>
    <cellStyle name="Normal 2 7 4 2 2 2 2 2 2" xfId="44293"/>
    <cellStyle name="Normal 2 7 4 2 2 2 2 3" xfId="44294"/>
    <cellStyle name="Normal 2 7 4 2 2 2 3" xfId="44295"/>
    <cellStyle name="Normal 2 7 4 2 2 2 3 2" xfId="44296"/>
    <cellStyle name="Normal 2 7 4 2 2 2 4" xfId="44297"/>
    <cellStyle name="Normal 2 7 4 2 2 2 4 2" xfId="44298"/>
    <cellStyle name="Normal 2 7 4 2 2 2 5" xfId="44299"/>
    <cellStyle name="Normal 2 7 4 2 2 2 5 2" xfId="44300"/>
    <cellStyle name="Normal 2 7 4 2 2 2 6" xfId="44301"/>
    <cellStyle name="Normal 2 7 4 2 2 3" xfId="44302"/>
    <cellStyle name="Normal 2 7 4 2 2 3 2" xfId="44303"/>
    <cellStyle name="Normal 2 7 4 2 2 3 2 2" xfId="44304"/>
    <cellStyle name="Normal 2 7 4 2 2 3 3" xfId="44305"/>
    <cellStyle name="Normal 2 7 4 2 2 4" xfId="44306"/>
    <cellStyle name="Normal 2 7 4 2 2 4 2" xfId="44307"/>
    <cellStyle name="Normal 2 7 4 2 2 5" xfId="44308"/>
    <cellStyle name="Normal 2 7 4 2 2 5 2" xfId="44309"/>
    <cellStyle name="Normal 2 7 4 2 2 6" xfId="44310"/>
    <cellStyle name="Normal 2 7 4 2 2 6 2" xfId="44311"/>
    <cellStyle name="Normal 2 7 4 2 2 7" xfId="44312"/>
    <cellStyle name="Normal 2 7 4 2 3" xfId="44313"/>
    <cellStyle name="Normal 2 7 4 2 3 2" xfId="44314"/>
    <cellStyle name="Normal 2 7 4 2 3 2 2" xfId="44315"/>
    <cellStyle name="Normal 2 7 4 2 3 2 2 2" xfId="44316"/>
    <cellStyle name="Normal 2 7 4 2 3 2 3" xfId="44317"/>
    <cellStyle name="Normal 2 7 4 2 3 3" xfId="44318"/>
    <cellStyle name="Normal 2 7 4 2 3 3 2" xfId="44319"/>
    <cellStyle name="Normal 2 7 4 2 3 4" xfId="44320"/>
    <cellStyle name="Normal 2 7 4 2 3 4 2" xfId="44321"/>
    <cellStyle name="Normal 2 7 4 2 3 5" xfId="44322"/>
    <cellStyle name="Normal 2 7 4 2 3 5 2" xfId="44323"/>
    <cellStyle name="Normal 2 7 4 2 3 6" xfId="44324"/>
    <cellStyle name="Normal 2 7 4 2 4" xfId="44325"/>
    <cellStyle name="Normal 2 7 4 2 4 2" xfId="44326"/>
    <cellStyle name="Normal 2 7 4 2 4 2 2" xfId="44327"/>
    <cellStyle name="Normal 2 7 4 2 4 3" xfId="44328"/>
    <cellStyle name="Normal 2 7 4 2 5" xfId="44329"/>
    <cellStyle name="Normal 2 7 4 2 5 2" xfId="44330"/>
    <cellStyle name="Normal 2 7 4 2 6" xfId="44331"/>
    <cellStyle name="Normal 2 7 4 2 6 2" xfId="44332"/>
    <cellStyle name="Normal 2 7 4 2 7" xfId="44333"/>
    <cellStyle name="Normal 2 7 4 2 7 2" xfId="44334"/>
    <cellStyle name="Normal 2 7 4 2 8" xfId="44335"/>
    <cellStyle name="Normal 2 7 4 3" xfId="44336"/>
    <cellStyle name="Normal 2 7 4 3 2" xfId="44337"/>
    <cellStyle name="Normal 2 7 4 3 2 2" xfId="44338"/>
    <cellStyle name="Normal 2 7 4 3 2 2 2" xfId="44339"/>
    <cellStyle name="Normal 2 7 4 3 2 2 2 2" xfId="44340"/>
    <cellStyle name="Normal 2 7 4 3 2 2 2 2 2" xfId="44341"/>
    <cellStyle name="Normal 2 7 4 3 2 2 2 3" xfId="44342"/>
    <cellStyle name="Normal 2 7 4 3 2 2 3" xfId="44343"/>
    <cellStyle name="Normal 2 7 4 3 2 2 3 2" xfId="44344"/>
    <cellStyle name="Normal 2 7 4 3 2 2 4" xfId="44345"/>
    <cellStyle name="Normal 2 7 4 3 2 2 4 2" xfId="44346"/>
    <cellStyle name="Normal 2 7 4 3 2 2 5" xfId="44347"/>
    <cellStyle name="Normal 2 7 4 3 2 2 5 2" xfId="44348"/>
    <cellStyle name="Normal 2 7 4 3 2 2 6" xfId="44349"/>
    <cellStyle name="Normal 2 7 4 3 2 3" xfId="44350"/>
    <cellStyle name="Normal 2 7 4 3 2 3 2" xfId="44351"/>
    <cellStyle name="Normal 2 7 4 3 2 3 2 2" xfId="44352"/>
    <cellStyle name="Normal 2 7 4 3 2 3 3" xfId="44353"/>
    <cellStyle name="Normal 2 7 4 3 2 4" xfId="44354"/>
    <cellStyle name="Normal 2 7 4 3 2 4 2" xfId="44355"/>
    <cellStyle name="Normal 2 7 4 3 2 5" xfId="44356"/>
    <cellStyle name="Normal 2 7 4 3 2 5 2" xfId="44357"/>
    <cellStyle name="Normal 2 7 4 3 2 6" xfId="44358"/>
    <cellStyle name="Normal 2 7 4 3 2 6 2" xfId="44359"/>
    <cellStyle name="Normal 2 7 4 3 2 7" xfId="44360"/>
    <cellStyle name="Normal 2 7 4 3 3" xfId="44361"/>
    <cellStyle name="Normal 2 7 4 3 3 2" xfId="44362"/>
    <cellStyle name="Normal 2 7 4 3 3 2 2" xfId="44363"/>
    <cellStyle name="Normal 2 7 4 3 3 2 2 2" xfId="44364"/>
    <cellStyle name="Normal 2 7 4 3 3 2 3" xfId="44365"/>
    <cellStyle name="Normal 2 7 4 3 3 3" xfId="44366"/>
    <cellStyle name="Normal 2 7 4 3 3 3 2" xfId="44367"/>
    <cellStyle name="Normal 2 7 4 3 3 4" xfId="44368"/>
    <cellStyle name="Normal 2 7 4 3 3 4 2" xfId="44369"/>
    <cellStyle name="Normal 2 7 4 3 3 5" xfId="44370"/>
    <cellStyle name="Normal 2 7 4 3 3 5 2" xfId="44371"/>
    <cellStyle name="Normal 2 7 4 3 3 6" xfId="44372"/>
    <cellStyle name="Normal 2 7 4 3 4" xfId="44373"/>
    <cellStyle name="Normal 2 7 4 3 4 2" xfId="44374"/>
    <cellStyle name="Normal 2 7 4 3 4 2 2" xfId="44375"/>
    <cellStyle name="Normal 2 7 4 3 4 3" xfId="44376"/>
    <cellStyle name="Normal 2 7 4 3 5" xfId="44377"/>
    <cellStyle name="Normal 2 7 4 3 5 2" xfId="44378"/>
    <cellStyle name="Normal 2 7 4 3 6" xfId="44379"/>
    <cellStyle name="Normal 2 7 4 3 6 2" xfId="44380"/>
    <cellStyle name="Normal 2 7 4 3 7" xfId="44381"/>
    <cellStyle name="Normal 2 7 4 3 7 2" xfId="44382"/>
    <cellStyle name="Normal 2 7 4 3 8" xfId="44383"/>
    <cellStyle name="Normal 2 7 4 4" xfId="44384"/>
    <cellStyle name="Normal 2 7 4 4 2" xfId="44385"/>
    <cellStyle name="Normal 2 7 4 4 2 2" xfId="44386"/>
    <cellStyle name="Normal 2 7 4 4 2 2 2" xfId="44387"/>
    <cellStyle name="Normal 2 7 4 4 2 2 2 2" xfId="44388"/>
    <cellStyle name="Normal 2 7 4 4 2 2 3" xfId="44389"/>
    <cellStyle name="Normal 2 7 4 4 2 3" xfId="44390"/>
    <cellStyle name="Normal 2 7 4 4 2 3 2" xfId="44391"/>
    <cellStyle name="Normal 2 7 4 4 2 4" xfId="44392"/>
    <cellStyle name="Normal 2 7 4 4 2 4 2" xfId="44393"/>
    <cellStyle name="Normal 2 7 4 4 2 5" xfId="44394"/>
    <cellStyle name="Normal 2 7 4 4 2 5 2" xfId="44395"/>
    <cellStyle name="Normal 2 7 4 4 2 6" xfId="44396"/>
    <cellStyle name="Normal 2 7 4 4 3" xfId="44397"/>
    <cellStyle name="Normal 2 7 4 4 3 2" xfId="44398"/>
    <cellStyle name="Normal 2 7 4 4 3 2 2" xfId="44399"/>
    <cellStyle name="Normal 2 7 4 4 3 3" xfId="44400"/>
    <cellStyle name="Normal 2 7 4 4 4" xfId="44401"/>
    <cellStyle name="Normal 2 7 4 4 4 2" xfId="44402"/>
    <cellStyle name="Normal 2 7 4 4 5" xfId="44403"/>
    <cellStyle name="Normal 2 7 4 4 5 2" xfId="44404"/>
    <cellStyle name="Normal 2 7 4 4 6" xfId="44405"/>
    <cellStyle name="Normal 2 7 4 4 6 2" xfId="44406"/>
    <cellStyle name="Normal 2 7 4 4 7" xfId="44407"/>
    <cellStyle name="Normal 2 7 4 5" xfId="44408"/>
    <cellStyle name="Normal 2 7 4 5 2" xfId="44409"/>
    <cellStyle name="Normal 2 7 4 5 2 2" xfId="44410"/>
    <cellStyle name="Normal 2 7 4 5 2 2 2" xfId="44411"/>
    <cellStyle name="Normal 2 7 4 5 2 2 2 2" xfId="44412"/>
    <cellStyle name="Normal 2 7 4 5 2 2 3" xfId="44413"/>
    <cellStyle name="Normal 2 7 4 5 2 3" xfId="44414"/>
    <cellStyle name="Normal 2 7 4 5 2 3 2" xfId="44415"/>
    <cellStyle name="Normal 2 7 4 5 2 4" xfId="44416"/>
    <cellStyle name="Normal 2 7 4 5 2 4 2" xfId="44417"/>
    <cellStyle name="Normal 2 7 4 5 2 5" xfId="44418"/>
    <cellStyle name="Normal 2 7 4 5 2 5 2" xfId="44419"/>
    <cellStyle name="Normal 2 7 4 5 2 6" xfId="44420"/>
    <cellStyle name="Normal 2 7 4 5 3" xfId="44421"/>
    <cellStyle name="Normal 2 7 4 5 3 2" xfId="44422"/>
    <cellStyle name="Normal 2 7 4 5 3 2 2" xfId="44423"/>
    <cellStyle name="Normal 2 7 4 5 3 3" xfId="44424"/>
    <cellStyle name="Normal 2 7 4 5 4" xfId="44425"/>
    <cellStyle name="Normal 2 7 4 5 4 2" xfId="44426"/>
    <cellStyle name="Normal 2 7 4 5 5" xfId="44427"/>
    <cellStyle name="Normal 2 7 4 5 5 2" xfId="44428"/>
    <cellStyle name="Normal 2 7 4 5 6" xfId="44429"/>
    <cellStyle name="Normal 2 7 4 5 6 2" xfId="44430"/>
    <cellStyle name="Normal 2 7 4 5 7" xfId="44431"/>
    <cellStyle name="Normal 2 7 4 6" xfId="44432"/>
    <cellStyle name="Normal 2 7 4 6 2" xfId="44433"/>
    <cellStyle name="Normal 2 7 4 6 2 2" xfId="44434"/>
    <cellStyle name="Normal 2 7 4 6 2 2 2" xfId="44435"/>
    <cellStyle name="Normal 2 7 4 6 2 3" xfId="44436"/>
    <cellStyle name="Normal 2 7 4 6 3" xfId="44437"/>
    <cellStyle name="Normal 2 7 4 6 3 2" xfId="44438"/>
    <cellStyle name="Normal 2 7 4 6 4" xfId="44439"/>
    <cellStyle name="Normal 2 7 4 6 4 2" xfId="44440"/>
    <cellStyle name="Normal 2 7 4 6 5" xfId="44441"/>
    <cellStyle name="Normal 2 7 4 6 5 2" xfId="44442"/>
    <cellStyle name="Normal 2 7 4 6 6" xfId="44443"/>
    <cellStyle name="Normal 2 7 4 7" xfId="44444"/>
    <cellStyle name="Normal 2 7 4 7 2" xfId="44445"/>
    <cellStyle name="Normal 2 7 4 7 2 2" xfId="44446"/>
    <cellStyle name="Normal 2 7 4 7 2 2 2" xfId="44447"/>
    <cellStyle name="Normal 2 7 4 7 2 3" xfId="44448"/>
    <cellStyle name="Normal 2 7 4 7 3" xfId="44449"/>
    <cellStyle name="Normal 2 7 4 7 3 2" xfId="44450"/>
    <cellStyle name="Normal 2 7 4 7 4" xfId="44451"/>
    <cellStyle name="Normal 2 7 4 7 4 2" xfId="44452"/>
    <cellStyle name="Normal 2 7 4 7 5" xfId="44453"/>
    <cellStyle name="Normal 2 7 4 7 5 2" xfId="44454"/>
    <cellStyle name="Normal 2 7 4 7 6" xfId="44455"/>
    <cellStyle name="Normal 2 7 4 8" xfId="44456"/>
    <cellStyle name="Normal 2 7 4 8 2" xfId="44457"/>
    <cellStyle name="Normal 2 7 4 8 2 2" xfId="44458"/>
    <cellStyle name="Normal 2 7 4 8 3" xfId="44459"/>
    <cellStyle name="Normal 2 7 4 9" xfId="44460"/>
    <cellStyle name="Normal 2 7 4 9 2" xfId="44461"/>
    <cellStyle name="Normal 2 7 5" xfId="44462"/>
    <cellStyle name="Normal 2 7 5 10" xfId="44463"/>
    <cellStyle name="Normal 2 7 5 10 2" xfId="44464"/>
    <cellStyle name="Normal 2 7 5 11" xfId="44465"/>
    <cellStyle name="Normal 2 7 5 11 2" xfId="44466"/>
    <cellStyle name="Normal 2 7 5 12" xfId="44467"/>
    <cellStyle name="Normal 2 7 5 2" xfId="44468"/>
    <cellStyle name="Normal 2 7 5 2 2" xfId="44469"/>
    <cellStyle name="Normal 2 7 5 2 2 2" xfId="44470"/>
    <cellStyle name="Normal 2 7 5 2 2 2 2" xfId="44471"/>
    <cellStyle name="Normal 2 7 5 2 2 2 2 2" xfId="44472"/>
    <cellStyle name="Normal 2 7 5 2 2 2 2 2 2" xfId="44473"/>
    <cellStyle name="Normal 2 7 5 2 2 2 2 3" xfId="44474"/>
    <cellStyle name="Normal 2 7 5 2 2 2 3" xfId="44475"/>
    <cellStyle name="Normal 2 7 5 2 2 2 3 2" xfId="44476"/>
    <cellStyle name="Normal 2 7 5 2 2 2 4" xfId="44477"/>
    <cellStyle name="Normal 2 7 5 2 2 2 4 2" xfId="44478"/>
    <cellStyle name="Normal 2 7 5 2 2 2 5" xfId="44479"/>
    <cellStyle name="Normal 2 7 5 2 2 2 5 2" xfId="44480"/>
    <cellStyle name="Normal 2 7 5 2 2 2 6" xfId="44481"/>
    <cellStyle name="Normal 2 7 5 2 2 3" xfId="44482"/>
    <cellStyle name="Normal 2 7 5 2 2 3 2" xfId="44483"/>
    <cellStyle name="Normal 2 7 5 2 2 3 2 2" xfId="44484"/>
    <cellStyle name="Normal 2 7 5 2 2 3 3" xfId="44485"/>
    <cellStyle name="Normal 2 7 5 2 2 4" xfId="44486"/>
    <cellStyle name="Normal 2 7 5 2 2 4 2" xfId="44487"/>
    <cellStyle name="Normal 2 7 5 2 2 5" xfId="44488"/>
    <cellStyle name="Normal 2 7 5 2 2 5 2" xfId="44489"/>
    <cellStyle name="Normal 2 7 5 2 2 6" xfId="44490"/>
    <cellStyle name="Normal 2 7 5 2 2 6 2" xfId="44491"/>
    <cellStyle name="Normal 2 7 5 2 2 7" xfId="44492"/>
    <cellStyle name="Normal 2 7 5 2 3" xfId="44493"/>
    <cellStyle name="Normal 2 7 5 2 3 2" xfId="44494"/>
    <cellStyle name="Normal 2 7 5 2 3 2 2" xfId="44495"/>
    <cellStyle name="Normal 2 7 5 2 3 2 2 2" xfId="44496"/>
    <cellStyle name="Normal 2 7 5 2 3 2 3" xfId="44497"/>
    <cellStyle name="Normal 2 7 5 2 3 3" xfId="44498"/>
    <cellStyle name="Normal 2 7 5 2 3 3 2" xfId="44499"/>
    <cellStyle name="Normal 2 7 5 2 3 4" xfId="44500"/>
    <cellStyle name="Normal 2 7 5 2 3 4 2" xfId="44501"/>
    <cellStyle name="Normal 2 7 5 2 3 5" xfId="44502"/>
    <cellStyle name="Normal 2 7 5 2 3 5 2" xfId="44503"/>
    <cellStyle name="Normal 2 7 5 2 3 6" xfId="44504"/>
    <cellStyle name="Normal 2 7 5 2 4" xfId="44505"/>
    <cellStyle name="Normal 2 7 5 2 4 2" xfId="44506"/>
    <cellStyle name="Normal 2 7 5 2 4 2 2" xfId="44507"/>
    <cellStyle name="Normal 2 7 5 2 4 3" xfId="44508"/>
    <cellStyle name="Normal 2 7 5 2 5" xfId="44509"/>
    <cellStyle name="Normal 2 7 5 2 5 2" xfId="44510"/>
    <cellStyle name="Normal 2 7 5 2 6" xfId="44511"/>
    <cellStyle name="Normal 2 7 5 2 6 2" xfId="44512"/>
    <cellStyle name="Normal 2 7 5 2 7" xfId="44513"/>
    <cellStyle name="Normal 2 7 5 2 7 2" xfId="44514"/>
    <cellStyle name="Normal 2 7 5 2 8" xfId="44515"/>
    <cellStyle name="Normal 2 7 5 3" xfId="44516"/>
    <cellStyle name="Normal 2 7 5 3 2" xfId="44517"/>
    <cellStyle name="Normal 2 7 5 3 2 2" xfId="44518"/>
    <cellStyle name="Normal 2 7 5 3 2 2 2" xfId="44519"/>
    <cellStyle name="Normal 2 7 5 3 2 2 2 2" xfId="44520"/>
    <cellStyle name="Normal 2 7 5 3 2 2 2 2 2" xfId="44521"/>
    <cellStyle name="Normal 2 7 5 3 2 2 2 3" xfId="44522"/>
    <cellStyle name="Normal 2 7 5 3 2 2 3" xfId="44523"/>
    <cellStyle name="Normal 2 7 5 3 2 2 3 2" xfId="44524"/>
    <cellStyle name="Normal 2 7 5 3 2 2 4" xfId="44525"/>
    <cellStyle name="Normal 2 7 5 3 2 2 4 2" xfId="44526"/>
    <cellStyle name="Normal 2 7 5 3 2 2 5" xfId="44527"/>
    <cellStyle name="Normal 2 7 5 3 2 2 5 2" xfId="44528"/>
    <cellStyle name="Normal 2 7 5 3 2 2 6" xfId="44529"/>
    <cellStyle name="Normal 2 7 5 3 2 3" xfId="44530"/>
    <cellStyle name="Normal 2 7 5 3 2 3 2" xfId="44531"/>
    <cellStyle name="Normal 2 7 5 3 2 3 2 2" xfId="44532"/>
    <cellStyle name="Normal 2 7 5 3 2 3 3" xfId="44533"/>
    <cellStyle name="Normal 2 7 5 3 2 4" xfId="44534"/>
    <cellStyle name="Normal 2 7 5 3 2 4 2" xfId="44535"/>
    <cellStyle name="Normal 2 7 5 3 2 5" xfId="44536"/>
    <cellStyle name="Normal 2 7 5 3 2 5 2" xfId="44537"/>
    <cellStyle name="Normal 2 7 5 3 2 6" xfId="44538"/>
    <cellStyle name="Normal 2 7 5 3 2 6 2" xfId="44539"/>
    <cellStyle name="Normal 2 7 5 3 2 7" xfId="44540"/>
    <cellStyle name="Normal 2 7 5 3 3" xfId="44541"/>
    <cellStyle name="Normal 2 7 5 3 3 2" xfId="44542"/>
    <cellStyle name="Normal 2 7 5 3 3 2 2" xfId="44543"/>
    <cellStyle name="Normal 2 7 5 3 3 2 2 2" xfId="44544"/>
    <cellStyle name="Normal 2 7 5 3 3 2 3" xfId="44545"/>
    <cellStyle name="Normal 2 7 5 3 3 3" xfId="44546"/>
    <cellStyle name="Normal 2 7 5 3 3 3 2" xfId="44547"/>
    <cellStyle name="Normal 2 7 5 3 3 4" xfId="44548"/>
    <cellStyle name="Normal 2 7 5 3 3 4 2" xfId="44549"/>
    <cellStyle name="Normal 2 7 5 3 3 5" xfId="44550"/>
    <cellStyle name="Normal 2 7 5 3 3 5 2" xfId="44551"/>
    <cellStyle name="Normal 2 7 5 3 3 6" xfId="44552"/>
    <cellStyle name="Normal 2 7 5 3 4" xfId="44553"/>
    <cellStyle name="Normal 2 7 5 3 4 2" xfId="44554"/>
    <cellStyle name="Normal 2 7 5 3 4 2 2" xfId="44555"/>
    <cellStyle name="Normal 2 7 5 3 4 3" xfId="44556"/>
    <cellStyle name="Normal 2 7 5 3 5" xfId="44557"/>
    <cellStyle name="Normal 2 7 5 3 5 2" xfId="44558"/>
    <cellStyle name="Normal 2 7 5 3 6" xfId="44559"/>
    <cellStyle name="Normal 2 7 5 3 6 2" xfId="44560"/>
    <cellStyle name="Normal 2 7 5 3 7" xfId="44561"/>
    <cellStyle name="Normal 2 7 5 3 7 2" xfId="44562"/>
    <cellStyle name="Normal 2 7 5 3 8" xfId="44563"/>
    <cellStyle name="Normal 2 7 5 4" xfId="44564"/>
    <cellStyle name="Normal 2 7 5 4 2" xfId="44565"/>
    <cellStyle name="Normal 2 7 5 4 2 2" xfId="44566"/>
    <cellStyle name="Normal 2 7 5 4 2 2 2" xfId="44567"/>
    <cellStyle name="Normal 2 7 5 4 2 2 2 2" xfId="44568"/>
    <cellStyle name="Normal 2 7 5 4 2 2 3" xfId="44569"/>
    <cellStyle name="Normal 2 7 5 4 2 3" xfId="44570"/>
    <cellStyle name="Normal 2 7 5 4 2 3 2" xfId="44571"/>
    <cellStyle name="Normal 2 7 5 4 2 4" xfId="44572"/>
    <cellStyle name="Normal 2 7 5 4 2 4 2" xfId="44573"/>
    <cellStyle name="Normal 2 7 5 4 2 5" xfId="44574"/>
    <cellStyle name="Normal 2 7 5 4 2 5 2" xfId="44575"/>
    <cellStyle name="Normal 2 7 5 4 2 6" xfId="44576"/>
    <cellStyle name="Normal 2 7 5 4 3" xfId="44577"/>
    <cellStyle name="Normal 2 7 5 4 3 2" xfId="44578"/>
    <cellStyle name="Normal 2 7 5 4 3 2 2" xfId="44579"/>
    <cellStyle name="Normal 2 7 5 4 3 3" xfId="44580"/>
    <cellStyle name="Normal 2 7 5 4 4" xfId="44581"/>
    <cellStyle name="Normal 2 7 5 4 4 2" xfId="44582"/>
    <cellStyle name="Normal 2 7 5 4 5" xfId="44583"/>
    <cellStyle name="Normal 2 7 5 4 5 2" xfId="44584"/>
    <cellStyle name="Normal 2 7 5 4 6" xfId="44585"/>
    <cellStyle name="Normal 2 7 5 4 6 2" xfId="44586"/>
    <cellStyle name="Normal 2 7 5 4 7" xfId="44587"/>
    <cellStyle name="Normal 2 7 5 5" xfId="44588"/>
    <cellStyle name="Normal 2 7 5 5 2" xfId="44589"/>
    <cellStyle name="Normal 2 7 5 5 2 2" xfId="44590"/>
    <cellStyle name="Normal 2 7 5 5 2 2 2" xfId="44591"/>
    <cellStyle name="Normal 2 7 5 5 2 2 2 2" xfId="44592"/>
    <cellStyle name="Normal 2 7 5 5 2 2 3" xfId="44593"/>
    <cellStyle name="Normal 2 7 5 5 2 3" xfId="44594"/>
    <cellStyle name="Normal 2 7 5 5 2 3 2" xfId="44595"/>
    <cellStyle name="Normal 2 7 5 5 2 4" xfId="44596"/>
    <cellStyle name="Normal 2 7 5 5 2 4 2" xfId="44597"/>
    <cellStyle name="Normal 2 7 5 5 2 5" xfId="44598"/>
    <cellStyle name="Normal 2 7 5 5 2 5 2" xfId="44599"/>
    <cellStyle name="Normal 2 7 5 5 2 6" xfId="44600"/>
    <cellStyle name="Normal 2 7 5 5 3" xfId="44601"/>
    <cellStyle name="Normal 2 7 5 5 3 2" xfId="44602"/>
    <cellStyle name="Normal 2 7 5 5 3 2 2" xfId="44603"/>
    <cellStyle name="Normal 2 7 5 5 3 3" xfId="44604"/>
    <cellStyle name="Normal 2 7 5 5 4" xfId="44605"/>
    <cellStyle name="Normal 2 7 5 5 4 2" xfId="44606"/>
    <cellStyle name="Normal 2 7 5 5 5" xfId="44607"/>
    <cellStyle name="Normal 2 7 5 5 5 2" xfId="44608"/>
    <cellStyle name="Normal 2 7 5 5 6" xfId="44609"/>
    <cellStyle name="Normal 2 7 5 5 6 2" xfId="44610"/>
    <cellStyle name="Normal 2 7 5 5 7" xfId="44611"/>
    <cellStyle name="Normal 2 7 5 6" xfId="44612"/>
    <cellStyle name="Normal 2 7 5 6 2" xfId="44613"/>
    <cellStyle name="Normal 2 7 5 6 2 2" xfId="44614"/>
    <cellStyle name="Normal 2 7 5 6 2 2 2" xfId="44615"/>
    <cellStyle name="Normal 2 7 5 6 2 3" xfId="44616"/>
    <cellStyle name="Normal 2 7 5 6 3" xfId="44617"/>
    <cellStyle name="Normal 2 7 5 6 3 2" xfId="44618"/>
    <cellStyle name="Normal 2 7 5 6 4" xfId="44619"/>
    <cellStyle name="Normal 2 7 5 6 4 2" xfId="44620"/>
    <cellStyle name="Normal 2 7 5 6 5" xfId="44621"/>
    <cellStyle name="Normal 2 7 5 6 5 2" xfId="44622"/>
    <cellStyle name="Normal 2 7 5 6 6" xfId="44623"/>
    <cellStyle name="Normal 2 7 5 7" xfId="44624"/>
    <cellStyle name="Normal 2 7 5 7 2" xfId="44625"/>
    <cellStyle name="Normal 2 7 5 7 2 2" xfId="44626"/>
    <cellStyle name="Normal 2 7 5 7 2 2 2" xfId="44627"/>
    <cellStyle name="Normal 2 7 5 7 2 3" xfId="44628"/>
    <cellStyle name="Normal 2 7 5 7 3" xfId="44629"/>
    <cellStyle name="Normal 2 7 5 7 3 2" xfId="44630"/>
    <cellStyle name="Normal 2 7 5 7 4" xfId="44631"/>
    <cellStyle name="Normal 2 7 5 7 4 2" xfId="44632"/>
    <cellStyle name="Normal 2 7 5 7 5" xfId="44633"/>
    <cellStyle name="Normal 2 7 5 7 5 2" xfId="44634"/>
    <cellStyle name="Normal 2 7 5 7 6" xfId="44635"/>
    <cellStyle name="Normal 2 7 5 8" xfId="44636"/>
    <cellStyle name="Normal 2 7 5 8 2" xfId="44637"/>
    <cellStyle name="Normal 2 7 5 8 2 2" xfId="44638"/>
    <cellStyle name="Normal 2 7 5 8 3" xfId="44639"/>
    <cellStyle name="Normal 2 7 5 9" xfId="44640"/>
    <cellStyle name="Normal 2 7 5 9 2" xfId="44641"/>
    <cellStyle name="Normal 2 7 6" xfId="44642"/>
    <cellStyle name="Normal 2 7 6 2" xfId="44643"/>
    <cellStyle name="Normal 2 7 7" xfId="44644"/>
    <cellStyle name="Normal 2 7 7 2" xfId="44645"/>
    <cellStyle name="Normal 2 7 7 2 2" xfId="44646"/>
    <cellStyle name="Normal 2 7 7 2 2 2" xfId="44647"/>
    <cellStyle name="Normal 2 7 7 2 2 2 2" xfId="44648"/>
    <cellStyle name="Normal 2 7 7 2 2 2 2 2" xfId="44649"/>
    <cellStyle name="Normal 2 7 7 2 2 2 3" xfId="44650"/>
    <cellStyle name="Normal 2 7 7 2 2 3" xfId="44651"/>
    <cellStyle name="Normal 2 7 7 2 2 3 2" xfId="44652"/>
    <cellStyle name="Normal 2 7 7 2 2 4" xfId="44653"/>
    <cellStyle name="Normal 2 7 7 2 2 4 2" xfId="44654"/>
    <cellStyle name="Normal 2 7 7 2 2 5" xfId="44655"/>
    <cellStyle name="Normal 2 7 7 2 2 5 2" xfId="44656"/>
    <cellStyle name="Normal 2 7 7 2 2 6" xfId="44657"/>
    <cellStyle name="Normal 2 7 7 2 3" xfId="44658"/>
    <cellStyle name="Normal 2 7 7 2 3 2" xfId="44659"/>
    <cellStyle name="Normal 2 7 7 2 3 2 2" xfId="44660"/>
    <cellStyle name="Normal 2 7 7 2 3 3" xfId="44661"/>
    <cellStyle name="Normal 2 7 7 2 4" xfId="44662"/>
    <cellStyle name="Normal 2 7 7 2 4 2" xfId="44663"/>
    <cellStyle name="Normal 2 7 7 2 5" xfId="44664"/>
    <cellStyle name="Normal 2 7 7 2 5 2" xfId="44665"/>
    <cellStyle name="Normal 2 7 7 2 6" xfId="44666"/>
    <cellStyle name="Normal 2 7 7 2 6 2" xfId="44667"/>
    <cellStyle name="Normal 2 7 7 2 7" xfId="44668"/>
    <cellStyle name="Normal 2 7 7 3" xfId="44669"/>
    <cellStyle name="Normal 2 7 7 3 2" xfId="44670"/>
    <cellStyle name="Normal 2 7 7 3 2 2" xfId="44671"/>
    <cellStyle name="Normal 2 7 7 3 2 2 2" xfId="44672"/>
    <cellStyle name="Normal 2 7 7 3 2 3" xfId="44673"/>
    <cellStyle name="Normal 2 7 7 3 3" xfId="44674"/>
    <cellStyle name="Normal 2 7 7 3 3 2" xfId="44675"/>
    <cellStyle name="Normal 2 7 7 3 4" xfId="44676"/>
    <cellStyle name="Normal 2 7 7 3 4 2" xfId="44677"/>
    <cellStyle name="Normal 2 7 7 3 5" xfId="44678"/>
    <cellStyle name="Normal 2 7 7 3 5 2" xfId="44679"/>
    <cellStyle name="Normal 2 7 7 3 6" xfId="44680"/>
    <cellStyle name="Normal 2 7 7 4" xfId="44681"/>
    <cellStyle name="Normal 2 7 7 4 2" xfId="44682"/>
    <cellStyle name="Normal 2 7 7 4 2 2" xfId="44683"/>
    <cellStyle name="Normal 2 7 7 4 3" xfId="44684"/>
    <cellStyle name="Normal 2 7 7 5" xfId="44685"/>
    <cellStyle name="Normal 2 7 7 5 2" xfId="44686"/>
    <cellStyle name="Normal 2 7 7 6" xfId="44687"/>
    <cellStyle name="Normal 2 7 7 6 2" xfId="44688"/>
    <cellStyle name="Normal 2 7 7 7" xfId="44689"/>
    <cellStyle name="Normal 2 7 7 7 2" xfId="44690"/>
    <cellStyle name="Normal 2 7 7 8" xfId="44691"/>
    <cellStyle name="Normal 2 7 8" xfId="44692"/>
    <cellStyle name="Normal 2 7 8 2" xfId="44693"/>
    <cellStyle name="Normal 2 7 8 2 2" xfId="44694"/>
    <cellStyle name="Normal 2 7 8 2 2 2" xfId="44695"/>
    <cellStyle name="Normal 2 7 8 2 2 2 2" xfId="44696"/>
    <cellStyle name="Normal 2 7 8 2 2 2 2 2" xfId="44697"/>
    <cellStyle name="Normal 2 7 8 2 2 2 3" xfId="44698"/>
    <cellStyle name="Normal 2 7 8 2 2 3" xfId="44699"/>
    <cellStyle name="Normal 2 7 8 2 2 3 2" xfId="44700"/>
    <cellStyle name="Normal 2 7 8 2 2 4" xfId="44701"/>
    <cellStyle name="Normal 2 7 8 2 2 4 2" xfId="44702"/>
    <cellStyle name="Normal 2 7 8 2 2 5" xfId="44703"/>
    <cellStyle name="Normal 2 7 8 2 2 5 2" xfId="44704"/>
    <cellStyle name="Normal 2 7 8 2 2 6" xfId="44705"/>
    <cellStyle name="Normal 2 7 8 2 3" xfId="44706"/>
    <cellStyle name="Normal 2 7 8 2 3 2" xfId="44707"/>
    <cellStyle name="Normal 2 7 8 2 3 2 2" xfId="44708"/>
    <cellStyle name="Normal 2 7 8 2 3 3" xfId="44709"/>
    <cellStyle name="Normal 2 7 8 2 4" xfId="44710"/>
    <cellStyle name="Normal 2 7 8 2 4 2" xfId="44711"/>
    <cellStyle name="Normal 2 7 8 2 5" xfId="44712"/>
    <cellStyle name="Normal 2 7 8 2 5 2" xfId="44713"/>
    <cellStyle name="Normal 2 7 8 2 6" xfId="44714"/>
    <cellStyle name="Normal 2 7 8 2 6 2" xfId="44715"/>
    <cellStyle name="Normal 2 7 8 2 7" xfId="44716"/>
    <cellStyle name="Normal 2 7 8 3" xfId="44717"/>
    <cellStyle name="Normal 2 7 8 3 2" xfId="44718"/>
    <cellStyle name="Normal 2 7 8 3 2 2" xfId="44719"/>
    <cellStyle name="Normal 2 7 8 3 2 2 2" xfId="44720"/>
    <cellStyle name="Normal 2 7 8 3 2 3" xfId="44721"/>
    <cellStyle name="Normal 2 7 8 3 3" xfId="44722"/>
    <cellStyle name="Normal 2 7 8 3 3 2" xfId="44723"/>
    <cellStyle name="Normal 2 7 8 3 4" xfId="44724"/>
    <cellStyle name="Normal 2 7 8 3 4 2" xfId="44725"/>
    <cellStyle name="Normal 2 7 8 3 5" xfId="44726"/>
    <cellStyle name="Normal 2 7 8 3 5 2" xfId="44727"/>
    <cellStyle name="Normal 2 7 8 3 6" xfId="44728"/>
    <cellStyle name="Normal 2 7 8 4" xfId="44729"/>
    <cellStyle name="Normal 2 7 8 4 2" xfId="44730"/>
    <cellStyle name="Normal 2 7 8 4 2 2" xfId="44731"/>
    <cellStyle name="Normal 2 7 8 4 3" xfId="44732"/>
    <cellStyle name="Normal 2 7 8 5" xfId="44733"/>
    <cellStyle name="Normal 2 7 8 5 2" xfId="44734"/>
    <cellStyle name="Normal 2 7 8 6" xfId="44735"/>
    <cellStyle name="Normal 2 7 8 6 2" xfId="44736"/>
    <cellStyle name="Normal 2 7 8 7" xfId="44737"/>
    <cellStyle name="Normal 2 7 8 7 2" xfId="44738"/>
    <cellStyle name="Normal 2 7 8 8" xfId="44739"/>
    <cellStyle name="Normal 2 7 9" xfId="44740"/>
    <cellStyle name="Normal 2 7 9 2" xfId="44741"/>
    <cellStyle name="Normal 2 7 9 2 2" xfId="44742"/>
    <cellStyle name="Normal 2 7 9 2 2 2" xfId="44743"/>
    <cellStyle name="Normal 2 7 9 2 2 2 2" xfId="44744"/>
    <cellStyle name="Normal 2 7 9 2 2 3" xfId="44745"/>
    <cellStyle name="Normal 2 7 9 2 3" xfId="44746"/>
    <cellStyle name="Normal 2 7 9 2 3 2" xfId="44747"/>
    <cellStyle name="Normal 2 7 9 2 4" xfId="44748"/>
    <cellStyle name="Normal 2 7 9 2 4 2" xfId="44749"/>
    <cellStyle name="Normal 2 7 9 2 5" xfId="44750"/>
    <cellStyle name="Normal 2 7 9 2 5 2" xfId="44751"/>
    <cellStyle name="Normal 2 7 9 2 6" xfId="44752"/>
    <cellStyle name="Normal 2 7 9 3" xfId="44753"/>
    <cellStyle name="Normal 2 7 9 3 2" xfId="44754"/>
    <cellStyle name="Normal 2 7 9 3 2 2" xfId="44755"/>
    <cellStyle name="Normal 2 7 9 3 3" xfId="44756"/>
    <cellStyle name="Normal 2 7 9 4" xfId="44757"/>
    <cellStyle name="Normal 2 7 9 4 2" xfId="44758"/>
    <cellStyle name="Normal 2 7 9 5" xfId="44759"/>
    <cellStyle name="Normal 2 7 9 5 2" xfId="44760"/>
    <cellStyle name="Normal 2 7 9 6" xfId="44761"/>
    <cellStyle name="Normal 2 7 9 6 2" xfId="44762"/>
    <cellStyle name="Normal 2 7 9 7" xfId="44763"/>
    <cellStyle name="Normal 2 70" xfId="44764"/>
    <cellStyle name="Normal 2 71" xfId="44765"/>
    <cellStyle name="Normal 2 72" xfId="44766"/>
    <cellStyle name="Normal 2 72 2" xfId="44767"/>
    <cellStyle name="Normal 2 76" xfId="44768"/>
    <cellStyle name="Normal 2 8" xfId="44769"/>
    <cellStyle name="Normal 2 8 10" xfId="44770"/>
    <cellStyle name="Normal 2 8 10 2" xfId="44771"/>
    <cellStyle name="Normal 2 8 10 2 2" xfId="44772"/>
    <cellStyle name="Normal 2 8 10 2 2 2" xfId="44773"/>
    <cellStyle name="Normal 2 8 10 2 2 2 2" xfId="44774"/>
    <cellStyle name="Normal 2 8 10 2 2 3" xfId="44775"/>
    <cellStyle name="Normal 2 8 10 2 3" xfId="44776"/>
    <cellStyle name="Normal 2 8 10 2 3 2" xfId="44777"/>
    <cellStyle name="Normal 2 8 10 2 4" xfId="44778"/>
    <cellStyle name="Normal 2 8 10 2 4 2" xfId="44779"/>
    <cellStyle name="Normal 2 8 10 2 5" xfId="44780"/>
    <cellStyle name="Normal 2 8 10 2 5 2" xfId="44781"/>
    <cellStyle name="Normal 2 8 10 2 6" xfId="44782"/>
    <cellStyle name="Normal 2 8 10 3" xfId="44783"/>
    <cellStyle name="Normal 2 8 10 3 2" xfId="44784"/>
    <cellStyle name="Normal 2 8 10 3 2 2" xfId="44785"/>
    <cellStyle name="Normal 2 8 10 3 3" xfId="44786"/>
    <cellStyle name="Normal 2 8 10 4" xfId="44787"/>
    <cellStyle name="Normal 2 8 10 4 2" xfId="44788"/>
    <cellStyle name="Normal 2 8 10 5" xfId="44789"/>
    <cellStyle name="Normal 2 8 10 5 2" xfId="44790"/>
    <cellStyle name="Normal 2 8 10 6" xfId="44791"/>
    <cellStyle name="Normal 2 8 10 6 2" xfId="44792"/>
    <cellStyle name="Normal 2 8 10 7" xfId="44793"/>
    <cellStyle name="Normal 2 8 11" xfId="44794"/>
    <cellStyle name="Normal 2 8 11 2" xfId="44795"/>
    <cellStyle name="Normal 2 8 11 2 2" xfId="44796"/>
    <cellStyle name="Normal 2 8 11 2 2 2" xfId="44797"/>
    <cellStyle name="Normal 2 8 11 2 3" xfId="44798"/>
    <cellStyle name="Normal 2 8 11 3" xfId="44799"/>
    <cellStyle name="Normal 2 8 11 3 2" xfId="44800"/>
    <cellStyle name="Normal 2 8 11 4" xfId="44801"/>
    <cellStyle name="Normal 2 8 11 4 2" xfId="44802"/>
    <cellStyle name="Normal 2 8 11 5" xfId="44803"/>
    <cellStyle name="Normal 2 8 11 5 2" xfId="44804"/>
    <cellStyle name="Normal 2 8 11 6" xfId="44805"/>
    <cellStyle name="Normal 2 8 12" xfId="44806"/>
    <cellStyle name="Normal 2 8 12 2" xfId="44807"/>
    <cellStyle name="Normal 2 8 12 2 2" xfId="44808"/>
    <cellStyle name="Normal 2 8 12 2 2 2" xfId="44809"/>
    <cellStyle name="Normal 2 8 12 2 3" xfId="44810"/>
    <cellStyle name="Normal 2 8 12 3" xfId="44811"/>
    <cellStyle name="Normal 2 8 12 3 2" xfId="44812"/>
    <cellStyle name="Normal 2 8 12 4" xfId="44813"/>
    <cellStyle name="Normal 2 8 12 4 2" xfId="44814"/>
    <cellStyle name="Normal 2 8 12 5" xfId="44815"/>
    <cellStyle name="Normal 2 8 12 5 2" xfId="44816"/>
    <cellStyle name="Normal 2 8 12 6" xfId="44817"/>
    <cellStyle name="Normal 2 8 13" xfId="44818"/>
    <cellStyle name="Normal 2 8 13 2" xfId="44819"/>
    <cellStyle name="Normal 2 8 13 2 2" xfId="44820"/>
    <cellStyle name="Normal 2 8 13 3" xfId="44821"/>
    <cellStyle name="Normal 2 8 14" xfId="44822"/>
    <cellStyle name="Normal 2 8 14 2" xfId="44823"/>
    <cellStyle name="Normal 2 8 15" xfId="44824"/>
    <cellStyle name="Normal 2 8 15 2" xfId="44825"/>
    <cellStyle name="Normal 2 8 16" xfId="44826"/>
    <cellStyle name="Normal 2 8 16 2" xfId="44827"/>
    <cellStyle name="Normal 2 8 17" xfId="44828"/>
    <cellStyle name="Normal 2 8 18" xfId="57834"/>
    <cellStyle name="Normal 2 8 2" xfId="44829"/>
    <cellStyle name="Normal 2 8 2 10" xfId="44830"/>
    <cellStyle name="Normal 2 8 2 10 2" xfId="44831"/>
    <cellStyle name="Normal 2 8 2 11" xfId="44832"/>
    <cellStyle name="Normal 2 8 2 11 2" xfId="44833"/>
    <cellStyle name="Normal 2 8 2 12" xfId="44834"/>
    <cellStyle name="Normal 2 8 2 12 2" xfId="44835"/>
    <cellStyle name="Normal 2 8 2 13" xfId="44836"/>
    <cellStyle name="Normal 2 8 2 2" xfId="44837"/>
    <cellStyle name="Normal 2 8 2 2 2" xfId="44838"/>
    <cellStyle name="Normal 2 8 2 3" xfId="44839"/>
    <cellStyle name="Normal 2 8 2 3 2" xfId="44840"/>
    <cellStyle name="Normal 2 8 2 3 2 2" xfId="44841"/>
    <cellStyle name="Normal 2 8 2 3 2 2 2" xfId="44842"/>
    <cellStyle name="Normal 2 8 2 3 2 2 2 2" xfId="44843"/>
    <cellStyle name="Normal 2 8 2 3 2 2 2 2 2" xfId="44844"/>
    <cellStyle name="Normal 2 8 2 3 2 2 2 3" xfId="44845"/>
    <cellStyle name="Normal 2 8 2 3 2 2 3" xfId="44846"/>
    <cellStyle name="Normal 2 8 2 3 2 2 3 2" xfId="44847"/>
    <cellStyle name="Normal 2 8 2 3 2 2 4" xfId="44848"/>
    <cellStyle name="Normal 2 8 2 3 2 2 4 2" xfId="44849"/>
    <cellStyle name="Normal 2 8 2 3 2 2 5" xfId="44850"/>
    <cellStyle name="Normal 2 8 2 3 2 2 5 2" xfId="44851"/>
    <cellStyle name="Normal 2 8 2 3 2 2 6" xfId="44852"/>
    <cellStyle name="Normal 2 8 2 3 2 3" xfId="44853"/>
    <cellStyle name="Normal 2 8 2 3 2 3 2" xfId="44854"/>
    <cellStyle name="Normal 2 8 2 3 2 3 2 2" xfId="44855"/>
    <cellStyle name="Normal 2 8 2 3 2 3 3" xfId="44856"/>
    <cellStyle name="Normal 2 8 2 3 2 4" xfId="44857"/>
    <cellStyle name="Normal 2 8 2 3 2 4 2" xfId="44858"/>
    <cellStyle name="Normal 2 8 2 3 2 5" xfId="44859"/>
    <cellStyle name="Normal 2 8 2 3 2 5 2" xfId="44860"/>
    <cellStyle name="Normal 2 8 2 3 2 6" xfId="44861"/>
    <cellStyle name="Normal 2 8 2 3 2 6 2" xfId="44862"/>
    <cellStyle name="Normal 2 8 2 3 2 7" xfId="44863"/>
    <cellStyle name="Normal 2 8 2 3 3" xfId="44864"/>
    <cellStyle name="Normal 2 8 2 3 3 2" xfId="44865"/>
    <cellStyle name="Normal 2 8 2 3 3 2 2" xfId="44866"/>
    <cellStyle name="Normal 2 8 2 3 3 2 2 2" xfId="44867"/>
    <cellStyle name="Normal 2 8 2 3 3 2 3" xfId="44868"/>
    <cellStyle name="Normal 2 8 2 3 3 3" xfId="44869"/>
    <cellStyle name="Normal 2 8 2 3 3 3 2" xfId="44870"/>
    <cellStyle name="Normal 2 8 2 3 3 4" xfId="44871"/>
    <cellStyle name="Normal 2 8 2 3 3 4 2" xfId="44872"/>
    <cellStyle name="Normal 2 8 2 3 3 5" xfId="44873"/>
    <cellStyle name="Normal 2 8 2 3 3 5 2" xfId="44874"/>
    <cellStyle name="Normal 2 8 2 3 3 6" xfId="44875"/>
    <cellStyle name="Normal 2 8 2 3 4" xfId="44876"/>
    <cellStyle name="Normal 2 8 2 3 4 2" xfId="44877"/>
    <cellStyle name="Normal 2 8 2 3 4 2 2" xfId="44878"/>
    <cellStyle name="Normal 2 8 2 3 4 3" xfId="44879"/>
    <cellStyle name="Normal 2 8 2 3 5" xfId="44880"/>
    <cellStyle name="Normal 2 8 2 3 5 2" xfId="44881"/>
    <cellStyle name="Normal 2 8 2 3 6" xfId="44882"/>
    <cellStyle name="Normal 2 8 2 3 6 2" xfId="44883"/>
    <cellStyle name="Normal 2 8 2 3 7" xfId="44884"/>
    <cellStyle name="Normal 2 8 2 3 7 2" xfId="44885"/>
    <cellStyle name="Normal 2 8 2 3 8" xfId="44886"/>
    <cellStyle name="Normal 2 8 2 4" xfId="44887"/>
    <cellStyle name="Normal 2 8 2 4 2" xfId="44888"/>
    <cellStyle name="Normal 2 8 2 4 2 2" xfId="44889"/>
    <cellStyle name="Normal 2 8 2 4 2 2 2" xfId="44890"/>
    <cellStyle name="Normal 2 8 2 4 2 2 2 2" xfId="44891"/>
    <cellStyle name="Normal 2 8 2 4 2 2 2 2 2" xfId="44892"/>
    <cellStyle name="Normal 2 8 2 4 2 2 2 3" xfId="44893"/>
    <cellStyle name="Normal 2 8 2 4 2 2 3" xfId="44894"/>
    <cellStyle name="Normal 2 8 2 4 2 2 3 2" xfId="44895"/>
    <cellStyle name="Normal 2 8 2 4 2 2 4" xfId="44896"/>
    <cellStyle name="Normal 2 8 2 4 2 2 4 2" xfId="44897"/>
    <cellStyle name="Normal 2 8 2 4 2 2 5" xfId="44898"/>
    <cellStyle name="Normal 2 8 2 4 2 2 5 2" xfId="44899"/>
    <cellStyle name="Normal 2 8 2 4 2 2 6" xfId="44900"/>
    <cellStyle name="Normal 2 8 2 4 2 3" xfId="44901"/>
    <cellStyle name="Normal 2 8 2 4 2 3 2" xfId="44902"/>
    <cellStyle name="Normal 2 8 2 4 2 3 2 2" xfId="44903"/>
    <cellStyle name="Normal 2 8 2 4 2 3 3" xfId="44904"/>
    <cellStyle name="Normal 2 8 2 4 2 4" xfId="44905"/>
    <cellStyle name="Normal 2 8 2 4 2 4 2" xfId="44906"/>
    <cellStyle name="Normal 2 8 2 4 2 5" xfId="44907"/>
    <cellStyle name="Normal 2 8 2 4 2 5 2" xfId="44908"/>
    <cellStyle name="Normal 2 8 2 4 2 6" xfId="44909"/>
    <cellStyle name="Normal 2 8 2 4 2 6 2" xfId="44910"/>
    <cellStyle name="Normal 2 8 2 4 2 7" xfId="44911"/>
    <cellStyle name="Normal 2 8 2 4 3" xfId="44912"/>
    <cellStyle name="Normal 2 8 2 4 3 2" xfId="44913"/>
    <cellStyle name="Normal 2 8 2 4 3 2 2" xfId="44914"/>
    <cellStyle name="Normal 2 8 2 4 3 2 2 2" xfId="44915"/>
    <cellStyle name="Normal 2 8 2 4 3 2 3" xfId="44916"/>
    <cellStyle name="Normal 2 8 2 4 3 3" xfId="44917"/>
    <cellStyle name="Normal 2 8 2 4 3 3 2" xfId="44918"/>
    <cellStyle name="Normal 2 8 2 4 3 4" xfId="44919"/>
    <cellStyle name="Normal 2 8 2 4 3 4 2" xfId="44920"/>
    <cellStyle name="Normal 2 8 2 4 3 5" xfId="44921"/>
    <cellStyle name="Normal 2 8 2 4 3 5 2" xfId="44922"/>
    <cellStyle name="Normal 2 8 2 4 3 6" xfId="44923"/>
    <cellStyle name="Normal 2 8 2 4 4" xfId="44924"/>
    <cellStyle name="Normal 2 8 2 4 4 2" xfId="44925"/>
    <cellStyle name="Normal 2 8 2 4 4 2 2" xfId="44926"/>
    <cellStyle name="Normal 2 8 2 4 4 3" xfId="44927"/>
    <cellStyle name="Normal 2 8 2 4 5" xfId="44928"/>
    <cellStyle name="Normal 2 8 2 4 5 2" xfId="44929"/>
    <cellStyle name="Normal 2 8 2 4 6" xfId="44930"/>
    <cellStyle name="Normal 2 8 2 4 6 2" xfId="44931"/>
    <cellStyle name="Normal 2 8 2 4 7" xfId="44932"/>
    <cellStyle name="Normal 2 8 2 4 7 2" xfId="44933"/>
    <cellStyle name="Normal 2 8 2 4 8" xfId="44934"/>
    <cellStyle name="Normal 2 8 2 5" xfId="44935"/>
    <cellStyle name="Normal 2 8 2 5 2" xfId="44936"/>
    <cellStyle name="Normal 2 8 2 5 2 2" xfId="44937"/>
    <cellStyle name="Normal 2 8 2 5 2 2 2" xfId="44938"/>
    <cellStyle name="Normal 2 8 2 5 2 2 2 2" xfId="44939"/>
    <cellStyle name="Normal 2 8 2 5 2 2 3" xfId="44940"/>
    <cellStyle name="Normal 2 8 2 5 2 3" xfId="44941"/>
    <cellStyle name="Normal 2 8 2 5 2 3 2" xfId="44942"/>
    <cellStyle name="Normal 2 8 2 5 2 4" xfId="44943"/>
    <cellStyle name="Normal 2 8 2 5 2 4 2" xfId="44944"/>
    <cellStyle name="Normal 2 8 2 5 2 5" xfId="44945"/>
    <cellStyle name="Normal 2 8 2 5 2 5 2" xfId="44946"/>
    <cellStyle name="Normal 2 8 2 5 2 6" xfId="44947"/>
    <cellStyle name="Normal 2 8 2 5 3" xfId="44948"/>
    <cellStyle name="Normal 2 8 2 5 3 2" xfId="44949"/>
    <cellStyle name="Normal 2 8 2 5 3 2 2" xfId="44950"/>
    <cellStyle name="Normal 2 8 2 5 3 3" xfId="44951"/>
    <cellStyle name="Normal 2 8 2 5 4" xfId="44952"/>
    <cellStyle name="Normal 2 8 2 5 4 2" xfId="44953"/>
    <cellStyle name="Normal 2 8 2 5 5" xfId="44954"/>
    <cellStyle name="Normal 2 8 2 5 5 2" xfId="44955"/>
    <cellStyle name="Normal 2 8 2 5 6" xfId="44956"/>
    <cellStyle name="Normal 2 8 2 5 6 2" xfId="44957"/>
    <cellStyle name="Normal 2 8 2 5 7" xfId="44958"/>
    <cellStyle name="Normal 2 8 2 6" xfId="44959"/>
    <cellStyle name="Normal 2 8 2 6 2" xfId="44960"/>
    <cellStyle name="Normal 2 8 2 6 2 2" xfId="44961"/>
    <cellStyle name="Normal 2 8 2 6 2 2 2" xfId="44962"/>
    <cellStyle name="Normal 2 8 2 6 2 2 2 2" xfId="44963"/>
    <cellStyle name="Normal 2 8 2 6 2 2 3" xfId="44964"/>
    <cellStyle name="Normal 2 8 2 6 2 3" xfId="44965"/>
    <cellStyle name="Normal 2 8 2 6 2 3 2" xfId="44966"/>
    <cellStyle name="Normal 2 8 2 6 2 4" xfId="44967"/>
    <cellStyle name="Normal 2 8 2 6 2 4 2" xfId="44968"/>
    <cellStyle name="Normal 2 8 2 6 2 5" xfId="44969"/>
    <cellStyle name="Normal 2 8 2 6 2 5 2" xfId="44970"/>
    <cellStyle name="Normal 2 8 2 6 2 6" xfId="44971"/>
    <cellStyle name="Normal 2 8 2 6 3" xfId="44972"/>
    <cellStyle name="Normal 2 8 2 6 3 2" xfId="44973"/>
    <cellStyle name="Normal 2 8 2 6 3 2 2" xfId="44974"/>
    <cellStyle name="Normal 2 8 2 6 3 3" xfId="44975"/>
    <cellStyle name="Normal 2 8 2 6 4" xfId="44976"/>
    <cellStyle name="Normal 2 8 2 6 4 2" xfId="44977"/>
    <cellStyle name="Normal 2 8 2 6 5" xfId="44978"/>
    <cellStyle name="Normal 2 8 2 6 5 2" xfId="44979"/>
    <cellStyle name="Normal 2 8 2 6 6" xfId="44980"/>
    <cellStyle name="Normal 2 8 2 6 6 2" xfId="44981"/>
    <cellStyle name="Normal 2 8 2 6 7" xfId="44982"/>
    <cellStyle name="Normal 2 8 2 7" xfId="44983"/>
    <cellStyle name="Normal 2 8 2 7 2" xfId="44984"/>
    <cellStyle name="Normal 2 8 2 7 2 2" xfId="44985"/>
    <cellStyle name="Normal 2 8 2 7 2 2 2" xfId="44986"/>
    <cellStyle name="Normal 2 8 2 7 2 3" xfId="44987"/>
    <cellStyle name="Normal 2 8 2 7 3" xfId="44988"/>
    <cellStyle name="Normal 2 8 2 7 3 2" xfId="44989"/>
    <cellStyle name="Normal 2 8 2 7 4" xfId="44990"/>
    <cellStyle name="Normal 2 8 2 7 4 2" xfId="44991"/>
    <cellStyle name="Normal 2 8 2 7 5" xfId="44992"/>
    <cellStyle name="Normal 2 8 2 7 5 2" xfId="44993"/>
    <cellStyle name="Normal 2 8 2 7 6" xfId="44994"/>
    <cellStyle name="Normal 2 8 2 8" xfId="44995"/>
    <cellStyle name="Normal 2 8 2 8 2" xfId="44996"/>
    <cellStyle name="Normal 2 8 2 8 2 2" xfId="44997"/>
    <cellStyle name="Normal 2 8 2 8 2 2 2" xfId="44998"/>
    <cellStyle name="Normal 2 8 2 8 2 3" xfId="44999"/>
    <cellStyle name="Normal 2 8 2 8 3" xfId="45000"/>
    <cellStyle name="Normal 2 8 2 8 3 2" xfId="45001"/>
    <cellStyle name="Normal 2 8 2 8 4" xfId="45002"/>
    <cellStyle name="Normal 2 8 2 8 4 2" xfId="45003"/>
    <cellStyle name="Normal 2 8 2 8 5" xfId="45004"/>
    <cellStyle name="Normal 2 8 2 8 5 2" xfId="45005"/>
    <cellStyle name="Normal 2 8 2 8 6" xfId="45006"/>
    <cellStyle name="Normal 2 8 2 9" xfId="45007"/>
    <cellStyle name="Normal 2 8 2 9 2" xfId="45008"/>
    <cellStyle name="Normal 2 8 2 9 2 2" xfId="45009"/>
    <cellStyle name="Normal 2 8 2 9 3" xfId="45010"/>
    <cellStyle name="Normal 2 8 3" xfId="45011"/>
    <cellStyle name="Normal 2 8 3 10" xfId="45012"/>
    <cellStyle name="Normal 2 8 3 10 2" xfId="45013"/>
    <cellStyle name="Normal 2 8 3 11" xfId="45014"/>
    <cellStyle name="Normal 2 8 3 11 2" xfId="45015"/>
    <cellStyle name="Normal 2 8 3 12" xfId="45016"/>
    <cellStyle name="Normal 2 8 3 12 2" xfId="45017"/>
    <cellStyle name="Normal 2 8 3 13" xfId="45018"/>
    <cellStyle name="Normal 2 8 3 2" xfId="45019"/>
    <cellStyle name="Normal 2 8 3 2 2" xfId="45020"/>
    <cellStyle name="Normal 2 8 3 3" xfId="45021"/>
    <cellStyle name="Normal 2 8 3 3 2" xfId="45022"/>
    <cellStyle name="Normal 2 8 3 3 2 2" xfId="45023"/>
    <cellStyle name="Normal 2 8 3 3 2 2 2" xfId="45024"/>
    <cellStyle name="Normal 2 8 3 3 2 2 2 2" xfId="45025"/>
    <cellStyle name="Normal 2 8 3 3 2 2 2 2 2" xfId="45026"/>
    <cellStyle name="Normal 2 8 3 3 2 2 2 3" xfId="45027"/>
    <cellStyle name="Normal 2 8 3 3 2 2 3" xfId="45028"/>
    <cellStyle name="Normal 2 8 3 3 2 2 3 2" xfId="45029"/>
    <cellStyle name="Normal 2 8 3 3 2 2 4" xfId="45030"/>
    <cellStyle name="Normal 2 8 3 3 2 2 4 2" xfId="45031"/>
    <cellStyle name="Normal 2 8 3 3 2 2 5" xfId="45032"/>
    <cellStyle name="Normal 2 8 3 3 2 2 5 2" xfId="45033"/>
    <cellStyle name="Normal 2 8 3 3 2 2 6" xfId="45034"/>
    <cellStyle name="Normal 2 8 3 3 2 3" xfId="45035"/>
    <cellStyle name="Normal 2 8 3 3 2 3 2" xfId="45036"/>
    <cellStyle name="Normal 2 8 3 3 2 3 2 2" xfId="45037"/>
    <cellStyle name="Normal 2 8 3 3 2 3 3" xfId="45038"/>
    <cellStyle name="Normal 2 8 3 3 2 4" xfId="45039"/>
    <cellStyle name="Normal 2 8 3 3 2 4 2" xfId="45040"/>
    <cellStyle name="Normal 2 8 3 3 2 5" xfId="45041"/>
    <cellStyle name="Normal 2 8 3 3 2 5 2" xfId="45042"/>
    <cellStyle name="Normal 2 8 3 3 2 6" xfId="45043"/>
    <cellStyle name="Normal 2 8 3 3 2 6 2" xfId="45044"/>
    <cellStyle name="Normal 2 8 3 3 2 7" xfId="45045"/>
    <cellStyle name="Normal 2 8 3 3 3" xfId="45046"/>
    <cellStyle name="Normal 2 8 3 3 3 2" xfId="45047"/>
    <cellStyle name="Normal 2 8 3 3 3 2 2" xfId="45048"/>
    <cellStyle name="Normal 2 8 3 3 3 2 2 2" xfId="45049"/>
    <cellStyle name="Normal 2 8 3 3 3 2 3" xfId="45050"/>
    <cellStyle name="Normal 2 8 3 3 3 3" xfId="45051"/>
    <cellStyle name="Normal 2 8 3 3 3 3 2" xfId="45052"/>
    <cellStyle name="Normal 2 8 3 3 3 4" xfId="45053"/>
    <cellStyle name="Normal 2 8 3 3 3 4 2" xfId="45054"/>
    <cellStyle name="Normal 2 8 3 3 3 5" xfId="45055"/>
    <cellStyle name="Normal 2 8 3 3 3 5 2" xfId="45056"/>
    <cellStyle name="Normal 2 8 3 3 3 6" xfId="45057"/>
    <cellStyle name="Normal 2 8 3 3 4" xfId="45058"/>
    <cellStyle name="Normal 2 8 3 3 4 2" xfId="45059"/>
    <cellStyle name="Normal 2 8 3 3 4 2 2" xfId="45060"/>
    <cellStyle name="Normal 2 8 3 3 4 3" xfId="45061"/>
    <cellStyle name="Normal 2 8 3 3 5" xfId="45062"/>
    <cellStyle name="Normal 2 8 3 3 5 2" xfId="45063"/>
    <cellStyle name="Normal 2 8 3 3 6" xfId="45064"/>
    <cellStyle name="Normal 2 8 3 3 6 2" xfId="45065"/>
    <cellStyle name="Normal 2 8 3 3 7" xfId="45066"/>
    <cellStyle name="Normal 2 8 3 3 7 2" xfId="45067"/>
    <cellStyle name="Normal 2 8 3 3 8" xfId="45068"/>
    <cellStyle name="Normal 2 8 3 4" xfId="45069"/>
    <cellStyle name="Normal 2 8 3 4 2" xfId="45070"/>
    <cellStyle name="Normal 2 8 3 4 2 2" xfId="45071"/>
    <cellStyle name="Normal 2 8 3 4 2 2 2" xfId="45072"/>
    <cellStyle name="Normal 2 8 3 4 2 2 2 2" xfId="45073"/>
    <cellStyle name="Normal 2 8 3 4 2 2 2 2 2" xfId="45074"/>
    <cellStyle name="Normal 2 8 3 4 2 2 2 3" xfId="45075"/>
    <cellStyle name="Normal 2 8 3 4 2 2 3" xfId="45076"/>
    <cellStyle name="Normal 2 8 3 4 2 2 3 2" xfId="45077"/>
    <cellStyle name="Normal 2 8 3 4 2 2 4" xfId="45078"/>
    <cellStyle name="Normal 2 8 3 4 2 2 4 2" xfId="45079"/>
    <cellStyle name="Normal 2 8 3 4 2 2 5" xfId="45080"/>
    <cellStyle name="Normal 2 8 3 4 2 2 5 2" xfId="45081"/>
    <cellStyle name="Normal 2 8 3 4 2 2 6" xfId="45082"/>
    <cellStyle name="Normal 2 8 3 4 2 3" xfId="45083"/>
    <cellStyle name="Normal 2 8 3 4 2 3 2" xfId="45084"/>
    <cellStyle name="Normal 2 8 3 4 2 3 2 2" xfId="45085"/>
    <cellStyle name="Normal 2 8 3 4 2 3 3" xfId="45086"/>
    <cellStyle name="Normal 2 8 3 4 2 4" xfId="45087"/>
    <cellStyle name="Normal 2 8 3 4 2 4 2" xfId="45088"/>
    <cellStyle name="Normal 2 8 3 4 2 5" xfId="45089"/>
    <cellStyle name="Normal 2 8 3 4 2 5 2" xfId="45090"/>
    <cellStyle name="Normal 2 8 3 4 2 6" xfId="45091"/>
    <cellStyle name="Normal 2 8 3 4 2 6 2" xfId="45092"/>
    <cellStyle name="Normal 2 8 3 4 2 7" xfId="45093"/>
    <cellStyle name="Normal 2 8 3 4 3" xfId="45094"/>
    <cellStyle name="Normal 2 8 3 4 3 2" xfId="45095"/>
    <cellStyle name="Normal 2 8 3 4 3 2 2" xfId="45096"/>
    <cellStyle name="Normal 2 8 3 4 3 2 2 2" xfId="45097"/>
    <cellStyle name="Normal 2 8 3 4 3 2 3" xfId="45098"/>
    <cellStyle name="Normal 2 8 3 4 3 3" xfId="45099"/>
    <cellStyle name="Normal 2 8 3 4 3 3 2" xfId="45100"/>
    <cellStyle name="Normal 2 8 3 4 3 4" xfId="45101"/>
    <cellStyle name="Normal 2 8 3 4 3 4 2" xfId="45102"/>
    <cellStyle name="Normal 2 8 3 4 3 5" xfId="45103"/>
    <cellStyle name="Normal 2 8 3 4 3 5 2" xfId="45104"/>
    <cellStyle name="Normal 2 8 3 4 3 6" xfId="45105"/>
    <cellStyle name="Normal 2 8 3 4 4" xfId="45106"/>
    <cellStyle name="Normal 2 8 3 4 4 2" xfId="45107"/>
    <cellStyle name="Normal 2 8 3 4 4 2 2" xfId="45108"/>
    <cellStyle name="Normal 2 8 3 4 4 3" xfId="45109"/>
    <cellStyle name="Normal 2 8 3 4 5" xfId="45110"/>
    <cellStyle name="Normal 2 8 3 4 5 2" xfId="45111"/>
    <cellStyle name="Normal 2 8 3 4 6" xfId="45112"/>
    <cellStyle name="Normal 2 8 3 4 6 2" xfId="45113"/>
    <cellStyle name="Normal 2 8 3 4 7" xfId="45114"/>
    <cellStyle name="Normal 2 8 3 4 7 2" xfId="45115"/>
    <cellStyle name="Normal 2 8 3 4 8" xfId="45116"/>
    <cellStyle name="Normal 2 8 3 5" xfId="45117"/>
    <cellStyle name="Normal 2 8 3 5 2" xfId="45118"/>
    <cellStyle name="Normal 2 8 3 5 2 2" xfId="45119"/>
    <cellStyle name="Normal 2 8 3 5 2 2 2" xfId="45120"/>
    <cellStyle name="Normal 2 8 3 5 2 2 2 2" xfId="45121"/>
    <cellStyle name="Normal 2 8 3 5 2 2 3" xfId="45122"/>
    <cellStyle name="Normal 2 8 3 5 2 3" xfId="45123"/>
    <cellStyle name="Normal 2 8 3 5 2 3 2" xfId="45124"/>
    <cellStyle name="Normal 2 8 3 5 2 4" xfId="45125"/>
    <cellStyle name="Normal 2 8 3 5 2 4 2" xfId="45126"/>
    <cellStyle name="Normal 2 8 3 5 2 5" xfId="45127"/>
    <cellStyle name="Normal 2 8 3 5 2 5 2" xfId="45128"/>
    <cellStyle name="Normal 2 8 3 5 2 6" xfId="45129"/>
    <cellStyle name="Normal 2 8 3 5 3" xfId="45130"/>
    <cellStyle name="Normal 2 8 3 5 3 2" xfId="45131"/>
    <cellStyle name="Normal 2 8 3 5 3 2 2" xfId="45132"/>
    <cellStyle name="Normal 2 8 3 5 3 3" xfId="45133"/>
    <cellStyle name="Normal 2 8 3 5 4" xfId="45134"/>
    <cellStyle name="Normal 2 8 3 5 4 2" xfId="45135"/>
    <cellStyle name="Normal 2 8 3 5 5" xfId="45136"/>
    <cellStyle name="Normal 2 8 3 5 5 2" xfId="45137"/>
    <cellStyle name="Normal 2 8 3 5 6" xfId="45138"/>
    <cellStyle name="Normal 2 8 3 5 6 2" xfId="45139"/>
    <cellStyle name="Normal 2 8 3 5 7" xfId="45140"/>
    <cellStyle name="Normal 2 8 3 6" xfId="45141"/>
    <cellStyle name="Normal 2 8 3 6 2" xfId="45142"/>
    <cellStyle name="Normal 2 8 3 6 2 2" xfId="45143"/>
    <cellStyle name="Normal 2 8 3 6 2 2 2" xfId="45144"/>
    <cellStyle name="Normal 2 8 3 6 2 2 2 2" xfId="45145"/>
    <cellStyle name="Normal 2 8 3 6 2 2 3" xfId="45146"/>
    <cellStyle name="Normal 2 8 3 6 2 3" xfId="45147"/>
    <cellStyle name="Normal 2 8 3 6 2 3 2" xfId="45148"/>
    <cellStyle name="Normal 2 8 3 6 2 4" xfId="45149"/>
    <cellStyle name="Normal 2 8 3 6 2 4 2" xfId="45150"/>
    <cellStyle name="Normal 2 8 3 6 2 5" xfId="45151"/>
    <cellStyle name="Normal 2 8 3 6 2 5 2" xfId="45152"/>
    <cellStyle name="Normal 2 8 3 6 2 6" xfId="45153"/>
    <cellStyle name="Normal 2 8 3 6 3" xfId="45154"/>
    <cellStyle name="Normal 2 8 3 6 3 2" xfId="45155"/>
    <cellStyle name="Normal 2 8 3 6 3 2 2" xfId="45156"/>
    <cellStyle name="Normal 2 8 3 6 3 3" xfId="45157"/>
    <cellStyle name="Normal 2 8 3 6 4" xfId="45158"/>
    <cellStyle name="Normal 2 8 3 6 4 2" xfId="45159"/>
    <cellStyle name="Normal 2 8 3 6 5" xfId="45160"/>
    <cellStyle name="Normal 2 8 3 6 5 2" xfId="45161"/>
    <cellStyle name="Normal 2 8 3 6 6" xfId="45162"/>
    <cellStyle name="Normal 2 8 3 6 6 2" xfId="45163"/>
    <cellStyle name="Normal 2 8 3 6 7" xfId="45164"/>
    <cellStyle name="Normal 2 8 3 7" xfId="45165"/>
    <cellStyle name="Normal 2 8 3 7 2" xfId="45166"/>
    <cellStyle name="Normal 2 8 3 7 2 2" xfId="45167"/>
    <cellStyle name="Normal 2 8 3 7 2 2 2" xfId="45168"/>
    <cellStyle name="Normal 2 8 3 7 2 3" xfId="45169"/>
    <cellStyle name="Normal 2 8 3 7 3" xfId="45170"/>
    <cellStyle name="Normal 2 8 3 7 3 2" xfId="45171"/>
    <cellStyle name="Normal 2 8 3 7 4" xfId="45172"/>
    <cellStyle name="Normal 2 8 3 7 4 2" xfId="45173"/>
    <cellStyle name="Normal 2 8 3 7 5" xfId="45174"/>
    <cellStyle name="Normal 2 8 3 7 5 2" xfId="45175"/>
    <cellStyle name="Normal 2 8 3 7 6" xfId="45176"/>
    <cellStyle name="Normal 2 8 3 8" xfId="45177"/>
    <cellStyle name="Normal 2 8 3 8 2" xfId="45178"/>
    <cellStyle name="Normal 2 8 3 8 2 2" xfId="45179"/>
    <cellStyle name="Normal 2 8 3 8 2 2 2" xfId="45180"/>
    <cellStyle name="Normal 2 8 3 8 2 3" xfId="45181"/>
    <cellStyle name="Normal 2 8 3 8 3" xfId="45182"/>
    <cellStyle name="Normal 2 8 3 8 3 2" xfId="45183"/>
    <cellStyle name="Normal 2 8 3 8 4" xfId="45184"/>
    <cellStyle name="Normal 2 8 3 8 4 2" xfId="45185"/>
    <cellStyle name="Normal 2 8 3 8 5" xfId="45186"/>
    <cellStyle name="Normal 2 8 3 8 5 2" xfId="45187"/>
    <cellStyle name="Normal 2 8 3 8 6" xfId="45188"/>
    <cellStyle name="Normal 2 8 3 9" xfId="45189"/>
    <cellStyle name="Normal 2 8 3 9 2" xfId="45190"/>
    <cellStyle name="Normal 2 8 3 9 2 2" xfId="45191"/>
    <cellStyle name="Normal 2 8 3 9 3" xfId="45192"/>
    <cellStyle name="Normal 2 8 4" xfId="45193"/>
    <cellStyle name="Normal 2 8 4 10" xfId="45194"/>
    <cellStyle name="Normal 2 8 4 10 2" xfId="45195"/>
    <cellStyle name="Normal 2 8 4 11" xfId="45196"/>
    <cellStyle name="Normal 2 8 4 11 2" xfId="45197"/>
    <cellStyle name="Normal 2 8 4 12" xfId="45198"/>
    <cellStyle name="Normal 2 8 4 2" xfId="45199"/>
    <cellStyle name="Normal 2 8 4 2 2" xfId="45200"/>
    <cellStyle name="Normal 2 8 4 2 2 2" xfId="45201"/>
    <cellStyle name="Normal 2 8 4 2 2 2 2" xfId="45202"/>
    <cellStyle name="Normal 2 8 4 2 2 2 2 2" xfId="45203"/>
    <cellStyle name="Normal 2 8 4 2 2 2 2 2 2" xfId="45204"/>
    <cellStyle name="Normal 2 8 4 2 2 2 2 3" xfId="45205"/>
    <cellStyle name="Normal 2 8 4 2 2 2 3" xfId="45206"/>
    <cellStyle name="Normal 2 8 4 2 2 2 3 2" xfId="45207"/>
    <cellStyle name="Normal 2 8 4 2 2 2 4" xfId="45208"/>
    <cellStyle name="Normal 2 8 4 2 2 2 4 2" xfId="45209"/>
    <cellStyle name="Normal 2 8 4 2 2 2 5" xfId="45210"/>
    <cellStyle name="Normal 2 8 4 2 2 2 5 2" xfId="45211"/>
    <cellStyle name="Normal 2 8 4 2 2 2 6" xfId="45212"/>
    <cellStyle name="Normal 2 8 4 2 2 3" xfId="45213"/>
    <cellStyle name="Normal 2 8 4 2 2 3 2" xfId="45214"/>
    <cellStyle name="Normal 2 8 4 2 2 3 2 2" xfId="45215"/>
    <cellStyle name="Normal 2 8 4 2 2 3 3" xfId="45216"/>
    <cellStyle name="Normal 2 8 4 2 2 4" xfId="45217"/>
    <cellStyle name="Normal 2 8 4 2 2 4 2" xfId="45218"/>
    <cellStyle name="Normal 2 8 4 2 2 5" xfId="45219"/>
    <cellStyle name="Normal 2 8 4 2 2 5 2" xfId="45220"/>
    <cellStyle name="Normal 2 8 4 2 2 6" xfId="45221"/>
    <cellStyle name="Normal 2 8 4 2 2 6 2" xfId="45222"/>
    <cellStyle name="Normal 2 8 4 2 2 7" xfId="45223"/>
    <cellStyle name="Normal 2 8 4 2 3" xfId="45224"/>
    <cellStyle name="Normal 2 8 4 2 3 2" xfId="45225"/>
    <cellStyle name="Normal 2 8 4 2 3 2 2" xfId="45226"/>
    <cellStyle name="Normal 2 8 4 2 3 2 2 2" xfId="45227"/>
    <cellStyle name="Normal 2 8 4 2 3 2 3" xfId="45228"/>
    <cellStyle name="Normal 2 8 4 2 3 3" xfId="45229"/>
    <cellStyle name="Normal 2 8 4 2 3 3 2" xfId="45230"/>
    <cellStyle name="Normal 2 8 4 2 3 4" xfId="45231"/>
    <cellStyle name="Normal 2 8 4 2 3 4 2" xfId="45232"/>
    <cellStyle name="Normal 2 8 4 2 3 5" xfId="45233"/>
    <cellStyle name="Normal 2 8 4 2 3 5 2" xfId="45234"/>
    <cellStyle name="Normal 2 8 4 2 3 6" xfId="45235"/>
    <cellStyle name="Normal 2 8 4 2 4" xfId="45236"/>
    <cellStyle name="Normal 2 8 4 2 4 2" xfId="45237"/>
    <cellStyle name="Normal 2 8 4 2 4 2 2" xfId="45238"/>
    <cellStyle name="Normal 2 8 4 2 4 3" xfId="45239"/>
    <cellStyle name="Normal 2 8 4 2 5" xfId="45240"/>
    <cellStyle name="Normal 2 8 4 2 5 2" xfId="45241"/>
    <cellStyle name="Normal 2 8 4 2 6" xfId="45242"/>
    <cellStyle name="Normal 2 8 4 2 6 2" xfId="45243"/>
    <cellStyle name="Normal 2 8 4 2 7" xfId="45244"/>
    <cellStyle name="Normal 2 8 4 2 7 2" xfId="45245"/>
    <cellStyle name="Normal 2 8 4 2 8" xfId="45246"/>
    <cellStyle name="Normal 2 8 4 3" xfId="45247"/>
    <cellStyle name="Normal 2 8 4 3 2" xfId="45248"/>
    <cellStyle name="Normal 2 8 4 3 2 2" xfId="45249"/>
    <cellStyle name="Normal 2 8 4 3 2 2 2" xfId="45250"/>
    <cellStyle name="Normal 2 8 4 3 2 2 2 2" xfId="45251"/>
    <cellStyle name="Normal 2 8 4 3 2 2 2 2 2" xfId="45252"/>
    <cellStyle name="Normal 2 8 4 3 2 2 2 3" xfId="45253"/>
    <cellStyle name="Normal 2 8 4 3 2 2 3" xfId="45254"/>
    <cellStyle name="Normal 2 8 4 3 2 2 3 2" xfId="45255"/>
    <cellStyle name="Normal 2 8 4 3 2 2 4" xfId="45256"/>
    <cellStyle name="Normal 2 8 4 3 2 2 4 2" xfId="45257"/>
    <cellStyle name="Normal 2 8 4 3 2 2 5" xfId="45258"/>
    <cellStyle name="Normal 2 8 4 3 2 2 5 2" xfId="45259"/>
    <cellStyle name="Normal 2 8 4 3 2 2 6" xfId="45260"/>
    <cellStyle name="Normal 2 8 4 3 2 3" xfId="45261"/>
    <cellStyle name="Normal 2 8 4 3 2 3 2" xfId="45262"/>
    <cellStyle name="Normal 2 8 4 3 2 3 2 2" xfId="45263"/>
    <cellStyle name="Normal 2 8 4 3 2 3 3" xfId="45264"/>
    <cellStyle name="Normal 2 8 4 3 2 4" xfId="45265"/>
    <cellStyle name="Normal 2 8 4 3 2 4 2" xfId="45266"/>
    <cellStyle name="Normal 2 8 4 3 2 5" xfId="45267"/>
    <cellStyle name="Normal 2 8 4 3 2 5 2" xfId="45268"/>
    <cellStyle name="Normal 2 8 4 3 2 6" xfId="45269"/>
    <cellStyle name="Normal 2 8 4 3 2 6 2" xfId="45270"/>
    <cellStyle name="Normal 2 8 4 3 2 7" xfId="45271"/>
    <cellStyle name="Normal 2 8 4 3 3" xfId="45272"/>
    <cellStyle name="Normal 2 8 4 3 3 2" xfId="45273"/>
    <cellStyle name="Normal 2 8 4 3 3 2 2" xfId="45274"/>
    <cellStyle name="Normal 2 8 4 3 3 2 2 2" xfId="45275"/>
    <cellStyle name="Normal 2 8 4 3 3 2 3" xfId="45276"/>
    <cellStyle name="Normal 2 8 4 3 3 3" xfId="45277"/>
    <cellStyle name="Normal 2 8 4 3 3 3 2" xfId="45278"/>
    <cellStyle name="Normal 2 8 4 3 3 4" xfId="45279"/>
    <cellStyle name="Normal 2 8 4 3 3 4 2" xfId="45280"/>
    <cellStyle name="Normal 2 8 4 3 3 5" xfId="45281"/>
    <cellStyle name="Normal 2 8 4 3 3 5 2" xfId="45282"/>
    <cellStyle name="Normal 2 8 4 3 3 6" xfId="45283"/>
    <cellStyle name="Normal 2 8 4 3 4" xfId="45284"/>
    <cellStyle name="Normal 2 8 4 3 4 2" xfId="45285"/>
    <cellStyle name="Normal 2 8 4 3 4 2 2" xfId="45286"/>
    <cellStyle name="Normal 2 8 4 3 4 3" xfId="45287"/>
    <cellStyle name="Normal 2 8 4 3 5" xfId="45288"/>
    <cellStyle name="Normal 2 8 4 3 5 2" xfId="45289"/>
    <cellStyle name="Normal 2 8 4 3 6" xfId="45290"/>
    <cellStyle name="Normal 2 8 4 3 6 2" xfId="45291"/>
    <cellStyle name="Normal 2 8 4 3 7" xfId="45292"/>
    <cellStyle name="Normal 2 8 4 3 7 2" xfId="45293"/>
    <cellStyle name="Normal 2 8 4 3 8" xfId="45294"/>
    <cellStyle name="Normal 2 8 4 4" xfId="45295"/>
    <cellStyle name="Normal 2 8 4 4 2" xfId="45296"/>
    <cellStyle name="Normal 2 8 4 4 2 2" xfId="45297"/>
    <cellStyle name="Normal 2 8 4 4 2 2 2" xfId="45298"/>
    <cellStyle name="Normal 2 8 4 4 2 2 2 2" xfId="45299"/>
    <cellStyle name="Normal 2 8 4 4 2 2 3" xfId="45300"/>
    <cellStyle name="Normal 2 8 4 4 2 3" xfId="45301"/>
    <cellStyle name="Normal 2 8 4 4 2 3 2" xfId="45302"/>
    <cellStyle name="Normal 2 8 4 4 2 4" xfId="45303"/>
    <cellStyle name="Normal 2 8 4 4 2 4 2" xfId="45304"/>
    <cellStyle name="Normal 2 8 4 4 2 5" xfId="45305"/>
    <cellStyle name="Normal 2 8 4 4 2 5 2" xfId="45306"/>
    <cellStyle name="Normal 2 8 4 4 2 6" xfId="45307"/>
    <cellStyle name="Normal 2 8 4 4 3" xfId="45308"/>
    <cellStyle name="Normal 2 8 4 4 3 2" xfId="45309"/>
    <cellStyle name="Normal 2 8 4 4 3 2 2" xfId="45310"/>
    <cellStyle name="Normal 2 8 4 4 3 3" xfId="45311"/>
    <cellStyle name="Normal 2 8 4 4 4" xfId="45312"/>
    <cellStyle name="Normal 2 8 4 4 4 2" xfId="45313"/>
    <cellStyle name="Normal 2 8 4 4 5" xfId="45314"/>
    <cellStyle name="Normal 2 8 4 4 5 2" xfId="45315"/>
    <cellStyle name="Normal 2 8 4 4 6" xfId="45316"/>
    <cellStyle name="Normal 2 8 4 4 6 2" xfId="45317"/>
    <cellStyle name="Normal 2 8 4 4 7" xfId="45318"/>
    <cellStyle name="Normal 2 8 4 5" xfId="45319"/>
    <cellStyle name="Normal 2 8 4 5 2" xfId="45320"/>
    <cellStyle name="Normal 2 8 4 5 2 2" xfId="45321"/>
    <cellStyle name="Normal 2 8 4 5 2 2 2" xfId="45322"/>
    <cellStyle name="Normal 2 8 4 5 2 2 2 2" xfId="45323"/>
    <cellStyle name="Normal 2 8 4 5 2 2 3" xfId="45324"/>
    <cellStyle name="Normal 2 8 4 5 2 3" xfId="45325"/>
    <cellStyle name="Normal 2 8 4 5 2 3 2" xfId="45326"/>
    <cellStyle name="Normal 2 8 4 5 2 4" xfId="45327"/>
    <cellStyle name="Normal 2 8 4 5 2 4 2" xfId="45328"/>
    <cellStyle name="Normal 2 8 4 5 2 5" xfId="45329"/>
    <cellStyle name="Normal 2 8 4 5 2 5 2" xfId="45330"/>
    <cellStyle name="Normal 2 8 4 5 2 6" xfId="45331"/>
    <cellStyle name="Normal 2 8 4 5 3" xfId="45332"/>
    <cellStyle name="Normal 2 8 4 5 3 2" xfId="45333"/>
    <cellStyle name="Normal 2 8 4 5 3 2 2" xfId="45334"/>
    <cellStyle name="Normal 2 8 4 5 3 3" xfId="45335"/>
    <cellStyle name="Normal 2 8 4 5 4" xfId="45336"/>
    <cellStyle name="Normal 2 8 4 5 4 2" xfId="45337"/>
    <cellStyle name="Normal 2 8 4 5 5" xfId="45338"/>
    <cellStyle name="Normal 2 8 4 5 5 2" xfId="45339"/>
    <cellStyle name="Normal 2 8 4 5 6" xfId="45340"/>
    <cellStyle name="Normal 2 8 4 5 6 2" xfId="45341"/>
    <cellStyle name="Normal 2 8 4 5 7" xfId="45342"/>
    <cellStyle name="Normal 2 8 4 6" xfId="45343"/>
    <cellStyle name="Normal 2 8 4 6 2" xfId="45344"/>
    <cellStyle name="Normal 2 8 4 6 2 2" xfId="45345"/>
    <cellStyle name="Normal 2 8 4 6 2 2 2" xfId="45346"/>
    <cellStyle name="Normal 2 8 4 6 2 3" xfId="45347"/>
    <cellStyle name="Normal 2 8 4 6 3" xfId="45348"/>
    <cellStyle name="Normal 2 8 4 6 3 2" xfId="45349"/>
    <cellStyle name="Normal 2 8 4 6 4" xfId="45350"/>
    <cellStyle name="Normal 2 8 4 6 4 2" xfId="45351"/>
    <cellStyle name="Normal 2 8 4 6 5" xfId="45352"/>
    <cellStyle name="Normal 2 8 4 6 5 2" xfId="45353"/>
    <cellStyle name="Normal 2 8 4 6 6" xfId="45354"/>
    <cellStyle name="Normal 2 8 4 7" xfId="45355"/>
    <cellStyle name="Normal 2 8 4 7 2" xfId="45356"/>
    <cellStyle name="Normal 2 8 4 7 2 2" xfId="45357"/>
    <cellStyle name="Normal 2 8 4 7 2 2 2" xfId="45358"/>
    <cellStyle name="Normal 2 8 4 7 2 3" xfId="45359"/>
    <cellStyle name="Normal 2 8 4 7 3" xfId="45360"/>
    <cellStyle name="Normal 2 8 4 7 3 2" xfId="45361"/>
    <cellStyle name="Normal 2 8 4 7 4" xfId="45362"/>
    <cellStyle name="Normal 2 8 4 7 4 2" xfId="45363"/>
    <cellStyle name="Normal 2 8 4 7 5" xfId="45364"/>
    <cellStyle name="Normal 2 8 4 7 5 2" xfId="45365"/>
    <cellStyle name="Normal 2 8 4 7 6" xfId="45366"/>
    <cellStyle name="Normal 2 8 4 8" xfId="45367"/>
    <cellStyle name="Normal 2 8 4 8 2" xfId="45368"/>
    <cellStyle name="Normal 2 8 4 8 2 2" xfId="45369"/>
    <cellStyle name="Normal 2 8 4 8 3" xfId="45370"/>
    <cellStyle name="Normal 2 8 4 9" xfId="45371"/>
    <cellStyle name="Normal 2 8 4 9 2" xfId="45372"/>
    <cellStyle name="Normal 2 8 5" xfId="45373"/>
    <cellStyle name="Normal 2 8 5 10" xfId="45374"/>
    <cellStyle name="Normal 2 8 5 10 2" xfId="45375"/>
    <cellStyle name="Normal 2 8 5 11" xfId="45376"/>
    <cellStyle name="Normal 2 8 5 11 2" xfId="45377"/>
    <cellStyle name="Normal 2 8 5 12" xfId="45378"/>
    <cellStyle name="Normal 2 8 5 2" xfId="45379"/>
    <cellStyle name="Normal 2 8 5 2 2" xfId="45380"/>
    <cellStyle name="Normal 2 8 5 2 2 2" xfId="45381"/>
    <cellStyle name="Normal 2 8 5 2 2 2 2" xfId="45382"/>
    <cellStyle name="Normal 2 8 5 2 2 2 2 2" xfId="45383"/>
    <cellStyle name="Normal 2 8 5 2 2 2 2 2 2" xfId="45384"/>
    <cellStyle name="Normal 2 8 5 2 2 2 2 3" xfId="45385"/>
    <cellStyle name="Normal 2 8 5 2 2 2 3" xfId="45386"/>
    <cellStyle name="Normal 2 8 5 2 2 2 3 2" xfId="45387"/>
    <cellStyle name="Normal 2 8 5 2 2 2 4" xfId="45388"/>
    <cellStyle name="Normal 2 8 5 2 2 2 4 2" xfId="45389"/>
    <cellStyle name="Normal 2 8 5 2 2 2 5" xfId="45390"/>
    <cellStyle name="Normal 2 8 5 2 2 2 5 2" xfId="45391"/>
    <cellStyle name="Normal 2 8 5 2 2 2 6" xfId="45392"/>
    <cellStyle name="Normal 2 8 5 2 2 3" xfId="45393"/>
    <cellStyle name="Normal 2 8 5 2 2 3 2" xfId="45394"/>
    <cellStyle name="Normal 2 8 5 2 2 3 2 2" xfId="45395"/>
    <cellStyle name="Normal 2 8 5 2 2 3 3" xfId="45396"/>
    <cellStyle name="Normal 2 8 5 2 2 4" xfId="45397"/>
    <cellStyle name="Normal 2 8 5 2 2 4 2" xfId="45398"/>
    <cellStyle name="Normal 2 8 5 2 2 5" xfId="45399"/>
    <cellStyle name="Normal 2 8 5 2 2 5 2" xfId="45400"/>
    <cellStyle name="Normal 2 8 5 2 2 6" xfId="45401"/>
    <cellStyle name="Normal 2 8 5 2 2 6 2" xfId="45402"/>
    <cellStyle name="Normal 2 8 5 2 2 7" xfId="45403"/>
    <cellStyle name="Normal 2 8 5 2 3" xfId="45404"/>
    <cellStyle name="Normal 2 8 5 2 3 2" xfId="45405"/>
    <cellStyle name="Normal 2 8 5 2 3 2 2" xfId="45406"/>
    <cellStyle name="Normal 2 8 5 2 3 2 2 2" xfId="45407"/>
    <cellStyle name="Normal 2 8 5 2 3 2 3" xfId="45408"/>
    <cellStyle name="Normal 2 8 5 2 3 3" xfId="45409"/>
    <cellStyle name="Normal 2 8 5 2 3 3 2" xfId="45410"/>
    <cellStyle name="Normal 2 8 5 2 3 4" xfId="45411"/>
    <cellStyle name="Normal 2 8 5 2 3 4 2" xfId="45412"/>
    <cellStyle name="Normal 2 8 5 2 3 5" xfId="45413"/>
    <cellStyle name="Normal 2 8 5 2 3 5 2" xfId="45414"/>
    <cellStyle name="Normal 2 8 5 2 3 6" xfId="45415"/>
    <cellStyle name="Normal 2 8 5 2 4" xfId="45416"/>
    <cellStyle name="Normal 2 8 5 2 4 2" xfId="45417"/>
    <cellStyle name="Normal 2 8 5 2 4 2 2" xfId="45418"/>
    <cellStyle name="Normal 2 8 5 2 4 3" xfId="45419"/>
    <cellStyle name="Normal 2 8 5 2 5" xfId="45420"/>
    <cellStyle name="Normal 2 8 5 2 5 2" xfId="45421"/>
    <cellStyle name="Normal 2 8 5 2 6" xfId="45422"/>
    <cellStyle name="Normal 2 8 5 2 6 2" xfId="45423"/>
    <cellStyle name="Normal 2 8 5 2 7" xfId="45424"/>
    <cellStyle name="Normal 2 8 5 2 7 2" xfId="45425"/>
    <cellStyle name="Normal 2 8 5 2 8" xfId="45426"/>
    <cellStyle name="Normal 2 8 5 3" xfId="45427"/>
    <cellStyle name="Normal 2 8 5 3 2" xfId="45428"/>
    <cellStyle name="Normal 2 8 5 3 2 2" xfId="45429"/>
    <cellStyle name="Normal 2 8 5 3 2 2 2" xfId="45430"/>
    <cellStyle name="Normal 2 8 5 3 2 2 2 2" xfId="45431"/>
    <cellStyle name="Normal 2 8 5 3 2 2 2 2 2" xfId="45432"/>
    <cellStyle name="Normal 2 8 5 3 2 2 2 3" xfId="45433"/>
    <cellStyle name="Normal 2 8 5 3 2 2 3" xfId="45434"/>
    <cellStyle name="Normal 2 8 5 3 2 2 3 2" xfId="45435"/>
    <cellStyle name="Normal 2 8 5 3 2 2 4" xfId="45436"/>
    <cellStyle name="Normal 2 8 5 3 2 2 4 2" xfId="45437"/>
    <cellStyle name="Normal 2 8 5 3 2 2 5" xfId="45438"/>
    <cellStyle name="Normal 2 8 5 3 2 2 5 2" xfId="45439"/>
    <cellStyle name="Normal 2 8 5 3 2 2 6" xfId="45440"/>
    <cellStyle name="Normal 2 8 5 3 2 3" xfId="45441"/>
    <cellStyle name="Normal 2 8 5 3 2 3 2" xfId="45442"/>
    <cellStyle name="Normal 2 8 5 3 2 3 2 2" xfId="45443"/>
    <cellStyle name="Normal 2 8 5 3 2 3 3" xfId="45444"/>
    <cellStyle name="Normal 2 8 5 3 2 4" xfId="45445"/>
    <cellStyle name="Normal 2 8 5 3 2 4 2" xfId="45446"/>
    <cellStyle name="Normal 2 8 5 3 2 5" xfId="45447"/>
    <cellStyle name="Normal 2 8 5 3 2 5 2" xfId="45448"/>
    <cellStyle name="Normal 2 8 5 3 2 6" xfId="45449"/>
    <cellStyle name="Normal 2 8 5 3 2 6 2" xfId="45450"/>
    <cellStyle name="Normal 2 8 5 3 2 7" xfId="45451"/>
    <cellStyle name="Normal 2 8 5 3 3" xfId="45452"/>
    <cellStyle name="Normal 2 8 5 3 3 2" xfId="45453"/>
    <cellStyle name="Normal 2 8 5 3 3 2 2" xfId="45454"/>
    <cellStyle name="Normal 2 8 5 3 3 2 2 2" xfId="45455"/>
    <cellStyle name="Normal 2 8 5 3 3 2 3" xfId="45456"/>
    <cellStyle name="Normal 2 8 5 3 3 3" xfId="45457"/>
    <cellStyle name="Normal 2 8 5 3 3 3 2" xfId="45458"/>
    <cellStyle name="Normal 2 8 5 3 3 4" xfId="45459"/>
    <cellStyle name="Normal 2 8 5 3 3 4 2" xfId="45460"/>
    <cellStyle name="Normal 2 8 5 3 3 5" xfId="45461"/>
    <cellStyle name="Normal 2 8 5 3 3 5 2" xfId="45462"/>
    <cellStyle name="Normal 2 8 5 3 3 6" xfId="45463"/>
    <cellStyle name="Normal 2 8 5 3 4" xfId="45464"/>
    <cellStyle name="Normal 2 8 5 3 4 2" xfId="45465"/>
    <cellStyle name="Normal 2 8 5 3 4 2 2" xfId="45466"/>
    <cellStyle name="Normal 2 8 5 3 4 3" xfId="45467"/>
    <cellStyle name="Normal 2 8 5 3 5" xfId="45468"/>
    <cellStyle name="Normal 2 8 5 3 5 2" xfId="45469"/>
    <cellStyle name="Normal 2 8 5 3 6" xfId="45470"/>
    <cellStyle name="Normal 2 8 5 3 6 2" xfId="45471"/>
    <cellStyle name="Normal 2 8 5 3 7" xfId="45472"/>
    <cellStyle name="Normal 2 8 5 3 7 2" xfId="45473"/>
    <cellStyle name="Normal 2 8 5 3 8" xfId="45474"/>
    <cellStyle name="Normal 2 8 5 4" xfId="45475"/>
    <cellStyle name="Normal 2 8 5 4 2" xfId="45476"/>
    <cellStyle name="Normal 2 8 5 4 2 2" xfId="45477"/>
    <cellStyle name="Normal 2 8 5 4 2 2 2" xfId="45478"/>
    <cellStyle name="Normal 2 8 5 4 2 2 2 2" xfId="45479"/>
    <cellStyle name="Normal 2 8 5 4 2 2 3" xfId="45480"/>
    <cellStyle name="Normal 2 8 5 4 2 3" xfId="45481"/>
    <cellStyle name="Normal 2 8 5 4 2 3 2" xfId="45482"/>
    <cellStyle name="Normal 2 8 5 4 2 4" xfId="45483"/>
    <cellStyle name="Normal 2 8 5 4 2 4 2" xfId="45484"/>
    <cellStyle name="Normal 2 8 5 4 2 5" xfId="45485"/>
    <cellStyle name="Normal 2 8 5 4 2 5 2" xfId="45486"/>
    <cellStyle name="Normal 2 8 5 4 2 6" xfId="45487"/>
    <cellStyle name="Normal 2 8 5 4 3" xfId="45488"/>
    <cellStyle name="Normal 2 8 5 4 3 2" xfId="45489"/>
    <cellStyle name="Normal 2 8 5 4 3 2 2" xfId="45490"/>
    <cellStyle name="Normal 2 8 5 4 3 3" xfId="45491"/>
    <cellStyle name="Normal 2 8 5 4 4" xfId="45492"/>
    <cellStyle name="Normal 2 8 5 4 4 2" xfId="45493"/>
    <cellStyle name="Normal 2 8 5 4 5" xfId="45494"/>
    <cellStyle name="Normal 2 8 5 4 5 2" xfId="45495"/>
    <cellStyle name="Normal 2 8 5 4 6" xfId="45496"/>
    <cellStyle name="Normal 2 8 5 4 6 2" xfId="45497"/>
    <cellStyle name="Normal 2 8 5 4 7" xfId="45498"/>
    <cellStyle name="Normal 2 8 5 5" xfId="45499"/>
    <cellStyle name="Normal 2 8 5 5 2" xfId="45500"/>
    <cellStyle name="Normal 2 8 5 5 2 2" xfId="45501"/>
    <cellStyle name="Normal 2 8 5 5 2 2 2" xfId="45502"/>
    <cellStyle name="Normal 2 8 5 5 2 2 2 2" xfId="45503"/>
    <cellStyle name="Normal 2 8 5 5 2 2 3" xfId="45504"/>
    <cellStyle name="Normal 2 8 5 5 2 3" xfId="45505"/>
    <cellStyle name="Normal 2 8 5 5 2 3 2" xfId="45506"/>
    <cellStyle name="Normal 2 8 5 5 2 4" xfId="45507"/>
    <cellStyle name="Normal 2 8 5 5 2 4 2" xfId="45508"/>
    <cellStyle name="Normal 2 8 5 5 2 5" xfId="45509"/>
    <cellStyle name="Normal 2 8 5 5 2 5 2" xfId="45510"/>
    <cellStyle name="Normal 2 8 5 5 2 6" xfId="45511"/>
    <cellStyle name="Normal 2 8 5 5 3" xfId="45512"/>
    <cellStyle name="Normal 2 8 5 5 3 2" xfId="45513"/>
    <cellStyle name="Normal 2 8 5 5 3 2 2" xfId="45514"/>
    <cellStyle name="Normal 2 8 5 5 3 3" xfId="45515"/>
    <cellStyle name="Normal 2 8 5 5 4" xfId="45516"/>
    <cellStyle name="Normal 2 8 5 5 4 2" xfId="45517"/>
    <cellStyle name="Normal 2 8 5 5 5" xfId="45518"/>
    <cellStyle name="Normal 2 8 5 5 5 2" xfId="45519"/>
    <cellStyle name="Normal 2 8 5 5 6" xfId="45520"/>
    <cellStyle name="Normal 2 8 5 5 6 2" xfId="45521"/>
    <cellStyle name="Normal 2 8 5 5 7" xfId="45522"/>
    <cellStyle name="Normal 2 8 5 6" xfId="45523"/>
    <cellStyle name="Normal 2 8 5 6 2" xfId="45524"/>
    <cellStyle name="Normal 2 8 5 6 2 2" xfId="45525"/>
    <cellStyle name="Normal 2 8 5 6 2 2 2" xfId="45526"/>
    <cellStyle name="Normal 2 8 5 6 2 3" xfId="45527"/>
    <cellStyle name="Normal 2 8 5 6 3" xfId="45528"/>
    <cellStyle name="Normal 2 8 5 6 3 2" xfId="45529"/>
    <cellStyle name="Normal 2 8 5 6 4" xfId="45530"/>
    <cellStyle name="Normal 2 8 5 6 4 2" xfId="45531"/>
    <cellStyle name="Normal 2 8 5 6 5" xfId="45532"/>
    <cellStyle name="Normal 2 8 5 6 5 2" xfId="45533"/>
    <cellStyle name="Normal 2 8 5 6 6" xfId="45534"/>
    <cellStyle name="Normal 2 8 5 7" xfId="45535"/>
    <cellStyle name="Normal 2 8 5 7 2" xfId="45536"/>
    <cellStyle name="Normal 2 8 5 7 2 2" xfId="45537"/>
    <cellStyle name="Normal 2 8 5 7 2 2 2" xfId="45538"/>
    <cellStyle name="Normal 2 8 5 7 2 3" xfId="45539"/>
    <cellStyle name="Normal 2 8 5 7 3" xfId="45540"/>
    <cellStyle name="Normal 2 8 5 7 3 2" xfId="45541"/>
    <cellStyle name="Normal 2 8 5 7 4" xfId="45542"/>
    <cellStyle name="Normal 2 8 5 7 4 2" xfId="45543"/>
    <cellStyle name="Normal 2 8 5 7 5" xfId="45544"/>
    <cellStyle name="Normal 2 8 5 7 5 2" xfId="45545"/>
    <cellStyle name="Normal 2 8 5 7 6" xfId="45546"/>
    <cellStyle name="Normal 2 8 5 8" xfId="45547"/>
    <cellStyle name="Normal 2 8 5 8 2" xfId="45548"/>
    <cellStyle name="Normal 2 8 5 8 2 2" xfId="45549"/>
    <cellStyle name="Normal 2 8 5 8 3" xfId="45550"/>
    <cellStyle name="Normal 2 8 5 9" xfId="45551"/>
    <cellStyle name="Normal 2 8 5 9 2" xfId="45552"/>
    <cellStyle name="Normal 2 8 6" xfId="45553"/>
    <cellStyle name="Normal 2 8 6 2" xfId="45554"/>
    <cellStyle name="Normal 2 8 7" xfId="45555"/>
    <cellStyle name="Normal 2 8 7 2" xfId="45556"/>
    <cellStyle name="Normal 2 8 7 2 2" xfId="45557"/>
    <cellStyle name="Normal 2 8 7 2 2 2" xfId="45558"/>
    <cellStyle name="Normal 2 8 7 2 2 2 2" xfId="45559"/>
    <cellStyle name="Normal 2 8 7 2 2 2 2 2" xfId="45560"/>
    <cellStyle name="Normal 2 8 7 2 2 2 3" xfId="45561"/>
    <cellStyle name="Normal 2 8 7 2 2 3" xfId="45562"/>
    <cellStyle name="Normal 2 8 7 2 2 3 2" xfId="45563"/>
    <cellStyle name="Normal 2 8 7 2 2 4" xfId="45564"/>
    <cellStyle name="Normal 2 8 7 2 2 4 2" xfId="45565"/>
    <cellStyle name="Normal 2 8 7 2 2 5" xfId="45566"/>
    <cellStyle name="Normal 2 8 7 2 2 5 2" xfId="45567"/>
    <cellStyle name="Normal 2 8 7 2 2 6" xfId="45568"/>
    <cellStyle name="Normal 2 8 7 2 3" xfId="45569"/>
    <cellStyle name="Normal 2 8 7 2 3 2" xfId="45570"/>
    <cellStyle name="Normal 2 8 7 2 3 2 2" xfId="45571"/>
    <cellStyle name="Normal 2 8 7 2 3 3" xfId="45572"/>
    <cellStyle name="Normal 2 8 7 2 4" xfId="45573"/>
    <cellStyle name="Normal 2 8 7 2 4 2" xfId="45574"/>
    <cellStyle name="Normal 2 8 7 2 5" xfId="45575"/>
    <cellStyle name="Normal 2 8 7 2 5 2" xfId="45576"/>
    <cellStyle name="Normal 2 8 7 2 6" xfId="45577"/>
    <cellStyle name="Normal 2 8 7 2 6 2" xfId="45578"/>
    <cellStyle name="Normal 2 8 7 2 7" xfId="45579"/>
    <cellStyle name="Normal 2 8 7 3" xfId="45580"/>
    <cellStyle name="Normal 2 8 7 3 2" xfId="45581"/>
    <cellStyle name="Normal 2 8 7 3 2 2" xfId="45582"/>
    <cellStyle name="Normal 2 8 7 3 2 2 2" xfId="45583"/>
    <cellStyle name="Normal 2 8 7 3 2 3" xfId="45584"/>
    <cellStyle name="Normal 2 8 7 3 3" xfId="45585"/>
    <cellStyle name="Normal 2 8 7 3 3 2" xfId="45586"/>
    <cellStyle name="Normal 2 8 7 3 4" xfId="45587"/>
    <cellStyle name="Normal 2 8 7 3 4 2" xfId="45588"/>
    <cellStyle name="Normal 2 8 7 3 5" xfId="45589"/>
    <cellStyle name="Normal 2 8 7 3 5 2" xfId="45590"/>
    <cellStyle name="Normal 2 8 7 3 6" xfId="45591"/>
    <cellStyle name="Normal 2 8 7 4" xfId="45592"/>
    <cellStyle name="Normal 2 8 7 4 2" xfId="45593"/>
    <cellStyle name="Normal 2 8 7 4 2 2" xfId="45594"/>
    <cellStyle name="Normal 2 8 7 4 3" xfId="45595"/>
    <cellStyle name="Normal 2 8 7 5" xfId="45596"/>
    <cellStyle name="Normal 2 8 7 5 2" xfId="45597"/>
    <cellStyle name="Normal 2 8 7 6" xfId="45598"/>
    <cellStyle name="Normal 2 8 7 6 2" xfId="45599"/>
    <cellStyle name="Normal 2 8 7 7" xfId="45600"/>
    <cellStyle name="Normal 2 8 7 7 2" xfId="45601"/>
    <cellStyle name="Normal 2 8 7 8" xfId="45602"/>
    <cellStyle name="Normal 2 8 8" xfId="45603"/>
    <cellStyle name="Normal 2 8 8 2" xfId="45604"/>
    <cellStyle name="Normal 2 8 8 2 2" xfId="45605"/>
    <cellStyle name="Normal 2 8 8 2 2 2" xfId="45606"/>
    <cellStyle name="Normal 2 8 8 2 2 2 2" xfId="45607"/>
    <cellStyle name="Normal 2 8 8 2 2 2 2 2" xfId="45608"/>
    <cellStyle name="Normal 2 8 8 2 2 2 3" xfId="45609"/>
    <cellStyle name="Normal 2 8 8 2 2 3" xfId="45610"/>
    <cellStyle name="Normal 2 8 8 2 2 3 2" xfId="45611"/>
    <cellStyle name="Normal 2 8 8 2 2 4" xfId="45612"/>
    <cellStyle name="Normal 2 8 8 2 2 4 2" xfId="45613"/>
    <cellStyle name="Normal 2 8 8 2 2 5" xfId="45614"/>
    <cellStyle name="Normal 2 8 8 2 2 5 2" xfId="45615"/>
    <cellStyle name="Normal 2 8 8 2 2 6" xfId="45616"/>
    <cellStyle name="Normal 2 8 8 2 3" xfId="45617"/>
    <cellStyle name="Normal 2 8 8 2 3 2" xfId="45618"/>
    <cellStyle name="Normal 2 8 8 2 3 2 2" xfId="45619"/>
    <cellStyle name="Normal 2 8 8 2 3 3" xfId="45620"/>
    <cellStyle name="Normal 2 8 8 2 4" xfId="45621"/>
    <cellStyle name="Normal 2 8 8 2 4 2" xfId="45622"/>
    <cellStyle name="Normal 2 8 8 2 5" xfId="45623"/>
    <cellStyle name="Normal 2 8 8 2 5 2" xfId="45624"/>
    <cellStyle name="Normal 2 8 8 2 6" xfId="45625"/>
    <cellStyle name="Normal 2 8 8 2 6 2" xfId="45626"/>
    <cellStyle name="Normal 2 8 8 2 7" xfId="45627"/>
    <cellStyle name="Normal 2 8 8 3" xfId="45628"/>
    <cellStyle name="Normal 2 8 8 3 2" xfId="45629"/>
    <cellStyle name="Normal 2 8 8 3 2 2" xfId="45630"/>
    <cellStyle name="Normal 2 8 8 3 2 2 2" xfId="45631"/>
    <cellStyle name="Normal 2 8 8 3 2 3" xfId="45632"/>
    <cellStyle name="Normal 2 8 8 3 3" xfId="45633"/>
    <cellStyle name="Normal 2 8 8 3 3 2" xfId="45634"/>
    <cellStyle name="Normal 2 8 8 3 4" xfId="45635"/>
    <cellStyle name="Normal 2 8 8 3 4 2" xfId="45636"/>
    <cellStyle name="Normal 2 8 8 3 5" xfId="45637"/>
    <cellStyle name="Normal 2 8 8 3 5 2" xfId="45638"/>
    <cellStyle name="Normal 2 8 8 3 6" xfId="45639"/>
    <cellStyle name="Normal 2 8 8 4" xfId="45640"/>
    <cellStyle name="Normal 2 8 8 4 2" xfId="45641"/>
    <cellStyle name="Normal 2 8 8 4 2 2" xfId="45642"/>
    <cellStyle name="Normal 2 8 8 4 3" xfId="45643"/>
    <cellStyle name="Normal 2 8 8 5" xfId="45644"/>
    <cellStyle name="Normal 2 8 8 5 2" xfId="45645"/>
    <cellStyle name="Normal 2 8 8 6" xfId="45646"/>
    <cellStyle name="Normal 2 8 8 6 2" xfId="45647"/>
    <cellStyle name="Normal 2 8 8 7" xfId="45648"/>
    <cellStyle name="Normal 2 8 8 7 2" xfId="45649"/>
    <cellStyle name="Normal 2 8 8 8" xfId="45650"/>
    <cellStyle name="Normal 2 8 9" xfId="45651"/>
    <cellStyle name="Normal 2 8 9 2" xfId="45652"/>
    <cellStyle name="Normal 2 8 9 2 2" xfId="45653"/>
    <cellStyle name="Normal 2 8 9 2 2 2" xfId="45654"/>
    <cellStyle name="Normal 2 8 9 2 2 2 2" xfId="45655"/>
    <cellStyle name="Normal 2 8 9 2 2 3" xfId="45656"/>
    <cellStyle name="Normal 2 8 9 2 3" xfId="45657"/>
    <cellStyle name="Normal 2 8 9 2 3 2" xfId="45658"/>
    <cellStyle name="Normal 2 8 9 2 4" xfId="45659"/>
    <cellStyle name="Normal 2 8 9 2 4 2" xfId="45660"/>
    <cellStyle name="Normal 2 8 9 2 5" xfId="45661"/>
    <cellStyle name="Normal 2 8 9 2 5 2" xfId="45662"/>
    <cellStyle name="Normal 2 8 9 2 6" xfId="45663"/>
    <cellStyle name="Normal 2 8 9 3" xfId="45664"/>
    <cellStyle name="Normal 2 8 9 3 2" xfId="45665"/>
    <cellStyle name="Normal 2 8 9 3 2 2" xfId="45666"/>
    <cellStyle name="Normal 2 8 9 3 3" xfId="45667"/>
    <cellStyle name="Normal 2 8 9 4" xfId="45668"/>
    <cellStyle name="Normal 2 8 9 4 2" xfId="45669"/>
    <cellStyle name="Normal 2 8 9 5" xfId="45670"/>
    <cellStyle name="Normal 2 8 9 5 2" xfId="45671"/>
    <cellStyle name="Normal 2 8 9 6" xfId="45672"/>
    <cellStyle name="Normal 2 8 9 6 2" xfId="45673"/>
    <cellStyle name="Normal 2 8 9 7" xfId="45674"/>
    <cellStyle name="Normal 2 9" xfId="45675"/>
    <cellStyle name="Normal 2 9 10" xfId="45676"/>
    <cellStyle name="Normal 2 9 10 2" xfId="45677"/>
    <cellStyle name="Normal 2 9 10 2 2" xfId="45678"/>
    <cellStyle name="Normal 2 9 10 2 2 2" xfId="45679"/>
    <cellStyle name="Normal 2 9 10 2 2 2 2" xfId="45680"/>
    <cellStyle name="Normal 2 9 10 2 2 3" xfId="45681"/>
    <cellStyle name="Normal 2 9 10 2 3" xfId="45682"/>
    <cellStyle name="Normal 2 9 10 2 3 2" xfId="45683"/>
    <cellStyle name="Normal 2 9 10 2 4" xfId="45684"/>
    <cellStyle name="Normal 2 9 10 2 4 2" xfId="45685"/>
    <cellStyle name="Normal 2 9 10 2 5" xfId="45686"/>
    <cellStyle name="Normal 2 9 10 2 5 2" xfId="45687"/>
    <cellStyle name="Normal 2 9 10 2 6" xfId="45688"/>
    <cellStyle name="Normal 2 9 10 3" xfId="45689"/>
    <cellStyle name="Normal 2 9 10 3 2" xfId="45690"/>
    <cellStyle name="Normal 2 9 10 3 2 2" xfId="45691"/>
    <cellStyle name="Normal 2 9 10 3 3" xfId="45692"/>
    <cellStyle name="Normal 2 9 10 4" xfId="45693"/>
    <cellStyle name="Normal 2 9 10 4 2" xfId="45694"/>
    <cellStyle name="Normal 2 9 10 5" xfId="45695"/>
    <cellStyle name="Normal 2 9 10 5 2" xfId="45696"/>
    <cellStyle name="Normal 2 9 10 6" xfId="45697"/>
    <cellStyle name="Normal 2 9 10 6 2" xfId="45698"/>
    <cellStyle name="Normal 2 9 10 7" xfId="45699"/>
    <cellStyle name="Normal 2 9 11" xfId="45700"/>
    <cellStyle name="Normal 2 9 11 2" xfId="45701"/>
    <cellStyle name="Normal 2 9 11 2 2" xfId="45702"/>
    <cellStyle name="Normal 2 9 11 2 2 2" xfId="45703"/>
    <cellStyle name="Normal 2 9 11 2 2 2 2" xfId="45704"/>
    <cellStyle name="Normal 2 9 11 2 2 3" xfId="45705"/>
    <cellStyle name="Normal 2 9 11 2 3" xfId="45706"/>
    <cellStyle name="Normal 2 9 11 2 3 2" xfId="45707"/>
    <cellStyle name="Normal 2 9 11 2 4" xfId="45708"/>
    <cellStyle name="Normal 2 9 11 2 4 2" xfId="45709"/>
    <cellStyle name="Normal 2 9 11 2 5" xfId="45710"/>
    <cellStyle name="Normal 2 9 11 2 5 2" xfId="45711"/>
    <cellStyle name="Normal 2 9 11 2 6" xfId="45712"/>
    <cellStyle name="Normal 2 9 11 3" xfId="45713"/>
    <cellStyle name="Normal 2 9 11 3 2" xfId="45714"/>
    <cellStyle name="Normal 2 9 11 3 2 2" xfId="45715"/>
    <cellStyle name="Normal 2 9 11 3 3" xfId="45716"/>
    <cellStyle name="Normal 2 9 11 4" xfId="45717"/>
    <cellStyle name="Normal 2 9 11 4 2" xfId="45718"/>
    <cellStyle name="Normal 2 9 11 5" xfId="45719"/>
    <cellStyle name="Normal 2 9 11 5 2" xfId="45720"/>
    <cellStyle name="Normal 2 9 11 6" xfId="45721"/>
    <cellStyle name="Normal 2 9 11 6 2" xfId="45722"/>
    <cellStyle name="Normal 2 9 11 7" xfId="45723"/>
    <cellStyle name="Normal 2 9 12" xfId="45724"/>
    <cellStyle name="Normal 2 9 12 2" xfId="45725"/>
    <cellStyle name="Normal 2 9 12 2 2" xfId="45726"/>
    <cellStyle name="Normal 2 9 12 2 2 2" xfId="45727"/>
    <cellStyle name="Normal 2 9 12 2 3" xfId="45728"/>
    <cellStyle name="Normal 2 9 12 3" xfId="45729"/>
    <cellStyle name="Normal 2 9 12 3 2" xfId="45730"/>
    <cellStyle name="Normal 2 9 12 4" xfId="45731"/>
    <cellStyle name="Normal 2 9 12 4 2" xfId="45732"/>
    <cellStyle name="Normal 2 9 12 5" xfId="45733"/>
    <cellStyle name="Normal 2 9 12 5 2" xfId="45734"/>
    <cellStyle name="Normal 2 9 12 6" xfId="45735"/>
    <cellStyle name="Normal 2 9 13" xfId="45736"/>
    <cellStyle name="Normal 2 9 13 2" xfId="45737"/>
    <cellStyle name="Normal 2 9 13 2 2" xfId="45738"/>
    <cellStyle name="Normal 2 9 13 2 2 2" xfId="45739"/>
    <cellStyle name="Normal 2 9 13 2 3" xfId="45740"/>
    <cellStyle name="Normal 2 9 13 3" xfId="45741"/>
    <cellStyle name="Normal 2 9 13 3 2" xfId="45742"/>
    <cellStyle name="Normal 2 9 13 4" xfId="45743"/>
    <cellStyle name="Normal 2 9 13 4 2" xfId="45744"/>
    <cellStyle name="Normal 2 9 13 5" xfId="45745"/>
    <cellStyle name="Normal 2 9 13 5 2" xfId="45746"/>
    <cellStyle name="Normal 2 9 13 6" xfId="45747"/>
    <cellStyle name="Normal 2 9 14" xfId="45748"/>
    <cellStyle name="Normal 2 9 14 2" xfId="45749"/>
    <cellStyle name="Normal 2 9 14 2 2" xfId="45750"/>
    <cellStyle name="Normal 2 9 14 3" xfId="45751"/>
    <cellStyle name="Normal 2 9 15" xfId="45752"/>
    <cellStyle name="Normal 2 9 15 2" xfId="45753"/>
    <cellStyle name="Normal 2 9 16" xfId="45754"/>
    <cellStyle name="Normal 2 9 16 2" xfId="45755"/>
    <cellStyle name="Normal 2 9 17" xfId="45756"/>
    <cellStyle name="Normal 2 9 17 2" xfId="45757"/>
    <cellStyle name="Normal 2 9 18" xfId="45758"/>
    <cellStyle name="Normal 2 9 19" xfId="57835"/>
    <cellStyle name="Normal 2 9 2" xfId="45759"/>
    <cellStyle name="Normal 2 9 2 10" xfId="45760"/>
    <cellStyle name="Normal 2 9 2 10 2" xfId="45761"/>
    <cellStyle name="Normal 2 9 2 11" xfId="45762"/>
    <cellStyle name="Normal 2 9 2 11 2" xfId="45763"/>
    <cellStyle name="Normal 2 9 2 12" xfId="45764"/>
    <cellStyle name="Normal 2 9 2 12 2" xfId="45765"/>
    <cellStyle name="Normal 2 9 2 13" xfId="45766"/>
    <cellStyle name="Normal 2 9 2 2" xfId="45767"/>
    <cellStyle name="Normal 2 9 2 2 2" xfId="45768"/>
    <cellStyle name="Normal 2 9 2 3" xfId="45769"/>
    <cellStyle name="Normal 2 9 2 3 2" xfId="45770"/>
    <cellStyle name="Normal 2 9 2 3 2 2" xfId="45771"/>
    <cellStyle name="Normal 2 9 2 3 2 2 2" xfId="45772"/>
    <cellStyle name="Normal 2 9 2 3 2 2 2 2" xfId="45773"/>
    <cellStyle name="Normal 2 9 2 3 2 2 2 2 2" xfId="45774"/>
    <cellStyle name="Normal 2 9 2 3 2 2 2 3" xfId="45775"/>
    <cellStyle name="Normal 2 9 2 3 2 2 3" xfId="45776"/>
    <cellStyle name="Normal 2 9 2 3 2 2 3 2" xfId="45777"/>
    <cellStyle name="Normal 2 9 2 3 2 2 4" xfId="45778"/>
    <cellStyle name="Normal 2 9 2 3 2 2 4 2" xfId="45779"/>
    <cellStyle name="Normal 2 9 2 3 2 2 5" xfId="45780"/>
    <cellStyle name="Normal 2 9 2 3 2 2 5 2" xfId="45781"/>
    <cellStyle name="Normal 2 9 2 3 2 2 6" xfId="45782"/>
    <cellStyle name="Normal 2 9 2 3 2 3" xfId="45783"/>
    <cellStyle name="Normal 2 9 2 3 2 3 2" xfId="45784"/>
    <cellStyle name="Normal 2 9 2 3 2 3 2 2" xfId="45785"/>
    <cellStyle name="Normal 2 9 2 3 2 3 3" xfId="45786"/>
    <cellStyle name="Normal 2 9 2 3 2 4" xfId="45787"/>
    <cellStyle name="Normal 2 9 2 3 2 4 2" xfId="45788"/>
    <cellStyle name="Normal 2 9 2 3 2 5" xfId="45789"/>
    <cellStyle name="Normal 2 9 2 3 2 5 2" xfId="45790"/>
    <cellStyle name="Normal 2 9 2 3 2 6" xfId="45791"/>
    <cellStyle name="Normal 2 9 2 3 2 6 2" xfId="45792"/>
    <cellStyle name="Normal 2 9 2 3 2 7" xfId="45793"/>
    <cellStyle name="Normal 2 9 2 3 3" xfId="45794"/>
    <cellStyle name="Normal 2 9 2 3 3 2" xfId="45795"/>
    <cellStyle name="Normal 2 9 2 3 3 2 2" xfId="45796"/>
    <cellStyle name="Normal 2 9 2 3 3 2 2 2" xfId="45797"/>
    <cellStyle name="Normal 2 9 2 3 3 2 3" xfId="45798"/>
    <cellStyle name="Normal 2 9 2 3 3 3" xfId="45799"/>
    <cellStyle name="Normal 2 9 2 3 3 3 2" xfId="45800"/>
    <cellStyle name="Normal 2 9 2 3 3 4" xfId="45801"/>
    <cellStyle name="Normal 2 9 2 3 3 4 2" xfId="45802"/>
    <cellStyle name="Normal 2 9 2 3 3 5" xfId="45803"/>
    <cellStyle name="Normal 2 9 2 3 3 5 2" xfId="45804"/>
    <cellStyle name="Normal 2 9 2 3 3 6" xfId="45805"/>
    <cellStyle name="Normal 2 9 2 3 4" xfId="45806"/>
    <cellStyle name="Normal 2 9 2 3 4 2" xfId="45807"/>
    <cellStyle name="Normal 2 9 2 3 4 2 2" xfId="45808"/>
    <cellStyle name="Normal 2 9 2 3 4 3" xfId="45809"/>
    <cellStyle name="Normal 2 9 2 3 5" xfId="45810"/>
    <cellStyle name="Normal 2 9 2 3 5 2" xfId="45811"/>
    <cellStyle name="Normal 2 9 2 3 6" xfId="45812"/>
    <cellStyle name="Normal 2 9 2 3 6 2" xfId="45813"/>
    <cellStyle name="Normal 2 9 2 3 7" xfId="45814"/>
    <cellStyle name="Normal 2 9 2 3 7 2" xfId="45815"/>
    <cellStyle name="Normal 2 9 2 3 8" xfId="45816"/>
    <cellStyle name="Normal 2 9 2 4" xfId="45817"/>
    <cellStyle name="Normal 2 9 2 4 2" xfId="45818"/>
    <cellStyle name="Normal 2 9 2 4 2 2" xfId="45819"/>
    <cellStyle name="Normal 2 9 2 4 2 2 2" xfId="45820"/>
    <cellStyle name="Normal 2 9 2 4 2 2 2 2" xfId="45821"/>
    <cellStyle name="Normal 2 9 2 4 2 2 2 2 2" xfId="45822"/>
    <cellStyle name="Normal 2 9 2 4 2 2 2 3" xfId="45823"/>
    <cellStyle name="Normal 2 9 2 4 2 2 3" xfId="45824"/>
    <cellStyle name="Normal 2 9 2 4 2 2 3 2" xfId="45825"/>
    <cellStyle name="Normal 2 9 2 4 2 2 4" xfId="45826"/>
    <cellStyle name="Normal 2 9 2 4 2 2 4 2" xfId="45827"/>
    <cellStyle name="Normal 2 9 2 4 2 2 5" xfId="45828"/>
    <cellStyle name="Normal 2 9 2 4 2 2 5 2" xfId="45829"/>
    <cellStyle name="Normal 2 9 2 4 2 2 6" xfId="45830"/>
    <cellStyle name="Normal 2 9 2 4 2 3" xfId="45831"/>
    <cellStyle name="Normal 2 9 2 4 2 3 2" xfId="45832"/>
    <cellStyle name="Normal 2 9 2 4 2 3 2 2" xfId="45833"/>
    <cellStyle name="Normal 2 9 2 4 2 3 3" xfId="45834"/>
    <cellStyle name="Normal 2 9 2 4 2 4" xfId="45835"/>
    <cellStyle name="Normal 2 9 2 4 2 4 2" xfId="45836"/>
    <cellStyle name="Normal 2 9 2 4 2 5" xfId="45837"/>
    <cellStyle name="Normal 2 9 2 4 2 5 2" xfId="45838"/>
    <cellStyle name="Normal 2 9 2 4 2 6" xfId="45839"/>
    <cellStyle name="Normal 2 9 2 4 2 6 2" xfId="45840"/>
    <cellStyle name="Normal 2 9 2 4 2 7" xfId="45841"/>
    <cellStyle name="Normal 2 9 2 4 3" xfId="45842"/>
    <cellStyle name="Normal 2 9 2 4 3 2" xfId="45843"/>
    <cellStyle name="Normal 2 9 2 4 3 2 2" xfId="45844"/>
    <cellStyle name="Normal 2 9 2 4 3 2 2 2" xfId="45845"/>
    <cellStyle name="Normal 2 9 2 4 3 2 3" xfId="45846"/>
    <cellStyle name="Normal 2 9 2 4 3 3" xfId="45847"/>
    <cellStyle name="Normal 2 9 2 4 3 3 2" xfId="45848"/>
    <cellStyle name="Normal 2 9 2 4 3 4" xfId="45849"/>
    <cellStyle name="Normal 2 9 2 4 3 4 2" xfId="45850"/>
    <cellStyle name="Normal 2 9 2 4 3 5" xfId="45851"/>
    <cellStyle name="Normal 2 9 2 4 3 5 2" xfId="45852"/>
    <cellStyle name="Normal 2 9 2 4 3 6" xfId="45853"/>
    <cellStyle name="Normal 2 9 2 4 4" xfId="45854"/>
    <cellStyle name="Normal 2 9 2 4 4 2" xfId="45855"/>
    <cellStyle name="Normal 2 9 2 4 4 2 2" xfId="45856"/>
    <cellStyle name="Normal 2 9 2 4 4 3" xfId="45857"/>
    <cellStyle name="Normal 2 9 2 4 5" xfId="45858"/>
    <cellStyle name="Normal 2 9 2 4 5 2" xfId="45859"/>
    <cellStyle name="Normal 2 9 2 4 6" xfId="45860"/>
    <cellStyle name="Normal 2 9 2 4 6 2" xfId="45861"/>
    <cellStyle name="Normal 2 9 2 4 7" xfId="45862"/>
    <cellStyle name="Normal 2 9 2 4 7 2" xfId="45863"/>
    <cellStyle name="Normal 2 9 2 4 8" xfId="45864"/>
    <cellStyle name="Normal 2 9 2 5" xfId="45865"/>
    <cellStyle name="Normal 2 9 2 5 2" xfId="45866"/>
    <cellStyle name="Normal 2 9 2 5 2 2" xfId="45867"/>
    <cellStyle name="Normal 2 9 2 5 2 2 2" xfId="45868"/>
    <cellStyle name="Normal 2 9 2 5 2 2 2 2" xfId="45869"/>
    <cellStyle name="Normal 2 9 2 5 2 2 3" xfId="45870"/>
    <cellStyle name="Normal 2 9 2 5 2 3" xfId="45871"/>
    <cellStyle name="Normal 2 9 2 5 2 3 2" xfId="45872"/>
    <cellStyle name="Normal 2 9 2 5 2 4" xfId="45873"/>
    <cellStyle name="Normal 2 9 2 5 2 4 2" xfId="45874"/>
    <cellStyle name="Normal 2 9 2 5 2 5" xfId="45875"/>
    <cellStyle name="Normal 2 9 2 5 2 5 2" xfId="45876"/>
    <cellStyle name="Normal 2 9 2 5 2 6" xfId="45877"/>
    <cellStyle name="Normal 2 9 2 5 3" xfId="45878"/>
    <cellStyle name="Normal 2 9 2 5 3 2" xfId="45879"/>
    <cellStyle name="Normal 2 9 2 5 3 2 2" xfId="45880"/>
    <cellStyle name="Normal 2 9 2 5 3 3" xfId="45881"/>
    <cellStyle name="Normal 2 9 2 5 4" xfId="45882"/>
    <cellStyle name="Normal 2 9 2 5 4 2" xfId="45883"/>
    <cellStyle name="Normal 2 9 2 5 5" xfId="45884"/>
    <cellStyle name="Normal 2 9 2 5 5 2" xfId="45885"/>
    <cellStyle name="Normal 2 9 2 5 6" xfId="45886"/>
    <cellStyle name="Normal 2 9 2 5 6 2" xfId="45887"/>
    <cellStyle name="Normal 2 9 2 5 7" xfId="45888"/>
    <cellStyle name="Normal 2 9 2 6" xfId="45889"/>
    <cellStyle name="Normal 2 9 2 6 2" xfId="45890"/>
    <cellStyle name="Normal 2 9 2 6 2 2" xfId="45891"/>
    <cellStyle name="Normal 2 9 2 6 2 2 2" xfId="45892"/>
    <cellStyle name="Normal 2 9 2 6 2 2 2 2" xfId="45893"/>
    <cellStyle name="Normal 2 9 2 6 2 2 3" xfId="45894"/>
    <cellStyle name="Normal 2 9 2 6 2 3" xfId="45895"/>
    <cellStyle name="Normal 2 9 2 6 2 3 2" xfId="45896"/>
    <cellStyle name="Normal 2 9 2 6 2 4" xfId="45897"/>
    <cellStyle name="Normal 2 9 2 6 2 4 2" xfId="45898"/>
    <cellStyle name="Normal 2 9 2 6 2 5" xfId="45899"/>
    <cellStyle name="Normal 2 9 2 6 2 5 2" xfId="45900"/>
    <cellStyle name="Normal 2 9 2 6 2 6" xfId="45901"/>
    <cellStyle name="Normal 2 9 2 6 3" xfId="45902"/>
    <cellStyle name="Normal 2 9 2 6 3 2" xfId="45903"/>
    <cellStyle name="Normal 2 9 2 6 3 2 2" xfId="45904"/>
    <cellStyle name="Normal 2 9 2 6 3 3" xfId="45905"/>
    <cellStyle name="Normal 2 9 2 6 4" xfId="45906"/>
    <cellStyle name="Normal 2 9 2 6 4 2" xfId="45907"/>
    <cellStyle name="Normal 2 9 2 6 5" xfId="45908"/>
    <cellStyle name="Normal 2 9 2 6 5 2" xfId="45909"/>
    <cellStyle name="Normal 2 9 2 6 6" xfId="45910"/>
    <cellStyle name="Normal 2 9 2 6 6 2" xfId="45911"/>
    <cellStyle name="Normal 2 9 2 6 7" xfId="45912"/>
    <cellStyle name="Normal 2 9 2 7" xfId="45913"/>
    <cellStyle name="Normal 2 9 2 7 2" xfId="45914"/>
    <cellStyle name="Normal 2 9 2 7 2 2" xfId="45915"/>
    <cellStyle name="Normal 2 9 2 7 2 2 2" xfId="45916"/>
    <cellStyle name="Normal 2 9 2 7 2 3" xfId="45917"/>
    <cellStyle name="Normal 2 9 2 7 3" xfId="45918"/>
    <cellStyle name="Normal 2 9 2 7 3 2" xfId="45919"/>
    <cellStyle name="Normal 2 9 2 7 4" xfId="45920"/>
    <cellStyle name="Normal 2 9 2 7 4 2" xfId="45921"/>
    <cellStyle name="Normal 2 9 2 7 5" xfId="45922"/>
    <cellStyle name="Normal 2 9 2 7 5 2" xfId="45923"/>
    <cellStyle name="Normal 2 9 2 7 6" xfId="45924"/>
    <cellStyle name="Normal 2 9 2 8" xfId="45925"/>
    <cellStyle name="Normal 2 9 2 8 2" xfId="45926"/>
    <cellStyle name="Normal 2 9 2 8 2 2" xfId="45927"/>
    <cellStyle name="Normal 2 9 2 8 2 2 2" xfId="45928"/>
    <cellStyle name="Normal 2 9 2 8 2 3" xfId="45929"/>
    <cellStyle name="Normal 2 9 2 8 3" xfId="45930"/>
    <cellStyle name="Normal 2 9 2 8 3 2" xfId="45931"/>
    <cellStyle name="Normal 2 9 2 8 4" xfId="45932"/>
    <cellStyle name="Normal 2 9 2 8 4 2" xfId="45933"/>
    <cellStyle name="Normal 2 9 2 8 5" xfId="45934"/>
    <cellStyle name="Normal 2 9 2 8 5 2" xfId="45935"/>
    <cellStyle name="Normal 2 9 2 8 6" xfId="45936"/>
    <cellStyle name="Normal 2 9 2 9" xfId="45937"/>
    <cellStyle name="Normal 2 9 2 9 2" xfId="45938"/>
    <cellStyle name="Normal 2 9 2 9 2 2" xfId="45939"/>
    <cellStyle name="Normal 2 9 2 9 3" xfId="45940"/>
    <cellStyle name="Normal 2 9 3" xfId="45941"/>
    <cellStyle name="Normal 2 9 3 10" xfId="45942"/>
    <cellStyle name="Normal 2 9 3 10 2" xfId="45943"/>
    <cellStyle name="Normal 2 9 3 11" xfId="45944"/>
    <cellStyle name="Normal 2 9 3 11 2" xfId="45945"/>
    <cellStyle name="Normal 2 9 3 12" xfId="45946"/>
    <cellStyle name="Normal 2 9 3 12 2" xfId="45947"/>
    <cellStyle name="Normal 2 9 3 13" xfId="45948"/>
    <cellStyle name="Normal 2 9 3 2" xfId="45949"/>
    <cellStyle name="Normal 2 9 3 2 2" xfId="45950"/>
    <cellStyle name="Normal 2 9 3 3" xfId="45951"/>
    <cellStyle name="Normal 2 9 3 3 2" xfId="45952"/>
    <cellStyle name="Normal 2 9 3 3 2 2" xfId="45953"/>
    <cellStyle name="Normal 2 9 3 3 2 2 2" xfId="45954"/>
    <cellStyle name="Normal 2 9 3 3 2 2 2 2" xfId="45955"/>
    <cellStyle name="Normal 2 9 3 3 2 2 2 2 2" xfId="45956"/>
    <cellStyle name="Normal 2 9 3 3 2 2 2 3" xfId="45957"/>
    <cellStyle name="Normal 2 9 3 3 2 2 3" xfId="45958"/>
    <cellStyle name="Normal 2 9 3 3 2 2 3 2" xfId="45959"/>
    <cellStyle name="Normal 2 9 3 3 2 2 4" xfId="45960"/>
    <cellStyle name="Normal 2 9 3 3 2 2 4 2" xfId="45961"/>
    <cellStyle name="Normal 2 9 3 3 2 2 5" xfId="45962"/>
    <cellStyle name="Normal 2 9 3 3 2 2 5 2" xfId="45963"/>
    <cellStyle name="Normal 2 9 3 3 2 2 6" xfId="45964"/>
    <cellStyle name="Normal 2 9 3 3 2 3" xfId="45965"/>
    <cellStyle name="Normal 2 9 3 3 2 3 2" xfId="45966"/>
    <cellStyle name="Normal 2 9 3 3 2 3 2 2" xfId="45967"/>
    <cellStyle name="Normal 2 9 3 3 2 3 3" xfId="45968"/>
    <cellStyle name="Normal 2 9 3 3 2 4" xfId="45969"/>
    <cellStyle name="Normal 2 9 3 3 2 4 2" xfId="45970"/>
    <cellStyle name="Normal 2 9 3 3 2 5" xfId="45971"/>
    <cellStyle name="Normal 2 9 3 3 2 5 2" xfId="45972"/>
    <cellStyle name="Normal 2 9 3 3 2 6" xfId="45973"/>
    <cellStyle name="Normal 2 9 3 3 2 6 2" xfId="45974"/>
    <cellStyle name="Normal 2 9 3 3 2 7" xfId="45975"/>
    <cellStyle name="Normal 2 9 3 3 3" xfId="45976"/>
    <cellStyle name="Normal 2 9 3 3 3 2" xfId="45977"/>
    <cellStyle name="Normal 2 9 3 3 3 2 2" xfId="45978"/>
    <cellStyle name="Normal 2 9 3 3 3 2 2 2" xfId="45979"/>
    <cellStyle name="Normal 2 9 3 3 3 2 3" xfId="45980"/>
    <cellStyle name="Normal 2 9 3 3 3 3" xfId="45981"/>
    <cellStyle name="Normal 2 9 3 3 3 3 2" xfId="45982"/>
    <cellStyle name="Normal 2 9 3 3 3 4" xfId="45983"/>
    <cellStyle name="Normal 2 9 3 3 3 4 2" xfId="45984"/>
    <cellStyle name="Normal 2 9 3 3 3 5" xfId="45985"/>
    <cellStyle name="Normal 2 9 3 3 3 5 2" xfId="45986"/>
    <cellStyle name="Normal 2 9 3 3 3 6" xfId="45987"/>
    <cellStyle name="Normal 2 9 3 3 4" xfId="45988"/>
    <cellStyle name="Normal 2 9 3 3 4 2" xfId="45989"/>
    <cellStyle name="Normal 2 9 3 3 4 2 2" xfId="45990"/>
    <cellStyle name="Normal 2 9 3 3 4 3" xfId="45991"/>
    <cellStyle name="Normal 2 9 3 3 5" xfId="45992"/>
    <cellStyle name="Normal 2 9 3 3 5 2" xfId="45993"/>
    <cellStyle name="Normal 2 9 3 3 6" xfId="45994"/>
    <cellStyle name="Normal 2 9 3 3 6 2" xfId="45995"/>
    <cellStyle name="Normal 2 9 3 3 7" xfId="45996"/>
    <cellStyle name="Normal 2 9 3 3 7 2" xfId="45997"/>
    <cellStyle name="Normal 2 9 3 3 8" xfId="45998"/>
    <cellStyle name="Normal 2 9 3 4" xfId="45999"/>
    <cellStyle name="Normal 2 9 3 4 2" xfId="46000"/>
    <cellStyle name="Normal 2 9 3 4 2 2" xfId="46001"/>
    <cellStyle name="Normal 2 9 3 4 2 2 2" xfId="46002"/>
    <cellStyle name="Normal 2 9 3 4 2 2 2 2" xfId="46003"/>
    <cellStyle name="Normal 2 9 3 4 2 2 2 2 2" xfId="46004"/>
    <cellStyle name="Normal 2 9 3 4 2 2 2 3" xfId="46005"/>
    <cellStyle name="Normal 2 9 3 4 2 2 3" xfId="46006"/>
    <cellStyle name="Normal 2 9 3 4 2 2 3 2" xfId="46007"/>
    <cellStyle name="Normal 2 9 3 4 2 2 4" xfId="46008"/>
    <cellStyle name="Normal 2 9 3 4 2 2 4 2" xfId="46009"/>
    <cellStyle name="Normal 2 9 3 4 2 2 5" xfId="46010"/>
    <cellStyle name="Normal 2 9 3 4 2 2 5 2" xfId="46011"/>
    <cellStyle name="Normal 2 9 3 4 2 2 6" xfId="46012"/>
    <cellStyle name="Normal 2 9 3 4 2 3" xfId="46013"/>
    <cellStyle name="Normal 2 9 3 4 2 3 2" xfId="46014"/>
    <cellStyle name="Normal 2 9 3 4 2 3 2 2" xfId="46015"/>
    <cellStyle name="Normal 2 9 3 4 2 3 3" xfId="46016"/>
    <cellStyle name="Normal 2 9 3 4 2 4" xfId="46017"/>
    <cellStyle name="Normal 2 9 3 4 2 4 2" xfId="46018"/>
    <cellStyle name="Normal 2 9 3 4 2 5" xfId="46019"/>
    <cellStyle name="Normal 2 9 3 4 2 5 2" xfId="46020"/>
    <cellStyle name="Normal 2 9 3 4 2 6" xfId="46021"/>
    <cellStyle name="Normal 2 9 3 4 2 6 2" xfId="46022"/>
    <cellStyle name="Normal 2 9 3 4 2 7" xfId="46023"/>
    <cellStyle name="Normal 2 9 3 4 3" xfId="46024"/>
    <cellStyle name="Normal 2 9 3 4 3 2" xfId="46025"/>
    <cellStyle name="Normal 2 9 3 4 3 2 2" xfId="46026"/>
    <cellStyle name="Normal 2 9 3 4 3 2 2 2" xfId="46027"/>
    <cellStyle name="Normal 2 9 3 4 3 2 3" xfId="46028"/>
    <cellStyle name="Normal 2 9 3 4 3 3" xfId="46029"/>
    <cellStyle name="Normal 2 9 3 4 3 3 2" xfId="46030"/>
    <cellStyle name="Normal 2 9 3 4 3 4" xfId="46031"/>
    <cellStyle name="Normal 2 9 3 4 3 4 2" xfId="46032"/>
    <cellStyle name="Normal 2 9 3 4 3 5" xfId="46033"/>
    <cellStyle name="Normal 2 9 3 4 3 5 2" xfId="46034"/>
    <cellStyle name="Normal 2 9 3 4 3 6" xfId="46035"/>
    <cellStyle name="Normal 2 9 3 4 4" xfId="46036"/>
    <cellStyle name="Normal 2 9 3 4 4 2" xfId="46037"/>
    <cellStyle name="Normal 2 9 3 4 4 2 2" xfId="46038"/>
    <cellStyle name="Normal 2 9 3 4 4 3" xfId="46039"/>
    <cellStyle name="Normal 2 9 3 4 5" xfId="46040"/>
    <cellStyle name="Normal 2 9 3 4 5 2" xfId="46041"/>
    <cellStyle name="Normal 2 9 3 4 6" xfId="46042"/>
    <cellStyle name="Normal 2 9 3 4 6 2" xfId="46043"/>
    <cellStyle name="Normal 2 9 3 4 7" xfId="46044"/>
    <cellStyle name="Normal 2 9 3 4 7 2" xfId="46045"/>
    <cellStyle name="Normal 2 9 3 4 8" xfId="46046"/>
    <cellStyle name="Normal 2 9 3 5" xfId="46047"/>
    <cellStyle name="Normal 2 9 3 5 2" xfId="46048"/>
    <cellStyle name="Normal 2 9 3 5 2 2" xfId="46049"/>
    <cellStyle name="Normal 2 9 3 5 2 2 2" xfId="46050"/>
    <cellStyle name="Normal 2 9 3 5 2 2 2 2" xfId="46051"/>
    <cellStyle name="Normal 2 9 3 5 2 2 3" xfId="46052"/>
    <cellStyle name="Normal 2 9 3 5 2 3" xfId="46053"/>
    <cellStyle name="Normal 2 9 3 5 2 3 2" xfId="46054"/>
    <cellStyle name="Normal 2 9 3 5 2 4" xfId="46055"/>
    <cellStyle name="Normal 2 9 3 5 2 4 2" xfId="46056"/>
    <cellStyle name="Normal 2 9 3 5 2 5" xfId="46057"/>
    <cellStyle name="Normal 2 9 3 5 2 5 2" xfId="46058"/>
    <cellStyle name="Normal 2 9 3 5 2 6" xfId="46059"/>
    <cellStyle name="Normal 2 9 3 5 3" xfId="46060"/>
    <cellStyle name="Normal 2 9 3 5 3 2" xfId="46061"/>
    <cellStyle name="Normal 2 9 3 5 3 2 2" xfId="46062"/>
    <cellStyle name="Normal 2 9 3 5 3 3" xfId="46063"/>
    <cellStyle name="Normal 2 9 3 5 4" xfId="46064"/>
    <cellStyle name="Normal 2 9 3 5 4 2" xfId="46065"/>
    <cellStyle name="Normal 2 9 3 5 5" xfId="46066"/>
    <cellStyle name="Normal 2 9 3 5 5 2" xfId="46067"/>
    <cellStyle name="Normal 2 9 3 5 6" xfId="46068"/>
    <cellStyle name="Normal 2 9 3 5 6 2" xfId="46069"/>
    <cellStyle name="Normal 2 9 3 5 7" xfId="46070"/>
    <cellStyle name="Normal 2 9 3 6" xfId="46071"/>
    <cellStyle name="Normal 2 9 3 6 2" xfId="46072"/>
    <cellStyle name="Normal 2 9 3 6 2 2" xfId="46073"/>
    <cellStyle name="Normal 2 9 3 6 2 2 2" xfId="46074"/>
    <cellStyle name="Normal 2 9 3 6 2 2 2 2" xfId="46075"/>
    <cellStyle name="Normal 2 9 3 6 2 2 3" xfId="46076"/>
    <cellStyle name="Normal 2 9 3 6 2 3" xfId="46077"/>
    <cellStyle name="Normal 2 9 3 6 2 3 2" xfId="46078"/>
    <cellStyle name="Normal 2 9 3 6 2 4" xfId="46079"/>
    <cellStyle name="Normal 2 9 3 6 2 4 2" xfId="46080"/>
    <cellStyle name="Normal 2 9 3 6 2 5" xfId="46081"/>
    <cellStyle name="Normal 2 9 3 6 2 5 2" xfId="46082"/>
    <cellStyle name="Normal 2 9 3 6 2 6" xfId="46083"/>
    <cellStyle name="Normal 2 9 3 6 3" xfId="46084"/>
    <cellStyle name="Normal 2 9 3 6 3 2" xfId="46085"/>
    <cellStyle name="Normal 2 9 3 6 3 2 2" xfId="46086"/>
    <cellStyle name="Normal 2 9 3 6 3 3" xfId="46087"/>
    <cellStyle name="Normal 2 9 3 6 4" xfId="46088"/>
    <cellStyle name="Normal 2 9 3 6 4 2" xfId="46089"/>
    <cellStyle name="Normal 2 9 3 6 5" xfId="46090"/>
    <cellStyle name="Normal 2 9 3 6 5 2" xfId="46091"/>
    <cellStyle name="Normal 2 9 3 6 6" xfId="46092"/>
    <cellStyle name="Normal 2 9 3 6 6 2" xfId="46093"/>
    <cellStyle name="Normal 2 9 3 6 7" xfId="46094"/>
    <cellStyle name="Normal 2 9 3 7" xfId="46095"/>
    <cellStyle name="Normal 2 9 3 7 2" xfId="46096"/>
    <cellStyle name="Normal 2 9 3 7 2 2" xfId="46097"/>
    <cellStyle name="Normal 2 9 3 7 2 2 2" xfId="46098"/>
    <cellStyle name="Normal 2 9 3 7 2 3" xfId="46099"/>
    <cellStyle name="Normal 2 9 3 7 3" xfId="46100"/>
    <cellStyle name="Normal 2 9 3 7 3 2" xfId="46101"/>
    <cellStyle name="Normal 2 9 3 7 4" xfId="46102"/>
    <cellStyle name="Normal 2 9 3 7 4 2" xfId="46103"/>
    <cellStyle name="Normal 2 9 3 7 5" xfId="46104"/>
    <cellStyle name="Normal 2 9 3 7 5 2" xfId="46105"/>
    <cellStyle name="Normal 2 9 3 7 6" xfId="46106"/>
    <cellStyle name="Normal 2 9 3 8" xfId="46107"/>
    <cellStyle name="Normal 2 9 3 8 2" xfId="46108"/>
    <cellStyle name="Normal 2 9 3 8 2 2" xfId="46109"/>
    <cellStyle name="Normal 2 9 3 8 2 2 2" xfId="46110"/>
    <cellStyle name="Normal 2 9 3 8 2 3" xfId="46111"/>
    <cellStyle name="Normal 2 9 3 8 3" xfId="46112"/>
    <cellStyle name="Normal 2 9 3 8 3 2" xfId="46113"/>
    <cellStyle name="Normal 2 9 3 8 4" xfId="46114"/>
    <cellStyle name="Normal 2 9 3 8 4 2" xfId="46115"/>
    <cellStyle name="Normal 2 9 3 8 5" xfId="46116"/>
    <cellStyle name="Normal 2 9 3 8 5 2" xfId="46117"/>
    <cellStyle name="Normal 2 9 3 8 6" xfId="46118"/>
    <cellStyle name="Normal 2 9 3 9" xfId="46119"/>
    <cellStyle name="Normal 2 9 3 9 2" xfId="46120"/>
    <cellStyle name="Normal 2 9 3 9 2 2" xfId="46121"/>
    <cellStyle name="Normal 2 9 3 9 3" xfId="46122"/>
    <cellStyle name="Normal 2 9 4" xfId="46123"/>
    <cellStyle name="Normal 2 9 4 10" xfId="46124"/>
    <cellStyle name="Normal 2 9 4 10 2" xfId="46125"/>
    <cellStyle name="Normal 2 9 4 11" xfId="46126"/>
    <cellStyle name="Normal 2 9 4 11 2" xfId="46127"/>
    <cellStyle name="Normal 2 9 4 12" xfId="46128"/>
    <cellStyle name="Normal 2 9 4 2" xfId="46129"/>
    <cellStyle name="Normal 2 9 4 2 2" xfId="46130"/>
    <cellStyle name="Normal 2 9 4 2 2 2" xfId="46131"/>
    <cellStyle name="Normal 2 9 4 2 2 2 2" xfId="46132"/>
    <cellStyle name="Normal 2 9 4 2 2 2 2 2" xfId="46133"/>
    <cellStyle name="Normal 2 9 4 2 2 2 2 2 2" xfId="46134"/>
    <cellStyle name="Normal 2 9 4 2 2 2 2 3" xfId="46135"/>
    <cellStyle name="Normal 2 9 4 2 2 2 3" xfId="46136"/>
    <cellStyle name="Normal 2 9 4 2 2 2 3 2" xfId="46137"/>
    <cellStyle name="Normal 2 9 4 2 2 2 4" xfId="46138"/>
    <cellStyle name="Normal 2 9 4 2 2 2 4 2" xfId="46139"/>
    <cellStyle name="Normal 2 9 4 2 2 2 5" xfId="46140"/>
    <cellStyle name="Normal 2 9 4 2 2 2 5 2" xfId="46141"/>
    <cellStyle name="Normal 2 9 4 2 2 2 6" xfId="46142"/>
    <cellStyle name="Normal 2 9 4 2 2 3" xfId="46143"/>
    <cellStyle name="Normal 2 9 4 2 2 3 2" xfId="46144"/>
    <cellStyle name="Normal 2 9 4 2 2 3 2 2" xfId="46145"/>
    <cellStyle name="Normal 2 9 4 2 2 3 3" xfId="46146"/>
    <cellStyle name="Normal 2 9 4 2 2 4" xfId="46147"/>
    <cellStyle name="Normal 2 9 4 2 2 4 2" xfId="46148"/>
    <cellStyle name="Normal 2 9 4 2 2 5" xfId="46149"/>
    <cellStyle name="Normal 2 9 4 2 2 5 2" xfId="46150"/>
    <cellStyle name="Normal 2 9 4 2 2 6" xfId="46151"/>
    <cellStyle name="Normal 2 9 4 2 2 6 2" xfId="46152"/>
    <cellStyle name="Normal 2 9 4 2 2 7" xfId="46153"/>
    <cellStyle name="Normal 2 9 4 2 3" xfId="46154"/>
    <cellStyle name="Normal 2 9 4 2 3 2" xfId="46155"/>
    <cellStyle name="Normal 2 9 4 2 3 2 2" xfId="46156"/>
    <cellStyle name="Normal 2 9 4 2 3 2 2 2" xfId="46157"/>
    <cellStyle name="Normal 2 9 4 2 3 2 3" xfId="46158"/>
    <cellStyle name="Normal 2 9 4 2 3 3" xfId="46159"/>
    <cellStyle name="Normal 2 9 4 2 3 3 2" xfId="46160"/>
    <cellStyle name="Normal 2 9 4 2 3 4" xfId="46161"/>
    <cellStyle name="Normal 2 9 4 2 3 4 2" xfId="46162"/>
    <cellStyle name="Normal 2 9 4 2 3 5" xfId="46163"/>
    <cellStyle name="Normal 2 9 4 2 3 5 2" xfId="46164"/>
    <cellStyle name="Normal 2 9 4 2 3 6" xfId="46165"/>
    <cellStyle name="Normal 2 9 4 2 4" xfId="46166"/>
    <cellStyle name="Normal 2 9 4 2 4 2" xfId="46167"/>
    <cellStyle name="Normal 2 9 4 2 4 2 2" xfId="46168"/>
    <cellStyle name="Normal 2 9 4 2 4 3" xfId="46169"/>
    <cellStyle name="Normal 2 9 4 2 5" xfId="46170"/>
    <cellStyle name="Normal 2 9 4 2 5 2" xfId="46171"/>
    <cellStyle name="Normal 2 9 4 2 6" xfId="46172"/>
    <cellStyle name="Normal 2 9 4 2 6 2" xfId="46173"/>
    <cellStyle name="Normal 2 9 4 2 7" xfId="46174"/>
    <cellStyle name="Normal 2 9 4 2 7 2" xfId="46175"/>
    <cellStyle name="Normal 2 9 4 2 8" xfId="46176"/>
    <cellStyle name="Normal 2 9 4 3" xfId="46177"/>
    <cellStyle name="Normal 2 9 4 3 2" xfId="46178"/>
    <cellStyle name="Normal 2 9 4 3 2 2" xfId="46179"/>
    <cellStyle name="Normal 2 9 4 3 2 2 2" xfId="46180"/>
    <cellStyle name="Normal 2 9 4 3 2 2 2 2" xfId="46181"/>
    <cellStyle name="Normal 2 9 4 3 2 2 2 2 2" xfId="46182"/>
    <cellStyle name="Normal 2 9 4 3 2 2 2 3" xfId="46183"/>
    <cellStyle name="Normal 2 9 4 3 2 2 3" xfId="46184"/>
    <cellStyle name="Normal 2 9 4 3 2 2 3 2" xfId="46185"/>
    <cellStyle name="Normal 2 9 4 3 2 2 4" xfId="46186"/>
    <cellStyle name="Normal 2 9 4 3 2 2 4 2" xfId="46187"/>
    <cellStyle name="Normal 2 9 4 3 2 2 5" xfId="46188"/>
    <cellStyle name="Normal 2 9 4 3 2 2 5 2" xfId="46189"/>
    <cellStyle name="Normal 2 9 4 3 2 2 6" xfId="46190"/>
    <cellStyle name="Normal 2 9 4 3 2 3" xfId="46191"/>
    <cellStyle name="Normal 2 9 4 3 2 3 2" xfId="46192"/>
    <cellStyle name="Normal 2 9 4 3 2 3 2 2" xfId="46193"/>
    <cellStyle name="Normal 2 9 4 3 2 3 3" xfId="46194"/>
    <cellStyle name="Normal 2 9 4 3 2 4" xfId="46195"/>
    <cellStyle name="Normal 2 9 4 3 2 4 2" xfId="46196"/>
    <cellStyle name="Normal 2 9 4 3 2 5" xfId="46197"/>
    <cellStyle name="Normal 2 9 4 3 2 5 2" xfId="46198"/>
    <cellStyle name="Normal 2 9 4 3 2 6" xfId="46199"/>
    <cellStyle name="Normal 2 9 4 3 2 6 2" xfId="46200"/>
    <cellStyle name="Normal 2 9 4 3 2 7" xfId="46201"/>
    <cellStyle name="Normal 2 9 4 3 3" xfId="46202"/>
    <cellStyle name="Normal 2 9 4 3 3 2" xfId="46203"/>
    <cellStyle name="Normal 2 9 4 3 3 2 2" xfId="46204"/>
    <cellStyle name="Normal 2 9 4 3 3 2 2 2" xfId="46205"/>
    <cellStyle name="Normal 2 9 4 3 3 2 3" xfId="46206"/>
    <cellStyle name="Normal 2 9 4 3 3 3" xfId="46207"/>
    <cellStyle name="Normal 2 9 4 3 3 3 2" xfId="46208"/>
    <cellStyle name="Normal 2 9 4 3 3 4" xfId="46209"/>
    <cellStyle name="Normal 2 9 4 3 3 4 2" xfId="46210"/>
    <cellStyle name="Normal 2 9 4 3 3 5" xfId="46211"/>
    <cellStyle name="Normal 2 9 4 3 3 5 2" xfId="46212"/>
    <cellStyle name="Normal 2 9 4 3 3 6" xfId="46213"/>
    <cellStyle name="Normal 2 9 4 3 4" xfId="46214"/>
    <cellStyle name="Normal 2 9 4 3 4 2" xfId="46215"/>
    <cellStyle name="Normal 2 9 4 3 4 2 2" xfId="46216"/>
    <cellStyle name="Normal 2 9 4 3 4 3" xfId="46217"/>
    <cellStyle name="Normal 2 9 4 3 5" xfId="46218"/>
    <cellStyle name="Normal 2 9 4 3 5 2" xfId="46219"/>
    <cellStyle name="Normal 2 9 4 3 6" xfId="46220"/>
    <cellStyle name="Normal 2 9 4 3 6 2" xfId="46221"/>
    <cellStyle name="Normal 2 9 4 3 7" xfId="46222"/>
    <cellStyle name="Normal 2 9 4 3 7 2" xfId="46223"/>
    <cellStyle name="Normal 2 9 4 3 8" xfId="46224"/>
    <cellStyle name="Normal 2 9 4 4" xfId="46225"/>
    <cellStyle name="Normal 2 9 4 4 2" xfId="46226"/>
    <cellStyle name="Normal 2 9 4 4 2 2" xfId="46227"/>
    <cellStyle name="Normal 2 9 4 4 2 2 2" xfId="46228"/>
    <cellStyle name="Normal 2 9 4 4 2 2 2 2" xfId="46229"/>
    <cellStyle name="Normal 2 9 4 4 2 2 3" xfId="46230"/>
    <cellStyle name="Normal 2 9 4 4 2 3" xfId="46231"/>
    <cellStyle name="Normal 2 9 4 4 2 3 2" xfId="46232"/>
    <cellStyle name="Normal 2 9 4 4 2 4" xfId="46233"/>
    <cellStyle name="Normal 2 9 4 4 2 4 2" xfId="46234"/>
    <cellStyle name="Normal 2 9 4 4 2 5" xfId="46235"/>
    <cellStyle name="Normal 2 9 4 4 2 5 2" xfId="46236"/>
    <cellStyle name="Normal 2 9 4 4 2 6" xfId="46237"/>
    <cellStyle name="Normal 2 9 4 4 3" xfId="46238"/>
    <cellStyle name="Normal 2 9 4 4 3 2" xfId="46239"/>
    <cellStyle name="Normal 2 9 4 4 3 2 2" xfId="46240"/>
    <cellStyle name="Normal 2 9 4 4 3 3" xfId="46241"/>
    <cellStyle name="Normal 2 9 4 4 4" xfId="46242"/>
    <cellStyle name="Normal 2 9 4 4 4 2" xfId="46243"/>
    <cellStyle name="Normal 2 9 4 4 5" xfId="46244"/>
    <cellStyle name="Normal 2 9 4 4 5 2" xfId="46245"/>
    <cellStyle name="Normal 2 9 4 4 6" xfId="46246"/>
    <cellStyle name="Normal 2 9 4 4 6 2" xfId="46247"/>
    <cellStyle name="Normal 2 9 4 4 7" xfId="46248"/>
    <cellStyle name="Normal 2 9 4 5" xfId="46249"/>
    <cellStyle name="Normal 2 9 4 5 2" xfId="46250"/>
    <cellStyle name="Normal 2 9 4 5 2 2" xfId="46251"/>
    <cellStyle name="Normal 2 9 4 5 2 2 2" xfId="46252"/>
    <cellStyle name="Normal 2 9 4 5 2 2 2 2" xfId="46253"/>
    <cellStyle name="Normal 2 9 4 5 2 2 3" xfId="46254"/>
    <cellStyle name="Normal 2 9 4 5 2 3" xfId="46255"/>
    <cellStyle name="Normal 2 9 4 5 2 3 2" xfId="46256"/>
    <cellStyle name="Normal 2 9 4 5 2 4" xfId="46257"/>
    <cellStyle name="Normal 2 9 4 5 2 4 2" xfId="46258"/>
    <cellStyle name="Normal 2 9 4 5 2 5" xfId="46259"/>
    <cellStyle name="Normal 2 9 4 5 2 5 2" xfId="46260"/>
    <cellStyle name="Normal 2 9 4 5 2 6" xfId="46261"/>
    <cellStyle name="Normal 2 9 4 5 3" xfId="46262"/>
    <cellStyle name="Normal 2 9 4 5 3 2" xfId="46263"/>
    <cellStyle name="Normal 2 9 4 5 3 2 2" xfId="46264"/>
    <cellStyle name="Normal 2 9 4 5 3 3" xfId="46265"/>
    <cellStyle name="Normal 2 9 4 5 4" xfId="46266"/>
    <cellStyle name="Normal 2 9 4 5 4 2" xfId="46267"/>
    <cellStyle name="Normal 2 9 4 5 5" xfId="46268"/>
    <cellStyle name="Normal 2 9 4 5 5 2" xfId="46269"/>
    <cellStyle name="Normal 2 9 4 5 6" xfId="46270"/>
    <cellStyle name="Normal 2 9 4 5 6 2" xfId="46271"/>
    <cellStyle name="Normal 2 9 4 5 7" xfId="46272"/>
    <cellStyle name="Normal 2 9 4 6" xfId="46273"/>
    <cellStyle name="Normal 2 9 4 6 2" xfId="46274"/>
    <cellStyle name="Normal 2 9 4 6 2 2" xfId="46275"/>
    <cellStyle name="Normal 2 9 4 6 2 2 2" xfId="46276"/>
    <cellStyle name="Normal 2 9 4 6 2 3" xfId="46277"/>
    <cellStyle name="Normal 2 9 4 6 3" xfId="46278"/>
    <cellStyle name="Normal 2 9 4 6 3 2" xfId="46279"/>
    <cellStyle name="Normal 2 9 4 6 4" xfId="46280"/>
    <cellStyle name="Normal 2 9 4 6 4 2" xfId="46281"/>
    <cellStyle name="Normal 2 9 4 6 5" xfId="46282"/>
    <cellStyle name="Normal 2 9 4 6 5 2" xfId="46283"/>
    <cellStyle name="Normal 2 9 4 6 6" xfId="46284"/>
    <cellStyle name="Normal 2 9 4 7" xfId="46285"/>
    <cellStyle name="Normal 2 9 4 7 2" xfId="46286"/>
    <cellStyle name="Normal 2 9 4 7 2 2" xfId="46287"/>
    <cellStyle name="Normal 2 9 4 7 2 2 2" xfId="46288"/>
    <cellStyle name="Normal 2 9 4 7 2 3" xfId="46289"/>
    <cellStyle name="Normal 2 9 4 7 3" xfId="46290"/>
    <cellStyle name="Normal 2 9 4 7 3 2" xfId="46291"/>
    <cellStyle name="Normal 2 9 4 7 4" xfId="46292"/>
    <cellStyle name="Normal 2 9 4 7 4 2" xfId="46293"/>
    <cellStyle name="Normal 2 9 4 7 5" xfId="46294"/>
    <cellStyle name="Normal 2 9 4 7 5 2" xfId="46295"/>
    <cellStyle name="Normal 2 9 4 7 6" xfId="46296"/>
    <cellStyle name="Normal 2 9 4 8" xfId="46297"/>
    <cellStyle name="Normal 2 9 4 8 2" xfId="46298"/>
    <cellStyle name="Normal 2 9 4 8 2 2" xfId="46299"/>
    <cellStyle name="Normal 2 9 4 8 3" xfId="46300"/>
    <cellStyle name="Normal 2 9 4 9" xfId="46301"/>
    <cellStyle name="Normal 2 9 4 9 2" xfId="46302"/>
    <cellStyle name="Normal 2 9 5" xfId="46303"/>
    <cellStyle name="Normal 2 9 5 10" xfId="46304"/>
    <cellStyle name="Normal 2 9 5 10 2" xfId="46305"/>
    <cellStyle name="Normal 2 9 5 11" xfId="46306"/>
    <cellStyle name="Normal 2 9 5 11 2" xfId="46307"/>
    <cellStyle name="Normal 2 9 5 12" xfId="46308"/>
    <cellStyle name="Normal 2 9 5 2" xfId="46309"/>
    <cellStyle name="Normal 2 9 5 2 2" xfId="46310"/>
    <cellStyle name="Normal 2 9 5 2 2 2" xfId="46311"/>
    <cellStyle name="Normal 2 9 5 2 2 2 2" xfId="46312"/>
    <cellStyle name="Normal 2 9 5 2 2 2 2 2" xfId="46313"/>
    <cellStyle name="Normal 2 9 5 2 2 2 2 2 2" xfId="46314"/>
    <cellStyle name="Normal 2 9 5 2 2 2 2 3" xfId="46315"/>
    <cellStyle name="Normal 2 9 5 2 2 2 3" xfId="46316"/>
    <cellStyle name="Normal 2 9 5 2 2 2 3 2" xfId="46317"/>
    <cellStyle name="Normal 2 9 5 2 2 2 4" xfId="46318"/>
    <cellStyle name="Normal 2 9 5 2 2 2 4 2" xfId="46319"/>
    <cellStyle name="Normal 2 9 5 2 2 2 5" xfId="46320"/>
    <cellStyle name="Normal 2 9 5 2 2 2 5 2" xfId="46321"/>
    <cellStyle name="Normal 2 9 5 2 2 2 6" xfId="46322"/>
    <cellStyle name="Normal 2 9 5 2 2 3" xfId="46323"/>
    <cellStyle name="Normal 2 9 5 2 2 3 2" xfId="46324"/>
    <cellStyle name="Normal 2 9 5 2 2 3 2 2" xfId="46325"/>
    <cellStyle name="Normal 2 9 5 2 2 3 3" xfId="46326"/>
    <cellStyle name="Normal 2 9 5 2 2 4" xfId="46327"/>
    <cellStyle name="Normal 2 9 5 2 2 4 2" xfId="46328"/>
    <cellStyle name="Normal 2 9 5 2 2 5" xfId="46329"/>
    <cellStyle name="Normal 2 9 5 2 2 5 2" xfId="46330"/>
    <cellStyle name="Normal 2 9 5 2 2 6" xfId="46331"/>
    <cellStyle name="Normal 2 9 5 2 2 6 2" xfId="46332"/>
    <cellStyle name="Normal 2 9 5 2 2 7" xfId="46333"/>
    <cellStyle name="Normal 2 9 5 2 3" xfId="46334"/>
    <cellStyle name="Normal 2 9 5 2 3 2" xfId="46335"/>
    <cellStyle name="Normal 2 9 5 2 3 2 2" xfId="46336"/>
    <cellStyle name="Normal 2 9 5 2 3 2 2 2" xfId="46337"/>
    <cellStyle name="Normal 2 9 5 2 3 2 3" xfId="46338"/>
    <cellStyle name="Normal 2 9 5 2 3 3" xfId="46339"/>
    <cellStyle name="Normal 2 9 5 2 3 3 2" xfId="46340"/>
    <cellStyle name="Normal 2 9 5 2 3 4" xfId="46341"/>
    <cellStyle name="Normal 2 9 5 2 3 4 2" xfId="46342"/>
    <cellStyle name="Normal 2 9 5 2 3 5" xfId="46343"/>
    <cellStyle name="Normal 2 9 5 2 3 5 2" xfId="46344"/>
    <cellStyle name="Normal 2 9 5 2 3 6" xfId="46345"/>
    <cellStyle name="Normal 2 9 5 2 4" xfId="46346"/>
    <cellStyle name="Normal 2 9 5 2 4 2" xfId="46347"/>
    <cellStyle name="Normal 2 9 5 2 4 2 2" xfId="46348"/>
    <cellStyle name="Normal 2 9 5 2 4 3" xfId="46349"/>
    <cellStyle name="Normal 2 9 5 2 5" xfId="46350"/>
    <cellStyle name="Normal 2 9 5 2 5 2" xfId="46351"/>
    <cellStyle name="Normal 2 9 5 2 6" xfId="46352"/>
    <cellStyle name="Normal 2 9 5 2 6 2" xfId="46353"/>
    <cellStyle name="Normal 2 9 5 2 7" xfId="46354"/>
    <cellStyle name="Normal 2 9 5 2 7 2" xfId="46355"/>
    <cellStyle name="Normal 2 9 5 2 8" xfId="46356"/>
    <cellStyle name="Normal 2 9 5 3" xfId="46357"/>
    <cellStyle name="Normal 2 9 5 3 2" xfId="46358"/>
    <cellStyle name="Normal 2 9 5 3 2 2" xfId="46359"/>
    <cellStyle name="Normal 2 9 5 3 2 2 2" xfId="46360"/>
    <cellStyle name="Normal 2 9 5 3 2 2 2 2" xfId="46361"/>
    <cellStyle name="Normal 2 9 5 3 2 2 2 2 2" xfId="46362"/>
    <cellStyle name="Normal 2 9 5 3 2 2 2 3" xfId="46363"/>
    <cellStyle name="Normal 2 9 5 3 2 2 3" xfId="46364"/>
    <cellStyle name="Normal 2 9 5 3 2 2 3 2" xfId="46365"/>
    <cellStyle name="Normal 2 9 5 3 2 2 4" xfId="46366"/>
    <cellStyle name="Normal 2 9 5 3 2 2 4 2" xfId="46367"/>
    <cellStyle name="Normal 2 9 5 3 2 2 5" xfId="46368"/>
    <cellStyle name="Normal 2 9 5 3 2 2 5 2" xfId="46369"/>
    <cellStyle name="Normal 2 9 5 3 2 2 6" xfId="46370"/>
    <cellStyle name="Normal 2 9 5 3 2 3" xfId="46371"/>
    <cellStyle name="Normal 2 9 5 3 2 3 2" xfId="46372"/>
    <cellStyle name="Normal 2 9 5 3 2 3 2 2" xfId="46373"/>
    <cellStyle name="Normal 2 9 5 3 2 3 3" xfId="46374"/>
    <cellStyle name="Normal 2 9 5 3 2 4" xfId="46375"/>
    <cellStyle name="Normal 2 9 5 3 2 4 2" xfId="46376"/>
    <cellStyle name="Normal 2 9 5 3 2 5" xfId="46377"/>
    <cellStyle name="Normal 2 9 5 3 2 5 2" xfId="46378"/>
    <cellStyle name="Normal 2 9 5 3 2 6" xfId="46379"/>
    <cellStyle name="Normal 2 9 5 3 2 6 2" xfId="46380"/>
    <cellStyle name="Normal 2 9 5 3 2 7" xfId="46381"/>
    <cellStyle name="Normal 2 9 5 3 3" xfId="46382"/>
    <cellStyle name="Normal 2 9 5 3 3 2" xfId="46383"/>
    <cellStyle name="Normal 2 9 5 3 3 2 2" xfId="46384"/>
    <cellStyle name="Normal 2 9 5 3 3 2 2 2" xfId="46385"/>
    <cellStyle name="Normal 2 9 5 3 3 2 3" xfId="46386"/>
    <cellStyle name="Normal 2 9 5 3 3 3" xfId="46387"/>
    <cellStyle name="Normal 2 9 5 3 3 3 2" xfId="46388"/>
    <cellStyle name="Normal 2 9 5 3 3 4" xfId="46389"/>
    <cellStyle name="Normal 2 9 5 3 3 4 2" xfId="46390"/>
    <cellStyle name="Normal 2 9 5 3 3 5" xfId="46391"/>
    <cellStyle name="Normal 2 9 5 3 3 5 2" xfId="46392"/>
    <cellStyle name="Normal 2 9 5 3 3 6" xfId="46393"/>
    <cellStyle name="Normal 2 9 5 3 4" xfId="46394"/>
    <cellStyle name="Normal 2 9 5 3 4 2" xfId="46395"/>
    <cellStyle name="Normal 2 9 5 3 4 2 2" xfId="46396"/>
    <cellStyle name="Normal 2 9 5 3 4 3" xfId="46397"/>
    <cellStyle name="Normal 2 9 5 3 5" xfId="46398"/>
    <cellStyle name="Normal 2 9 5 3 5 2" xfId="46399"/>
    <cellStyle name="Normal 2 9 5 3 6" xfId="46400"/>
    <cellStyle name="Normal 2 9 5 3 6 2" xfId="46401"/>
    <cellStyle name="Normal 2 9 5 3 7" xfId="46402"/>
    <cellStyle name="Normal 2 9 5 3 7 2" xfId="46403"/>
    <cellStyle name="Normal 2 9 5 3 8" xfId="46404"/>
    <cellStyle name="Normal 2 9 5 4" xfId="46405"/>
    <cellStyle name="Normal 2 9 5 4 2" xfId="46406"/>
    <cellStyle name="Normal 2 9 5 4 2 2" xfId="46407"/>
    <cellStyle name="Normal 2 9 5 4 2 2 2" xfId="46408"/>
    <cellStyle name="Normal 2 9 5 4 2 2 2 2" xfId="46409"/>
    <cellStyle name="Normal 2 9 5 4 2 2 3" xfId="46410"/>
    <cellStyle name="Normal 2 9 5 4 2 3" xfId="46411"/>
    <cellStyle name="Normal 2 9 5 4 2 3 2" xfId="46412"/>
    <cellStyle name="Normal 2 9 5 4 2 4" xfId="46413"/>
    <cellStyle name="Normal 2 9 5 4 2 4 2" xfId="46414"/>
    <cellStyle name="Normal 2 9 5 4 2 5" xfId="46415"/>
    <cellStyle name="Normal 2 9 5 4 2 5 2" xfId="46416"/>
    <cellStyle name="Normal 2 9 5 4 2 6" xfId="46417"/>
    <cellStyle name="Normal 2 9 5 4 3" xfId="46418"/>
    <cellStyle name="Normal 2 9 5 4 3 2" xfId="46419"/>
    <cellStyle name="Normal 2 9 5 4 3 2 2" xfId="46420"/>
    <cellStyle name="Normal 2 9 5 4 3 3" xfId="46421"/>
    <cellStyle name="Normal 2 9 5 4 4" xfId="46422"/>
    <cellStyle name="Normal 2 9 5 4 4 2" xfId="46423"/>
    <cellStyle name="Normal 2 9 5 4 5" xfId="46424"/>
    <cellStyle name="Normal 2 9 5 4 5 2" xfId="46425"/>
    <cellStyle name="Normal 2 9 5 4 6" xfId="46426"/>
    <cellStyle name="Normal 2 9 5 4 6 2" xfId="46427"/>
    <cellStyle name="Normal 2 9 5 4 7" xfId="46428"/>
    <cellStyle name="Normal 2 9 5 5" xfId="46429"/>
    <cellStyle name="Normal 2 9 5 5 2" xfId="46430"/>
    <cellStyle name="Normal 2 9 5 5 2 2" xfId="46431"/>
    <cellStyle name="Normal 2 9 5 5 2 2 2" xfId="46432"/>
    <cellStyle name="Normal 2 9 5 5 2 2 2 2" xfId="46433"/>
    <cellStyle name="Normal 2 9 5 5 2 2 3" xfId="46434"/>
    <cellStyle name="Normal 2 9 5 5 2 3" xfId="46435"/>
    <cellStyle name="Normal 2 9 5 5 2 3 2" xfId="46436"/>
    <cellStyle name="Normal 2 9 5 5 2 4" xfId="46437"/>
    <cellStyle name="Normal 2 9 5 5 2 4 2" xfId="46438"/>
    <cellStyle name="Normal 2 9 5 5 2 5" xfId="46439"/>
    <cellStyle name="Normal 2 9 5 5 2 5 2" xfId="46440"/>
    <cellStyle name="Normal 2 9 5 5 2 6" xfId="46441"/>
    <cellStyle name="Normal 2 9 5 5 3" xfId="46442"/>
    <cellStyle name="Normal 2 9 5 5 3 2" xfId="46443"/>
    <cellStyle name="Normal 2 9 5 5 3 2 2" xfId="46444"/>
    <cellStyle name="Normal 2 9 5 5 3 3" xfId="46445"/>
    <cellStyle name="Normal 2 9 5 5 4" xfId="46446"/>
    <cellStyle name="Normal 2 9 5 5 4 2" xfId="46447"/>
    <cellStyle name="Normal 2 9 5 5 5" xfId="46448"/>
    <cellStyle name="Normal 2 9 5 5 5 2" xfId="46449"/>
    <cellStyle name="Normal 2 9 5 5 6" xfId="46450"/>
    <cellStyle name="Normal 2 9 5 5 6 2" xfId="46451"/>
    <cellStyle name="Normal 2 9 5 5 7" xfId="46452"/>
    <cellStyle name="Normal 2 9 5 6" xfId="46453"/>
    <cellStyle name="Normal 2 9 5 6 2" xfId="46454"/>
    <cellStyle name="Normal 2 9 5 6 2 2" xfId="46455"/>
    <cellStyle name="Normal 2 9 5 6 2 2 2" xfId="46456"/>
    <cellStyle name="Normal 2 9 5 6 2 3" xfId="46457"/>
    <cellStyle name="Normal 2 9 5 6 3" xfId="46458"/>
    <cellStyle name="Normal 2 9 5 6 3 2" xfId="46459"/>
    <cellStyle name="Normal 2 9 5 6 4" xfId="46460"/>
    <cellStyle name="Normal 2 9 5 6 4 2" xfId="46461"/>
    <cellStyle name="Normal 2 9 5 6 5" xfId="46462"/>
    <cellStyle name="Normal 2 9 5 6 5 2" xfId="46463"/>
    <cellStyle name="Normal 2 9 5 6 6" xfId="46464"/>
    <cellStyle name="Normal 2 9 5 7" xfId="46465"/>
    <cellStyle name="Normal 2 9 5 7 2" xfId="46466"/>
    <cellStyle name="Normal 2 9 5 7 2 2" xfId="46467"/>
    <cellStyle name="Normal 2 9 5 7 2 2 2" xfId="46468"/>
    <cellStyle name="Normal 2 9 5 7 2 3" xfId="46469"/>
    <cellStyle name="Normal 2 9 5 7 3" xfId="46470"/>
    <cellStyle name="Normal 2 9 5 7 3 2" xfId="46471"/>
    <cellStyle name="Normal 2 9 5 7 4" xfId="46472"/>
    <cellStyle name="Normal 2 9 5 7 4 2" xfId="46473"/>
    <cellStyle name="Normal 2 9 5 7 5" xfId="46474"/>
    <cellStyle name="Normal 2 9 5 7 5 2" xfId="46475"/>
    <cellStyle name="Normal 2 9 5 7 6" xfId="46476"/>
    <cellStyle name="Normal 2 9 5 8" xfId="46477"/>
    <cellStyle name="Normal 2 9 5 8 2" xfId="46478"/>
    <cellStyle name="Normal 2 9 5 8 2 2" xfId="46479"/>
    <cellStyle name="Normal 2 9 5 8 3" xfId="46480"/>
    <cellStyle name="Normal 2 9 5 9" xfId="46481"/>
    <cellStyle name="Normal 2 9 5 9 2" xfId="46482"/>
    <cellStyle name="Normal 2 9 6" xfId="46483"/>
    <cellStyle name="Normal 2 9 6 2" xfId="46484"/>
    <cellStyle name="Normal 2 9 7" xfId="46485"/>
    <cellStyle name="Normal 2 9 7 2" xfId="46486"/>
    <cellStyle name="Normal 2 9 7 2 2" xfId="46487"/>
    <cellStyle name="Normal 2 9 7 2 2 2" xfId="46488"/>
    <cellStyle name="Normal 2 9 7 2 2 2 2" xfId="46489"/>
    <cellStyle name="Normal 2 9 7 2 2 2 2 2" xfId="46490"/>
    <cellStyle name="Normal 2 9 7 2 2 2 3" xfId="46491"/>
    <cellStyle name="Normal 2 9 7 2 2 3" xfId="46492"/>
    <cellStyle name="Normal 2 9 7 2 2 3 2" xfId="46493"/>
    <cellStyle name="Normal 2 9 7 2 2 4" xfId="46494"/>
    <cellStyle name="Normal 2 9 7 2 2 4 2" xfId="46495"/>
    <cellStyle name="Normal 2 9 7 2 2 5" xfId="46496"/>
    <cellStyle name="Normal 2 9 7 2 2 5 2" xfId="46497"/>
    <cellStyle name="Normal 2 9 7 2 2 6" xfId="46498"/>
    <cellStyle name="Normal 2 9 7 2 3" xfId="46499"/>
    <cellStyle name="Normal 2 9 7 2 3 2" xfId="46500"/>
    <cellStyle name="Normal 2 9 7 2 3 2 2" xfId="46501"/>
    <cellStyle name="Normal 2 9 7 2 3 3" xfId="46502"/>
    <cellStyle name="Normal 2 9 7 2 4" xfId="46503"/>
    <cellStyle name="Normal 2 9 7 2 4 2" xfId="46504"/>
    <cellStyle name="Normal 2 9 7 2 5" xfId="46505"/>
    <cellStyle name="Normal 2 9 7 2 5 2" xfId="46506"/>
    <cellStyle name="Normal 2 9 7 2 6" xfId="46507"/>
    <cellStyle name="Normal 2 9 7 2 6 2" xfId="46508"/>
    <cellStyle name="Normal 2 9 7 2 7" xfId="46509"/>
    <cellStyle name="Normal 2 9 7 3" xfId="46510"/>
    <cellStyle name="Normal 2 9 7 3 2" xfId="46511"/>
    <cellStyle name="Normal 2 9 7 3 2 2" xfId="46512"/>
    <cellStyle name="Normal 2 9 7 3 2 2 2" xfId="46513"/>
    <cellStyle name="Normal 2 9 7 3 2 3" xfId="46514"/>
    <cellStyle name="Normal 2 9 7 3 3" xfId="46515"/>
    <cellStyle name="Normal 2 9 7 3 3 2" xfId="46516"/>
    <cellStyle name="Normal 2 9 7 3 4" xfId="46517"/>
    <cellStyle name="Normal 2 9 7 3 4 2" xfId="46518"/>
    <cellStyle name="Normal 2 9 7 3 5" xfId="46519"/>
    <cellStyle name="Normal 2 9 7 3 5 2" xfId="46520"/>
    <cellStyle name="Normal 2 9 7 3 6" xfId="46521"/>
    <cellStyle name="Normal 2 9 7 4" xfId="46522"/>
    <cellStyle name="Normal 2 9 7 4 2" xfId="46523"/>
    <cellStyle name="Normal 2 9 7 4 2 2" xfId="46524"/>
    <cellStyle name="Normal 2 9 7 4 3" xfId="46525"/>
    <cellStyle name="Normal 2 9 7 5" xfId="46526"/>
    <cellStyle name="Normal 2 9 7 5 2" xfId="46527"/>
    <cellStyle name="Normal 2 9 7 6" xfId="46528"/>
    <cellStyle name="Normal 2 9 7 6 2" xfId="46529"/>
    <cellStyle name="Normal 2 9 7 7" xfId="46530"/>
    <cellStyle name="Normal 2 9 7 7 2" xfId="46531"/>
    <cellStyle name="Normal 2 9 7 8" xfId="46532"/>
    <cellStyle name="Normal 2 9 8" xfId="46533"/>
    <cellStyle name="Normal 2 9 8 2" xfId="46534"/>
    <cellStyle name="Normal 2 9 8 2 2" xfId="46535"/>
    <cellStyle name="Normal 2 9 8 2 2 2" xfId="46536"/>
    <cellStyle name="Normal 2 9 8 2 2 2 2" xfId="46537"/>
    <cellStyle name="Normal 2 9 8 2 2 3" xfId="46538"/>
    <cellStyle name="Normal 2 9 8 2 2 3 2" xfId="46539"/>
    <cellStyle name="Normal 2 9 8 2 2 3 2 2" xfId="46540"/>
    <cellStyle name="Normal 2 9 8 2 2 3 3" xfId="46541"/>
    <cellStyle name="Normal 2 9 8 2 2 3 3 2" xfId="46542"/>
    <cellStyle name="Normal 2 9 8 2 2 4" xfId="46543"/>
    <cellStyle name="Normal 2 9 8 2 2 5" xfId="46544"/>
    <cellStyle name="Normal 2 9 8 2 3" xfId="46545"/>
    <cellStyle name="Normal 2 9 8 2 3 2" xfId="46546"/>
    <cellStyle name="Normal 2 9 8 2 3 2 2" xfId="46547"/>
    <cellStyle name="Normal 2 9 8 2 4" xfId="46548"/>
    <cellStyle name="Normal 2 9 8 2 5" xfId="46549"/>
    <cellStyle name="Normal 2 9 8 2 6" xfId="46550"/>
    <cellStyle name="Normal 2 9 8 3" xfId="46551"/>
    <cellStyle name="Normal 2 9 8 3 2" xfId="46552"/>
    <cellStyle name="Normal 2 9 8 3 2 2" xfId="46553"/>
    <cellStyle name="Normal 2 9 8 3 2 2 2" xfId="46554"/>
    <cellStyle name="Normal 2 9 8 3 2 3" xfId="46555"/>
    <cellStyle name="Normal 2 9 8 3 3" xfId="46556"/>
    <cellStyle name="Normal 2 9 8 3 3 2" xfId="46557"/>
    <cellStyle name="Normal 2 9 8 3 4" xfId="46558"/>
    <cellStyle name="Normal 2 9 8 3 4 2" xfId="46559"/>
    <cellStyle name="Normal 2 9 8 3 5" xfId="46560"/>
    <cellStyle name="Normal 2 9 8 3 5 2" xfId="46561"/>
    <cellStyle name="Normal 2 9 8 3 6" xfId="46562"/>
    <cellStyle name="Normal 2 9 8 4" xfId="46563"/>
    <cellStyle name="Normal 2 9 8 4 2" xfId="46564"/>
    <cellStyle name="Normal 2 9 8 4 2 2" xfId="46565"/>
    <cellStyle name="Normal 2 9 8 4 3" xfId="46566"/>
    <cellStyle name="Normal 2 9 8 5" xfId="46567"/>
    <cellStyle name="Normal 2 9 8 5 2" xfId="46568"/>
    <cellStyle name="Normal 2 9 8 6" xfId="46569"/>
    <cellStyle name="Normal 2 9 8 6 2" xfId="46570"/>
    <cellStyle name="Normal 2 9 8 7" xfId="46571"/>
    <cellStyle name="Normal 2 9 8 7 2" xfId="46572"/>
    <cellStyle name="Normal 2 9 8 8" xfId="46573"/>
    <cellStyle name="Normal 2 9 9" xfId="46574"/>
    <cellStyle name="Normal 2 9 9 2" xfId="46575"/>
    <cellStyle name="Normal 2 9 9 2 2" xfId="46576"/>
    <cellStyle name="Normal 2 9 9 2 2 2" xfId="46577"/>
    <cellStyle name="Normal 2 9 9 2 2 2 2" xfId="46578"/>
    <cellStyle name="Normal 2 9 9 2 2 3" xfId="46579"/>
    <cellStyle name="Normal 2 9 9 2 3" xfId="46580"/>
    <cellStyle name="Normal 2 9 9 2 3 2" xfId="46581"/>
    <cellStyle name="Normal 2 9 9 2 4" xfId="46582"/>
    <cellStyle name="Normal 2 9 9 3" xfId="46583"/>
    <cellStyle name="Normal 2 9 9 3 2" xfId="46584"/>
    <cellStyle name="Normal 2 9 9 3 2 2" xfId="46585"/>
    <cellStyle name="Normal 2 9 9 3 3" xfId="46586"/>
    <cellStyle name="Normal 2 9 9 3 4" xfId="46587"/>
    <cellStyle name="Normal 2 9 9 3 4 2" xfId="46588"/>
    <cellStyle name="Normal 2 9 9 4" xfId="46589"/>
    <cellStyle name="Normal 2 9 9 4 2" xfId="46590"/>
    <cellStyle name="Normal 2 9 9 5" xfId="46591"/>
    <cellStyle name="Normal 2 9 9 6" xfId="46592"/>
    <cellStyle name="Normal 2 9 9 6 2" xfId="46593"/>
    <cellStyle name="Normal 2_0112-LINC GROUP CONSOL" xfId="57836"/>
    <cellStyle name="Normal 20" xfId="46594"/>
    <cellStyle name="Normal 20 10" xfId="46595"/>
    <cellStyle name="Normal 20 10 2" xfId="46596"/>
    <cellStyle name="Normal 20 11" xfId="46597"/>
    <cellStyle name="Normal 20 11 2" xfId="46598"/>
    <cellStyle name="Normal 20 12" xfId="46599"/>
    <cellStyle name="Normal 20 12 2" xfId="46600"/>
    <cellStyle name="Normal 20 13" xfId="46601"/>
    <cellStyle name="Normal 20 14" xfId="46602"/>
    <cellStyle name="Normal 20 15" xfId="46603"/>
    <cellStyle name="Normal 20 16" xfId="46604"/>
    <cellStyle name="Normal 20 17" xfId="46605"/>
    <cellStyle name="Normal 20 18" xfId="46606"/>
    <cellStyle name="Normal 20 19" xfId="46607"/>
    <cellStyle name="Normal 20 2" xfId="46608"/>
    <cellStyle name="Normal 20 2 2" xfId="46609"/>
    <cellStyle name="Normal 20 2 2 2" xfId="46610"/>
    <cellStyle name="Normal 20 2 2 2 2" xfId="46611"/>
    <cellStyle name="Normal 20 2 2 2 2 2" xfId="46612"/>
    <cellStyle name="Normal 20 2 2 2 2 2 2" xfId="46613"/>
    <cellStyle name="Normal 20 2 2 2 2 3" xfId="46614"/>
    <cellStyle name="Normal 20 2 2 2 3" xfId="46615"/>
    <cellStyle name="Normal 20 2 2 2 3 2" xfId="46616"/>
    <cellStyle name="Normal 20 2 2 2 4" xfId="46617"/>
    <cellStyle name="Normal 20 2 2 2 4 2" xfId="46618"/>
    <cellStyle name="Normal 20 2 2 2 5" xfId="46619"/>
    <cellStyle name="Normal 20 2 2 2 5 2" xfId="46620"/>
    <cellStyle name="Normal 20 2 2 2 6" xfId="46621"/>
    <cellStyle name="Normal 20 2 2 3" xfId="46622"/>
    <cellStyle name="Normal 20 2 2 3 2" xfId="46623"/>
    <cellStyle name="Normal 20 2 2 3 2 2" xfId="46624"/>
    <cellStyle name="Normal 20 2 2 3 3" xfId="46625"/>
    <cellStyle name="Normal 20 2 2 4" xfId="46626"/>
    <cellStyle name="Normal 20 2 2 4 2" xfId="46627"/>
    <cellStyle name="Normal 20 2 2 5" xfId="46628"/>
    <cellStyle name="Normal 20 2 2 5 2" xfId="46629"/>
    <cellStyle name="Normal 20 2 2 6" xfId="46630"/>
    <cellStyle name="Normal 20 2 2 6 2" xfId="46631"/>
    <cellStyle name="Normal 20 2 2 7" xfId="46632"/>
    <cellStyle name="Normal 20 2 3" xfId="46633"/>
    <cellStyle name="Normal 20 2 3 2" xfId="46634"/>
    <cellStyle name="Normal 20 2 3 2 2" xfId="46635"/>
    <cellStyle name="Normal 20 2 3 2 2 2" xfId="46636"/>
    <cellStyle name="Normal 20 2 3 2 3" xfId="46637"/>
    <cellStyle name="Normal 20 2 3 3" xfId="46638"/>
    <cellStyle name="Normal 20 2 3 3 2" xfId="46639"/>
    <cellStyle name="Normal 20 2 3 4" xfId="46640"/>
    <cellStyle name="Normal 20 2 3 4 2" xfId="46641"/>
    <cellStyle name="Normal 20 2 3 5" xfId="46642"/>
    <cellStyle name="Normal 20 2 3 5 2" xfId="46643"/>
    <cellStyle name="Normal 20 2 3 6" xfId="46644"/>
    <cellStyle name="Normal 20 2 4" xfId="46645"/>
    <cellStyle name="Normal 20 2 4 2" xfId="46646"/>
    <cellStyle name="Normal 20 2 4 2 2" xfId="46647"/>
    <cellStyle name="Normal 20 2 4 3" xfId="46648"/>
    <cellStyle name="Normal 20 2 5" xfId="46649"/>
    <cellStyle name="Normal 20 2 5 2" xfId="46650"/>
    <cellStyle name="Normal 20 2 6" xfId="46651"/>
    <cellStyle name="Normal 20 2 6 2" xfId="46652"/>
    <cellStyle name="Normal 20 2 7" xfId="46653"/>
    <cellStyle name="Normal 20 2 7 2" xfId="46654"/>
    <cellStyle name="Normal 20 2 8" xfId="46655"/>
    <cellStyle name="Normal 20 20" xfId="46656"/>
    <cellStyle name="Normal 20 21" xfId="46657"/>
    <cellStyle name="Normal 20 22" xfId="46658"/>
    <cellStyle name="Normal 20 23" xfId="46659"/>
    <cellStyle name="Normal 20 24" xfId="46660"/>
    <cellStyle name="Normal 20 25" xfId="46661"/>
    <cellStyle name="Normal 20 26" xfId="46662"/>
    <cellStyle name="Normal 20 27" xfId="46663"/>
    <cellStyle name="Normal 20 28" xfId="46664"/>
    <cellStyle name="Normal 20 29" xfId="46665"/>
    <cellStyle name="Normal 20 3" xfId="46666"/>
    <cellStyle name="Normal 20 3 2" xfId="46667"/>
    <cellStyle name="Normal 20 3 2 2" xfId="46668"/>
    <cellStyle name="Normal 20 3 2 2 2" xfId="46669"/>
    <cellStyle name="Normal 20 3 2 2 2 2" xfId="46670"/>
    <cellStyle name="Normal 20 3 2 2 2 2 2" xfId="46671"/>
    <cellStyle name="Normal 20 3 2 2 2 3" xfId="46672"/>
    <cellStyle name="Normal 20 3 2 2 3" xfId="46673"/>
    <cellStyle name="Normal 20 3 2 2 3 2" xfId="46674"/>
    <cellStyle name="Normal 20 3 2 2 4" xfId="46675"/>
    <cellStyle name="Normal 20 3 2 2 4 2" xfId="46676"/>
    <cellStyle name="Normal 20 3 2 2 5" xfId="46677"/>
    <cellStyle name="Normal 20 3 2 2 5 2" xfId="46678"/>
    <cellStyle name="Normal 20 3 2 2 6" xfId="46679"/>
    <cellStyle name="Normal 20 3 2 3" xfId="46680"/>
    <cellStyle name="Normal 20 3 2 3 2" xfId="46681"/>
    <cellStyle name="Normal 20 3 2 3 2 2" xfId="46682"/>
    <cellStyle name="Normal 20 3 2 3 3" xfId="46683"/>
    <cellStyle name="Normal 20 3 2 4" xfId="46684"/>
    <cellStyle name="Normal 20 3 2 4 2" xfId="46685"/>
    <cellStyle name="Normal 20 3 2 5" xfId="46686"/>
    <cellStyle name="Normal 20 3 2 5 2" xfId="46687"/>
    <cellStyle name="Normal 20 3 2 6" xfId="46688"/>
    <cellStyle name="Normal 20 3 2 6 2" xfId="46689"/>
    <cellStyle name="Normal 20 3 2 7" xfId="46690"/>
    <cellStyle name="Normal 20 3 3" xfId="46691"/>
    <cellStyle name="Normal 20 3 3 2" xfId="46692"/>
    <cellStyle name="Normal 20 3 3 2 2" xfId="46693"/>
    <cellStyle name="Normal 20 3 3 2 2 2" xfId="46694"/>
    <cellStyle name="Normal 20 3 3 2 3" xfId="46695"/>
    <cellStyle name="Normal 20 3 3 3" xfId="46696"/>
    <cellStyle name="Normal 20 3 3 3 2" xfId="46697"/>
    <cellStyle name="Normal 20 3 3 4" xfId="46698"/>
    <cellStyle name="Normal 20 3 3 4 2" xfId="46699"/>
    <cellStyle name="Normal 20 3 3 5" xfId="46700"/>
    <cellStyle name="Normal 20 3 3 5 2" xfId="46701"/>
    <cellStyle name="Normal 20 3 3 6" xfId="46702"/>
    <cellStyle name="Normal 20 3 4" xfId="46703"/>
    <cellStyle name="Normal 20 3 4 2" xfId="46704"/>
    <cellStyle name="Normal 20 3 4 2 2" xfId="46705"/>
    <cellStyle name="Normal 20 3 4 3" xfId="46706"/>
    <cellStyle name="Normal 20 3 5" xfId="46707"/>
    <cellStyle name="Normal 20 3 5 2" xfId="46708"/>
    <cellStyle name="Normal 20 3 6" xfId="46709"/>
    <cellStyle name="Normal 20 3 6 2" xfId="46710"/>
    <cellStyle name="Normal 20 3 7" xfId="46711"/>
    <cellStyle name="Normal 20 3 7 2" xfId="46712"/>
    <cellStyle name="Normal 20 3 8" xfId="46713"/>
    <cellStyle name="Normal 20 30" xfId="46714"/>
    <cellStyle name="Normal 20 31" xfId="46715"/>
    <cellStyle name="Normal 20 32" xfId="46716"/>
    <cellStyle name="Normal 20 33" xfId="46717"/>
    <cellStyle name="Normal 20 34" xfId="46718"/>
    <cellStyle name="Normal 20 35" xfId="46719"/>
    <cellStyle name="Normal 20 36" xfId="46720"/>
    <cellStyle name="Normal 20 37" xfId="46721"/>
    <cellStyle name="Normal 20 38" xfId="46722"/>
    <cellStyle name="Normal 20 39" xfId="46723"/>
    <cellStyle name="Normal 20 4" xfId="46724"/>
    <cellStyle name="Normal 20 4 2" xfId="46725"/>
    <cellStyle name="Normal 20 4 2 2" xfId="46726"/>
    <cellStyle name="Normal 20 4 2 2 2" xfId="46727"/>
    <cellStyle name="Normal 20 4 2 2 2 2" xfId="46728"/>
    <cellStyle name="Normal 20 4 2 2 3" xfId="46729"/>
    <cellStyle name="Normal 20 4 2 3" xfId="46730"/>
    <cellStyle name="Normal 20 4 2 3 2" xfId="46731"/>
    <cellStyle name="Normal 20 4 2 4" xfId="46732"/>
    <cellStyle name="Normal 20 4 2 4 2" xfId="46733"/>
    <cellStyle name="Normal 20 4 2 5" xfId="46734"/>
    <cellStyle name="Normal 20 4 2 5 2" xfId="46735"/>
    <cellStyle name="Normal 20 4 2 6" xfId="46736"/>
    <cellStyle name="Normal 20 4 3" xfId="46737"/>
    <cellStyle name="Normal 20 4 3 2" xfId="46738"/>
    <cellStyle name="Normal 20 4 3 2 2" xfId="46739"/>
    <cellStyle name="Normal 20 4 3 3" xfId="46740"/>
    <cellStyle name="Normal 20 4 4" xfId="46741"/>
    <cellStyle name="Normal 20 4 4 2" xfId="46742"/>
    <cellStyle name="Normal 20 4 5" xfId="46743"/>
    <cellStyle name="Normal 20 4 5 2" xfId="46744"/>
    <cellStyle name="Normal 20 4 6" xfId="46745"/>
    <cellStyle name="Normal 20 4 6 2" xfId="46746"/>
    <cellStyle name="Normal 20 4 7" xfId="46747"/>
    <cellStyle name="Normal 20 40" xfId="46748"/>
    <cellStyle name="Normal 20 41" xfId="46749"/>
    <cellStyle name="Normal 20 42" xfId="46750"/>
    <cellStyle name="Normal 20 43" xfId="46751"/>
    <cellStyle name="Normal 20 44" xfId="46752"/>
    <cellStyle name="Normal 20 45" xfId="46753"/>
    <cellStyle name="Normal 20 46" xfId="46754"/>
    <cellStyle name="Normal 20 47" xfId="46755"/>
    <cellStyle name="Normal 20 48" xfId="46756"/>
    <cellStyle name="Normal 20 49" xfId="46757"/>
    <cellStyle name="Normal 20 5" xfId="46758"/>
    <cellStyle name="Normal 20 5 2" xfId="46759"/>
    <cellStyle name="Normal 20 5 2 2" xfId="46760"/>
    <cellStyle name="Normal 20 5 2 2 2" xfId="46761"/>
    <cellStyle name="Normal 20 5 2 2 2 2" xfId="46762"/>
    <cellStyle name="Normal 20 5 2 2 3" xfId="46763"/>
    <cellStyle name="Normal 20 5 2 3" xfId="46764"/>
    <cellStyle name="Normal 20 5 2 3 2" xfId="46765"/>
    <cellStyle name="Normal 20 5 2 4" xfId="46766"/>
    <cellStyle name="Normal 20 5 2 4 2" xfId="46767"/>
    <cellStyle name="Normal 20 5 2 5" xfId="46768"/>
    <cellStyle name="Normal 20 5 2 5 2" xfId="46769"/>
    <cellStyle name="Normal 20 5 2 6" xfId="46770"/>
    <cellStyle name="Normal 20 5 3" xfId="46771"/>
    <cellStyle name="Normal 20 5 3 2" xfId="46772"/>
    <cellStyle name="Normal 20 5 3 2 2" xfId="46773"/>
    <cellStyle name="Normal 20 5 3 3" xfId="46774"/>
    <cellStyle name="Normal 20 5 4" xfId="46775"/>
    <cellStyle name="Normal 20 5 4 2" xfId="46776"/>
    <cellStyle name="Normal 20 5 5" xfId="46777"/>
    <cellStyle name="Normal 20 5 5 2" xfId="46778"/>
    <cellStyle name="Normal 20 5 6" xfId="46779"/>
    <cellStyle name="Normal 20 5 6 2" xfId="46780"/>
    <cellStyle name="Normal 20 5 7" xfId="46781"/>
    <cellStyle name="Normal 20 50" xfId="46782"/>
    <cellStyle name="Normal 20 51" xfId="46783"/>
    <cellStyle name="Normal 20 52" xfId="46784"/>
    <cellStyle name="Normal 20 53" xfId="46785"/>
    <cellStyle name="Normal 20 54" xfId="46786"/>
    <cellStyle name="Normal 20 55" xfId="46787"/>
    <cellStyle name="Normal 20 56" xfId="46788"/>
    <cellStyle name="Normal 20 57" xfId="46789"/>
    <cellStyle name="Normal 20 58" xfId="46790"/>
    <cellStyle name="Normal 20 59" xfId="46791"/>
    <cellStyle name="Normal 20 6" xfId="46792"/>
    <cellStyle name="Normal 20 6 2" xfId="46793"/>
    <cellStyle name="Normal 20 6 2 2" xfId="46794"/>
    <cellStyle name="Normal 20 6 2 2 2" xfId="46795"/>
    <cellStyle name="Normal 20 6 2 3" xfId="46796"/>
    <cellStyle name="Normal 20 6 3" xfId="46797"/>
    <cellStyle name="Normal 20 6 3 2" xfId="46798"/>
    <cellStyle name="Normal 20 6 4" xfId="46799"/>
    <cellStyle name="Normal 20 6 4 2" xfId="46800"/>
    <cellStyle name="Normal 20 6 5" xfId="46801"/>
    <cellStyle name="Normal 20 6 5 2" xfId="46802"/>
    <cellStyle name="Normal 20 6 6" xfId="46803"/>
    <cellStyle name="Normal 20 60" xfId="46804"/>
    <cellStyle name="Normal 20 61" xfId="46805"/>
    <cellStyle name="Normal 20 62" xfId="46806"/>
    <cellStyle name="Normal 20 63" xfId="46807"/>
    <cellStyle name="Normal 20 64" xfId="46808"/>
    <cellStyle name="Normal 20 65" xfId="46809"/>
    <cellStyle name="Normal 20 7" xfId="46810"/>
    <cellStyle name="Normal 20 7 2" xfId="46811"/>
    <cellStyle name="Normal 20 7 2 2" xfId="46812"/>
    <cellStyle name="Normal 20 7 2 2 2" xfId="46813"/>
    <cellStyle name="Normal 20 7 2 3" xfId="46814"/>
    <cellStyle name="Normal 20 7 3" xfId="46815"/>
    <cellStyle name="Normal 20 7 3 2" xfId="46816"/>
    <cellStyle name="Normal 20 7 4" xfId="46817"/>
    <cellStyle name="Normal 20 7 4 2" xfId="46818"/>
    <cellStyle name="Normal 20 7 5" xfId="46819"/>
    <cellStyle name="Normal 20 7 5 2" xfId="46820"/>
    <cellStyle name="Normal 20 7 6" xfId="46821"/>
    <cellStyle name="Normal 20 8" xfId="46822"/>
    <cellStyle name="Normal 20 8 2" xfId="46823"/>
    <cellStyle name="Normal 20 8 2 2" xfId="46824"/>
    <cellStyle name="Normal 20 8 2 2 2" xfId="46825"/>
    <cellStyle name="Normal 20 8 2 3" xfId="46826"/>
    <cellStyle name="Normal 20 8 3" xfId="46827"/>
    <cellStyle name="Normal 20 8 3 2" xfId="46828"/>
    <cellStyle name="Normal 20 8 4" xfId="46829"/>
    <cellStyle name="Normal 20 8 4 2" xfId="46830"/>
    <cellStyle name="Normal 20 8 5" xfId="46831"/>
    <cellStyle name="Normal 20 8 5 2" xfId="46832"/>
    <cellStyle name="Normal 20 8 6" xfId="46833"/>
    <cellStyle name="Normal 20 9" xfId="46834"/>
    <cellStyle name="Normal 20 9 2" xfId="46835"/>
    <cellStyle name="Normal 20 9 2 2" xfId="46836"/>
    <cellStyle name="Normal 20 9 3" xfId="46837"/>
    <cellStyle name="Normal 20_Perhtgn By Tlp" xfId="46838"/>
    <cellStyle name="Normal 200" xfId="46839"/>
    <cellStyle name="Normal 201" xfId="46840"/>
    <cellStyle name="Normal 202" xfId="46841"/>
    <cellStyle name="Normal 202 2" xfId="46842"/>
    <cellStyle name="Normal 203" xfId="46843"/>
    <cellStyle name="Normal 204" xfId="46844"/>
    <cellStyle name="Normal 205" xfId="46845"/>
    <cellStyle name="Normal 205 2" xfId="46846"/>
    <cellStyle name="Normal 206" xfId="46847"/>
    <cellStyle name="Normal 207" xfId="46848"/>
    <cellStyle name="Normal 207 2" xfId="46849"/>
    <cellStyle name="Normal 208" xfId="46850"/>
    <cellStyle name="Normal 209" xfId="46851"/>
    <cellStyle name="Normal 21" xfId="46852"/>
    <cellStyle name="Normal 21 10" xfId="46853"/>
    <cellStyle name="Normal 21 10 2" xfId="46854"/>
    <cellStyle name="Normal 21 11" xfId="46855"/>
    <cellStyle name="Normal 21 11 2" xfId="46856"/>
    <cellStyle name="Normal 21 12" xfId="46857"/>
    <cellStyle name="Normal 21 12 2" xfId="46858"/>
    <cellStyle name="Normal 21 13" xfId="46859"/>
    <cellStyle name="Normal 21 14" xfId="57837"/>
    <cellStyle name="Normal 21 2" xfId="46860"/>
    <cellStyle name="Normal 21 2 2" xfId="46861"/>
    <cellStyle name="Normal 21 2 2 2" xfId="46862"/>
    <cellStyle name="Normal 21 2 2 2 2" xfId="46863"/>
    <cellStyle name="Normal 21 2 2 2 2 2" xfId="46864"/>
    <cellStyle name="Normal 21 2 2 2 2 2 2" xfId="46865"/>
    <cellStyle name="Normal 21 2 2 2 2 3" xfId="46866"/>
    <cellStyle name="Normal 21 2 2 2 3" xfId="46867"/>
    <cellStyle name="Normal 21 2 2 2 3 2" xfId="46868"/>
    <cellStyle name="Normal 21 2 2 2 4" xfId="46869"/>
    <cellStyle name="Normal 21 2 2 2 4 2" xfId="46870"/>
    <cellStyle name="Normal 21 2 2 2 5" xfId="46871"/>
    <cellStyle name="Normal 21 2 2 2 5 2" xfId="46872"/>
    <cellStyle name="Normal 21 2 2 2 6" xfId="46873"/>
    <cellStyle name="Normal 21 2 2 3" xfId="46874"/>
    <cellStyle name="Normal 21 2 2 3 2" xfId="46875"/>
    <cellStyle name="Normal 21 2 2 3 2 2" xfId="46876"/>
    <cellStyle name="Normal 21 2 2 3 3" xfId="46877"/>
    <cellStyle name="Normal 21 2 2 4" xfId="46878"/>
    <cellStyle name="Normal 21 2 2 4 2" xfId="46879"/>
    <cellStyle name="Normal 21 2 2 5" xfId="46880"/>
    <cellStyle name="Normal 21 2 2 5 2" xfId="46881"/>
    <cellStyle name="Normal 21 2 2 6" xfId="46882"/>
    <cellStyle name="Normal 21 2 2 6 2" xfId="46883"/>
    <cellStyle name="Normal 21 2 2 7" xfId="46884"/>
    <cellStyle name="Normal 21 2 3" xfId="46885"/>
    <cellStyle name="Normal 21 2 3 2" xfId="46886"/>
    <cellStyle name="Normal 21 2 3 2 2" xfId="46887"/>
    <cellStyle name="Normal 21 2 3 2 2 2" xfId="46888"/>
    <cellStyle name="Normal 21 2 3 2 3" xfId="46889"/>
    <cellStyle name="Normal 21 2 3 3" xfId="46890"/>
    <cellStyle name="Normal 21 2 3 3 2" xfId="46891"/>
    <cellStyle name="Normal 21 2 3 4" xfId="46892"/>
    <cellStyle name="Normal 21 2 3 4 2" xfId="46893"/>
    <cellStyle name="Normal 21 2 3 5" xfId="46894"/>
    <cellStyle name="Normal 21 2 3 5 2" xfId="46895"/>
    <cellStyle name="Normal 21 2 3 6" xfId="46896"/>
    <cellStyle name="Normal 21 2 4" xfId="46897"/>
    <cellStyle name="Normal 21 2 4 2" xfId="46898"/>
    <cellStyle name="Normal 21 2 4 2 2" xfId="46899"/>
    <cellStyle name="Normal 21 2 4 3" xfId="46900"/>
    <cellStyle name="Normal 21 2 5" xfId="46901"/>
    <cellStyle name="Normal 21 2 5 2" xfId="46902"/>
    <cellStyle name="Normal 21 2 6" xfId="46903"/>
    <cellStyle name="Normal 21 2 6 2" xfId="46904"/>
    <cellStyle name="Normal 21 2 7" xfId="46905"/>
    <cellStyle name="Normal 21 2 7 2" xfId="46906"/>
    <cellStyle name="Normal 21 2 8" xfId="46907"/>
    <cellStyle name="Normal 21 3" xfId="46908"/>
    <cellStyle name="Normal 21 3 2" xfId="46909"/>
    <cellStyle name="Normal 21 3 2 2" xfId="46910"/>
    <cellStyle name="Normal 21 3 2 2 2" xfId="46911"/>
    <cellStyle name="Normal 21 3 2 2 2 2" xfId="46912"/>
    <cellStyle name="Normal 21 3 2 2 2 2 2" xfId="46913"/>
    <cellStyle name="Normal 21 3 2 2 2 3" xfId="46914"/>
    <cellStyle name="Normal 21 3 2 2 3" xfId="46915"/>
    <cellStyle name="Normal 21 3 2 2 3 2" xfId="46916"/>
    <cellStyle name="Normal 21 3 2 2 4" xfId="46917"/>
    <cellStyle name="Normal 21 3 2 2 4 2" xfId="46918"/>
    <cellStyle name="Normal 21 3 2 2 5" xfId="46919"/>
    <cellStyle name="Normal 21 3 2 2 5 2" xfId="46920"/>
    <cellStyle name="Normal 21 3 2 2 6" xfId="46921"/>
    <cellStyle name="Normal 21 3 2 3" xfId="46922"/>
    <cellStyle name="Normal 21 3 2 3 2" xfId="46923"/>
    <cellStyle name="Normal 21 3 2 3 2 2" xfId="46924"/>
    <cellStyle name="Normal 21 3 2 3 3" xfId="46925"/>
    <cellStyle name="Normal 21 3 2 4" xfId="46926"/>
    <cellStyle name="Normal 21 3 2 4 2" xfId="46927"/>
    <cellStyle name="Normal 21 3 2 5" xfId="46928"/>
    <cellStyle name="Normal 21 3 2 5 2" xfId="46929"/>
    <cellStyle name="Normal 21 3 2 6" xfId="46930"/>
    <cellStyle name="Normal 21 3 2 6 2" xfId="46931"/>
    <cellStyle name="Normal 21 3 2 7" xfId="46932"/>
    <cellStyle name="Normal 21 3 3" xfId="46933"/>
    <cellStyle name="Normal 21 3 3 2" xfId="46934"/>
    <cellStyle name="Normal 21 3 3 2 2" xfId="46935"/>
    <cellStyle name="Normal 21 3 3 2 2 2" xfId="46936"/>
    <cellStyle name="Normal 21 3 3 2 3" xfId="46937"/>
    <cellStyle name="Normal 21 3 3 3" xfId="46938"/>
    <cellStyle name="Normal 21 3 3 3 2" xfId="46939"/>
    <cellStyle name="Normal 21 3 3 4" xfId="46940"/>
    <cellStyle name="Normal 21 3 3 4 2" xfId="46941"/>
    <cellStyle name="Normal 21 3 3 5" xfId="46942"/>
    <cellStyle name="Normal 21 3 3 5 2" xfId="46943"/>
    <cellStyle name="Normal 21 3 3 6" xfId="46944"/>
    <cellStyle name="Normal 21 3 4" xfId="46945"/>
    <cellStyle name="Normal 21 3 4 2" xfId="46946"/>
    <cellStyle name="Normal 21 3 4 2 2" xfId="46947"/>
    <cellStyle name="Normal 21 3 4 3" xfId="46948"/>
    <cellStyle name="Normal 21 3 5" xfId="46949"/>
    <cellStyle name="Normal 21 3 5 2" xfId="46950"/>
    <cellStyle name="Normal 21 3 6" xfId="46951"/>
    <cellStyle name="Normal 21 3 6 2" xfId="46952"/>
    <cellStyle name="Normal 21 3 7" xfId="46953"/>
    <cellStyle name="Normal 21 3 7 2" xfId="46954"/>
    <cellStyle name="Normal 21 3 8" xfId="46955"/>
    <cellStyle name="Normal 21 4" xfId="46956"/>
    <cellStyle name="Normal 21 4 2" xfId="46957"/>
    <cellStyle name="Normal 21 4 2 2" xfId="46958"/>
    <cellStyle name="Normal 21 4 2 2 2" xfId="46959"/>
    <cellStyle name="Normal 21 4 2 2 2 2" xfId="46960"/>
    <cellStyle name="Normal 21 4 2 2 3" xfId="46961"/>
    <cellStyle name="Normal 21 4 2 3" xfId="46962"/>
    <cellStyle name="Normal 21 4 2 3 2" xfId="46963"/>
    <cellStyle name="Normal 21 4 2 4" xfId="46964"/>
    <cellStyle name="Normal 21 4 2 4 2" xfId="46965"/>
    <cellStyle name="Normal 21 4 2 5" xfId="46966"/>
    <cellStyle name="Normal 21 4 2 5 2" xfId="46967"/>
    <cellStyle name="Normal 21 4 2 6" xfId="46968"/>
    <cellStyle name="Normal 21 4 3" xfId="46969"/>
    <cellStyle name="Normal 21 4 3 2" xfId="46970"/>
    <cellStyle name="Normal 21 4 3 2 2" xfId="46971"/>
    <cellStyle name="Normal 21 4 3 3" xfId="46972"/>
    <cellStyle name="Normal 21 4 4" xfId="46973"/>
    <cellStyle name="Normal 21 4 4 2" xfId="46974"/>
    <cellStyle name="Normal 21 4 5" xfId="46975"/>
    <cellStyle name="Normal 21 4 5 2" xfId="46976"/>
    <cellStyle name="Normal 21 4 6" xfId="46977"/>
    <cellStyle name="Normal 21 4 6 2" xfId="46978"/>
    <cellStyle name="Normal 21 4 7" xfId="46979"/>
    <cellStyle name="Normal 21 5" xfId="46980"/>
    <cellStyle name="Normal 21 5 2" xfId="46981"/>
    <cellStyle name="Normal 21 5 2 2" xfId="46982"/>
    <cellStyle name="Normal 21 5 2 2 2" xfId="46983"/>
    <cellStyle name="Normal 21 5 2 2 2 2" xfId="46984"/>
    <cellStyle name="Normal 21 5 2 2 3" xfId="46985"/>
    <cellStyle name="Normal 21 5 2 3" xfId="46986"/>
    <cellStyle name="Normal 21 5 2 3 2" xfId="46987"/>
    <cellStyle name="Normal 21 5 2 4" xfId="46988"/>
    <cellStyle name="Normal 21 5 2 4 2" xfId="46989"/>
    <cellStyle name="Normal 21 5 2 5" xfId="46990"/>
    <cellStyle name="Normal 21 5 2 5 2" xfId="46991"/>
    <cellStyle name="Normal 21 5 2 6" xfId="46992"/>
    <cellStyle name="Normal 21 5 3" xfId="46993"/>
    <cellStyle name="Normal 21 5 3 2" xfId="46994"/>
    <cellStyle name="Normal 21 5 3 2 2" xfId="46995"/>
    <cellStyle name="Normal 21 5 3 3" xfId="46996"/>
    <cellStyle name="Normal 21 5 4" xfId="46997"/>
    <cellStyle name="Normal 21 5 4 2" xfId="46998"/>
    <cellStyle name="Normal 21 5 5" xfId="46999"/>
    <cellStyle name="Normal 21 5 5 2" xfId="47000"/>
    <cellStyle name="Normal 21 5 6" xfId="47001"/>
    <cellStyle name="Normal 21 5 6 2" xfId="47002"/>
    <cellStyle name="Normal 21 5 7" xfId="47003"/>
    <cellStyle name="Normal 21 6" xfId="47004"/>
    <cellStyle name="Normal 21 6 2" xfId="47005"/>
    <cellStyle name="Normal 21 6 2 2" xfId="47006"/>
    <cellStyle name="Normal 21 6 2 2 2" xfId="47007"/>
    <cellStyle name="Normal 21 6 2 3" xfId="47008"/>
    <cellStyle name="Normal 21 6 3" xfId="47009"/>
    <cellStyle name="Normal 21 6 3 2" xfId="47010"/>
    <cellStyle name="Normal 21 6 4" xfId="47011"/>
    <cellStyle name="Normal 21 6 4 2" xfId="47012"/>
    <cellStyle name="Normal 21 6 5" xfId="47013"/>
    <cellStyle name="Normal 21 6 5 2" xfId="47014"/>
    <cellStyle name="Normal 21 6 6" xfId="47015"/>
    <cellStyle name="Normal 21 7" xfId="47016"/>
    <cellStyle name="Normal 21 7 2" xfId="47017"/>
    <cellStyle name="Normal 21 7 2 2" xfId="47018"/>
    <cellStyle name="Normal 21 7 2 2 2" xfId="47019"/>
    <cellStyle name="Normal 21 7 2 3" xfId="47020"/>
    <cellStyle name="Normal 21 7 3" xfId="47021"/>
    <cellStyle name="Normal 21 7 3 2" xfId="47022"/>
    <cellStyle name="Normal 21 7 4" xfId="47023"/>
    <cellStyle name="Normal 21 7 4 2" xfId="47024"/>
    <cellStyle name="Normal 21 7 5" xfId="47025"/>
    <cellStyle name="Normal 21 7 5 2" xfId="47026"/>
    <cellStyle name="Normal 21 7 6" xfId="47027"/>
    <cellStyle name="Normal 21 8" xfId="47028"/>
    <cellStyle name="Normal 21 8 2" xfId="47029"/>
    <cellStyle name="Normal 21 8 2 2" xfId="47030"/>
    <cellStyle name="Normal 21 8 2 2 2" xfId="47031"/>
    <cellStyle name="Normal 21 8 2 3" xfId="47032"/>
    <cellStyle name="Normal 21 8 3" xfId="47033"/>
    <cellStyle name="Normal 21 8 3 2" xfId="47034"/>
    <cellStyle name="Normal 21 8 4" xfId="47035"/>
    <cellStyle name="Normal 21 8 4 2" xfId="47036"/>
    <cellStyle name="Normal 21 8 5" xfId="47037"/>
    <cellStyle name="Normal 21 8 5 2" xfId="47038"/>
    <cellStyle name="Normal 21 8 6" xfId="47039"/>
    <cellStyle name="Normal 21 9" xfId="47040"/>
    <cellStyle name="Normal 21 9 2" xfId="47041"/>
    <cellStyle name="Normal 21 9 2 2" xfId="47042"/>
    <cellStyle name="Normal 21 9 3" xfId="47043"/>
    <cellStyle name="Normal 210" xfId="47044"/>
    <cellStyle name="Normal 211" xfId="47045"/>
    <cellStyle name="Normal 212" xfId="47046"/>
    <cellStyle name="Normal 213" xfId="47047"/>
    <cellStyle name="Normal 214" xfId="47048"/>
    <cellStyle name="Normal 215" xfId="47049"/>
    <cellStyle name="Normal 216" xfId="47050"/>
    <cellStyle name="Normal 217" xfId="47051"/>
    <cellStyle name="Normal 218" xfId="47052"/>
    <cellStyle name="Normal 218 2" xfId="47053"/>
    <cellStyle name="Normal 219" xfId="47054"/>
    <cellStyle name="Normal 22" xfId="47055"/>
    <cellStyle name="Normal 22 10" xfId="47056"/>
    <cellStyle name="Normal 22 10 2" xfId="47057"/>
    <cellStyle name="Normal 22 11" xfId="47058"/>
    <cellStyle name="Normal 22 11 2" xfId="47059"/>
    <cellStyle name="Normal 22 12" xfId="47060"/>
    <cellStyle name="Normal 22 12 2" xfId="47061"/>
    <cellStyle name="Normal 22 13" xfId="47062"/>
    <cellStyle name="Normal 22 14" xfId="57838"/>
    <cellStyle name="Normal 22 2" xfId="47063"/>
    <cellStyle name="Normal 22 2 2" xfId="47064"/>
    <cellStyle name="Normal 22 2 2 2" xfId="47065"/>
    <cellStyle name="Normal 22 2 2 2 2" xfId="47066"/>
    <cellStyle name="Normal 22 2 2 2 2 2" xfId="47067"/>
    <cellStyle name="Normal 22 2 2 2 2 2 2" xfId="47068"/>
    <cellStyle name="Normal 22 2 2 2 2 3" xfId="47069"/>
    <cellStyle name="Normal 22 2 2 2 3" xfId="47070"/>
    <cellStyle name="Normal 22 2 2 2 3 2" xfId="47071"/>
    <cellStyle name="Normal 22 2 2 2 4" xfId="47072"/>
    <cellStyle name="Normal 22 2 2 2 4 2" xfId="47073"/>
    <cellStyle name="Normal 22 2 2 2 5" xfId="47074"/>
    <cellStyle name="Normal 22 2 2 2 5 2" xfId="47075"/>
    <cellStyle name="Normal 22 2 2 2 6" xfId="47076"/>
    <cellStyle name="Normal 22 2 2 3" xfId="47077"/>
    <cellStyle name="Normal 22 2 2 3 2" xfId="47078"/>
    <cellStyle name="Normal 22 2 2 3 2 2" xfId="47079"/>
    <cellStyle name="Normal 22 2 2 3 3" xfId="47080"/>
    <cellStyle name="Normal 22 2 2 4" xfId="47081"/>
    <cellStyle name="Normal 22 2 2 4 2" xfId="47082"/>
    <cellStyle name="Normal 22 2 2 5" xfId="47083"/>
    <cellStyle name="Normal 22 2 2 5 2" xfId="47084"/>
    <cellStyle name="Normal 22 2 2 6" xfId="47085"/>
    <cellStyle name="Normal 22 2 2 6 2" xfId="47086"/>
    <cellStyle name="Normal 22 2 2 7" xfId="47087"/>
    <cellStyle name="Normal 22 2 3" xfId="47088"/>
    <cellStyle name="Normal 22 2 3 2" xfId="47089"/>
    <cellStyle name="Normal 22 2 3 2 2" xfId="47090"/>
    <cellStyle name="Normal 22 2 3 2 2 2" xfId="47091"/>
    <cellStyle name="Normal 22 2 3 2 3" xfId="47092"/>
    <cellStyle name="Normal 22 2 3 3" xfId="47093"/>
    <cellStyle name="Normal 22 2 3 3 2" xfId="47094"/>
    <cellStyle name="Normal 22 2 3 4" xfId="47095"/>
    <cellStyle name="Normal 22 2 3 4 2" xfId="47096"/>
    <cellStyle name="Normal 22 2 3 5" xfId="47097"/>
    <cellStyle name="Normal 22 2 3 5 2" xfId="47098"/>
    <cellStyle name="Normal 22 2 3 6" xfId="47099"/>
    <cellStyle name="Normal 22 2 4" xfId="47100"/>
    <cellStyle name="Normal 22 2 4 2" xfId="47101"/>
    <cellStyle name="Normal 22 2 4 2 2" xfId="47102"/>
    <cellStyle name="Normal 22 2 4 3" xfId="47103"/>
    <cellStyle name="Normal 22 2 5" xfId="47104"/>
    <cellStyle name="Normal 22 2 5 2" xfId="47105"/>
    <cellStyle name="Normal 22 2 6" xfId="47106"/>
    <cellStyle name="Normal 22 2 6 2" xfId="47107"/>
    <cellStyle name="Normal 22 2 7" xfId="47108"/>
    <cellStyle name="Normal 22 2 7 2" xfId="47109"/>
    <cellStyle name="Normal 22 2 8" xfId="47110"/>
    <cellStyle name="Normal 22 3" xfId="47111"/>
    <cellStyle name="Normal 22 3 2" xfId="47112"/>
    <cellStyle name="Normal 22 3 2 2" xfId="47113"/>
    <cellStyle name="Normal 22 3 2 2 2" xfId="47114"/>
    <cellStyle name="Normal 22 3 2 2 2 2" xfId="47115"/>
    <cellStyle name="Normal 22 3 2 2 2 2 2" xfId="47116"/>
    <cellStyle name="Normal 22 3 2 2 2 3" xfId="47117"/>
    <cellStyle name="Normal 22 3 2 2 3" xfId="47118"/>
    <cellStyle name="Normal 22 3 2 2 3 2" xfId="47119"/>
    <cellStyle name="Normal 22 3 2 2 4" xfId="47120"/>
    <cellStyle name="Normal 22 3 2 2 4 2" xfId="47121"/>
    <cellStyle name="Normal 22 3 2 2 5" xfId="47122"/>
    <cellStyle name="Normal 22 3 2 2 5 2" xfId="47123"/>
    <cellStyle name="Normal 22 3 2 2 6" xfId="47124"/>
    <cellStyle name="Normal 22 3 2 3" xfId="47125"/>
    <cellStyle name="Normal 22 3 2 3 2" xfId="47126"/>
    <cellStyle name="Normal 22 3 2 3 2 2" xfId="47127"/>
    <cellStyle name="Normal 22 3 2 3 3" xfId="47128"/>
    <cellStyle name="Normal 22 3 2 4" xfId="47129"/>
    <cellStyle name="Normal 22 3 2 4 2" xfId="47130"/>
    <cellStyle name="Normal 22 3 2 5" xfId="47131"/>
    <cellStyle name="Normal 22 3 2 5 2" xfId="47132"/>
    <cellStyle name="Normal 22 3 2 6" xfId="47133"/>
    <cellStyle name="Normal 22 3 2 6 2" xfId="47134"/>
    <cellStyle name="Normal 22 3 2 7" xfId="47135"/>
    <cellStyle name="Normal 22 3 3" xfId="47136"/>
    <cellStyle name="Normal 22 3 3 2" xfId="47137"/>
    <cellStyle name="Normal 22 3 3 2 2" xfId="47138"/>
    <cellStyle name="Normal 22 3 3 2 2 2" xfId="47139"/>
    <cellStyle name="Normal 22 3 3 2 3" xfId="47140"/>
    <cellStyle name="Normal 22 3 3 3" xfId="47141"/>
    <cellStyle name="Normal 22 3 3 3 2" xfId="47142"/>
    <cellStyle name="Normal 22 3 3 4" xfId="47143"/>
    <cellStyle name="Normal 22 3 3 4 2" xfId="47144"/>
    <cellStyle name="Normal 22 3 3 5" xfId="47145"/>
    <cellStyle name="Normal 22 3 3 5 2" xfId="47146"/>
    <cellStyle name="Normal 22 3 3 6" xfId="47147"/>
    <cellStyle name="Normal 22 3 4" xfId="47148"/>
    <cellStyle name="Normal 22 3 4 2" xfId="47149"/>
    <cellStyle name="Normal 22 3 4 2 2" xfId="47150"/>
    <cellStyle name="Normal 22 3 4 3" xfId="47151"/>
    <cellStyle name="Normal 22 3 5" xfId="47152"/>
    <cellStyle name="Normal 22 3 5 2" xfId="47153"/>
    <cellStyle name="Normal 22 3 6" xfId="47154"/>
    <cellStyle name="Normal 22 3 6 2" xfId="47155"/>
    <cellStyle name="Normal 22 3 7" xfId="47156"/>
    <cellStyle name="Normal 22 3 7 2" xfId="47157"/>
    <cellStyle name="Normal 22 3 8" xfId="47158"/>
    <cellStyle name="Normal 22 4" xfId="47159"/>
    <cellStyle name="Normal 22 4 2" xfId="47160"/>
    <cellStyle name="Normal 22 4 2 2" xfId="47161"/>
    <cellStyle name="Normal 22 4 2 2 2" xfId="47162"/>
    <cellStyle name="Normal 22 4 2 2 2 2" xfId="47163"/>
    <cellStyle name="Normal 22 4 2 2 3" xfId="47164"/>
    <cellStyle name="Normal 22 4 2 3" xfId="47165"/>
    <cellStyle name="Normal 22 4 2 3 2" xfId="47166"/>
    <cellStyle name="Normal 22 4 2 4" xfId="47167"/>
    <cellStyle name="Normal 22 4 2 4 2" xfId="47168"/>
    <cellStyle name="Normal 22 4 2 5" xfId="47169"/>
    <cellStyle name="Normal 22 4 2 5 2" xfId="47170"/>
    <cellStyle name="Normal 22 4 2 6" xfId="47171"/>
    <cellStyle name="Normal 22 4 3" xfId="47172"/>
    <cellStyle name="Normal 22 4 3 2" xfId="47173"/>
    <cellStyle name="Normal 22 4 3 2 2" xfId="47174"/>
    <cellStyle name="Normal 22 4 3 3" xfId="47175"/>
    <cellStyle name="Normal 22 4 4" xfId="47176"/>
    <cellStyle name="Normal 22 4 4 2" xfId="47177"/>
    <cellStyle name="Normal 22 4 5" xfId="47178"/>
    <cellStyle name="Normal 22 4 5 2" xfId="47179"/>
    <cellStyle name="Normal 22 4 6" xfId="47180"/>
    <cellStyle name="Normal 22 4 6 2" xfId="47181"/>
    <cellStyle name="Normal 22 4 7" xfId="47182"/>
    <cellStyle name="Normal 22 4 8" xfId="47183"/>
    <cellStyle name="Normal 22 5" xfId="47184"/>
    <cellStyle name="Normal 22 5 2" xfId="47185"/>
    <cellStyle name="Normal 22 5 2 2" xfId="47186"/>
    <cellStyle name="Normal 22 5 2 2 2" xfId="47187"/>
    <cellStyle name="Normal 22 5 2 2 2 2" xfId="47188"/>
    <cellStyle name="Normal 22 5 2 2 3" xfId="47189"/>
    <cellStyle name="Normal 22 5 2 3" xfId="47190"/>
    <cellStyle name="Normal 22 5 2 3 2" xfId="47191"/>
    <cellStyle name="Normal 22 5 2 4" xfId="47192"/>
    <cellStyle name="Normal 22 5 2 4 2" xfId="47193"/>
    <cellStyle name="Normal 22 5 2 5" xfId="47194"/>
    <cellStyle name="Normal 22 5 2 5 2" xfId="47195"/>
    <cellStyle name="Normal 22 5 2 6" xfId="47196"/>
    <cellStyle name="Normal 22 5 3" xfId="47197"/>
    <cellStyle name="Normal 22 5 3 2" xfId="47198"/>
    <cellStyle name="Normal 22 5 3 2 2" xfId="47199"/>
    <cellStyle name="Normal 22 5 3 3" xfId="47200"/>
    <cellStyle name="Normal 22 5 4" xfId="47201"/>
    <cellStyle name="Normal 22 5 4 2" xfId="47202"/>
    <cellStyle name="Normal 22 5 5" xfId="47203"/>
    <cellStyle name="Normal 22 5 5 2" xfId="47204"/>
    <cellStyle name="Normal 22 5 6" xfId="47205"/>
    <cellStyle name="Normal 22 5 6 2" xfId="47206"/>
    <cellStyle name="Normal 22 5 7" xfId="47207"/>
    <cellStyle name="Normal 22 6" xfId="47208"/>
    <cellStyle name="Normal 22 6 2" xfId="47209"/>
    <cellStyle name="Normal 22 6 2 2" xfId="47210"/>
    <cellStyle name="Normal 22 6 2 2 2" xfId="47211"/>
    <cellStyle name="Normal 22 6 2 3" xfId="47212"/>
    <cellStyle name="Normal 22 6 3" xfId="47213"/>
    <cellStyle name="Normal 22 6 3 2" xfId="47214"/>
    <cellStyle name="Normal 22 6 4" xfId="47215"/>
    <cellStyle name="Normal 22 6 4 2" xfId="47216"/>
    <cellStyle name="Normal 22 6 5" xfId="47217"/>
    <cellStyle name="Normal 22 6 5 2" xfId="47218"/>
    <cellStyle name="Normal 22 6 6" xfId="47219"/>
    <cellStyle name="Normal 22 7" xfId="47220"/>
    <cellStyle name="Normal 22 7 2" xfId="47221"/>
    <cellStyle name="Normal 22 7 2 2" xfId="47222"/>
    <cellStyle name="Normal 22 7 2 2 2" xfId="47223"/>
    <cellStyle name="Normal 22 7 2 3" xfId="47224"/>
    <cellStyle name="Normal 22 7 3" xfId="47225"/>
    <cellStyle name="Normal 22 7 3 2" xfId="47226"/>
    <cellStyle name="Normal 22 7 4" xfId="47227"/>
    <cellStyle name="Normal 22 7 4 2" xfId="47228"/>
    <cellStyle name="Normal 22 7 5" xfId="47229"/>
    <cellStyle name="Normal 22 7 5 2" xfId="47230"/>
    <cellStyle name="Normal 22 7 6" xfId="47231"/>
    <cellStyle name="Normal 22 8" xfId="47232"/>
    <cellStyle name="Normal 22 8 2" xfId="47233"/>
    <cellStyle name="Normal 22 8 2 2" xfId="47234"/>
    <cellStyle name="Normal 22 8 2 2 2" xfId="47235"/>
    <cellStyle name="Normal 22 8 2 3" xfId="47236"/>
    <cellStyle name="Normal 22 8 3" xfId="47237"/>
    <cellStyle name="Normal 22 8 3 2" xfId="47238"/>
    <cellStyle name="Normal 22 8 4" xfId="47239"/>
    <cellStyle name="Normal 22 8 4 2" xfId="47240"/>
    <cellStyle name="Normal 22 8 5" xfId="47241"/>
    <cellStyle name="Normal 22 8 5 2" xfId="47242"/>
    <cellStyle name="Normal 22 8 6" xfId="47243"/>
    <cellStyle name="Normal 22 9" xfId="47244"/>
    <cellStyle name="Normal 22 9 2" xfId="47245"/>
    <cellStyle name="Normal 22 9 2 2" xfId="47246"/>
    <cellStyle name="Normal 22 9 3" xfId="47247"/>
    <cellStyle name="Normal 220" xfId="47248"/>
    <cellStyle name="Normal 220 2" xfId="57839"/>
    <cellStyle name="Normal 221" xfId="47249"/>
    <cellStyle name="Normal 221 2" xfId="57840"/>
    <cellStyle name="Normal 222" xfId="47250"/>
    <cellStyle name="Normal 222 2" xfId="57842"/>
    <cellStyle name="Normal 222 3" xfId="57843"/>
    <cellStyle name="Normal 222 4" xfId="57841"/>
    <cellStyle name="Normal 223" xfId="47251"/>
    <cellStyle name="Normal 223 2" xfId="57844"/>
    <cellStyle name="Normal 224" xfId="47252"/>
    <cellStyle name="Normal 224 2" xfId="57845"/>
    <cellStyle name="Normal 225" xfId="47253"/>
    <cellStyle name="Normal 226" xfId="47254"/>
    <cellStyle name="Normal 226 2" xfId="47255"/>
    <cellStyle name="Normal 227" xfId="47256"/>
    <cellStyle name="Normal 227 2" xfId="47257"/>
    <cellStyle name="Normal 227 3" xfId="57846"/>
    <cellStyle name="Normal 228" xfId="47258"/>
    <cellStyle name="Normal 228 2" xfId="47259"/>
    <cellStyle name="Normal 229" xfId="47260"/>
    <cellStyle name="Normal 229 2" xfId="47261"/>
    <cellStyle name="Normal 23" xfId="47262"/>
    <cellStyle name="Normal 23 10" xfId="47263"/>
    <cellStyle name="Normal 23 10 2" xfId="47264"/>
    <cellStyle name="Normal 23 11" xfId="47265"/>
    <cellStyle name="Normal 23 11 2" xfId="47266"/>
    <cellStyle name="Normal 23 12" xfId="47267"/>
    <cellStyle name="Normal 23 12 2" xfId="47268"/>
    <cellStyle name="Normal 23 13" xfId="47269"/>
    <cellStyle name="Normal 23 14" xfId="57847"/>
    <cellStyle name="Normal 23 2" xfId="47270"/>
    <cellStyle name="Normal 23 2 2" xfId="47271"/>
    <cellStyle name="Normal 23 2 2 2" xfId="47272"/>
    <cellStyle name="Normal 23 2 2 2 2" xfId="47273"/>
    <cellStyle name="Normal 23 2 2 2 2 2" xfId="47274"/>
    <cellStyle name="Normal 23 2 2 2 2 2 2" xfId="47275"/>
    <cellStyle name="Normal 23 2 2 2 2 3" xfId="47276"/>
    <cellStyle name="Normal 23 2 2 2 3" xfId="47277"/>
    <cellStyle name="Normal 23 2 2 2 3 2" xfId="47278"/>
    <cellStyle name="Normal 23 2 2 2 4" xfId="47279"/>
    <cellStyle name="Normal 23 2 2 2 4 2" xfId="47280"/>
    <cellStyle name="Normal 23 2 2 2 5" xfId="47281"/>
    <cellStyle name="Normal 23 2 2 2 5 2" xfId="47282"/>
    <cellStyle name="Normal 23 2 2 2 6" xfId="47283"/>
    <cellStyle name="Normal 23 2 2 3" xfId="47284"/>
    <cellStyle name="Normal 23 2 2 3 2" xfId="47285"/>
    <cellStyle name="Normal 23 2 2 3 2 2" xfId="47286"/>
    <cellStyle name="Normal 23 2 2 3 3" xfId="47287"/>
    <cellStyle name="Normal 23 2 2 4" xfId="47288"/>
    <cellStyle name="Normal 23 2 2 4 2" xfId="47289"/>
    <cellStyle name="Normal 23 2 2 5" xfId="47290"/>
    <cellStyle name="Normal 23 2 2 5 2" xfId="47291"/>
    <cellStyle name="Normal 23 2 2 6" xfId="47292"/>
    <cellStyle name="Normal 23 2 2 6 2" xfId="47293"/>
    <cellStyle name="Normal 23 2 2 7" xfId="47294"/>
    <cellStyle name="Normal 23 2 3" xfId="47295"/>
    <cellStyle name="Normal 23 2 3 2" xfId="47296"/>
    <cellStyle name="Normal 23 2 3 2 2" xfId="47297"/>
    <cellStyle name="Normal 23 2 3 2 2 2" xfId="47298"/>
    <cellStyle name="Normal 23 2 3 2 3" xfId="47299"/>
    <cellStyle name="Normal 23 2 3 3" xfId="47300"/>
    <cellStyle name="Normal 23 2 3 3 2" xfId="47301"/>
    <cellStyle name="Normal 23 2 3 4" xfId="47302"/>
    <cellStyle name="Normal 23 2 3 4 2" xfId="47303"/>
    <cellStyle name="Normal 23 2 3 5" xfId="47304"/>
    <cellStyle name="Normal 23 2 3 5 2" xfId="47305"/>
    <cellStyle name="Normal 23 2 3 6" xfId="47306"/>
    <cellStyle name="Normal 23 2 4" xfId="47307"/>
    <cellStyle name="Normal 23 2 4 2" xfId="47308"/>
    <cellStyle name="Normal 23 2 4 2 2" xfId="47309"/>
    <cellStyle name="Normal 23 2 4 3" xfId="47310"/>
    <cellStyle name="Normal 23 2 5" xfId="47311"/>
    <cellStyle name="Normal 23 2 5 2" xfId="47312"/>
    <cellStyle name="Normal 23 2 6" xfId="47313"/>
    <cellStyle name="Normal 23 2 6 2" xfId="47314"/>
    <cellStyle name="Normal 23 2 7" xfId="47315"/>
    <cellStyle name="Normal 23 2 7 2" xfId="47316"/>
    <cellStyle name="Normal 23 2 8" xfId="47317"/>
    <cellStyle name="Normal 23 3" xfId="47318"/>
    <cellStyle name="Normal 23 3 2" xfId="47319"/>
    <cellStyle name="Normal 23 3 2 2" xfId="47320"/>
    <cellStyle name="Normal 23 3 2 2 2" xfId="47321"/>
    <cellStyle name="Normal 23 3 2 2 2 2" xfId="47322"/>
    <cellStyle name="Normal 23 3 2 2 2 2 2" xfId="47323"/>
    <cellStyle name="Normal 23 3 2 2 2 3" xfId="47324"/>
    <cellStyle name="Normal 23 3 2 2 3" xfId="47325"/>
    <cellStyle name="Normal 23 3 2 2 3 2" xfId="47326"/>
    <cellStyle name="Normal 23 3 2 2 4" xfId="47327"/>
    <cellStyle name="Normal 23 3 2 2 4 2" xfId="47328"/>
    <cellStyle name="Normal 23 3 2 2 5" xfId="47329"/>
    <cellStyle name="Normal 23 3 2 2 5 2" xfId="47330"/>
    <cellStyle name="Normal 23 3 2 2 6" xfId="47331"/>
    <cellStyle name="Normal 23 3 2 3" xfId="47332"/>
    <cellStyle name="Normal 23 3 2 3 2" xfId="47333"/>
    <cellStyle name="Normal 23 3 2 3 2 2" xfId="47334"/>
    <cellStyle name="Normal 23 3 2 3 3" xfId="47335"/>
    <cellStyle name="Normal 23 3 2 4" xfId="47336"/>
    <cellStyle name="Normal 23 3 2 4 2" xfId="47337"/>
    <cellStyle name="Normal 23 3 2 5" xfId="47338"/>
    <cellStyle name="Normal 23 3 2 5 2" xfId="47339"/>
    <cellStyle name="Normal 23 3 2 6" xfId="47340"/>
    <cellStyle name="Normal 23 3 2 6 2" xfId="47341"/>
    <cellStyle name="Normal 23 3 2 7" xfId="47342"/>
    <cellStyle name="Normal 23 3 3" xfId="47343"/>
    <cellStyle name="Normal 23 3 3 2" xfId="47344"/>
    <cellStyle name="Normal 23 3 3 2 2" xfId="47345"/>
    <cellStyle name="Normal 23 3 3 2 2 2" xfId="47346"/>
    <cellStyle name="Normal 23 3 3 2 3" xfId="47347"/>
    <cellStyle name="Normal 23 3 3 3" xfId="47348"/>
    <cellStyle name="Normal 23 3 3 3 2" xfId="47349"/>
    <cellStyle name="Normal 23 3 3 4" xfId="47350"/>
    <cellStyle name="Normal 23 3 3 4 2" xfId="47351"/>
    <cellStyle name="Normal 23 3 3 5" xfId="47352"/>
    <cellStyle name="Normal 23 3 3 5 2" xfId="47353"/>
    <cellStyle name="Normal 23 3 3 6" xfId="47354"/>
    <cellStyle name="Normal 23 3 4" xfId="47355"/>
    <cellStyle name="Normal 23 3 4 2" xfId="47356"/>
    <cellStyle name="Normal 23 3 4 2 2" xfId="47357"/>
    <cellStyle name="Normal 23 3 4 3" xfId="47358"/>
    <cellStyle name="Normal 23 3 5" xfId="47359"/>
    <cellStyle name="Normal 23 3 5 2" xfId="47360"/>
    <cellStyle name="Normal 23 3 6" xfId="47361"/>
    <cellStyle name="Normal 23 3 6 2" xfId="47362"/>
    <cellStyle name="Normal 23 3 7" xfId="47363"/>
    <cellStyle name="Normal 23 3 7 2" xfId="47364"/>
    <cellStyle name="Normal 23 3 8" xfId="47365"/>
    <cellStyle name="Normal 23 4" xfId="47366"/>
    <cellStyle name="Normal 23 4 2" xfId="47367"/>
    <cellStyle name="Normal 23 4 2 2" xfId="47368"/>
    <cellStyle name="Normal 23 4 2 2 2" xfId="47369"/>
    <cellStyle name="Normal 23 4 2 2 2 2" xfId="47370"/>
    <cellStyle name="Normal 23 4 2 2 3" xfId="47371"/>
    <cellStyle name="Normal 23 4 2 3" xfId="47372"/>
    <cellStyle name="Normal 23 4 2 3 2" xfId="47373"/>
    <cellStyle name="Normal 23 4 2 4" xfId="47374"/>
    <cellStyle name="Normal 23 4 2 4 2" xfId="47375"/>
    <cellStyle name="Normal 23 4 2 5" xfId="47376"/>
    <cellStyle name="Normal 23 4 2 5 2" xfId="47377"/>
    <cellStyle name="Normal 23 4 2 6" xfId="47378"/>
    <cellStyle name="Normal 23 4 3" xfId="47379"/>
    <cellStyle name="Normal 23 4 3 2" xfId="47380"/>
    <cellStyle name="Normal 23 4 3 2 2" xfId="47381"/>
    <cellStyle name="Normal 23 4 3 3" xfId="47382"/>
    <cellStyle name="Normal 23 4 4" xfId="47383"/>
    <cellStyle name="Normal 23 4 4 2" xfId="47384"/>
    <cellStyle name="Normal 23 4 5" xfId="47385"/>
    <cellStyle name="Normal 23 4 5 2" xfId="47386"/>
    <cellStyle name="Normal 23 4 6" xfId="47387"/>
    <cellStyle name="Normal 23 4 6 2" xfId="47388"/>
    <cellStyle name="Normal 23 4 7" xfId="47389"/>
    <cellStyle name="Normal 23 5" xfId="47390"/>
    <cellStyle name="Normal 23 5 2" xfId="47391"/>
    <cellStyle name="Normal 23 5 2 2" xfId="47392"/>
    <cellStyle name="Normal 23 5 2 2 2" xfId="47393"/>
    <cellStyle name="Normal 23 5 2 2 2 2" xfId="47394"/>
    <cellStyle name="Normal 23 5 2 2 3" xfId="47395"/>
    <cellStyle name="Normal 23 5 2 3" xfId="47396"/>
    <cellStyle name="Normal 23 5 2 3 2" xfId="47397"/>
    <cellStyle name="Normal 23 5 2 4" xfId="47398"/>
    <cellStyle name="Normal 23 5 2 4 2" xfId="47399"/>
    <cellStyle name="Normal 23 5 2 5" xfId="47400"/>
    <cellStyle name="Normal 23 5 2 5 2" xfId="47401"/>
    <cellStyle name="Normal 23 5 2 6" xfId="47402"/>
    <cellStyle name="Normal 23 5 3" xfId="47403"/>
    <cellStyle name="Normal 23 5 3 2" xfId="47404"/>
    <cellStyle name="Normal 23 5 3 2 2" xfId="47405"/>
    <cellStyle name="Normal 23 5 3 3" xfId="47406"/>
    <cellStyle name="Normal 23 5 4" xfId="47407"/>
    <cellStyle name="Normal 23 5 4 2" xfId="47408"/>
    <cellStyle name="Normal 23 5 5" xfId="47409"/>
    <cellStyle name="Normal 23 5 5 2" xfId="47410"/>
    <cellStyle name="Normal 23 5 6" xfId="47411"/>
    <cellStyle name="Normal 23 5 6 2" xfId="47412"/>
    <cellStyle name="Normal 23 5 7" xfId="47413"/>
    <cellStyle name="Normal 23 6" xfId="47414"/>
    <cellStyle name="Normal 23 6 2" xfId="47415"/>
    <cellStyle name="Normal 23 6 2 2" xfId="47416"/>
    <cellStyle name="Normal 23 6 2 2 2" xfId="47417"/>
    <cellStyle name="Normal 23 6 2 3" xfId="47418"/>
    <cellStyle name="Normal 23 6 3" xfId="47419"/>
    <cellStyle name="Normal 23 6 3 2" xfId="47420"/>
    <cellStyle name="Normal 23 6 4" xfId="47421"/>
    <cellStyle name="Normal 23 6 4 2" xfId="47422"/>
    <cellStyle name="Normal 23 6 5" xfId="47423"/>
    <cellStyle name="Normal 23 6 5 2" xfId="47424"/>
    <cellStyle name="Normal 23 6 6" xfId="47425"/>
    <cellStyle name="Normal 23 7" xfId="47426"/>
    <cellStyle name="Normal 23 7 2" xfId="47427"/>
    <cellStyle name="Normal 23 7 2 2" xfId="47428"/>
    <cellStyle name="Normal 23 7 2 2 2" xfId="47429"/>
    <cellStyle name="Normal 23 7 2 3" xfId="47430"/>
    <cellStyle name="Normal 23 7 3" xfId="47431"/>
    <cellStyle name="Normal 23 7 3 2" xfId="47432"/>
    <cellStyle name="Normal 23 7 4" xfId="47433"/>
    <cellStyle name="Normal 23 7 4 2" xfId="47434"/>
    <cellStyle name="Normal 23 7 5" xfId="47435"/>
    <cellStyle name="Normal 23 7 5 2" xfId="47436"/>
    <cellStyle name="Normal 23 7 6" xfId="47437"/>
    <cellStyle name="Normal 23 8" xfId="47438"/>
    <cellStyle name="Normal 23 8 2" xfId="47439"/>
    <cellStyle name="Normal 23 8 2 2" xfId="47440"/>
    <cellStyle name="Normal 23 8 2 2 2" xfId="47441"/>
    <cellStyle name="Normal 23 8 2 3" xfId="47442"/>
    <cellStyle name="Normal 23 8 3" xfId="47443"/>
    <cellStyle name="Normal 23 8 3 2" xfId="47444"/>
    <cellStyle name="Normal 23 8 4" xfId="47445"/>
    <cellStyle name="Normal 23 8 4 2" xfId="47446"/>
    <cellStyle name="Normal 23 8 5" xfId="47447"/>
    <cellStyle name="Normal 23 8 5 2" xfId="47448"/>
    <cellStyle name="Normal 23 8 6" xfId="47449"/>
    <cellStyle name="Normal 23 9" xfId="47450"/>
    <cellStyle name="Normal 23 9 2" xfId="47451"/>
    <cellStyle name="Normal 23 9 2 2" xfId="47452"/>
    <cellStyle name="Normal 23 9 3" xfId="47453"/>
    <cellStyle name="Normal 230" xfId="47454"/>
    <cellStyle name="Normal 230 2" xfId="47455"/>
    <cellStyle name="Normal 231" xfId="47456"/>
    <cellStyle name="Normal 231 2" xfId="47457"/>
    <cellStyle name="Normal 232" xfId="47458"/>
    <cellStyle name="Normal 232 2" xfId="47459"/>
    <cellStyle name="Normal 233" xfId="47460"/>
    <cellStyle name="Normal 233 2" xfId="47461"/>
    <cellStyle name="Normal 234" xfId="47462"/>
    <cellStyle name="Normal 235" xfId="47463"/>
    <cellStyle name="Normal 236" xfId="47464"/>
    <cellStyle name="Normal 237" xfId="47465"/>
    <cellStyle name="Normal 238" xfId="47466"/>
    <cellStyle name="Normal 239" xfId="47467"/>
    <cellStyle name="Normal 24" xfId="47468"/>
    <cellStyle name="Normal 24 10" xfId="47469"/>
    <cellStyle name="Normal 24 10 2" xfId="47470"/>
    <cellStyle name="Normal 24 11" xfId="47471"/>
    <cellStyle name="Normal 24 11 2" xfId="47472"/>
    <cellStyle name="Normal 24 12" xfId="47473"/>
    <cellStyle name="Normal 24 12 2" xfId="47474"/>
    <cellStyle name="Normal 24 13" xfId="47475"/>
    <cellStyle name="Normal 24 14" xfId="47476"/>
    <cellStyle name="Normal 24 15" xfId="47477"/>
    <cellStyle name="Normal 24 16" xfId="47478"/>
    <cellStyle name="Normal 24 17" xfId="47479"/>
    <cellStyle name="Normal 24 18" xfId="47480"/>
    <cellStyle name="Normal 24 19" xfId="47481"/>
    <cellStyle name="Normal 24 2" xfId="47482"/>
    <cellStyle name="Normal 24 2 2" xfId="47483"/>
    <cellStyle name="Normal 24 2 2 2" xfId="47484"/>
    <cellStyle name="Normal 24 2 2 2 2" xfId="47485"/>
    <cellStyle name="Normal 24 2 2 2 2 2" xfId="47486"/>
    <cellStyle name="Normal 24 2 2 2 2 2 2" xfId="47487"/>
    <cellStyle name="Normal 24 2 2 2 2 3" xfId="47488"/>
    <cellStyle name="Normal 24 2 2 2 3" xfId="47489"/>
    <cellStyle name="Normal 24 2 2 2 3 2" xfId="47490"/>
    <cellStyle name="Normal 24 2 2 2 4" xfId="47491"/>
    <cellStyle name="Normal 24 2 2 2 4 2" xfId="47492"/>
    <cellStyle name="Normal 24 2 2 2 5" xfId="47493"/>
    <cellStyle name="Normal 24 2 2 2 5 2" xfId="47494"/>
    <cellStyle name="Normal 24 2 2 2 6" xfId="47495"/>
    <cellStyle name="Normal 24 2 2 3" xfId="47496"/>
    <cellStyle name="Normal 24 2 2 3 2" xfId="47497"/>
    <cellStyle name="Normal 24 2 2 3 2 2" xfId="47498"/>
    <cellStyle name="Normal 24 2 2 3 3" xfId="47499"/>
    <cellStyle name="Normal 24 2 2 4" xfId="47500"/>
    <cellStyle name="Normal 24 2 2 4 2" xfId="47501"/>
    <cellStyle name="Normal 24 2 2 5" xfId="47502"/>
    <cellStyle name="Normal 24 2 2 5 2" xfId="47503"/>
    <cellStyle name="Normal 24 2 2 6" xfId="47504"/>
    <cellStyle name="Normal 24 2 2 6 2" xfId="47505"/>
    <cellStyle name="Normal 24 2 2 7" xfId="47506"/>
    <cellStyle name="Normal 24 2 3" xfId="47507"/>
    <cellStyle name="Normal 24 2 3 2" xfId="47508"/>
    <cellStyle name="Normal 24 2 3 2 2" xfId="47509"/>
    <cellStyle name="Normal 24 2 3 2 2 2" xfId="47510"/>
    <cellStyle name="Normal 24 2 3 2 3" xfId="47511"/>
    <cellStyle name="Normal 24 2 3 3" xfId="47512"/>
    <cellStyle name="Normal 24 2 3 3 2" xfId="47513"/>
    <cellStyle name="Normal 24 2 3 4" xfId="47514"/>
    <cellStyle name="Normal 24 2 3 4 2" xfId="47515"/>
    <cellStyle name="Normal 24 2 3 5" xfId="47516"/>
    <cellStyle name="Normal 24 2 3 5 2" xfId="47517"/>
    <cellStyle name="Normal 24 2 3 6" xfId="47518"/>
    <cellStyle name="Normal 24 2 4" xfId="47519"/>
    <cellStyle name="Normal 24 2 4 2" xfId="47520"/>
    <cellStyle name="Normal 24 2 4 2 2" xfId="47521"/>
    <cellStyle name="Normal 24 2 4 3" xfId="47522"/>
    <cellStyle name="Normal 24 2 5" xfId="47523"/>
    <cellStyle name="Normal 24 2 5 2" xfId="47524"/>
    <cellStyle name="Normal 24 2 6" xfId="47525"/>
    <cellStyle name="Normal 24 2 6 2" xfId="47526"/>
    <cellStyle name="Normal 24 2 7" xfId="47527"/>
    <cellStyle name="Normal 24 2 7 2" xfId="47528"/>
    <cellStyle name="Normal 24 2 8" xfId="47529"/>
    <cellStyle name="Normal 24 20" xfId="47530"/>
    <cellStyle name="Normal 24 21" xfId="47531"/>
    <cellStyle name="Normal 24 22" xfId="47532"/>
    <cellStyle name="Normal 24 23" xfId="47533"/>
    <cellStyle name="Normal 24 24" xfId="47534"/>
    <cellStyle name="Normal 24 25" xfId="47535"/>
    <cellStyle name="Normal 24 26" xfId="47536"/>
    <cellStyle name="Normal 24 27" xfId="47537"/>
    <cellStyle name="Normal 24 28" xfId="47538"/>
    <cellStyle name="Normal 24 29" xfId="47539"/>
    <cellStyle name="Normal 24 3" xfId="47540"/>
    <cellStyle name="Normal 24 3 2" xfId="47541"/>
    <cellStyle name="Normal 24 3 2 2" xfId="47542"/>
    <cellStyle name="Normal 24 3 2 2 2" xfId="47543"/>
    <cellStyle name="Normal 24 3 2 2 2 2" xfId="47544"/>
    <cellStyle name="Normal 24 3 2 2 2 2 2" xfId="47545"/>
    <cellStyle name="Normal 24 3 2 2 2 3" xfId="47546"/>
    <cellStyle name="Normal 24 3 2 2 3" xfId="47547"/>
    <cellStyle name="Normal 24 3 2 2 3 2" xfId="47548"/>
    <cellStyle name="Normal 24 3 2 2 4" xfId="47549"/>
    <cellStyle name="Normal 24 3 2 2 4 2" xfId="47550"/>
    <cellStyle name="Normal 24 3 2 2 5" xfId="47551"/>
    <cellStyle name="Normal 24 3 2 2 5 2" xfId="47552"/>
    <cellStyle name="Normal 24 3 2 2 6" xfId="47553"/>
    <cellStyle name="Normal 24 3 2 3" xfId="47554"/>
    <cellStyle name="Normal 24 3 2 3 2" xfId="47555"/>
    <cellStyle name="Normal 24 3 2 3 2 2" xfId="47556"/>
    <cellStyle name="Normal 24 3 2 3 3" xfId="47557"/>
    <cellStyle name="Normal 24 3 2 4" xfId="47558"/>
    <cellStyle name="Normal 24 3 2 4 2" xfId="47559"/>
    <cellStyle name="Normal 24 3 2 5" xfId="47560"/>
    <cellStyle name="Normal 24 3 2 5 2" xfId="47561"/>
    <cellStyle name="Normal 24 3 2 6" xfId="47562"/>
    <cellStyle name="Normal 24 3 2 6 2" xfId="47563"/>
    <cellStyle name="Normal 24 3 2 7" xfId="47564"/>
    <cellStyle name="Normal 24 3 2 8" xfId="47565"/>
    <cellStyle name="Normal 24 3 3" xfId="47566"/>
    <cellStyle name="Normal 24 3 3 2" xfId="47567"/>
    <cellStyle name="Normal 24 3 3 2 2" xfId="47568"/>
    <cellStyle name="Normal 24 3 3 2 2 2" xfId="47569"/>
    <cellStyle name="Normal 24 3 3 2 3" xfId="47570"/>
    <cellStyle name="Normal 24 3 3 3" xfId="47571"/>
    <cellStyle name="Normal 24 3 3 3 2" xfId="47572"/>
    <cellStyle name="Normal 24 3 3 4" xfId="47573"/>
    <cellStyle name="Normal 24 3 3 4 2" xfId="47574"/>
    <cellStyle name="Normal 24 3 3 5" xfId="47575"/>
    <cellStyle name="Normal 24 3 3 5 2" xfId="47576"/>
    <cellStyle name="Normal 24 3 3 6" xfId="47577"/>
    <cellStyle name="Normal 24 3 4" xfId="47578"/>
    <cellStyle name="Normal 24 3 4 2" xfId="47579"/>
    <cellStyle name="Normal 24 3 4 2 2" xfId="47580"/>
    <cellStyle name="Normal 24 3 4 3" xfId="47581"/>
    <cellStyle name="Normal 24 3 5" xfId="47582"/>
    <cellStyle name="Normal 24 3 5 2" xfId="47583"/>
    <cellStyle name="Normal 24 3 6" xfId="47584"/>
    <cellStyle name="Normal 24 3 6 2" xfId="47585"/>
    <cellStyle name="Normal 24 3 7" xfId="47586"/>
    <cellStyle name="Normal 24 3 7 2" xfId="47587"/>
    <cellStyle name="Normal 24 3 8" xfId="47588"/>
    <cellStyle name="Normal 24 30" xfId="47589"/>
    <cellStyle name="Normal 24 31" xfId="47590"/>
    <cellStyle name="Normal 24 32" xfId="47591"/>
    <cellStyle name="Normal 24 33" xfId="47592"/>
    <cellStyle name="Normal 24 34" xfId="47593"/>
    <cellStyle name="Normal 24 35" xfId="47594"/>
    <cellStyle name="Normal 24 36" xfId="47595"/>
    <cellStyle name="Normal 24 37" xfId="47596"/>
    <cellStyle name="Normal 24 38" xfId="47597"/>
    <cellStyle name="Normal 24 39" xfId="47598"/>
    <cellStyle name="Normal 24 4" xfId="47599"/>
    <cellStyle name="Normal 24 4 2" xfId="47600"/>
    <cellStyle name="Normal 24 4 2 2" xfId="47601"/>
    <cellStyle name="Normal 24 4 2 2 2" xfId="47602"/>
    <cellStyle name="Normal 24 4 2 2 2 2" xfId="47603"/>
    <cellStyle name="Normal 24 4 2 2 3" xfId="47604"/>
    <cellStyle name="Normal 24 4 2 3" xfId="47605"/>
    <cellStyle name="Normal 24 4 2 3 2" xfId="47606"/>
    <cellStyle name="Normal 24 4 2 4" xfId="47607"/>
    <cellStyle name="Normal 24 4 2 4 2" xfId="47608"/>
    <cellStyle name="Normal 24 4 2 5" xfId="47609"/>
    <cellStyle name="Normal 24 4 2 5 2" xfId="47610"/>
    <cellStyle name="Normal 24 4 2 6" xfId="47611"/>
    <cellStyle name="Normal 24 4 3" xfId="47612"/>
    <cellStyle name="Normal 24 4 3 2" xfId="47613"/>
    <cellStyle name="Normal 24 4 3 2 2" xfId="47614"/>
    <cellStyle name="Normal 24 4 3 3" xfId="47615"/>
    <cellStyle name="Normal 24 4 4" xfId="47616"/>
    <cellStyle name="Normal 24 4 4 2" xfId="47617"/>
    <cellStyle name="Normal 24 4 5" xfId="47618"/>
    <cellStyle name="Normal 24 4 5 2" xfId="47619"/>
    <cellStyle name="Normal 24 4 6" xfId="47620"/>
    <cellStyle name="Normal 24 4 6 2" xfId="47621"/>
    <cellStyle name="Normal 24 4 7" xfId="47622"/>
    <cellStyle name="Normal 24 40" xfId="47623"/>
    <cellStyle name="Normal 24 41" xfId="47624"/>
    <cellStyle name="Normal 24 42" xfId="47625"/>
    <cellStyle name="Normal 24 43" xfId="47626"/>
    <cellStyle name="Normal 24 44" xfId="47627"/>
    <cellStyle name="Normal 24 45" xfId="47628"/>
    <cellStyle name="Normal 24 46" xfId="47629"/>
    <cellStyle name="Normal 24 47" xfId="47630"/>
    <cellStyle name="Normal 24 48" xfId="47631"/>
    <cellStyle name="Normal 24 49" xfId="47632"/>
    <cellStyle name="Normal 24 5" xfId="47633"/>
    <cellStyle name="Normal 24 5 2" xfId="47634"/>
    <cellStyle name="Normal 24 5 2 2" xfId="47635"/>
    <cellStyle name="Normal 24 5 2 2 2" xfId="47636"/>
    <cellStyle name="Normal 24 5 2 2 2 2" xfId="47637"/>
    <cellStyle name="Normal 24 5 2 2 3" xfId="47638"/>
    <cellStyle name="Normal 24 5 2 3" xfId="47639"/>
    <cellStyle name="Normal 24 5 2 3 2" xfId="47640"/>
    <cellStyle name="Normal 24 5 2 4" xfId="47641"/>
    <cellStyle name="Normal 24 5 2 4 2" xfId="47642"/>
    <cellStyle name="Normal 24 5 2 5" xfId="47643"/>
    <cellStyle name="Normal 24 5 2 5 2" xfId="47644"/>
    <cellStyle name="Normal 24 5 2 6" xfId="47645"/>
    <cellStyle name="Normal 24 5 3" xfId="47646"/>
    <cellStyle name="Normal 24 5 3 2" xfId="47647"/>
    <cellStyle name="Normal 24 5 3 2 2" xfId="47648"/>
    <cellStyle name="Normal 24 5 3 3" xfId="47649"/>
    <cellStyle name="Normal 24 5 4" xfId="47650"/>
    <cellStyle name="Normal 24 5 4 2" xfId="47651"/>
    <cellStyle name="Normal 24 5 5" xfId="47652"/>
    <cellStyle name="Normal 24 5 5 2" xfId="47653"/>
    <cellStyle name="Normal 24 5 6" xfId="47654"/>
    <cellStyle name="Normal 24 5 6 2" xfId="47655"/>
    <cellStyle name="Normal 24 5 7" xfId="47656"/>
    <cellStyle name="Normal 24 50" xfId="47657"/>
    <cellStyle name="Normal 24 51" xfId="47658"/>
    <cellStyle name="Normal 24 52" xfId="47659"/>
    <cellStyle name="Normal 24 53" xfId="47660"/>
    <cellStyle name="Normal 24 54" xfId="47661"/>
    <cellStyle name="Normal 24 55" xfId="47662"/>
    <cellStyle name="Normal 24 56" xfId="47663"/>
    <cellStyle name="Normal 24 57" xfId="57848"/>
    <cellStyle name="Normal 24 6" xfId="47664"/>
    <cellStyle name="Normal 24 6 2" xfId="47665"/>
    <cellStyle name="Normal 24 6 2 2" xfId="47666"/>
    <cellStyle name="Normal 24 6 2 2 2" xfId="47667"/>
    <cellStyle name="Normal 24 6 2 3" xfId="47668"/>
    <cellStyle name="Normal 24 6 3" xfId="47669"/>
    <cellStyle name="Normal 24 6 3 2" xfId="47670"/>
    <cellStyle name="Normal 24 6 4" xfId="47671"/>
    <cellStyle name="Normal 24 6 4 2" xfId="47672"/>
    <cellStyle name="Normal 24 6 5" xfId="47673"/>
    <cellStyle name="Normal 24 6 5 2" xfId="47674"/>
    <cellStyle name="Normal 24 6 6" xfId="47675"/>
    <cellStyle name="Normal 24 7" xfId="47676"/>
    <cellStyle name="Normal 24 7 2" xfId="47677"/>
    <cellStyle name="Normal 24 7 2 2" xfId="47678"/>
    <cellStyle name="Normal 24 7 2 2 2" xfId="47679"/>
    <cellStyle name="Normal 24 7 2 3" xfId="47680"/>
    <cellStyle name="Normal 24 7 3" xfId="47681"/>
    <cellStyle name="Normal 24 7 3 2" xfId="47682"/>
    <cellStyle name="Normal 24 7 4" xfId="47683"/>
    <cellStyle name="Normal 24 7 4 2" xfId="47684"/>
    <cellStyle name="Normal 24 7 5" xfId="47685"/>
    <cellStyle name="Normal 24 7 5 2" xfId="47686"/>
    <cellStyle name="Normal 24 7 6" xfId="47687"/>
    <cellStyle name="Normal 24 8" xfId="47688"/>
    <cellStyle name="Normal 24 8 2" xfId="47689"/>
    <cellStyle name="Normal 24 8 2 2" xfId="47690"/>
    <cellStyle name="Normal 24 8 2 2 2" xfId="47691"/>
    <cellStyle name="Normal 24 8 2 3" xfId="47692"/>
    <cellStyle name="Normal 24 8 3" xfId="47693"/>
    <cellStyle name="Normal 24 8 3 2" xfId="47694"/>
    <cellStyle name="Normal 24 8 4" xfId="47695"/>
    <cellStyle name="Normal 24 8 4 2" xfId="47696"/>
    <cellStyle name="Normal 24 8 5" xfId="47697"/>
    <cellStyle name="Normal 24 8 5 2" xfId="47698"/>
    <cellStyle name="Normal 24 8 6" xfId="47699"/>
    <cellStyle name="Normal 24 9" xfId="47700"/>
    <cellStyle name="Normal 24 9 2" xfId="47701"/>
    <cellStyle name="Normal 24 9 2 2" xfId="47702"/>
    <cellStyle name="Normal 24 9 3" xfId="47703"/>
    <cellStyle name="Normal 240" xfId="47704"/>
    <cellStyle name="Normal 241" xfId="47705"/>
    <cellStyle name="Normal 242" xfId="47706"/>
    <cellStyle name="Normal 243" xfId="47707"/>
    <cellStyle name="Normal 244" xfId="47708"/>
    <cellStyle name="Normal 245" xfId="47709"/>
    <cellStyle name="Normal 246" xfId="47710"/>
    <cellStyle name="Normal 247" xfId="47711"/>
    <cellStyle name="Normal 248" xfId="47712"/>
    <cellStyle name="Normal 249" xfId="47713"/>
    <cellStyle name="Normal 25" xfId="47714"/>
    <cellStyle name="Normal 25 10" xfId="47715"/>
    <cellStyle name="Normal 25 10 2" xfId="47716"/>
    <cellStyle name="Normal 25 11" xfId="47717"/>
    <cellStyle name="Normal 25 11 2" xfId="47718"/>
    <cellStyle name="Normal 25 12" xfId="47719"/>
    <cellStyle name="Normal 25 13" xfId="57849"/>
    <cellStyle name="Normal 25 2" xfId="47720"/>
    <cellStyle name="Normal 25 2 2" xfId="47721"/>
    <cellStyle name="Normal 25 2 2 2" xfId="47722"/>
    <cellStyle name="Normal 25 2 2 2 2" xfId="47723"/>
    <cellStyle name="Normal 25 2 2 2 2 2" xfId="47724"/>
    <cellStyle name="Normal 25 2 2 2 2 2 2" xfId="47725"/>
    <cellStyle name="Normal 25 2 2 2 2 3" xfId="47726"/>
    <cellStyle name="Normal 25 2 2 2 3" xfId="47727"/>
    <cellStyle name="Normal 25 2 2 2 3 2" xfId="47728"/>
    <cellStyle name="Normal 25 2 2 2 4" xfId="47729"/>
    <cellStyle name="Normal 25 2 2 2 4 2" xfId="47730"/>
    <cellStyle name="Normal 25 2 2 2 5" xfId="47731"/>
    <cellStyle name="Normal 25 2 2 2 5 2" xfId="47732"/>
    <cellStyle name="Normal 25 2 2 2 6" xfId="47733"/>
    <cellStyle name="Normal 25 2 2 3" xfId="47734"/>
    <cellStyle name="Normal 25 2 2 3 2" xfId="47735"/>
    <cellStyle name="Normal 25 2 2 3 2 2" xfId="47736"/>
    <cellStyle name="Normal 25 2 2 3 3" xfId="47737"/>
    <cellStyle name="Normal 25 2 2 4" xfId="47738"/>
    <cellStyle name="Normal 25 2 2 4 2" xfId="47739"/>
    <cellStyle name="Normal 25 2 2 5" xfId="47740"/>
    <cellStyle name="Normal 25 2 2 5 2" xfId="47741"/>
    <cellStyle name="Normal 25 2 2 6" xfId="47742"/>
    <cellStyle name="Normal 25 2 3" xfId="47743"/>
    <cellStyle name="Normal 25 2 3 2" xfId="47744"/>
    <cellStyle name="Normal 25 2 3 2 2" xfId="47745"/>
    <cellStyle name="Normal 25 2 3 2 2 2" xfId="47746"/>
    <cellStyle name="Normal 25 2 3 2 3" xfId="47747"/>
    <cellStyle name="Normal 25 2 3 3" xfId="47748"/>
    <cellStyle name="Normal 25 2 3 3 2" xfId="47749"/>
    <cellStyle name="Normal 25 2 3 4" xfId="47750"/>
    <cellStyle name="Normal 25 2 3 4 2" xfId="47751"/>
    <cellStyle name="Normal 25 2 3 5" xfId="47752"/>
    <cellStyle name="Normal 25 2 4" xfId="47753"/>
    <cellStyle name="Normal 25 2 4 2" xfId="47754"/>
    <cellStyle name="Normal 25 2 5" xfId="47755"/>
    <cellStyle name="Normal 25 3" xfId="47756"/>
    <cellStyle name="Normal 25 3 2" xfId="47757"/>
    <cellStyle name="Normal 25 3 2 2" xfId="47758"/>
    <cellStyle name="Normal 25 3 2 2 2" xfId="47759"/>
    <cellStyle name="Normal 25 3 2 2 2 2" xfId="47760"/>
    <cellStyle name="Normal 25 3 2 2 2 2 2" xfId="47761"/>
    <cellStyle name="Normal 25 3 2 2 2 3" xfId="47762"/>
    <cellStyle name="Normal 25 3 2 2 3" xfId="47763"/>
    <cellStyle name="Normal 25 3 2 2 3 2" xfId="47764"/>
    <cellStyle name="Normal 25 3 2 2 4" xfId="47765"/>
    <cellStyle name="Normal 25 3 2 2 4 2" xfId="47766"/>
    <cellStyle name="Normal 25 3 2 2 5" xfId="47767"/>
    <cellStyle name="Normal 25 3 2 2 5 2" xfId="47768"/>
    <cellStyle name="Normal 25 3 2 2 6" xfId="47769"/>
    <cellStyle name="Normal 25 3 2 3" xfId="47770"/>
    <cellStyle name="Normal 25 3 2 3 2" xfId="47771"/>
    <cellStyle name="Normal 25 3 2 3 2 2" xfId="47772"/>
    <cellStyle name="Normal 25 3 2 3 3" xfId="47773"/>
    <cellStyle name="Normal 25 3 2 4" xfId="47774"/>
    <cellStyle name="Normal 25 3 2 4 2" xfId="47775"/>
    <cellStyle name="Normal 25 3 2 5" xfId="47776"/>
    <cellStyle name="Normal 25 3 2 5 2" xfId="47777"/>
    <cellStyle name="Normal 25 3 2 6" xfId="47778"/>
    <cellStyle name="Normal 25 3 2 6 2" xfId="47779"/>
    <cellStyle name="Normal 25 3 2 7" xfId="47780"/>
    <cellStyle name="Normal 25 3 3" xfId="47781"/>
    <cellStyle name="Normal 25 3 3 2" xfId="47782"/>
    <cellStyle name="Normal 25 3 3 2 2" xfId="47783"/>
    <cellStyle name="Normal 25 3 3 2 2 2" xfId="47784"/>
    <cellStyle name="Normal 25 3 3 2 3" xfId="47785"/>
    <cellStyle name="Normal 25 3 3 3" xfId="47786"/>
    <cellStyle name="Normal 25 3 3 3 2" xfId="47787"/>
    <cellStyle name="Normal 25 3 3 4" xfId="47788"/>
    <cellStyle name="Normal 25 3 4" xfId="47789"/>
    <cellStyle name="Normal 25 3 4 2" xfId="47790"/>
    <cellStyle name="Normal 25 3 5" xfId="47791"/>
    <cellStyle name="Normal 25 4" xfId="47792"/>
    <cellStyle name="Normal 25 4 2" xfId="47793"/>
    <cellStyle name="Normal 25 4 2 2" xfId="47794"/>
    <cellStyle name="Normal 25 4 2 2 2" xfId="47795"/>
    <cellStyle name="Normal 25 4 2 2 2 2" xfId="47796"/>
    <cellStyle name="Normal 25 4 2 2 3" xfId="47797"/>
    <cellStyle name="Normal 25 4 2 3" xfId="47798"/>
    <cellStyle name="Normal 25 4 2 3 2" xfId="47799"/>
    <cellStyle name="Normal 25 4 2 4" xfId="47800"/>
    <cellStyle name="Normal 25 4 2 4 2" xfId="47801"/>
    <cellStyle name="Normal 25 4 2 5" xfId="47802"/>
    <cellStyle name="Normal 25 4 3" xfId="47803"/>
    <cellStyle name="Normal 25 4 3 2" xfId="47804"/>
    <cellStyle name="Normal 25 4 4" xfId="47805"/>
    <cellStyle name="Normal 25 4 4 2" xfId="47806"/>
    <cellStyle name="Normal 25 4 5" xfId="47807"/>
    <cellStyle name="Normal 25 4 5 2" xfId="47808"/>
    <cellStyle name="Normal 25 4 6" xfId="47809"/>
    <cellStyle name="Normal 25 5" xfId="47810"/>
    <cellStyle name="Normal 25 5 2" xfId="47811"/>
    <cellStyle name="Normal 25 5 2 2" xfId="47812"/>
    <cellStyle name="Normal 25 5 2 2 2" xfId="47813"/>
    <cellStyle name="Normal 25 5 2 2 2 2" xfId="47814"/>
    <cellStyle name="Normal 25 5 2 2 3" xfId="47815"/>
    <cellStyle name="Normal 25 5 2 3" xfId="47816"/>
    <cellStyle name="Normal 25 5 2 3 2" xfId="47817"/>
    <cellStyle name="Normal 25 5 2 4" xfId="47818"/>
    <cellStyle name="Normal 25 5 2 4 2" xfId="47819"/>
    <cellStyle name="Normal 25 5 2 5" xfId="47820"/>
    <cellStyle name="Normal 25 5 3" xfId="47821"/>
    <cellStyle name="Normal 25 5 3 2" xfId="47822"/>
    <cellStyle name="Normal 25 5 4" xfId="47823"/>
    <cellStyle name="Normal 25 5 5" xfId="47824"/>
    <cellStyle name="Normal 25 5 5 2" xfId="47825"/>
    <cellStyle name="Normal 25 6" xfId="47826"/>
    <cellStyle name="Normal 25 6 2" xfId="47827"/>
    <cellStyle name="Normal 25 6 2 2" xfId="47828"/>
    <cellStyle name="Normal 25 6 3" xfId="47829"/>
    <cellStyle name="Normal 25 7" xfId="47830"/>
    <cellStyle name="Normal 25 7 2" xfId="47831"/>
    <cellStyle name="Normal 25 7 2 2" xfId="47832"/>
    <cellStyle name="Normal 25 7 3" xfId="47833"/>
    <cellStyle name="Normal 25 8" xfId="47834"/>
    <cellStyle name="Normal 25 8 2" xfId="47835"/>
    <cellStyle name="Normal 25 8 2 2" xfId="47836"/>
    <cellStyle name="Normal 25 8 2 2 2" xfId="47837"/>
    <cellStyle name="Normal 25 8 2 3" xfId="47838"/>
    <cellStyle name="Normal 25 8 3" xfId="47839"/>
    <cellStyle name="Normal 25 8 3 2" xfId="47840"/>
    <cellStyle name="Normal 25 8 4" xfId="47841"/>
    <cellStyle name="Normal 25 8 4 2" xfId="47842"/>
    <cellStyle name="Normal 25 8 5" xfId="47843"/>
    <cellStyle name="Normal 25 9" xfId="47844"/>
    <cellStyle name="Normal 25 9 2" xfId="47845"/>
    <cellStyle name="Normal 250" xfId="47846"/>
    <cellStyle name="Normal 251" xfId="47847"/>
    <cellStyle name="Normal 252" xfId="47848"/>
    <cellStyle name="Normal 253" xfId="47849"/>
    <cellStyle name="Normal 254" xfId="47850"/>
    <cellStyle name="Normal 255" xfId="47851"/>
    <cellStyle name="Normal 256" xfId="47852"/>
    <cellStyle name="Normal 257" xfId="47853"/>
    <cellStyle name="Normal 258" xfId="47854"/>
    <cellStyle name="Normal 259" xfId="47855"/>
    <cellStyle name="Normal 26" xfId="47856"/>
    <cellStyle name="Normal 26 10" xfId="47857"/>
    <cellStyle name="Normal 26 11" xfId="47858"/>
    <cellStyle name="Normal 26 12" xfId="47859"/>
    <cellStyle name="Normal 26 13" xfId="47860"/>
    <cellStyle name="Normal 26 14" xfId="47861"/>
    <cellStyle name="Normal 26 15" xfId="47862"/>
    <cellStyle name="Normal 26 16" xfId="47863"/>
    <cellStyle name="Normal 26 17" xfId="47864"/>
    <cellStyle name="Normal 26 18" xfId="47865"/>
    <cellStyle name="Normal 26 19" xfId="47866"/>
    <cellStyle name="Normal 26 2" xfId="47867"/>
    <cellStyle name="Normal 26 2 2" xfId="47868"/>
    <cellStyle name="Normal 26 2 2 2" xfId="47869"/>
    <cellStyle name="Normal 26 2 2 2 2" xfId="47870"/>
    <cellStyle name="Normal 26 2 2 2 2 2" xfId="47871"/>
    <cellStyle name="Normal 26 2 2 2 2 2 2" xfId="47872"/>
    <cellStyle name="Normal 26 2 2 2 2 3" xfId="47873"/>
    <cellStyle name="Normal 26 2 2 2 3" xfId="47874"/>
    <cellStyle name="Normal 26 2 2 2 3 2" xfId="47875"/>
    <cellStyle name="Normal 26 2 2 2 4" xfId="47876"/>
    <cellStyle name="Normal 26 2 2 2 4 2" xfId="47877"/>
    <cellStyle name="Normal 26 2 2 2 5" xfId="47878"/>
    <cellStyle name="Normal 26 2 2 2 5 2" xfId="47879"/>
    <cellStyle name="Normal 26 2 2 2 6" xfId="47880"/>
    <cellStyle name="Normal 26 2 2 3" xfId="47881"/>
    <cellStyle name="Normal 26 2 2 3 2" xfId="47882"/>
    <cellStyle name="Normal 26 2 2 3 2 2" xfId="47883"/>
    <cellStyle name="Normal 26 2 2 3 3" xfId="47884"/>
    <cellStyle name="Normal 26 2 2 4" xfId="47885"/>
    <cellStyle name="Normal 26 2 2 4 2" xfId="47886"/>
    <cellStyle name="Normal 26 2 2 5" xfId="47887"/>
    <cellStyle name="Normal 26 2 3" xfId="47888"/>
    <cellStyle name="Normal 26 2 3 2" xfId="47889"/>
    <cellStyle name="Normal 26 2 3 2 2" xfId="47890"/>
    <cellStyle name="Normal 26 2 3 2 2 2" xfId="47891"/>
    <cellStyle name="Normal 26 2 3 2 3" xfId="47892"/>
    <cellStyle name="Normal 26 2 3 3" xfId="47893"/>
    <cellStyle name="Normal 26 2 3 3 2" xfId="47894"/>
    <cellStyle name="Normal 26 2 3 4" xfId="47895"/>
    <cellStyle name="Normal 26 2 3 4 2" xfId="47896"/>
    <cellStyle name="Normal 26 2 3 5" xfId="47897"/>
    <cellStyle name="Normal 26 2 4" xfId="47898"/>
    <cellStyle name="Normal 26 2 4 2" xfId="47899"/>
    <cellStyle name="Normal 26 2 5" xfId="47900"/>
    <cellStyle name="Normal 26 20" xfId="47901"/>
    <cellStyle name="Normal 26 21" xfId="47902"/>
    <cellStyle name="Normal 26 22" xfId="47903"/>
    <cellStyle name="Normal 26 23" xfId="47904"/>
    <cellStyle name="Normal 26 24" xfId="47905"/>
    <cellStyle name="Normal 26 25" xfId="47906"/>
    <cellStyle name="Normal 26 26" xfId="47907"/>
    <cellStyle name="Normal 26 27" xfId="47908"/>
    <cellStyle name="Normal 26 28" xfId="47909"/>
    <cellStyle name="Normal 26 29" xfId="47910"/>
    <cellStyle name="Normal 26 3" xfId="47911"/>
    <cellStyle name="Normal 26 3 2" xfId="47912"/>
    <cellStyle name="Normal 26 3 2 2" xfId="47913"/>
    <cellStyle name="Normal 26 3 2 2 2" xfId="47914"/>
    <cellStyle name="Normal 26 3 2 2 2 2" xfId="47915"/>
    <cellStyle name="Normal 26 3 2 2 3" xfId="47916"/>
    <cellStyle name="Normal 26 3 2 3" xfId="47917"/>
    <cellStyle name="Normal 26 3 2 3 2" xfId="47918"/>
    <cellStyle name="Normal 26 3 2 4" xfId="47919"/>
    <cellStyle name="Normal 26 3 2 5" xfId="47920"/>
    <cellStyle name="Normal 26 3 2 5 2" xfId="47921"/>
    <cellStyle name="Normal 26 3 3" xfId="47922"/>
    <cellStyle name="Normal 26 3 3 2" xfId="47923"/>
    <cellStyle name="Normal 26 3 3 2 2" xfId="47924"/>
    <cellStyle name="Normal 26 3 3 2 2 2" xfId="47925"/>
    <cellStyle name="Normal 26 3 3 2 3" xfId="47926"/>
    <cellStyle name="Normal 26 3 3 3" xfId="47927"/>
    <cellStyle name="Normal 26 3 3 3 2" xfId="47928"/>
    <cellStyle name="Normal 26 3 3 4" xfId="47929"/>
    <cellStyle name="Normal 26 3 3 4 2" xfId="47930"/>
    <cellStyle name="Normal 26 3 3 5" xfId="47931"/>
    <cellStyle name="Normal 26 3 4" xfId="47932"/>
    <cellStyle name="Normal 26 3 4 2" xfId="47933"/>
    <cellStyle name="Normal 26 3 4 2 2" xfId="47934"/>
    <cellStyle name="Normal 26 3 4 3" xfId="47935"/>
    <cellStyle name="Normal 26 3 5" xfId="47936"/>
    <cellStyle name="Normal 26 3 5 2" xfId="47937"/>
    <cellStyle name="Normal 26 3 6" xfId="47938"/>
    <cellStyle name="Normal 26 3 6 2" xfId="47939"/>
    <cellStyle name="Normal 26 3 7" xfId="47940"/>
    <cellStyle name="Normal 26 30" xfId="47941"/>
    <cellStyle name="Normal 26 31" xfId="47942"/>
    <cellStyle name="Normal 26 32" xfId="47943"/>
    <cellStyle name="Normal 26 33" xfId="47944"/>
    <cellStyle name="Normal 26 34" xfId="47945"/>
    <cellStyle name="Normal 26 35" xfId="47946"/>
    <cellStyle name="Normal 26 36" xfId="47947"/>
    <cellStyle name="Normal 26 37" xfId="47948"/>
    <cellStyle name="Normal 26 38" xfId="47949"/>
    <cellStyle name="Normal 26 39" xfId="47950"/>
    <cellStyle name="Normal 26 4" xfId="47951"/>
    <cellStyle name="Normal 26 4 2" xfId="47952"/>
    <cellStyle name="Normal 26 4 2 2" xfId="47953"/>
    <cellStyle name="Normal 26 4 2 2 2" xfId="47954"/>
    <cellStyle name="Normal 26 4 2 3" xfId="47955"/>
    <cellStyle name="Normal 26 4 3" xfId="47956"/>
    <cellStyle name="Normal 26 4 3 2" xfId="47957"/>
    <cellStyle name="Normal 26 4 4" xfId="47958"/>
    <cellStyle name="Normal 26 4 5" xfId="47959"/>
    <cellStyle name="Normal 26 4 5 2" xfId="47960"/>
    <cellStyle name="Normal 26 40" xfId="47961"/>
    <cellStyle name="Normal 26 41" xfId="47962"/>
    <cellStyle name="Normal 26 42" xfId="47963"/>
    <cellStyle name="Normal 26 43" xfId="47964"/>
    <cellStyle name="Normal 26 44" xfId="47965"/>
    <cellStyle name="Normal 26 45" xfId="47966"/>
    <cellStyle name="Normal 26 46" xfId="47967"/>
    <cellStyle name="Normal 26 47" xfId="47968"/>
    <cellStyle name="Normal 26 48" xfId="47969"/>
    <cellStyle name="Normal 26 49" xfId="47970"/>
    <cellStyle name="Normal 26 5" xfId="47971"/>
    <cellStyle name="Normal 26 5 2" xfId="47972"/>
    <cellStyle name="Normal 26 5 2 2" xfId="47973"/>
    <cellStyle name="Normal 26 5 2 2 2" xfId="47974"/>
    <cellStyle name="Normal 26 5 2 3" xfId="47975"/>
    <cellStyle name="Normal 26 5 2 3 2" xfId="47976"/>
    <cellStyle name="Normal 26 5 2 4" xfId="47977"/>
    <cellStyle name="Normal 26 5 2 4 2" xfId="47978"/>
    <cellStyle name="Normal 26 5 2 5" xfId="47979"/>
    <cellStyle name="Normal 26 5 3" xfId="47980"/>
    <cellStyle name="Normal 26 5 3 2" xfId="47981"/>
    <cellStyle name="Normal 26 5 4" xfId="47982"/>
    <cellStyle name="Normal 26 5 5" xfId="47983"/>
    <cellStyle name="Normal 26 5 5 2" xfId="47984"/>
    <cellStyle name="Normal 26 50" xfId="47985"/>
    <cellStyle name="Normal 26 51" xfId="47986"/>
    <cellStyle name="Normal 26 52" xfId="47987"/>
    <cellStyle name="Normal 26 53" xfId="47988"/>
    <cellStyle name="Normal 26 54" xfId="47989"/>
    <cellStyle name="Normal 26 55" xfId="47990"/>
    <cellStyle name="Normal 26 56" xfId="47991"/>
    <cellStyle name="Normal 26 57" xfId="57850"/>
    <cellStyle name="Normal 26 6" xfId="47992"/>
    <cellStyle name="Normal 26 6 2" xfId="47993"/>
    <cellStyle name="Normal 26 6 2 2" xfId="47994"/>
    <cellStyle name="Normal 26 6 3" xfId="47995"/>
    <cellStyle name="Normal 26 7" xfId="47996"/>
    <cellStyle name="Normal 26 7 2" xfId="47997"/>
    <cellStyle name="Normal 26 7 2 2" xfId="47998"/>
    <cellStyle name="Normal 26 7 3" xfId="47999"/>
    <cellStyle name="Normal 26 8" xfId="48000"/>
    <cellStyle name="Normal 26 8 2" xfId="48001"/>
    <cellStyle name="Normal 26 8 2 2" xfId="48002"/>
    <cellStyle name="Normal 26 8 2 2 2" xfId="48003"/>
    <cellStyle name="Normal 26 8 2 3" xfId="48004"/>
    <cellStyle name="Normal 26 8 3" xfId="48005"/>
    <cellStyle name="Normal 26 8 3 2" xfId="48006"/>
    <cellStyle name="Normal 26 8 4" xfId="48007"/>
    <cellStyle name="Normal 26 8 4 2" xfId="48008"/>
    <cellStyle name="Normal 26 8 5" xfId="48009"/>
    <cellStyle name="Normal 26 9" xfId="48010"/>
    <cellStyle name="Normal 26 9 2" xfId="48011"/>
    <cellStyle name="Normal 260" xfId="48012"/>
    <cellStyle name="Normal 261" xfId="48013"/>
    <cellStyle name="Normal 262" xfId="48014"/>
    <cellStyle name="Normal 263" xfId="48015"/>
    <cellStyle name="Normal 264" xfId="48016"/>
    <cellStyle name="Normal 265" xfId="48017"/>
    <cellStyle name="Normal 265 2" xfId="48018"/>
    <cellStyle name="Normal 265 3" xfId="48019"/>
    <cellStyle name="Normal 265 3 2" xfId="48020"/>
    <cellStyle name="Normal 266" xfId="48021"/>
    <cellStyle name="Normal 266 2" xfId="48022"/>
    <cellStyle name="Normal 266 3" xfId="48023"/>
    <cellStyle name="Normal 267" xfId="48024"/>
    <cellStyle name="Normal 268" xfId="48025"/>
    <cellStyle name="Normal 268 2" xfId="48026"/>
    <cellStyle name="Normal 269" xfId="48027"/>
    <cellStyle name="Normal 27" xfId="48028"/>
    <cellStyle name="Normal 27 10" xfId="48029"/>
    <cellStyle name="Normal 27 10 2" xfId="48030"/>
    <cellStyle name="Normal 27 11" xfId="48031"/>
    <cellStyle name="Normal 27 11 2" xfId="48032"/>
    <cellStyle name="Normal 27 12" xfId="48033"/>
    <cellStyle name="Normal 27 13" xfId="57851"/>
    <cellStyle name="Normal 27 2" xfId="48034"/>
    <cellStyle name="Normal 27 2 2" xfId="48035"/>
    <cellStyle name="Normal 27 2 2 2" xfId="48036"/>
    <cellStyle name="Normal 27 2 2 2 2" xfId="48037"/>
    <cellStyle name="Normal 27 2 2 2 2 2" xfId="48038"/>
    <cellStyle name="Normal 27 2 2 2 3" xfId="48039"/>
    <cellStyle name="Normal 27 2 2 3" xfId="48040"/>
    <cellStyle name="Normal 27 2 2 3 2" xfId="48041"/>
    <cellStyle name="Normal 27 2 2 4" xfId="48042"/>
    <cellStyle name="Normal 27 2 3" xfId="48043"/>
    <cellStyle name="Normal 27 2 3 2" xfId="48044"/>
    <cellStyle name="Normal 27 2 3 2 2" xfId="48045"/>
    <cellStyle name="Normal 27 2 3 2 2 2" xfId="48046"/>
    <cellStyle name="Normal 27 2 3 2 3" xfId="48047"/>
    <cellStyle name="Normal 27 2 3 3" xfId="48048"/>
    <cellStyle name="Normal 27 2 3 3 2" xfId="48049"/>
    <cellStyle name="Normal 27 2 3 4" xfId="48050"/>
    <cellStyle name="Normal 27 2 4" xfId="48051"/>
    <cellStyle name="Normal 27 2 4 2" xfId="48052"/>
    <cellStyle name="Normal 27 2 5" xfId="48053"/>
    <cellStyle name="Normal 27 3" xfId="48054"/>
    <cellStyle name="Normal 27 3 2" xfId="48055"/>
    <cellStyle name="Normal 27 3 2 2" xfId="48056"/>
    <cellStyle name="Normal 27 3 2 2 2" xfId="48057"/>
    <cellStyle name="Normal 27 3 2 2 2 2" xfId="48058"/>
    <cellStyle name="Normal 27 3 2 2 3" xfId="48059"/>
    <cellStyle name="Normal 27 3 2 2 3 2" xfId="48060"/>
    <cellStyle name="Normal 27 3 2 2 4" xfId="48061"/>
    <cellStyle name="Normal 27 3 2 2 4 2" xfId="48062"/>
    <cellStyle name="Normal 27 3 2 2 5" xfId="48063"/>
    <cellStyle name="Normal 27 3 2 3" xfId="48064"/>
    <cellStyle name="Normal 27 3 2 3 2" xfId="48065"/>
    <cellStyle name="Normal 27 3 2 4" xfId="48066"/>
    <cellStyle name="Normal 27 3 2 4 2" xfId="48067"/>
    <cellStyle name="Normal 27 3 2 5" xfId="48068"/>
    <cellStyle name="Normal 27 3 2 5 2" xfId="48069"/>
    <cellStyle name="Normal 27 3 2 6" xfId="48070"/>
    <cellStyle name="Normal 27 3 3" xfId="48071"/>
    <cellStyle name="Normal 27 3 3 2" xfId="48072"/>
    <cellStyle name="Normal 27 3 3 2 2" xfId="48073"/>
    <cellStyle name="Normal 27 3 3 2 2 2" xfId="48074"/>
    <cellStyle name="Normal 27 3 3 2 3" xfId="48075"/>
    <cellStyle name="Normal 27 3 3 3" xfId="48076"/>
    <cellStyle name="Normal 27 3 3 3 2" xfId="48077"/>
    <cellStyle name="Normal 27 3 3 4" xfId="48078"/>
    <cellStyle name="Normal 27 3 3 4 2" xfId="48079"/>
    <cellStyle name="Normal 27 3 3 5" xfId="48080"/>
    <cellStyle name="Normal 27 3 4" xfId="48081"/>
    <cellStyle name="Normal 27 3 4 2" xfId="48082"/>
    <cellStyle name="Normal 27 3 5" xfId="48083"/>
    <cellStyle name="Normal 27 3 5 2" xfId="48084"/>
    <cellStyle name="Normal 27 3 6" xfId="48085"/>
    <cellStyle name="Normal 27 3 6 2" xfId="48086"/>
    <cellStyle name="Normal 27 3 7" xfId="48087"/>
    <cellStyle name="Normal 27 4" xfId="48088"/>
    <cellStyle name="Normal 27 4 2" xfId="48089"/>
    <cellStyle name="Normal 27 4 2 2" xfId="48090"/>
    <cellStyle name="Normal 27 4 2 2 2" xfId="48091"/>
    <cellStyle name="Normal 27 4 2 3" xfId="48092"/>
    <cellStyle name="Normal 27 4 2 4" xfId="48093"/>
    <cellStyle name="Normal 27 4 2 4 2" xfId="48094"/>
    <cellStyle name="Normal 27 4 3" xfId="48095"/>
    <cellStyle name="Normal 27 4 3 2" xfId="48096"/>
    <cellStyle name="Normal 27 4 4" xfId="48097"/>
    <cellStyle name="Normal 27 4 5" xfId="48098"/>
    <cellStyle name="Normal 27 4 5 2" xfId="48099"/>
    <cellStyle name="Normal 27 5" xfId="48100"/>
    <cellStyle name="Normal 27 5 2" xfId="48101"/>
    <cellStyle name="Normal 27 5 2 2" xfId="48102"/>
    <cellStyle name="Normal 27 5 2 2 2" xfId="48103"/>
    <cellStyle name="Normal 27 5 2 3" xfId="48104"/>
    <cellStyle name="Normal 27 5 2 3 2" xfId="48105"/>
    <cellStyle name="Normal 27 5 2 4" xfId="48106"/>
    <cellStyle name="Normal 27 5 2 4 2" xfId="48107"/>
    <cellStyle name="Normal 27 5 2 5" xfId="48108"/>
    <cellStyle name="Normal 27 5 3" xfId="48109"/>
    <cellStyle name="Normal 27 5 3 2" xfId="48110"/>
    <cellStyle name="Normal 27 5 4" xfId="48111"/>
    <cellStyle name="Normal 27 6" xfId="48112"/>
    <cellStyle name="Normal 27 6 2" xfId="48113"/>
    <cellStyle name="Normal 27 6 2 2" xfId="48114"/>
    <cellStyle name="Normal 27 6 3" xfId="48115"/>
    <cellStyle name="Normal 27 7" xfId="48116"/>
    <cellStyle name="Normal 27 7 2" xfId="48117"/>
    <cellStyle name="Normal 27 7 2 2" xfId="48118"/>
    <cellStyle name="Normal 27 7 3" xfId="48119"/>
    <cellStyle name="Normal 27 8" xfId="48120"/>
    <cellStyle name="Normal 27 8 2" xfId="48121"/>
    <cellStyle name="Normal 27 8 2 2" xfId="48122"/>
    <cellStyle name="Normal 27 8 2 2 2" xfId="48123"/>
    <cellStyle name="Normal 27 8 2 3" xfId="48124"/>
    <cellStyle name="Normal 27 8 3" xfId="48125"/>
    <cellStyle name="Normal 27 8 3 2" xfId="48126"/>
    <cellStyle name="Normal 27 8 4" xfId="48127"/>
    <cellStyle name="Normal 27 8 4 2" xfId="48128"/>
    <cellStyle name="Normal 27 8 5" xfId="48129"/>
    <cellStyle name="Normal 27 9" xfId="48130"/>
    <cellStyle name="Normal 27 9 2" xfId="48131"/>
    <cellStyle name="Normal 270" xfId="48132"/>
    <cellStyle name="Normal 271" xfId="48133"/>
    <cellStyle name="Normal 271 2" xfId="48134"/>
    <cellStyle name="Normal 272" xfId="48135"/>
    <cellStyle name="Normal 273" xfId="48136"/>
    <cellStyle name="Normal 274" xfId="48137"/>
    <cellStyle name="Normal 275" xfId="48138"/>
    <cellStyle name="Normal 276" xfId="48139"/>
    <cellStyle name="Normal 277" xfId="48140"/>
    <cellStyle name="Normal 278" xfId="48141"/>
    <cellStyle name="Normal 279" xfId="48142"/>
    <cellStyle name="Normal 28" xfId="48143"/>
    <cellStyle name="Normal 28 10" xfId="48144"/>
    <cellStyle name="Normal 28 10 2" xfId="48145"/>
    <cellStyle name="Normal 28 11" xfId="48146"/>
    <cellStyle name="Normal 28 11 2" xfId="48147"/>
    <cellStyle name="Normal 28 12" xfId="48148"/>
    <cellStyle name="Normal 28 13" xfId="57852"/>
    <cellStyle name="Normal 28 2" xfId="48149"/>
    <cellStyle name="Normal 28 2 2" xfId="48150"/>
    <cellStyle name="Normal 28 2 2 2" xfId="48151"/>
    <cellStyle name="Normal 28 2 2 2 2" xfId="48152"/>
    <cellStyle name="Normal 28 2 2 2 2 2" xfId="48153"/>
    <cellStyle name="Normal 28 2 2 2 2 2 2" xfId="48154"/>
    <cellStyle name="Normal 28 2 2 2 2 3" xfId="48155"/>
    <cellStyle name="Normal 28 2 2 2 3" xfId="48156"/>
    <cellStyle name="Normal 28 2 2 2 3 2" xfId="48157"/>
    <cellStyle name="Normal 28 2 2 2 4" xfId="48158"/>
    <cellStyle name="Normal 28 2 2 2 4 2" xfId="48159"/>
    <cellStyle name="Normal 28 2 2 2 5" xfId="48160"/>
    <cellStyle name="Normal 28 2 2 2 5 2" xfId="48161"/>
    <cellStyle name="Normal 28 2 2 2 6" xfId="48162"/>
    <cellStyle name="Normal 28 2 2 3" xfId="48163"/>
    <cellStyle name="Normal 28 2 2 3 2" xfId="48164"/>
    <cellStyle name="Normal 28 2 2 3 2 2" xfId="48165"/>
    <cellStyle name="Normal 28 2 2 3 3" xfId="48166"/>
    <cellStyle name="Normal 28 2 2 4" xfId="48167"/>
    <cellStyle name="Normal 28 2 2 4 2" xfId="48168"/>
    <cellStyle name="Normal 28 2 2 5" xfId="48169"/>
    <cellStyle name="Normal 28 2 2 5 2" xfId="48170"/>
    <cellStyle name="Normal 28 2 2 6" xfId="48171"/>
    <cellStyle name="Normal 28 2 2 6 2" xfId="48172"/>
    <cellStyle name="Normal 28 2 2 7" xfId="48173"/>
    <cellStyle name="Normal 28 2 3" xfId="48174"/>
    <cellStyle name="Normal 28 2 3 2" xfId="48175"/>
    <cellStyle name="Normal 28 2 3 2 2" xfId="48176"/>
    <cellStyle name="Normal 28 2 3 2 2 2" xfId="48177"/>
    <cellStyle name="Normal 28 2 3 2 3" xfId="48178"/>
    <cellStyle name="Normal 28 2 3 3" xfId="48179"/>
    <cellStyle name="Normal 28 2 3 3 2" xfId="48180"/>
    <cellStyle name="Normal 28 2 3 4" xfId="48181"/>
    <cellStyle name="Normal 28 2 3 4 2" xfId="48182"/>
    <cellStyle name="Normal 28 2 3 5" xfId="48183"/>
    <cellStyle name="Normal 28 2 3 5 2" xfId="48184"/>
    <cellStyle name="Normal 28 2 3 6" xfId="48185"/>
    <cellStyle name="Normal 28 2 4" xfId="48186"/>
    <cellStyle name="Normal 28 2 4 2" xfId="48187"/>
    <cellStyle name="Normal 28 2 4 2 2" xfId="48188"/>
    <cellStyle name="Normal 28 2 4 3" xfId="48189"/>
    <cellStyle name="Normal 28 2 5" xfId="48190"/>
    <cellStyle name="Normal 28 2 5 2" xfId="48191"/>
    <cellStyle name="Normal 28 2 6" xfId="48192"/>
    <cellStyle name="Normal 28 2 6 2" xfId="48193"/>
    <cellStyle name="Normal 28 2 7" xfId="48194"/>
    <cellStyle name="Normal 28 2 7 2" xfId="48195"/>
    <cellStyle name="Normal 28 2 8" xfId="48196"/>
    <cellStyle name="Normal 28 3" xfId="48197"/>
    <cellStyle name="Normal 28 3 2" xfId="48198"/>
    <cellStyle name="Normal 28 3 2 2" xfId="48199"/>
    <cellStyle name="Normal 28 3 2 2 2" xfId="48200"/>
    <cellStyle name="Normal 28 3 2 2 2 2" xfId="48201"/>
    <cellStyle name="Normal 28 3 2 2 2 2 2" xfId="48202"/>
    <cellStyle name="Normal 28 3 2 2 2 3" xfId="48203"/>
    <cellStyle name="Normal 28 3 2 2 3" xfId="48204"/>
    <cellStyle name="Normal 28 3 2 2 3 2" xfId="48205"/>
    <cellStyle name="Normal 28 3 2 2 4" xfId="48206"/>
    <cellStyle name="Normal 28 3 2 2 4 2" xfId="48207"/>
    <cellStyle name="Normal 28 3 2 2 5" xfId="48208"/>
    <cellStyle name="Normal 28 3 2 2 5 2" xfId="48209"/>
    <cellStyle name="Normal 28 3 2 2 6" xfId="48210"/>
    <cellStyle name="Normal 28 3 2 3" xfId="48211"/>
    <cellStyle name="Normal 28 3 2 3 2" xfId="48212"/>
    <cellStyle name="Normal 28 3 2 3 2 2" xfId="48213"/>
    <cellStyle name="Normal 28 3 2 3 3" xfId="48214"/>
    <cellStyle name="Normal 28 3 2 4" xfId="48215"/>
    <cellStyle name="Normal 28 3 2 4 2" xfId="48216"/>
    <cellStyle name="Normal 28 3 2 5" xfId="48217"/>
    <cellStyle name="Normal 28 3 2 5 2" xfId="48218"/>
    <cellStyle name="Normal 28 3 2 6" xfId="48219"/>
    <cellStyle name="Normal 28 3 2 6 2" xfId="48220"/>
    <cellStyle name="Normal 28 3 2 7" xfId="48221"/>
    <cellStyle name="Normal 28 3 3" xfId="48222"/>
    <cellStyle name="Normal 28 3 3 2" xfId="48223"/>
    <cellStyle name="Normal 28 3 3 2 2" xfId="48224"/>
    <cellStyle name="Normal 28 3 3 2 2 2" xfId="48225"/>
    <cellStyle name="Normal 28 3 3 2 3" xfId="48226"/>
    <cellStyle name="Normal 28 3 3 3" xfId="48227"/>
    <cellStyle name="Normal 28 3 3 3 2" xfId="48228"/>
    <cellStyle name="Normal 28 3 3 4" xfId="48229"/>
    <cellStyle name="Normal 28 3 3 4 2" xfId="48230"/>
    <cellStyle name="Normal 28 3 3 5" xfId="48231"/>
    <cellStyle name="Normal 28 3 3 5 2" xfId="48232"/>
    <cellStyle name="Normal 28 3 3 6" xfId="48233"/>
    <cellStyle name="Normal 28 3 4" xfId="48234"/>
    <cellStyle name="Normal 28 3 4 2" xfId="48235"/>
    <cellStyle name="Normal 28 3 4 2 2" xfId="48236"/>
    <cellStyle name="Normal 28 3 4 3" xfId="48237"/>
    <cellStyle name="Normal 28 3 5" xfId="48238"/>
    <cellStyle name="Normal 28 3 5 2" xfId="48239"/>
    <cellStyle name="Normal 28 3 6" xfId="48240"/>
    <cellStyle name="Normal 28 3 6 2" xfId="48241"/>
    <cellStyle name="Normal 28 3 7" xfId="48242"/>
    <cellStyle name="Normal 28 4" xfId="48243"/>
    <cellStyle name="Normal 28 4 2" xfId="48244"/>
    <cellStyle name="Normal 28 4 2 2" xfId="48245"/>
    <cellStyle name="Normal 28 4 2 2 2" xfId="48246"/>
    <cellStyle name="Normal 28 4 2 2 2 2" xfId="48247"/>
    <cellStyle name="Normal 28 4 2 2 3" xfId="48248"/>
    <cellStyle name="Normal 28 4 2 3" xfId="48249"/>
    <cellStyle name="Normal 28 4 2 3 2" xfId="48250"/>
    <cellStyle name="Normal 28 4 2 4" xfId="48251"/>
    <cellStyle name="Normal 28 4 2 4 2" xfId="48252"/>
    <cellStyle name="Normal 28 4 2 5" xfId="48253"/>
    <cellStyle name="Normal 28 4 2 5 2" xfId="48254"/>
    <cellStyle name="Normal 28 4 2 6" xfId="48255"/>
    <cellStyle name="Normal 28 4 3" xfId="48256"/>
    <cellStyle name="Normal 28 4 3 2" xfId="48257"/>
    <cellStyle name="Normal 28 4 3 2 2" xfId="48258"/>
    <cellStyle name="Normal 28 4 3 3" xfId="48259"/>
    <cellStyle name="Normal 28 4 4" xfId="48260"/>
    <cellStyle name="Normal 28 4 4 2" xfId="48261"/>
    <cellStyle name="Normal 28 4 5" xfId="48262"/>
    <cellStyle name="Normal 28 4 5 2" xfId="48263"/>
    <cellStyle name="Normal 28 4 6" xfId="48264"/>
    <cellStyle name="Normal 28 5" xfId="48265"/>
    <cellStyle name="Normal 28 5 2" xfId="48266"/>
    <cellStyle name="Normal 28 5 2 2" xfId="48267"/>
    <cellStyle name="Normal 28 5 2 2 2" xfId="48268"/>
    <cellStyle name="Normal 28 5 2 3" xfId="48269"/>
    <cellStyle name="Normal 28 5 2 4" xfId="48270"/>
    <cellStyle name="Normal 28 5 2 4 2" xfId="48271"/>
    <cellStyle name="Normal 28 5 3" xfId="48272"/>
    <cellStyle name="Normal 28 5 3 2" xfId="48273"/>
    <cellStyle name="Normal 28 5 3 2 2" xfId="48274"/>
    <cellStyle name="Normal 28 5 3 3" xfId="48275"/>
    <cellStyle name="Normal 28 5 4" xfId="48276"/>
    <cellStyle name="Normal 28 6" xfId="48277"/>
    <cellStyle name="Normal 28 6 2" xfId="48278"/>
    <cellStyle name="Normal 28 6 2 2" xfId="48279"/>
    <cellStyle name="Normal 28 6 2 2 2" xfId="48280"/>
    <cellStyle name="Normal 28 6 2 3" xfId="48281"/>
    <cellStyle name="Normal 28 6 3" xfId="48282"/>
    <cellStyle name="Normal 28 6 3 2" xfId="48283"/>
    <cellStyle name="Normal 28 6 4" xfId="48284"/>
    <cellStyle name="Normal 28 6 4 2" xfId="48285"/>
    <cellStyle name="Normal 28 6 5" xfId="48286"/>
    <cellStyle name="Normal 28 6 5 2" xfId="48287"/>
    <cellStyle name="Normal 28 6 6" xfId="48288"/>
    <cellStyle name="Normal 28 7" xfId="48289"/>
    <cellStyle name="Normal 28 7 2" xfId="48290"/>
    <cellStyle name="Normal 28 7 2 2" xfId="48291"/>
    <cellStyle name="Normal 28 7 3" xfId="48292"/>
    <cellStyle name="Normal 28 8" xfId="48293"/>
    <cellStyle name="Normal 28 8 2" xfId="48294"/>
    <cellStyle name="Normal 28 8 2 2" xfId="48295"/>
    <cellStyle name="Normal 28 8 2 2 2" xfId="48296"/>
    <cellStyle name="Normal 28 8 2 3" xfId="48297"/>
    <cellStyle name="Normal 28 8 3" xfId="48298"/>
    <cellStyle name="Normal 28 8 3 2" xfId="48299"/>
    <cellStyle name="Normal 28 8 4" xfId="48300"/>
    <cellStyle name="Normal 28 8 4 2" xfId="48301"/>
    <cellStyle name="Normal 28 8 5" xfId="48302"/>
    <cellStyle name="Normal 28 8 5 2" xfId="48303"/>
    <cellStyle name="Normal 28 8 6" xfId="48304"/>
    <cellStyle name="Normal 28 9" xfId="48305"/>
    <cellStyle name="Normal 28 9 2" xfId="48306"/>
    <cellStyle name="Normal 28 9 2 2" xfId="48307"/>
    <cellStyle name="Normal 28 9 3" xfId="48308"/>
    <cellStyle name="Normal 280" xfId="48309"/>
    <cellStyle name="Normal 281" xfId="48310"/>
    <cellStyle name="Normal 282" xfId="48311"/>
    <cellStyle name="Normal 283" xfId="48312"/>
    <cellStyle name="Normal 284" xfId="48313"/>
    <cellStyle name="Normal 285" xfId="48314"/>
    <cellStyle name="Normal 286" xfId="48315"/>
    <cellStyle name="Normal 287" xfId="48316"/>
    <cellStyle name="Normal 288" xfId="48317"/>
    <cellStyle name="Normal 289" xfId="48318"/>
    <cellStyle name="Normal 29" xfId="48319"/>
    <cellStyle name="Normal 29 10" xfId="48320"/>
    <cellStyle name="Normal 29 10 2" xfId="48321"/>
    <cellStyle name="Normal 29 11" xfId="48322"/>
    <cellStyle name="Normal 29 11 2" xfId="48323"/>
    <cellStyle name="Normal 29 12" xfId="48324"/>
    <cellStyle name="Normal 29 2" xfId="48325"/>
    <cellStyle name="Normal 29 2 2" xfId="48326"/>
    <cellStyle name="Normal 29 2 2 2" xfId="48327"/>
    <cellStyle name="Normal 29 2 2 2 2" xfId="48328"/>
    <cellStyle name="Normal 29 2 2 2 2 2" xfId="48329"/>
    <cellStyle name="Normal 29 2 2 2 2 2 2" xfId="48330"/>
    <cellStyle name="Normal 29 2 2 2 2 3" xfId="48331"/>
    <cellStyle name="Normal 29 2 2 2 3" xfId="48332"/>
    <cellStyle name="Normal 29 2 2 2 3 2" xfId="48333"/>
    <cellStyle name="Normal 29 2 2 2 4" xfId="48334"/>
    <cellStyle name="Normal 29 2 2 2 4 2" xfId="48335"/>
    <cellStyle name="Normal 29 2 2 2 5" xfId="48336"/>
    <cellStyle name="Normal 29 2 2 2 5 2" xfId="48337"/>
    <cellStyle name="Normal 29 2 2 2 6" xfId="48338"/>
    <cellStyle name="Normal 29 2 2 3" xfId="48339"/>
    <cellStyle name="Normal 29 2 2 3 2" xfId="48340"/>
    <cellStyle name="Normal 29 2 2 4" xfId="48341"/>
    <cellStyle name="Normal 29 2 2 4 2" xfId="48342"/>
    <cellStyle name="Normal 29 2 2 5" xfId="48343"/>
    <cellStyle name="Normal 29 2 2 5 2" xfId="48344"/>
    <cellStyle name="Normal 29 2 2 6" xfId="48345"/>
    <cellStyle name="Normal 29 2 3" xfId="48346"/>
    <cellStyle name="Normal 29 2 3 2" xfId="48347"/>
    <cellStyle name="Normal 29 2 3 2 2" xfId="48348"/>
    <cellStyle name="Normal 29 2 3 2 2 2" xfId="48349"/>
    <cellStyle name="Normal 29 2 3 2 3" xfId="48350"/>
    <cellStyle name="Normal 29 2 3 3" xfId="48351"/>
    <cellStyle name="Normal 29 2 3 3 2" xfId="48352"/>
    <cellStyle name="Normal 29 2 3 4" xfId="48353"/>
    <cellStyle name="Normal 29 2 3 4 2" xfId="48354"/>
    <cellStyle name="Normal 29 2 3 5" xfId="48355"/>
    <cellStyle name="Normal 29 2 3 5 2" xfId="48356"/>
    <cellStyle name="Normal 29 2 3 6" xfId="48357"/>
    <cellStyle name="Normal 29 2 4" xfId="48358"/>
    <cellStyle name="Normal 29 2 4 2" xfId="48359"/>
    <cellStyle name="Normal 29 2 4 2 2" xfId="48360"/>
    <cellStyle name="Normal 29 2 4 3" xfId="48361"/>
    <cellStyle name="Normal 29 2 5" xfId="48362"/>
    <cellStyle name="Normal 29 3" xfId="48363"/>
    <cellStyle name="Normal 29 3 2" xfId="48364"/>
    <cellStyle name="Normal 29 3 2 2" xfId="48365"/>
    <cellStyle name="Normal 29 3 2 2 2" xfId="48366"/>
    <cellStyle name="Normal 29 3 2 2 2 2" xfId="48367"/>
    <cellStyle name="Normal 29 3 2 2 2 2 2" xfId="48368"/>
    <cellStyle name="Normal 29 3 2 2 2 3" xfId="48369"/>
    <cellStyle name="Normal 29 3 2 2 3" xfId="48370"/>
    <cellStyle name="Normal 29 3 2 2 3 2" xfId="48371"/>
    <cellStyle name="Normal 29 3 2 2 4" xfId="48372"/>
    <cellStyle name="Normal 29 3 2 2 4 2" xfId="48373"/>
    <cellStyle name="Normal 29 3 2 2 5" xfId="48374"/>
    <cellStyle name="Normal 29 3 2 3" xfId="48375"/>
    <cellStyle name="Normal 29 3 2 3 2" xfId="48376"/>
    <cellStyle name="Normal 29 3 2 4" xfId="48377"/>
    <cellStyle name="Normal 29 3 2 4 2" xfId="48378"/>
    <cellStyle name="Normal 29 3 2 5" xfId="48379"/>
    <cellStyle name="Normal 29 3 2 5 2" xfId="48380"/>
    <cellStyle name="Normal 29 3 2 6" xfId="48381"/>
    <cellStyle name="Normal 29 3 3" xfId="48382"/>
    <cellStyle name="Normal 29 3 3 2" xfId="48383"/>
    <cellStyle name="Normal 29 3 3 2 2" xfId="48384"/>
    <cellStyle name="Normal 29 3 3 2 2 2" xfId="48385"/>
    <cellStyle name="Normal 29 3 3 2 3" xfId="48386"/>
    <cellStyle name="Normal 29 3 3 3" xfId="48387"/>
    <cellStyle name="Normal 29 3 3 3 2" xfId="48388"/>
    <cellStyle name="Normal 29 3 3 4" xfId="48389"/>
    <cellStyle name="Normal 29 3 3 4 2" xfId="48390"/>
    <cellStyle name="Normal 29 3 3 4 2 2" xfId="48391"/>
    <cellStyle name="Normal 29 3 3 5" xfId="48392"/>
    <cellStyle name="Normal 29 3 4" xfId="48393"/>
    <cellStyle name="Normal 29 3 4 2" xfId="48394"/>
    <cellStyle name="Normal 29 3 5" xfId="48395"/>
    <cellStyle name="Normal 29 3 5 2" xfId="48396"/>
    <cellStyle name="Normal 29 3 6" xfId="48397"/>
    <cellStyle name="Normal 29 3 6 2" xfId="48398"/>
    <cellStyle name="Normal 29 3 7" xfId="48399"/>
    <cellStyle name="Normal 29 4" xfId="48400"/>
    <cellStyle name="Normal 29 4 2" xfId="48401"/>
    <cellStyle name="Normal 29 4 2 2" xfId="48402"/>
    <cellStyle name="Normal 29 4 2 2 2" xfId="48403"/>
    <cellStyle name="Normal 29 4 2 2 2 2" xfId="48404"/>
    <cellStyle name="Normal 29 4 2 2 3" xfId="48405"/>
    <cellStyle name="Normal 29 4 2 3" xfId="48406"/>
    <cellStyle name="Normal 29 4 2 3 2" xfId="48407"/>
    <cellStyle name="Normal 29 4 2 4" xfId="48408"/>
    <cellStyle name="Normal 29 4 2 4 2" xfId="48409"/>
    <cellStyle name="Normal 29 4 2 5" xfId="48410"/>
    <cellStyle name="Normal 29 4 2 5 2" xfId="48411"/>
    <cellStyle name="Normal 29 4 2 6" xfId="48412"/>
    <cellStyle name="Normal 29 4 3" xfId="48413"/>
    <cellStyle name="Normal 29 4 3 2" xfId="48414"/>
    <cellStyle name="Normal 29 4 3 2 2" xfId="48415"/>
    <cellStyle name="Normal 29 4 3 3" xfId="48416"/>
    <cellStyle name="Normal 29 4 4" xfId="48417"/>
    <cellStyle name="Normal 29 5" xfId="48418"/>
    <cellStyle name="Normal 29 5 2" xfId="48419"/>
    <cellStyle name="Normal 29 5 2 2" xfId="48420"/>
    <cellStyle name="Normal 29 5 2 2 2" xfId="48421"/>
    <cellStyle name="Normal 29 5 2 3" xfId="48422"/>
    <cellStyle name="Normal 29 5 2 4" xfId="48423"/>
    <cellStyle name="Normal 29 5 2 4 2" xfId="48424"/>
    <cellStyle name="Normal 29 5 3" xfId="48425"/>
    <cellStyle name="Normal 29 5 3 2" xfId="48426"/>
    <cellStyle name="Normal 29 5 4" xfId="48427"/>
    <cellStyle name="Normal 29 6" xfId="48428"/>
    <cellStyle name="Normal 29 6 2" xfId="48429"/>
    <cellStyle name="Normal 29 6 2 2" xfId="48430"/>
    <cellStyle name="Normal 29 6 3" xfId="48431"/>
    <cellStyle name="Normal 29 7" xfId="48432"/>
    <cellStyle name="Normal 29 7 2" xfId="48433"/>
    <cellStyle name="Normal 29 7 2 2" xfId="48434"/>
    <cellStyle name="Normal 29 7 3" xfId="48435"/>
    <cellStyle name="Normal 29 8" xfId="48436"/>
    <cellStyle name="Normal 29 8 2" xfId="48437"/>
    <cellStyle name="Normal 29 8 2 2" xfId="48438"/>
    <cellStyle name="Normal 29 8 3" xfId="48439"/>
    <cellStyle name="Normal 29 9" xfId="48440"/>
    <cellStyle name="Normal 29 9 2" xfId="48441"/>
    <cellStyle name="Normal 290" xfId="48442"/>
    <cellStyle name="Normal 291" xfId="48443"/>
    <cellStyle name="Normal 292" xfId="48444"/>
    <cellStyle name="Normal 293" xfId="48445"/>
    <cellStyle name="Normal 294" xfId="48446"/>
    <cellStyle name="Normal 295" xfId="48447"/>
    <cellStyle name="Normal 296" xfId="48448"/>
    <cellStyle name="Normal 297" xfId="48449"/>
    <cellStyle name="Normal 298" xfId="48450"/>
    <cellStyle name="Normal 299" xfId="48451"/>
    <cellStyle name="Normal 3" xfId="19"/>
    <cellStyle name="Normal 3 10" xfId="48452"/>
    <cellStyle name="Normal 3 10 2" xfId="48453"/>
    <cellStyle name="Normal 3 10 3" xfId="57853"/>
    <cellStyle name="Normal 3 11" xfId="48454"/>
    <cellStyle name="Normal 3 11 2" xfId="48455"/>
    <cellStyle name="Normal 3 12" xfId="48456"/>
    <cellStyle name="Normal 3 12 2" xfId="48457"/>
    <cellStyle name="Normal 3 13" xfId="48458"/>
    <cellStyle name="Normal 3 13 2" xfId="48459"/>
    <cellStyle name="Normal 3 14" xfId="48460"/>
    <cellStyle name="Normal 3 14 2" xfId="48461"/>
    <cellStyle name="Normal 3 15" xfId="48462"/>
    <cellStyle name="Normal 3 15 2" xfId="48463"/>
    <cellStyle name="Normal 3 16" xfId="48464"/>
    <cellStyle name="Normal 3 16 2" xfId="48465"/>
    <cellStyle name="Normal 3 17" xfId="48466"/>
    <cellStyle name="Normal 3 17 2" xfId="48467"/>
    <cellStyle name="Normal 3 18" xfId="48468"/>
    <cellStyle name="Normal 3 18 2" xfId="48469"/>
    <cellStyle name="Normal 3 19" xfId="48470"/>
    <cellStyle name="Normal 3 19 2" xfId="48471"/>
    <cellStyle name="Normal 3 2" xfId="48472"/>
    <cellStyle name="Normal 3 2 10" xfId="48473"/>
    <cellStyle name="Normal 3 2 10 2" xfId="48474"/>
    <cellStyle name="Normal 3 2 11" xfId="48475"/>
    <cellStyle name="Normal 3 2 11 2" xfId="48476"/>
    <cellStyle name="Normal 3 2 12" xfId="48477"/>
    <cellStyle name="Normal 3 2 12 2" xfId="48478"/>
    <cellStyle name="Normal 3 2 13" xfId="48479"/>
    <cellStyle name="Normal 3 2 13 2" xfId="48480"/>
    <cellStyle name="Normal 3 2 14" xfId="48481"/>
    <cellStyle name="Normal 3 2 14 2" xfId="48482"/>
    <cellStyle name="Normal 3 2 15" xfId="48483"/>
    <cellStyle name="Normal 3 2 16" xfId="48484"/>
    <cellStyle name="Normal 3 2 17" xfId="48485"/>
    <cellStyle name="Normal 3 2 18" xfId="48486"/>
    <cellStyle name="Normal 3 2 19" xfId="48487"/>
    <cellStyle name="Normal 3 2 2" xfId="48488"/>
    <cellStyle name="Normal 3 2 2 2" xfId="48489"/>
    <cellStyle name="Normal 3 2 2 2 2" xfId="48490"/>
    <cellStyle name="Normal 3 2 2 2 2 2" xfId="48491"/>
    <cellStyle name="Normal 3 2 2 2 2 2 2" xfId="48492"/>
    <cellStyle name="Normal 3 2 2 2 2 2 2 2 2 2 2" xfId="48493"/>
    <cellStyle name="Normal 3 2 2 2 2 2 2 2 2 2 2 2" xfId="48494"/>
    <cellStyle name="Normal 3 2 2 2 2 2 2 2 2 2 2 2 2 2 2" xfId="48495"/>
    <cellStyle name="Normal 3 2 2 2 2 2 2 2 2 2 2 2 2 2 2 2" xfId="48496"/>
    <cellStyle name="Normal 3 2 2 2 2 2 2 2 2 2 2 3 2 2 2 2 2" xfId="48497"/>
    <cellStyle name="Normal 3 2 2 2 2 2 2 2 2 2 2 3 2 2 2 2 2 2" xfId="48498"/>
    <cellStyle name="Normal 3 2 2 2 2 3" xfId="48499"/>
    <cellStyle name="Normal 3 2 2 2 2 3 2" xfId="48500"/>
    <cellStyle name="Normal 3 2 2 2 2 4" xfId="48501"/>
    <cellStyle name="Normal 3 2 2 2 2 4 2" xfId="48502"/>
    <cellStyle name="Normal 3 2 2 2 2 5" xfId="48503"/>
    <cellStyle name="Normal 3 2 2 2 3" xfId="48504"/>
    <cellStyle name="Normal 3 2 2 2 3 2" xfId="48505"/>
    <cellStyle name="Normal 3 2 2 2 3 2 2" xfId="48506"/>
    <cellStyle name="Normal 3 2 2 2 3 3" xfId="48507"/>
    <cellStyle name="Normal 3 2 2 2 4" xfId="48508"/>
    <cellStyle name="Normal 3 2 2 2 4 2" xfId="48509"/>
    <cellStyle name="Normal 3 2 2 2 5" xfId="48510"/>
    <cellStyle name="Normal 3 2 2 2 5 2" xfId="48511"/>
    <cellStyle name="Normal 3 2 2 2 6" xfId="48512"/>
    <cellStyle name="Normal 3 2 2 3" xfId="48513"/>
    <cellStyle name="Normal 3 2 2 3 2" xfId="48514"/>
    <cellStyle name="Normal 3 2 2 3 2 2" xfId="48515"/>
    <cellStyle name="Normal 3 2 2 3 2 2 2" xfId="48516"/>
    <cellStyle name="Normal 3 2 2 3 2 2 2 2" xfId="48517"/>
    <cellStyle name="Normal 3 2 2 3 2 2 3" xfId="48518"/>
    <cellStyle name="Normal 3 2 2 3 2 3" xfId="48519"/>
    <cellStyle name="Normal 3 2 2 3 2 3 2" xfId="48520"/>
    <cellStyle name="Normal 3 2 2 3 2 4" xfId="48521"/>
    <cellStyle name="Normal 3 2 2 3 3" xfId="48522"/>
    <cellStyle name="Normal 3 2 2 3 3 2" xfId="48523"/>
    <cellStyle name="Normal 3 2 2 3 3 2 2" xfId="48524"/>
    <cellStyle name="Normal 3 2 2 3 3 3" xfId="48525"/>
    <cellStyle name="Normal 3 2 2 3 4" xfId="48526"/>
    <cellStyle name="Normal 3 2 2 3 4 2" xfId="48527"/>
    <cellStyle name="Normal 3 2 2 3 5" xfId="48528"/>
    <cellStyle name="Normal 3 2 2 3 5 2" xfId="48529"/>
    <cellStyle name="Normal 3 2 2 3 6" xfId="48530"/>
    <cellStyle name="Normal 3 2 2 4" xfId="48531"/>
    <cellStyle name="Normal 3 2 2 4 2" xfId="48532"/>
    <cellStyle name="Normal 3 2 2 4 2 2" xfId="48533"/>
    <cellStyle name="Normal 3 2 2 4 2 2 2" xfId="48534"/>
    <cellStyle name="Normal 3 2 2 4 2 2 2 2" xfId="48535"/>
    <cellStyle name="Normal 3 2 2 4 2 2 3" xfId="48536"/>
    <cellStyle name="Normal 3 2 2 4 2 3" xfId="48537"/>
    <cellStyle name="Normal 3 2 2 4 2 3 2" xfId="48538"/>
    <cellStyle name="Normal 3 2 2 4 2 4" xfId="48539"/>
    <cellStyle name="Normal 3 2 2 4 3" xfId="48540"/>
    <cellStyle name="Normal 3 2 2 4 3 2" xfId="48541"/>
    <cellStyle name="Normal 3 2 2 4 3 2 2" xfId="48542"/>
    <cellStyle name="Normal 3 2 2 4 3 3" xfId="48543"/>
    <cellStyle name="Normal 3 2 2 4 4" xfId="48544"/>
    <cellStyle name="Normal 3 2 2 4 4 2" xfId="48545"/>
    <cellStyle name="Normal 3 2 2 4 5" xfId="48546"/>
    <cellStyle name="Normal 3 2 2 5" xfId="48547"/>
    <cellStyle name="Normal 3 2 2 5 2" xfId="48548"/>
    <cellStyle name="Normal 3 2 2 5 2 2" xfId="48549"/>
    <cellStyle name="Normal 3 2 2 5 2 2 2" xfId="48550"/>
    <cellStyle name="Normal 3 2 2 5 2 2 2 2" xfId="48551"/>
    <cellStyle name="Normal 3 2 2 5 2 2 3" xfId="48552"/>
    <cellStyle name="Normal 3 2 2 5 2 3" xfId="48553"/>
    <cellStyle name="Normal 3 2 2 5 2 3 2" xfId="48554"/>
    <cellStyle name="Normal 3 2 2 5 2 4" xfId="48555"/>
    <cellStyle name="Normal 3 2 2 5 3" xfId="48556"/>
    <cellStyle name="Normal 3 2 2 5 3 2" xfId="48557"/>
    <cellStyle name="Normal 3 2 2 5 3 2 2" xfId="48558"/>
    <cellStyle name="Normal 3 2 2 5 3 3" xfId="48559"/>
    <cellStyle name="Normal 3 2 2 5 4" xfId="48560"/>
    <cellStyle name="Normal 3 2 2 5 4 2" xfId="48561"/>
    <cellStyle name="Normal 3 2 2 5 5" xfId="48562"/>
    <cellStyle name="Normal 3 2 2 6" xfId="48563"/>
    <cellStyle name="Normal 3 2 2 6 2" xfId="48564"/>
    <cellStyle name="Normal 3 2 2 6 2 2" xfId="48565"/>
    <cellStyle name="Normal 3 2 2 6 2 2 2" xfId="48566"/>
    <cellStyle name="Normal 3 2 2 6 2 2 2 2" xfId="48567"/>
    <cellStyle name="Normal 3 2 2 6 2 2 3" xfId="48568"/>
    <cellStyle name="Normal 3 2 2 6 2 3" xfId="48569"/>
    <cellStyle name="Normal 3 2 2 6 2 3 2" xfId="48570"/>
    <cellStyle name="Normal 3 2 2 6 2 4" xfId="48571"/>
    <cellStyle name="Normal 3 2 2 6 3" xfId="48572"/>
    <cellStyle name="Normal 3 2 2 6 3 2" xfId="48573"/>
    <cellStyle name="Normal 3 2 2 6 3 2 2" xfId="48574"/>
    <cellStyle name="Normal 3 2 2 6 3 3" xfId="48575"/>
    <cellStyle name="Normal 3 2 2 6 4" xfId="48576"/>
    <cellStyle name="Normal 3 2 2 6 4 2" xfId="48577"/>
    <cellStyle name="Normal 3 2 2 6 5" xfId="48578"/>
    <cellStyle name="Normal 3 2 2 7" xfId="48579"/>
    <cellStyle name="Normal 3 2 2 7 2" xfId="48580"/>
    <cellStyle name="Normal 3 2 2 7 2 2" xfId="48581"/>
    <cellStyle name="Normal 3 2 2 7 2 2 2" xfId="48582"/>
    <cellStyle name="Normal 3 2 2 7 2 2 2 2" xfId="48583"/>
    <cellStyle name="Normal 3 2 2 7 2 2 3" xfId="48584"/>
    <cellStyle name="Normal 3 2 2 7 2 3" xfId="48585"/>
    <cellStyle name="Normal 3 2 2 7 2 3 2" xfId="48586"/>
    <cellStyle name="Normal 3 2 2 7 2 4" xfId="48587"/>
    <cellStyle name="Normal 3 2 2 7 3" xfId="48588"/>
    <cellStyle name="Normal 3 2 2 7 3 2" xfId="48589"/>
    <cellStyle name="Normal 3 2 2 7 3 2 2" xfId="48590"/>
    <cellStyle name="Normal 3 2 2 7 3 3" xfId="48591"/>
    <cellStyle name="Normal 3 2 2 7 4" xfId="48592"/>
    <cellStyle name="Normal 3 2 2 7 4 2" xfId="48593"/>
    <cellStyle name="Normal 3 2 2 7 5" xfId="48594"/>
    <cellStyle name="Normal 3 2 2 8" xfId="48595"/>
    <cellStyle name="Normal 3 2 2 9" xfId="57854"/>
    <cellStyle name="Normal 3 2 20" xfId="48596"/>
    <cellStyle name="Normal 3 2 21" xfId="48597"/>
    <cellStyle name="Normal 3 2 22" xfId="48598"/>
    <cellStyle name="Normal 3 2 23" xfId="48599"/>
    <cellStyle name="Normal 3 2 24" xfId="48600"/>
    <cellStyle name="Normal 3 2 25" xfId="48601"/>
    <cellStyle name="Normal 3 2 26" xfId="48602"/>
    <cellStyle name="Normal 3 2 27" xfId="48603"/>
    <cellStyle name="Normal 3 2 28" xfId="48604"/>
    <cellStyle name="Normal 3 2 29" xfId="48605"/>
    <cellStyle name="Normal 3 2 3" xfId="48606"/>
    <cellStyle name="Normal 3 2 3 2" xfId="48607"/>
    <cellStyle name="Normal 3 2 3 2 2" xfId="48608"/>
    <cellStyle name="Normal 3 2 3 2 2 2" xfId="48609"/>
    <cellStyle name="Normal 3 2 3 2 2 2 2" xfId="48610"/>
    <cellStyle name="Normal 3 2 3 2 2 2 2 2" xfId="48611"/>
    <cellStyle name="Normal 3 2 3 2 2 2 3" xfId="48612"/>
    <cellStyle name="Normal 3 2 3 2 2 3" xfId="48613"/>
    <cellStyle name="Normal 3 2 3 2 2 3 2" xfId="48614"/>
    <cellStyle name="Normal 3 2 3 2 2 4" xfId="48615"/>
    <cellStyle name="Normal 3 2 3 2 3" xfId="48616"/>
    <cellStyle name="Normal 3 2 3 2 3 2" xfId="48617"/>
    <cellStyle name="Normal 3 2 3 2 3 2 2" xfId="48618"/>
    <cellStyle name="Normal 3 2 3 2 3 3" xfId="48619"/>
    <cellStyle name="Normal 3 2 3 2 4" xfId="48620"/>
    <cellStyle name="Normal 3 2 3 2 4 2" xfId="48621"/>
    <cellStyle name="Normal 3 2 3 2 5" xfId="48622"/>
    <cellStyle name="Normal 3 2 3 3" xfId="48623"/>
    <cellStyle name="Normal 3 2 3 3 2" xfId="48624"/>
    <cellStyle name="Normal 3 2 3 3 2 2" xfId="48625"/>
    <cellStyle name="Normal 3 2 3 3 2 2 2" xfId="48626"/>
    <cellStyle name="Normal 3 2 3 3 2 3" xfId="48627"/>
    <cellStyle name="Normal 3 2 3 3 3" xfId="48628"/>
    <cellStyle name="Normal 3 2 3 3 3 2" xfId="48629"/>
    <cellStyle name="Normal 3 2 3 3 4" xfId="48630"/>
    <cellStyle name="Normal 3 2 3 4" xfId="48631"/>
    <cellStyle name="Normal 3 2 3 4 2" xfId="48632"/>
    <cellStyle name="Normal 3 2 3 5" xfId="48633"/>
    <cellStyle name="Normal 3 2 30" xfId="48634"/>
    <cellStyle name="Normal 3 2 31" xfId="48635"/>
    <cellStyle name="Normal 3 2 32" xfId="48636"/>
    <cellStyle name="Normal 3 2 33" xfId="48637"/>
    <cellStyle name="Normal 3 2 34" xfId="48638"/>
    <cellStyle name="Normal 3 2 35" xfId="48639"/>
    <cellStyle name="Normal 3 2 36" xfId="48640"/>
    <cellStyle name="Normal 3 2 37" xfId="48641"/>
    <cellStyle name="Normal 3 2 38" xfId="48642"/>
    <cellStyle name="Normal 3 2 39" xfId="48643"/>
    <cellStyle name="Normal 3 2 4" xfId="48644"/>
    <cellStyle name="Normal 3 2 4 2" xfId="48645"/>
    <cellStyle name="Normal 3 2 4 2 2" xfId="48646"/>
    <cellStyle name="Normal 3 2 4 2 2 2" xfId="48647"/>
    <cellStyle name="Normal 3 2 4 2 2 2 2" xfId="48648"/>
    <cellStyle name="Normal 3 2 4 2 2 3" xfId="48649"/>
    <cellStyle name="Normal 3 2 4 2 3" xfId="48650"/>
    <cellStyle name="Normal 3 2 4 2 3 2" xfId="48651"/>
    <cellStyle name="Normal 3 2 4 2 4" xfId="48652"/>
    <cellStyle name="Normal 3 2 4 2 4 2" xfId="48653"/>
    <cellStyle name="Normal 3 2 4 2 5" xfId="48654"/>
    <cellStyle name="Normal 3 2 4 3" xfId="48655"/>
    <cellStyle name="Normal 3 2 4 3 2" xfId="48656"/>
    <cellStyle name="Normal 3 2 4 4" xfId="48657"/>
    <cellStyle name="Normal 3 2 40" xfId="48658"/>
    <cellStyle name="Normal 3 2 41" xfId="48659"/>
    <cellStyle name="Normal 3 2 42" xfId="48660"/>
    <cellStyle name="Normal 3 2 43" xfId="48661"/>
    <cellStyle name="Normal 3 2 44" xfId="48662"/>
    <cellStyle name="Normal 3 2 45" xfId="48663"/>
    <cellStyle name="Normal 3 2 46" xfId="48664"/>
    <cellStyle name="Normal 3 2 47" xfId="48665"/>
    <cellStyle name="Normal 3 2 48" xfId="48666"/>
    <cellStyle name="Normal 3 2 49" xfId="48667"/>
    <cellStyle name="Normal 3 2 5" xfId="48668"/>
    <cellStyle name="Normal 3 2 5 2" xfId="48669"/>
    <cellStyle name="Normal 3 2 5 2 2" xfId="48670"/>
    <cellStyle name="Normal 3 2 5 2 2 2" xfId="48671"/>
    <cellStyle name="Normal 3 2 5 2 3" xfId="48672"/>
    <cellStyle name="Normal 3 2 5 3" xfId="48673"/>
    <cellStyle name="Normal 3 2 5 3 2" xfId="48674"/>
    <cellStyle name="Normal 3 2 5 4" xfId="48675"/>
    <cellStyle name="Normal 3 2 5 4 2" xfId="48676"/>
    <cellStyle name="Normal 3 2 5 5" xfId="48677"/>
    <cellStyle name="Normal 3 2 5 5 2" xfId="48678"/>
    <cellStyle name="Normal 3 2 5 6" xfId="48679"/>
    <cellStyle name="Normal 3 2 50" xfId="48680"/>
    <cellStyle name="Normal 3 2 51" xfId="48681"/>
    <cellStyle name="Normal 3 2 52" xfId="48682"/>
    <cellStyle name="Normal 3 2 53" xfId="48683"/>
    <cellStyle name="Normal 3 2 54" xfId="48684"/>
    <cellStyle name="Normal 3 2 55" xfId="48685"/>
    <cellStyle name="Normal 3 2 56" xfId="48686"/>
    <cellStyle name="Normal 3 2 57" xfId="58467"/>
    <cellStyle name="Normal 3 2 6" xfId="48687"/>
    <cellStyle name="Normal 3 2 6 2" xfId="48688"/>
    <cellStyle name="Normal 3 2 6 2 2" xfId="48689"/>
    <cellStyle name="Normal 3 2 6 3" xfId="48690"/>
    <cellStyle name="Normal 3 2 6 4" xfId="48691"/>
    <cellStyle name="Normal 3 2 6 4 2" xfId="48692"/>
    <cellStyle name="Normal 3 2 7" xfId="48693"/>
    <cellStyle name="Normal 3 2 7 2" xfId="48694"/>
    <cellStyle name="Normal 3 2 7 2 2" xfId="48695"/>
    <cellStyle name="Normal 3 2 7 3" xfId="48696"/>
    <cellStyle name="Normal 3 2 7 4" xfId="48697"/>
    <cellStyle name="Normal 3 2 7 4 2" xfId="48698"/>
    <cellStyle name="Normal 3 2 8" xfId="48699"/>
    <cellStyle name="Normal 3 2 8 2" xfId="48700"/>
    <cellStyle name="Normal 3 2 8 2 2" xfId="48701"/>
    <cellStyle name="Normal 3 2 8 3" xfId="48702"/>
    <cellStyle name="Normal 3 2 9" xfId="48703"/>
    <cellStyle name="Normal 3 2 9 2" xfId="48704"/>
    <cellStyle name="Normal 3 2 9 2 2" xfId="48705"/>
    <cellStyle name="Normal 3 2 9 3" xfId="48706"/>
    <cellStyle name="Normal 3 2_AR Trade Ext-Inv" xfId="48707"/>
    <cellStyle name="Normal 3 20" xfId="48708"/>
    <cellStyle name="Normal 3 20 2" xfId="48709"/>
    <cellStyle name="Normal 3 21" xfId="48710"/>
    <cellStyle name="Normal 3 21 2" xfId="48711"/>
    <cellStyle name="Normal 3 22" xfId="48712"/>
    <cellStyle name="Normal 3 22 2" xfId="48713"/>
    <cellStyle name="Normal 3 23" xfId="48714"/>
    <cellStyle name="Normal 3 23 2" xfId="48715"/>
    <cellStyle name="Normal 3 24" xfId="48716"/>
    <cellStyle name="Normal 3 24 2" xfId="48717"/>
    <cellStyle name="Normal 3 25" xfId="48718"/>
    <cellStyle name="Normal 3 25 2" xfId="48719"/>
    <cellStyle name="Normal 3 26" xfId="48720"/>
    <cellStyle name="Normal 3 26 2" xfId="48721"/>
    <cellStyle name="Normal 3 27" xfId="48722"/>
    <cellStyle name="Normal 3 27 2" xfId="48723"/>
    <cellStyle name="Normal 3 28" xfId="48724"/>
    <cellStyle name="Normal 3 28 2" xfId="48725"/>
    <cellStyle name="Normal 3 29" xfId="48726"/>
    <cellStyle name="Normal 3 29 2" xfId="48727"/>
    <cellStyle name="Normal 3 3" xfId="48728"/>
    <cellStyle name="Normal 3 3 2" xfId="48729"/>
    <cellStyle name="Normal 3 3 2 2" xfId="48730"/>
    <cellStyle name="Normal 3 3 2 3" xfId="48731"/>
    <cellStyle name="Normal 3 3 3" xfId="48732"/>
    <cellStyle name="Normal 3 3 3 2" xfId="48733"/>
    <cellStyle name="Normal 3 3 3 2 2" xfId="48734"/>
    <cellStyle name="Normal 3 3 3 2 2 2" xfId="48735"/>
    <cellStyle name="Normal 3 3 3 3" xfId="48736"/>
    <cellStyle name="Normal 3 3 4" xfId="48737"/>
    <cellStyle name="Normal 3 3 4 2" xfId="48738"/>
    <cellStyle name="Normal 3 3 5" xfId="48739"/>
    <cellStyle name="Normal 3 3 5 2" xfId="48740"/>
    <cellStyle name="Normal 3 3 6" xfId="48741"/>
    <cellStyle name="Normal 3 3 6 2" xfId="48742"/>
    <cellStyle name="Normal 3 3 7" xfId="26"/>
    <cellStyle name="Normal 3 30" xfId="48743"/>
    <cellStyle name="Normal 3 30 2" xfId="48744"/>
    <cellStyle name="Normal 3 31" xfId="48745"/>
    <cellStyle name="Normal 3 31 2" xfId="48746"/>
    <cellStyle name="Normal 3 32" xfId="48747"/>
    <cellStyle name="Normal 3 32 2" xfId="48748"/>
    <cellStyle name="Normal 3 33" xfId="48749"/>
    <cellStyle name="Normal 3 33 2" xfId="48750"/>
    <cellStyle name="Normal 3 34" xfId="48751"/>
    <cellStyle name="Normal 3 34 2" xfId="48752"/>
    <cellStyle name="Normal 3 35" xfId="48753"/>
    <cellStyle name="Normal 3 35 2" xfId="48754"/>
    <cellStyle name="Normal 3 36" xfId="48755"/>
    <cellStyle name="Normal 3 36 2" xfId="48756"/>
    <cellStyle name="Normal 3 37" xfId="48757"/>
    <cellStyle name="Normal 3 37 2" xfId="48758"/>
    <cellStyle name="Normal 3 38" xfId="48759"/>
    <cellStyle name="Normal 3 38 2" xfId="48760"/>
    <cellStyle name="Normal 3 39" xfId="48761"/>
    <cellStyle name="Normal 3 39 2" xfId="48762"/>
    <cellStyle name="Normal 3 39 2 2" xfId="48763"/>
    <cellStyle name="Normal 3 39 2 2 2" xfId="48764"/>
    <cellStyle name="Normal 3 39 2 2 2 2" xfId="48765"/>
    <cellStyle name="Normal 3 39 2 2 3" xfId="48766"/>
    <cellStyle name="Normal 3 39 2 3" xfId="48767"/>
    <cellStyle name="Normal 3 39 2 3 2" xfId="48768"/>
    <cellStyle name="Normal 3 39 2 4" xfId="48769"/>
    <cellStyle name="Normal 3 39 3" xfId="48770"/>
    <cellStyle name="Normal 3 39 3 2" xfId="48771"/>
    <cellStyle name="Normal 3 39 3 2 2" xfId="48772"/>
    <cellStyle name="Normal 3 39 3 3" xfId="48773"/>
    <cellStyle name="Normal 3 39 4" xfId="48774"/>
    <cellStyle name="Normal 3 39 4 2" xfId="48775"/>
    <cellStyle name="Normal 3 39 5" xfId="48776"/>
    <cellStyle name="Normal 3 4" xfId="48777"/>
    <cellStyle name="Normal 3 4 2" xfId="48778"/>
    <cellStyle name="Normal 3 4 2 2" xfId="48779"/>
    <cellStyle name="Normal 3 4 3" xfId="48780"/>
    <cellStyle name="Normal 3 4 3 2" xfId="48781"/>
    <cellStyle name="Normal 3 4 4" xfId="48782"/>
    <cellStyle name="Normal 3 4 4 2" xfId="48783"/>
    <cellStyle name="Normal 3 4 5" xfId="48784"/>
    <cellStyle name="Normal 3 4 5 2" xfId="48785"/>
    <cellStyle name="Normal 3 4 6" xfId="48786"/>
    <cellStyle name="Normal 3 4 6 2" xfId="48787"/>
    <cellStyle name="Normal 3 4 7" xfId="48788"/>
    <cellStyle name="Normal 3 40" xfId="48789"/>
    <cellStyle name="Normal 3 40 2" xfId="48790"/>
    <cellStyle name="Normal 3 40 2 2" xfId="48791"/>
    <cellStyle name="Normal 3 40 2 2 2" xfId="48792"/>
    <cellStyle name="Normal 3 40 2 2 2 2" xfId="48793"/>
    <cellStyle name="Normal 3 40 2 2 3" xfId="48794"/>
    <cellStyle name="Normal 3 40 2 3" xfId="48795"/>
    <cellStyle name="Normal 3 40 2 3 2" xfId="48796"/>
    <cellStyle name="Normal 3 40 2 4" xfId="48797"/>
    <cellStyle name="Normal 3 40 3" xfId="48798"/>
    <cellStyle name="Normal 3 40 3 2" xfId="48799"/>
    <cellStyle name="Normal 3 40 3 2 2" xfId="48800"/>
    <cellStyle name="Normal 3 40 3 3" xfId="48801"/>
    <cellStyle name="Normal 3 40 4" xfId="48802"/>
    <cellStyle name="Normal 3 40 4 2" xfId="48803"/>
    <cellStyle name="Normal 3 40 5" xfId="48804"/>
    <cellStyle name="Normal 3 41" xfId="48805"/>
    <cellStyle name="Normal 3 42" xfId="48806"/>
    <cellStyle name="Normal 3 43" xfId="48807"/>
    <cellStyle name="Normal 3 44" xfId="48808"/>
    <cellStyle name="Normal 3 45" xfId="48809"/>
    <cellStyle name="Normal 3 46" xfId="48810"/>
    <cellStyle name="Normal 3 46 2" xfId="48811"/>
    <cellStyle name="Normal 3 46 2 2" xfId="48812"/>
    <cellStyle name="Normal 3 46 2 2 2" xfId="48813"/>
    <cellStyle name="Normal 3 46 2 2 2 2" xfId="48814"/>
    <cellStyle name="Normal 3 46 2 2 3" xfId="48815"/>
    <cellStyle name="Normal 3 46 2 3" xfId="48816"/>
    <cellStyle name="Normal 3 46 2 3 2" xfId="48817"/>
    <cellStyle name="Normal 3 46 2 4" xfId="48818"/>
    <cellStyle name="Normal 3 46 3" xfId="48819"/>
    <cellStyle name="Normal 3 46 3 2" xfId="48820"/>
    <cellStyle name="Normal 3 46 3 2 2" xfId="48821"/>
    <cellStyle name="Normal 3 46 3 3" xfId="48822"/>
    <cellStyle name="Normal 3 46 4" xfId="48823"/>
    <cellStyle name="Normal 3 46 4 2" xfId="48824"/>
    <cellStyle name="Normal 3 46 5" xfId="48825"/>
    <cellStyle name="Normal 3 47" xfId="48826"/>
    <cellStyle name="Normal 3 47 2" xfId="48827"/>
    <cellStyle name="Normal 3 47 3" xfId="48828"/>
    <cellStyle name="Normal 3 48" xfId="48829"/>
    <cellStyle name="Normal 3 48 2" xfId="48830"/>
    <cellStyle name="Normal 3 48 2 2" xfId="48831"/>
    <cellStyle name="Normal 3 48 3" xfId="48832"/>
    <cellStyle name="Normal 3 48 4" xfId="48833"/>
    <cellStyle name="Normal 3 49" xfId="48834"/>
    <cellStyle name="Normal 3 49 2" xfId="48835"/>
    <cellStyle name="Normal 3 49 2 2" xfId="48836"/>
    <cellStyle name="Normal 3 49 3" xfId="48837"/>
    <cellStyle name="Normal 3 49 4" xfId="48838"/>
    <cellStyle name="Normal 3 5" xfId="48839"/>
    <cellStyle name="Normal 3 5 2" xfId="48840"/>
    <cellStyle name="Normal 3 5 2 2" xfId="48841"/>
    <cellStyle name="Normal 3 5 2 2 2" xfId="48842"/>
    <cellStyle name="Normal 3 5 3" xfId="48843"/>
    <cellStyle name="Normal 3 5 3 2" xfId="48844"/>
    <cellStyle name="Normal 3 5 4" xfId="48845"/>
    <cellStyle name="Normal 3 5 4 2" xfId="48846"/>
    <cellStyle name="Normal 3 5 5" xfId="48847"/>
    <cellStyle name="Normal 3 5 5 2" xfId="48848"/>
    <cellStyle name="Normal 3 5 6" xfId="48849"/>
    <cellStyle name="Normal 3 5 6 2" xfId="48850"/>
    <cellStyle name="Normal 3 5 7" xfId="48851"/>
    <cellStyle name="Normal 3 50" xfId="48852"/>
    <cellStyle name="Normal 3 50 2" xfId="48853"/>
    <cellStyle name="Normal 3 50 2 2" xfId="48854"/>
    <cellStyle name="Normal 3 50 2 2 2" xfId="48855"/>
    <cellStyle name="Normal 3 50 2 3" xfId="48856"/>
    <cellStyle name="Normal 3 50 3" xfId="48857"/>
    <cellStyle name="Normal 3 50 3 2" xfId="48858"/>
    <cellStyle name="Normal 3 50 4" xfId="48859"/>
    <cellStyle name="Normal 3 50 5" xfId="48860"/>
    <cellStyle name="Normal 3 51" xfId="48861"/>
    <cellStyle name="Normal 3 51 2" xfId="48862"/>
    <cellStyle name="Normal 3 51 2 2" xfId="48863"/>
    <cellStyle name="Normal 3 51 3" xfId="48864"/>
    <cellStyle name="Normal 3 52" xfId="48865"/>
    <cellStyle name="Normal 3 52 2" xfId="48866"/>
    <cellStyle name="Normal 3 53" xfId="48867"/>
    <cellStyle name="Normal 3 54" xfId="48868"/>
    <cellStyle name="Normal 3 55" xfId="48869"/>
    <cellStyle name="Normal 3 56" xfId="48870"/>
    <cellStyle name="Normal 3 57" xfId="48871"/>
    <cellStyle name="Normal 3 58" xfId="48872"/>
    <cellStyle name="Normal 3 59" xfId="48873"/>
    <cellStyle name="Normal 3 6" xfId="48874"/>
    <cellStyle name="Normal 3 6 2" xfId="48875"/>
    <cellStyle name="Normal 3 60" xfId="48876"/>
    <cellStyle name="Normal 3 61" xfId="48877"/>
    <cellStyle name="Normal 3 62" xfId="48878"/>
    <cellStyle name="Normal 3 63" xfId="48879"/>
    <cellStyle name="Normal 3 64" xfId="48880"/>
    <cellStyle name="Normal 3 65" xfId="48881"/>
    <cellStyle name="Normal 3 7" xfId="48882"/>
    <cellStyle name="Normal 3 7 2" xfId="48883"/>
    <cellStyle name="Normal 3 8" xfId="48884"/>
    <cellStyle name="Normal 3 8 2" xfId="48885"/>
    <cellStyle name="Normal 3 9" xfId="48886"/>
    <cellStyle name="Normal 3 9 2" xfId="48887"/>
    <cellStyle name="Normal 3_09 REKON PPN IN" xfId="48888"/>
    <cellStyle name="Normal 30" xfId="48889"/>
    <cellStyle name="Normal 30 10" xfId="48890"/>
    <cellStyle name="Normal 30 10 2" xfId="48891"/>
    <cellStyle name="Normal 30 11" xfId="48892"/>
    <cellStyle name="Normal 30 11 2" xfId="48893"/>
    <cellStyle name="Normal 30 12" xfId="48894"/>
    <cellStyle name="Normal 30 13" xfId="57855"/>
    <cellStyle name="Normal 30 2" xfId="48895"/>
    <cellStyle name="Normal 30 2 2" xfId="48896"/>
    <cellStyle name="Normal 30 2 2 2" xfId="48897"/>
    <cellStyle name="Normal 30 2 2 2 2" xfId="48898"/>
    <cellStyle name="Normal 30 2 2 2 2 2" xfId="48899"/>
    <cellStyle name="Normal 30 2 2 2 2 2 2" xfId="48900"/>
    <cellStyle name="Normal 30 2 2 2 2 3" xfId="48901"/>
    <cellStyle name="Normal 30 2 2 2 3" xfId="48902"/>
    <cellStyle name="Normal 30 2 2 2 3 2" xfId="48903"/>
    <cellStyle name="Normal 30 2 2 2 4" xfId="48904"/>
    <cellStyle name="Normal 30 2 2 2 4 2" xfId="48905"/>
    <cellStyle name="Normal 30 2 2 2 5" xfId="48906"/>
    <cellStyle name="Normal 30 2 2 2 5 2" xfId="48907"/>
    <cellStyle name="Normal 30 2 2 2 6" xfId="48908"/>
    <cellStyle name="Normal 30 2 2 3" xfId="48909"/>
    <cellStyle name="Normal 30 2 2 3 2" xfId="48910"/>
    <cellStyle name="Normal 30 2 2 3 2 2" xfId="48911"/>
    <cellStyle name="Normal 30 2 2 3 3" xfId="48912"/>
    <cellStyle name="Normal 30 2 2 4" xfId="48913"/>
    <cellStyle name="Normal 30 2 2 4 2" xfId="48914"/>
    <cellStyle name="Normal 30 2 2 5" xfId="48915"/>
    <cellStyle name="Normal 30 2 2 5 2" xfId="48916"/>
    <cellStyle name="Normal 30 2 2 6" xfId="48917"/>
    <cellStyle name="Normal 30 2 3" xfId="48918"/>
    <cellStyle name="Normal 30 2 3 2" xfId="48919"/>
    <cellStyle name="Normal 30 2 3 2 2" xfId="48920"/>
    <cellStyle name="Normal 30 2 3 2 2 2" xfId="48921"/>
    <cellStyle name="Normal 30 2 3 2 3" xfId="48922"/>
    <cellStyle name="Normal 30 2 3 3" xfId="48923"/>
    <cellStyle name="Normal 30 2 3 3 2" xfId="48924"/>
    <cellStyle name="Normal 30 2 3 4" xfId="48925"/>
    <cellStyle name="Normal 30 2 3 4 2" xfId="48926"/>
    <cellStyle name="Normal 30 2 3 5" xfId="48927"/>
    <cellStyle name="Normal 30 2 4" xfId="48928"/>
    <cellStyle name="Normal 30 2 4 2" xfId="48929"/>
    <cellStyle name="Normal 30 2 5" xfId="48930"/>
    <cellStyle name="Normal 30 2 6" xfId="57856"/>
    <cellStyle name="Normal 30 3" xfId="48931"/>
    <cellStyle name="Normal 30 3 2" xfId="48932"/>
    <cellStyle name="Normal 30 3 2 2" xfId="48933"/>
    <cellStyle name="Normal 30 3 2 2 2" xfId="48934"/>
    <cellStyle name="Normal 30 3 2 2 2 2" xfId="48935"/>
    <cellStyle name="Normal 30 3 2 2 2 2 2" xfId="48936"/>
    <cellStyle name="Normal 30 3 2 2 2 3" xfId="48937"/>
    <cellStyle name="Normal 30 3 2 2 3" xfId="48938"/>
    <cellStyle name="Normal 30 3 2 2 3 2" xfId="48939"/>
    <cellStyle name="Normal 30 3 2 2 4" xfId="48940"/>
    <cellStyle name="Normal 30 3 2 2 4 2" xfId="48941"/>
    <cellStyle name="Normal 30 3 2 2 5" xfId="48942"/>
    <cellStyle name="Normal 30 3 2 2 5 2" xfId="48943"/>
    <cellStyle name="Normal 30 3 2 2 6" xfId="48944"/>
    <cellStyle name="Normal 30 3 2 3" xfId="48945"/>
    <cellStyle name="Normal 30 3 2 3 2" xfId="48946"/>
    <cellStyle name="Normal 30 3 2 3 2 2" xfId="48947"/>
    <cellStyle name="Normal 30 3 2 3 3" xfId="48948"/>
    <cellStyle name="Normal 30 3 2 4" xfId="48949"/>
    <cellStyle name="Normal 30 3 2 4 2" xfId="48950"/>
    <cellStyle name="Normal 30 3 2 5" xfId="48951"/>
    <cellStyle name="Normal 30 3 2 5 2" xfId="48952"/>
    <cellStyle name="Normal 30 3 2 6" xfId="48953"/>
    <cellStyle name="Normal 30 3 2 6 2" xfId="48954"/>
    <cellStyle name="Normal 30 3 2 7" xfId="48955"/>
    <cellStyle name="Normal 30 3 3" xfId="48956"/>
    <cellStyle name="Normal 30 3 3 2" xfId="48957"/>
    <cellStyle name="Normal 30 3 3 2 2" xfId="48958"/>
    <cellStyle name="Normal 30 3 3 2 2 2" xfId="48959"/>
    <cellStyle name="Normal 30 3 3 2 3" xfId="48960"/>
    <cellStyle name="Normal 30 3 3 3" xfId="48961"/>
    <cellStyle name="Normal 30 3 3 3 2" xfId="48962"/>
    <cellStyle name="Normal 30 3 3 4" xfId="48963"/>
    <cellStyle name="Normal 30 3 4" xfId="48964"/>
    <cellStyle name="Normal 30 3 4 2" xfId="48965"/>
    <cellStyle name="Normal 30 3 5" xfId="48966"/>
    <cellStyle name="Normal 30 4" xfId="48967"/>
    <cellStyle name="Normal 30 4 2" xfId="48968"/>
    <cellStyle name="Normal 30 4 2 2" xfId="48969"/>
    <cellStyle name="Normal 30 4 2 2 2" xfId="48970"/>
    <cellStyle name="Normal 30 4 2 2 2 2" xfId="48971"/>
    <cellStyle name="Normal 30 4 2 2 3" xfId="48972"/>
    <cellStyle name="Normal 30 4 2 3" xfId="48973"/>
    <cellStyle name="Normal 30 4 2 3 2" xfId="48974"/>
    <cellStyle name="Normal 30 4 2 4" xfId="48975"/>
    <cellStyle name="Normal 30 4 2 4 2" xfId="48976"/>
    <cellStyle name="Normal 30 4 2 5" xfId="48977"/>
    <cellStyle name="Normal 30 4 3" xfId="48978"/>
    <cellStyle name="Normal 30 4 3 2" xfId="48979"/>
    <cellStyle name="Normal 30 4 4" xfId="48980"/>
    <cellStyle name="Normal 30 4 4 2" xfId="48981"/>
    <cellStyle name="Normal 30 4 5" xfId="48982"/>
    <cellStyle name="Normal 30 4 5 2" xfId="48983"/>
    <cellStyle name="Normal 30 4 6" xfId="48984"/>
    <cellStyle name="Normal 30 5" xfId="48985"/>
    <cellStyle name="Normal 30 5 2" xfId="48986"/>
    <cellStyle name="Normal 30 5 2 2" xfId="48987"/>
    <cellStyle name="Normal 30 5 2 2 2" xfId="48988"/>
    <cellStyle name="Normal 30 5 2 2 2 2" xfId="48989"/>
    <cellStyle name="Normal 30 5 2 2 3" xfId="48990"/>
    <cellStyle name="Normal 30 5 2 3" xfId="48991"/>
    <cellStyle name="Normal 30 5 2 3 2" xfId="48992"/>
    <cellStyle name="Normal 30 5 2 4" xfId="48993"/>
    <cellStyle name="Normal 30 5 2 4 2" xfId="48994"/>
    <cellStyle name="Normal 30 5 2 5" xfId="48995"/>
    <cellStyle name="Normal 30 5 3" xfId="48996"/>
    <cellStyle name="Normal 30 5 3 2" xfId="48997"/>
    <cellStyle name="Normal 30 5 4" xfId="48998"/>
    <cellStyle name="Normal 30 5 5" xfId="48999"/>
    <cellStyle name="Normal 30 5 5 2" xfId="49000"/>
    <cellStyle name="Normal 30 6" xfId="49001"/>
    <cellStyle name="Normal 30 6 2" xfId="49002"/>
    <cellStyle name="Normal 30 6 2 2" xfId="49003"/>
    <cellStyle name="Normal 30 6 3" xfId="49004"/>
    <cellStyle name="Normal 30 7" xfId="49005"/>
    <cellStyle name="Normal 30 7 2" xfId="49006"/>
    <cellStyle name="Normal 30 7 2 2" xfId="49007"/>
    <cellStyle name="Normal 30 7 3" xfId="49008"/>
    <cellStyle name="Normal 30 8" xfId="49009"/>
    <cellStyle name="Normal 30 8 2" xfId="49010"/>
    <cellStyle name="Normal 30 8 2 2" xfId="49011"/>
    <cellStyle name="Normal 30 8 2 2 2" xfId="49012"/>
    <cellStyle name="Normal 30 8 2 3" xfId="49013"/>
    <cellStyle name="Normal 30 8 3" xfId="49014"/>
    <cellStyle name="Normal 30 8 3 2" xfId="49015"/>
    <cellStyle name="Normal 30 8 4" xfId="49016"/>
    <cellStyle name="Normal 30 8 4 2" xfId="49017"/>
    <cellStyle name="Normal 30 8 5" xfId="49018"/>
    <cellStyle name="Normal 30 9" xfId="49019"/>
    <cellStyle name="Normal 30 9 2" xfId="49020"/>
    <cellStyle name="Normal 300" xfId="49021"/>
    <cellStyle name="Normal 301" xfId="49022"/>
    <cellStyle name="Normal 302" xfId="49023"/>
    <cellStyle name="Normal 303" xfId="49024"/>
    <cellStyle name="Normal 304" xfId="49025"/>
    <cellStyle name="Normal 305" xfId="49026"/>
    <cellStyle name="Normal 306" xfId="49027"/>
    <cellStyle name="Normal 307" xfId="49028"/>
    <cellStyle name="Normal 308" xfId="49029"/>
    <cellStyle name="Normal 309" xfId="49030"/>
    <cellStyle name="Normal 31" xfId="49031"/>
    <cellStyle name="Normal 31 10" xfId="49032"/>
    <cellStyle name="Normal 31 2" xfId="49033"/>
    <cellStyle name="Normal 31 2 2" xfId="49034"/>
    <cellStyle name="Normal 31 2 2 2" xfId="49035"/>
    <cellStyle name="Normal 31 2 2 2 2" xfId="49036"/>
    <cellStyle name="Normal 31 2 2 2 2 2" xfId="49037"/>
    <cellStyle name="Normal 31 2 2 2 2 2 2" xfId="49038"/>
    <cellStyle name="Normal 31 2 2 2 2 3" xfId="49039"/>
    <cellStyle name="Normal 31 2 2 2 3" xfId="49040"/>
    <cellStyle name="Normal 31 2 2 2 3 2" xfId="49041"/>
    <cellStyle name="Normal 31 2 2 2 4" xfId="49042"/>
    <cellStyle name="Normal 31 2 2 2 4 2" xfId="49043"/>
    <cellStyle name="Normal 31 2 2 2 5" xfId="49044"/>
    <cellStyle name="Normal 31 2 2 2 5 2" xfId="49045"/>
    <cellStyle name="Normal 31 2 2 2 6" xfId="49046"/>
    <cellStyle name="Normal 31 2 2 3" xfId="49047"/>
    <cellStyle name="Normal 31 2 2 3 2" xfId="49048"/>
    <cellStyle name="Normal 31 2 2 3 2 2" xfId="49049"/>
    <cellStyle name="Normal 31 2 2 3 3" xfId="49050"/>
    <cellStyle name="Normal 31 2 2 4" xfId="49051"/>
    <cellStyle name="Normal 31 2 2 4 2" xfId="49052"/>
    <cellStyle name="Normal 31 2 2 5" xfId="49053"/>
    <cellStyle name="Normal 31 2 3" xfId="49054"/>
    <cellStyle name="Normal 31 2 3 2" xfId="49055"/>
    <cellStyle name="Normal 31 2 3 2 2" xfId="49056"/>
    <cellStyle name="Normal 31 2 3 2 2 2" xfId="49057"/>
    <cellStyle name="Normal 31 2 3 2 3" xfId="49058"/>
    <cellStyle name="Normal 31 2 3 3" xfId="49059"/>
    <cellStyle name="Normal 31 2 3 3 2" xfId="49060"/>
    <cellStyle name="Normal 31 2 3 4" xfId="49061"/>
    <cellStyle name="Normal 31 2 3 4 2" xfId="49062"/>
    <cellStyle name="Normal 31 2 3 5" xfId="49063"/>
    <cellStyle name="Normal 31 2 4" xfId="49064"/>
    <cellStyle name="Normal 31 2 4 2" xfId="49065"/>
    <cellStyle name="Normal 31 2 5" xfId="49066"/>
    <cellStyle name="Normal 31 3" xfId="49067"/>
    <cellStyle name="Normal 31 3 2" xfId="49068"/>
    <cellStyle name="Normal 31 3 2 2" xfId="49069"/>
    <cellStyle name="Normal 31 3 2 2 2" xfId="49070"/>
    <cellStyle name="Normal 31 3 2 2 2 2" xfId="49071"/>
    <cellStyle name="Normal 31 3 2 2 3" xfId="49072"/>
    <cellStyle name="Normal 31 3 2 3" xfId="49073"/>
    <cellStyle name="Normal 31 3 2 3 2" xfId="49074"/>
    <cellStyle name="Normal 31 3 2 4" xfId="49075"/>
    <cellStyle name="Normal 31 3 2 5" xfId="49076"/>
    <cellStyle name="Normal 31 3 2 5 2" xfId="49077"/>
    <cellStyle name="Normal 31 3 3" xfId="49078"/>
    <cellStyle name="Normal 31 3 3 2" xfId="49079"/>
    <cellStyle name="Normal 31 3 3 2 2" xfId="49080"/>
    <cellStyle name="Normal 31 3 3 2 2 2" xfId="49081"/>
    <cellStyle name="Normal 31 3 3 2 3" xfId="49082"/>
    <cellStyle name="Normal 31 3 3 3" xfId="49083"/>
    <cellStyle name="Normal 31 3 3 3 2" xfId="49084"/>
    <cellStyle name="Normal 31 3 3 4" xfId="49085"/>
    <cellStyle name="Normal 31 3 3 4 2" xfId="49086"/>
    <cellStyle name="Normal 31 3 3 5" xfId="49087"/>
    <cellStyle name="Normal 31 3 4" xfId="49088"/>
    <cellStyle name="Normal 31 3 4 2" xfId="49089"/>
    <cellStyle name="Normal 31 3 4 2 2" xfId="49090"/>
    <cellStyle name="Normal 31 3 4 3" xfId="49091"/>
    <cellStyle name="Normal 31 3 5" xfId="49092"/>
    <cellStyle name="Normal 31 3 5 2" xfId="49093"/>
    <cellStyle name="Normal 31 3 6" xfId="49094"/>
    <cellStyle name="Normal 31 3 6 2" xfId="49095"/>
    <cellStyle name="Normal 31 3 7" xfId="49096"/>
    <cellStyle name="Normal 31 4" xfId="49097"/>
    <cellStyle name="Normal 31 4 2" xfId="49098"/>
    <cellStyle name="Normal 31 4 2 2" xfId="49099"/>
    <cellStyle name="Normal 31 4 2 2 2" xfId="49100"/>
    <cellStyle name="Normal 31 4 2 3" xfId="49101"/>
    <cellStyle name="Normal 31 4 3" xfId="49102"/>
    <cellStyle name="Normal 31 4 3 2" xfId="49103"/>
    <cellStyle name="Normal 31 4 4" xfId="49104"/>
    <cellStyle name="Normal 31 4 5" xfId="49105"/>
    <cellStyle name="Normal 31 4 5 2" xfId="49106"/>
    <cellStyle name="Normal 31 5" xfId="49107"/>
    <cellStyle name="Normal 31 5 2" xfId="49108"/>
    <cellStyle name="Normal 31 5 2 2" xfId="49109"/>
    <cellStyle name="Normal 31 5 2 2 2" xfId="49110"/>
    <cellStyle name="Normal 31 5 2 3" xfId="49111"/>
    <cellStyle name="Normal 31 5 2 3 2" xfId="49112"/>
    <cellStyle name="Normal 31 5 2 4" xfId="49113"/>
    <cellStyle name="Normal 31 5 2 4 2" xfId="49114"/>
    <cellStyle name="Normal 31 5 2 5" xfId="49115"/>
    <cellStyle name="Normal 31 5 3" xfId="49116"/>
    <cellStyle name="Normal 31 5 3 2" xfId="49117"/>
    <cellStyle name="Normal 31 5 4" xfId="49118"/>
    <cellStyle name="Normal 31 5 5" xfId="49119"/>
    <cellStyle name="Normal 31 5 5 2" xfId="49120"/>
    <cellStyle name="Normal 31 6" xfId="49121"/>
    <cellStyle name="Normal 31 6 2" xfId="49122"/>
    <cellStyle name="Normal 31 6 2 2" xfId="49123"/>
    <cellStyle name="Normal 31 6 3" xfId="49124"/>
    <cellStyle name="Normal 31 7" xfId="49125"/>
    <cellStyle name="Normal 31 7 2" xfId="49126"/>
    <cellStyle name="Normal 31 7 2 2" xfId="49127"/>
    <cellStyle name="Normal 31 7 3" xfId="49128"/>
    <cellStyle name="Normal 31 8" xfId="49129"/>
    <cellStyle name="Normal 31 8 2" xfId="49130"/>
    <cellStyle name="Normal 31 8 2 2" xfId="49131"/>
    <cellStyle name="Normal 31 8 2 2 2" xfId="49132"/>
    <cellStyle name="Normal 31 8 2 3" xfId="49133"/>
    <cellStyle name="Normal 31 8 3" xfId="49134"/>
    <cellStyle name="Normal 31 8 3 2" xfId="49135"/>
    <cellStyle name="Normal 31 8 4" xfId="49136"/>
    <cellStyle name="Normal 31 8 4 2" xfId="49137"/>
    <cellStyle name="Normal 31 8 5" xfId="49138"/>
    <cellStyle name="Normal 31 9" xfId="49139"/>
    <cellStyle name="Normal 31 9 2" xfId="49140"/>
    <cellStyle name="Normal 310" xfId="49141"/>
    <cellStyle name="Normal 311" xfId="49142"/>
    <cellStyle name="Normal 312" xfId="49143"/>
    <cellStyle name="Normal 313" xfId="49144"/>
    <cellStyle name="Normal 314" xfId="49145"/>
    <cellStyle name="Normal 315" xfId="49146"/>
    <cellStyle name="Normal 316" xfId="49147"/>
    <cellStyle name="Normal 317" xfId="49148"/>
    <cellStyle name="Normal 318" xfId="49149"/>
    <cellStyle name="Normal 319" xfId="49150"/>
    <cellStyle name="Normal 32" xfId="49151"/>
    <cellStyle name="Normal 32 10" xfId="49152"/>
    <cellStyle name="Normal 32 10 2" xfId="49153"/>
    <cellStyle name="Normal 32 11" xfId="49154"/>
    <cellStyle name="Normal 32 11 2" xfId="49155"/>
    <cellStyle name="Normal 32 12" xfId="49156"/>
    <cellStyle name="Normal 32 2" xfId="49157"/>
    <cellStyle name="Normal 32 2 2" xfId="49158"/>
    <cellStyle name="Normal 32 2 2 2" xfId="49159"/>
    <cellStyle name="Normal 32 2 2 2 2" xfId="49160"/>
    <cellStyle name="Normal 32 2 2 2 2 2" xfId="49161"/>
    <cellStyle name="Normal 32 2 2 2 3" xfId="49162"/>
    <cellStyle name="Normal 32 2 2 3" xfId="49163"/>
    <cellStyle name="Normal 32 2 2 3 2" xfId="49164"/>
    <cellStyle name="Normal 32 2 2 4" xfId="49165"/>
    <cellStyle name="Normal 32 2 3" xfId="49166"/>
    <cellStyle name="Normal 32 2 3 2" xfId="49167"/>
    <cellStyle name="Normal 32 2 3 2 2" xfId="49168"/>
    <cellStyle name="Normal 32 2 3 2 2 2" xfId="49169"/>
    <cellStyle name="Normal 32 2 3 2 3" xfId="49170"/>
    <cellStyle name="Normal 32 2 3 3" xfId="49171"/>
    <cellStyle name="Normal 32 2 3 3 2" xfId="49172"/>
    <cellStyle name="Normal 32 2 3 4" xfId="49173"/>
    <cellStyle name="Normal 32 2 4" xfId="49174"/>
    <cellStyle name="Normal 32 2 4 2" xfId="49175"/>
    <cellStyle name="Normal 32 2 5" xfId="49176"/>
    <cellStyle name="Normal 32 3" xfId="49177"/>
    <cellStyle name="Normal 32 3 2" xfId="49178"/>
    <cellStyle name="Normal 32 3 2 2" xfId="49179"/>
    <cellStyle name="Normal 32 3 2 2 2" xfId="49180"/>
    <cellStyle name="Normal 32 3 2 2 2 2" xfId="49181"/>
    <cellStyle name="Normal 32 3 2 2 3" xfId="49182"/>
    <cellStyle name="Normal 32 3 2 2 3 2" xfId="49183"/>
    <cellStyle name="Normal 32 3 2 2 4" xfId="49184"/>
    <cellStyle name="Normal 32 3 2 2 4 2" xfId="49185"/>
    <cellStyle name="Normal 32 3 2 2 5" xfId="49186"/>
    <cellStyle name="Normal 32 3 2 3" xfId="49187"/>
    <cellStyle name="Normal 32 3 2 3 2" xfId="49188"/>
    <cellStyle name="Normal 32 3 2 4" xfId="49189"/>
    <cellStyle name="Normal 32 3 2 4 2" xfId="49190"/>
    <cellStyle name="Normal 32 3 2 5" xfId="49191"/>
    <cellStyle name="Normal 32 3 2 5 2" xfId="49192"/>
    <cellStyle name="Normal 32 3 2 6" xfId="49193"/>
    <cellStyle name="Normal 32 3 3" xfId="49194"/>
    <cellStyle name="Normal 32 3 3 2" xfId="49195"/>
    <cellStyle name="Normal 32 3 3 2 2" xfId="49196"/>
    <cellStyle name="Normal 32 3 3 2 2 2" xfId="49197"/>
    <cellStyle name="Normal 32 3 3 2 3" xfId="49198"/>
    <cellStyle name="Normal 32 3 3 3" xfId="49199"/>
    <cellStyle name="Normal 32 3 3 3 2" xfId="49200"/>
    <cellStyle name="Normal 32 3 3 4" xfId="49201"/>
    <cellStyle name="Normal 32 3 3 4 2" xfId="49202"/>
    <cellStyle name="Normal 32 3 3 5" xfId="49203"/>
    <cellStyle name="Normal 32 3 4" xfId="49204"/>
    <cellStyle name="Normal 32 3 4 2" xfId="49205"/>
    <cellStyle name="Normal 32 3 5" xfId="49206"/>
    <cellStyle name="Normal 32 3 5 2" xfId="49207"/>
    <cellStyle name="Normal 32 3 6" xfId="49208"/>
    <cellStyle name="Normal 32 3 6 2" xfId="49209"/>
    <cellStyle name="Normal 32 3 7" xfId="49210"/>
    <cellStyle name="Normal 32 4" xfId="49211"/>
    <cellStyle name="Normal 32 4 2" xfId="49212"/>
    <cellStyle name="Normal 32 4 2 2" xfId="49213"/>
    <cellStyle name="Normal 32 4 2 2 2" xfId="49214"/>
    <cellStyle name="Normal 32 4 2 3" xfId="49215"/>
    <cellStyle name="Normal 32 4 2 4" xfId="49216"/>
    <cellStyle name="Normal 32 4 2 4 2" xfId="49217"/>
    <cellStyle name="Normal 32 4 3" xfId="49218"/>
    <cellStyle name="Normal 32 4 3 2" xfId="49219"/>
    <cellStyle name="Normal 32 4 4" xfId="49220"/>
    <cellStyle name="Normal 32 4 5" xfId="49221"/>
    <cellStyle name="Normal 32 4 5 2" xfId="49222"/>
    <cellStyle name="Normal 32 5" xfId="49223"/>
    <cellStyle name="Normal 32 5 2" xfId="49224"/>
    <cellStyle name="Normal 32 5 2 2" xfId="49225"/>
    <cellStyle name="Normal 32 5 2 2 2" xfId="49226"/>
    <cellStyle name="Normal 32 5 2 3" xfId="49227"/>
    <cellStyle name="Normal 32 5 2 3 2" xfId="49228"/>
    <cellStyle name="Normal 32 5 2 4" xfId="49229"/>
    <cellStyle name="Normal 32 5 2 4 2" xfId="49230"/>
    <cellStyle name="Normal 32 5 2 5" xfId="49231"/>
    <cellStyle name="Normal 32 5 3" xfId="49232"/>
    <cellStyle name="Normal 32 5 3 2" xfId="49233"/>
    <cellStyle name="Normal 32 5 4" xfId="49234"/>
    <cellStyle name="Normal 32 6" xfId="49235"/>
    <cellStyle name="Normal 32 6 2" xfId="49236"/>
    <cellStyle name="Normal 32 6 2 2" xfId="49237"/>
    <cellStyle name="Normal 32 6 3" xfId="49238"/>
    <cellStyle name="Normal 32 7" xfId="49239"/>
    <cellStyle name="Normal 32 7 2" xfId="49240"/>
    <cellStyle name="Normal 32 7 2 2" xfId="49241"/>
    <cellStyle name="Normal 32 7 3" xfId="49242"/>
    <cellStyle name="Normal 32 8" xfId="49243"/>
    <cellStyle name="Normal 32 8 2" xfId="49244"/>
    <cellStyle name="Normal 32 8 2 2" xfId="49245"/>
    <cellStyle name="Normal 32 8 2 2 2" xfId="49246"/>
    <cellStyle name="Normal 32 8 2 3" xfId="49247"/>
    <cellStyle name="Normal 32 8 3" xfId="49248"/>
    <cellStyle name="Normal 32 8 3 2" xfId="49249"/>
    <cellStyle name="Normal 32 8 4" xfId="49250"/>
    <cellStyle name="Normal 32 8 4 2" xfId="49251"/>
    <cellStyle name="Normal 32 8 5" xfId="49252"/>
    <cellStyle name="Normal 32 9" xfId="49253"/>
    <cellStyle name="Normal 32 9 2" xfId="49254"/>
    <cellStyle name="Normal 320" xfId="49255"/>
    <cellStyle name="Normal 321" xfId="49256"/>
    <cellStyle name="Normal 322" xfId="49257"/>
    <cellStyle name="Normal 323" xfId="49258"/>
    <cellStyle name="Normal 324" xfId="49259"/>
    <cellStyle name="Normal 325" xfId="49260"/>
    <cellStyle name="Normal 326" xfId="49261"/>
    <cellStyle name="Normal 326 2" xfId="49262"/>
    <cellStyle name="Normal 327" xfId="49263"/>
    <cellStyle name="Normal 327 2" xfId="49264"/>
    <cellStyle name="Normal 328" xfId="49265"/>
    <cellStyle name="Normal 329" xfId="49266"/>
    <cellStyle name="Normal 33" xfId="49267"/>
    <cellStyle name="Normal 33 10" xfId="49268"/>
    <cellStyle name="Normal 33 10 2" xfId="49269"/>
    <cellStyle name="Normal 33 11" xfId="49270"/>
    <cellStyle name="Normal 33 11 2" xfId="49271"/>
    <cellStyle name="Normal 33 12" xfId="49272"/>
    <cellStyle name="Normal 33 13" xfId="57857"/>
    <cellStyle name="Normal 33 2" xfId="49273"/>
    <cellStyle name="Normal 33 2 2" xfId="49274"/>
    <cellStyle name="Normal 33 2 2 2" xfId="49275"/>
    <cellStyle name="Normal 33 2 2 2 2" xfId="49276"/>
    <cellStyle name="Normal 33 2 2 2 2 2" xfId="49277"/>
    <cellStyle name="Normal 33 2 2 2 2 2 2" xfId="49278"/>
    <cellStyle name="Normal 33 2 2 2 2 3" xfId="49279"/>
    <cellStyle name="Normal 33 2 2 2 3" xfId="49280"/>
    <cellStyle name="Normal 33 2 2 2 3 2" xfId="49281"/>
    <cellStyle name="Normal 33 2 2 2 4" xfId="49282"/>
    <cellStyle name="Normal 33 2 2 2 4 2" xfId="49283"/>
    <cellStyle name="Normal 33 2 2 2 5" xfId="49284"/>
    <cellStyle name="Normal 33 2 2 2 5 2" xfId="49285"/>
    <cellStyle name="Normal 33 2 2 2 6" xfId="49286"/>
    <cellStyle name="Normal 33 2 2 3" xfId="49287"/>
    <cellStyle name="Normal 33 2 2 3 2" xfId="49288"/>
    <cellStyle name="Normal 33 2 2 3 2 2" xfId="49289"/>
    <cellStyle name="Normal 33 2 2 3 3" xfId="49290"/>
    <cellStyle name="Normal 33 2 2 4" xfId="49291"/>
    <cellStyle name="Normal 33 2 2 4 2" xfId="49292"/>
    <cellStyle name="Normal 33 2 2 5" xfId="49293"/>
    <cellStyle name="Normal 33 2 2 5 2" xfId="49294"/>
    <cellStyle name="Normal 33 2 2 6" xfId="49295"/>
    <cellStyle name="Normal 33 2 2 6 2" xfId="49296"/>
    <cellStyle name="Normal 33 2 2 7" xfId="49297"/>
    <cellStyle name="Normal 33 2 3" xfId="49298"/>
    <cellStyle name="Normal 33 2 3 2" xfId="49299"/>
    <cellStyle name="Normal 33 2 3 2 2" xfId="49300"/>
    <cellStyle name="Normal 33 2 3 2 2 2" xfId="49301"/>
    <cellStyle name="Normal 33 2 3 2 3" xfId="49302"/>
    <cellStyle name="Normal 33 2 3 3" xfId="49303"/>
    <cellStyle name="Normal 33 2 3 3 2" xfId="49304"/>
    <cellStyle name="Normal 33 2 3 4" xfId="49305"/>
    <cellStyle name="Normal 33 2 3 4 2" xfId="49306"/>
    <cellStyle name="Normal 33 2 3 5" xfId="49307"/>
    <cellStyle name="Normal 33 2 3 5 2" xfId="49308"/>
    <cellStyle name="Normal 33 2 3 6" xfId="49309"/>
    <cellStyle name="Normal 33 2 4" xfId="49310"/>
    <cellStyle name="Normal 33 2 4 2" xfId="49311"/>
    <cellStyle name="Normal 33 2 4 2 2" xfId="49312"/>
    <cellStyle name="Normal 33 2 4 3" xfId="49313"/>
    <cellStyle name="Normal 33 2 5" xfId="49314"/>
    <cellStyle name="Normal 33 2 5 2" xfId="49315"/>
    <cellStyle name="Normal 33 2 6" xfId="49316"/>
    <cellStyle name="Normal 33 2 6 2" xfId="49317"/>
    <cellStyle name="Normal 33 2 7" xfId="49318"/>
    <cellStyle name="Normal 33 2 7 2" xfId="49319"/>
    <cellStyle name="Normal 33 2 8" xfId="49320"/>
    <cellStyle name="Normal 33 3" xfId="49321"/>
    <cellStyle name="Normal 33 3 2" xfId="49322"/>
    <cellStyle name="Normal 33 3 2 2" xfId="49323"/>
    <cellStyle name="Normal 33 3 2 2 2" xfId="49324"/>
    <cellStyle name="Normal 33 3 2 2 2 2" xfId="49325"/>
    <cellStyle name="Normal 33 3 2 2 2 2 2" xfId="49326"/>
    <cellStyle name="Normal 33 3 2 2 2 3" xfId="49327"/>
    <cellStyle name="Normal 33 3 2 2 3" xfId="49328"/>
    <cellStyle name="Normal 33 3 2 2 3 2" xfId="49329"/>
    <cellStyle name="Normal 33 3 2 2 4" xfId="49330"/>
    <cellStyle name="Normal 33 3 2 2 4 2" xfId="49331"/>
    <cellStyle name="Normal 33 3 2 2 5" xfId="49332"/>
    <cellStyle name="Normal 33 3 2 2 5 2" xfId="49333"/>
    <cellStyle name="Normal 33 3 2 2 6" xfId="49334"/>
    <cellStyle name="Normal 33 3 2 3" xfId="49335"/>
    <cellStyle name="Normal 33 3 2 3 2" xfId="49336"/>
    <cellStyle name="Normal 33 3 2 3 2 2" xfId="49337"/>
    <cellStyle name="Normal 33 3 2 3 3" xfId="49338"/>
    <cellStyle name="Normal 33 3 2 4" xfId="49339"/>
    <cellStyle name="Normal 33 3 2 4 2" xfId="49340"/>
    <cellStyle name="Normal 33 3 2 5" xfId="49341"/>
    <cellStyle name="Normal 33 3 2 5 2" xfId="49342"/>
    <cellStyle name="Normal 33 3 2 6" xfId="49343"/>
    <cellStyle name="Normal 33 3 2 6 2" xfId="49344"/>
    <cellStyle name="Normal 33 3 2 7" xfId="49345"/>
    <cellStyle name="Normal 33 3 3" xfId="49346"/>
    <cellStyle name="Normal 33 3 3 2" xfId="49347"/>
    <cellStyle name="Normal 33 3 3 2 2" xfId="49348"/>
    <cellStyle name="Normal 33 3 3 2 2 2" xfId="49349"/>
    <cellStyle name="Normal 33 3 3 2 3" xfId="49350"/>
    <cellStyle name="Normal 33 3 3 3" xfId="49351"/>
    <cellStyle name="Normal 33 3 3 3 2" xfId="49352"/>
    <cellStyle name="Normal 33 3 3 4" xfId="49353"/>
    <cellStyle name="Normal 33 3 3 4 2" xfId="49354"/>
    <cellStyle name="Normal 33 3 3 5" xfId="49355"/>
    <cellStyle name="Normal 33 3 3 5 2" xfId="49356"/>
    <cellStyle name="Normal 33 3 3 6" xfId="49357"/>
    <cellStyle name="Normal 33 3 4" xfId="49358"/>
    <cellStyle name="Normal 33 3 4 2" xfId="49359"/>
    <cellStyle name="Normal 33 3 4 2 2" xfId="49360"/>
    <cellStyle name="Normal 33 3 4 3" xfId="49361"/>
    <cellStyle name="Normal 33 3 5" xfId="49362"/>
    <cellStyle name="Normal 33 3 5 2" xfId="49363"/>
    <cellStyle name="Normal 33 3 6" xfId="49364"/>
    <cellStyle name="Normal 33 3 6 2" xfId="49365"/>
    <cellStyle name="Normal 33 3 7" xfId="49366"/>
    <cellStyle name="Normal 33 4" xfId="49367"/>
    <cellStyle name="Normal 33 4 2" xfId="49368"/>
    <cellStyle name="Normal 33 4 2 2" xfId="49369"/>
    <cellStyle name="Normal 33 4 2 2 2" xfId="49370"/>
    <cellStyle name="Normal 33 4 2 2 2 2" xfId="49371"/>
    <cellStyle name="Normal 33 4 2 2 3" xfId="49372"/>
    <cellStyle name="Normal 33 4 2 3" xfId="49373"/>
    <cellStyle name="Normal 33 4 2 3 2" xfId="49374"/>
    <cellStyle name="Normal 33 4 2 4" xfId="49375"/>
    <cellStyle name="Normal 33 4 2 4 2" xfId="49376"/>
    <cellStyle name="Normal 33 4 2 5" xfId="49377"/>
    <cellStyle name="Normal 33 4 2 5 2" xfId="49378"/>
    <cellStyle name="Normal 33 4 2 6" xfId="49379"/>
    <cellStyle name="Normal 33 4 3" xfId="49380"/>
    <cellStyle name="Normal 33 4 3 2" xfId="49381"/>
    <cellStyle name="Normal 33 4 3 2 2" xfId="49382"/>
    <cellStyle name="Normal 33 4 3 3" xfId="49383"/>
    <cellStyle name="Normal 33 4 4" xfId="49384"/>
    <cellStyle name="Normal 33 4 4 2" xfId="49385"/>
    <cellStyle name="Normal 33 4 5" xfId="49386"/>
    <cellStyle name="Normal 33 4 5 2" xfId="49387"/>
    <cellStyle name="Normal 33 4 6" xfId="49388"/>
    <cellStyle name="Normal 33 5" xfId="49389"/>
    <cellStyle name="Normal 33 5 2" xfId="49390"/>
    <cellStyle name="Normal 33 5 2 2" xfId="49391"/>
    <cellStyle name="Normal 33 5 2 2 2" xfId="49392"/>
    <cellStyle name="Normal 33 5 2 3" xfId="49393"/>
    <cellStyle name="Normal 33 5 2 4" xfId="49394"/>
    <cellStyle name="Normal 33 5 2 4 2" xfId="49395"/>
    <cellStyle name="Normal 33 5 3" xfId="49396"/>
    <cellStyle name="Normal 33 5 3 2" xfId="49397"/>
    <cellStyle name="Normal 33 5 3 2 2" xfId="49398"/>
    <cellStyle name="Normal 33 5 3 3" xfId="49399"/>
    <cellStyle name="Normal 33 5 4" xfId="49400"/>
    <cellStyle name="Normal 33 6" xfId="49401"/>
    <cellStyle name="Normal 33 6 2" xfId="49402"/>
    <cellStyle name="Normal 33 6 2 2" xfId="49403"/>
    <cellStyle name="Normal 33 6 2 2 2" xfId="49404"/>
    <cellStyle name="Normal 33 6 2 3" xfId="49405"/>
    <cellStyle name="Normal 33 6 3" xfId="49406"/>
    <cellStyle name="Normal 33 6 3 2" xfId="49407"/>
    <cellStyle name="Normal 33 6 4" xfId="49408"/>
    <cellStyle name="Normal 33 6 4 2" xfId="49409"/>
    <cellStyle name="Normal 33 6 5" xfId="49410"/>
    <cellStyle name="Normal 33 6 5 2" xfId="49411"/>
    <cellStyle name="Normal 33 6 6" xfId="49412"/>
    <cellStyle name="Normal 33 7" xfId="49413"/>
    <cellStyle name="Normal 33 7 2" xfId="49414"/>
    <cellStyle name="Normal 33 7 2 2" xfId="49415"/>
    <cellStyle name="Normal 33 7 3" xfId="49416"/>
    <cellStyle name="Normal 33 8" xfId="49417"/>
    <cellStyle name="Normal 33 8 2" xfId="49418"/>
    <cellStyle name="Normal 33 8 2 2" xfId="49419"/>
    <cellStyle name="Normal 33 8 2 2 2" xfId="49420"/>
    <cellStyle name="Normal 33 8 2 3" xfId="49421"/>
    <cellStyle name="Normal 33 8 3" xfId="49422"/>
    <cellStyle name="Normal 33 8 3 2" xfId="49423"/>
    <cellStyle name="Normal 33 8 4" xfId="49424"/>
    <cellStyle name="Normal 33 8 4 2" xfId="49425"/>
    <cellStyle name="Normal 33 8 5" xfId="49426"/>
    <cellStyle name="Normal 33 8 5 2" xfId="49427"/>
    <cellStyle name="Normal 33 8 6" xfId="49428"/>
    <cellStyle name="Normal 33 9" xfId="49429"/>
    <cellStyle name="Normal 33 9 2" xfId="49430"/>
    <cellStyle name="Normal 33 9 2 2" xfId="49431"/>
    <cellStyle name="Normal 33 9 3" xfId="49432"/>
    <cellStyle name="Normal 330" xfId="49433"/>
    <cellStyle name="Normal 331" xfId="49434"/>
    <cellStyle name="Normal 332" xfId="49435"/>
    <cellStyle name="Normal 333" xfId="49436"/>
    <cellStyle name="Normal 334" xfId="49437"/>
    <cellStyle name="Normal 335" xfId="49438"/>
    <cellStyle name="Normal 335 2" xfId="49439"/>
    <cellStyle name="Normal 336" xfId="49440"/>
    <cellStyle name="Normal 337" xfId="49441"/>
    <cellStyle name="Normal 338" xfId="49442"/>
    <cellStyle name="Normal 339" xfId="49443"/>
    <cellStyle name="Normal 34" xfId="49444"/>
    <cellStyle name="Normal 34 10" xfId="49445"/>
    <cellStyle name="Normal 34 10 2" xfId="49446"/>
    <cellStyle name="Normal 34 11" xfId="49447"/>
    <cellStyle name="Normal 34 11 2" xfId="49448"/>
    <cellStyle name="Normal 34 12" xfId="49449"/>
    <cellStyle name="Normal 34 13" xfId="57858"/>
    <cellStyle name="Normal 34 2" xfId="49450"/>
    <cellStyle name="Normal 34 2 2" xfId="49451"/>
    <cellStyle name="Normal 34 2 2 2" xfId="49452"/>
    <cellStyle name="Normal 34 2 2 2 2" xfId="49453"/>
    <cellStyle name="Normal 34 2 2 2 2 2" xfId="49454"/>
    <cellStyle name="Normal 34 2 2 2 2 2 2" xfId="49455"/>
    <cellStyle name="Normal 34 2 2 2 2 3" xfId="49456"/>
    <cellStyle name="Normal 34 2 2 2 3" xfId="49457"/>
    <cellStyle name="Normal 34 2 2 2 3 2" xfId="49458"/>
    <cellStyle name="Normal 34 2 2 2 4" xfId="49459"/>
    <cellStyle name="Normal 34 2 2 2 4 2" xfId="49460"/>
    <cellStyle name="Normal 34 2 2 2 5" xfId="49461"/>
    <cellStyle name="Normal 34 2 2 2 5 2" xfId="49462"/>
    <cellStyle name="Normal 34 2 2 2 6" xfId="49463"/>
    <cellStyle name="Normal 34 2 2 3" xfId="49464"/>
    <cellStyle name="Normal 34 2 2 3 2" xfId="49465"/>
    <cellStyle name="Normal 34 2 2 4" xfId="49466"/>
    <cellStyle name="Normal 34 2 2 4 2" xfId="49467"/>
    <cellStyle name="Normal 34 2 2 5" xfId="49468"/>
    <cellStyle name="Normal 34 2 2 5 2" xfId="49469"/>
    <cellStyle name="Normal 34 2 2 6" xfId="49470"/>
    <cellStyle name="Normal 34 2 3" xfId="49471"/>
    <cellStyle name="Normal 34 2 3 2" xfId="49472"/>
    <cellStyle name="Normal 34 2 3 2 2" xfId="49473"/>
    <cellStyle name="Normal 34 2 3 2 2 2" xfId="49474"/>
    <cellStyle name="Normal 34 2 3 2 3" xfId="49475"/>
    <cellStyle name="Normal 34 2 3 3" xfId="49476"/>
    <cellStyle name="Normal 34 2 3 3 2" xfId="49477"/>
    <cellStyle name="Normal 34 2 3 4" xfId="49478"/>
    <cellStyle name="Normal 34 2 3 4 2" xfId="49479"/>
    <cellStyle name="Normal 34 2 3 5" xfId="49480"/>
    <cellStyle name="Normal 34 2 3 5 2" xfId="49481"/>
    <cellStyle name="Normal 34 2 3 6" xfId="49482"/>
    <cellStyle name="Normal 34 2 4" xfId="49483"/>
    <cellStyle name="Normal 34 2 4 2" xfId="49484"/>
    <cellStyle name="Normal 34 2 4 2 2" xfId="49485"/>
    <cellStyle name="Normal 34 2 4 3" xfId="49486"/>
    <cellStyle name="Normal 34 2 5" xfId="49487"/>
    <cellStyle name="Normal 34 3" xfId="49488"/>
    <cellStyle name="Normal 34 3 2" xfId="49489"/>
    <cellStyle name="Normal 34 3 2 2" xfId="49490"/>
    <cellStyle name="Normal 34 3 2 2 2" xfId="49491"/>
    <cellStyle name="Normal 34 3 2 2 2 2" xfId="49492"/>
    <cellStyle name="Normal 34 3 2 2 2 2 2" xfId="49493"/>
    <cellStyle name="Normal 34 3 2 2 2 3" xfId="49494"/>
    <cellStyle name="Normal 34 3 2 2 3" xfId="49495"/>
    <cellStyle name="Normal 34 3 2 2 3 2" xfId="49496"/>
    <cellStyle name="Normal 34 3 2 2 4" xfId="49497"/>
    <cellStyle name="Normal 34 3 2 2 4 2" xfId="49498"/>
    <cellStyle name="Normal 34 3 2 2 5" xfId="49499"/>
    <cellStyle name="Normal 34 3 2 3" xfId="49500"/>
    <cellStyle name="Normal 34 3 2 3 2" xfId="49501"/>
    <cellStyle name="Normal 34 3 2 4" xfId="49502"/>
    <cellStyle name="Normal 34 3 2 4 2" xfId="49503"/>
    <cellStyle name="Normal 34 3 2 5" xfId="49504"/>
    <cellStyle name="Normal 34 3 2 5 2" xfId="49505"/>
    <cellStyle name="Normal 34 3 2 6" xfId="49506"/>
    <cellStyle name="Normal 34 3 3" xfId="49507"/>
    <cellStyle name="Normal 34 3 3 2" xfId="49508"/>
    <cellStyle name="Normal 34 3 3 2 2" xfId="49509"/>
    <cellStyle name="Normal 34 3 3 2 2 2" xfId="49510"/>
    <cellStyle name="Normal 34 3 3 2 3" xfId="49511"/>
    <cellStyle name="Normal 34 3 3 3" xfId="49512"/>
    <cellStyle name="Normal 34 3 3 3 2" xfId="49513"/>
    <cellStyle name="Normal 34 3 3 4" xfId="49514"/>
    <cellStyle name="Normal 34 3 3 4 2" xfId="49515"/>
    <cellStyle name="Normal 34 3 3 4 2 2" xfId="49516"/>
    <cellStyle name="Normal 34 3 3 4 3" xfId="49517"/>
    <cellStyle name="Normal 34 3 3 5" xfId="49518"/>
    <cellStyle name="Normal 34 3 4" xfId="49519"/>
    <cellStyle name="Normal 34 3 4 2" xfId="49520"/>
    <cellStyle name="Normal 34 3 5" xfId="49521"/>
    <cellStyle name="Normal 34 3 5 2" xfId="49522"/>
    <cellStyle name="Normal 34 3 6" xfId="49523"/>
    <cellStyle name="Normal 34 3 6 2" xfId="49524"/>
    <cellStyle name="Normal 34 3 7" xfId="49525"/>
    <cellStyle name="Normal 34 4" xfId="49526"/>
    <cellStyle name="Normal 34 4 2" xfId="49527"/>
    <cellStyle name="Normal 34 4 2 2" xfId="49528"/>
    <cellStyle name="Normal 34 4 2 2 2" xfId="49529"/>
    <cellStyle name="Normal 34 4 2 2 2 2" xfId="49530"/>
    <cellStyle name="Normal 34 4 2 2 3" xfId="49531"/>
    <cellStyle name="Normal 34 4 2 3" xfId="49532"/>
    <cellStyle name="Normal 34 4 2 3 2" xfId="49533"/>
    <cellStyle name="Normal 34 4 2 4" xfId="49534"/>
    <cellStyle name="Normal 34 4 2 4 2" xfId="49535"/>
    <cellStyle name="Normal 34 4 2 5" xfId="49536"/>
    <cellStyle name="Normal 34 4 2 5 2" xfId="49537"/>
    <cellStyle name="Normal 34 4 2 6" xfId="49538"/>
    <cellStyle name="Normal 34 4 3" xfId="49539"/>
    <cellStyle name="Normal 34 4 3 2" xfId="49540"/>
    <cellStyle name="Normal 34 4 3 2 2" xfId="49541"/>
    <cellStyle name="Normal 34 4 3 3" xfId="49542"/>
    <cellStyle name="Normal 34 4 4" xfId="49543"/>
    <cellStyle name="Normal 34 5" xfId="49544"/>
    <cellStyle name="Normal 34 5 2" xfId="49545"/>
    <cellStyle name="Normal 34 5 2 2" xfId="49546"/>
    <cellStyle name="Normal 34 5 2 2 2" xfId="49547"/>
    <cellStyle name="Normal 34 5 2 3" xfId="49548"/>
    <cellStyle name="Normal 34 5 2 4" xfId="49549"/>
    <cellStyle name="Normal 34 5 2 4 2" xfId="49550"/>
    <cellStyle name="Normal 34 5 3" xfId="49551"/>
    <cellStyle name="Normal 34 5 3 2" xfId="49552"/>
    <cellStyle name="Normal 34 5 4" xfId="49553"/>
    <cellStyle name="Normal 34 6" xfId="49554"/>
    <cellStyle name="Normal 34 6 2" xfId="49555"/>
    <cellStyle name="Normal 34 6 2 2" xfId="49556"/>
    <cellStyle name="Normal 34 6 3" xfId="49557"/>
    <cellStyle name="Normal 34 7" xfId="49558"/>
    <cellStyle name="Normal 34 7 2" xfId="49559"/>
    <cellStyle name="Normal 34 7 2 2" xfId="49560"/>
    <cellStyle name="Normal 34 7 3" xfId="49561"/>
    <cellStyle name="Normal 34 8" xfId="49562"/>
    <cellStyle name="Normal 34 8 2" xfId="49563"/>
    <cellStyle name="Normal 34 8 2 2" xfId="49564"/>
    <cellStyle name="Normal 34 8 3" xfId="49565"/>
    <cellStyle name="Normal 34 9" xfId="49566"/>
    <cellStyle name="Normal 34 9 2" xfId="49567"/>
    <cellStyle name="Normal 340" xfId="49568"/>
    <cellStyle name="Normal 341" xfId="49569"/>
    <cellStyle name="Normal 341 2" xfId="49570"/>
    <cellStyle name="Normal 342" xfId="49571"/>
    <cellStyle name="Normal 343" xfId="49572"/>
    <cellStyle name="Normal 343 2" xfId="49573"/>
    <cellStyle name="Normal 344" xfId="20"/>
    <cellStyle name="Normal 344 2" xfId="49574"/>
    <cellStyle name="Normal 345" xfId="49575"/>
    <cellStyle name="Normal 346" xfId="49576"/>
    <cellStyle name="Normal 347" xfId="49577"/>
    <cellStyle name="Normal 348" xfId="49578"/>
    <cellStyle name="Normal 348 2" xfId="49579"/>
    <cellStyle name="Normal 349" xfId="49580"/>
    <cellStyle name="Normal 349 2" xfId="57458"/>
    <cellStyle name="Normal 35" xfId="49581"/>
    <cellStyle name="Normal 35 10" xfId="49582"/>
    <cellStyle name="Normal 35 11" xfId="57859"/>
    <cellStyle name="Normal 35 2" xfId="49583"/>
    <cellStyle name="Normal 35 2 2" xfId="49584"/>
    <cellStyle name="Normal 35 2 2 2" xfId="49585"/>
    <cellStyle name="Normal 35 2 2 2 2" xfId="49586"/>
    <cellStyle name="Normal 35 2 2 2 2 2" xfId="49587"/>
    <cellStyle name="Normal 35 2 2 2 3" xfId="49588"/>
    <cellStyle name="Normal 35 2 2 3" xfId="49589"/>
    <cellStyle name="Normal 35 2 2 3 2" xfId="49590"/>
    <cellStyle name="Normal 35 2 2 4" xfId="49591"/>
    <cellStyle name="Normal 35 2 2 4 2" xfId="49592"/>
    <cellStyle name="Normal 35 2 2 5" xfId="49593"/>
    <cellStyle name="Normal 35 2 2 5 2" xfId="49594"/>
    <cellStyle name="Normal 35 2 2 6" xfId="49595"/>
    <cellStyle name="Normal 35 2 3" xfId="49596"/>
    <cellStyle name="Normal 35 2 3 2" xfId="49597"/>
    <cellStyle name="Normal 35 2 3 2 2" xfId="49598"/>
    <cellStyle name="Normal 35 2 3 3" xfId="49599"/>
    <cellStyle name="Normal 35 2 3 4" xfId="49600"/>
    <cellStyle name="Normal 35 2 3 4 2" xfId="49601"/>
    <cellStyle name="Normal 35 2 4" xfId="49602"/>
    <cellStyle name="Normal 35 2 4 2" xfId="49603"/>
    <cellStyle name="Normal 35 2 5" xfId="49604"/>
    <cellStyle name="Normal 35 3" xfId="49605"/>
    <cellStyle name="Normal 35 3 2" xfId="49606"/>
    <cellStyle name="Normal 35 3 2 2" xfId="49607"/>
    <cellStyle name="Normal 35 3 2 2 2" xfId="49608"/>
    <cellStyle name="Normal 35 3 2 2 2 2" xfId="49609"/>
    <cellStyle name="Normal 35 3 2 2 3" xfId="49610"/>
    <cellStyle name="Normal 35 3 2 3" xfId="49611"/>
    <cellStyle name="Normal 35 3 2 3 2" xfId="49612"/>
    <cellStyle name="Normal 35 3 2 4" xfId="49613"/>
    <cellStyle name="Normal 35 3 2 4 2" xfId="49614"/>
    <cellStyle name="Normal 35 3 2 5" xfId="49615"/>
    <cellStyle name="Normal 35 3 2 5 2" xfId="49616"/>
    <cellStyle name="Normal 35 3 2 6" xfId="49617"/>
    <cellStyle name="Normal 35 3 3" xfId="49618"/>
    <cellStyle name="Normal 35 3 3 2" xfId="49619"/>
    <cellStyle name="Normal 35 3 3 2 2" xfId="49620"/>
    <cellStyle name="Normal 35 3 3 3" xfId="49621"/>
    <cellStyle name="Normal 35 3 3 4" xfId="49622"/>
    <cellStyle name="Normal 35 3 3 4 2" xfId="49623"/>
    <cellStyle name="Normal 35 3 4" xfId="49624"/>
    <cellStyle name="Normal 35 3 4 2" xfId="49625"/>
    <cellStyle name="Normal 35 3 5" xfId="49626"/>
    <cellStyle name="Normal 35 4" xfId="49627"/>
    <cellStyle name="Normal 35 4 2" xfId="49628"/>
    <cellStyle name="Normal 35 4 2 2" xfId="49629"/>
    <cellStyle name="Normal 35 4 2 2 2" xfId="49630"/>
    <cellStyle name="Normal 35 4 2 3" xfId="49631"/>
    <cellStyle name="Normal 35 4 2 4" xfId="49632"/>
    <cellStyle name="Normal 35 4 2 4 2" xfId="49633"/>
    <cellStyle name="Normal 35 4 3" xfId="49634"/>
    <cellStyle name="Normal 35 4 3 2" xfId="49635"/>
    <cellStyle name="Normal 35 4 4" xfId="49636"/>
    <cellStyle name="Normal 35 5" xfId="49637"/>
    <cellStyle name="Normal 35 5 2" xfId="49638"/>
    <cellStyle name="Normal 35 5 2 2" xfId="49639"/>
    <cellStyle name="Normal 35 5 2 2 2" xfId="49640"/>
    <cellStyle name="Normal 35 5 2 3" xfId="49641"/>
    <cellStyle name="Normal 35 5 2 4" xfId="49642"/>
    <cellStyle name="Normal 35 5 2 4 2" xfId="49643"/>
    <cellStyle name="Normal 35 5 3" xfId="49644"/>
    <cellStyle name="Normal 35 5 3 2" xfId="49645"/>
    <cellStyle name="Normal 35 5 4" xfId="49646"/>
    <cellStyle name="Normal 35 6" xfId="49647"/>
    <cellStyle name="Normal 35 6 2" xfId="49648"/>
    <cellStyle name="Normal 35 6 2 2" xfId="49649"/>
    <cellStyle name="Normal 35 6 3" xfId="49650"/>
    <cellStyle name="Normal 35 7" xfId="49651"/>
    <cellStyle name="Normal 35 7 2" xfId="49652"/>
    <cellStyle name="Normal 35 7 2 2" xfId="49653"/>
    <cellStyle name="Normal 35 7 3" xfId="49654"/>
    <cellStyle name="Normal 35 8" xfId="49655"/>
    <cellStyle name="Normal 35 8 2" xfId="49656"/>
    <cellStyle name="Normal 35 8 2 2" xfId="49657"/>
    <cellStyle name="Normal 35 8 3" xfId="49658"/>
    <cellStyle name="Normal 35 9" xfId="49659"/>
    <cellStyle name="Normal 35 9 2" xfId="49660"/>
    <cellStyle name="Normal 350" xfId="57459"/>
    <cellStyle name="Normal 351" xfId="57461"/>
    <cellStyle name="Normal 352" xfId="58329"/>
    <cellStyle name="Normal 36" xfId="49661"/>
    <cellStyle name="Normal 36 10" xfId="49662"/>
    <cellStyle name="Normal 36 11" xfId="57860"/>
    <cellStyle name="Normal 36 2" xfId="49663"/>
    <cellStyle name="Normal 36 2 2" xfId="49664"/>
    <cellStyle name="Normal 36 2 2 2" xfId="49665"/>
    <cellStyle name="Normal 36 2 2 2 2" xfId="49666"/>
    <cellStyle name="Normal 36 2 2 2 2 2" xfId="49667"/>
    <cellStyle name="Normal 36 2 2 2 2 2 2" xfId="49668"/>
    <cellStyle name="Normal 36 2 2 2 2 3" xfId="49669"/>
    <cellStyle name="Normal 36 2 2 2 3" xfId="49670"/>
    <cellStyle name="Normal 36 2 2 3" xfId="49671"/>
    <cellStyle name="Normal 36 2 2 3 2" xfId="49672"/>
    <cellStyle name="Normal 36 2 2 4" xfId="49673"/>
    <cellStyle name="Normal 36 2 3" xfId="49674"/>
    <cellStyle name="Normal 36 2 3 2" xfId="49675"/>
    <cellStyle name="Normal 36 2 3 2 2" xfId="49676"/>
    <cellStyle name="Normal 36 2 3 3" xfId="49677"/>
    <cellStyle name="Normal 36 2 4" xfId="49678"/>
    <cellStyle name="Normal 36 2 4 2" xfId="49679"/>
    <cellStyle name="Normal 36 2 5" xfId="49680"/>
    <cellStyle name="Normal 36 3" xfId="49681"/>
    <cellStyle name="Normal 36 3 2" xfId="49682"/>
    <cellStyle name="Normal 36 3 2 2" xfId="49683"/>
    <cellStyle name="Normal 36 3 2 2 2" xfId="49684"/>
    <cellStyle name="Normal 36 3 2 2 2 2" xfId="49685"/>
    <cellStyle name="Normal 36 3 2 2 3" xfId="49686"/>
    <cellStyle name="Normal 36 3 2 3" xfId="49687"/>
    <cellStyle name="Normal 36 3 2 3 2" xfId="49688"/>
    <cellStyle name="Normal 36 3 2 4" xfId="49689"/>
    <cellStyle name="Normal 36 3 3" xfId="49690"/>
    <cellStyle name="Normal 36 3 3 2" xfId="49691"/>
    <cellStyle name="Normal 36 3 3 2 2" xfId="49692"/>
    <cellStyle name="Normal 36 3 3 3" xfId="49693"/>
    <cellStyle name="Normal 36 3 4" xfId="49694"/>
    <cellStyle name="Normal 36 3 4 2" xfId="49695"/>
    <cellStyle name="Normal 36 3 5" xfId="49696"/>
    <cellStyle name="Normal 36 4" xfId="49697"/>
    <cellStyle name="Normal 36 4 2" xfId="49698"/>
    <cellStyle name="Normal 36 4 2 2" xfId="49699"/>
    <cellStyle name="Normal 36 4 2 2 2" xfId="49700"/>
    <cellStyle name="Normal 36 4 2 3" xfId="49701"/>
    <cellStyle name="Normal 36 4 3" xfId="49702"/>
    <cellStyle name="Normal 36 4 3 2" xfId="49703"/>
    <cellStyle name="Normal 36 4 4" xfId="49704"/>
    <cellStyle name="Normal 36 5" xfId="49705"/>
    <cellStyle name="Normal 36 5 2" xfId="49706"/>
    <cellStyle name="Normal 36 5 2 2" xfId="49707"/>
    <cellStyle name="Normal 36 5 2 2 2" xfId="49708"/>
    <cellStyle name="Normal 36 5 2 3" xfId="49709"/>
    <cellStyle name="Normal 36 5 3" xfId="49710"/>
    <cellStyle name="Normal 36 5 3 2" xfId="49711"/>
    <cellStyle name="Normal 36 5 4" xfId="49712"/>
    <cellStyle name="Normal 36 6" xfId="49713"/>
    <cellStyle name="Normal 36 6 2" xfId="49714"/>
    <cellStyle name="Normal 36 6 2 2" xfId="49715"/>
    <cellStyle name="Normal 36 6 3" xfId="49716"/>
    <cellStyle name="Normal 36 7" xfId="49717"/>
    <cellStyle name="Normal 36 7 2" xfId="49718"/>
    <cellStyle name="Normal 36 7 2 2" xfId="49719"/>
    <cellStyle name="Normal 36 7 3" xfId="49720"/>
    <cellStyle name="Normal 36 8" xfId="49721"/>
    <cellStyle name="Normal 36 8 2" xfId="49722"/>
    <cellStyle name="Normal 36 8 2 2" xfId="49723"/>
    <cellStyle name="Normal 36 8 2 2 2" xfId="49724"/>
    <cellStyle name="Normal 36 8 2 3" xfId="49725"/>
    <cellStyle name="Normal 36 8 3" xfId="49726"/>
    <cellStyle name="Normal 36 8 3 2" xfId="49727"/>
    <cellStyle name="Normal 36 8 4" xfId="49728"/>
    <cellStyle name="Normal 36 8 4 2" xfId="49729"/>
    <cellStyle name="Normal 36 8 5" xfId="49730"/>
    <cellStyle name="Normal 36 8 5 2" xfId="49731"/>
    <cellStyle name="Normal 36 8 6" xfId="49732"/>
    <cellStyle name="Normal 36 9" xfId="49733"/>
    <cellStyle name="Normal 36 9 2" xfId="49734"/>
    <cellStyle name="Normal 36 9 2 2" xfId="49735"/>
    <cellStyle name="Normal 36 9 3" xfId="49736"/>
    <cellStyle name="Normal 37" xfId="49737"/>
    <cellStyle name="Normal 37 10" xfId="49738"/>
    <cellStyle name="Normal 37 11" xfId="49739"/>
    <cellStyle name="Normal 37 11 2" xfId="49740"/>
    <cellStyle name="Normal 37 12" xfId="57861"/>
    <cellStyle name="Normal 37 2" xfId="49741"/>
    <cellStyle name="Normal 37 2 2" xfId="49742"/>
    <cellStyle name="Normal 37 2 2 2" xfId="49743"/>
    <cellStyle name="Normal 37 2 2 2 2" xfId="49744"/>
    <cellStyle name="Normal 37 2 2 2 2 2" xfId="49745"/>
    <cellStyle name="Normal 37 2 2 2 3" xfId="49746"/>
    <cellStyle name="Normal 37 2 2 3" xfId="49747"/>
    <cellStyle name="Normal 37 2 2 3 2" xfId="49748"/>
    <cellStyle name="Normal 37 2 2 4" xfId="49749"/>
    <cellStyle name="Normal 37 2 2 4 2" xfId="49750"/>
    <cellStyle name="Normal 37 2 2 5" xfId="49751"/>
    <cellStyle name="Normal 37 2 2 5 2" xfId="49752"/>
    <cellStyle name="Normal 37 2 2 6" xfId="49753"/>
    <cellStyle name="Normal 37 2 3" xfId="49754"/>
    <cellStyle name="Normal 37 2 3 2" xfId="49755"/>
    <cellStyle name="Normal 37 2 3 2 2" xfId="49756"/>
    <cellStyle name="Normal 37 2 3 3" xfId="49757"/>
    <cellStyle name="Normal 37 2 4" xfId="49758"/>
    <cellStyle name="Normal 37 2 4 2" xfId="49759"/>
    <cellStyle name="Normal 37 2 5" xfId="49760"/>
    <cellStyle name="Normal 37 3" xfId="49761"/>
    <cellStyle name="Normal 37 3 2" xfId="49762"/>
    <cellStyle name="Normal 37 3 2 2" xfId="49763"/>
    <cellStyle name="Normal 37 3 2 2 2" xfId="49764"/>
    <cellStyle name="Normal 37 3 2 2 2 2" xfId="49765"/>
    <cellStyle name="Normal 37 3 2 2 3" xfId="49766"/>
    <cellStyle name="Normal 37 3 2 3" xfId="49767"/>
    <cellStyle name="Normal 37 3 2 3 2" xfId="49768"/>
    <cellStyle name="Normal 37 3 2 4" xfId="49769"/>
    <cellStyle name="Normal 37 3 3" xfId="49770"/>
    <cellStyle name="Normal 37 3 3 2" xfId="49771"/>
    <cellStyle name="Normal 37 3 3 2 2" xfId="49772"/>
    <cellStyle name="Normal 37 3 3 3" xfId="49773"/>
    <cellStyle name="Normal 37 3 4" xfId="49774"/>
    <cellStyle name="Normal 37 3 4 2" xfId="49775"/>
    <cellStyle name="Normal 37 3 5" xfId="49776"/>
    <cellStyle name="Normal 37 4" xfId="49777"/>
    <cellStyle name="Normal 37 4 2" xfId="49778"/>
    <cellStyle name="Normal 37 4 2 2" xfId="49779"/>
    <cellStyle name="Normal 37 4 2 2 2" xfId="49780"/>
    <cellStyle name="Normal 37 4 2 3" xfId="49781"/>
    <cellStyle name="Normal 37 4 3" xfId="49782"/>
    <cellStyle name="Normal 37 4 3 2" xfId="49783"/>
    <cellStyle name="Normal 37 4 4" xfId="49784"/>
    <cellStyle name="Normal 37 5" xfId="49785"/>
    <cellStyle name="Normal 37 5 2" xfId="49786"/>
    <cellStyle name="Normal 37 5 2 2" xfId="49787"/>
    <cellStyle name="Normal 37 5 2 2 2" xfId="49788"/>
    <cellStyle name="Normal 37 5 2 3" xfId="49789"/>
    <cellStyle name="Normal 37 5 3" xfId="49790"/>
    <cellStyle name="Normal 37 5 3 2" xfId="49791"/>
    <cellStyle name="Normal 37 5 4" xfId="49792"/>
    <cellStyle name="Normal 37 6" xfId="49793"/>
    <cellStyle name="Normal 37 6 2" xfId="49794"/>
    <cellStyle name="Normal 37 6 2 2" xfId="49795"/>
    <cellStyle name="Normal 37 6 3" xfId="49796"/>
    <cellStyle name="Normal 37 7" xfId="49797"/>
    <cellStyle name="Normal 37 7 2" xfId="49798"/>
    <cellStyle name="Normal 37 7 2 2" xfId="49799"/>
    <cellStyle name="Normal 37 7 3" xfId="49800"/>
    <cellStyle name="Normal 37 8" xfId="49801"/>
    <cellStyle name="Normal 37 8 2" xfId="49802"/>
    <cellStyle name="Normal 37 8 2 2" xfId="49803"/>
    <cellStyle name="Normal 37 8 3" xfId="49804"/>
    <cellStyle name="Normal 37 9" xfId="49805"/>
    <cellStyle name="Normal 37 9 2" xfId="49806"/>
    <cellStyle name="Normal 37 9 2 2" xfId="49807"/>
    <cellStyle name="Normal 37 9 3" xfId="49808"/>
    <cellStyle name="Normal 38" xfId="49809"/>
    <cellStyle name="Normal 38 10" xfId="49810"/>
    <cellStyle name="Normal 38 11" xfId="57862"/>
    <cellStyle name="Normal 38 2" xfId="49811"/>
    <cellStyle name="Normal 38 2 2" xfId="49812"/>
    <cellStyle name="Normal 38 2 2 2" xfId="49813"/>
    <cellStyle name="Normal 38 2 2 2 2" xfId="49814"/>
    <cellStyle name="Normal 38 2 2 2 2 2" xfId="49815"/>
    <cellStyle name="Normal 38 2 2 2 3" xfId="49816"/>
    <cellStyle name="Normal 38 2 2 3" xfId="49817"/>
    <cellStyle name="Normal 38 2 2 3 2" xfId="49818"/>
    <cellStyle name="Normal 38 2 2 4" xfId="49819"/>
    <cellStyle name="Normal 38 2 2 4 2" xfId="49820"/>
    <cellStyle name="Normal 38 2 2 5" xfId="49821"/>
    <cellStyle name="Normal 38 2 2 5 2" xfId="49822"/>
    <cellStyle name="Normal 38 2 2 6" xfId="49823"/>
    <cellStyle name="Normal 38 2 3" xfId="49824"/>
    <cellStyle name="Normal 38 2 3 2" xfId="49825"/>
    <cellStyle name="Normal 38 2 3 2 2" xfId="49826"/>
    <cellStyle name="Normal 38 2 3 3" xfId="49827"/>
    <cellStyle name="Normal 38 2 4" xfId="49828"/>
    <cellStyle name="Normal 38 2 4 2" xfId="49829"/>
    <cellStyle name="Normal 38 2 5" xfId="49830"/>
    <cellStyle name="Normal 38 3" xfId="49831"/>
    <cellStyle name="Normal 38 3 2" xfId="49832"/>
    <cellStyle name="Normal 38 3 2 2" xfId="49833"/>
    <cellStyle name="Normal 38 3 2 2 2" xfId="49834"/>
    <cellStyle name="Normal 38 3 2 2 2 2" xfId="49835"/>
    <cellStyle name="Normal 38 3 2 2 3" xfId="49836"/>
    <cellStyle name="Normal 38 3 2 3" xfId="49837"/>
    <cellStyle name="Normal 38 3 2 3 2" xfId="49838"/>
    <cellStyle name="Normal 38 3 2 4" xfId="49839"/>
    <cellStyle name="Normal 38 3 3" xfId="49840"/>
    <cellStyle name="Normal 38 3 3 2" xfId="49841"/>
    <cellStyle name="Normal 38 3 3 2 2" xfId="49842"/>
    <cellStyle name="Normal 38 3 3 3" xfId="49843"/>
    <cellStyle name="Normal 38 3 4" xfId="49844"/>
    <cellStyle name="Normal 38 3 4 2" xfId="49845"/>
    <cellStyle name="Normal 38 3 5" xfId="49846"/>
    <cellStyle name="Normal 38 4" xfId="49847"/>
    <cellStyle name="Normal 38 4 2" xfId="49848"/>
    <cellStyle name="Normal 38 4 2 2" xfId="49849"/>
    <cellStyle name="Normal 38 4 2 2 2" xfId="49850"/>
    <cellStyle name="Normal 38 4 2 3" xfId="49851"/>
    <cellStyle name="Normal 38 4 3" xfId="49852"/>
    <cellStyle name="Normal 38 4 3 2" xfId="49853"/>
    <cellStyle name="Normal 38 4 4" xfId="49854"/>
    <cellStyle name="Normal 38 5" xfId="49855"/>
    <cellStyle name="Normal 38 5 2" xfId="49856"/>
    <cellStyle name="Normal 38 5 2 2" xfId="49857"/>
    <cellStyle name="Normal 38 5 2 2 2" xfId="49858"/>
    <cellStyle name="Normal 38 5 2 3" xfId="49859"/>
    <cellStyle name="Normal 38 5 3" xfId="49860"/>
    <cellStyle name="Normal 38 5 3 2" xfId="49861"/>
    <cellStyle name="Normal 38 5 4" xfId="49862"/>
    <cellStyle name="Normal 38 6" xfId="49863"/>
    <cellStyle name="Normal 38 6 2" xfId="49864"/>
    <cellStyle name="Normal 38 6 2 2" xfId="49865"/>
    <cellStyle name="Normal 38 6 3" xfId="49866"/>
    <cellStyle name="Normal 38 7" xfId="49867"/>
    <cellStyle name="Normal 38 7 2" xfId="49868"/>
    <cellStyle name="Normal 38 7 2 2" xfId="49869"/>
    <cellStyle name="Normal 38 7 3" xfId="49870"/>
    <cellStyle name="Normal 38 8" xfId="49871"/>
    <cellStyle name="Normal 38 8 2" xfId="49872"/>
    <cellStyle name="Normal 38 8 2 2" xfId="49873"/>
    <cellStyle name="Normal 38 8 3" xfId="49874"/>
    <cellStyle name="Normal 38 9" xfId="49875"/>
    <cellStyle name="Normal 38 9 2" xfId="49876"/>
    <cellStyle name="Normal 39" xfId="49877"/>
    <cellStyle name="Normal 39 10" xfId="49878"/>
    <cellStyle name="Normal 39 11" xfId="57863"/>
    <cellStyle name="Normal 39 2" xfId="49879"/>
    <cellStyle name="Normal 39 2 2" xfId="49880"/>
    <cellStyle name="Normal 39 2 2 2" xfId="49881"/>
    <cellStyle name="Normal 39 2 2 2 2" xfId="49882"/>
    <cellStyle name="Normal 39 2 2 2 2 2" xfId="49883"/>
    <cellStyle name="Normal 39 2 2 2 3" xfId="49884"/>
    <cellStyle name="Normal 39 2 2 3" xfId="49885"/>
    <cellStyle name="Normal 39 2 2 3 2" xfId="49886"/>
    <cellStyle name="Normal 39 2 2 4" xfId="49887"/>
    <cellStyle name="Normal 39 2 2 4 2" xfId="49888"/>
    <cellStyle name="Normal 39 2 2 5" xfId="49889"/>
    <cellStyle name="Normal 39 2 3" xfId="49890"/>
    <cellStyle name="Normal 39 2 3 2" xfId="49891"/>
    <cellStyle name="Normal 39 2 3 2 2" xfId="49892"/>
    <cellStyle name="Normal 39 2 3 3" xfId="49893"/>
    <cellStyle name="Normal 39 2 4" xfId="49894"/>
    <cellStyle name="Normal 39 2 4 2" xfId="49895"/>
    <cellStyle name="Normal 39 2 5" xfId="49896"/>
    <cellStyle name="Normal 39 3" xfId="49897"/>
    <cellStyle name="Normal 39 3 2" xfId="49898"/>
    <cellStyle name="Normal 39 3 2 2" xfId="49899"/>
    <cellStyle name="Normal 39 3 2 2 2" xfId="49900"/>
    <cellStyle name="Normal 39 3 2 2 2 2" xfId="49901"/>
    <cellStyle name="Normal 39 3 2 2 3" xfId="49902"/>
    <cellStyle name="Normal 39 3 2 3" xfId="49903"/>
    <cellStyle name="Normal 39 3 2 3 2" xfId="49904"/>
    <cellStyle name="Normal 39 3 2 4" xfId="49905"/>
    <cellStyle name="Normal 39 3 3" xfId="49906"/>
    <cellStyle name="Normal 39 3 3 2" xfId="49907"/>
    <cellStyle name="Normal 39 3 3 2 2" xfId="49908"/>
    <cellStyle name="Normal 39 3 3 3" xfId="49909"/>
    <cellStyle name="Normal 39 3 4" xfId="49910"/>
    <cellStyle name="Normal 39 3 4 2" xfId="49911"/>
    <cellStyle name="Normal 39 3 5" xfId="49912"/>
    <cellStyle name="Normal 39 4" xfId="49913"/>
    <cellStyle name="Normal 39 4 2" xfId="49914"/>
    <cellStyle name="Normal 39 4 2 2" xfId="49915"/>
    <cellStyle name="Normal 39 4 2 2 2" xfId="49916"/>
    <cellStyle name="Normal 39 4 2 3" xfId="49917"/>
    <cellStyle name="Normal 39 4 3" xfId="49918"/>
    <cellStyle name="Normal 39 4 3 2" xfId="49919"/>
    <cellStyle name="Normal 39 4 4" xfId="49920"/>
    <cellStyle name="Normal 39 5" xfId="49921"/>
    <cellStyle name="Normal 39 5 2" xfId="49922"/>
    <cellStyle name="Normal 39 5 2 2" xfId="49923"/>
    <cellStyle name="Normal 39 5 2 2 2" xfId="49924"/>
    <cellStyle name="Normal 39 5 2 3" xfId="49925"/>
    <cellStyle name="Normal 39 5 3" xfId="49926"/>
    <cellStyle name="Normal 39 5 3 2" xfId="49927"/>
    <cellStyle name="Normal 39 5 4" xfId="49928"/>
    <cellStyle name="Normal 39 6" xfId="49929"/>
    <cellStyle name="Normal 39 6 2" xfId="49930"/>
    <cellStyle name="Normal 39 6 2 2" xfId="49931"/>
    <cellStyle name="Normal 39 6 3" xfId="49932"/>
    <cellStyle name="Normal 39 7" xfId="49933"/>
    <cellStyle name="Normal 39 7 2" xfId="49934"/>
    <cellStyle name="Normal 39 7 2 2" xfId="49935"/>
    <cellStyle name="Normal 39 7 3" xfId="49936"/>
    <cellStyle name="Normal 39 8" xfId="49937"/>
    <cellStyle name="Normal 39 8 2" xfId="49938"/>
    <cellStyle name="Normal 39 8 2 2" xfId="49939"/>
    <cellStyle name="Normal 39 8 3" xfId="49940"/>
    <cellStyle name="Normal 39 9" xfId="49941"/>
    <cellStyle name="Normal 39 9 2" xfId="49942"/>
    <cellStyle name="Normal 4" xfId="49943"/>
    <cellStyle name="Normal 4 10" xfId="49944"/>
    <cellStyle name="Normal 4 10 2" xfId="49945"/>
    <cellStyle name="Normal 4 11" xfId="49946"/>
    <cellStyle name="Normal 4 12" xfId="49947"/>
    <cellStyle name="Normal 4 12 2" xfId="49948"/>
    <cellStyle name="Normal 4 13" xfId="49949"/>
    <cellStyle name="Normal 4 14" xfId="49950"/>
    <cellStyle name="Normal 4 15" xfId="49951"/>
    <cellStyle name="Normal 4 16" xfId="49952"/>
    <cellStyle name="Normal 4 17" xfId="49953"/>
    <cellStyle name="Normal 4 18" xfId="49954"/>
    <cellStyle name="Normal 4 19" xfId="49955"/>
    <cellStyle name="Normal 4 2" xfId="49956"/>
    <cellStyle name="Normal 4 2 2" xfId="49957"/>
    <cellStyle name="Normal 4 2 2 10" xfId="49958"/>
    <cellStyle name="Normal 4 2 2 11" xfId="49959"/>
    <cellStyle name="Normal 4 2 2 12" xfId="49960"/>
    <cellStyle name="Normal 4 2 2 13" xfId="49961"/>
    <cellStyle name="Normal 4 2 2 14" xfId="49962"/>
    <cellStyle name="Normal 4 2 2 15" xfId="49963"/>
    <cellStyle name="Normal 4 2 2 16" xfId="49964"/>
    <cellStyle name="Normal 4 2 2 17" xfId="49965"/>
    <cellStyle name="Normal 4 2 2 18" xfId="49966"/>
    <cellStyle name="Normal 4 2 2 19" xfId="49967"/>
    <cellStyle name="Normal 4 2 2 2" xfId="49968"/>
    <cellStyle name="Normal 4 2 2 2 2" xfId="49969"/>
    <cellStyle name="Normal 4 2 2 2 2 2" xfId="49970"/>
    <cellStyle name="Normal 4 2 2 2 2 2 2 2 2 2 2 2 2 3 4 2" xfId="49971"/>
    <cellStyle name="Normal 4 2 2 2 2 2 2 2 2 2 2 2 2 3 5" xfId="49972"/>
    <cellStyle name="Normal 4 2 2 2 2 2 2 2 2 2 2 2 2 3 5 2" xfId="49973"/>
    <cellStyle name="Normal 4 2 2 2 2 2 2 2 2 2 2 3 5" xfId="49974"/>
    <cellStyle name="Normal 4 2 2 2 2 2 2 2 2 2 2 3 5 2" xfId="49975"/>
    <cellStyle name="Normal 4 2 2 2 3" xfId="49976"/>
    <cellStyle name="Normal 4 2 2 20" xfId="49977"/>
    <cellStyle name="Normal 4 2 2 21" xfId="49978"/>
    <cellStyle name="Normal 4 2 2 22" xfId="49979"/>
    <cellStyle name="Normal 4 2 2 23" xfId="49980"/>
    <cellStyle name="Normal 4 2 2 24" xfId="49981"/>
    <cellStyle name="Normal 4 2 2 25" xfId="49982"/>
    <cellStyle name="Normal 4 2 2 26" xfId="49983"/>
    <cellStyle name="Normal 4 2 2 27" xfId="49984"/>
    <cellStyle name="Normal 4 2 2 28" xfId="49985"/>
    <cellStyle name="Normal 4 2 2 29" xfId="49986"/>
    <cellStyle name="Normal 4 2 2 3" xfId="49987"/>
    <cellStyle name="Normal 4 2 2 3 2" xfId="49988"/>
    <cellStyle name="Normal 4 2 2 30" xfId="49989"/>
    <cellStyle name="Normal 4 2 2 31" xfId="49990"/>
    <cellStyle name="Normal 4 2 2 32" xfId="49991"/>
    <cellStyle name="Normal 4 2 2 33" xfId="49992"/>
    <cellStyle name="Normal 4 2 2 34" xfId="49993"/>
    <cellStyle name="Normal 4 2 2 35" xfId="49994"/>
    <cellStyle name="Normal 4 2 2 36" xfId="49995"/>
    <cellStyle name="Normal 4 2 2 37" xfId="49996"/>
    <cellStyle name="Normal 4 2 2 38" xfId="49997"/>
    <cellStyle name="Normal 4 2 2 39" xfId="49998"/>
    <cellStyle name="Normal 4 2 2 4" xfId="49999"/>
    <cellStyle name="Normal 4 2 2 40" xfId="50000"/>
    <cellStyle name="Normal 4 2 2 41" xfId="50001"/>
    <cellStyle name="Normal 4 2 2 42" xfId="50002"/>
    <cellStyle name="Normal 4 2 2 43" xfId="50003"/>
    <cellStyle name="Normal 4 2 2 44" xfId="50004"/>
    <cellStyle name="Normal 4 2 2 45" xfId="50005"/>
    <cellStyle name="Normal 4 2 2 46" xfId="50006"/>
    <cellStyle name="Normal 4 2 2 47" xfId="50007"/>
    <cellStyle name="Normal 4 2 2 48" xfId="50008"/>
    <cellStyle name="Normal 4 2 2 49" xfId="50009"/>
    <cellStyle name="Normal 4 2 2 5" xfId="50010"/>
    <cellStyle name="Normal 4 2 2 50" xfId="50011"/>
    <cellStyle name="Normal 4 2 2 51" xfId="50012"/>
    <cellStyle name="Normal 4 2 2 52" xfId="50013"/>
    <cellStyle name="Normal 4 2 2 53" xfId="50014"/>
    <cellStyle name="Normal 4 2 2 54" xfId="50015"/>
    <cellStyle name="Normal 4 2 2 55" xfId="50016"/>
    <cellStyle name="Normal 4 2 2 56" xfId="50017"/>
    <cellStyle name="Normal 4 2 2 6" xfId="50018"/>
    <cellStyle name="Normal 4 2 2 7" xfId="50019"/>
    <cellStyle name="Normal 4 2 2 8" xfId="50020"/>
    <cellStyle name="Normal 4 2 2 9" xfId="50021"/>
    <cellStyle name="Normal 4 2 3" xfId="50022"/>
    <cellStyle name="Normal 4 2 3 2" xfId="50023"/>
    <cellStyle name="Normal 4 2 3 2 2" xfId="50024"/>
    <cellStyle name="Normal 4 2 3 2 2 2" xfId="50025"/>
    <cellStyle name="Normal 4 2 3 2 3" xfId="50026"/>
    <cellStyle name="Normal 4 2 3 2 4" xfId="58468"/>
    <cellStyle name="Normal 4 2 3 3" xfId="50027"/>
    <cellStyle name="Normal 4 2 3 3 2" xfId="50028"/>
    <cellStyle name="Normal 4 2 3 4" xfId="50029"/>
    <cellStyle name="Normal 4 2 3 5" xfId="58469"/>
    <cellStyle name="Normal 4 2 4" xfId="50030"/>
    <cellStyle name="Normal 4 2 4 2" xfId="50031"/>
    <cellStyle name="Normal 4 2 4 2 2" xfId="50032"/>
    <cellStyle name="Normal 4 2 4 3" xfId="58470"/>
    <cellStyle name="Normal 4 2 5" xfId="50033"/>
    <cellStyle name="Normal 4 2 5 2" xfId="50034"/>
    <cellStyle name="Normal 4 2 6" xfId="50035"/>
    <cellStyle name="Normal 4 2 7" xfId="50036"/>
    <cellStyle name="Normal 4 2 8" xfId="58471"/>
    <cellStyle name="Normal 4 2_PM Okt 2014 Plan VS Actual Planning Workshop" xfId="50037"/>
    <cellStyle name="Normal 4 20" xfId="50038"/>
    <cellStyle name="Normal 4 20 2" xfId="50039"/>
    <cellStyle name="Normal 4 21" xfId="50040"/>
    <cellStyle name="Normal 4 22" xfId="50041"/>
    <cellStyle name="Normal 4 23" xfId="50042"/>
    <cellStyle name="Normal 4 24" xfId="50043"/>
    <cellStyle name="Normal 4 25" xfId="50044"/>
    <cellStyle name="Normal 4 26" xfId="50045"/>
    <cellStyle name="Normal 4 27" xfId="50046"/>
    <cellStyle name="Normal 4 28" xfId="50047"/>
    <cellStyle name="Normal 4 29" xfId="50048"/>
    <cellStyle name="Normal 4 3" xfId="50049"/>
    <cellStyle name="Normal 4 3 10" xfId="50050"/>
    <cellStyle name="Normal 4 3 11" xfId="50051"/>
    <cellStyle name="Normal 4 3 12" xfId="50052"/>
    <cellStyle name="Normal 4 3 13" xfId="50053"/>
    <cellStyle name="Normal 4 3 14" xfId="50054"/>
    <cellStyle name="Normal 4 3 15" xfId="50055"/>
    <cellStyle name="Normal 4 3 16" xfId="50056"/>
    <cellStyle name="Normal 4 3 17" xfId="50057"/>
    <cellStyle name="Normal 4 3 18" xfId="50058"/>
    <cellStyle name="Normal 4 3 19" xfId="50059"/>
    <cellStyle name="Normal 4 3 2" xfId="50060"/>
    <cellStyle name="Normal 4 3 2 2" xfId="50061"/>
    <cellStyle name="Normal 4 3 2 2 2" xfId="50062"/>
    <cellStyle name="Normal 4 3 2 3" xfId="50063"/>
    <cellStyle name="Normal 4 3 2 4" xfId="57864"/>
    <cellStyle name="Normal 4 3 20" xfId="50064"/>
    <cellStyle name="Normal 4 3 21" xfId="50065"/>
    <cellStyle name="Normal 4 3 22" xfId="50066"/>
    <cellStyle name="Normal 4 3 23" xfId="50067"/>
    <cellStyle name="Normal 4 3 24" xfId="50068"/>
    <cellStyle name="Normal 4 3 25" xfId="50069"/>
    <cellStyle name="Normal 4 3 26" xfId="50070"/>
    <cellStyle name="Normal 4 3 27" xfId="50071"/>
    <cellStyle name="Normal 4 3 28" xfId="50072"/>
    <cellStyle name="Normal 4 3 29" xfId="50073"/>
    <cellStyle name="Normal 4 3 3" xfId="50074"/>
    <cellStyle name="Normal 4 3 30" xfId="50075"/>
    <cellStyle name="Normal 4 3 31" xfId="50076"/>
    <cellStyle name="Normal 4 3 32" xfId="50077"/>
    <cellStyle name="Normal 4 3 33" xfId="50078"/>
    <cellStyle name="Normal 4 3 34" xfId="50079"/>
    <cellStyle name="Normal 4 3 35" xfId="50080"/>
    <cellStyle name="Normal 4 3 36" xfId="50081"/>
    <cellStyle name="Normal 4 3 37" xfId="50082"/>
    <cellStyle name="Normal 4 3 38" xfId="50083"/>
    <cellStyle name="Normal 4 3 39" xfId="50084"/>
    <cellStyle name="Normal 4 3 4" xfId="50085"/>
    <cellStyle name="Normal 4 3 40" xfId="50086"/>
    <cellStyle name="Normal 4 3 41" xfId="50087"/>
    <cellStyle name="Normal 4 3 42" xfId="50088"/>
    <cellStyle name="Normal 4 3 43" xfId="50089"/>
    <cellStyle name="Normal 4 3 44" xfId="50090"/>
    <cellStyle name="Normal 4 3 45" xfId="50091"/>
    <cellStyle name="Normal 4 3 46" xfId="50092"/>
    <cellStyle name="Normal 4 3 47" xfId="50093"/>
    <cellStyle name="Normal 4 3 48" xfId="50094"/>
    <cellStyle name="Normal 4 3 49" xfId="50095"/>
    <cellStyle name="Normal 4 3 5" xfId="50096"/>
    <cellStyle name="Normal 4 3 50" xfId="50097"/>
    <cellStyle name="Normal 4 3 51" xfId="50098"/>
    <cellStyle name="Normal 4 3 52" xfId="50099"/>
    <cellStyle name="Normal 4 3 53" xfId="50100"/>
    <cellStyle name="Normal 4 3 54" xfId="50101"/>
    <cellStyle name="Normal 4 3 55" xfId="50102"/>
    <cellStyle name="Normal 4 3 56" xfId="58472"/>
    <cellStyle name="Normal 4 3 6" xfId="50103"/>
    <cellStyle name="Normal 4 3 7" xfId="50104"/>
    <cellStyle name="Normal 4 3 8" xfId="50105"/>
    <cellStyle name="Normal 4 3 9" xfId="50106"/>
    <cellStyle name="Normal 4 30" xfId="50107"/>
    <cellStyle name="Normal 4 31" xfId="50108"/>
    <cellStyle name="Normal 4 32" xfId="50109"/>
    <cellStyle name="Normal 4 33" xfId="50110"/>
    <cellStyle name="Normal 4 34" xfId="50111"/>
    <cellStyle name="Normal 4 35" xfId="50112"/>
    <cellStyle name="Normal 4 36" xfId="50113"/>
    <cellStyle name="Normal 4 37" xfId="50114"/>
    <cellStyle name="Normal 4 38" xfId="50115"/>
    <cellStyle name="Normal 4 39" xfId="50116"/>
    <cellStyle name="Normal 4 4" xfId="50117"/>
    <cellStyle name="Normal 4 4 2" xfId="50118"/>
    <cellStyle name="Normal 4 4 2 2" xfId="50119"/>
    <cellStyle name="Normal 4 4 2 3" xfId="57865"/>
    <cellStyle name="Normal 4 40" xfId="50120"/>
    <cellStyle name="Normal 4 41" xfId="50121"/>
    <cellStyle name="Normal 4 42" xfId="50122"/>
    <cellStyle name="Normal 4 43" xfId="50123"/>
    <cellStyle name="Normal 4 44" xfId="50124"/>
    <cellStyle name="Normal 4 45" xfId="50125"/>
    <cellStyle name="Normal 4 46" xfId="50126"/>
    <cellStyle name="Normal 4 47" xfId="50127"/>
    <cellStyle name="Normal 4 48" xfId="50128"/>
    <cellStyle name="Normal 4 49" xfId="50129"/>
    <cellStyle name="Normal 4 5" xfId="50130"/>
    <cellStyle name="Normal 4 5 2" xfId="50131"/>
    <cellStyle name="Normal 4 5 3" xfId="50132"/>
    <cellStyle name="Normal 4 50" xfId="50133"/>
    <cellStyle name="Normal 4 51" xfId="50134"/>
    <cellStyle name="Normal 4 52" xfId="50135"/>
    <cellStyle name="Normal 4 53" xfId="50136"/>
    <cellStyle name="Normal 4 54" xfId="50137"/>
    <cellStyle name="Normal 4 55" xfId="50138"/>
    <cellStyle name="Normal 4 56" xfId="50139"/>
    <cellStyle name="Normal 4 57" xfId="50140"/>
    <cellStyle name="Normal 4 58" xfId="50141"/>
    <cellStyle name="Normal 4 59" xfId="50142"/>
    <cellStyle name="Normal 4 6" xfId="50143"/>
    <cellStyle name="Normal 4 6 2" xfId="50144"/>
    <cellStyle name="Normal 4 6 3" xfId="50145"/>
    <cellStyle name="Normal 4 60" xfId="50146"/>
    <cellStyle name="Normal 4 61" xfId="50147"/>
    <cellStyle name="Normal 4 62" xfId="50148"/>
    <cellStyle name="Normal 4 63" xfId="50149"/>
    <cellStyle name="Normal 4 64" xfId="50150"/>
    <cellStyle name="Normal 4 65" xfId="50151"/>
    <cellStyle name="Normal 4 66" xfId="50152"/>
    <cellStyle name="Normal 4 7" xfId="50153"/>
    <cellStyle name="Normal 4 7 2" xfId="50154"/>
    <cellStyle name="Normal 4 8" xfId="50155"/>
    <cellStyle name="Normal 4 8 2" xfId="50156"/>
    <cellStyle name="Normal 4 9" xfId="50157"/>
    <cellStyle name="Normal 4 9 2" xfId="50158"/>
    <cellStyle name="Normal 4_ADVANCE 1189000004 REIMBURSHMENT NOP 11" xfId="50159"/>
    <cellStyle name="Normal 40" xfId="50160"/>
    <cellStyle name="Normal 40 10" xfId="50161"/>
    <cellStyle name="Normal 40 11" xfId="57866"/>
    <cellStyle name="Normal 40 2" xfId="50162"/>
    <cellStyle name="Normal 40 2 2" xfId="50163"/>
    <cellStyle name="Normal 40 2 2 2" xfId="50164"/>
    <cellStyle name="Normal 40 2 2 2 2" xfId="50165"/>
    <cellStyle name="Normal 40 2 2 2 2 2" xfId="50166"/>
    <cellStyle name="Normal 40 2 2 2 3" xfId="50167"/>
    <cellStyle name="Normal 40 2 2 3" xfId="50168"/>
    <cellStyle name="Normal 40 2 2 3 2" xfId="50169"/>
    <cellStyle name="Normal 40 2 2 4" xfId="50170"/>
    <cellStyle name="Normal 40 2 2 4 2" xfId="50171"/>
    <cellStyle name="Normal 40 2 2 5" xfId="50172"/>
    <cellStyle name="Normal 40 2 2 5 2" xfId="50173"/>
    <cellStyle name="Normal 40 2 2 6" xfId="50174"/>
    <cellStyle name="Normal 40 2 3" xfId="50175"/>
    <cellStyle name="Normal 40 2 3 2" xfId="50176"/>
    <cellStyle name="Normal 40 2 3 2 2" xfId="50177"/>
    <cellStyle name="Normal 40 2 3 3" xfId="50178"/>
    <cellStyle name="Normal 40 2 3 4" xfId="50179"/>
    <cellStyle name="Normal 40 2 3 4 2" xfId="50180"/>
    <cellStyle name="Normal 40 2 4" xfId="50181"/>
    <cellStyle name="Normal 40 2 4 2" xfId="50182"/>
    <cellStyle name="Normal 40 2 5" xfId="50183"/>
    <cellStyle name="Normal 40 3" xfId="50184"/>
    <cellStyle name="Normal 40 3 2" xfId="50185"/>
    <cellStyle name="Normal 40 3 2 2" xfId="50186"/>
    <cellStyle name="Normal 40 3 2 2 2" xfId="50187"/>
    <cellStyle name="Normal 40 3 2 2 2 2" xfId="50188"/>
    <cellStyle name="Normal 40 3 2 2 3" xfId="50189"/>
    <cellStyle name="Normal 40 3 2 3" xfId="50190"/>
    <cellStyle name="Normal 40 3 2 3 2" xfId="50191"/>
    <cellStyle name="Normal 40 3 2 4" xfId="50192"/>
    <cellStyle name="Normal 40 3 2 4 2" xfId="50193"/>
    <cellStyle name="Normal 40 3 2 5" xfId="50194"/>
    <cellStyle name="Normal 40 3 2 5 2" xfId="50195"/>
    <cellStyle name="Normal 40 3 2 6" xfId="50196"/>
    <cellStyle name="Normal 40 3 3" xfId="50197"/>
    <cellStyle name="Normal 40 3 3 2" xfId="50198"/>
    <cellStyle name="Normal 40 3 3 2 2" xfId="50199"/>
    <cellStyle name="Normal 40 3 3 3" xfId="50200"/>
    <cellStyle name="Normal 40 3 3 4" xfId="50201"/>
    <cellStyle name="Normal 40 3 3 4 2" xfId="50202"/>
    <cellStyle name="Normal 40 3 4" xfId="50203"/>
    <cellStyle name="Normal 40 3 4 2" xfId="50204"/>
    <cellStyle name="Normal 40 3 5" xfId="50205"/>
    <cellStyle name="Normal 40 4" xfId="50206"/>
    <cellStyle name="Normal 40 4 2" xfId="50207"/>
    <cellStyle name="Normal 40 4 2 2" xfId="50208"/>
    <cellStyle name="Normal 40 4 2 2 2" xfId="50209"/>
    <cellStyle name="Normal 40 4 2 3" xfId="50210"/>
    <cellStyle name="Normal 40 4 2 4" xfId="50211"/>
    <cellStyle name="Normal 40 4 2 4 2" xfId="50212"/>
    <cellStyle name="Normal 40 4 3" xfId="50213"/>
    <cellStyle name="Normal 40 4 3 2" xfId="50214"/>
    <cellStyle name="Normal 40 4 4" xfId="50215"/>
    <cellStyle name="Normal 40 5" xfId="50216"/>
    <cellStyle name="Normal 40 5 2" xfId="50217"/>
    <cellStyle name="Normal 40 5 2 2" xfId="50218"/>
    <cellStyle name="Normal 40 5 2 2 2" xfId="50219"/>
    <cellStyle name="Normal 40 5 2 3" xfId="50220"/>
    <cellStyle name="Normal 40 5 2 4" xfId="50221"/>
    <cellStyle name="Normal 40 5 2 4 2" xfId="50222"/>
    <cellStyle name="Normal 40 5 3" xfId="50223"/>
    <cellStyle name="Normal 40 5 3 2" xfId="50224"/>
    <cellStyle name="Normal 40 5 4" xfId="50225"/>
    <cellStyle name="Normal 40 6" xfId="50226"/>
    <cellStyle name="Normal 40 6 2" xfId="50227"/>
    <cellStyle name="Normal 40 6 2 2" xfId="50228"/>
    <cellStyle name="Normal 40 6 3" xfId="50229"/>
    <cellStyle name="Normal 40 7" xfId="50230"/>
    <cellStyle name="Normal 40 7 2" xfId="50231"/>
    <cellStyle name="Normal 40 7 2 2" xfId="50232"/>
    <cellStyle name="Normal 40 7 3" xfId="50233"/>
    <cellStyle name="Normal 40 8" xfId="50234"/>
    <cellStyle name="Normal 40 8 2" xfId="50235"/>
    <cellStyle name="Normal 40 8 2 2" xfId="50236"/>
    <cellStyle name="Normal 40 8 3" xfId="50237"/>
    <cellStyle name="Normal 40 9" xfId="50238"/>
    <cellStyle name="Normal 40 9 2" xfId="50239"/>
    <cellStyle name="Normal 41" xfId="50240"/>
    <cellStyle name="Normal 41 10" xfId="50241"/>
    <cellStyle name="Normal 41 11" xfId="57867"/>
    <cellStyle name="Normal 41 2" xfId="50242"/>
    <cellStyle name="Normal 41 2 2" xfId="50243"/>
    <cellStyle name="Normal 41 2 2 2" xfId="50244"/>
    <cellStyle name="Normal 41 2 2 2 2" xfId="50245"/>
    <cellStyle name="Normal 41 2 2 2 2 2" xfId="50246"/>
    <cellStyle name="Normal 41 2 2 2 2 2 2" xfId="50247"/>
    <cellStyle name="Normal 41 2 2 2 2 3" xfId="50248"/>
    <cellStyle name="Normal 41 2 2 2 3" xfId="50249"/>
    <cellStyle name="Normal 41 2 2 3" xfId="50250"/>
    <cellStyle name="Normal 41 2 2 3 2" xfId="50251"/>
    <cellStyle name="Normal 41 2 2 4" xfId="50252"/>
    <cellStyle name="Normal 41 2 3" xfId="50253"/>
    <cellStyle name="Normal 41 2 3 2" xfId="50254"/>
    <cellStyle name="Normal 41 2 3 2 2" xfId="50255"/>
    <cellStyle name="Normal 41 2 3 3" xfId="50256"/>
    <cellStyle name="Normal 41 2 4" xfId="50257"/>
    <cellStyle name="Normal 41 2 4 2" xfId="50258"/>
    <cellStyle name="Normal 41 2 5" xfId="50259"/>
    <cellStyle name="Normal 41 3" xfId="50260"/>
    <cellStyle name="Normal 41 3 2" xfId="50261"/>
    <cellStyle name="Normal 41 3 2 2" xfId="50262"/>
    <cellStyle name="Normal 41 3 2 2 2" xfId="50263"/>
    <cellStyle name="Normal 41 3 2 2 2 2" xfId="50264"/>
    <cellStyle name="Normal 41 3 2 2 3" xfId="50265"/>
    <cellStyle name="Normal 41 3 2 3" xfId="50266"/>
    <cellStyle name="Normal 41 3 2 3 2" xfId="50267"/>
    <cellStyle name="Normal 41 3 2 4" xfId="50268"/>
    <cellStyle name="Normal 41 3 3" xfId="50269"/>
    <cellStyle name="Normal 41 3 3 2" xfId="50270"/>
    <cellStyle name="Normal 41 3 3 2 2" xfId="50271"/>
    <cellStyle name="Normal 41 3 3 3" xfId="50272"/>
    <cellStyle name="Normal 41 3 4" xfId="50273"/>
    <cellStyle name="Normal 41 3 4 2" xfId="50274"/>
    <cellStyle name="Normal 41 3 5" xfId="50275"/>
    <cellStyle name="Normal 41 4" xfId="50276"/>
    <cellStyle name="Normal 41 4 2" xfId="50277"/>
    <cellStyle name="Normal 41 4 2 2" xfId="50278"/>
    <cellStyle name="Normal 41 4 2 2 2" xfId="50279"/>
    <cellStyle name="Normal 41 4 2 3" xfId="50280"/>
    <cellStyle name="Normal 41 4 3" xfId="50281"/>
    <cellStyle name="Normal 41 4 3 2" xfId="50282"/>
    <cellStyle name="Normal 41 4 4" xfId="50283"/>
    <cellStyle name="Normal 41 5" xfId="50284"/>
    <cellStyle name="Normal 41 5 2" xfId="50285"/>
    <cellStyle name="Normal 41 5 2 2" xfId="50286"/>
    <cellStyle name="Normal 41 5 2 2 2" xfId="50287"/>
    <cellStyle name="Normal 41 5 2 3" xfId="50288"/>
    <cellStyle name="Normal 41 5 3" xfId="50289"/>
    <cellStyle name="Normal 41 5 3 2" xfId="50290"/>
    <cellStyle name="Normal 41 5 4" xfId="50291"/>
    <cellStyle name="Normal 41 6" xfId="50292"/>
    <cellStyle name="Normal 41 6 2" xfId="50293"/>
    <cellStyle name="Normal 41 6 2 2" xfId="50294"/>
    <cellStyle name="Normal 41 6 3" xfId="50295"/>
    <cellStyle name="Normal 41 7" xfId="50296"/>
    <cellStyle name="Normal 41 7 2" xfId="50297"/>
    <cellStyle name="Normal 41 7 2 2" xfId="50298"/>
    <cellStyle name="Normal 41 7 3" xfId="50299"/>
    <cellStyle name="Normal 41 8" xfId="50300"/>
    <cellStyle name="Normal 41 8 2" xfId="50301"/>
    <cellStyle name="Normal 41 8 2 2" xfId="50302"/>
    <cellStyle name="Normal 41 8 2 2 2" xfId="50303"/>
    <cellStyle name="Normal 41 8 2 3" xfId="50304"/>
    <cellStyle name="Normal 41 8 3" xfId="50305"/>
    <cellStyle name="Normal 41 8 3 2" xfId="50306"/>
    <cellStyle name="Normal 41 8 4" xfId="50307"/>
    <cellStyle name="Normal 41 8 4 2" xfId="50308"/>
    <cellStyle name="Normal 41 8 5" xfId="50309"/>
    <cellStyle name="Normal 41 8 5 2" xfId="50310"/>
    <cellStyle name="Normal 41 8 6" xfId="50311"/>
    <cellStyle name="Normal 41 9" xfId="50312"/>
    <cellStyle name="Normal 41 9 2" xfId="50313"/>
    <cellStyle name="Normal 41 9 2 2" xfId="50314"/>
    <cellStyle name="Normal 41 9 3" xfId="50315"/>
    <cellStyle name="Normal 416" xfId="57868"/>
    <cellStyle name="Normal 42" xfId="50316"/>
    <cellStyle name="Normal 42 10" xfId="50317"/>
    <cellStyle name="Normal 42 11" xfId="50318"/>
    <cellStyle name="Normal 42 11 2" xfId="50319"/>
    <cellStyle name="Normal 42 12" xfId="57869"/>
    <cellStyle name="Normal 42 2" xfId="50320"/>
    <cellStyle name="Normal 42 2 2" xfId="50321"/>
    <cellStyle name="Normal 42 2 2 2" xfId="50322"/>
    <cellStyle name="Normal 42 2 2 2 2" xfId="50323"/>
    <cellStyle name="Normal 42 2 2 2 2 2" xfId="50324"/>
    <cellStyle name="Normal 42 2 2 2 3" xfId="50325"/>
    <cellStyle name="Normal 42 2 2 3" xfId="50326"/>
    <cellStyle name="Normal 42 2 2 3 2" xfId="50327"/>
    <cellStyle name="Normal 42 2 2 4" xfId="50328"/>
    <cellStyle name="Normal 42 2 2 4 2" xfId="50329"/>
    <cellStyle name="Normal 42 2 2 5" xfId="50330"/>
    <cellStyle name="Normal 42 2 2 5 2" xfId="50331"/>
    <cellStyle name="Normal 42 2 2 6" xfId="50332"/>
    <cellStyle name="Normal 42 2 3" xfId="50333"/>
    <cellStyle name="Normal 42 2 3 2" xfId="50334"/>
    <cellStyle name="Normal 42 2 3 2 2" xfId="50335"/>
    <cellStyle name="Normal 42 2 3 3" xfId="50336"/>
    <cellStyle name="Normal 42 2 4" xfId="50337"/>
    <cellStyle name="Normal 42 2 4 2" xfId="50338"/>
    <cellStyle name="Normal 42 2 5" xfId="50339"/>
    <cellStyle name="Normal 42 3" xfId="50340"/>
    <cellStyle name="Normal 42 3 2" xfId="50341"/>
    <cellStyle name="Normal 42 3 2 2" xfId="50342"/>
    <cellStyle name="Normal 42 3 2 2 2" xfId="50343"/>
    <cellStyle name="Normal 42 3 2 2 2 2" xfId="50344"/>
    <cellStyle name="Normal 42 3 2 2 3" xfId="50345"/>
    <cellStyle name="Normal 42 3 2 3" xfId="50346"/>
    <cellStyle name="Normal 42 3 2 3 2" xfId="50347"/>
    <cellStyle name="Normal 42 3 2 4" xfId="50348"/>
    <cellStyle name="Normal 42 3 3" xfId="50349"/>
    <cellStyle name="Normal 42 3 3 2" xfId="50350"/>
    <cellStyle name="Normal 42 3 3 2 2" xfId="50351"/>
    <cellStyle name="Normal 42 3 3 3" xfId="50352"/>
    <cellStyle name="Normal 42 3 4" xfId="50353"/>
    <cellStyle name="Normal 42 3 4 2" xfId="50354"/>
    <cellStyle name="Normal 42 3 5" xfId="50355"/>
    <cellStyle name="Normal 42 4" xfId="50356"/>
    <cellStyle name="Normal 42 4 2" xfId="50357"/>
    <cellStyle name="Normal 42 4 2 2" xfId="50358"/>
    <cellStyle name="Normal 42 4 2 2 2" xfId="50359"/>
    <cellStyle name="Normal 42 4 2 3" xfId="50360"/>
    <cellStyle name="Normal 42 4 3" xfId="50361"/>
    <cellStyle name="Normal 42 4 3 2" xfId="50362"/>
    <cellStyle name="Normal 42 4 4" xfId="50363"/>
    <cellStyle name="Normal 42 5" xfId="50364"/>
    <cellStyle name="Normal 42 5 2" xfId="50365"/>
    <cellStyle name="Normal 42 5 2 2" xfId="50366"/>
    <cellStyle name="Normal 42 5 2 2 2" xfId="50367"/>
    <cellStyle name="Normal 42 5 2 3" xfId="50368"/>
    <cellStyle name="Normal 42 5 3" xfId="50369"/>
    <cellStyle name="Normal 42 5 3 2" xfId="50370"/>
    <cellStyle name="Normal 42 5 4" xfId="50371"/>
    <cellStyle name="Normal 42 6" xfId="50372"/>
    <cellStyle name="Normal 42 6 2" xfId="50373"/>
    <cellStyle name="Normal 42 6 2 2" xfId="50374"/>
    <cellStyle name="Normal 42 6 3" xfId="50375"/>
    <cellStyle name="Normal 42 7" xfId="50376"/>
    <cellStyle name="Normal 42 7 2" xfId="50377"/>
    <cellStyle name="Normal 42 7 2 2" xfId="50378"/>
    <cellStyle name="Normal 42 7 3" xfId="50379"/>
    <cellStyle name="Normal 42 8" xfId="50380"/>
    <cellStyle name="Normal 42 8 2" xfId="50381"/>
    <cellStyle name="Normal 42 8 2 2" xfId="50382"/>
    <cellStyle name="Normal 42 8 3" xfId="50383"/>
    <cellStyle name="Normal 42 9" xfId="50384"/>
    <cellStyle name="Normal 42 9 2" xfId="50385"/>
    <cellStyle name="Normal 42 9 2 2" xfId="50386"/>
    <cellStyle name="Normal 42 9 3" xfId="50387"/>
    <cellStyle name="Normal 424" xfId="57870"/>
    <cellStyle name="Normal 43" xfId="50388"/>
    <cellStyle name="Normal 43 10" xfId="50389"/>
    <cellStyle name="Normal 43 11" xfId="57871"/>
    <cellStyle name="Normal 43 2" xfId="50390"/>
    <cellStyle name="Normal 43 2 2" xfId="50391"/>
    <cellStyle name="Normal 43 2 2 2" xfId="50392"/>
    <cellStyle name="Normal 43 2 2 2 2" xfId="50393"/>
    <cellStyle name="Normal 43 2 2 2 2 2" xfId="50394"/>
    <cellStyle name="Normal 43 2 2 2 3" xfId="50395"/>
    <cellStyle name="Normal 43 2 2 3" xfId="50396"/>
    <cellStyle name="Normal 43 2 2 3 2" xfId="50397"/>
    <cellStyle name="Normal 43 2 2 4" xfId="50398"/>
    <cellStyle name="Normal 43 2 2 4 2" xfId="50399"/>
    <cellStyle name="Normal 43 2 2 5" xfId="50400"/>
    <cellStyle name="Normal 43 2 2 5 2" xfId="50401"/>
    <cellStyle name="Normal 43 2 2 6" xfId="50402"/>
    <cellStyle name="Normal 43 2 3" xfId="50403"/>
    <cellStyle name="Normal 43 2 3 2" xfId="50404"/>
    <cellStyle name="Normal 43 2 3 2 2" xfId="50405"/>
    <cellStyle name="Normal 43 2 3 3" xfId="50406"/>
    <cellStyle name="Normal 43 2 4" xfId="50407"/>
    <cellStyle name="Normal 43 2 4 2" xfId="50408"/>
    <cellStyle name="Normal 43 2 5" xfId="50409"/>
    <cellStyle name="Normal 43 3" xfId="50410"/>
    <cellStyle name="Normal 43 3 2" xfId="50411"/>
    <cellStyle name="Normal 43 3 2 2" xfId="50412"/>
    <cellStyle name="Normal 43 3 2 2 2" xfId="50413"/>
    <cellStyle name="Normal 43 3 2 2 2 2" xfId="50414"/>
    <cellStyle name="Normal 43 3 2 2 3" xfId="50415"/>
    <cellStyle name="Normal 43 3 2 3" xfId="50416"/>
    <cellStyle name="Normal 43 3 2 3 2" xfId="50417"/>
    <cellStyle name="Normal 43 3 2 4" xfId="50418"/>
    <cellStyle name="Normal 43 3 3" xfId="50419"/>
    <cellStyle name="Normal 43 3 3 2" xfId="50420"/>
    <cellStyle name="Normal 43 3 3 2 2" xfId="50421"/>
    <cellStyle name="Normal 43 3 3 3" xfId="50422"/>
    <cellStyle name="Normal 43 3 4" xfId="50423"/>
    <cellStyle name="Normal 43 3 4 2" xfId="50424"/>
    <cellStyle name="Normal 43 3 5" xfId="50425"/>
    <cellStyle name="Normal 43 4" xfId="50426"/>
    <cellStyle name="Normal 43 4 2" xfId="50427"/>
    <cellStyle name="Normal 43 4 2 2" xfId="50428"/>
    <cellStyle name="Normal 43 4 2 2 2" xfId="50429"/>
    <cellStyle name="Normal 43 4 2 3" xfId="50430"/>
    <cellStyle name="Normal 43 4 3" xfId="50431"/>
    <cellStyle name="Normal 43 4 3 2" xfId="50432"/>
    <cellStyle name="Normal 43 4 4" xfId="50433"/>
    <cellStyle name="Normal 43 5" xfId="50434"/>
    <cellStyle name="Normal 43 5 2" xfId="50435"/>
    <cellStyle name="Normal 43 5 2 2" xfId="50436"/>
    <cellStyle name="Normal 43 5 2 2 2" xfId="50437"/>
    <cellStyle name="Normal 43 5 2 3" xfId="50438"/>
    <cellStyle name="Normal 43 5 3" xfId="50439"/>
    <cellStyle name="Normal 43 5 3 2" xfId="50440"/>
    <cellStyle name="Normal 43 5 4" xfId="50441"/>
    <cellStyle name="Normal 43 6" xfId="50442"/>
    <cellStyle name="Normal 43 6 2" xfId="50443"/>
    <cellStyle name="Normal 43 6 2 2" xfId="50444"/>
    <cellStyle name="Normal 43 6 3" xfId="50445"/>
    <cellStyle name="Normal 43 7" xfId="50446"/>
    <cellStyle name="Normal 43 7 2" xfId="50447"/>
    <cellStyle name="Normal 43 7 2 2" xfId="50448"/>
    <cellStyle name="Normal 43 7 3" xfId="50449"/>
    <cellStyle name="Normal 43 8" xfId="50450"/>
    <cellStyle name="Normal 43 8 2" xfId="50451"/>
    <cellStyle name="Normal 43 8 2 2" xfId="50452"/>
    <cellStyle name="Normal 43 8 3" xfId="50453"/>
    <cellStyle name="Normal 43 9" xfId="50454"/>
    <cellStyle name="Normal 43 9 2" xfId="50455"/>
    <cellStyle name="Normal 432" xfId="57872"/>
    <cellStyle name="Normal 44" xfId="50456"/>
    <cellStyle name="Normal 44 10" xfId="50457"/>
    <cellStyle name="Normal 44 11" xfId="57873"/>
    <cellStyle name="Normal 44 2" xfId="50458"/>
    <cellStyle name="Normal 44 2 2" xfId="50459"/>
    <cellStyle name="Normal 44 2 2 2" xfId="50460"/>
    <cellStyle name="Normal 44 2 2 2 2" xfId="50461"/>
    <cellStyle name="Normal 44 2 2 2 2 2" xfId="50462"/>
    <cellStyle name="Normal 44 2 2 2 3" xfId="50463"/>
    <cellStyle name="Normal 44 2 2 3" xfId="50464"/>
    <cellStyle name="Normal 44 2 2 3 2" xfId="50465"/>
    <cellStyle name="Normal 44 2 2 4" xfId="50466"/>
    <cellStyle name="Normal 44 2 2 4 2" xfId="50467"/>
    <cellStyle name="Normal 44 2 2 5" xfId="50468"/>
    <cellStyle name="Normal 44 2 3" xfId="50469"/>
    <cellStyle name="Normal 44 2 3 2" xfId="50470"/>
    <cellStyle name="Normal 44 2 3 2 2" xfId="50471"/>
    <cellStyle name="Normal 44 2 3 3" xfId="50472"/>
    <cellStyle name="Normal 44 2 4" xfId="50473"/>
    <cellStyle name="Normal 44 2 4 2" xfId="50474"/>
    <cellStyle name="Normal 44 2 5" xfId="50475"/>
    <cellStyle name="Normal 44 3" xfId="50476"/>
    <cellStyle name="Normal 44 3 2" xfId="50477"/>
    <cellStyle name="Normal 44 3 2 2" xfId="50478"/>
    <cellStyle name="Normal 44 3 2 2 2" xfId="50479"/>
    <cellStyle name="Normal 44 3 2 2 2 2" xfId="50480"/>
    <cellStyle name="Normal 44 3 2 2 3" xfId="50481"/>
    <cellStyle name="Normal 44 3 2 3" xfId="50482"/>
    <cellStyle name="Normal 44 3 2 3 2" xfId="50483"/>
    <cellStyle name="Normal 44 3 2 4" xfId="50484"/>
    <cellStyle name="Normal 44 3 3" xfId="50485"/>
    <cellStyle name="Normal 44 3 3 2" xfId="50486"/>
    <cellStyle name="Normal 44 3 3 2 2" xfId="50487"/>
    <cellStyle name="Normal 44 3 3 3" xfId="50488"/>
    <cellStyle name="Normal 44 3 4" xfId="50489"/>
    <cellStyle name="Normal 44 3 4 2" xfId="50490"/>
    <cellStyle name="Normal 44 3 5" xfId="50491"/>
    <cellStyle name="Normal 44 4" xfId="50492"/>
    <cellStyle name="Normal 44 4 2" xfId="50493"/>
    <cellStyle name="Normal 44 4 2 2" xfId="50494"/>
    <cellStyle name="Normal 44 4 2 2 2" xfId="50495"/>
    <cellStyle name="Normal 44 4 2 3" xfId="50496"/>
    <cellStyle name="Normal 44 4 3" xfId="50497"/>
    <cellStyle name="Normal 44 4 3 2" xfId="50498"/>
    <cellStyle name="Normal 44 4 4" xfId="50499"/>
    <cellStyle name="Normal 44 5" xfId="50500"/>
    <cellStyle name="Normal 44 5 2" xfId="50501"/>
    <cellStyle name="Normal 44 5 2 2" xfId="50502"/>
    <cellStyle name="Normal 44 5 2 2 2" xfId="50503"/>
    <cellStyle name="Normal 44 5 2 3" xfId="50504"/>
    <cellStyle name="Normal 44 5 3" xfId="50505"/>
    <cellStyle name="Normal 44 5 3 2" xfId="50506"/>
    <cellStyle name="Normal 44 5 4" xfId="50507"/>
    <cellStyle name="Normal 44 6" xfId="50508"/>
    <cellStyle name="Normal 44 6 2" xfId="50509"/>
    <cellStyle name="Normal 44 6 2 2" xfId="50510"/>
    <cellStyle name="Normal 44 6 3" xfId="50511"/>
    <cellStyle name="Normal 44 7" xfId="50512"/>
    <cellStyle name="Normal 44 7 2" xfId="50513"/>
    <cellStyle name="Normal 44 7 2 2" xfId="50514"/>
    <cellStyle name="Normal 44 7 3" xfId="50515"/>
    <cellStyle name="Normal 44 8" xfId="50516"/>
    <cellStyle name="Normal 44 8 2" xfId="50517"/>
    <cellStyle name="Normal 44 8 2 2" xfId="50518"/>
    <cellStyle name="Normal 44 8 3" xfId="50519"/>
    <cellStyle name="Normal 44 9" xfId="50520"/>
    <cellStyle name="Normal 44 9 2" xfId="50521"/>
    <cellStyle name="Normal 45" xfId="50522"/>
    <cellStyle name="Normal 45 10" xfId="50523"/>
    <cellStyle name="Normal 45 11" xfId="57874"/>
    <cellStyle name="Normal 45 2" xfId="50524"/>
    <cellStyle name="Normal 45 2 2" xfId="50525"/>
    <cellStyle name="Normal 45 2 2 2" xfId="50526"/>
    <cellStyle name="Normal 45 2 2 2 2" xfId="50527"/>
    <cellStyle name="Normal 45 2 2 2 2 2" xfId="50528"/>
    <cellStyle name="Normal 45 2 2 2 3" xfId="50529"/>
    <cellStyle name="Normal 45 2 2 3" xfId="50530"/>
    <cellStyle name="Normal 45 2 2 3 2" xfId="50531"/>
    <cellStyle name="Normal 45 2 2 4" xfId="50532"/>
    <cellStyle name="Normal 45 2 3" xfId="50533"/>
    <cellStyle name="Normal 45 2 3 2" xfId="50534"/>
    <cellStyle name="Normal 45 2 3 2 2" xfId="50535"/>
    <cellStyle name="Normal 45 2 3 3" xfId="50536"/>
    <cellStyle name="Normal 45 2 4" xfId="50537"/>
    <cellStyle name="Normal 45 2 4 2" xfId="50538"/>
    <cellStyle name="Normal 45 2 5" xfId="50539"/>
    <cellStyle name="Normal 45 3" xfId="50540"/>
    <cellStyle name="Normal 45 3 2" xfId="50541"/>
    <cellStyle name="Normal 45 3 2 2" xfId="50542"/>
    <cellStyle name="Normal 45 3 2 2 2" xfId="50543"/>
    <cellStyle name="Normal 45 3 2 2 2 2" xfId="50544"/>
    <cellStyle name="Normal 45 3 2 2 3" xfId="50545"/>
    <cellStyle name="Normal 45 3 2 3" xfId="50546"/>
    <cellStyle name="Normal 45 3 2 3 2" xfId="50547"/>
    <cellStyle name="Normal 45 3 2 4" xfId="50548"/>
    <cellStyle name="Normal 45 3 3" xfId="50549"/>
    <cellStyle name="Normal 45 3 3 2" xfId="50550"/>
    <cellStyle name="Normal 45 3 3 2 2" xfId="50551"/>
    <cellStyle name="Normal 45 3 3 3" xfId="50552"/>
    <cellStyle name="Normal 45 3 4" xfId="50553"/>
    <cellStyle name="Normal 45 3 4 2" xfId="50554"/>
    <cellStyle name="Normal 45 3 5" xfId="50555"/>
    <cellStyle name="Normal 45 4" xfId="50556"/>
    <cellStyle name="Normal 45 4 2" xfId="50557"/>
    <cellStyle name="Normal 45 4 2 2" xfId="50558"/>
    <cellStyle name="Normal 45 4 2 2 2" xfId="50559"/>
    <cellStyle name="Normal 45 4 2 3" xfId="50560"/>
    <cellStyle name="Normal 45 4 3" xfId="50561"/>
    <cellStyle name="Normal 45 4 3 2" xfId="50562"/>
    <cellStyle name="Normal 45 4 4" xfId="50563"/>
    <cellStyle name="Normal 45 5" xfId="50564"/>
    <cellStyle name="Normal 45 5 2" xfId="50565"/>
    <cellStyle name="Normal 45 5 2 2" xfId="50566"/>
    <cellStyle name="Normal 45 5 2 2 2" xfId="50567"/>
    <cellStyle name="Normal 45 5 2 3" xfId="50568"/>
    <cellStyle name="Normal 45 5 3" xfId="50569"/>
    <cellStyle name="Normal 45 5 3 2" xfId="50570"/>
    <cellStyle name="Normal 45 5 4" xfId="50571"/>
    <cellStyle name="Normal 45 6" xfId="50572"/>
    <cellStyle name="Normal 45 6 2" xfId="50573"/>
    <cellStyle name="Normal 45 6 2 2" xfId="50574"/>
    <cellStyle name="Normal 45 6 3" xfId="50575"/>
    <cellStyle name="Normal 45 7" xfId="50576"/>
    <cellStyle name="Normal 45 7 2" xfId="50577"/>
    <cellStyle name="Normal 45 7 2 2" xfId="50578"/>
    <cellStyle name="Normal 45 7 3" xfId="50579"/>
    <cellStyle name="Normal 45 8" xfId="50580"/>
    <cellStyle name="Normal 45 8 2" xfId="50581"/>
    <cellStyle name="Normal 45 8 2 2" xfId="50582"/>
    <cellStyle name="Normal 45 8 3" xfId="50583"/>
    <cellStyle name="Normal 45 9" xfId="50584"/>
    <cellStyle name="Normal 45 9 2" xfId="50585"/>
    <cellStyle name="Normal 45 9 2 2" xfId="50586"/>
    <cellStyle name="Normal 45 9 3" xfId="50587"/>
    <cellStyle name="Normal 457" xfId="57875"/>
    <cellStyle name="Normal 46" xfId="50588"/>
    <cellStyle name="Normal 46 2" xfId="50589"/>
    <cellStyle name="Normal 46 3" xfId="50590"/>
    <cellStyle name="Normal 46 4" xfId="57876"/>
    <cellStyle name="Normal 47" xfId="50591"/>
    <cellStyle name="Normal 47 10" xfId="50592"/>
    <cellStyle name="Normal 47 11" xfId="57877"/>
    <cellStyle name="Normal 47 2" xfId="50593"/>
    <cellStyle name="Normal 47 2 2" xfId="50594"/>
    <cellStyle name="Normal 47 2 2 2" xfId="50595"/>
    <cellStyle name="Normal 47 2 2 2 2" xfId="50596"/>
    <cellStyle name="Normal 47 2 2 2 2 2" xfId="50597"/>
    <cellStyle name="Normal 47 2 2 2 3" xfId="50598"/>
    <cellStyle name="Normal 47 2 2 3" xfId="50599"/>
    <cellStyle name="Normal 47 2 2 3 2" xfId="50600"/>
    <cellStyle name="Normal 47 2 2 4" xfId="50601"/>
    <cellStyle name="Normal 47 2 2 4 2" xfId="50602"/>
    <cellStyle name="Normal 47 2 2 5" xfId="50603"/>
    <cellStyle name="Normal 47 2 2 5 2" xfId="50604"/>
    <cellStyle name="Normal 47 2 2 6" xfId="50605"/>
    <cellStyle name="Normal 47 2 3" xfId="50606"/>
    <cellStyle name="Normal 47 2 3 2" xfId="50607"/>
    <cellStyle name="Normal 47 2 3 2 2" xfId="50608"/>
    <cellStyle name="Normal 47 2 3 3" xfId="50609"/>
    <cellStyle name="Normal 47 2 4" xfId="50610"/>
    <cellStyle name="Normal 47 2 4 2" xfId="50611"/>
    <cellStyle name="Normal 47 2 5" xfId="50612"/>
    <cellStyle name="Normal 47 3" xfId="50613"/>
    <cellStyle name="Normal 47 3 2" xfId="50614"/>
    <cellStyle name="Normal 47 3 2 2" xfId="50615"/>
    <cellStyle name="Normal 47 3 2 2 2" xfId="50616"/>
    <cellStyle name="Normal 47 3 2 2 2 2" xfId="50617"/>
    <cellStyle name="Normal 47 3 2 2 3" xfId="50618"/>
    <cellStyle name="Normal 47 3 2 3" xfId="50619"/>
    <cellStyle name="Normal 47 3 2 3 2" xfId="50620"/>
    <cellStyle name="Normal 47 3 2 4" xfId="50621"/>
    <cellStyle name="Normal 47 3 2 4 2" xfId="50622"/>
    <cellStyle name="Normal 47 3 2 5" xfId="50623"/>
    <cellStyle name="Normal 47 3 2 5 2" xfId="50624"/>
    <cellStyle name="Normal 47 3 2 6" xfId="50625"/>
    <cellStyle name="Normal 47 3 3" xfId="50626"/>
    <cellStyle name="Normal 47 3 3 2" xfId="50627"/>
    <cellStyle name="Normal 47 3 3 2 2" xfId="50628"/>
    <cellStyle name="Normal 47 3 3 3" xfId="50629"/>
    <cellStyle name="Normal 47 3 4" xfId="50630"/>
    <cellStyle name="Normal 47 3 4 2" xfId="50631"/>
    <cellStyle name="Normal 47 3 5" xfId="50632"/>
    <cellStyle name="Normal 47 4" xfId="50633"/>
    <cellStyle name="Normal 47 4 2" xfId="50634"/>
    <cellStyle name="Normal 47 4 2 2" xfId="50635"/>
    <cellStyle name="Normal 47 4 2 2 2" xfId="50636"/>
    <cellStyle name="Normal 47 4 2 3" xfId="50637"/>
    <cellStyle name="Normal 47 4 3" xfId="50638"/>
    <cellStyle name="Normal 47 4 3 2" xfId="50639"/>
    <cellStyle name="Normal 47 4 4" xfId="50640"/>
    <cellStyle name="Normal 47 5" xfId="50641"/>
    <cellStyle name="Normal 47 5 2" xfId="50642"/>
    <cellStyle name="Normal 47 5 2 2" xfId="50643"/>
    <cellStyle name="Normal 47 5 2 2 2" xfId="50644"/>
    <cellStyle name="Normal 47 5 2 3" xfId="50645"/>
    <cellStyle name="Normal 47 5 3" xfId="50646"/>
    <cellStyle name="Normal 47 5 3 2" xfId="50647"/>
    <cellStyle name="Normal 47 5 4" xfId="50648"/>
    <cellStyle name="Normal 47 6" xfId="50649"/>
    <cellStyle name="Normal 47 6 2" xfId="50650"/>
    <cellStyle name="Normal 47 6 2 2" xfId="50651"/>
    <cellStyle name="Normal 47 6 3" xfId="50652"/>
    <cellStyle name="Normal 47 7" xfId="50653"/>
    <cellStyle name="Normal 47 7 2" xfId="50654"/>
    <cellStyle name="Normal 47 7 2 2" xfId="50655"/>
    <cellStyle name="Normal 47 7 3" xfId="50656"/>
    <cellStyle name="Normal 47 8" xfId="50657"/>
    <cellStyle name="Normal 47 8 2" xfId="50658"/>
    <cellStyle name="Normal 47 8 2 2" xfId="50659"/>
    <cellStyle name="Normal 47 8 3" xfId="50660"/>
    <cellStyle name="Normal 47 9" xfId="50661"/>
    <cellStyle name="Normal 47 9 2" xfId="50662"/>
    <cellStyle name="Normal 48" xfId="50663"/>
    <cellStyle name="Normal 48 2" xfId="50664"/>
    <cellStyle name="Normal 48 2 2" xfId="50665"/>
    <cellStyle name="Normal 48 2 2 2" xfId="50666"/>
    <cellStyle name="Normal 48 3" xfId="50667"/>
    <cellStyle name="Normal 48 4" xfId="50668"/>
    <cellStyle name="Normal 48 4 2" xfId="50669"/>
    <cellStyle name="Normal 48 5" xfId="50670"/>
    <cellStyle name="Normal 48 6" xfId="57878"/>
    <cellStyle name="Normal 49" xfId="50671"/>
    <cellStyle name="Normal 49 2" xfId="50672"/>
    <cellStyle name="Normal 49 2 2" xfId="50673"/>
    <cellStyle name="Normal 49 2 2 2" xfId="50674"/>
    <cellStyle name="Normal 49 2 3" xfId="50675"/>
    <cellStyle name="Normal 49 3" xfId="50676"/>
    <cellStyle name="Normal 49 3 2" xfId="50677"/>
    <cellStyle name="Normal 49 4" xfId="50678"/>
    <cellStyle name="Normal 49 5" xfId="57879"/>
    <cellStyle name="Normal 5" xfId="50679"/>
    <cellStyle name="Normal 5 10" xfId="50680"/>
    <cellStyle name="Normal 5 11" xfId="50681"/>
    <cellStyle name="Normal 5 12" xfId="50682"/>
    <cellStyle name="Normal 5 13" xfId="50683"/>
    <cellStyle name="Normal 5 14" xfId="50684"/>
    <cellStyle name="Normal 5 15" xfId="50685"/>
    <cellStyle name="Normal 5 16" xfId="50686"/>
    <cellStyle name="Normal 5 17" xfId="50687"/>
    <cellStyle name="Normal 5 18" xfId="50688"/>
    <cellStyle name="Normal 5 19" xfId="50689"/>
    <cellStyle name="Normal 5 19 2" xfId="50690"/>
    <cellStyle name="Normal 5 2" xfId="50691"/>
    <cellStyle name="Normal 5 2 2" xfId="50692"/>
    <cellStyle name="Normal 5 2 2 2" xfId="50693"/>
    <cellStyle name="Normal 5 2 2 3" xfId="50694"/>
    <cellStyle name="Normal 5 2 3" xfId="50695"/>
    <cellStyle name="Normal 5 2 3 2" xfId="50696"/>
    <cellStyle name="Normal 5 2 3 2 2" xfId="58473"/>
    <cellStyle name="Normal 5 2 3 3" xfId="58474"/>
    <cellStyle name="Normal 5 2 4" xfId="50697"/>
    <cellStyle name="Normal 5 2 4 2" xfId="58475"/>
    <cellStyle name="Normal 5 2 5" xfId="50698"/>
    <cellStyle name="Normal 5 2 6" xfId="50699"/>
    <cellStyle name="Normal 5 2 7" xfId="50700"/>
    <cellStyle name="Normal 5 2 8" xfId="58476"/>
    <cellStyle name="Normal 5 20" xfId="50701"/>
    <cellStyle name="Normal 5 21" xfId="50702"/>
    <cellStyle name="Normal 5 22" xfId="50703"/>
    <cellStyle name="Normal 5 23" xfId="50704"/>
    <cellStyle name="Normal 5 24" xfId="50705"/>
    <cellStyle name="Normal 5 25" xfId="50706"/>
    <cellStyle name="Normal 5 26" xfId="50707"/>
    <cellStyle name="Normal 5 27" xfId="50708"/>
    <cellStyle name="Normal 5 28" xfId="50709"/>
    <cellStyle name="Normal 5 29" xfId="50710"/>
    <cellStyle name="Normal 5 3" xfId="50711"/>
    <cellStyle name="Normal 5 3 2" xfId="50712"/>
    <cellStyle name="Normal 5 3 3" xfId="50713"/>
    <cellStyle name="Normal 5 3 4" xfId="58477"/>
    <cellStyle name="Normal 5 30" xfId="50714"/>
    <cellStyle name="Normal 5 31" xfId="50715"/>
    <cellStyle name="Normal 5 32" xfId="50716"/>
    <cellStyle name="Normal 5 33" xfId="50717"/>
    <cellStyle name="Normal 5 34" xfId="50718"/>
    <cellStyle name="Normal 5 35" xfId="50719"/>
    <cellStyle name="Normal 5 36" xfId="50720"/>
    <cellStyle name="Normal 5 37" xfId="50721"/>
    <cellStyle name="Normal 5 38" xfId="50722"/>
    <cellStyle name="Normal 5 39" xfId="50723"/>
    <cellStyle name="Normal 5 4" xfId="50724"/>
    <cellStyle name="Normal 5 4 2" xfId="50725"/>
    <cellStyle name="Normal 5 4 3" xfId="50726"/>
    <cellStyle name="Normal 5 40" xfId="50727"/>
    <cellStyle name="Normal 5 41" xfId="50728"/>
    <cellStyle name="Normal 5 42" xfId="50729"/>
    <cellStyle name="Normal 5 43" xfId="50730"/>
    <cellStyle name="Normal 5 44" xfId="50731"/>
    <cellStyle name="Normal 5 45" xfId="50732"/>
    <cellStyle name="Normal 5 46" xfId="50733"/>
    <cellStyle name="Normal 5 47" xfId="50734"/>
    <cellStyle name="Normal 5 48" xfId="50735"/>
    <cellStyle name="Normal 5 49" xfId="50736"/>
    <cellStyle name="Normal 5 5" xfId="50737"/>
    <cellStyle name="Normal 5 5 2" xfId="50738"/>
    <cellStyle name="Normal 5 50" xfId="50739"/>
    <cellStyle name="Normal 5 51" xfId="50740"/>
    <cellStyle name="Normal 5 52" xfId="50741"/>
    <cellStyle name="Normal 5 53" xfId="50742"/>
    <cellStyle name="Normal 5 54" xfId="50743"/>
    <cellStyle name="Normal 5 55" xfId="50744"/>
    <cellStyle name="Normal 5 56" xfId="50745"/>
    <cellStyle name="Normal 5 57" xfId="50746"/>
    <cellStyle name="Normal 5 58" xfId="50747"/>
    <cellStyle name="Normal 5 59" xfId="50748"/>
    <cellStyle name="Normal 5 6" xfId="50749"/>
    <cellStyle name="Normal 5 6 2" xfId="50750"/>
    <cellStyle name="Normal 5 60" xfId="50751"/>
    <cellStyle name="Normal 5 61" xfId="50752"/>
    <cellStyle name="Normal 5 62" xfId="50753"/>
    <cellStyle name="Normal 5 63" xfId="50754"/>
    <cellStyle name="Normal 5 64" xfId="50755"/>
    <cellStyle name="Normal 5 65" xfId="50756"/>
    <cellStyle name="Normal 5 66" xfId="50757"/>
    <cellStyle name="Normal 5 67" xfId="58478"/>
    <cellStyle name="Normal 5 7" xfId="50758"/>
    <cellStyle name="Normal 5 7 2" xfId="50759"/>
    <cellStyle name="Normal 5 8" xfId="50760"/>
    <cellStyle name="Normal 5 8 2" xfId="50761"/>
    <cellStyle name="Normal 5 9" xfId="50762"/>
    <cellStyle name="Normal 5_ADVANCE 1189000004 REIMBURSHMENT NOP 11" xfId="50763"/>
    <cellStyle name="Normal 50" xfId="50764"/>
    <cellStyle name="Normal 50 2" xfId="50765"/>
    <cellStyle name="Normal 50 2 2" xfId="50766"/>
    <cellStyle name="Normal 50 3" xfId="50767"/>
    <cellStyle name="Normal 50 4" xfId="57880"/>
    <cellStyle name="Normal 51" xfId="50768"/>
    <cellStyle name="Normal 51 2" xfId="50769"/>
    <cellStyle name="Normal 51 3" xfId="50770"/>
    <cellStyle name="Normal 51 4" xfId="57881"/>
    <cellStyle name="Normal 52" xfId="50771"/>
    <cellStyle name="Normal 52 2" xfId="50772"/>
    <cellStyle name="Normal 52 2 2" xfId="50773"/>
    <cellStyle name="Normal 52 3" xfId="50774"/>
    <cellStyle name="Normal 52 4" xfId="57882"/>
    <cellStyle name="Normal 53" xfId="50775"/>
    <cellStyle name="Normal 53 2" xfId="50776"/>
    <cellStyle name="Normal 53 2 2" xfId="50777"/>
    <cellStyle name="Normal 53 2 2 2" xfId="50778"/>
    <cellStyle name="Normal 53 3" xfId="50779"/>
    <cellStyle name="Normal 53 4" xfId="57883"/>
    <cellStyle name="Normal 54" xfId="50780"/>
    <cellStyle name="Normal 54 2" xfId="50781"/>
    <cellStyle name="Normal 54 2 2" xfId="50782"/>
    <cellStyle name="Normal 54 3" xfId="50783"/>
    <cellStyle name="Normal 54 4" xfId="57884"/>
    <cellStyle name="Normal 55" xfId="50784"/>
    <cellStyle name="Normal 55 2" xfId="50785"/>
    <cellStyle name="Normal 55 2 2" xfId="50786"/>
    <cellStyle name="Normal 55 3" xfId="50787"/>
    <cellStyle name="Normal 55 4" xfId="57885"/>
    <cellStyle name="Normal 56" xfId="50788"/>
    <cellStyle name="Normal 56 2" xfId="50789"/>
    <cellStyle name="Normal 56 3" xfId="57886"/>
    <cellStyle name="Normal 57" xfId="50790"/>
    <cellStyle name="Normal 57 2" xfId="50791"/>
    <cellStyle name="Normal 57 3" xfId="57887"/>
    <cellStyle name="Normal 58" xfId="50792"/>
    <cellStyle name="Normal 58 2" xfId="50793"/>
    <cellStyle name="Normal 58 3" xfId="57888"/>
    <cellStyle name="Normal 59" xfId="50794"/>
    <cellStyle name="Normal 59 2" xfId="50795"/>
    <cellStyle name="Normal 59 3" xfId="57889"/>
    <cellStyle name="Normal 6" xfId="59"/>
    <cellStyle name="Normal 6 10" xfId="50796"/>
    <cellStyle name="Normal 6 10 2" xfId="50797"/>
    <cellStyle name="Normal 6 10 2 2" xfId="50798"/>
    <cellStyle name="Normal 6 10 3" xfId="50799"/>
    <cellStyle name="Normal 6 11" xfId="50800"/>
    <cellStyle name="Normal 6 11 2" xfId="50801"/>
    <cellStyle name="Normal 6 11 2 2" xfId="50802"/>
    <cellStyle name="Normal 6 11 3" xfId="50803"/>
    <cellStyle name="Normal 6 12" xfId="50804"/>
    <cellStyle name="Normal 6 12 2" xfId="50805"/>
    <cellStyle name="Normal 6 12 2 2" xfId="50806"/>
    <cellStyle name="Normal 6 12 3" xfId="50807"/>
    <cellStyle name="Normal 6 13" xfId="50808"/>
    <cellStyle name="Normal 6 13 2" xfId="50809"/>
    <cellStyle name="Normal 6 13 2 2" xfId="50810"/>
    <cellStyle name="Normal 6 13 3" xfId="50811"/>
    <cellStyle name="Normal 6 14" xfId="50812"/>
    <cellStyle name="Normal 6 14 2" xfId="50813"/>
    <cellStyle name="Normal 6 14 2 2" xfId="50814"/>
    <cellStyle name="Normal 6 14 3" xfId="50815"/>
    <cellStyle name="Normal 6 15" xfId="50816"/>
    <cellStyle name="Normal 6 15 2" xfId="50817"/>
    <cellStyle name="Normal 6 15 2 2" xfId="50818"/>
    <cellStyle name="Normal 6 15 3" xfId="50819"/>
    <cellStyle name="Normal 6 16" xfId="50820"/>
    <cellStyle name="Normal 6 16 2" xfId="50821"/>
    <cellStyle name="Normal 6 16 2 2" xfId="50822"/>
    <cellStyle name="Normal 6 16 3" xfId="50823"/>
    <cellStyle name="Normal 6 17" xfId="50824"/>
    <cellStyle name="Normal 6 17 2" xfId="50825"/>
    <cellStyle name="Normal 6 17 2 2" xfId="50826"/>
    <cellStyle name="Normal 6 17 3" xfId="50827"/>
    <cellStyle name="Normal 6 18" xfId="50828"/>
    <cellStyle name="Normal 6 18 2" xfId="50829"/>
    <cellStyle name="Normal 6 18 2 2" xfId="50830"/>
    <cellStyle name="Normal 6 18 3" xfId="50831"/>
    <cellStyle name="Normal 6 19" xfId="50832"/>
    <cellStyle name="Normal 6 19 2" xfId="50833"/>
    <cellStyle name="Normal 6 2" xfId="50834"/>
    <cellStyle name="Normal 6 2 10" xfId="50835"/>
    <cellStyle name="Normal 6 2 2" xfId="50836"/>
    <cellStyle name="Normal 6 2 2 2" xfId="50837"/>
    <cellStyle name="Normal 6 2 2 2 2" xfId="50838"/>
    <cellStyle name="Normal 6 2 2 2 2 2" xfId="50839"/>
    <cellStyle name="Normal 6 2 2 2 2 2 2" xfId="50840"/>
    <cellStyle name="Normal 6 2 2 2 2 3" xfId="50841"/>
    <cellStyle name="Normal 6 2 2 2 3" xfId="50842"/>
    <cellStyle name="Normal 6 2 2 2 3 2" xfId="50843"/>
    <cellStyle name="Normal 6 2 2 2 4" xfId="50844"/>
    <cellStyle name="Normal 6 2 2 3" xfId="50845"/>
    <cellStyle name="Normal 6 2 2 3 2" xfId="50846"/>
    <cellStyle name="Normal 6 2 2 3 2 2" xfId="50847"/>
    <cellStyle name="Normal 6 2 2 3 3" xfId="50848"/>
    <cellStyle name="Normal 6 2 2 4" xfId="50849"/>
    <cellStyle name="Normal 6 2 2 4 2" xfId="50850"/>
    <cellStyle name="Normal 6 2 2 5" xfId="50851"/>
    <cellStyle name="Normal 6 2 3" xfId="50852"/>
    <cellStyle name="Normal 6 2 3 2" xfId="50853"/>
    <cellStyle name="Normal 6 2 3 2 2" xfId="50854"/>
    <cellStyle name="Normal 6 2 3 2 2 2" xfId="50855"/>
    <cellStyle name="Normal 6 2 3 2 2 2 2" xfId="50856"/>
    <cellStyle name="Normal 6 2 3 2 2 2 2 2" xfId="50857"/>
    <cellStyle name="Normal 6 2 3 2 2 2 3" xfId="50858"/>
    <cellStyle name="Normal 6 2 3 2 2 3" xfId="50859"/>
    <cellStyle name="Normal 6 2 3 2 2 3 2" xfId="50860"/>
    <cellStyle name="Normal 6 2 3 2 2 4" xfId="50861"/>
    <cellStyle name="Normal 6 2 3 2 3" xfId="50862"/>
    <cellStyle name="Normal 6 2 3 2 3 2" xfId="50863"/>
    <cellStyle name="Normal 6 2 3 2 3 2 2" xfId="50864"/>
    <cellStyle name="Normal 6 2 3 2 3 3" xfId="50865"/>
    <cellStyle name="Normal 6 2 3 2 4" xfId="50866"/>
    <cellStyle name="Normal 6 2 3 2 4 2" xfId="50867"/>
    <cellStyle name="Normal 6 2 3 2 5" xfId="50868"/>
    <cellStyle name="Normal 6 2 3 3" xfId="50869"/>
    <cellStyle name="Normal 6 2 3 3 2" xfId="50870"/>
    <cellStyle name="Normal 6 2 3 3 2 2" xfId="50871"/>
    <cellStyle name="Normal 6 2 3 3 2 2 2" xfId="50872"/>
    <cellStyle name="Normal 6 2 3 3 2 3" xfId="50873"/>
    <cellStyle name="Normal 6 2 3 3 3" xfId="50874"/>
    <cellStyle name="Normal 6 2 3 3 3 2" xfId="50875"/>
    <cellStyle name="Normal 6 2 3 3 4" xfId="50876"/>
    <cellStyle name="Normal 6 2 3 4" xfId="50877"/>
    <cellStyle name="Normal 6 2 3 4 2" xfId="50878"/>
    <cellStyle name="Normal 6 2 3 4 2 2" xfId="50879"/>
    <cellStyle name="Normal 6 2 3 4 3" xfId="50880"/>
    <cellStyle name="Normal 6 2 3 5" xfId="50881"/>
    <cellStyle name="Normal 6 2 3 5 2" xfId="50882"/>
    <cellStyle name="Normal 6 2 3 6" xfId="50883"/>
    <cellStyle name="Normal 6 2 4" xfId="50884"/>
    <cellStyle name="Normal 6 2 4 2" xfId="50885"/>
    <cellStyle name="Normal 6 2 4 2 2" xfId="50886"/>
    <cellStyle name="Normal 6 2 4 2 2 2" xfId="50887"/>
    <cellStyle name="Normal 6 2 4 2 2 2 2" xfId="50888"/>
    <cellStyle name="Normal 6 2 4 2 2 3" xfId="50889"/>
    <cellStyle name="Normal 6 2 4 2 3" xfId="50890"/>
    <cellStyle name="Normal 6 2 4 2 3 2" xfId="50891"/>
    <cellStyle name="Normal 6 2 4 2 4" xfId="50892"/>
    <cellStyle name="Normal 6 2 4 3" xfId="50893"/>
    <cellStyle name="Normal 6 2 4 3 2" xfId="50894"/>
    <cellStyle name="Normal 6 2 4 3 2 2" xfId="50895"/>
    <cellStyle name="Normal 6 2 4 3 3" xfId="50896"/>
    <cellStyle name="Normal 6 2 4 4" xfId="50897"/>
    <cellStyle name="Normal 6 2 4 4 2" xfId="50898"/>
    <cellStyle name="Normal 6 2 4 5" xfId="50899"/>
    <cellStyle name="Normal 6 2 5" xfId="50900"/>
    <cellStyle name="Normal 6 2 5 2" xfId="50901"/>
    <cellStyle name="Normal 6 2 5 2 2" xfId="50902"/>
    <cellStyle name="Normal 6 2 5 2 2 2" xfId="50903"/>
    <cellStyle name="Normal 6 2 5 2 3" xfId="50904"/>
    <cellStyle name="Normal 6 2 5 3" xfId="50905"/>
    <cellStyle name="Normal 6 2 5 3 2" xfId="50906"/>
    <cellStyle name="Normal 6 2 5 4" xfId="50907"/>
    <cellStyle name="Normal 6 2 6" xfId="50908"/>
    <cellStyle name="Normal 6 2 6 2" xfId="50909"/>
    <cellStyle name="Normal 6 2 6 2 2" xfId="50910"/>
    <cellStyle name="Normal 6 2 6 3" xfId="50911"/>
    <cellStyle name="Normal 6 2 7" xfId="50912"/>
    <cellStyle name="Normal 6 2 7 2" xfId="50913"/>
    <cellStyle name="Normal 6 2 7 2 2" xfId="50914"/>
    <cellStyle name="Normal 6 2 7 3" xfId="50915"/>
    <cellStyle name="Normal 6 2 8" xfId="50916"/>
    <cellStyle name="Normal 6 2 8 2" xfId="50917"/>
    <cellStyle name="Normal 6 2 8 2 2" xfId="50918"/>
    <cellStyle name="Normal 6 2 8 3" xfId="50919"/>
    <cellStyle name="Normal 6 2 9" xfId="50920"/>
    <cellStyle name="Normal 6 2 9 2" xfId="50921"/>
    <cellStyle name="Normal 6 2 9 2 2" xfId="50922"/>
    <cellStyle name="Normal 6 2 9 3" xfId="50923"/>
    <cellStyle name="Normal 6 2_PM Okt 2014 Plan VS Actual Planning Workshop" xfId="50924"/>
    <cellStyle name="Normal 6 20" xfId="50925"/>
    <cellStyle name="Normal 6 21" xfId="50926"/>
    <cellStyle name="Normal 6 22" xfId="50927"/>
    <cellStyle name="Normal 6 23" xfId="50928"/>
    <cellStyle name="Normal 6 24" xfId="50929"/>
    <cellStyle name="Normal 6 25" xfId="50930"/>
    <cellStyle name="Normal 6 26" xfId="50931"/>
    <cellStyle name="Normal 6 27" xfId="50932"/>
    <cellStyle name="Normal 6 28" xfId="50933"/>
    <cellStyle name="Normal 6 29" xfId="50934"/>
    <cellStyle name="Normal 6 3" xfId="50935"/>
    <cellStyle name="Normal 6 3 10" xfId="50936"/>
    <cellStyle name="Normal 6 3 11" xfId="50937"/>
    <cellStyle name="Normal 6 3 12" xfId="50938"/>
    <cellStyle name="Normal 6 3 13" xfId="50939"/>
    <cellStyle name="Normal 6 3 14" xfId="50940"/>
    <cellStyle name="Normal 6 3 15" xfId="50941"/>
    <cellStyle name="Normal 6 3 16" xfId="50942"/>
    <cellStyle name="Normal 6 3 17" xfId="50943"/>
    <cellStyle name="Normal 6 3 18" xfId="50944"/>
    <cellStyle name="Normal 6 3 19" xfId="50945"/>
    <cellStyle name="Normal 6 3 2" xfId="50946"/>
    <cellStyle name="Normal 6 3 2 2" xfId="50947"/>
    <cellStyle name="Normal 6 3 2 3" xfId="50948"/>
    <cellStyle name="Normal 6 3 20" xfId="50949"/>
    <cellStyle name="Normal 6 3 21" xfId="50950"/>
    <cellStyle name="Normal 6 3 22" xfId="50951"/>
    <cellStyle name="Normal 6 3 23" xfId="50952"/>
    <cellStyle name="Normal 6 3 24" xfId="50953"/>
    <cellStyle name="Normal 6 3 25" xfId="50954"/>
    <cellStyle name="Normal 6 3 26" xfId="50955"/>
    <cellStyle name="Normal 6 3 27" xfId="50956"/>
    <cellStyle name="Normal 6 3 28" xfId="50957"/>
    <cellStyle name="Normal 6 3 29" xfId="50958"/>
    <cellStyle name="Normal 6 3 3" xfId="50959"/>
    <cellStyle name="Normal 6 3 3 2" xfId="50960"/>
    <cellStyle name="Normal 6 3 3 2 2" xfId="50961"/>
    <cellStyle name="Normal 6 3 3 2 2 2" xfId="50962"/>
    <cellStyle name="Normal 6 3 3 2 2 2 2" xfId="50963"/>
    <cellStyle name="Normal 6 3 3 2 2 2 2 2" xfId="50964"/>
    <cellStyle name="Normal 6 3 3 2 2 2 3" xfId="50965"/>
    <cellStyle name="Normal 6 3 3 2 2 3" xfId="50966"/>
    <cellStyle name="Normal 6 3 3 2 2 3 2" xfId="50967"/>
    <cellStyle name="Normal 6 3 3 2 2 4" xfId="50968"/>
    <cellStyle name="Normal 6 3 3 2 3" xfId="50969"/>
    <cellStyle name="Normal 6 3 3 2 3 2" xfId="50970"/>
    <cellStyle name="Normal 6 3 3 2 3 2 2" xfId="50971"/>
    <cellStyle name="Normal 6 3 3 2 3 3" xfId="50972"/>
    <cellStyle name="Normal 6 3 3 2 4" xfId="50973"/>
    <cellStyle name="Normal 6 3 3 2 4 2" xfId="50974"/>
    <cellStyle name="Normal 6 3 3 2 5" xfId="50975"/>
    <cellStyle name="Normal 6 3 3 3" xfId="50976"/>
    <cellStyle name="Normal 6 3 3 3 2" xfId="50977"/>
    <cellStyle name="Normal 6 3 3 3 2 2" xfId="50978"/>
    <cellStyle name="Normal 6 3 3 3 2 2 2" xfId="50979"/>
    <cellStyle name="Normal 6 3 3 3 2 3" xfId="50980"/>
    <cellStyle name="Normal 6 3 3 3 3" xfId="50981"/>
    <cellStyle name="Normal 6 3 3 3 3 2" xfId="50982"/>
    <cellStyle name="Normal 6 3 3 3 4" xfId="50983"/>
    <cellStyle name="Normal 6 3 3 4" xfId="50984"/>
    <cellStyle name="Normal 6 3 3 4 2" xfId="50985"/>
    <cellStyle name="Normal 6 3 3 4 2 2" xfId="50986"/>
    <cellStyle name="Normal 6 3 3 4 3" xfId="50987"/>
    <cellStyle name="Normal 6 3 3 5" xfId="50988"/>
    <cellStyle name="Normal 6 3 3 5 2" xfId="50989"/>
    <cellStyle name="Normal 6 3 3 6" xfId="50990"/>
    <cellStyle name="Normal 6 3 30" xfId="50991"/>
    <cellStyle name="Normal 6 3 31" xfId="50992"/>
    <cellStyle name="Normal 6 3 32" xfId="50993"/>
    <cellStyle name="Normal 6 3 33" xfId="50994"/>
    <cellStyle name="Normal 6 3 34" xfId="50995"/>
    <cellStyle name="Normal 6 3 35" xfId="50996"/>
    <cellStyle name="Normal 6 3 36" xfId="50997"/>
    <cellStyle name="Normal 6 3 37" xfId="50998"/>
    <cellStyle name="Normal 6 3 38" xfId="50999"/>
    <cellStyle name="Normal 6 3 39" xfId="51000"/>
    <cellStyle name="Normal 6 3 4" xfId="51001"/>
    <cellStyle name="Normal 6 3 4 2" xfId="51002"/>
    <cellStyle name="Normal 6 3 4 2 2" xfId="51003"/>
    <cellStyle name="Normal 6 3 4 2 2 2" xfId="51004"/>
    <cellStyle name="Normal 6 3 4 2 2 2 2" xfId="51005"/>
    <cellStyle name="Normal 6 3 4 2 2 3" xfId="51006"/>
    <cellStyle name="Normal 6 3 4 2 3" xfId="51007"/>
    <cellStyle name="Normal 6 3 4 2 3 2" xfId="51008"/>
    <cellStyle name="Normal 6 3 4 2 4" xfId="51009"/>
    <cellStyle name="Normal 6 3 4 3" xfId="51010"/>
    <cellStyle name="Normal 6 3 4 3 2" xfId="51011"/>
    <cellStyle name="Normal 6 3 4 3 2 2" xfId="51012"/>
    <cellStyle name="Normal 6 3 4 3 3" xfId="51013"/>
    <cellStyle name="Normal 6 3 4 4" xfId="51014"/>
    <cellStyle name="Normal 6 3 4 4 2" xfId="51015"/>
    <cellStyle name="Normal 6 3 4 5" xfId="51016"/>
    <cellStyle name="Normal 6 3 40" xfId="51017"/>
    <cellStyle name="Normal 6 3 41" xfId="51018"/>
    <cellStyle name="Normal 6 3 42" xfId="51019"/>
    <cellStyle name="Normal 6 3 43" xfId="51020"/>
    <cellStyle name="Normal 6 3 44" xfId="51021"/>
    <cellStyle name="Normal 6 3 45" xfId="51022"/>
    <cellStyle name="Normal 6 3 46" xfId="51023"/>
    <cellStyle name="Normal 6 3 47" xfId="51024"/>
    <cellStyle name="Normal 6 3 48" xfId="51025"/>
    <cellStyle name="Normal 6 3 49" xfId="51026"/>
    <cellStyle name="Normal 6 3 5" xfId="51027"/>
    <cellStyle name="Normal 6 3 5 2" xfId="51028"/>
    <cellStyle name="Normal 6 3 5 2 2" xfId="51029"/>
    <cellStyle name="Normal 6 3 5 2 2 2" xfId="51030"/>
    <cellStyle name="Normal 6 3 5 2 3" xfId="51031"/>
    <cellStyle name="Normal 6 3 5 3" xfId="51032"/>
    <cellStyle name="Normal 6 3 5 3 2" xfId="51033"/>
    <cellStyle name="Normal 6 3 5 4" xfId="51034"/>
    <cellStyle name="Normal 6 3 50" xfId="51035"/>
    <cellStyle name="Normal 6 3 51" xfId="51036"/>
    <cellStyle name="Normal 6 3 52" xfId="51037"/>
    <cellStyle name="Normal 6 3 53" xfId="51038"/>
    <cellStyle name="Normal 6 3 54" xfId="51039"/>
    <cellStyle name="Normal 6 3 55" xfId="51040"/>
    <cellStyle name="Normal 6 3 6" xfId="51041"/>
    <cellStyle name="Normal 6 3 6 2" xfId="51042"/>
    <cellStyle name="Normal 6 3 6 2 2" xfId="51043"/>
    <cellStyle name="Normal 6 3 6 3" xfId="51044"/>
    <cellStyle name="Normal 6 3 7" xfId="51045"/>
    <cellStyle name="Normal 6 3 7 2" xfId="51046"/>
    <cellStyle name="Normal 6 3 8" xfId="51047"/>
    <cellStyle name="Normal 6 3 9" xfId="51048"/>
    <cellStyle name="Normal 6 3_PM Okt 2014 Plan VS Actual Planning Workshop" xfId="51049"/>
    <cellStyle name="Normal 6 30" xfId="51050"/>
    <cellStyle name="Normal 6 31" xfId="51051"/>
    <cellStyle name="Normal 6 32" xfId="51052"/>
    <cellStyle name="Normal 6 33" xfId="51053"/>
    <cellStyle name="Normal 6 34" xfId="51054"/>
    <cellStyle name="Normal 6 35" xfId="51055"/>
    <cellStyle name="Normal 6 36" xfId="51056"/>
    <cellStyle name="Normal 6 37" xfId="51057"/>
    <cellStyle name="Normal 6 38" xfId="51058"/>
    <cellStyle name="Normal 6 39" xfId="51059"/>
    <cellStyle name="Normal 6 4" xfId="51060"/>
    <cellStyle name="Normal 6 4 2" xfId="51061"/>
    <cellStyle name="Normal 6 4 2 2" xfId="51062"/>
    <cellStyle name="Normal 6 4 3" xfId="51063"/>
    <cellStyle name="Normal 6 4 4" xfId="57890"/>
    <cellStyle name="Normal 6 40" xfId="51064"/>
    <cellStyle name="Normal 6 41" xfId="51065"/>
    <cellStyle name="Normal 6 42" xfId="51066"/>
    <cellStyle name="Normal 6 43" xfId="51067"/>
    <cellStyle name="Normal 6 44" xfId="51068"/>
    <cellStyle name="Normal 6 45" xfId="51069"/>
    <cellStyle name="Normal 6 46" xfId="51070"/>
    <cellStyle name="Normal 6 47" xfId="51071"/>
    <cellStyle name="Normal 6 48" xfId="51072"/>
    <cellStyle name="Normal 6 49" xfId="51073"/>
    <cellStyle name="Normal 6 5" xfId="51074"/>
    <cellStyle name="Normal 6 5 2" xfId="51075"/>
    <cellStyle name="Normal 6 5 2 2" xfId="51076"/>
    <cellStyle name="Normal 6 5 3" xfId="51077"/>
    <cellStyle name="Normal 6 50" xfId="51078"/>
    <cellStyle name="Normal 6 51" xfId="51079"/>
    <cellStyle name="Normal 6 52" xfId="51080"/>
    <cellStyle name="Normal 6 53" xfId="51081"/>
    <cellStyle name="Normal 6 54" xfId="51082"/>
    <cellStyle name="Normal 6 55" xfId="51083"/>
    <cellStyle name="Normal 6 56" xfId="51084"/>
    <cellStyle name="Normal 6 57" xfId="51085"/>
    <cellStyle name="Normal 6 58" xfId="51086"/>
    <cellStyle name="Normal 6 59" xfId="51087"/>
    <cellStyle name="Normal 6 6" xfId="51088"/>
    <cellStyle name="Normal 6 6 2" xfId="51089"/>
    <cellStyle name="Normal 6 6 2 2" xfId="51090"/>
    <cellStyle name="Normal 6 6 3" xfId="51091"/>
    <cellStyle name="Normal 6 60" xfId="51092"/>
    <cellStyle name="Normal 6 61" xfId="51093"/>
    <cellStyle name="Normal 6 62" xfId="51094"/>
    <cellStyle name="Normal 6 63" xfId="51095"/>
    <cellStyle name="Normal 6 64" xfId="51096"/>
    <cellStyle name="Normal 6 65" xfId="51097"/>
    <cellStyle name="Normal 6 66" xfId="51098"/>
    <cellStyle name="Normal 6 67" xfId="51099"/>
    <cellStyle name="Normal 6 7" xfId="51100"/>
    <cellStyle name="Normal 6 7 2" xfId="51101"/>
    <cellStyle name="Normal 6 7 2 2" xfId="51102"/>
    <cellStyle name="Normal 6 7 3" xfId="51103"/>
    <cellStyle name="Normal 6 8" xfId="51104"/>
    <cellStyle name="Normal 6 8 2" xfId="51105"/>
    <cellStyle name="Normal 6 8 2 2" xfId="51106"/>
    <cellStyle name="Normal 6 8 3" xfId="51107"/>
    <cellStyle name="Normal 6 9" xfId="51108"/>
    <cellStyle name="Normal 6 9 2" xfId="51109"/>
    <cellStyle name="Normal 6 9 2 2" xfId="51110"/>
    <cellStyle name="Normal 6 9 3" xfId="51111"/>
    <cellStyle name="Normal 6_ACC JANUARI (YOSEPH)" xfId="51112"/>
    <cellStyle name="Normal 60" xfId="51113"/>
    <cellStyle name="Normal 60 2" xfId="51114"/>
    <cellStyle name="Normal 60 3" xfId="57891"/>
    <cellStyle name="Normal 61" xfId="51115"/>
    <cellStyle name="Normal 61 2" xfId="51116"/>
    <cellStyle name="Normal 61 2 2" xfId="51117"/>
    <cellStyle name="Normal 61 3" xfId="51118"/>
    <cellStyle name="Normal 61 4" xfId="51119"/>
    <cellStyle name="Normal 61 5" xfId="57892"/>
    <cellStyle name="Normal 62" xfId="51120"/>
    <cellStyle name="Normal 62 2" xfId="51121"/>
    <cellStyle name="Normal 62 3" xfId="57893"/>
    <cellStyle name="Normal 63" xfId="51122"/>
    <cellStyle name="Normal 63 2" xfId="51123"/>
    <cellStyle name="Normal 63 3" xfId="57894"/>
    <cellStyle name="Normal 64" xfId="51124"/>
    <cellStyle name="Normal 64 2" xfId="51125"/>
    <cellStyle name="Normal 64 3" xfId="57895"/>
    <cellStyle name="Normal 65" xfId="51126"/>
    <cellStyle name="Normal 65 2" xfId="51127"/>
    <cellStyle name="Normal 65 3" xfId="57896"/>
    <cellStyle name="Normal 66" xfId="51128"/>
    <cellStyle name="Normal 66 2" xfId="51129"/>
    <cellStyle name="Normal 66 3" xfId="57897"/>
    <cellStyle name="Normal 67" xfId="51130"/>
    <cellStyle name="Normal 67 2" xfId="51131"/>
    <cellStyle name="Normal 67 3" xfId="57898"/>
    <cellStyle name="Normal 68" xfId="51132"/>
    <cellStyle name="Normal 68 2" xfId="51133"/>
    <cellStyle name="Normal 68 3" xfId="57899"/>
    <cellStyle name="Normal 69" xfId="51134"/>
    <cellStyle name="Normal 69 2" xfId="51135"/>
    <cellStyle name="Normal 69 3" xfId="51136"/>
    <cellStyle name="Normal 69 4" xfId="57900"/>
    <cellStyle name="Normal 7" xfId="51137"/>
    <cellStyle name="Normal 7 10" xfId="51138"/>
    <cellStyle name="Normal 7 10 2" xfId="51139"/>
    <cellStyle name="Normal 7 11" xfId="51140"/>
    <cellStyle name="Normal 7 11 2" xfId="51141"/>
    <cellStyle name="Normal 7 12" xfId="51142"/>
    <cellStyle name="Normal 7 13" xfId="51143"/>
    <cellStyle name="Normal 7 14" xfId="51144"/>
    <cellStyle name="Normal 7 15" xfId="51145"/>
    <cellStyle name="Normal 7 16" xfId="51146"/>
    <cellStyle name="Normal 7 17" xfId="51147"/>
    <cellStyle name="Normal 7 18" xfId="51148"/>
    <cellStyle name="Normal 7 19" xfId="51149"/>
    <cellStyle name="Normal 7 2" xfId="51150"/>
    <cellStyle name="Normal 7 2 2" xfId="51151"/>
    <cellStyle name="Normal 7 2 2 2" xfId="51152"/>
    <cellStyle name="Normal 7 2 2 2 2" xfId="51153"/>
    <cellStyle name="Normal 7 2 2 2 2 2" xfId="51154"/>
    <cellStyle name="Normal 7 2 2 2 3" xfId="51155"/>
    <cellStyle name="Normal 7 2 2 3" xfId="51156"/>
    <cellStyle name="Normal 7 2 2 3 2" xfId="51157"/>
    <cellStyle name="Normal 7 2 2 4" xfId="51158"/>
    <cellStyle name="Normal 7 2 3" xfId="51159"/>
    <cellStyle name="Normal 7 2 4" xfId="51160"/>
    <cellStyle name="Normal 7 2 4 2" xfId="51161"/>
    <cellStyle name="Normal 7 2 4 2 2" xfId="51162"/>
    <cellStyle name="Normal 7 2 5" xfId="51163"/>
    <cellStyle name="Normal 7 2 5 2" xfId="51164"/>
    <cellStyle name="Normal 7 2 6" xfId="51165"/>
    <cellStyle name="Normal 7 2 7" xfId="51166"/>
    <cellStyle name="Normal 7 2 8" xfId="57901"/>
    <cellStyle name="Normal 7 20" xfId="51167"/>
    <cellStyle name="Normal 7 21" xfId="51168"/>
    <cellStyle name="Normal 7 22" xfId="51169"/>
    <cellStyle name="Normal 7 23" xfId="51170"/>
    <cellStyle name="Normal 7 24" xfId="51171"/>
    <cellStyle name="Normal 7 25" xfId="51172"/>
    <cellStyle name="Normal 7 26" xfId="51173"/>
    <cellStyle name="Normal 7 27" xfId="51174"/>
    <cellStyle name="Normal 7 28" xfId="51175"/>
    <cellStyle name="Normal 7 29" xfId="51176"/>
    <cellStyle name="Normal 7 3" xfId="51177"/>
    <cellStyle name="Normal 7 3 2" xfId="51178"/>
    <cellStyle name="Normal 7 3 2 2" xfId="51179"/>
    <cellStyle name="Normal 7 3 2 2 2" xfId="51180"/>
    <cellStyle name="Normal 7 3 2 2 2 2" xfId="51181"/>
    <cellStyle name="Normal 7 3 2 2 3" xfId="51182"/>
    <cellStyle name="Normal 7 3 2 3" xfId="51183"/>
    <cellStyle name="Normal 7 3 2 3 2" xfId="51184"/>
    <cellStyle name="Normal 7 3 2 4" xfId="51185"/>
    <cellStyle name="Normal 7 3 3" xfId="51186"/>
    <cellStyle name="Normal 7 3 3 2" xfId="51187"/>
    <cellStyle name="Normal 7 3 3 2 2" xfId="51188"/>
    <cellStyle name="Normal 7 3 3 3" xfId="51189"/>
    <cellStyle name="Normal 7 3 4" xfId="51190"/>
    <cellStyle name="Normal 7 3 4 2" xfId="51191"/>
    <cellStyle name="Normal 7 3 5" xfId="51192"/>
    <cellStyle name="Normal 7 30" xfId="51193"/>
    <cellStyle name="Normal 7 31" xfId="51194"/>
    <cellStyle name="Normal 7 32" xfId="51195"/>
    <cellStyle name="Normal 7 33" xfId="51196"/>
    <cellStyle name="Normal 7 34" xfId="51197"/>
    <cellStyle name="Normal 7 35" xfId="51198"/>
    <cellStyle name="Normal 7 36" xfId="51199"/>
    <cellStyle name="Normal 7 37" xfId="51200"/>
    <cellStyle name="Normal 7 38" xfId="51201"/>
    <cellStyle name="Normal 7 39" xfId="51202"/>
    <cellStyle name="Normal 7 4" xfId="51203"/>
    <cellStyle name="Normal 7 4 2" xfId="51204"/>
    <cellStyle name="Normal 7 40" xfId="51205"/>
    <cellStyle name="Normal 7 41" xfId="51206"/>
    <cellStyle name="Normal 7 42" xfId="51207"/>
    <cellStyle name="Normal 7 43" xfId="51208"/>
    <cellStyle name="Normal 7 44" xfId="51209"/>
    <cellStyle name="Normal 7 45" xfId="51210"/>
    <cellStyle name="Normal 7 46" xfId="51211"/>
    <cellStyle name="Normal 7 47" xfId="51212"/>
    <cellStyle name="Normal 7 48" xfId="51213"/>
    <cellStyle name="Normal 7 49" xfId="51214"/>
    <cellStyle name="Normal 7 5" xfId="51215"/>
    <cellStyle name="Normal 7 5 2" xfId="51216"/>
    <cellStyle name="Normal 7 50" xfId="51217"/>
    <cellStyle name="Normal 7 51" xfId="51218"/>
    <cellStyle name="Normal 7 52" xfId="51219"/>
    <cellStyle name="Normal 7 53" xfId="51220"/>
    <cellStyle name="Normal 7 54" xfId="51221"/>
    <cellStyle name="Normal 7 55" xfId="51222"/>
    <cellStyle name="Normal 7 56" xfId="51223"/>
    <cellStyle name="Normal 7 57" xfId="51224"/>
    <cellStyle name="Normal 7 58" xfId="51225"/>
    <cellStyle name="Normal 7 59" xfId="51226"/>
    <cellStyle name="Normal 7 6" xfId="51227"/>
    <cellStyle name="Normal 7 6 2" xfId="51228"/>
    <cellStyle name="Normal 7 60" xfId="51229"/>
    <cellStyle name="Normal 7 61" xfId="51230"/>
    <cellStyle name="Normal 7 62" xfId="51231"/>
    <cellStyle name="Normal 7 63" xfId="51232"/>
    <cellStyle name="Normal 7 64" xfId="51233"/>
    <cellStyle name="Normal 7 65" xfId="51234"/>
    <cellStyle name="Normal 7 66" xfId="51235"/>
    <cellStyle name="Normal 7 7" xfId="51236"/>
    <cellStyle name="Normal 7 7 2" xfId="51237"/>
    <cellStyle name="Normal 7 7 2 2" xfId="51238"/>
    <cellStyle name="Normal 7 7 2 2 2" xfId="51239"/>
    <cellStyle name="Normal 7 7 2 2 2 2" xfId="51240"/>
    <cellStyle name="Normal 7 7 2 2 3" xfId="51241"/>
    <cellStyle name="Normal 7 7 2 3" xfId="51242"/>
    <cellStyle name="Normal 7 7 2 3 2" xfId="51243"/>
    <cellStyle name="Normal 7 7 2 4" xfId="51244"/>
    <cellStyle name="Normal 7 7 3" xfId="51245"/>
    <cellStyle name="Normal 7 7 3 2" xfId="51246"/>
    <cellStyle name="Normal 7 7 3 2 2" xfId="51247"/>
    <cellStyle name="Normal 7 7 3 3" xfId="51248"/>
    <cellStyle name="Normal 7 7 4" xfId="51249"/>
    <cellStyle name="Normal 7 7 4 2" xfId="51250"/>
    <cellStyle name="Normal 7 7 5" xfId="51251"/>
    <cellStyle name="Normal 7 7 6" xfId="51252"/>
    <cellStyle name="Normal 7 8" xfId="51253"/>
    <cellStyle name="Normal 7 8 2" xfId="51254"/>
    <cellStyle name="Normal 7 9" xfId="51255"/>
    <cellStyle name="Normal 7 9 2" xfId="51256"/>
    <cellStyle name="Normal 7_Advance Other Feb 2012" xfId="51257"/>
    <cellStyle name="Normal 70" xfId="51258"/>
    <cellStyle name="Normal 70 2" xfId="51259"/>
    <cellStyle name="Normal 70 3" xfId="51260"/>
    <cellStyle name="Normal 70 4" xfId="57902"/>
    <cellStyle name="Normal 71" xfId="51261"/>
    <cellStyle name="Normal 71 2" xfId="51262"/>
    <cellStyle name="Normal 71 3" xfId="51263"/>
    <cellStyle name="Normal 71 4" xfId="57903"/>
    <cellStyle name="Normal 72" xfId="51264"/>
    <cellStyle name="Normal 72 2" xfId="51265"/>
    <cellStyle name="Normal 72 3" xfId="51266"/>
    <cellStyle name="Normal 72 4" xfId="57904"/>
    <cellStyle name="Normal 73" xfId="51267"/>
    <cellStyle name="Normal 73 2" xfId="51268"/>
    <cellStyle name="Normal 73 3" xfId="51269"/>
    <cellStyle name="Normal 73 4" xfId="51270"/>
    <cellStyle name="Normal 73 5" xfId="57905"/>
    <cellStyle name="Normal 74" xfId="51271"/>
    <cellStyle name="Normal 74 2" xfId="51272"/>
    <cellStyle name="Normal 74 3" xfId="51273"/>
    <cellStyle name="Normal 74 4" xfId="51274"/>
    <cellStyle name="Normal 74 5" xfId="57906"/>
    <cellStyle name="Normal 75" xfId="51275"/>
    <cellStyle name="Normal 75 2" xfId="51276"/>
    <cellStyle name="Normal 75 3" xfId="51277"/>
    <cellStyle name="Normal 75 4" xfId="57907"/>
    <cellStyle name="Normal 76" xfId="51278"/>
    <cellStyle name="Normal 76 2" xfId="51279"/>
    <cellStyle name="Normal 76 3" xfId="51280"/>
    <cellStyle name="Normal 76 4" xfId="57908"/>
    <cellStyle name="Normal 77" xfId="51281"/>
    <cellStyle name="Normal 77 2" xfId="51282"/>
    <cellStyle name="Normal 77 3" xfId="51283"/>
    <cellStyle name="Normal 77 4" xfId="57909"/>
    <cellStyle name="Normal 78" xfId="51284"/>
    <cellStyle name="Normal 78 2" xfId="51285"/>
    <cellStyle name="Normal 78 3" xfId="51286"/>
    <cellStyle name="Normal 78 4" xfId="57910"/>
    <cellStyle name="Normal 79" xfId="51287"/>
    <cellStyle name="Normal 79 2" xfId="51288"/>
    <cellStyle name="Normal 79 3" xfId="51289"/>
    <cellStyle name="Normal 79 4" xfId="57911"/>
    <cellStyle name="Normal 8" xfId="51290"/>
    <cellStyle name="Normal 8 10" xfId="51291"/>
    <cellStyle name="Normal 8 10 2" xfId="51292"/>
    <cellStyle name="Normal 8 10 2 2" xfId="51293"/>
    <cellStyle name="Normal 8 10 2 2 2" xfId="51294"/>
    <cellStyle name="Normal 8 10 2 2 2 2" xfId="51295"/>
    <cellStyle name="Normal 8 10 2 2 3" xfId="51296"/>
    <cellStyle name="Normal 8 10 2 3" xfId="51297"/>
    <cellStyle name="Normal 8 10 2 3 2" xfId="51298"/>
    <cellStyle name="Normal 8 10 2 4" xfId="51299"/>
    <cellStyle name="Normal 8 10 3" xfId="51300"/>
    <cellStyle name="Normal 8 10 3 2" xfId="51301"/>
    <cellStyle name="Normal 8 10 3 2 2" xfId="51302"/>
    <cellStyle name="Normal 8 10 3 3" xfId="51303"/>
    <cellStyle name="Normal 8 10 4" xfId="51304"/>
    <cellStyle name="Normal 8 10 4 2" xfId="51305"/>
    <cellStyle name="Normal 8 10 5" xfId="51306"/>
    <cellStyle name="Normal 8 11" xfId="51307"/>
    <cellStyle name="Normal 8 11 2" xfId="51308"/>
    <cellStyle name="Normal 8 11 2 2" xfId="51309"/>
    <cellStyle name="Normal 8 11 2 2 2" xfId="51310"/>
    <cellStyle name="Normal 8 11 2 3" xfId="51311"/>
    <cellStyle name="Normal 8 11 3" xfId="51312"/>
    <cellStyle name="Normal 8 11 3 2" xfId="51313"/>
    <cellStyle name="Normal 8 11 4" xfId="51314"/>
    <cellStyle name="Normal 8 12" xfId="51315"/>
    <cellStyle name="Normal 8 12 2" xfId="51316"/>
    <cellStyle name="Normal 8 12 2 2" xfId="51317"/>
    <cellStyle name="Normal 8 12 3" xfId="51318"/>
    <cellStyle name="Normal 8 13" xfId="51319"/>
    <cellStyle name="Normal 8 13 2" xfId="51320"/>
    <cellStyle name="Normal 8 13 2 2" xfId="51321"/>
    <cellStyle name="Normal 8 13 2 2 2" xfId="51322"/>
    <cellStyle name="Normal 8 13 2 3" xfId="51323"/>
    <cellStyle name="Normal 8 13 3" xfId="51324"/>
    <cellStyle name="Normal 8 13 3 2" xfId="51325"/>
    <cellStyle name="Normal 8 13 4" xfId="51326"/>
    <cellStyle name="Normal 8 14" xfId="51327"/>
    <cellStyle name="Normal 8 14 2" xfId="51328"/>
    <cellStyle name="Normal 8 15" xfId="51329"/>
    <cellStyle name="Normal 8 16" xfId="51330"/>
    <cellStyle name="Normal 8 17" xfId="51331"/>
    <cellStyle name="Normal 8 18" xfId="51332"/>
    <cellStyle name="Normal 8 19" xfId="51333"/>
    <cellStyle name="Normal 8 2" xfId="51334"/>
    <cellStyle name="Normal 8 2 10" xfId="51335"/>
    <cellStyle name="Normal 8 2 11" xfId="51336"/>
    <cellStyle name="Normal 8 2 12" xfId="51337"/>
    <cellStyle name="Normal 8 2 13" xfId="51338"/>
    <cellStyle name="Normal 8 2 14" xfId="51339"/>
    <cellStyle name="Normal 8 2 15" xfId="51340"/>
    <cellStyle name="Normal 8 2 16" xfId="51341"/>
    <cellStyle name="Normal 8 2 17" xfId="51342"/>
    <cellStyle name="Normal 8 2 18" xfId="51343"/>
    <cellStyle name="Normal 8 2 19" xfId="51344"/>
    <cellStyle name="Normal 8 2 2" xfId="51345"/>
    <cellStyle name="Normal 8 2 2 2" xfId="51346"/>
    <cellStyle name="Normal 8 2 2 2 2" xfId="51347"/>
    <cellStyle name="Normal 8 2 2 3" xfId="51348"/>
    <cellStyle name="Normal 8 2 2 4" xfId="51349"/>
    <cellStyle name="Normal 8 2 20" xfId="51350"/>
    <cellStyle name="Normal 8 2 21" xfId="51351"/>
    <cellStyle name="Normal 8 2 22" xfId="51352"/>
    <cellStyle name="Normal 8 2 23" xfId="51353"/>
    <cellStyle name="Normal 8 2 24" xfId="51354"/>
    <cellStyle name="Normal 8 2 25" xfId="51355"/>
    <cellStyle name="Normal 8 2 26" xfId="51356"/>
    <cellStyle name="Normal 8 2 27" xfId="51357"/>
    <cellStyle name="Normal 8 2 28" xfId="51358"/>
    <cellStyle name="Normal 8 2 29" xfId="51359"/>
    <cellStyle name="Normal 8 2 3" xfId="51360"/>
    <cellStyle name="Normal 8 2 3 2" xfId="51361"/>
    <cellStyle name="Normal 8 2 3 2 2" xfId="51362"/>
    <cellStyle name="Normal 8 2 3 2 2 2" xfId="51363"/>
    <cellStyle name="Normal 8 2 3 2 2 2 2" xfId="51364"/>
    <cellStyle name="Normal 8 2 3 2 2 3" xfId="51365"/>
    <cellStyle name="Normal 8 2 3 2 3" xfId="51366"/>
    <cellStyle name="Normal 8 2 3 2 3 2" xfId="51367"/>
    <cellStyle name="Normal 8 2 3 2 4" xfId="51368"/>
    <cellStyle name="Normal 8 2 3 3" xfId="51369"/>
    <cellStyle name="Normal 8 2 3 3 2" xfId="51370"/>
    <cellStyle name="Normal 8 2 3 3 2 2" xfId="51371"/>
    <cellStyle name="Normal 8 2 3 3 3" xfId="51372"/>
    <cellStyle name="Normal 8 2 3 4" xfId="51373"/>
    <cellStyle name="Normal 8 2 3 4 2" xfId="51374"/>
    <cellStyle name="Normal 8 2 3 5" xfId="51375"/>
    <cellStyle name="Normal 8 2 30" xfId="51376"/>
    <cellStyle name="Normal 8 2 31" xfId="51377"/>
    <cellStyle name="Normal 8 2 32" xfId="51378"/>
    <cellStyle name="Normal 8 2 33" xfId="51379"/>
    <cellStyle name="Normal 8 2 34" xfId="51380"/>
    <cellStyle name="Normal 8 2 35" xfId="51381"/>
    <cellStyle name="Normal 8 2 36" xfId="51382"/>
    <cellStyle name="Normal 8 2 37" xfId="51383"/>
    <cellStyle name="Normal 8 2 38" xfId="51384"/>
    <cellStyle name="Normal 8 2 39" xfId="51385"/>
    <cellStyle name="Normal 8 2 4" xfId="51386"/>
    <cellStyle name="Normal 8 2 4 2" xfId="51387"/>
    <cellStyle name="Normal 8 2 4 2 2" xfId="51388"/>
    <cellStyle name="Normal 8 2 4 2 2 2" xfId="51389"/>
    <cellStyle name="Normal 8 2 4 2 2 2 2" xfId="51390"/>
    <cellStyle name="Normal 8 2 4 2 2 3" xfId="51391"/>
    <cellStyle name="Normal 8 2 4 2 3" xfId="51392"/>
    <cellStyle name="Normal 8 2 4 2 3 2" xfId="51393"/>
    <cellStyle name="Normal 8 2 4 2 4" xfId="51394"/>
    <cellStyle name="Normal 8 2 4 3" xfId="51395"/>
    <cellStyle name="Normal 8 2 4 3 2" xfId="51396"/>
    <cellStyle name="Normal 8 2 4 3 2 2" xfId="51397"/>
    <cellStyle name="Normal 8 2 4 3 3" xfId="51398"/>
    <cellStyle name="Normal 8 2 4 4" xfId="51399"/>
    <cellStyle name="Normal 8 2 4 4 2" xfId="51400"/>
    <cellStyle name="Normal 8 2 4 5" xfId="51401"/>
    <cellStyle name="Normal 8 2 40" xfId="51402"/>
    <cellStyle name="Normal 8 2 41" xfId="51403"/>
    <cellStyle name="Normal 8 2 42" xfId="51404"/>
    <cellStyle name="Normal 8 2 43" xfId="51405"/>
    <cellStyle name="Normal 8 2 44" xfId="51406"/>
    <cellStyle name="Normal 8 2 45" xfId="51407"/>
    <cellStyle name="Normal 8 2 46" xfId="51408"/>
    <cellStyle name="Normal 8 2 47" xfId="51409"/>
    <cellStyle name="Normal 8 2 48" xfId="51410"/>
    <cellStyle name="Normal 8 2 49" xfId="51411"/>
    <cellStyle name="Normal 8 2 5" xfId="51412"/>
    <cellStyle name="Normal 8 2 5 2" xfId="51413"/>
    <cellStyle name="Normal 8 2 5 2 2" xfId="51414"/>
    <cellStyle name="Normal 8 2 5 2 2 2" xfId="51415"/>
    <cellStyle name="Normal 8 2 5 2 3" xfId="51416"/>
    <cellStyle name="Normal 8 2 5 3" xfId="51417"/>
    <cellStyle name="Normal 8 2 5 3 2" xfId="51418"/>
    <cellStyle name="Normal 8 2 5 4" xfId="51419"/>
    <cellStyle name="Normal 8 2 50" xfId="51420"/>
    <cellStyle name="Normal 8 2 51" xfId="51421"/>
    <cellStyle name="Normal 8 2 52" xfId="51422"/>
    <cellStyle name="Normal 8 2 53" xfId="51423"/>
    <cellStyle name="Normal 8 2 54" xfId="51424"/>
    <cellStyle name="Normal 8 2 55" xfId="51425"/>
    <cellStyle name="Normal 8 2 6" xfId="51426"/>
    <cellStyle name="Normal 8 2 6 2" xfId="51427"/>
    <cellStyle name="Normal 8 2 6 2 2" xfId="51428"/>
    <cellStyle name="Normal 8 2 6 2 2 2" xfId="51429"/>
    <cellStyle name="Normal 8 2 6 2 3" xfId="51430"/>
    <cellStyle name="Normal 8 2 6 3" xfId="51431"/>
    <cellStyle name="Normal 8 2 6 3 2" xfId="51432"/>
    <cellStyle name="Normal 8 2 6 4" xfId="51433"/>
    <cellStyle name="Normal 8 2 7" xfId="51434"/>
    <cellStyle name="Normal 8 2 7 2" xfId="51435"/>
    <cellStyle name="Normal 8 2 7 2 2" xfId="51436"/>
    <cellStyle name="Normal 8 2 7 3" xfId="51437"/>
    <cellStyle name="Normal 8 2 8" xfId="51438"/>
    <cellStyle name="Normal 8 2 8 2" xfId="51439"/>
    <cellStyle name="Normal 8 2 8 2 2" xfId="51440"/>
    <cellStyle name="Normal 8 2 8 3" xfId="51441"/>
    <cellStyle name="Normal 8 2 9" xfId="51442"/>
    <cellStyle name="Normal 8 2 9 2" xfId="51443"/>
    <cellStyle name="Normal 8 20" xfId="51444"/>
    <cellStyle name="Normal 8 21" xfId="51445"/>
    <cellStyle name="Normal 8 22" xfId="51446"/>
    <cellStyle name="Normal 8 23" xfId="51447"/>
    <cellStyle name="Normal 8 24" xfId="51448"/>
    <cellStyle name="Normal 8 25" xfId="51449"/>
    <cellStyle name="Normal 8 26" xfId="51450"/>
    <cellStyle name="Normal 8 27" xfId="51451"/>
    <cellStyle name="Normal 8 28" xfId="51452"/>
    <cellStyle name="Normal 8 29" xfId="51453"/>
    <cellStyle name="Normal 8 3" xfId="51454"/>
    <cellStyle name="Normal 8 3 10" xfId="51455"/>
    <cellStyle name="Normal 8 3 11" xfId="51456"/>
    <cellStyle name="Normal 8 3 12" xfId="51457"/>
    <cellStyle name="Normal 8 3 13" xfId="51458"/>
    <cellStyle name="Normal 8 3 14" xfId="51459"/>
    <cellStyle name="Normal 8 3 15" xfId="51460"/>
    <cellStyle name="Normal 8 3 16" xfId="51461"/>
    <cellStyle name="Normal 8 3 17" xfId="51462"/>
    <cellStyle name="Normal 8 3 18" xfId="51463"/>
    <cellStyle name="Normal 8 3 19" xfId="51464"/>
    <cellStyle name="Normal 8 3 2" xfId="51465"/>
    <cellStyle name="Normal 8 3 2 2" xfId="51466"/>
    <cellStyle name="Normal 8 3 2 3" xfId="51467"/>
    <cellStyle name="Normal 8 3 20" xfId="51468"/>
    <cellStyle name="Normal 8 3 21" xfId="51469"/>
    <cellStyle name="Normal 8 3 22" xfId="51470"/>
    <cellStyle name="Normal 8 3 23" xfId="51471"/>
    <cellStyle name="Normal 8 3 24" xfId="51472"/>
    <cellStyle name="Normal 8 3 25" xfId="51473"/>
    <cellStyle name="Normal 8 3 26" xfId="51474"/>
    <cellStyle name="Normal 8 3 27" xfId="51475"/>
    <cellStyle name="Normal 8 3 28" xfId="51476"/>
    <cellStyle name="Normal 8 3 29" xfId="51477"/>
    <cellStyle name="Normal 8 3 3" xfId="51478"/>
    <cellStyle name="Normal 8 3 3 2" xfId="51479"/>
    <cellStyle name="Normal 8 3 3 2 2" xfId="51480"/>
    <cellStyle name="Normal 8 3 3 2 2 2" xfId="51481"/>
    <cellStyle name="Normal 8 3 3 2 2 2 2" xfId="51482"/>
    <cellStyle name="Normal 8 3 3 2 2 3" xfId="51483"/>
    <cellStyle name="Normal 8 3 3 2 3" xfId="51484"/>
    <cellStyle name="Normal 8 3 3 2 3 2" xfId="51485"/>
    <cellStyle name="Normal 8 3 3 2 4" xfId="51486"/>
    <cellStyle name="Normal 8 3 3 3" xfId="51487"/>
    <cellStyle name="Normal 8 3 3 3 2" xfId="51488"/>
    <cellStyle name="Normal 8 3 3 3 2 2" xfId="51489"/>
    <cellStyle name="Normal 8 3 3 3 3" xfId="51490"/>
    <cellStyle name="Normal 8 3 3 4" xfId="51491"/>
    <cellStyle name="Normal 8 3 3 4 2" xfId="51492"/>
    <cellStyle name="Normal 8 3 3 5" xfId="51493"/>
    <cellStyle name="Normal 8 3 30" xfId="51494"/>
    <cellStyle name="Normal 8 3 31" xfId="51495"/>
    <cellStyle name="Normal 8 3 32" xfId="51496"/>
    <cellStyle name="Normal 8 3 33" xfId="51497"/>
    <cellStyle name="Normal 8 3 34" xfId="51498"/>
    <cellStyle name="Normal 8 3 35" xfId="51499"/>
    <cellStyle name="Normal 8 3 36" xfId="51500"/>
    <cellStyle name="Normal 8 3 37" xfId="51501"/>
    <cellStyle name="Normal 8 3 38" xfId="51502"/>
    <cellStyle name="Normal 8 3 39" xfId="51503"/>
    <cellStyle name="Normal 8 3 4" xfId="51504"/>
    <cellStyle name="Normal 8 3 4 2" xfId="51505"/>
    <cellStyle name="Normal 8 3 4 2 2" xfId="51506"/>
    <cellStyle name="Normal 8 3 4 2 2 2" xfId="51507"/>
    <cellStyle name="Normal 8 3 4 2 2 2 2" xfId="51508"/>
    <cellStyle name="Normal 8 3 4 2 2 3" xfId="51509"/>
    <cellStyle name="Normal 8 3 4 2 3" xfId="51510"/>
    <cellStyle name="Normal 8 3 4 2 3 2" xfId="51511"/>
    <cellStyle name="Normal 8 3 4 2 4" xfId="51512"/>
    <cellStyle name="Normal 8 3 4 3" xfId="51513"/>
    <cellStyle name="Normal 8 3 4 3 2" xfId="51514"/>
    <cellStyle name="Normal 8 3 4 3 2 2" xfId="51515"/>
    <cellStyle name="Normal 8 3 4 3 3" xfId="51516"/>
    <cellStyle name="Normal 8 3 4 4" xfId="51517"/>
    <cellStyle name="Normal 8 3 4 4 2" xfId="51518"/>
    <cellStyle name="Normal 8 3 4 5" xfId="51519"/>
    <cellStyle name="Normal 8 3 40" xfId="51520"/>
    <cellStyle name="Normal 8 3 41" xfId="51521"/>
    <cellStyle name="Normal 8 3 42" xfId="51522"/>
    <cellStyle name="Normal 8 3 43" xfId="51523"/>
    <cellStyle name="Normal 8 3 44" xfId="51524"/>
    <cellStyle name="Normal 8 3 45" xfId="51525"/>
    <cellStyle name="Normal 8 3 46" xfId="51526"/>
    <cellStyle name="Normal 8 3 47" xfId="51527"/>
    <cellStyle name="Normal 8 3 48" xfId="51528"/>
    <cellStyle name="Normal 8 3 49" xfId="51529"/>
    <cellStyle name="Normal 8 3 5" xfId="51530"/>
    <cellStyle name="Normal 8 3 5 2" xfId="51531"/>
    <cellStyle name="Normal 8 3 5 2 2" xfId="51532"/>
    <cellStyle name="Normal 8 3 5 2 2 2" xfId="51533"/>
    <cellStyle name="Normal 8 3 5 2 3" xfId="51534"/>
    <cellStyle name="Normal 8 3 5 3" xfId="51535"/>
    <cellStyle name="Normal 8 3 5 3 2" xfId="51536"/>
    <cellStyle name="Normal 8 3 5 4" xfId="51537"/>
    <cellStyle name="Normal 8 3 50" xfId="51538"/>
    <cellStyle name="Normal 8 3 51" xfId="51539"/>
    <cellStyle name="Normal 8 3 52" xfId="51540"/>
    <cellStyle name="Normal 8 3 53" xfId="51541"/>
    <cellStyle name="Normal 8 3 54" xfId="51542"/>
    <cellStyle name="Normal 8 3 55" xfId="51543"/>
    <cellStyle name="Normal 8 3 56" xfId="51544"/>
    <cellStyle name="Normal 8 3 57" xfId="57912"/>
    <cellStyle name="Normal 8 3 6" xfId="51545"/>
    <cellStyle name="Normal 8 3 6 2" xfId="51546"/>
    <cellStyle name="Normal 8 3 6 2 2" xfId="51547"/>
    <cellStyle name="Normal 8 3 6 2 2 2" xfId="51548"/>
    <cellStyle name="Normal 8 3 6 2 3" xfId="51549"/>
    <cellStyle name="Normal 8 3 6 3" xfId="51550"/>
    <cellStyle name="Normal 8 3 6 3 2" xfId="51551"/>
    <cellStyle name="Normal 8 3 6 4" xfId="51552"/>
    <cellStyle name="Normal 8 3 7" xfId="51553"/>
    <cellStyle name="Normal 8 3 7 2" xfId="51554"/>
    <cellStyle name="Normal 8 3 7 2 2" xfId="51555"/>
    <cellStyle name="Normal 8 3 7 3" xfId="51556"/>
    <cellStyle name="Normal 8 3 8" xfId="51557"/>
    <cellStyle name="Normal 8 3 8 2" xfId="51558"/>
    <cellStyle name="Normal 8 3 8 2 2" xfId="51559"/>
    <cellStyle name="Normal 8 3 8 3" xfId="51560"/>
    <cellStyle name="Normal 8 3 9" xfId="51561"/>
    <cellStyle name="Normal 8 3 9 2" xfId="51562"/>
    <cellStyle name="Normal 8 30" xfId="51563"/>
    <cellStyle name="Normal 8 31" xfId="51564"/>
    <cellStyle name="Normal 8 32" xfId="51565"/>
    <cellStyle name="Normal 8 33" xfId="51566"/>
    <cellStyle name="Normal 8 34" xfId="51567"/>
    <cellStyle name="Normal 8 35" xfId="51568"/>
    <cellStyle name="Normal 8 36" xfId="51569"/>
    <cellStyle name="Normal 8 37" xfId="51570"/>
    <cellStyle name="Normal 8 38" xfId="51571"/>
    <cellStyle name="Normal 8 39" xfId="51572"/>
    <cellStyle name="Normal 8 4" xfId="51573"/>
    <cellStyle name="Normal 8 4 2" xfId="51574"/>
    <cellStyle name="Normal 8 4 2 2" xfId="51575"/>
    <cellStyle name="Normal 8 4 2 2 2" xfId="51576"/>
    <cellStyle name="Normal 8 4 2 2 2 2" xfId="51577"/>
    <cellStyle name="Normal 8 4 2 2 2 2 2" xfId="51578"/>
    <cellStyle name="Normal 8 4 2 2 2 3" xfId="51579"/>
    <cellStyle name="Normal 8 4 2 2 3" xfId="51580"/>
    <cellStyle name="Normal 8 4 2 2 3 2" xfId="51581"/>
    <cellStyle name="Normal 8 4 2 2 4" xfId="51582"/>
    <cellStyle name="Normal 8 4 2 3" xfId="51583"/>
    <cellStyle name="Normal 8 4 2 3 2" xfId="51584"/>
    <cellStyle name="Normal 8 4 2 3 2 2" xfId="51585"/>
    <cellStyle name="Normal 8 4 2 3 3" xfId="51586"/>
    <cellStyle name="Normal 8 4 2 4" xfId="51587"/>
    <cellStyle name="Normal 8 4 2 4 2" xfId="51588"/>
    <cellStyle name="Normal 8 4 2 5" xfId="51589"/>
    <cellStyle name="Normal 8 4 3" xfId="51590"/>
    <cellStyle name="Normal 8 4 3 2" xfId="51591"/>
    <cellStyle name="Normal 8 4 3 2 2" xfId="51592"/>
    <cellStyle name="Normal 8 4 3 2 2 2" xfId="51593"/>
    <cellStyle name="Normal 8 4 3 2 2 2 2" xfId="51594"/>
    <cellStyle name="Normal 8 4 3 2 2 3" xfId="51595"/>
    <cellStyle name="Normal 8 4 3 2 3" xfId="51596"/>
    <cellStyle name="Normal 8 4 3 2 3 2" xfId="51597"/>
    <cellStyle name="Normal 8 4 3 2 4" xfId="51598"/>
    <cellStyle name="Normal 8 4 3 3" xfId="51599"/>
    <cellStyle name="Normal 8 4 3 3 2" xfId="51600"/>
    <cellStyle name="Normal 8 4 3 3 2 2" xfId="51601"/>
    <cellStyle name="Normal 8 4 3 3 3" xfId="51602"/>
    <cellStyle name="Normal 8 4 3 4" xfId="51603"/>
    <cellStyle name="Normal 8 4 3 4 2" xfId="51604"/>
    <cellStyle name="Normal 8 4 3 5" xfId="51605"/>
    <cellStyle name="Normal 8 4 4" xfId="51606"/>
    <cellStyle name="Normal 8 4 4 2" xfId="51607"/>
    <cellStyle name="Normal 8 4 4 2 2" xfId="51608"/>
    <cellStyle name="Normal 8 4 4 2 2 2" xfId="51609"/>
    <cellStyle name="Normal 8 4 4 2 3" xfId="51610"/>
    <cellStyle name="Normal 8 4 4 3" xfId="51611"/>
    <cellStyle name="Normal 8 4 4 3 2" xfId="51612"/>
    <cellStyle name="Normal 8 4 4 4" xfId="51613"/>
    <cellStyle name="Normal 8 4 5" xfId="51614"/>
    <cellStyle name="Normal 8 4 5 2" xfId="51615"/>
    <cellStyle name="Normal 8 4 5 2 2" xfId="51616"/>
    <cellStyle name="Normal 8 4 5 2 2 2" xfId="51617"/>
    <cellStyle name="Normal 8 4 5 2 2 2 2" xfId="51618"/>
    <cellStyle name="Normal 8 4 5 2 2 3" xfId="51619"/>
    <cellStyle name="Normal 8 4 5 2 3" xfId="51620"/>
    <cellStyle name="Normal 8 4 5 3" xfId="51621"/>
    <cellStyle name="Normal 8 4 5 3 2" xfId="51622"/>
    <cellStyle name="Normal 8 4 5 4" xfId="51623"/>
    <cellStyle name="Normal 8 4 6" xfId="51624"/>
    <cellStyle name="Normal 8 4 6 2" xfId="51625"/>
    <cellStyle name="Normal 8 4 6 2 2" xfId="51626"/>
    <cellStyle name="Normal 8 4 6 3" xfId="51627"/>
    <cellStyle name="Normal 8 4 7" xfId="51628"/>
    <cellStyle name="Normal 8 4 7 2" xfId="51629"/>
    <cellStyle name="Normal 8 4 7 2 2" xfId="51630"/>
    <cellStyle name="Normal 8 4 7 3" xfId="51631"/>
    <cellStyle name="Normal 8 4 8" xfId="51632"/>
    <cellStyle name="Normal 8 4 8 2" xfId="51633"/>
    <cellStyle name="Normal 8 4 9" xfId="51634"/>
    <cellStyle name="Normal 8 40" xfId="51635"/>
    <cellStyle name="Normal 8 41" xfId="51636"/>
    <cellStyle name="Normal 8 42" xfId="51637"/>
    <cellStyle name="Normal 8 43" xfId="51638"/>
    <cellStyle name="Normal 8 44" xfId="51639"/>
    <cellStyle name="Normal 8 45" xfId="51640"/>
    <cellStyle name="Normal 8 46" xfId="51641"/>
    <cellStyle name="Normal 8 47" xfId="51642"/>
    <cellStyle name="Normal 8 48" xfId="51643"/>
    <cellStyle name="Normal 8 49" xfId="51644"/>
    <cellStyle name="Normal 8 5" xfId="51645"/>
    <cellStyle name="Normal 8 5 2" xfId="51646"/>
    <cellStyle name="Normal 8 5 2 2" xfId="51647"/>
    <cellStyle name="Normal 8 5 2 2 2" xfId="51648"/>
    <cellStyle name="Normal 8 5 2 2 2 2" xfId="51649"/>
    <cellStyle name="Normal 8 5 2 2 2 2 2" xfId="51650"/>
    <cellStyle name="Normal 8 5 2 2 2 3" xfId="51651"/>
    <cellStyle name="Normal 8 5 2 2 3" xfId="51652"/>
    <cellStyle name="Normal 8 5 2 2 3 2" xfId="51653"/>
    <cellStyle name="Normal 8 5 2 2 4" xfId="51654"/>
    <cellStyle name="Normal 8 5 2 3" xfId="51655"/>
    <cellStyle name="Normal 8 5 2 3 2" xfId="51656"/>
    <cellStyle name="Normal 8 5 2 3 2 2" xfId="51657"/>
    <cellStyle name="Normal 8 5 2 3 3" xfId="51658"/>
    <cellStyle name="Normal 8 5 2 4" xfId="51659"/>
    <cellStyle name="Normal 8 5 2 4 2" xfId="51660"/>
    <cellStyle name="Normal 8 5 2 5" xfId="51661"/>
    <cellStyle name="Normal 8 5 3" xfId="51662"/>
    <cellStyle name="Normal 8 5 3 2" xfId="51663"/>
    <cellStyle name="Normal 8 5 3 2 2" xfId="51664"/>
    <cellStyle name="Normal 8 5 3 2 2 2" xfId="51665"/>
    <cellStyle name="Normal 8 5 3 2 2 2 2" xfId="51666"/>
    <cellStyle name="Normal 8 5 3 2 2 3" xfId="51667"/>
    <cellStyle name="Normal 8 5 3 2 3" xfId="51668"/>
    <cellStyle name="Normal 8 5 3 2 3 2" xfId="51669"/>
    <cellStyle name="Normal 8 5 3 2 4" xfId="51670"/>
    <cellStyle name="Normal 8 5 3 3" xfId="51671"/>
    <cellStyle name="Normal 8 5 3 3 2" xfId="51672"/>
    <cellStyle name="Normal 8 5 3 3 2 2" xfId="51673"/>
    <cellStyle name="Normal 8 5 3 3 3" xfId="51674"/>
    <cellStyle name="Normal 8 5 3 4" xfId="51675"/>
    <cellStyle name="Normal 8 5 3 4 2" xfId="51676"/>
    <cellStyle name="Normal 8 5 3 5" xfId="51677"/>
    <cellStyle name="Normal 8 5 4" xfId="51678"/>
    <cellStyle name="Normal 8 5 4 2" xfId="51679"/>
    <cellStyle name="Normal 8 5 4 2 2" xfId="51680"/>
    <cellStyle name="Normal 8 5 4 2 2 2" xfId="51681"/>
    <cellStyle name="Normal 8 5 4 2 3" xfId="51682"/>
    <cellStyle name="Normal 8 5 4 2 3 2" xfId="51683"/>
    <cellStyle name="Normal 8 5 4 2 4" xfId="51684"/>
    <cellStyle name="Normal 8 5 4 2 4 2" xfId="51685"/>
    <cellStyle name="Normal 8 5 4 2 5" xfId="51686"/>
    <cellStyle name="Normal 8 5 4 3" xfId="51687"/>
    <cellStyle name="Normal 8 5 4 3 2" xfId="51688"/>
    <cellStyle name="Normal 8 5 4 4" xfId="51689"/>
    <cellStyle name="Normal 8 5 5" xfId="51690"/>
    <cellStyle name="Normal 8 5 5 2" xfId="51691"/>
    <cellStyle name="Normal 8 5 5 2 2" xfId="51692"/>
    <cellStyle name="Normal 8 5 5 2 2 2" xfId="51693"/>
    <cellStyle name="Normal 8 5 5 2 3" xfId="51694"/>
    <cellStyle name="Normal 8 5 5 2 3 2" xfId="51695"/>
    <cellStyle name="Normal 8 5 5 2 4" xfId="51696"/>
    <cellStyle name="Normal 8 5 5 2 4 2" xfId="51697"/>
    <cellStyle name="Normal 8 5 5 2 5" xfId="51698"/>
    <cellStyle name="Normal 8 5 5 3" xfId="51699"/>
    <cellStyle name="Normal 8 5 5 3 2" xfId="51700"/>
    <cellStyle name="Normal 8 5 5 4" xfId="51701"/>
    <cellStyle name="Normal 8 5 6" xfId="51702"/>
    <cellStyle name="Normal 8 5 6 2" xfId="51703"/>
    <cellStyle name="Normal 8 5 6 2 2" xfId="51704"/>
    <cellStyle name="Normal 8 5 6 3" xfId="51705"/>
    <cellStyle name="Normal 8 5 7" xfId="51706"/>
    <cellStyle name="Normal 8 5 7 2" xfId="51707"/>
    <cellStyle name="Normal 8 5 7 2 2" xfId="51708"/>
    <cellStyle name="Normal 8 5 7 3" xfId="51709"/>
    <cellStyle name="Normal 8 5 8" xfId="51710"/>
    <cellStyle name="Normal 8 5 8 2" xfId="51711"/>
    <cellStyle name="Normal 8 5 9" xfId="51712"/>
    <cellStyle name="Normal 8 50" xfId="51713"/>
    <cellStyle name="Normal 8 51" xfId="51714"/>
    <cellStyle name="Normal 8 52" xfId="51715"/>
    <cellStyle name="Normal 8 53" xfId="51716"/>
    <cellStyle name="Normal 8 54" xfId="51717"/>
    <cellStyle name="Normal 8 55" xfId="51718"/>
    <cellStyle name="Normal 8 56" xfId="51719"/>
    <cellStyle name="Normal 8 57" xfId="51720"/>
    <cellStyle name="Normal 8 58" xfId="51721"/>
    <cellStyle name="Normal 8 59" xfId="51722"/>
    <cellStyle name="Normal 8 6" xfId="51723"/>
    <cellStyle name="Normal 8 6 2" xfId="51724"/>
    <cellStyle name="Normal 8 60" xfId="51725"/>
    <cellStyle name="Normal 8 61" xfId="51726"/>
    <cellStyle name="Normal 8 62" xfId="51727"/>
    <cellStyle name="Normal 8 63" xfId="51728"/>
    <cellStyle name="Normal 8 64" xfId="51729"/>
    <cellStyle name="Normal 8 65" xfId="51730"/>
    <cellStyle name="Normal 8 66" xfId="51731"/>
    <cellStyle name="Normal 8 67" xfId="51732"/>
    <cellStyle name="Normal 8 7" xfId="51733"/>
    <cellStyle name="Normal 8 7 2" xfId="51734"/>
    <cellStyle name="Normal 8 7 2 2" xfId="51735"/>
    <cellStyle name="Normal 8 7 2 2 2" xfId="51736"/>
    <cellStyle name="Normal 8 7 2 2 2 2" xfId="51737"/>
    <cellStyle name="Normal 8 7 2 2 3" xfId="51738"/>
    <cellStyle name="Normal 8 7 2 3" xfId="51739"/>
    <cellStyle name="Normal 8 7 2 3 2" xfId="51740"/>
    <cellStyle name="Normal 8 7 2 4" xfId="51741"/>
    <cellStyle name="Normal 8 7 3" xfId="51742"/>
    <cellStyle name="Normal 8 7 3 2" xfId="51743"/>
    <cellStyle name="Normal 8 7 3 2 2" xfId="51744"/>
    <cellStyle name="Normal 8 7 3 3" xfId="51745"/>
    <cellStyle name="Normal 8 7 4" xfId="51746"/>
    <cellStyle name="Normal 8 7 4 2" xfId="51747"/>
    <cellStyle name="Normal 8 7 5" xfId="51748"/>
    <cellStyle name="Normal 8 8" xfId="51749"/>
    <cellStyle name="Normal 8 8 2" xfId="51750"/>
    <cellStyle name="Normal 8 8 2 2" xfId="51751"/>
    <cellStyle name="Normal 8 8 2 2 2" xfId="51752"/>
    <cellStyle name="Normal 8 8 2 2 2 2" xfId="51753"/>
    <cellStyle name="Normal 8 8 2 2 2 2 2" xfId="51754"/>
    <cellStyle name="Normal 8 8 2 2 2 3" xfId="51755"/>
    <cellStyle name="Normal 8 8 2 2 3" xfId="51756"/>
    <cellStyle name="Normal 8 8 2 3" xfId="51757"/>
    <cellStyle name="Normal 8 8 2 3 2" xfId="51758"/>
    <cellStyle name="Normal 8 8 2 4" xfId="51759"/>
    <cellStyle name="Normal 8 8 3" xfId="51760"/>
    <cellStyle name="Normal 8 8 3 2" xfId="51761"/>
    <cellStyle name="Normal 8 8 3 2 2" xfId="51762"/>
    <cellStyle name="Normal 8 8 3 3" xfId="51763"/>
    <cellStyle name="Normal 8 8 4" xfId="51764"/>
    <cellStyle name="Normal 8 8 4 2" xfId="51765"/>
    <cellStyle name="Normal 8 8 5" xfId="51766"/>
    <cellStyle name="Normal 8 9" xfId="51767"/>
    <cellStyle name="Normal 8 9 2" xfId="51768"/>
    <cellStyle name="Normal 8 9 2 2" xfId="51769"/>
    <cellStyle name="Normal 8 9 2 2 2" xfId="51770"/>
    <cellStyle name="Normal 8 9 2 2 2 2" xfId="51771"/>
    <cellStyle name="Normal 8 9 2 2 3" xfId="51772"/>
    <cellStyle name="Normal 8 9 2 3" xfId="51773"/>
    <cellStyle name="Normal 8 9 2 3 2" xfId="51774"/>
    <cellStyle name="Normal 8 9 2 4" xfId="51775"/>
    <cellStyle name="Normal 8 9 3" xfId="51776"/>
    <cellStyle name="Normal 8 9 3 2" xfId="51777"/>
    <cellStyle name="Normal 8 9 3 2 2" xfId="51778"/>
    <cellStyle name="Normal 8 9 3 3" xfId="51779"/>
    <cellStyle name="Normal 8 9 4" xfId="51780"/>
    <cellStyle name="Normal 8 9 4 2" xfId="51781"/>
    <cellStyle name="Normal 8 9 5" xfId="51782"/>
    <cellStyle name="Normal 8_Advance Other Feb 2012" xfId="51783"/>
    <cellStyle name="Normal 80" xfId="51784"/>
    <cellStyle name="Normal 80 2" xfId="51785"/>
    <cellStyle name="Normal 80 3" xfId="51786"/>
    <cellStyle name="Normal 80 4" xfId="57913"/>
    <cellStyle name="Normal 81" xfId="51787"/>
    <cellStyle name="Normal 81 2" xfId="51788"/>
    <cellStyle name="Normal 81 3" xfId="51789"/>
    <cellStyle name="Normal 81 4" xfId="51790"/>
    <cellStyle name="Normal 81 5" xfId="57914"/>
    <cellStyle name="Normal 82" xfId="51791"/>
    <cellStyle name="Normal 82 2" xfId="51792"/>
    <cellStyle name="Normal 82 3" xfId="51793"/>
    <cellStyle name="Normal 82 4" xfId="57915"/>
    <cellStyle name="Normal 83" xfId="51794"/>
    <cellStyle name="Normal 83 2" xfId="51795"/>
    <cellStyle name="Normal 83 3" xfId="51796"/>
    <cellStyle name="Normal 83 4" xfId="51797"/>
    <cellStyle name="Normal 83 5" xfId="57916"/>
    <cellStyle name="Normal 84" xfId="51798"/>
    <cellStyle name="Normal 84 2" xfId="51799"/>
    <cellStyle name="Normal 84 2 2" xfId="57918"/>
    <cellStyle name="Normal 84 3" xfId="51800"/>
    <cellStyle name="Normal 84 3 2" xfId="57919"/>
    <cellStyle name="Normal 84 4" xfId="57917"/>
    <cellStyle name="Normal 85" xfId="51801"/>
    <cellStyle name="Normal 85 2" xfId="51802"/>
    <cellStyle name="Normal 85 3" xfId="51803"/>
    <cellStyle name="Normal 85 4" xfId="57920"/>
    <cellStyle name="Normal 86" xfId="51804"/>
    <cellStyle name="Normal 86 2" xfId="51805"/>
    <cellStyle name="Normal 86 2 2" xfId="51806"/>
    <cellStyle name="Normal 86 2 2 2" xfId="51807"/>
    <cellStyle name="Normal 86 2 2 2 2" xfId="51808"/>
    <cellStyle name="Normal 86 2 2 3" xfId="51809"/>
    <cellStyle name="Normal 86 2 3" xfId="51810"/>
    <cellStyle name="Normal 86 2 3 2" xfId="51811"/>
    <cellStyle name="Normal 86 2 4" xfId="51812"/>
    <cellStyle name="Normal 86 3" xfId="51813"/>
    <cellStyle name="Normal 86 3 2" xfId="51814"/>
    <cellStyle name="Normal 86 3 2 2" xfId="51815"/>
    <cellStyle name="Normal 86 4" xfId="51816"/>
    <cellStyle name="Normal 86 4 2" xfId="51817"/>
    <cellStyle name="Normal 86 5" xfId="51818"/>
    <cellStyle name="Normal 86 6" xfId="51819"/>
    <cellStyle name="Normal 86 7" xfId="57921"/>
    <cellStyle name="Normal 87" xfId="51820"/>
    <cellStyle name="Normal 87 2" xfId="51821"/>
    <cellStyle name="Normal 87 2 2" xfId="51822"/>
    <cellStyle name="Normal 87 2 2 2" xfId="51823"/>
    <cellStyle name="Normal 87 2 2 2 2" xfId="51824"/>
    <cellStyle name="Normal 87 2 2 3" xfId="51825"/>
    <cellStyle name="Normal 87 2 3" xfId="51826"/>
    <cellStyle name="Normal 87 2 3 2" xfId="51827"/>
    <cellStyle name="Normal 87 2 4" xfId="51828"/>
    <cellStyle name="Normal 87 3" xfId="51829"/>
    <cellStyle name="Normal 87 3 2" xfId="51830"/>
    <cellStyle name="Normal 87 3 2 2" xfId="51831"/>
    <cellStyle name="Normal 87 4" xfId="51832"/>
    <cellStyle name="Normal 87 4 2" xfId="51833"/>
    <cellStyle name="Normal 87 5" xfId="51834"/>
    <cellStyle name="Normal 87 6" xfId="57922"/>
    <cellStyle name="Normal 88" xfId="51835"/>
    <cellStyle name="Normal 88 2" xfId="51836"/>
    <cellStyle name="Normal 88 2 2" xfId="51837"/>
    <cellStyle name="Normal 88 2 2 2" xfId="51838"/>
    <cellStyle name="Normal 88 2 2 2 2" xfId="51839"/>
    <cellStyle name="Normal 88 2 2 3" xfId="51840"/>
    <cellStyle name="Normal 88 2 3" xfId="51841"/>
    <cellStyle name="Normal 88 2 3 2" xfId="51842"/>
    <cellStyle name="Normal 88 2 4" xfId="51843"/>
    <cellStyle name="Normal 88 3" xfId="51844"/>
    <cellStyle name="Normal 88 3 2" xfId="51845"/>
    <cellStyle name="Normal 88 3 2 2" xfId="51846"/>
    <cellStyle name="Normal 88 4" xfId="51847"/>
    <cellStyle name="Normal 88 4 2" xfId="51848"/>
    <cellStyle name="Normal 88 5" xfId="51849"/>
    <cellStyle name="Normal 88 6" xfId="51850"/>
    <cellStyle name="Normal 88 7" xfId="57923"/>
    <cellStyle name="Normal 89" xfId="51851"/>
    <cellStyle name="Normal 89 2" xfId="51852"/>
    <cellStyle name="Normal 89 3" xfId="51853"/>
    <cellStyle name="Normal 89 4" xfId="57924"/>
    <cellStyle name="Normal 9" xfId="51854"/>
    <cellStyle name="Normal 9 10" xfId="51855"/>
    <cellStyle name="Normal 9 11" xfId="51856"/>
    <cellStyle name="Normal 9 12" xfId="51857"/>
    <cellStyle name="Normal 9 13" xfId="51858"/>
    <cellStyle name="Normal 9 14" xfId="51859"/>
    <cellStyle name="Normal 9 15" xfId="51860"/>
    <cellStyle name="Normal 9 16" xfId="51861"/>
    <cellStyle name="Normal 9 17" xfId="51862"/>
    <cellStyle name="Normal 9 18" xfId="51863"/>
    <cellStyle name="Normal 9 19" xfId="51864"/>
    <cellStyle name="Normal 9 2" xfId="51865"/>
    <cellStyle name="Normal 9 2 2" xfId="51866"/>
    <cellStyle name="Normal 9 2 2 2" xfId="51867"/>
    <cellStyle name="Normal 9 2 2 2 2" xfId="51868"/>
    <cellStyle name="Normal 9 2 2 2 2 2" xfId="51869"/>
    <cellStyle name="Normal 9 2 2 2 3" xfId="51870"/>
    <cellStyle name="Normal 9 2 2 3" xfId="51871"/>
    <cellStyle name="Normal 9 2 2 3 2" xfId="51872"/>
    <cellStyle name="Normal 9 2 2 4" xfId="51873"/>
    <cellStyle name="Normal 9 2 3" xfId="51874"/>
    <cellStyle name="Normal 9 2 3 2" xfId="51875"/>
    <cellStyle name="Normal 9 2 3 2 2" xfId="51876"/>
    <cellStyle name="Normal 9 2 3 3" xfId="51877"/>
    <cellStyle name="Normal 9 2 4" xfId="51878"/>
    <cellStyle name="Normal 9 2 4 2" xfId="51879"/>
    <cellStyle name="Normal 9 2 5" xfId="51880"/>
    <cellStyle name="Normal 9 2_ADVANCE 1189000004 REIMBURSHMENT NOP 11" xfId="51881"/>
    <cellStyle name="Normal 9 20" xfId="51882"/>
    <cellStyle name="Normal 9 21" xfId="51883"/>
    <cellStyle name="Normal 9 22" xfId="51884"/>
    <cellStyle name="Normal 9 23" xfId="51885"/>
    <cellStyle name="Normal 9 24" xfId="51886"/>
    <cellStyle name="Normal 9 25" xfId="51887"/>
    <cellStyle name="Normal 9 26" xfId="51888"/>
    <cellStyle name="Normal 9 27" xfId="51889"/>
    <cellStyle name="Normal 9 28" xfId="51890"/>
    <cellStyle name="Normal 9 29" xfId="51891"/>
    <cellStyle name="Normal 9 3" xfId="51892"/>
    <cellStyle name="Normal 9 3 2" xfId="51893"/>
    <cellStyle name="Normal 9 3 2 2" xfId="51894"/>
    <cellStyle name="Normal 9 3 2 2 2" xfId="51895"/>
    <cellStyle name="Normal 9 3 2 2 2 2" xfId="51896"/>
    <cellStyle name="Normal 9 3 2 2 3" xfId="51897"/>
    <cellStyle name="Normal 9 3 2 3" xfId="51898"/>
    <cellStyle name="Normal 9 3 2 3 2" xfId="51899"/>
    <cellStyle name="Normal 9 3 2 4" xfId="51900"/>
    <cellStyle name="Normal 9 3 3" xfId="51901"/>
    <cellStyle name="Normal 9 3 3 2" xfId="51902"/>
    <cellStyle name="Normal 9 3 3 2 2" xfId="51903"/>
    <cellStyle name="Normal 9 3 3 3" xfId="51904"/>
    <cellStyle name="Normal 9 3 4" xfId="51905"/>
    <cellStyle name="Normal 9 3 4 2" xfId="51906"/>
    <cellStyle name="Normal 9 3 5" xfId="51907"/>
    <cellStyle name="Normal 9 30" xfId="51908"/>
    <cellStyle name="Normal 9 31" xfId="51909"/>
    <cellStyle name="Normal 9 32" xfId="51910"/>
    <cellStyle name="Normal 9 33" xfId="51911"/>
    <cellStyle name="Normal 9 34" xfId="51912"/>
    <cellStyle name="Normal 9 35" xfId="51913"/>
    <cellStyle name="Normal 9 36" xfId="51914"/>
    <cellStyle name="Normal 9 37" xfId="51915"/>
    <cellStyle name="Normal 9 38" xfId="51916"/>
    <cellStyle name="Normal 9 39" xfId="51917"/>
    <cellStyle name="Normal 9 4" xfId="51918"/>
    <cellStyle name="Normal 9 4 2" xfId="51919"/>
    <cellStyle name="Normal 9 4 2 2" xfId="51920"/>
    <cellStyle name="Normal 9 4 2 2 2" xfId="51921"/>
    <cellStyle name="Normal 9 4 2 3" xfId="51922"/>
    <cellStyle name="Normal 9 4 3" xfId="51923"/>
    <cellStyle name="Normal 9 4 3 2" xfId="51924"/>
    <cellStyle name="Normal 9 4 4" xfId="51925"/>
    <cellStyle name="Normal 9 40" xfId="51926"/>
    <cellStyle name="Normal 9 41" xfId="51927"/>
    <cellStyle name="Normal 9 42" xfId="51928"/>
    <cellStyle name="Normal 9 43" xfId="51929"/>
    <cellStyle name="Normal 9 44" xfId="51930"/>
    <cellStyle name="Normal 9 45" xfId="51931"/>
    <cellStyle name="Normal 9 46" xfId="51932"/>
    <cellStyle name="Normal 9 47" xfId="51933"/>
    <cellStyle name="Normal 9 48" xfId="51934"/>
    <cellStyle name="Normal 9 49" xfId="51935"/>
    <cellStyle name="Normal 9 5" xfId="51936"/>
    <cellStyle name="Normal 9 5 2" xfId="51937"/>
    <cellStyle name="Normal 9 5 2 2" xfId="51938"/>
    <cellStyle name="Normal 9 5 2 2 2" xfId="51939"/>
    <cellStyle name="Normal 9 5 2 2 2 2" xfId="51940"/>
    <cellStyle name="Normal 9 5 2 2 3" xfId="51941"/>
    <cellStyle name="Normal 9 5 2 3" xfId="51942"/>
    <cellStyle name="Normal 9 5 2 3 2" xfId="51943"/>
    <cellStyle name="Normal 9 5 2 4" xfId="51944"/>
    <cellStyle name="Normal 9 5 3" xfId="51945"/>
    <cellStyle name="Normal 9 5 3 2" xfId="51946"/>
    <cellStyle name="Normal 9 5 3 2 2" xfId="51947"/>
    <cellStyle name="Normal 9 5 3 3" xfId="51948"/>
    <cellStyle name="Normal 9 5 4" xfId="51949"/>
    <cellStyle name="Normal 9 5 4 2" xfId="51950"/>
    <cellStyle name="Normal 9 5 5" xfId="51951"/>
    <cellStyle name="Normal 9 50" xfId="51952"/>
    <cellStyle name="Normal 9 51" xfId="51953"/>
    <cellStyle name="Normal 9 52" xfId="51954"/>
    <cellStyle name="Normal 9 53" xfId="51955"/>
    <cellStyle name="Normal 9 54" xfId="51956"/>
    <cellStyle name="Normal 9 55" xfId="51957"/>
    <cellStyle name="Normal 9 56" xfId="51958"/>
    <cellStyle name="Normal 9 57" xfId="51959"/>
    <cellStyle name="Normal 9 58" xfId="51960"/>
    <cellStyle name="Normal 9 59" xfId="51961"/>
    <cellStyle name="Normal 9 6" xfId="51962"/>
    <cellStyle name="Normal 9 6 2" xfId="51963"/>
    <cellStyle name="Normal 9 6 2 2" xfId="51964"/>
    <cellStyle name="Normal 9 6 3" xfId="51965"/>
    <cellStyle name="Normal 9 60" xfId="51966"/>
    <cellStyle name="Normal 9 61" xfId="51967"/>
    <cellStyle name="Normal 9 62" xfId="51968"/>
    <cellStyle name="Normal 9 63" xfId="51969"/>
    <cellStyle name="Normal 9 64" xfId="51970"/>
    <cellStyle name="Normal 9 65" xfId="51971"/>
    <cellStyle name="Normal 9 66" xfId="51972"/>
    <cellStyle name="Normal 9 67" xfId="51973"/>
    <cellStyle name="Normal 9 68" xfId="51974"/>
    <cellStyle name="Normal 9 69" xfId="51975"/>
    <cellStyle name="Normal 9 7" xfId="51976"/>
    <cellStyle name="Normal 9 7 2" xfId="51977"/>
    <cellStyle name="Normal 9 7 2 2" xfId="51978"/>
    <cellStyle name="Normal 9 7 3" xfId="51979"/>
    <cellStyle name="Normal 9 70" xfId="51980"/>
    <cellStyle name="Normal 9 71" xfId="51981"/>
    <cellStyle name="Normal 9 72" xfId="51982"/>
    <cellStyle name="Normal 9 73" xfId="51983"/>
    <cellStyle name="Normal 9 74" xfId="51984"/>
    <cellStyle name="Normal 9 75" xfId="51985"/>
    <cellStyle name="Normal 9 76" xfId="51986"/>
    <cellStyle name="Normal 9 77" xfId="51987"/>
    <cellStyle name="Normal 9 78" xfId="51988"/>
    <cellStyle name="Normal 9 79" xfId="51989"/>
    <cellStyle name="Normal 9 8" xfId="51990"/>
    <cellStyle name="Normal 9 8 2" xfId="51991"/>
    <cellStyle name="Normal 9 80" xfId="51992"/>
    <cellStyle name="Normal 9 81" xfId="51993"/>
    <cellStyle name="Normal 9 82" xfId="51994"/>
    <cellStyle name="Normal 9 83" xfId="51995"/>
    <cellStyle name="Normal 9 84" xfId="51996"/>
    <cellStyle name="Normal 9 85" xfId="51997"/>
    <cellStyle name="Normal 9 9" xfId="51998"/>
    <cellStyle name="Normal 9_ADVANCE 1189000004 REIMBURSHMENT NOP 11" xfId="51999"/>
    <cellStyle name="Normal 90" xfId="52000"/>
    <cellStyle name="Normal 90 2" xfId="52001"/>
    <cellStyle name="Normal 90 2 2" xfId="52002"/>
    <cellStyle name="Normal 90 2 2 2" xfId="52003"/>
    <cellStyle name="Normal 90 2 2 2 2" xfId="52004"/>
    <cellStyle name="Normal 90 2 2 3" xfId="52005"/>
    <cellStyle name="Normal 90 2 3" xfId="52006"/>
    <cellStyle name="Normal 90 2 3 2" xfId="52007"/>
    <cellStyle name="Normal 90 2 4" xfId="52008"/>
    <cellStyle name="Normal 90 3" xfId="52009"/>
    <cellStyle name="Normal 90 3 2" xfId="52010"/>
    <cellStyle name="Normal 90 3 2 2" xfId="52011"/>
    <cellStyle name="Normal 90 4" xfId="52012"/>
    <cellStyle name="Normal 90 4 2" xfId="52013"/>
    <cellStyle name="Normal 90 5" xfId="52014"/>
    <cellStyle name="Normal 90 6" xfId="57925"/>
    <cellStyle name="Normal 91" xfId="52015"/>
    <cellStyle name="Normal 91 2" xfId="52016"/>
    <cellStyle name="Normal 91 2 2" xfId="52017"/>
    <cellStyle name="Normal 91 2 2 2" xfId="52018"/>
    <cellStyle name="Normal 91 2 2 2 2" xfId="52019"/>
    <cellStyle name="Normal 91 2 2 3" xfId="52020"/>
    <cellStyle name="Normal 91 2 3" xfId="52021"/>
    <cellStyle name="Normal 91 2 3 2" xfId="52022"/>
    <cellStyle name="Normal 91 2 4" xfId="52023"/>
    <cellStyle name="Normal 91 3" xfId="52024"/>
    <cellStyle name="Normal 91 3 2" xfId="52025"/>
    <cellStyle name="Normal 91 3 2 2" xfId="52026"/>
    <cellStyle name="Normal 91 4" xfId="52027"/>
    <cellStyle name="Normal 91 4 2" xfId="52028"/>
    <cellStyle name="Normal 91 5" xfId="52029"/>
    <cellStyle name="Normal 91 6" xfId="57926"/>
    <cellStyle name="Normal 92" xfId="52030"/>
    <cellStyle name="Normal 92 2" xfId="52031"/>
    <cellStyle name="Normal 92 2 2" xfId="52032"/>
    <cellStyle name="Normal 92 2 2 2" xfId="52033"/>
    <cellStyle name="Normal 92 2 2 2 2" xfId="52034"/>
    <cellStyle name="Normal 92 2 2 3" xfId="52035"/>
    <cellStyle name="Normal 92 2 3" xfId="52036"/>
    <cellStyle name="Normal 92 2 3 2" xfId="52037"/>
    <cellStyle name="Normal 92 2 4" xfId="52038"/>
    <cellStyle name="Normal 92 3" xfId="52039"/>
    <cellStyle name="Normal 92 3 2" xfId="52040"/>
    <cellStyle name="Normal 92 3 2 2" xfId="52041"/>
    <cellStyle name="Normal 92 4" xfId="52042"/>
    <cellStyle name="Normal 92 4 2" xfId="52043"/>
    <cellStyle name="Normal 92 5" xfId="52044"/>
    <cellStyle name="Normal 92 6" xfId="57927"/>
    <cellStyle name="Normal 93" xfId="52045"/>
    <cellStyle name="Normal 93 2" xfId="52046"/>
    <cellStyle name="Normal 93 2 2" xfId="52047"/>
    <cellStyle name="Normal 93 2 2 2" xfId="52048"/>
    <cellStyle name="Normal 93 2 2 2 2" xfId="52049"/>
    <cellStyle name="Normal 93 2 2 3" xfId="52050"/>
    <cellStyle name="Normal 93 2 3" xfId="52051"/>
    <cellStyle name="Normal 93 2 3 2" xfId="52052"/>
    <cellStyle name="Normal 93 2 4" xfId="52053"/>
    <cellStyle name="Normal 93 3" xfId="52054"/>
    <cellStyle name="Normal 93 3 2" xfId="52055"/>
    <cellStyle name="Normal 93 3 2 2" xfId="52056"/>
    <cellStyle name="Normal 93 4" xfId="52057"/>
    <cellStyle name="Normal 93 4 2" xfId="52058"/>
    <cellStyle name="Normal 93 5" xfId="52059"/>
    <cellStyle name="Normal 93 6" xfId="57928"/>
    <cellStyle name="Normal 94" xfId="52060"/>
    <cellStyle name="Normal 94 2" xfId="52061"/>
    <cellStyle name="Normal 94 2 2" xfId="52062"/>
    <cellStyle name="Normal 94 2 2 2" xfId="52063"/>
    <cellStyle name="Normal 94 2 2 2 2" xfId="52064"/>
    <cellStyle name="Normal 94 2 2 3" xfId="52065"/>
    <cellStyle name="Normal 94 2 3" xfId="52066"/>
    <cellStyle name="Normal 94 2 3 2" xfId="52067"/>
    <cellStyle name="Normal 94 2 4" xfId="52068"/>
    <cellStyle name="Normal 94 3" xfId="52069"/>
    <cellStyle name="Normal 94 3 2" xfId="52070"/>
    <cellStyle name="Normal 94 3 2 2" xfId="52071"/>
    <cellStyle name="Normal 94 4" xfId="52072"/>
    <cellStyle name="Normal 94 4 2" xfId="52073"/>
    <cellStyle name="Normal 94 5" xfId="52074"/>
    <cellStyle name="Normal 94 6" xfId="57929"/>
    <cellStyle name="Normal 95" xfId="52075"/>
    <cellStyle name="Normal 95 2" xfId="52076"/>
    <cellStyle name="Normal 95 2 2" xfId="52077"/>
    <cellStyle name="Normal 95 2 2 2" xfId="52078"/>
    <cellStyle name="Normal 95 2 2 2 2" xfId="52079"/>
    <cellStyle name="Normal 95 2 2 3" xfId="52080"/>
    <cellStyle name="Normal 95 2 3" xfId="52081"/>
    <cellStyle name="Normal 95 2 3 2" xfId="52082"/>
    <cellStyle name="Normal 95 2 4" xfId="52083"/>
    <cellStyle name="Normal 95 3" xfId="52084"/>
    <cellStyle name="Normal 95 3 2" xfId="52085"/>
    <cellStyle name="Normal 95 3 2 2" xfId="52086"/>
    <cellStyle name="Normal 95 4" xfId="52087"/>
    <cellStyle name="Normal 95 4 2" xfId="52088"/>
    <cellStyle name="Normal 95 5" xfId="52089"/>
    <cellStyle name="Normal 96" xfId="52090"/>
    <cellStyle name="Normal 96 2" xfId="52091"/>
    <cellStyle name="Normal 96 2 2" xfId="52092"/>
    <cellStyle name="Normal 96 2 2 2" xfId="52093"/>
    <cellStyle name="Normal 96 2 2 2 2" xfId="52094"/>
    <cellStyle name="Normal 96 2 2 3" xfId="52095"/>
    <cellStyle name="Normal 96 2 3" xfId="52096"/>
    <cellStyle name="Normal 96 2 3 2" xfId="52097"/>
    <cellStyle name="Normal 96 2 4" xfId="52098"/>
    <cellStyle name="Normal 96 3" xfId="52099"/>
    <cellStyle name="Normal 96 3 2" xfId="52100"/>
    <cellStyle name="Normal 96 3 2 2" xfId="52101"/>
    <cellStyle name="Normal 96 4" xfId="52102"/>
    <cellStyle name="Normal 96 4 2" xfId="52103"/>
    <cellStyle name="Normal 96 5" xfId="52104"/>
    <cellStyle name="Normal 97" xfId="52105"/>
    <cellStyle name="Normal 97 2" xfId="52106"/>
    <cellStyle name="Normal 97 2 2" xfId="52107"/>
    <cellStyle name="Normal 97 2 2 2" xfId="52108"/>
    <cellStyle name="Normal 97 2 2 2 2" xfId="52109"/>
    <cellStyle name="Normal 97 2 2 3" xfId="52110"/>
    <cellStyle name="Normal 97 2 3" xfId="52111"/>
    <cellStyle name="Normal 97 2 3 2" xfId="52112"/>
    <cellStyle name="Normal 97 2 4" xfId="52113"/>
    <cellStyle name="Normal 97 3" xfId="52114"/>
    <cellStyle name="Normal 97 3 2" xfId="52115"/>
    <cellStyle name="Normal 97 3 2 2" xfId="52116"/>
    <cellStyle name="Normal 97 4" xfId="52117"/>
    <cellStyle name="Normal 97 4 2" xfId="52118"/>
    <cellStyle name="Normal 97 5" xfId="52119"/>
    <cellStyle name="Normal 98" xfId="52120"/>
    <cellStyle name="Normal 98 2" xfId="52121"/>
    <cellStyle name="Normal 98 2 2" xfId="52122"/>
    <cellStyle name="Normal 98 2 2 2" xfId="52123"/>
    <cellStyle name="Normal 98 2 2 2 2" xfId="52124"/>
    <cellStyle name="Normal 98 2 2 3" xfId="52125"/>
    <cellStyle name="Normal 98 2 3" xfId="52126"/>
    <cellStyle name="Normal 98 2 3 2" xfId="52127"/>
    <cellStyle name="Normal 98 2 4" xfId="52128"/>
    <cellStyle name="Normal 98 3" xfId="52129"/>
    <cellStyle name="Normal 98 3 2" xfId="52130"/>
    <cellStyle name="Normal 98 3 2 2" xfId="52131"/>
    <cellStyle name="Normal 98 4" xfId="52132"/>
    <cellStyle name="Normal 98 4 2" xfId="52133"/>
    <cellStyle name="Normal 98 5" xfId="52134"/>
    <cellStyle name="Normal 99" xfId="52135"/>
    <cellStyle name="Normal 99 2" xfId="52136"/>
    <cellStyle name="Normal 99 2 2" xfId="52137"/>
    <cellStyle name="Normal 99 2 2 2" xfId="52138"/>
    <cellStyle name="Normal 99 2 2 2 2" xfId="52139"/>
    <cellStyle name="Normal 99 2 2 3" xfId="52140"/>
    <cellStyle name="Normal 99 2 3" xfId="52141"/>
    <cellStyle name="Normal 99 2 3 2" xfId="52142"/>
    <cellStyle name="Normal 99 2 4" xfId="52143"/>
    <cellStyle name="Normal 99 3" xfId="52144"/>
    <cellStyle name="Normal 99 3 2" xfId="52145"/>
    <cellStyle name="Normal 99 3 2 2" xfId="52146"/>
    <cellStyle name="Normal 99 4" xfId="52147"/>
    <cellStyle name="Normal 99 4 2" xfId="52148"/>
    <cellStyle name="Normal 99 5" xfId="52149"/>
    <cellStyle name="NormalCurrency" xfId="52150"/>
    <cellStyle name="NormalCurrency 2" xfId="52151"/>
    <cellStyle name="NormalCurrency 2 2" xfId="52152"/>
    <cellStyle name="NormalCurrency 2 3" xfId="52153"/>
    <cellStyle name="NormalCurrency 3" xfId="52154"/>
    <cellStyle name="NormalCurrency 3 2" xfId="52155"/>
    <cellStyle name="NormalCurrency 4" xfId="52156"/>
    <cellStyle name="NormalCurrency 4 2" xfId="52157"/>
    <cellStyle name="NormalCurrency 5" xfId="52158"/>
    <cellStyle name="NormalCurrency 5 2" xfId="52159"/>
    <cellStyle name="NormalCurrency 6" xfId="52160"/>
    <cellStyle name="NormalCurrency 6 2" xfId="52161"/>
    <cellStyle name="Normalku" xfId="52162"/>
    <cellStyle name="normální_laroux" xfId="52163"/>
    <cellStyle name="Note 10" xfId="52164"/>
    <cellStyle name="Note 10 10" xfId="52165"/>
    <cellStyle name="Note 10 11" xfId="52166"/>
    <cellStyle name="Note 10 12" xfId="52167"/>
    <cellStyle name="Note 10 13" xfId="52168"/>
    <cellStyle name="Note 10 14" xfId="52169"/>
    <cellStyle name="Note 10 15" xfId="52170"/>
    <cellStyle name="Note 10 16" xfId="57930"/>
    <cellStyle name="Note 10 2" xfId="52171"/>
    <cellStyle name="Note 10 2 10" xfId="52172"/>
    <cellStyle name="Note 10 2 11" xfId="52173"/>
    <cellStyle name="Note 10 2 12" xfId="52174"/>
    <cellStyle name="Note 10 2 13" xfId="52175"/>
    <cellStyle name="Note 10 2 14" xfId="52176"/>
    <cellStyle name="Note 10 2 15" xfId="52177"/>
    <cellStyle name="Note 10 2 16" xfId="52178"/>
    <cellStyle name="Note 10 2 17" xfId="52179"/>
    <cellStyle name="Note 10 2 18" xfId="52180"/>
    <cellStyle name="Note 10 2 19" xfId="52181"/>
    <cellStyle name="Note 10 2 2" xfId="52182"/>
    <cellStyle name="Note 10 2 2 2" xfId="52183"/>
    <cellStyle name="Note 10 2 20" xfId="52184"/>
    <cellStyle name="Note 10 2 21" xfId="52185"/>
    <cellStyle name="Note 10 2 22" xfId="52186"/>
    <cellStyle name="Note 10 2 23" xfId="52187"/>
    <cellStyle name="Note 10 2 24" xfId="52188"/>
    <cellStyle name="Note 10 2 25" xfId="52189"/>
    <cellStyle name="Note 10 2 26" xfId="52190"/>
    <cellStyle name="Note 10 2 27" xfId="52191"/>
    <cellStyle name="Note 10 2 28" xfId="52192"/>
    <cellStyle name="Note 10 2 29" xfId="52193"/>
    <cellStyle name="Note 10 2 3" xfId="52194"/>
    <cellStyle name="Note 10 2 30" xfId="52195"/>
    <cellStyle name="Note 10 2 31" xfId="52196"/>
    <cellStyle name="Note 10 2 32" xfId="52197"/>
    <cellStyle name="Note 10 2 33" xfId="52198"/>
    <cellStyle name="Note 10 2 34" xfId="52199"/>
    <cellStyle name="Note 10 2 35" xfId="52200"/>
    <cellStyle name="Note 10 2 36" xfId="52201"/>
    <cellStyle name="Note 10 2 37" xfId="52202"/>
    <cellStyle name="Note 10 2 38" xfId="52203"/>
    <cellStyle name="Note 10 2 39" xfId="52204"/>
    <cellStyle name="Note 10 2 4" xfId="52205"/>
    <cellStyle name="Note 10 2 40" xfId="52206"/>
    <cellStyle name="Note 10 2 41" xfId="52207"/>
    <cellStyle name="Note 10 2 42" xfId="52208"/>
    <cellStyle name="Note 10 2 43" xfId="52209"/>
    <cellStyle name="Note 10 2 44" xfId="52210"/>
    <cellStyle name="Note 10 2 45" xfId="52211"/>
    <cellStyle name="Note 10 2 46" xfId="52212"/>
    <cellStyle name="Note 10 2 47" xfId="52213"/>
    <cellStyle name="Note 10 2 48" xfId="52214"/>
    <cellStyle name="Note 10 2 49" xfId="52215"/>
    <cellStyle name="Note 10 2 5" xfId="52216"/>
    <cellStyle name="Note 10 2 50" xfId="52217"/>
    <cellStyle name="Note 10 2 51" xfId="52218"/>
    <cellStyle name="Note 10 2 52" xfId="52219"/>
    <cellStyle name="Note 10 2 53" xfId="52220"/>
    <cellStyle name="Note 10 2 54" xfId="52221"/>
    <cellStyle name="Note 10 2 55" xfId="52222"/>
    <cellStyle name="Note 10 2 6" xfId="52223"/>
    <cellStyle name="Note 10 2 7" xfId="52224"/>
    <cellStyle name="Note 10 2 8" xfId="52225"/>
    <cellStyle name="Note 10 2 9" xfId="52226"/>
    <cellStyle name="Note 10 3" xfId="52227"/>
    <cellStyle name="Note 10 3 10" xfId="52228"/>
    <cellStyle name="Note 10 3 11" xfId="52229"/>
    <cellStyle name="Note 10 3 12" xfId="52230"/>
    <cellStyle name="Note 10 3 13" xfId="52231"/>
    <cellStyle name="Note 10 3 14" xfId="52232"/>
    <cellStyle name="Note 10 3 15" xfId="52233"/>
    <cellStyle name="Note 10 3 16" xfId="52234"/>
    <cellStyle name="Note 10 3 17" xfId="52235"/>
    <cellStyle name="Note 10 3 18" xfId="52236"/>
    <cellStyle name="Note 10 3 19" xfId="52237"/>
    <cellStyle name="Note 10 3 2" xfId="52238"/>
    <cellStyle name="Note 10 3 2 2" xfId="52239"/>
    <cellStyle name="Note 10 3 20" xfId="52240"/>
    <cellStyle name="Note 10 3 21" xfId="52241"/>
    <cellStyle name="Note 10 3 22" xfId="52242"/>
    <cellStyle name="Note 10 3 23" xfId="52243"/>
    <cellStyle name="Note 10 3 24" xfId="52244"/>
    <cellStyle name="Note 10 3 25" xfId="52245"/>
    <cellStyle name="Note 10 3 26" xfId="52246"/>
    <cellStyle name="Note 10 3 27" xfId="52247"/>
    <cellStyle name="Note 10 3 28" xfId="52248"/>
    <cellStyle name="Note 10 3 29" xfId="52249"/>
    <cellStyle name="Note 10 3 3" xfId="52250"/>
    <cellStyle name="Note 10 3 30" xfId="52251"/>
    <cellStyle name="Note 10 3 31" xfId="52252"/>
    <cellStyle name="Note 10 3 32" xfId="52253"/>
    <cellStyle name="Note 10 3 33" xfId="52254"/>
    <cellStyle name="Note 10 3 34" xfId="52255"/>
    <cellStyle name="Note 10 3 35" xfId="52256"/>
    <cellStyle name="Note 10 3 36" xfId="52257"/>
    <cellStyle name="Note 10 3 37" xfId="52258"/>
    <cellStyle name="Note 10 3 38" xfId="52259"/>
    <cellStyle name="Note 10 3 39" xfId="52260"/>
    <cellStyle name="Note 10 3 4" xfId="52261"/>
    <cellStyle name="Note 10 3 40" xfId="52262"/>
    <cellStyle name="Note 10 3 41" xfId="52263"/>
    <cellStyle name="Note 10 3 42" xfId="52264"/>
    <cellStyle name="Note 10 3 43" xfId="52265"/>
    <cellStyle name="Note 10 3 44" xfId="52266"/>
    <cellStyle name="Note 10 3 45" xfId="52267"/>
    <cellStyle name="Note 10 3 46" xfId="52268"/>
    <cellStyle name="Note 10 3 47" xfId="52269"/>
    <cellStyle name="Note 10 3 48" xfId="52270"/>
    <cellStyle name="Note 10 3 49" xfId="52271"/>
    <cellStyle name="Note 10 3 5" xfId="52272"/>
    <cellStyle name="Note 10 3 50" xfId="52273"/>
    <cellStyle name="Note 10 3 51" xfId="52274"/>
    <cellStyle name="Note 10 3 52" xfId="52275"/>
    <cellStyle name="Note 10 3 53" xfId="52276"/>
    <cellStyle name="Note 10 3 54" xfId="52277"/>
    <cellStyle name="Note 10 3 55" xfId="52278"/>
    <cellStyle name="Note 10 3 6" xfId="52279"/>
    <cellStyle name="Note 10 3 7" xfId="52280"/>
    <cellStyle name="Note 10 3 8" xfId="52281"/>
    <cellStyle name="Note 10 3 9" xfId="52282"/>
    <cellStyle name="Note 10 4" xfId="52283"/>
    <cellStyle name="Note 10 5" xfId="52284"/>
    <cellStyle name="Note 10 6" xfId="52285"/>
    <cellStyle name="Note 10 7" xfId="52286"/>
    <cellStyle name="Note 10 8" xfId="52287"/>
    <cellStyle name="Note 10 9" xfId="52288"/>
    <cellStyle name="Note 100" xfId="52289"/>
    <cellStyle name="Note 101" xfId="58479"/>
    <cellStyle name="Note 11" xfId="52290"/>
    <cellStyle name="Note 11 10" xfId="52291"/>
    <cellStyle name="Note 11 11" xfId="52292"/>
    <cellStyle name="Note 11 12" xfId="52293"/>
    <cellStyle name="Note 11 13" xfId="52294"/>
    <cellStyle name="Note 11 14" xfId="52295"/>
    <cellStyle name="Note 11 15" xfId="52296"/>
    <cellStyle name="Note 11 16" xfId="57931"/>
    <cellStyle name="Note 11 2" xfId="52297"/>
    <cellStyle name="Note 11 2 10" xfId="52298"/>
    <cellStyle name="Note 11 2 11" xfId="52299"/>
    <cellStyle name="Note 11 2 12" xfId="52300"/>
    <cellStyle name="Note 11 2 13" xfId="52301"/>
    <cellStyle name="Note 11 2 14" xfId="52302"/>
    <cellStyle name="Note 11 2 15" xfId="52303"/>
    <cellStyle name="Note 11 2 16" xfId="52304"/>
    <cellStyle name="Note 11 2 17" xfId="52305"/>
    <cellStyle name="Note 11 2 18" xfId="52306"/>
    <cellStyle name="Note 11 2 19" xfId="52307"/>
    <cellStyle name="Note 11 2 2" xfId="52308"/>
    <cellStyle name="Note 11 2 2 2" xfId="52309"/>
    <cellStyle name="Note 11 2 20" xfId="52310"/>
    <cellStyle name="Note 11 2 21" xfId="52311"/>
    <cellStyle name="Note 11 2 22" xfId="52312"/>
    <cellStyle name="Note 11 2 23" xfId="52313"/>
    <cellStyle name="Note 11 2 24" xfId="52314"/>
    <cellStyle name="Note 11 2 25" xfId="52315"/>
    <cellStyle name="Note 11 2 26" xfId="52316"/>
    <cellStyle name="Note 11 2 27" xfId="52317"/>
    <cellStyle name="Note 11 2 28" xfId="52318"/>
    <cellStyle name="Note 11 2 29" xfId="52319"/>
    <cellStyle name="Note 11 2 3" xfId="52320"/>
    <cellStyle name="Note 11 2 30" xfId="52321"/>
    <cellStyle name="Note 11 2 31" xfId="52322"/>
    <cellStyle name="Note 11 2 32" xfId="52323"/>
    <cellStyle name="Note 11 2 33" xfId="52324"/>
    <cellStyle name="Note 11 2 34" xfId="52325"/>
    <cellStyle name="Note 11 2 35" xfId="52326"/>
    <cellStyle name="Note 11 2 36" xfId="52327"/>
    <cellStyle name="Note 11 2 37" xfId="52328"/>
    <cellStyle name="Note 11 2 38" xfId="52329"/>
    <cellStyle name="Note 11 2 39" xfId="52330"/>
    <cellStyle name="Note 11 2 4" xfId="52331"/>
    <cellStyle name="Note 11 2 40" xfId="52332"/>
    <cellStyle name="Note 11 2 41" xfId="52333"/>
    <cellStyle name="Note 11 2 42" xfId="52334"/>
    <cellStyle name="Note 11 2 43" xfId="52335"/>
    <cellStyle name="Note 11 2 44" xfId="52336"/>
    <cellStyle name="Note 11 2 45" xfId="52337"/>
    <cellStyle name="Note 11 2 46" xfId="52338"/>
    <cellStyle name="Note 11 2 47" xfId="52339"/>
    <cellStyle name="Note 11 2 48" xfId="52340"/>
    <cellStyle name="Note 11 2 49" xfId="52341"/>
    <cellStyle name="Note 11 2 5" xfId="52342"/>
    <cellStyle name="Note 11 2 50" xfId="52343"/>
    <cellStyle name="Note 11 2 51" xfId="52344"/>
    <cellStyle name="Note 11 2 52" xfId="52345"/>
    <cellStyle name="Note 11 2 53" xfId="52346"/>
    <cellStyle name="Note 11 2 54" xfId="52347"/>
    <cellStyle name="Note 11 2 55" xfId="52348"/>
    <cellStyle name="Note 11 2 6" xfId="52349"/>
    <cellStyle name="Note 11 2 7" xfId="52350"/>
    <cellStyle name="Note 11 2 8" xfId="52351"/>
    <cellStyle name="Note 11 2 9" xfId="52352"/>
    <cellStyle name="Note 11 3" xfId="52353"/>
    <cellStyle name="Note 11 3 10" xfId="52354"/>
    <cellStyle name="Note 11 3 11" xfId="52355"/>
    <cellStyle name="Note 11 3 12" xfId="52356"/>
    <cellStyle name="Note 11 3 13" xfId="52357"/>
    <cellStyle name="Note 11 3 14" xfId="52358"/>
    <cellStyle name="Note 11 3 15" xfId="52359"/>
    <cellStyle name="Note 11 3 16" xfId="52360"/>
    <cellStyle name="Note 11 3 17" xfId="52361"/>
    <cellStyle name="Note 11 3 18" xfId="52362"/>
    <cellStyle name="Note 11 3 19" xfId="52363"/>
    <cellStyle name="Note 11 3 2" xfId="52364"/>
    <cellStyle name="Note 11 3 2 2" xfId="52365"/>
    <cellStyle name="Note 11 3 20" xfId="52366"/>
    <cellStyle name="Note 11 3 21" xfId="52367"/>
    <cellStyle name="Note 11 3 22" xfId="52368"/>
    <cellStyle name="Note 11 3 23" xfId="52369"/>
    <cellStyle name="Note 11 3 24" xfId="52370"/>
    <cellStyle name="Note 11 3 25" xfId="52371"/>
    <cellStyle name="Note 11 3 26" xfId="52372"/>
    <cellStyle name="Note 11 3 27" xfId="52373"/>
    <cellStyle name="Note 11 3 28" xfId="52374"/>
    <cellStyle name="Note 11 3 29" xfId="52375"/>
    <cellStyle name="Note 11 3 3" xfId="52376"/>
    <cellStyle name="Note 11 3 30" xfId="52377"/>
    <cellStyle name="Note 11 3 31" xfId="52378"/>
    <cellStyle name="Note 11 3 32" xfId="52379"/>
    <cellStyle name="Note 11 3 33" xfId="52380"/>
    <cellStyle name="Note 11 3 34" xfId="52381"/>
    <cellStyle name="Note 11 3 35" xfId="52382"/>
    <cellStyle name="Note 11 3 36" xfId="52383"/>
    <cellStyle name="Note 11 3 37" xfId="52384"/>
    <cellStyle name="Note 11 3 38" xfId="52385"/>
    <cellStyle name="Note 11 3 39" xfId="52386"/>
    <cellStyle name="Note 11 3 4" xfId="52387"/>
    <cellStyle name="Note 11 3 40" xfId="52388"/>
    <cellStyle name="Note 11 3 41" xfId="52389"/>
    <cellStyle name="Note 11 3 42" xfId="52390"/>
    <cellStyle name="Note 11 3 43" xfId="52391"/>
    <cellStyle name="Note 11 3 44" xfId="52392"/>
    <cellStyle name="Note 11 3 45" xfId="52393"/>
    <cellStyle name="Note 11 3 46" xfId="52394"/>
    <cellStyle name="Note 11 3 47" xfId="52395"/>
    <cellStyle name="Note 11 3 48" xfId="52396"/>
    <cellStyle name="Note 11 3 49" xfId="52397"/>
    <cellStyle name="Note 11 3 5" xfId="52398"/>
    <cellStyle name="Note 11 3 50" xfId="52399"/>
    <cellStyle name="Note 11 3 51" xfId="52400"/>
    <cellStyle name="Note 11 3 52" xfId="52401"/>
    <cellStyle name="Note 11 3 53" xfId="52402"/>
    <cellStyle name="Note 11 3 54" xfId="52403"/>
    <cellStyle name="Note 11 3 55" xfId="52404"/>
    <cellStyle name="Note 11 3 6" xfId="52405"/>
    <cellStyle name="Note 11 3 7" xfId="52406"/>
    <cellStyle name="Note 11 3 8" xfId="52407"/>
    <cellStyle name="Note 11 3 9" xfId="52408"/>
    <cellStyle name="Note 11 4" xfId="52409"/>
    <cellStyle name="Note 11 5" xfId="52410"/>
    <cellStyle name="Note 11 6" xfId="52411"/>
    <cellStyle name="Note 11 7" xfId="52412"/>
    <cellStyle name="Note 11 8" xfId="52413"/>
    <cellStyle name="Note 11 9" xfId="52414"/>
    <cellStyle name="Note 12" xfId="52415"/>
    <cellStyle name="Note 12 10" xfId="52416"/>
    <cellStyle name="Note 12 11" xfId="52417"/>
    <cellStyle name="Note 12 12" xfId="52418"/>
    <cellStyle name="Note 12 13" xfId="52419"/>
    <cellStyle name="Note 12 14" xfId="52420"/>
    <cellStyle name="Note 12 15" xfId="52421"/>
    <cellStyle name="Note 12 16" xfId="57932"/>
    <cellStyle name="Note 12 2" xfId="52422"/>
    <cellStyle name="Note 12 2 10" xfId="52423"/>
    <cellStyle name="Note 12 2 11" xfId="52424"/>
    <cellStyle name="Note 12 2 12" xfId="52425"/>
    <cellStyle name="Note 12 2 13" xfId="52426"/>
    <cellStyle name="Note 12 2 14" xfId="52427"/>
    <cellStyle name="Note 12 2 15" xfId="52428"/>
    <cellStyle name="Note 12 2 16" xfId="52429"/>
    <cellStyle name="Note 12 2 17" xfId="52430"/>
    <cellStyle name="Note 12 2 18" xfId="52431"/>
    <cellStyle name="Note 12 2 19" xfId="52432"/>
    <cellStyle name="Note 12 2 2" xfId="52433"/>
    <cellStyle name="Note 12 2 2 2" xfId="52434"/>
    <cellStyle name="Note 12 2 20" xfId="52435"/>
    <cellStyle name="Note 12 2 21" xfId="52436"/>
    <cellStyle name="Note 12 2 22" xfId="52437"/>
    <cellStyle name="Note 12 2 23" xfId="52438"/>
    <cellStyle name="Note 12 2 24" xfId="52439"/>
    <cellStyle name="Note 12 2 25" xfId="52440"/>
    <cellStyle name="Note 12 2 26" xfId="52441"/>
    <cellStyle name="Note 12 2 27" xfId="52442"/>
    <cellStyle name="Note 12 2 28" xfId="52443"/>
    <cellStyle name="Note 12 2 29" xfId="52444"/>
    <cellStyle name="Note 12 2 3" xfId="52445"/>
    <cellStyle name="Note 12 2 30" xfId="52446"/>
    <cellStyle name="Note 12 2 31" xfId="52447"/>
    <cellStyle name="Note 12 2 32" xfId="52448"/>
    <cellStyle name="Note 12 2 33" xfId="52449"/>
    <cellStyle name="Note 12 2 34" xfId="52450"/>
    <cellStyle name="Note 12 2 35" xfId="52451"/>
    <cellStyle name="Note 12 2 36" xfId="52452"/>
    <cellStyle name="Note 12 2 37" xfId="52453"/>
    <cellStyle name="Note 12 2 38" xfId="52454"/>
    <cellStyle name="Note 12 2 39" xfId="52455"/>
    <cellStyle name="Note 12 2 4" xfId="52456"/>
    <cellStyle name="Note 12 2 40" xfId="52457"/>
    <cellStyle name="Note 12 2 41" xfId="52458"/>
    <cellStyle name="Note 12 2 42" xfId="52459"/>
    <cellStyle name="Note 12 2 43" xfId="52460"/>
    <cellStyle name="Note 12 2 44" xfId="52461"/>
    <cellStyle name="Note 12 2 45" xfId="52462"/>
    <cellStyle name="Note 12 2 46" xfId="52463"/>
    <cellStyle name="Note 12 2 47" xfId="52464"/>
    <cellStyle name="Note 12 2 48" xfId="52465"/>
    <cellStyle name="Note 12 2 49" xfId="52466"/>
    <cellStyle name="Note 12 2 5" xfId="52467"/>
    <cellStyle name="Note 12 2 50" xfId="52468"/>
    <cellStyle name="Note 12 2 51" xfId="52469"/>
    <cellStyle name="Note 12 2 52" xfId="52470"/>
    <cellStyle name="Note 12 2 53" xfId="52471"/>
    <cellStyle name="Note 12 2 54" xfId="52472"/>
    <cellStyle name="Note 12 2 55" xfId="52473"/>
    <cellStyle name="Note 12 2 6" xfId="52474"/>
    <cellStyle name="Note 12 2 7" xfId="52475"/>
    <cellStyle name="Note 12 2 8" xfId="52476"/>
    <cellStyle name="Note 12 2 9" xfId="52477"/>
    <cellStyle name="Note 12 3" xfId="52478"/>
    <cellStyle name="Note 12 3 10" xfId="52479"/>
    <cellStyle name="Note 12 3 11" xfId="52480"/>
    <cellStyle name="Note 12 3 12" xfId="52481"/>
    <cellStyle name="Note 12 3 13" xfId="52482"/>
    <cellStyle name="Note 12 3 14" xfId="52483"/>
    <cellStyle name="Note 12 3 15" xfId="52484"/>
    <cellStyle name="Note 12 3 16" xfId="52485"/>
    <cellStyle name="Note 12 3 17" xfId="52486"/>
    <cellStyle name="Note 12 3 18" xfId="52487"/>
    <cellStyle name="Note 12 3 19" xfId="52488"/>
    <cellStyle name="Note 12 3 2" xfId="52489"/>
    <cellStyle name="Note 12 3 2 2" xfId="52490"/>
    <cellStyle name="Note 12 3 20" xfId="52491"/>
    <cellStyle name="Note 12 3 21" xfId="52492"/>
    <cellStyle name="Note 12 3 22" xfId="52493"/>
    <cellStyle name="Note 12 3 23" xfId="52494"/>
    <cellStyle name="Note 12 3 24" xfId="52495"/>
    <cellStyle name="Note 12 3 25" xfId="52496"/>
    <cellStyle name="Note 12 3 26" xfId="52497"/>
    <cellStyle name="Note 12 3 27" xfId="52498"/>
    <cellStyle name="Note 12 3 28" xfId="52499"/>
    <cellStyle name="Note 12 3 29" xfId="52500"/>
    <cellStyle name="Note 12 3 3" xfId="52501"/>
    <cellStyle name="Note 12 3 30" xfId="52502"/>
    <cellStyle name="Note 12 3 31" xfId="52503"/>
    <cellStyle name="Note 12 3 32" xfId="52504"/>
    <cellStyle name="Note 12 3 33" xfId="52505"/>
    <cellStyle name="Note 12 3 34" xfId="52506"/>
    <cellStyle name="Note 12 3 35" xfId="52507"/>
    <cellStyle name="Note 12 3 36" xfId="52508"/>
    <cellStyle name="Note 12 3 37" xfId="52509"/>
    <cellStyle name="Note 12 3 38" xfId="52510"/>
    <cellStyle name="Note 12 3 39" xfId="52511"/>
    <cellStyle name="Note 12 3 4" xfId="52512"/>
    <cellStyle name="Note 12 3 40" xfId="52513"/>
    <cellStyle name="Note 12 3 41" xfId="52514"/>
    <cellStyle name="Note 12 3 42" xfId="52515"/>
    <cellStyle name="Note 12 3 43" xfId="52516"/>
    <cellStyle name="Note 12 3 44" xfId="52517"/>
    <cellStyle name="Note 12 3 45" xfId="52518"/>
    <cellStyle name="Note 12 3 46" xfId="52519"/>
    <cellStyle name="Note 12 3 47" xfId="52520"/>
    <cellStyle name="Note 12 3 48" xfId="52521"/>
    <cellStyle name="Note 12 3 49" xfId="52522"/>
    <cellStyle name="Note 12 3 5" xfId="52523"/>
    <cellStyle name="Note 12 3 50" xfId="52524"/>
    <cellStyle name="Note 12 3 51" xfId="52525"/>
    <cellStyle name="Note 12 3 52" xfId="52526"/>
    <cellStyle name="Note 12 3 53" xfId="52527"/>
    <cellStyle name="Note 12 3 54" xfId="52528"/>
    <cellStyle name="Note 12 3 55" xfId="52529"/>
    <cellStyle name="Note 12 3 6" xfId="52530"/>
    <cellStyle name="Note 12 3 7" xfId="52531"/>
    <cellStyle name="Note 12 3 8" xfId="52532"/>
    <cellStyle name="Note 12 3 9" xfId="52533"/>
    <cellStyle name="Note 12 4" xfId="52534"/>
    <cellStyle name="Note 12 5" xfId="52535"/>
    <cellStyle name="Note 12 6" xfId="52536"/>
    <cellStyle name="Note 12 7" xfId="52537"/>
    <cellStyle name="Note 12 8" xfId="52538"/>
    <cellStyle name="Note 12 9" xfId="52539"/>
    <cellStyle name="Note 13" xfId="52540"/>
    <cellStyle name="Note 13 10" xfId="52541"/>
    <cellStyle name="Note 13 11" xfId="52542"/>
    <cellStyle name="Note 13 12" xfId="52543"/>
    <cellStyle name="Note 13 13" xfId="52544"/>
    <cellStyle name="Note 13 14" xfId="52545"/>
    <cellStyle name="Note 13 15" xfId="52546"/>
    <cellStyle name="Note 13 16" xfId="57933"/>
    <cellStyle name="Note 13 2" xfId="52547"/>
    <cellStyle name="Note 13 2 10" xfId="52548"/>
    <cellStyle name="Note 13 2 11" xfId="52549"/>
    <cellStyle name="Note 13 2 12" xfId="52550"/>
    <cellStyle name="Note 13 2 13" xfId="52551"/>
    <cellStyle name="Note 13 2 14" xfId="52552"/>
    <cellStyle name="Note 13 2 15" xfId="52553"/>
    <cellStyle name="Note 13 2 16" xfId="52554"/>
    <cellStyle name="Note 13 2 17" xfId="52555"/>
    <cellStyle name="Note 13 2 18" xfId="52556"/>
    <cellStyle name="Note 13 2 19" xfId="52557"/>
    <cellStyle name="Note 13 2 2" xfId="52558"/>
    <cellStyle name="Note 13 2 2 2" xfId="52559"/>
    <cellStyle name="Note 13 2 20" xfId="52560"/>
    <cellStyle name="Note 13 2 21" xfId="52561"/>
    <cellStyle name="Note 13 2 22" xfId="52562"/>
    <cellStyle name="Note 13 2 23" xfId="52563"/>
    <cellStyle name="Note 13 2 24" xfId="52564"/>
    <cellStyle name="Note 13 2 25" xfId="52565"/>
    <cellStyle name="Note 13 2 26" xfId="52566"/>
    <cellStyle name="Note 13 2 27" xfId="52567"/>
    <cellStyle name="Note 13 2 28" xfId="52568"/>
    <cellStyle name="Note 13 2 29" xfId="52569"/>
    <cellStyle name="Note 13 2 3" xfId="52570"/>
    <cellStyle name="Note 13 2 30" xfId="52571"/>
    <cellStyle name="Note 13 2 31" xfId="52572"/>
    <cellStyle name="Note 13 2 32" xfId="52573"/>
    <cellStyle name="Note 13 2 33" xfId="52574"/>
    <cellStyle name="Note 13 2 34" xfId="52575"/>
    <cellStyle name="Note 13 2 35" xfId="52576"/>
    <cellStyle name="Note 13 2 36" xfId="52577"/>
    <cellStyle name="Note 13 2 37" xfId="52578"/>
    <cellStyle name="Note 13 2 38" xfId="52579"/>
    <cellStyle name="Note 13 2 39" xfId="52580"/>
    <cellStyle name="Note 13 2 4" xfId="52581"/>
    <cellStyle name="Note 13 2 40" xfId="52582"/>
    <cellStyle name="Note 13 2 41" xfId="52583"/>
    <cellStyle name="Note 13 2 42" xfId="52584"/>
    <cellStyle name="Note 13 2 43" xfId="52585"/>
    <cellStyle name="Note 13 2 44" xfId="52586"/>
    <cellStyle name="Note 13 2 45" xfId="52587"/>
    <cellStyle name="Note 13 2 46" xfId="52588"/>
    <cellStyle name="Note 13 2 47" xfId="52589"/>
    <cellStyle name="Note 13 2 48" xfId="52590"/>
    <cellStyle name="Note 13 2 49" xfId="52591"/>
    <cellStyle name="Note 13 2 5" xfId="52592"/>
    <cellStyle name="Note 13 2 50" xfId="52593"/>
    <cellStyle name="Note 13 2 51" xfId="52594"/>
    <cellStyle name="Note 13 2 52" xfId="52595"/>
    <cellStyle name="Note 13 2 53" xfId="52596"/>
    <cellStyle name="Note 13 2 54" xfId="52597"/>
    <cellStyle name="Note 13 2 55" xfId="52598"/>
    <cellStyle name="Note 13 2 6" xfId="52599"/>
    <cellStyle name="Note 13 2 7" xfId="52600"/>
    <cellStyle name="Note 13 2 8" xfId="52601"/>
    <cellStyle name="Note 13 2 9" xfId="52602"/>
    <cellStyle name="Note 13 3" xfId="52603"/>
    <cellStyle name="Note 13 3 10" xfId="52604"/>
    <cellStyle name="Note 13 3 11" xfId="52605"/>
    <cellStyle name="Note 13 3 12" xfId="52606"/>
    <cellStyle name="Note 13 3 13" xfId="52607"/>
    <cellStyle name="Note 13 3 14" xfId="52608"/>
    <cellStyle name="Note 13 3 15" xfId="52609"/>
    <cellStyle name="Note 13 3 16" xfId="52610"/>
    <cellStyle name="Note 13 3 17" xfId="52611"/>
    <cellStyle name="Note 13 3 18" xfId="52612"/>
    <cellStyle name="Note 13 3 19" xfId="52613"/>
    <cellStyle name="Note 13 3 2" xfId="52614"/>
    <cellStyle name="Note 13 3 2 2" xfId="52615"/>
    <cellStyle name="Note 13 3 20" xfId="52616"/>
    <cellStyle name="Note 13 3 21" xfId="52617"/>
    <cellStyle name="Note 13 3 22" xfId="52618"/>
    <cellStyle name="Note 13 3 23" xfId="52619"/>
    <cellStyle name="Note 13 3 24" xfId="52620"/>
    <cellStyle name="Note 13 3 25" xfId="52621"/>
    <cellStyle name="Note 13 3 26" xfId="52622"/>
    <cellStyle name="Note 13 3 27" xfId="52623"/>
    <cellStyle name="Note 13 3 28" xfId="52624"/>
    <cellStyle name="Note 13 3 29" xfId="52625"/>
    <cellStyle name="Note 13 3 3" xfId="52626"/>
    <cellStyle name="Note 13 3 30" xfId="52627"/>
    <cellStyle name="Note 13 3 31" xfId="52628"/>
    <cellStyle name="Note 13 3 32" xfId="52629"/>
    <cellStyle name="Note 13 3 33" xfId="52630"/>
    <cellStyle name="Note 13 3 34" xfId="52631"/>
    <cellStyle name="Note 13 3 35" xfId="52632"/>
    <cellStyle name="Note 13 3 36" xfId="52633"/>
    <cellStyle name="Note 13 3 37" xfId="52634"/>
    <cellStyle name="Note 13 3 38" xfId="52635"/>
    <cellStyle name="Note 13 3 39" xfId="52636"/>
    <cellStyle name="Note 13 3 4" xfId="52637"/>
    <cellStyle name="Note 13 3 40" xfId="52638"/>
    <cellStyle name="Note 13 3 41" xfId="52639"/>
    <cellStyle name="Note 13 3 42" xfId="52640"/>
    <cellStyle name="Note 13 3 43" xfId="52641"/>
    <cellStyle name="Note 13 3 44" xfId="52642"/>
    <cellStyle name="Note 13 3 45" xfId="52643"/>
    <cellStyle name="Note 13 3 46" xfId="52644"/>
    <cellStyle name="Note 13 3 47" xfId="52645"/>
    <cellStyle name="Note 13 3 48" xfId="52646"/>
    <cellStyle name="Note 13 3 49" xfId="52647"/>
    <cellStyle name="Note 13 3 5" xfId="52648"/>
    <cellStyle name="Note 13 3 50" xfId="52649"/>
    <cellStyle name="Note 13 3 51" xfId="52650"/>
    <cellStyle name="Note 13 3 52" xfId="52651"/>
    <cellStyle name="Note 13 3 53" xfId="52652"/>
    <cellStyle name="Note 13 3 54" xfId="52653"/>
    <cellStyle name="Note 13 3 55" xfId="52654"/>
    <cellStyle name="Note 13 3 6" xfId="52655"/>
    <cellStyle name="Note 13 3 7" xfId="52656"/>
    <cellStyle name="Note 13 3 8" xfId="52657"/>
    <cellStyle name="Note 13 3 9" xfId="52658"/>
    <cellStyle name="Note 13 4" xfId="52659"/>
    <cellStyle name="Note 13 5" xfId="52660"/>
    <cellStyle name="Note 13 6" xfId="52661"/>
    <cellStyle name="Note 13 7" xfId="52662"/>
    <cellStyle name="Note 13 8" xfId="52663"/>
    <cellStyle name="Note 13 9" xfId="52664"/>
    <cellStyle name="Note 14" xfId="52665"/>
    <cellStyle name="Note 14 10" xfId="52666"/>
    <cellStyle name="Note 14 11" xfId="52667"/>
    <cellStyle name="Note 14 12" xfId="52668"/>
    <cellStyle name="Note 14 13" xfId="52669"/>
    <cellStyle name="Note 14 14" xfId="52670"/>
    <cellStyle name="Note 14 15" xfId="52671"/>
    <cellStyle name="Note 14 16" xfId="57934"/>
    <cellStyle name="Note 14 2" xfId="52672"/>
    <cellStyle name="Note 14 2 10" xfId="52673"/>
    <cellStyle name="Note 14 2 11" xfId="52674"/>
    <cellStyle name="Note 14 2 12" xfId="52675"/>
    <cellStyle name="Note 14 2 13" xfId="52676"/>
    <cellStyle name="Note 14 2 14" xfId="52677"/>
    <cellStyle name="Note 14 2 15" xfId="52678"/>
    <cellStyle name="Note 14 2 16" xfId="52679"/>
    <cellStyle name="Note 14 2 17" xfId="52680"/>
    <cellStyle name="Note 14 2 18" xfId="52681"/>
    <cellStyle name="Note 14 2 19" xfId="52682"/>
    <cellStyle name="Note 14 2 2" xfId="52683"/>
    <cellStyle name="Note 14 2 2 2" xfId="52684"/>
    <cellStyle name="Note 14 2 20" xfId="52685"/>
    <cellStyle name="Note 14 2 21" xfId="52686"/>
    <cellStyle name="Note 14 2 22" xfId="52687"/>
    <cellStyle name="Note 14 2 23" xfId="52688"/>
    <cellStyle name="Note 14 2 24" xfId="52689"/>
    <cellStyle name="Note 14 2 25" xfId="52690"/>
    <cellStyle name="Note 14 2 26" xfId="52691"/>
    <cellStyle name="Note 14 2 27" xfId="52692"/>
    <cellStyle name="Note 14 2 28" xfId="52693"/>
    <cellStyle name="Note 14 2 29" xfId="52694"/>
    <cellStyle name="Note 14 2 3" xfId="52695"/>
    <cellStyle name="Note 14 2 30" xfId="52696"/>
    <cellStyle name="Note 14 2 31" xfId="52697"/>
    <cellStyle name="Note 14 2 32" xfId="52698"/>
    <cellStyle name="Note 14 2 33" xfId="52699"/>
    <cellStyle name="Note 14 2 34" xfId="52700"/>
    <cellStyle name="Note 14 2 35" xfId="52701"/>
    <cellStyle name="Note 14 2 36" xfId="52702"/>
    <cellStyle name="Note 14 2 37" xfId="52703"/>
    <cellStyle name="Note 14 2 38" xfId="52704"/>
    <cellStyle name="Note 14 2 39" xfId="52705"/>
    <cellStyle name="Note 14 2 4" xfId="52706"/>
    <cellStyle name="Note 14 2 40" xfId="52707"/>
    <cellStyle name="Note 14 2 41" xfId="52708"/>
    <cellStyle name="Note 14 2 42" xfId="52709"/>
    <cellStyle name="Note 14 2 43" xfId="52710"/>
    <cellStyle name="Note 14 2 44" xfId="52711"/>
    <cellStyle name="Note 14 2 45" xfId="52712"/>
    <cellStyle name="Note 14 2 46" xfId="52713"/>
    <cellStyle name="Note 14 2 47" xfId="52714"/>
    <cellStyle name="Note 14 2 48" xfId="52715"/>
    <cellStyle name="Note 14 2 49" xfId="52716"/>
    <cellStyle name="Note 14 2 5" xfId="52717"/>
    <cellStyle name="Note 14 2 50" xfId="52718"/>
    <cellStyle name="Note 14 2 51" xfId="52719"/>
    <cellStyle name="Note 14 2 52" xfId="52720"/>
    <cellStyle name="Note 14 2 53" xfId="52721"/>
    <cellStyle name="Note 14 2 54" xfId="52722"/>
    <cellStyle name="Note 14 2 55" xfId="52723"/>
    <cellStyle name="Note 14 2 6" xfId="52724"/>
    <cellStyle name="Note 14 2 7" xfId="52725"/>
    <cellStyle name="Note 14 2 8" xfId="52726"/>
    <cellStyle name="Note 14 2 9" xfId="52727"/>
    <cellStyle name="Note 14 3" xfId="52728"/>
    <cellStyle name="Note 14 3 10" xfId="52729"/>
    <cellStyle name="Note 14 3 11" xfId="52730"/>
    <cellStyle name="Note 14 3 12" xfId="52731"/>
    <cellStyle name="Note 14 3 13" xfId="52732"/>
    <cellStyle name="Note 14 3 14" xfId="52733"/>
    <cellStyle name="Note 14 3 15" xfId="52734"/>
    <cellStyle name="Note 14 3 16" xfId="52735"/>
    <cellStyle name="Note 14 3 17" xfId="52736"/>
    <cellStyle name="Note 14 3 18" xfId="52737"/>
    <cellStyle name="Note 14 3 19" xfId="52738"/>
    <cellStyle name="Note 14 3 2" xfId="52739"/>
    <cellStyle name="Note 14 3 2 2" xfId="52740"/>
    <cellStyle name="Note 14 3 20" xfId="52741"/>
    <cellStyle name="Note 14 3 21" xfId="52742"/>
    <cellStyle name="Note 14 3 22" xfId="52743"/>
    <cellStyle name="Note 14 3 23" xfId="52744"/>
    <cellStyle name="Note 14 3 24" xfId="52745"/>
    <cellStyle name="Note 14 3 25" xfId="52746"/>
    <cellStyle name="Note 14 3 26" xfId="52747"/>
    <cellStyle name="Note 14 3 27" xfId="52748"/>
    <cellStyle name="Note 14 3 28" xfId="52749"/>
    <cellStyle name="Note 14 3 29" xfId="52750"/>
    <cellStyle name="Note 14 3 3" xfId="52751"/>
    <cellStyle name="Note 14 3 30" xfId="52752"/>
    <cellStyle name="Note 14 3 31" xfId="52753"/>
    <cellStyle name="Note 14 3 32" xfId="52754"/>
    <cellStyle name="Note 14 3 33" xfId="52755"/>
    <cellStyle name="Note 14 3 34" xfId="52756"/>
    <cellStyle name="Note 14 3 35" xfId="52757"/>
    <cellStyle name="Note 14 3 36" xfId="52758"/>
    <cellStyle name="Note 14 3 37" xfId="52759"/>
    <cellStyle name="Note 14 3 38" xfId="52760"/>
    <cellStyle name="Note 14 3 39" xfId="52761"/>
    <cellStyle name="Note 14 3 4" xfId="52762"/>
    <cellStyle name="Note 14 3 40" xfId="52763"/>
    <cellStyle name="Note 14 3 41" xfId="52764"/>
    <cellStyle name="Note 14 3 42" xfId="52765"/>
    <cellStyle name="Note 14 3 43" xfId="52766"/>
    <cellStyle name="Note 14 3 44" xfId="52767"/>
    <cellStyle name="Note 14 3 45" xfId="52768"/>
    <cellStyle name="Note 14 3 46" xfId="52769"/>
    <cellStyle name="Note 14 3 47" xfId="52770"/>
    <cellStyle name="Note 14 3 48" xfId="52771"/>
    <cellStyle name="Note 14 3 49" xfId="52772"/>
    <cellStyle name="Note 14 3 5" xfId="52773"/>
    <cellStyle name="Note 14 3 50" xfId="52774"/>
    <cellStyle name="Note 14 3 51" xfId="52775"/>
    <cellStyle name="Note 14 3 52" xfId="52776"/>
    <cellStyle name="Note 14 3 53" xfId="52777"/>
    <cellStyle name="Note 14 3 54" xfId="52778"/>
    <cellStyle name="Note 14 3 55" xfId="52779"/>
    <cellStyle name="Note 14 3 6" xfId="52780"/>
    <cellStyle name="Note 14 3 7" xfId="52781"/>
    <cellStyle name="Note 14 3 8" xfId="52782"/>
    <cellStyle name="Note 14 3 9" xfId="52783"/>
    <cellStyle name="Note 14 4" xfId="52784"/>
    <cellStyle name="Note 14 5" xfId="52785"/>
    <cellStyle name="Note 14 6" xfId="52786"/>
    <cellStyle name="Note 14 7" xfId="52787"/>
    <cellStyle name="Note 14 8" xfId="52788"/>
    <cellStyle name="Note 14 9" xfId="52789"/>
    <cellStyle name="Note 15" xfId="52790"/>
    <cellStyle name="Note 15 10" xfId="52791"/>
    <cellStyle name="Note 15 11" xfId="52792"/>
    <cellStyle name="Note 15 12" xfId="52793"/>
    <cellStyle name="Note 15 13" xfId="52794"/>
    <cellStyle name="Note 15 14" xfId="52795"/>
    <cellStyle name="Note 15 15" xfId="52796"/>
    <cellStyle name="Note 15 16" xfId="57935"/>
    <cellStyle name="Note 15 2" xfId="52797"/>
    <cellStyle name="Note 15 2 10" xfId="52798"/>
    <cellStyle name="Note 15 2 11" xfId="52799"/>
    <cellStyle name="Note 15 2 12" xfId="52800"/>
    <cellStyle name="Note 15 2 13" xfId="52801"/>
    <cellStyle name="Note 15 2 14" xfId="52802"/>
    <cellStyle name="Note 15 2 15" xfId="52803"/>
    <cellStyle name="Note 15 2 16" xfId="52804"/>
    <cellStyle name="Note 15 2 17" xfId="52805"/>
    <cellStyle name="Note 15 2 18" xfId="52806"/>
    <cellStyle name="Note 15 2 19" xfId="52807"/>
    <cellStyle name="Note 15 2 2" xfId="52808"/>
    <cellStyle name="Note 15 2 2 2" xfId="52809"/>
    <cellStyle name="Note 15 2 20" xfId="52810"/>
    <cellStyle name="Note 15 2 21" xfId="52811"/>
    <cellStyle name="Note 15 2 22" xfId="52812"/>
    <cellStyle name="Note 15 2 23" xfId="52813"/>
    <cellStyle name="Note 15 2 24" xfId="52814"/>
    <cellStyle name="Note 15 2 25" xfId="52815"/>
    <cellStyle name="Note 15 2 26" xfId="52816"/>
    <cellStyle name="Note 15 2 27" xfId="52817"/>
    <cellStyle name="Note 15 2 28" xfId="52818"/>
    <cellStyle name="Note 15 2 29" xfId="52819"/>
    <cellStyle name="Note 15 2 3" xfId="52820"/>
    <cellStyle name="Note 15 2 30" xfId="52821"/>
    <cellStyle name="Note 15 2 31" xfId="52822"/>
    <cellStyle name="Note 15 2 32" xfId="52823"/>
    <cellStyle name="Note 15 2 33" xfId="52824"/>
    <cellStyle name="Note 15 2 34" xfId="52825"/>
    <cellStyle name="Note 15 2 35" xfId="52826"/>
    <cellStyle name="Note 15 2 36" xfId="52827"/>
    <cellStyle name="Note 15 2 37" xfId="52828"/>
    <cellStyle name="Note 15 2 38" xfId="52829"/>
    <cellStyle name="Note 15 2 39" xfId="52830"/>
    <cellStyle name="Note 15 2 4" xfId="52831"/>
    <cellStyle name="Note 15 2 40" xfId="52832"/>
    <cellStyle name="Note 15 2 41" xfId="52833"/>
    <cellStyle name="Note 15 2 42" xfId="52834"/>
    <cellStyle name="Note 15 2 43" xfId="52835"/>
    <cellStyle name="Note 15 2 44" xfId="52836"/>
    <cellStyle name="Note 15 2 45" xfId="52837"/>
    <cellStyle name="Note 15 2 46" xfId="52838"/>
    <cellStyle name="Note 15 2 47" xfId="52839"/>
    <cellStyle name="Note 15 2 48" xfId="52840"/>
    <cellStyle name="Note 15 2 49" xfId="52841"/>
    <cellStyle name="Note 15 2 5" xfId="52842"/>
    <cellStyle name="Note 15 2 50" xfId="52843"/>
    <cellStyle name="Note 15 2 51" xfId="52844"/>
    <cellStyle name="Note 15 2 52" xfId="52845"/>
    <cellStyle name="Note 15 2 53" xfId="52846"/>
    <cellStyle name="Note 15 2 54" xfId="52847"/>
    <cellStyle name="Note 15 2 55" xfId="52848"/>
    <cellStyle name="Note 15 2 56" xfId="58480"/>
    <cellStyle name="Note 15 2 6" xfId="52849"/>
    <cellStyle name="Note 15 2 7" xfId="52850"/>
    <cellStyle name="Note 15 2 8" xfId="52851"/>
    <cellStyle name="Note 15 2 9" xfId="52852"/>
    <cellStyle name="Note 15 3" xfId="52853"/>
    <cellStyle name="Note 15 3 10" xfId="52854"/>
    <cellStyle name="Note 15 3 11" xfId="52855"/>
    <cellStyle name="Note 15 3 12" xfId="52856"/>
    <cellStyle name="Note 15 3 13" xfId="52857"/>
    <cellStyle name="Note 15 3 14" xfId="52858"/>
    <cellStyle name="Note 15 3 15" xfId="52859"/>
    <cellStyle name="Note 15 3 16" xfId="52860"/>
    <cellStyle name="Note 15 3 17" xfId="52861"/>
    <cellStyle name="Note 15 3 18" xfId="52862"/>
    <cellStyle name="Note 15 3 19" xfId="52863"/>
    <cellStyle name="Note 15 3 2" xfId="52864"/>
    <cellStyle name="Note 15 3 2 2" xfId="52865"/>
    <cellStyle name="Note 15 3 20" xfId="52866"/>
    <cellStyle name="Note 15 3 21" xfId="52867"/>
    <cellStyle name="Note 15 3 22" xfId="52868"/>
    <cellStyle name="Note 15 3 23" xfId="52869"/>
    <cellStyle name="Note 15 3 24" xfId="52870"/>
    <cellStyle name="Note 15 3 25" xfId="52871"/>
    <cellStyle name="Note 15 3 26" xfId="52872"/>
    <cellStyle name="Note 15 3 27" xfId="52873"/>
    <cellStyle name="Note 15 3 28" xfId="52874"/>
    <cellStyle name="Note 15 3 29" xfId="52875"/>
    <cellStyle name="Note 15 3 3" xfId="52876"/>
    <cellStyle name="Note 15 3 30" xfId="52877"/>
    <cellStyle name="Note 15 3 31" xfId="52878"/>
    <cellStyle name="Note 15 3 32" xfId="52879"/>
    <cellStyle name="Note 15 3 33" xfId="52880"/>
    <cellStyle name="Note 15 3 34" xfId="52881"/>
    <cellStyle name="Note 15 3 35" xfId="52882"/>
    <cellStyle name="Note 15 3 36" xfId="52883"/>
    <cellStyle name="Note 15 3 37" xfId="52884"/>
    <cellStyle name="Note 15 3 38" xfId="52885"/>
    <cellStyle name="Note 15 3 39" xfId="52886"/>
    <cellStyle name="Note 15 3 4" xfId="52887"/>
    <cellStyle name="Note 15 3 40" xfId="52888"/>
    <cellStyle name="Note 15 3 41" xfId="52889"/>
    <cellStyle name="Note 15 3 42" xfId="52890"/>
    <cellStyle name="Note 15 3 43" xfId="52891"/>
    <cellStyle name="Note 15 3 44" xfId="52892"/>
    <cellStyle name="Note 15 3 45" xfId="52893"/>
    <cellStyle name="Note 15 3 46" xfId="52894"/>
    <cellStyle name="Note 15 3 47" xfId="52895"/>
    <cellStyle name="Note 15 3 48" xfId="52896"/>
    <cellStyle name="Note 15 3 49" xfId="52897"/>
    <cellStyle name="Note 15 3 5" xfId="52898"/>
    <cellStyle name="Note 15 3 50" xfId="52899"/>
    <cellStyle name="Note 15 3 51" xfId="52900"/>
    <cellStyle name="Note 15 3 52" xfId="52901"/>
    <cellStyle name="Note 15 3 53" xfId="52902"/>
    <cellStyle name="Note 15 3 54" xfId="52903"/>
    <cellStyle name="Note 15 3 55" xfId="52904"/>
    <cellStyle name="Note 15 3 6" xfId="52905"/>
    <cellStyle name="Note 15 3 7" xfId="52906"/>
    <cellStyle name="Note 15 3 8" xfId="52907"/>
    <cellStyle name="Note 15 3 9" xfId="52908"/>
    <cellStyle name="Note 15 4" xfId="52909"/>
    <cellStyle name="Note 15 5" xfId="52910"/>
    <cellStyle name="Note 15 6" xfId="52911"/>
    <cellStyle name="Note 15 7" xfId="52912"/>
    <cellStyle name="Note 15 8" xfId="52913"/>
    <cellStyle name="Note 15 9" xfId="52914"/>
    <cellStyle name="Note 16" xfId="52915"/>
    <cellStyle name="Note 16 2" xfId="52916"/>
    <cellStyle name="Note 16 2 10" xfId="52917"/>
    <cellStyle name="Note 16 2 11" xfId="52918"/>
    <cellStyle name="Note 16 2 12" xfId="52919"/>
    <cellStyle name="Note 16 2 13" xfId="52920"/>
    <cellStyle name="Note 16 2 14" xfId="52921"/>
    <cellStyle name="Note 16 2 15" xfId="52922"/>
    <cellStyle name="Note 16 2 16" xfId="52923"/>
    <cellStyle name="Note 16 2 17" xfId="52924"/>
    <cellStyle name="Note 16 2 18" xfId="52925"/>
    <cellStyle name="Note 16 2 19" xfId="52926"/>
    <cellStyle name="Note 16 2 2" xfId="52927"/>
    <cellStyle name="Note 16 2 2 2" xfId="52928"/>
    <cellStyle name="Note 16 2 20" xfId="52929"/>
    <cellStyle name="Note 16 2 21" xfId="52930"/>
    <cellStyle name="Note 16 2 22" xfId="52931"/>
    <cellStyle name="Note 16 2 23" xfId="52932"/>
    <cellStyle name="Note 16 2 24" xfId="52933"/>
    <cellStyle name="Note 16 2 25" xfId="52934"/>
    <cellStyle name="Note 16 2 26" xfId="52935"/>
    <cellStyle name="Note 16 2 27" xfId="52936"/>
    <cellStyle name="Note 16 2 28" xfId="52937"/>
    <cellStyle name="Note 16 2 29" xfId="52938"/>
    <cellStyle name="Note 16 2 3" xfId="52939"/>
    <cellStyle name="Note 16 2 30" xfId="52940"/>
    <cellStyle name="Note 16 2 31" xfId="52941"/>
    <cellStyle name="Note 16 2 32" xfId="52942"/>
    <cellStyle name="Note 16 2 33" xfId="52943"/>
    <cellStyle name="Note 16 2 34" xfId="52944"/>
    <cellStyle name="Note 16 2 35" xfId="52945"/>
    <cellStyle name="Note 16 2 36" xfId="52946"/>
    <cellStyle name="Note 16 2 37" xfId="52947"/>
    <cellStyle name="Note 16 2 38" xfId="52948"/>
    <cellStyle name="Note 16 2 39" xfId="52949"/>
    <cellStyle name="Note 16 2 4" xfId="52950"/>
    <cellStyle name="Note 16 2 40" xfId="52951"/>
    <cellStyle name="Note 16 2 41" xfId="52952"/>
    <cellStyle name="Note 16 2 42" xfId="52953"/>
    <cellStyle name="Note 16 2 43" xfId="52954"/>
    <cellStyle name="Note 16 2 44" xfId="52955"/>
    <cellStyle name="Note 16 2 45" xfId="52956"/>
    <cellStyle name="Note 16 2 46" xfId="52957"/>
    <cellStyle name="Note 16 2 47" xfId="52958"/>
    <cellStyle name="Note 16 2 48" xfId="52959"/>
    <cellStyle name="Note 16 2 49" xfId="52960"/>
    <cellStyle name="Note 16 2 5" xfId="52961"/>
    <cellStyle name="Note 16 2 50" xfId="52962"/>
    <cellStyle name="Note 16 2 51" xfId="52963"/>
    <cellStyle name="Note 16 2 52" xfId="52964"/>
    <cellStyle name="Note 16 2 53" xfId="52965"/>
    <cellStyle name="Note 16 2 54" xfId="52966"/>
    <cellStyle name="Note 16 2 55" xfId="52967"/>
    <cellStyle name="Note 16 2 6" xfId="52968"/>
    <cellStyle name="Note 16 2 7" xfId="52969"/>
    <cellStyle name="Note 16 2 8" xfId="52970"/>
    <cellStyle name="Note 16 2 9" xfId="52971"/>
    <cellStyle name="Note 16 3" xfId="52972"/>
    <cellStyle name="Note 16 3 10" xfId="52973"/>
    <cellStyle name="Note 16 3 11" xfId="52974"/>
    <cellStyle name="Note 16 3 12" xfId="52975"/>
    <cellStyle name="Note 16 3 13" xfId="52976"/>
    <cellStyle name="Note 16 3 14" xfId="52977"/>
    <cellStyle name="Note 16 3 15" xfId="52978"/>
    <cellStyle name="Note 16 3 16" xfId="52979"/>
    <cellStyle name="Note 16 3 17" xfId="52980"/>
    <cellStyle name="Note 16 3 18" xfId="52981"/>
    <cellStyle name="Note 16 3 19" xfId="52982"/>
    <cellStyle name="Note 16 3 2" xfId="52983"/>
    <cellStyle name="Note 16 3 2 2" xfId="52984"/>
    <cellStyle name="Note 16 3 20" xfId="52985"/>
    <cellStyle name="Note 16 3 21" xfId="52986"/>
    <cellStyle name="Note 16 3 22" xfId="52987"/>
    <cellStyle name="Note 16 3 23" xfId="52988"/>
    <cellStyle name="Note 16 3 24" xfId="52989"/>
    <cellStyle name="Note 16 3 25" xfId="52990"/>
    <cellStyle name="Note 16 3 26" xfId="52991"/>
    <cellStyle name="Note 16 3 27" xfId="52992"/>
    <cellStyle name="Note 16 3 28" xfId="52993"/>
    <cellStyle name="Note 16 3 29" xfId="52994"/>
    <cellStyle name="Note 16 3 3" xfId="52995"/>
    <cellStyle name="Note 16 3 30" xfId="52996"/>
    <cellStyle name="Note 16 3 31" xfId="52997"/>
    <cellStyle name="Note 16 3 32" xfId="52998"/>
    <cellStyle name="Note 16 3 33" xfId="52999"/>
    <cellStyle name="Note 16 3 34" xfId="53000"/>
    <cellStyle name="Note 16 3 35" xfId="53001"/>
    <cellStyle name="Note 16 3 36" xfId="53002"/>
    <cellStyle name="Note 16 3 37" xfId="53003"/>
    <cellStyle name="Note 16 3 38" xfId="53004"/>
    <cellStyle name="Note 16 3 39" xfId="53005"/>
    <cellStyle name="Note 16 3 4" xfId="53006"/>
    <cellStyle name="Note 16 3 40" xfId="53007"/>
    <cellStyle name="Note 16 3 41" xfId="53008"/>
    <cellStyle name="Note 16 3 42" xfId="53009"/>
    <cellStyle name="Note 16 3 43" xfId="53010"/>
    <cellStyle name="Note 16 3 44" xfId="53011"/>
    <cellStyle name="Note 16 3 45" xfId="53012"/>
    <cellStyle name="Note 16 3 46" xfId="53013"/>
    <cellStyle name="Note 16 3 47" xfId="53014"/>
    <cellStyle name="Note 16 3 48" xfId="53015"/>
    <cellStyle name="Note 16 3 49" xfId="53016"/>
    <cellStyle name="Note 16 3 5" xfId="53017"/>
    <cellStyle name="Note 16 3 50" xfId="53018"/>
    <cellStyle name="Note 16 3 51" xfId="53019"/>
    <cellStyle name="Note 16 3 52" xfId="53020"/>
    <cellStyle name="Note 16 3 53" xfId="53021"/>
    <cellStyle name="Note 16 3 54" xfId="53022"/>
    <cellStyle name="Note 16 3 55" xfId="53023"/>
    <cellStyle name="Note 16 3 6" xfId="53024"/>
    <cellStyle name="Note 16 3 7" xfId="53025"/>
    <cellStyle name="Note 16 3 8" xfId="53026"/>
    <cellStyle name="Note 16 3 9" xfId="53027"/>
    <cellStyle name="Note 16 4" xfId="57936"/>
    <cellStyle name="Note 17" xfId="53028"/>
    <cellStyle name="Note 17 2" xfId="53029"/>
    <cellStyle name="Note 17 2 10" xfId="53030"/>
    <cellStyle name="Note 17 2 11" xfId="53031"/>
    <cellStyle name="Note 17 2 12" xfId="53032"/>
    <cellStyle name="Note 17 2 13" xfId="53033"/>
    <cellStyle name="Note 17 2 14" xfId="53034"/>
    <cellStyle name="Note 17 2 15" xfId="53035"/>
    <cellStyle name="Note 17 2 16" xfId="53036"/>
    <cellStyle name="Note 17 2 17" xfId="53037"/>
    <cellStyle name="Note 17 2 18" xfId="53038"/>
    <cellStyle name="Note 17 2 19" xfId="53039"/>
    <cellStyle name="Note 17 2 2" xfId="53040"/>
    <cellStyle name="Note 17 2 2 2" xfId="53041"/>
    <cellStyle name="Note 17 2 20" xfId="53042"/>
    <cellStyle name="Note 17 2 21" xfId="53043"/>
    <cellStyle name="Note 17 2 22" xfId="53044"/>
    <cellStyle name="Note 17 2 23" xfId="53045"/>
    <cellStyle name="Note 17 2 24" xfId="53046"/>
    <cellStyle name="Note 17 2 25" xfId="53047"/>
    <cellStyle name="Note 17 2 26" xfId="53048"/>
    <cellStyle name="Note 17 2 27" xfId="53049"/>
    <cellStyle name="Note 17 2 28" xfId="53050"/>
    <cellStyle name="Note 17 2 29" xfId="53051"/>
    <cellStyle name="Note 17 2 3" xfId="53052"/>
    <cellStyle name="Note 17 2 30" xfId="53053"/>
    <cellStyle name="Note 17 2 31" xfId="53054"/>
    <cellStyle name="Note 17 2 32" xfId="53055"/>
    <cellStyle name="Note 17 2 33" xfId="53056"/>
    <cellStyle name="Note 17 2 34" xfId="53057"/>
    <cellStyle name="Note 17 2 35" xfId="53058"/>
    <cellStyle name="Note 17 2 36" xfId="53059"/>
    <cellStyle name="Note 17 2 37" xfId="53060"/>
    <cellStyle name="Note 17 2 38" xfId="53061"/>
    <cellStyle name="Note 17 2 39" xfId="53062"/>
    <cellStyle name="Note 17 2 4" xfId="53063"/>
    <cellStyle name="Note 17 2 40" xfId="53064"/>
    <cellStyle name="Note 17 2 41" xfId="53065"/>
    <cellStyle name="Note 17 2 42" xfId="53066"/>
    <cellStyle name="Note 17 2 43" xfId="53067"/>
    <cellStyle name="Note 17 2 44" xfId="53068"/>
    <cellStyle name="Note 17 2 45" xfId="53069"/>
    <cellStyle name="Note 17 2 46" xfId="53070"/>
    <cellStyle name="Note 17 2 47" xfId="53071"/>
    <cellStyle name="Note 17 2 48" xfId="53072"/>
    <cellStyle name="Note 17 2 49" xfId="53073"/>
    <cellStyle name="Note 17 2 5" xfId="53074"/>
    <cellStyle name="Note 17 2 50" xfId="53075"/>
    <cellStyle name="Note 17 2 51" xfId="53076"/>
    <cellStyle name="Note 17 2 52" xfId="53077"/>
    <cellStyle name="Note 17 2 53" xfId="53078"/>
    <cellStyle name="Note 17 2 54" xfId="53079"/>
    <cellStyle name="Note 17 2 55" xfId="53080"/>
    <cellStyle name="Note 17 2 6" xfId="53081"/>
    <cellStyle name="Note 17 2 7" xfId="53082"/>
    <cellStyle name="Note 17 2 8" xfId="53083"/>
    <cellStyle name="Note 17 2 9" xfId="53084"/>
    <cellStyle name="Note 17 3" xfId="53085"/>
    <cellStyle name="Note 17 3 10" xfId="53086"/>
    <cellStyle name="Note 17 3 11" xfId="53087"/>
    <cellStyle name="Note 17 3 12" xfId="53088"/>
    <cellStyle name="Note 17 3 13" xfId="53089"/>
    <cellStyle name="Note 17 3 14" xfId="53090"/>
    <cellStyle name="Note 17 3 15" xfId="53091"/>
    <cellStyle name="Note 17 3 16" xfId="53092"/>
    <cellStyle name="Note 17 3 17" xfId="53093"/>
    <cellStyle name="Note 17 3 18" xfId="53094"/>
    <cellStyle name="Note 17 3 19" xfId="53095"/>
    <cellStyle name="Note 17 3 2" xfId="53096"/>
    <cellStyle name="Note 17 3 2 2" xfId="53097"/>
    <cellStyle name="Note 17 3 20" xfId="53098"/>
    <cellStyle name="Note 17 3 21" xfId="53099"/>
    <cellStyle name="Note 17 3 22" xfId="53100"/>
    <cellStyle name="Note 17 3 23" xfId="53101"/>
    <cellStyle name="Note 17 3 24" xfId="53102"/>
    <cellStyle name="Note 17 3 25" xfId="53103"/>
    <cellStyle name="Note 17 3 26" xfId="53104"/>
    <cellStyle name="Note 17 3 27" xfId="53105"/>
    <cellStyle name="Note 17 3 28" xfId="53106"/>
    <cellStyle name="Note 17 3 29" xfId="53107"/>
    <cellStyle name="Note 17 3 3" xfId="53108"/>
    <cellStyle name="Note 17 3 30" xfId="53109"/>
    <cellStyle name="Note 17 3 31" xfId="53110"/>
    <cellStyle name="Note 17 3 32" xfId="53111"/>
    <cellStyle name="Note 17 3 33" xfId="53112"/>
    <cellStyle name="Note 17 3 34" xfId="53113"/>
    <cellStyle name="Note 17 3 35" xfId="53114"/>
    <cellStyle name="Note 17 3 36" xfId="53115"/>
    <cellStyle name="Note 17 3 37" xfId="53116"/>
    <cellStyle name="Note 17 3 38" xfId="53117"/>
    <cellStyle name="Note 17 3 39" xfId="53118"/>
    <cellStyle name="Note 17 3 4" xfId="53119"/>
    <cellStyle name="Note 17 3 40" xfId="53120"/>
    <cellStyle name="Note 17 3 41" xfId="53121"/>
    <cellStyle name="Note 17 3 42" xfId="53122"/>
    <cellStyle name="Note 17 3 43" xfId="53123"/>
    <cellStyle name="Note 17 3 44" xfId="53124"/>
    <cellStyle name="Note 17 3 45" xfId="53125"/>
    <cellStyle name="Note 17 3 46" xfId="53126"/>
    <cellStyle name="Note 17 3 47" xfId="53127"/>
    <cellStyle name="Note 17 3 48" xfId="53128"/>
    <cellStyle name="Note 17 3 49" xfId="53129"/>
    <cellStyle name="Note 17 3 5" xfId="53130"/>
    <cellStyle name="Note 17 3 50" xfId="53131"/>
    <cellStyle name="Note 17 3 51" xfId="53132"/>
    <cellStyle name="Note 17 3 52" xfId="53133"/>
    <cellStyle name="Note 17 3 53" xfId="53134"/>
    <cellStyle name="Note 17 3 54" xfId="53135"/>
    <cellStyle name="Note 17 3 55" xfId="53136"/>
    <cellStyle name="Note 17 3 6" xfId="53137"/>
    <cellStyle name="Note 17 3 7" xfId="53138"/>
    <cellStyle name="Note 17 3 8" xfId="53139"/>
    <cellStyle name="Note 17 3 9" xfId="53140"/>
    <cellStyle name="Note 17 4" xfId="57937"/>
    <cellStyle name="Note 18" xfId="53141"/>
    <cellStyle name="Note 18 2" xfId="53142"/>
    <cellStyle name="Note 18 2 10" xfId="53143"/>
    <cellStyle name="Note 18 2 11" xfId="53144"/>
    <cellStyle name="Note 18 2 12" xfId="53145"/>
    <cellStyle name="Note 18 2 13" xfId="53146"/>
    <cellStyle name="Note 18 2 14" xfId="53147"/>
    <cellStyle name="Note 18 2 15" xfId="53148"/>
    <cellStyle name="Note 18 2 16" xfId="53149"/>
    <cellStyle name="Note 18 2 17" xfId="53150"/>
    <cellStyle name="Note 18 2 18" xfId="53151"/>
    <cellStyle name="Note 18 2 19" xfId="53152"/>
    <cellStyle name="Note 18 2 2" xfId="53153"/>
    <cellStyle name="Note 18 2 2 2" xfId="53154"/>
    <cellStyle name="Note 18 2 20" xfId="53155"/>
    <cellStyle name="Note 18 2 21" xfId="53156"/>
    <cellStyle name="Note 18 2 22" xfId="53157"/>
    <cellStyle name="Note 18 2 23" xfId="53158"/>
    <cellStyle name="Note 18 2 24" xfId="53159"/>
    <cellStyle name="Note 18 2 25" xfId="53160"/>
    <cellStyle name="Note 18 2 26" xfId="53161"/>
    <cellStyle name="Note 18 2 27" xfId="53162"/>
    <cellStyle name="Note 18 2 28" xfId="53163"/>
    <cellStyle name="Note 18 2 29" xfId="53164"/>
    <cellStyle name="Note 18 2 3" xfId="53165"/>
    <cellStyle name="Note 18 2 30" xfId="53166"/>
    <cellStyle name="Note 18 2 31" xfId="53167"/>
    <cellStyle name="Note 18 2 32" xfId="53168"/>
    <cellStyle name="Note 18 2 33" xfId="53169"/>
    <cellStyle name="Note 18 2 34" xfId="53170"/>
    <cellStyle name="Note 18 2 35" xfId="53171"/>
    <cellStyle name="Note 18 2 36" xfId="53172"/>
    <cellStyle name="Note 18 2 37" xfId="53173"/>
    <cellStyle name="Note 18 2 38" xfId="53174"/>
    <cellStyle name="Note 18 2 39" xfId="53175"/>
    <cellStyle name="Note 18 2 4" xfId="53176"/>
    <cellStyle name="Note 18 2 40" xfId="53177"/>
    <cellStyle name="Note 18 2 41" xfId="53178"/>
    <cellStyle name="Note 18 2 42" xfId="53179"/>
    <cellStyle name="Note 18 2 43" xfId="53180"/>
    <cellStyle name="Note 18 2 44" xfId="53181"/>
    <cellStyle name="Note 18 2 45" xfId="53182"/>
    <cellStyle name="Note 18 2 46" xfId="53183"/>
    <cellStyle name="Note 18 2 47" xfId="53184"/>
    <cellStyle name="Note 18 2 48" xfId="53185"/>
    <cellStyle name="Note 18 2 49" xfId="53186"/>
    <cellStyle name="Note 18 2 5" xfId="53187"/>
    <cellStyle name="Note 18 2 50" xfId="53188"/>
    <cellStyle name="Note 18 2 51" xfId="53189"/>
    <cellStyle name="Note 18 2 52" xfId="53190"/>
    <cellStyle name="Note 18 2 53" xfId="53191"/>
    <cellStyle name="Note 18 2 54" xfId="53192"/>
    <cellStyle name="Note 18 2 55" xfId="53193"/>
    <cellStyle name="Note 18 2 6" xfId="53194"/>
    <cellStyle name="Note 18 2 7" xfId="53195"/>
    <cellStyle name="Note 18 2 8" xfId="53196"/>
    <cellStyle name="Note 18 2 9" xfId="53197"/>
    <cellStyle name="Note 18 3" xfId="53198"/>
    <cellStyle name="Note 18 3 10" xfId="53199"/>
    <cellStyle name="Note 18 3 11" xfId="53200"/>
    <cellStyle name="Note 18 3 12" xfId="53201"/>
    <cellStyle name="Note 18 3 13" xfId="53202"/>
    <cellStyle name="Note 18 3 14" xfId="53203"/>
    <cellStyle name="Note 18 3 15" xfId="53204"/>
    <cellStyle name="Note 18 3 16" xfId="53205"/>
    <cellStyle name="Note 18 3 17" xfId="53206"/>
    <cellStyle name="Note 18 3 18" xfId="53207"/>
    <cellStyle name="Note 18 3 19" xfId="53208"/>
    <cellStyle name="Note 18 3 2" xfId="53209"/>
    <cellStyle name="Note 18 3 2 2" xfId="53210"/>
    <cellStyle name="Note 18 3 20" xfId="53211"/>
    <cellStyle name="Note 18 3 21" xfId="53212"/>
    <cellStyle name="Note 18 3 22" xfId="53213"/>
    <cellStyle name="Note 18 3 23" xfId="53214"/>
    <cellStyle name="Note 18 3 24" xfId="53215"/>
    <cellStyle name="Note 18 3 25" xfId="53216"/>
    <cellStyle name="Note 18 3 26" xfId="53217"/>
    <cellStyle name="Note 18 3 27" xfId="53218"/>
    <cellStyle name="Note 18 3 28" xfId="53219"/>
    <cellStyle name="Note 18 3 29" xfId="53220"/>
    <cellStyle name="Note 18 3 3" xfId="53221"/>
    <cellStyle name="Note 18 3 30" xfId="53222"/>
    <cellStyle name="Note 18 3 31" xfId="53223"/>
    <cellStyle name="Note 18 3 32" xfId="53224"/>
    <cellStyle name="Note 18 3 33" xfId="53225"/>
    <cellStyle name="Note 18 3 34" xfId="53226"/>
    <cellStyle name="Note 18 3 35" xfId="53227"/>
    <cellStyle name="Note 18 3 36" xfId="53228"/>
    <cellStyle name="Note 18 3 37" xfId="53229"/>
    <cellStyle name="Note 18 3 38" xfId="53230"/>
    <cellStyle name="Note 18 3 39" xfId="53231"/>
    <cellStyle name="Note 18 3 4" xfId="53232"/>
    <cellStyle name="Note 18 3 40" xfId="53233"/>
    <cellStyle name="Note 18 3 41" xfId="53234"/>
    <cellStyle name="Note 18 3 42" xfId="53235"/>
    <cellStyle name="Note 18 3 43" xfId="53236"/>
    <cellStyle name="Note 18 3 44" xfId="53237"/>
    <cellStyle name="Note 18 3 45" xfId="53238"/>
    <cellStyle name="Note 18 3 46" xfId="53239"/>
    <cellStyle name="Note 18 3 47" xfId="53240"/>
    <cellStyle name="Note 18 3 48" xfId="53241"/>
    <cellStyle name="Note 18 3 49" xfId="53242"/>
    <cellStyle name="Note 18 3 5" xfId="53243"/>
    <cellStyle name="Note 18 3 50" xfId="53244"/>
    <cellStyle name="Note 18 3 51" xfId="53245"/>
    <cellStyle name="Note 18 3 52" xfId="53246"/>
    <cellStyle name="Note 18 3 53" xfId="53247"/>
    <cellStyle name="Note 18 3 54" xfId="53248"/>
    <cellStyle name="Note 18 3 55" xfId="53249"/>
    <cellStyle name="Note 18 3 6" xfId="53250"/>
    <cellStyle name="Note 18 3 7" xfId="53251"/>
    <cellStyle name="Note 18 3 8" xfId="53252"/>
    <cellStyle name="Note 18 3 9" xfId="53253"/>
    <cellStyle name="Note 18 4" xfId="57938"/>
    <cellStyle name="Note 19" xfId="53254"/>
    <cellStyle name="Note 19 10" xfId="53255"/>
    <cellStyle name="Note 19 11" xfId="53256"/>
    <cellStyle name="Note 19 12" xfId="53257"/>
    <cellStyle name="Note 19 13" xfId="53258"/>
    <cellStyle name="Note 19 14" xfId="57939"/>
    <cellStyle name="Note 19 2" xfId="53259"/>
    <cellStyle name="Note 19 2 2" xfId="53260"/>
    <cellStyle name="Note 19 3" xfId="53261"/>
    <cellStyle name="Note 19 4" xfId="53262"/>
    <cellStyle name="Note 19 5" xfId="53263"/>
    <cellStyle name="Note 19 6" xfId="53264"/>
    <cellStyle name="Note 19 7" xfId="53265"/>
    <cellStyle name="Note 19 8" xfId="53266"/>
    <cellStyle name="Note 19 9" xfId="53267"/>
    <cellStyle name="Note 2" xfId="53268"/>
    <cellStyle name="Note 2 10" xfId="53269"/>
    <cellStyle name="Note 2 11" xfId="53270"/>
    <cellStyle name="Note 2 12" xfId="53271"/>
    <cellStyle name="Note 2 13" xfId="53272"/>
    <cellStyle name="Note 2 14" xfId="53273"/>
    <cellStyle name="Note 2 15" xfId="53274"/>
    <cellStyle name="Note 2 16" xfId="53275"/>
    <cellStyle name="Note 2 17" xfId="57940"/>
    <cellStyle name="Note 2 2" xfId="53276"/>
    <cellStyle name="Note 2 2 10" xfId="53277"/>
    <cellStyle name="Note 2 2 11" xfId="53278"/>
    <cellStyle name="Note 2 2 12" xfId="53279"/>
    <cellStyle name="Note 2 2 13" xfId="53280"/>
    <cellStyle name="Note 2 2 14" xfId="53281"/>
    <cellStyle name="Note 2 2 15" xfId="53282"/>
    <cellStyle name="Note 2 2 16" xfId="53283"/>
    <cellStyle name="Note 2 2 17" xfId="57941"/>
    <cellStyle name="Note 2 2 2" xfId="53284"/>
    <cellStyle name="Note 2 2 2 10" xfId="53285"/>
    <cellStyle name="Note 2 2 2 11" xfId="53286"/>
    <cellStyle name="Note 2 2 2 12" xfId="53287"/>
    <cellStyle name="Note 2 2 2 13" xfId="53288"/>
    <cellStyle name="Note 2 2 2 14" xfId="53289"/>
    <cellStyle name="Note 2 2 2 15" xfId="53290"/>
    <cellStyle name="Note 2 2 2 16" xfId="53291"/>
    <cellStyle name="Note 2 2 2 17" xfId="53292"/>
    <cellStyle name="Note 2 2 2 18" xfId="53293"/>
    <cellStyle name="Note 2 2 2 19" xfId="53294"/>
    <cellStyle name="Note 2 2 2 2" xfId="53295"/>
    <cellStyle name="Note 2 2 2 2 2" xfId="53296"/>
    <cellStyle name="Note 2 2 2 20" xfId="53297"/>
    <cellStyle name="Note 2 2 2 21" xfId="53298"/>
    <cellStyle name="Note 2 2 2 22" xfId="53299"/>
    <cellStyle name="Note 2 2 2 23" xfId="53300"/>
    <cellStyle name="Note 2 2 2 24" xfId="53301"/>
    <cellStyle name="Note 2 2 2 25" xfId="53302"/>
    <cellStyle name="Note 2 2 2 26" xfId="53303"/>
    <cellStyle name="Note 2 2 2 27" xfId="53304"/>
    <cellStyle name="Note 2 2 2 28" xfId="53305"/>
    <cellStyle name="Note 2 2 2 29" xfId="53306"/>
    <cellStyle name="Note 2 2 2 3" xfId="53307"/>
    <cellStyle name="Note 2 2 2 30" xfId="53308"/>
    <cellStyle name="Note 2 2 2 31" xfId="53309"/>
    <cellStyle name="Note 2 2 2 32" xfId="53310"/>
    <cellStyle name="Note 2 2 2 33" xfId="53311"/>
    <cellStyle name="Note 2 2 2 34" xfId="53312"/>
    <cellStyle name="Note 2 2 2 35" xfId="53313"/>
    <cellStyle name="Note 2 2 2 36" xfId="53314"/>
    <cellStyle name="Note 2 2 2 37" xfId="53315"/>
    <cellStyle name="Note 2 2 2 38" xfId="53316"/>
    <cellStyle name="Note 2 2 2 39" xfId="53317"/>
    <cellStyle name="Note 2 2 2 4" xfId="53318"/>
    <cellStyle name="Note 2 2 2 40" xfId="53319"/>
    <cellStyle name="Note 2 2 2 41" xfId="53320"/>
    <cellStyle name="Note 2 2 2 42" xfId="53321"/>
    <cellStyle name="Note 2 2 2 43" xfId="53322"/>
    <cellStyle name="Note 2 2 2 44" xfId="53323"/>
    <cellStyle name="Note 2 2 2 45" xfId="53324"/>
    <cellStyle name="Note 2 2 2 46" xfId="53325"/>
    <cellStyle name="Note 2 2 2 47" xfId="53326"/>
    <cellStyle name="Note 2 2 2 48" xfId="53327"/>
    <cellStyle name="Note 2 2 2 49" xfId="53328"/>
    <cellStyle name="Note 2 2 2 5" xfId="53329"/>
    <cellStyle name="Note 2 2 2 50" xfId="53330"/>
    <cellStyle name="Note 2 2 2 51" xfId="53331"/>
    <cellStyle name="Note 2 2 2 52" xfId="53332"/>
    <cellStyle name="Note 2 2 2 53" xfId="53333"/>
    <cellStyle name="Note 2 2 2 54" xfId="53334"/>
    <cellStyle name="Note 2 2 2 55" xfId="53335"/>
    <cellStyle name="Note 2 2 2 6" xfId="53336"/>
    <cellStyle name="Note 2 2 2 7" xfId="53337"/>
    <cellStyle name="Note 2 2 2 8" xfId="53338"/>
    <cellStyle name="Note 2 2 2 9" xfId="53339"/>
    <cellStyle name="Note 2 2 3" xfId="53340"/>
    <cellStyle name="Note 2 2 3 10" xfId="53341"/>
    <cellStyle name="Note 2 2 3 11" xfId="53342"/>
    <cellStyle name="Note 2 2 3 12" xfId="53343"/>
    <cellStyle name="Note 2 2 3 13" xfId="53344"/>
    <cellStyle name="Note 2 2 3 14" xfId="53345"/>
    <cellStyle name="Note 2 2 3 15" xfId="53346"/>
    <cellStyle name="Note 2 2 3 16" xfId="53347"/>
    <cellStyle name="Note 2 2 3 17" xfId="53348"/>
    <cellStyle name="Note 2 2 3 18" xfId="53349"/>
    <cellStyle name="Note 2 2 3 19" xfId="53350"/>
    <cellStyle name="Note 2 2 3 2" xfId="53351"/>
    <cellStyle name="Note 2 2 3 2 2" xfId="53352"/>
    <cellStyle name="Note 2 2 3 20" xfId="53353"/>
    <cellStyle name="Note 2 2 3 21" xfId="53354"/>
    <cellStyle name="Note 2 2 3 22" xfId="53355"/>
    <cellStyle name="Note 2 2 3 23" xfId="53356"/>
    <cellStyle name="Note 2 2 3 24" xfId="53357"/>
    <cellStyle name="Note 2 2 3 25" xfId="53358"/>
    <cellStyle name="Note 2 2 3 26" xfId="53359"/>
    <cellStyle name="Note 2 2 3 27" xfId="53360"/>
    <cellStyle name="Note 2 2 3 28" xfId="53361"/>
    <cellStyle name="Note 2 2 3 29" xfId="53362"/>
    <cellStyle name="Note 2 2 3 3" xfId="53363"/>
    <cellStyle name="Note 2 2 3 30" xfId="53364"/>
    <cellStyle name="Note 2 2 3 31" xfId="53365"/>
    <cellStyle name="Note 2 2 3 32" xfId="53366"/>
    <cellStyle name="Note 2 2 3 33" xfId="53367"/>
    <cellStyle name="Note 2 2 3 34" xfId="53368"/>
    <cellStyle name="Note 2 2 3 35" xfId="53369"/>
    <cellStyle name="Note 2 2 3 36" xfId="53370"/>
    <cellStyle name="Note 2 2 3 37" xfId="53371"/>
    <cellStyle name="Note 2 2 3 38" xfId="53372"/>
    <cellStyle name="Note 2 2 3 39" xfId="53373"/>
    <cellStyle name="Note 2 2 3 4" xfId="53374"/>
    <cellStyle name="Note 2 2 3 40" xfId="53375"/>
    <cellStyle name="Note 2 2 3 41" xfId="53376"/>
    <cellStyle name="Note 2 2 3 42" xfId="53377"/>
    <cellStyle name="Note 2 2 3 43" xfId="53378"/>
    <cellStyle name="Note 2 2 3 44" xfId="53379"/>
    <cellStyle name="Note 2 2 3 45" xfId="53380"/>
    <cellStyle name="Note 2 2 3 46" xfId="53381"/>
    <cellStyle name="Note 2 2 3 47" xfId="53382"/>
    <cellStyle name="Note 2 2 3 48" xfId="53383"/>
    <cellStyle name="Note 2 2 3 49" xfId="53384"/>
    <cellStyle name="Note 2 2 3 5" xfId="53385"/>
    <cellStyle name="Note 2 2 3 50" xfId="53386"/>
    <cellStyle name="Note 2 2 3 51" xfId="53387"/>
    <cellStyle name="Note 2 2 3 52" xfId="53388"/>
    <cellStyle name="Note 2 2 3 53" xfId="53389"/>
    <cellStyle name="Note 2 2 3 54" xfId="53390"/>
    <cellStyle name="Note 2 2 3 55" xfId="53391"/>
    <cellStyle name="Note 2 2 3 6" xfId="53392"/>
    <cellStyle name="Note 2 2 3 7" xfId="53393"/>
    <cellStyle name="Note 2 2 3 8" xfId="53394"/>
    <cellStyle name="Note 2 2 3 9" xfId="53395"/>
    <cellStyle name="Note 2 2 4" xfId="53396"/>
    <cellStyle name="Note 2 2 4 2" xfId="53397"/>
    <cellStyle name="Note 2 2 5" xfId="53398"/>
    <cellStyle name="Note 2 2 5 2" xfId="53399"/>
    <cellStyle name="Note 2 2 6" xfId="53400"/>
    <cellStyle name="Note 2 2 7" xfId="53401"/>
    <cellStyle name="Note 2 2 8" xfId="53402"/>
    <cellStyle name="Note 2 2 9" xfId="53403"/>
    <cellStyle name="Note 2 3" xfId="53404"/>
    <cellStyle name="Note 2 3 10" xfId="53405"/>
    <cellStyle name="Note 2 3 11" xfId="53406"/>
    <cellStyle name="Note 2 3 12" xfId="53407"/>
    <cellStyle name="Note 2 3 13" xfId="53408"/>
    <cellStyle name="Note 2 3 14" xfId="53409"/>
    <cellStyle name="Note 2 3 15" xfId="53410"/>
    <cellStyle name="Note 2 3 16" xfId="53411"/>
    <cellStyle name="Note 2 3 17" xfId="53412"/>
    <cellStyle name="Note 2 3 18" xfId="53413"/>
    <cellStyle name="Note 2 3 19" xfId="53414"/>
    <cellStyle name="Note 2 3 2" xfId="53415"/>
    <cellStyle name="Note 2 3 2 2" xfId="53416"/>
    <cellStyle name="Note 2 3 20" xfId="53417"/>
    <cellStyle name="Note 2 3 21" xfId="53418"/>
    <cellStyle name="Note 2 3 22" xfId="53419"/>
    <cellStyle name="Note 2 3 23" xfId="53420"/>
    <cellStyle name="Note 2 3 24" xfId="53421"/>
    <cellStyle name="Note 2 3 25" xfId="53422"/>
    <cellStyle name="Note 2 3 26" xfId="53423"/>
    <cellStyle name="Note 2 3 27" xfId="53424"/>
    <cellStyle name="Note 2 3 28" xfId="53425"/>
    <cellStyle name="Note 2 3 29" xfId="53426"/>
    <cellStyle name="Note 2 3 3" xfId="53427"/>
    <cellStyle name="Note 2 3 30" xfId="53428"/>
    <cellStyle name="Note 2 3 31" xfId="53429"/>
    <cellStyle name="Note 2 3 32" xfId="53430"/>
    <cellStyle name="Note 2 3 33" xfId="53431"/>
    <cellStyle name="Note 2 3 34" xfId="53432"/>
    <cellStyle name="Note 2 3 35" xfId="53433"/>
    <cellStyle name="Note 2 3 36" xfId="53434"/>
    <cellStyle name="Note 2 3 37" xfId="53435"/>
    <cellStyle name="Note 2 3 38" xfId="53436"/>
    <cellStyle name="Note 2 3 39" xfId="53437"/>
    <cellStyle name="Note 2 3 4" xfId="53438"/>
    <cellStyle name="Note 2 3 40" xfId="53439"/>
    <cellStyle name="Note 2 3 41" xfId="53440"/>
    <cellStyle name="Note 2 3 42" xfId="53441"/>
    <cellStyle name="Note 2 3 43" xfId="53442"/>
    <cellStyle name="Note 2 3 44" xfId="53443"/>
    <cellStyle name="Note 2 3 45" xfId="53444"/>
    <cellStyle name="Note 2 3 46" xfId="53445"/>
    <cellStyle name="Note 2 3 47" xfId="53446"/>
    <cellStyle name="Note 2 3 48" xfId="53447"/>
    <cellStyle name="Note 2 3 49" xfId="53448"/>
    <cellStyle name="Note 2 3 5" xfId="53449"/>
    <cellStyle name="Note 2 3 50" xfId="53450"/>
    <cellStyle name="Note 2 3 51" xfId="53451"/>
    <cellStyle name="Note 2 3 52" xfId="53452"/>
    <cellStyle name="Note 2 3 53" xfId="53453"/>
    <cellStyle name="Note 2 3 54" xfId="53454"/>
    <cellStyle name="Note 2 3 55" xfId="53455"/>
    <cellStyle name="Note 2 3 56" xfId="53456"/>
    <cellStyle name="Note 2 3 57" xfId="57942"/>
    <cellStyle name="Note 2 3 6" xfId="53457"/>
    <cellStyle name="Note 2 3 7" xfId="53458"/>
    <cellStyle name="Note 2 3 8" xfId="53459"/>
    <cellStyle name="Note 2 3 9" xfId="53460"/>
    <cellStyle name="Note 2 4" xfId="53461"/>
    <cellStyle name="Note 2 4 10" xfId="53462"/>
    <cellStyle name="Note 2 4 11" xfId="53463"/>
    <cellStyle name="Note 2 4 12" xfId="53464"/>
    <cellStyle name="Note 2 4 13" xfId="53465"/>
    <cellStyle name="Note 2 4 14" xfId="53466"/>
    <cellStyle name="Note 2 4 2" xfId="53467"/>
    <cellStyle name="Note 2 4 2 2" xfId="53468"/>
    <cellStyle name="Note 2 4 3" xfId="53469"/>
    <cellStyle name="Note 2 4 4" xfId="53470"/>
    <cellStyle name="Note 2 4 5" xfId="53471"/>
    <cellStyle name="Note 2 4 6" xfId="53472"/>
    <cellStyle name="Note 2 4 7" xfId="53473"/>
    <cellStyle name="Note 2 4 8" xfId="53474"/>
    <cellStyle name="Note 2 4 9" xfId="53475"/>
    <cellStyle name="Note 2 5" xfId="53476"/>
    <cellStyle name="Note 2 5 2" xfId="53477"/>
    <cellStyle name="Note 2 5 2 2" xfId="53478"/>
    <cellStyle name="Note 2 5 3" xfId="53479"/>
    <cellStyle name="Note 2 6" xfId="53480"/>
    <cellStyle name="Note 2 6 2" xfId="53481"/>
    <cellStyle name="Note 2 6 2 2" xfId="53482"/>
    <cellStyle name="Note 2 6 3" xfId="53483"/>
    <cellStyle name="Note 2 7" xfId="53484"/>
    <cellStyle name="Note 2 7 2" xfId="53485"/>
    <cellStyle name="Note 2 7 2 2" xfId="53486"/>
    <cellStyle name="Note 2 7 3" xfId="53487"/>
    <cellStyle name="Note 2 8" xfId="53488"/>
    <cellStyle name="Note 2 8 2" xfId="53489"/>
    <cellStyle name="Note 2 9" xfId="53490"/>
    <cellStyle name="Note 2_Copy of PREPAID INSURANCE - ASSETS (deni)" xfId="53491"/>
    <cellStyle name="Note 20" xfId="53492"/>
    <cellStyle name="Note 20 2" xfId="53493"/>
    <cellStyle name="Note 20 2 2" xfId="53494"/>
    <cellStyle name="Note 20 3" xfId="53495"/>
    <cellStyle name="Note 20 4" xfId="57943"/>
    <cellStyle name="Note 21" xfId="53496"/>
    <cellStyle name="Note 21 2" xfId="53497"/>
    <cellStyle name="Note 21 2 2" xfId="53498"/>
    <cellStyle name="Note 21 3" xfId="53499"/>
    <cellStyle name="Note 21 4" xfId="57944"/>
    <cellStyle name="Note 22" xfId="53500"/>
    <cellStyle name="Note 22 2" xfId="53501"/>
    <cellStyle name="Note 22 2 2" xfId="53502"/>
    <cellStyle name="Note 22 3" xfId="53503"/>
    <cellStyle name="Note 22 4" xfId="57945"/>
    <cellStyle name="Note 23" xfId="53504"/>
    <cellStyle name="Note 23 2" xfId="53505"/>
    <cellStyle name="Note 23 2 2" xfId="53506"/>
    <cellStyle name="Note 23 3" xfId="53507"/>
    <cellStyle name="Note 23 4" xfId="57946"/>
    <cellStyle name="Note 24" xfId="53508"/>
    <cellStyle name="Note 24 2" xfId="53509"/>
    <cellStyle name="Note 24 2 2" xfId="53510"/>
    <cellStyle name="Note 24 3" xfId="53511"/>
    <cellStyle name="Note 24 4" xfId="57947"/>
    <cellStyle name="Note 25" xfId="53512"/>
    <cellStyle name="Note 25 2" xfId="53513"/>
    <cellStyle name="Note 25 2 2" xfId="53514"/>
    <cellStyle name="Note 25 3" xfId="53515"/>
    <cellStyle name="Note 25 4" xfId="57948"/>
    <cellStyle name="Note 256" xfId="53516"/>
    <cellStyle name="Note 26" xfId="53517"/>
    <cellStyle name="Note 26 2" xfId="53518"/>
    <cellStyle name="Note 26 2 2" xfId="53519"/>
    <cellStyle name="Note 26 3" xfId="53520"/>
    <cellStyle name="Note 26 4" xfId="57949"/>
    <cellStyle name="Note 27" xfId="53521"/>
    <cellStyle name="Note 27 2" xfId="53522"/>
    <cellStyle name="Note 27 2 2" xfId="53523"/>
    <cellStyle name="Note 27 3" xfId="53524"/>
    <cellStyle name="Note 27 4" xfId="57950"/>
    <cellStyle name="Note 28" xfId="53525"/>
    <cellStyle name="Note 28 2" xfId="53526"/>
    <cellStyle name="Note 28 2 2" xfId="53527"/>
    <cellStyle name="Note 28 3" xfId="53528"/>
    <cellStyle name="Note 28 4" xfId="57951"/>
    <cellStyle name="Note 29" xfId="53529"/>
    <cellStyle name="Note 29 2" xfId="53530"/>
    <cellStyle name="Note 29 2 2" xfId="53531"/>
    <cellStyle name="Note 29 3" xfId="53532"/>
    <cellStyle name="Note 29 4" xfId="57952"/>
    <cellStyle name="Note 3" xfId="53533"/>
    <cellStyle name="Note 3 10" xfId="53534"/>
    <cellStyle name="Note 3 11" xfId="53535"/>
    <cellStyle name="Note 3 12" xfId="53536"/>
    <cellStyle name="Note 3 13" xfId="53537"/>
    <cellStyle name="Note 3 14" xfId="53538"/>
    <cellStyle name="Note 3 15" xfId="53539"/>
    <cellStyle name="Note 3 16" xfId="57953"/>
    <cellStyle name="Note 3 2" xfId="53540"/>
    <cellStyle name="Note 3 2 10" xfId="53541"/>
    <cellStyle name="Note 3 2 11" xfId="53542"/>
    <cellStyle name="Note 3 2 12" xfId="53543"/>
    <cellStyle name="Note 3 2 13" xfId="53544"/>
    <cellStyle name="Note 3 2 14" xfId="57954"/>
    <cellStyle name="Note 3 2 2" xfId="53545"/>
    <cellStyle name="Note 3 2 2 2" xfId="53546"/>
    <cellStyle name="Note 3 2 3" xfId="53547"/>
    <cellStyle name="Note 3 2 4" xfId="53548"/>
    <cellStyle name="Note 3 2 5" xfId="53549"/>
    <cellStyle name="Note 3 2 6" xfId="53550"/>
    <cellStyle name="Note 3 2 7" xfId="53551"/>
    <cellStyle name="Note 3 2 8" xfId="53552"/>
    <cellStyle name="Note 3 2 9" xfId="53553"/>
    <cellStyle name="Note 3 3" xfId="53554"/>
    <cellStyle name="Note 3 3 10" xfId="53555"/>
    <cellStyle name="Note 3 3 11" xfId="53556"/>
    <cellStyle name="Note 3 3 12" xfId="53557"/>
    <cellStyle name="Note 3 3 13" xfId="53558"/>
    <cellStyle name="Note 3 3 14" xfId="53559"/>
    <cellStyle name="Note 3 3 15" xfId="53560"/>
    <cellStyle name="Note 3 3 16" xfId="53561"/>
    <cellStyle name="Note 3 3 17" xfId="53562"/>
    <cellStyle name="Note 3 3 18" xfId="53563"/>
    <cellStyle name="Note 3 3 19" xfId="53564"/>
    <cellStyle name="Note 3 3 2" xfId="53565"/>
    <cellStyle name="Note 3 3 2 2" xfId="53566"/>
    <cellStyle name="Note 3 3 20" xfId="53567"/>
    <cellStyle name="Note 3 3 21" xfId="53568"/>
    <cellStyle name="Note 3 3 22" xfId="53569"/>
    <cellStyle name="Note 3 3 23" xfId="53570"/>
    <cellStyle name="Note 3 3 24" xfId="53571"/>
    <cellStyle name="Note 3 3 25" xfId="53572"/>
    <cellStyle name="Note 3 3 26" xfId="53573"/>
    <cellStyle name="Note 3 3 27" xfId="53574"/>
    <cellStyle name="Note 3 3 28" xfId="53575"/>
    <cellStyle name="Note 3 3 29" xfId="53576"/>
    <cellStyle name="Note 3 3 3" xfId="53577"/>
    <cellStyle name="Note 3 3 30" xfId="53578"/>
    <cellStyle name="Note 3 3 31" xfId="53579"/>
    <cellStyle name="Note 3 3 32" xfId="53580"/>
    <cellStyle name="Note 3 3 33" xfId="53581"/>
    <cellStyle name="Note 3 3 34" xfId="53582"/>
    <cellStyle name="Note 3 3 35" xfId="53583"/>
    <cellStyle name="Note 3 3 36" xfId="53584"/>
    <cellStyle name="Note 3 3 37" xfId="53585"/>
    <cellStyle name="Note 3 3 38" xfId="53586"/>
    <cellStyle name="Note 3 3 39" xfId="53587"/>
    <cellStyle name="Note 3 3 4" xfId="53588"/>
    <cellStyle name="Note 3 3 40" xfId="53589"/>
    <cellStyle name="Note 3 3 41" xfId="53590"/>
    <cellStyle name="Note 3 3 42" xfId="53591"/>
    <cellStyle name="Note 3 3 43" xfId="53592"/>
    <cellStyle name="Note 3 3 44" xfId="53593"/>
    <cellStyle name="Note 3 3 45" xfId="53594"/>
    <cellStyle name="Note 3 3 46" xfId="53595"/>
    <cellStyle name="Note 3 3 47" xfId="53596"/>
    <cellStyle name="Note 3 3 48" xfId="53597"/>
    <cellStyle name="Note 3 3 49" xfId="53598"/>
    <cellStyle name="Note 3 3 5" xfId="53599"/>
    <cellStyle name="Note 3 3 50" xfId="53600"/>
    <cellStyle name="Note 3 3 51" xfId="53601"/>
    <cellStyle name="Note 3 3 52" xfId="53602"/>
    <cellStyle name="Note 3 3 53" xfId="53603"/>
    <cellStyle name="Note 3 3 54" xfId="53604"/>
    <cellStyle name="Note 3 3 55" xfId="53605"/>
    <cellStyle name="Note 3 3 56" xfId="58481"/>
    <cellStyle name="Note 3 3 6" xfId="53606"/>
    <cellStyle name="Note 3 3 7" xfId="53607"/>
    <cellStyle name="Note 3 3 8" xfId="53608"/>
    <cellStyle name="Note 3 3 9" xfId="53609"/>
    <cellStyle name="Note 3 4" xfId="53610"/>
    <cellStyle name="Note 3 5" xfId="53611"/>
    <cellStyle name="Note 3 6" xfId="53612"/>
    <cellStyle name="Note 3 7" xfId="53613"/>
    <cellStyle name="Note 3 8" xfId="53614"/>
    <cellStyle name="Note 3 9" xfId="53615"/>
    <cellStyle name="Note 3_Book3" xfId="53616"/>
    <cellStyle name="Note 30" xfId="53617"/>
    <cellStyle name="Note 30 2" xfId="53618"/>
    <cellStyle name="Note 30 2 2" xfId="53619"/>
    <cellStyle name="Note 30 3" xfId="53620"/>
    <cellStyle name="Note 30 4" xfId="57955"/>
    <cellStyle name="Note 31" xfId="53621"/>
    <cellStyle name="Note 31 2" xfId="53622"/>
    <cellStyle name="Note 31 2 2" xfId="53623"/>
    <cellStyle name="Note 31 3" xfId="53624"/>
    <cellStyle name="Note 31 4" xfId="57956"/>
    <cellStyle name="Note 32" xfId="53625"/>
    <cellStyle name="Note 32 2" xfId="53626"/>
    <cellStyle name="Note 32 2 2" xfId="53627"/>
    <cellStyle name="Note 32 3" xfId="53628"/>
    <cellStyle name="Note 32 4" xfId="57957"/>
    <cellStyle name="Note 33" xfId="53629"/>
    <cellStyle name="Note 33 2" xfId="53630"/>
    <cellStyle name="Note 33 2 2" xfId="53631"/>
    <cellStyle name="Note 33 3" xfId="53632"/>
    <cellStyle name="Note 33 4" xfId="57958"/>
    <cellStyle name="Note 34" xfId="53633"/>
    <cellStyle name="Note 34 2" xfId="53634"/>
    <cellStyle name="Note 34 2 2" xfId="53635"/>
    <cellStyle name="Note 34 3" xfId="53636"/>
    <cellStyle name="Note 34 4" xfId="57959"/>
    <cellStyle name="Note 35" xfId="53637"/>
    <cellStyle name="Note 35 2" xfId="53638"/>
    <cellStyle name="Note 35 2 2" xfId="53639"/>
    <cellStyle name="Note 35 3" xfId="53640"/>
    <cellStyle name="Note 35 4" xfId="57960"/>
    <cellStyle name="Note 36" xfId="53641"/>
    <cellStyle name="Note 36 2" xfId="53642"/>
    <cellStyle name="Note 36 2 2" xfId="53643"/>
    <cellStyle name="Note 36 3" xfId="53644"/>
    <cellStyle name="Note 36 4" xfId="57961"/>
    <cellStyle name="Note 37" xfId="53645"/>
    <cellStyle name="Note 37 2" xfId="53646"/>
    <cellStyle name="Note 37 2 2" xfId="53647"/>
    <cellStyle name="Note 37 3" xfId="53648"/>
    <cellStyle name="Note 37 4" xfId="57962"/>
    <cellStyle name="Note 38" xfId="53649"/>
    <cellStyle name="Note 38 2" xfId="53650"/>
    <cellStyle name="Note 38 2 2" xfId="53651"/>
    <cellStyle name="Note 38 3" xfId="53652"/>
    <cellStyle name="Note 38 4" xfId="57963"/>
    <cellStyle name="Note 39" xfId="53653"/>
    <cellStyle name="Note 39 2" xfId="53654"/>
    <cellStyle name="Note 39 2 2" xfId="53655"/>
    <cellStyle name="Note 39 3" xfId="53656"/>
    <cellStyle name="Note 39 4" xfId="57964"/>
    <cellStyle name="Note 4" xfId="53657"/>
    <cellStyle name="Note 4 10" xfId="53658"/>
    <cellStyle name="Note 4 11" xfId="53659"/>
    <cellStyle name="Note 4 12" xfId="53660"/>
    <cellStyle name="Note 4 13" xfId="53661"/>
    <cellStyle name="Note 4 14" xfId="53662"/>
    <cellStyle name="Note 4 15" xfId="53663"/>
    <cellStyle name="Note 4 16" xfId="57965"/>
    <cellStyle name="Note 4 2" xfId="53664"/>
    <cellStyle name="Note 4 2 10" xfId="53665"/>
    <cellStyle name="Note 4 2 11" xfId="53666"/>
    <cellStyle name="Note 4 2 12" xfId="53667"/>
    <cellStyle name="Note 4 2 13" xfId="53668"/>
    <cellStyle name="Note 4 2 14" xfId="53669"/>
    <cellStyle name="Note 4 2 15" xfId="53670"/>
    <cellStyle name="Note 4 2 16" xfId="53671"/>
    <cellStyle name="Note 4 2 17" xfId="53672"/>
    <cellStyle name="Note 4 2 18" xfId="53673"/>
    <cellStyle name="Note 4 2 19" xfId="53674"/>
    <cellStyle name="Note 4 2 2" xfId="53675"/>
    <cellStyle name="Note 4 2 2 2" xfId="53676"/>
    <cellStyle name="Note 4 2 20" xfId="53677"/>
    <cellStyle name="Note 4 2 21" xfId="53678"/>
    <cellStyle name="Note 4 2 22" xfId="53679"/>
    <cellStyle name="Note 4 2 23" xfId="53680"/>
    <cellStyle name="Note 4 2 24" xfId="53681"/>
    <cellStyle name="Note 4 2 25" xfId="53682"/>
    <cellStyle name="Note 4 2 26" xfId="53683"/>
    <cellStyle name="Note 4 2 27" xfId="53684"/>
    <cellStyle name="Note 4 2 28" xfId="53685"/>
    <cellStyle name="Note 4 2 29" xfId="53686"/>
    <cellStyle name="Note 4 2 3" xfId="53687"/>
    <cellStyle name="Note 4 2 30" xfId="53688"/>
    <cellStyle name="Note 4 2 31" xfId="53689"/>
    <cellStyle name="Note 4 2 32" xfId="53690"/>
    <cellStyle name="Note 4 2 33" xfId="53691"/>
    <cellStyle name="Note 4 2 34" xfId="53692"/>
    <cellStyle name="Note 4 2 35" xfId="53693"/>
    <cellStyle name="Note 4 2 36" xfId="53694"/>
    <cellStyle name="Note 4 2 37" xfId="53695"/>
    <cellStyle name="Note 4 2 38" xfId="53696"/>
    <cellStyle name="Note 4 2 39" xfId="53697"/>
    <cellStyle name="Note 4 2 4" xfId="53698"/>
    <cellStyle name="Note 4 2 40" xfId="53699"/>
    <cellStyle name="Note 4 2 41" xfId="53700"/>
    <cellStyle name="Note 4 2 42" xfId="53701"/>
    <cellStyle name="Note 4 2 43" xfId="53702"/>
    <cellStyle name="Note 4 2 44" xfId="53703"/>
    <cellStyle name="Note 4 2 45" xfId="53704"/>
    <cellStyle name="Note 4 2 46" xfId="53705"/>
    <cellStyle name="Note 4 2 47" xfId="53706"/>
    <cellStyle name="Note 4 2 48" xfId="53707"/>
    <cellStyle name="Note 4 2 49" xfId="53708"/>
    <cellStyle name="Note 4 2 5" xfId="53709"/>
    <cellStyle name="Note 4 2 50" xfId="53710"/>
    <cellStyle name="Note 4 2 51" xfId="53711"/>
    <cellStyle name="Note 4 2 52" xfId="53712"/>
    <cellStyle name="Note 4 2 53" xfId="53713"/>
    <cellStyle name="Note 4 2 54" xfId="53714"/>
    <cellStyle name="Note 4 2 55" xfId="53715"/>
    <cellStyle name="Note 4 2 6" xfId="53716"/>
    <cellStyle name="Note 4 2 7" xfId="53717"/>
    <cellStyle name="Note 4 2 8" xfId="53718"/>
    <cellStyle name="Note 4 2 9" xfId="53719"/>
    <cellStyle name="Note 4 3" xfId="53720"/>
    <cellStyle name="Note 4 3 10" xfId="53721"/>
    <cellStyle name="Note 4 3 11" xfId="53722"/>
    <cellStyle name="Note 4 3 12" xfId="53723"/>
    <cellStyle name="Note 4 3 13" xfId="53724"/>
    <cellStyle name="Note 4 3 14" xfId="53725"/>
    <cellStyle name="Note 4 3 15" xfId="53726"/>
    <cellStyle name="Note 4 3 16" xfId="53727"/>
    <cellStyle name="Note 4 3 17" xfId="53728"/>
    <cellStyle name="Note 4 3 18" xfId="53729"/>
    <cellStyle name="Note 4 3 19" xfId="53730"/>
    <cellStyle name="Note 4 3 2" xfId="53731"/>
    <cellStyle name="Note 4 3 2 2" xfId="53732"/>
    <cellStyle name="Note 4 3 20" xfId="53733"/>
    <cellStyle name="Note 4 3 21" xfId="53734"/>
    <cellStyle name="Note 4 3 22" xfId="53735"/>
    <cellStyle name="Note 4 3 23" xfId="53736"/>
    <cellStyle name="Note 4 3 24" xfId="53737"/>
    <cellStyle name="Note 4 3 25" xfId="53738"/>
    <cellStyle name="Note 4 3 26" xfId="53739"/>
    <cellStyle name="Note 4 3 27" xfId="53740"/>
    <cellStyle name="Note 4 3 28" xfId="53741"/>
    <cellStyle name="Note 4 3 29" xfId="53742"/>
    <cellStyle name="Note 4 3 3" xfId="53743"/>
    <cellStyle name="Note 4 3 30" xfId="53744"/>
    <cellStyle name="Note 4 3 31" xfId="53745"/>
    <cellStyle name="Note 4 3 32" xfId="53746"/>
    <cellStyle name="Note 4 3 33" xfId="53747"/>
    <cellStyle name="Note 4 3 34" xfId="53748"/>
    <cellStyle name="Note 4 3 35" xfId="53749"/>
    <cellStyle name="Note 4 3 36" xfId="53750"/>
    <cellStyle name="Note 4 3 37" xfId="53751"/>
    <cellStyle name="Note 4 3 38" xfId="53752"/>
    <cellStyle name="Note 4 3 39" xfId="53753"/>
    <cellStyle name="Note 4 3 4" xfId="53754"/>
    <cellStyle name="Note 4 3 40" xfId="53755"/>
    <cellStyle name="Note 4 3 41" xfId="53756"/>
    <cellStyle name="Note 4 3 42" xfId="53757"/>
    <cellStyle name="Note 4 3 43" xfId="53758"/>
    <cellStyle name="Note 4 3 44" xfId="53759"/>
    <cellStyle name="Note 4 3 45" xfId="53760"/>
    <cellStyle name="Note 4 3 46" xfId="53761"/>
    <cellStyle name="Note 4 3 47" xfId="53762"/>
    <cellStyle name="Note 4 3 48" xfId="53763"/>
    <cellStyle name="Note 4 3 49" xfId="53764"/>
    <cellStyle name="Note 4 3 5" xfId="53765"/>
    <cellStyle name="Note 4 3 50" xfId="53766"/>
    <cellStyle name="Note 4 3 51" xfId="53767"/>
    <cellStyle name="Note 4 3 52" xfId="53768"/>
    <cellStyle name="Note 4 3 53" xfId="53769"/>
    <cellStyle name="Note 4 3 54" xfId="53770"/>
    <cellStyle name="Note 4 3 55" xfId="53771"/>
    <cellStyle name="Note 4 3 6" xfId="53772"/>
    <cellStyle name="Note 4 3 7" xfId="53773"/>
    <cellStyle name="Note 4 3 8" xfId="53774"/>
    <cellStyle name="Note 4 3 9" xfId="53775"/>
    <cellStyle name="Note 4 4" xfId="53776"/>
    <cellStyle name="Note 4 5" xfId="53777"/>
    <cellStyle name="Note 4 6" xfId="53778"/>
    <cellStyle name="Note 4 7" xfId="53779"/>
    <cellStyle name="Note 4 8" xfId="53780"/>
    <cellStyle name="Note 4 9" xfId="53781"/>
    <cellStyle name="Note 4_Book3" xfId="53782"/>
    <cellStyle name="Note 40" xfId="53783"/>
    <cellStyle name="Note 40 2" xfId="53784"/>
    <cellStyle name="Note 40 2 2" xfId="53785"/>
    <cellStyle name="Note 40 3" xfId="53786"/>
    <cellStyle name="Note 40 4" xfId="57966"/>
    <cellStyle name="Note 41" xfId="53787"/>
    <cellStyle name="Note 41 2" xfId="53788"/>
    <cellStyle name="Note 41 2 2" xfId="53789"/>
    <cellStyle name="Note 41 3" xfId="53790"/>
    <cellStyle name="Note 41 4" xfId="57967"/>
    <cellStyle name="Note 42" xfId="53791"/>
    <cellStyle name="Note 42 2" xfId="53792"/>
    <cellStyle name="Note 42 2 2" xfId="53793"/>
    <cellStyle name="Note 42 3" xfId="53794"/>
    <cellStyle name="Note 42 4" xfId="57968"/>
    <cellStyle name="Note 43" xfId="53795"/>
    <cellStyle name="Note 43 2" xfId="53796"/>
    <cellStyle name="Note 43 2 2" xfId="53797"/>
    <cellStyle name="Note 43 3" xfId="53798"/>
    <cellStyle name="Note 43 4" xfId="57969"/>
    <cellStyle name="Note 44" xfId="53799"/>
    <cellStyle name="Note 44 2" xfId="53800"/>
    <cellStyle name="Note 44 2 2" xfId="53801"/>
    <cellStyle name="Note 44 3" xfId="53802"/>
    <cellStyle name="Note 44 4" xfId="57970"/>
    <cellStyle name="Note 45" xfId="53803"/>
    <cellStyle name="Note 45 2" xfId="53804"/>
    <cellStyle name="Note 45 2 2" xfId="53805"/>
    <cellStyle name="Note 45 3" xfId="53806"/>
    <cellStyle name="Note 45 4" xfId="57971"/>
    <cellStyle name="Note 46" xfId="53807"/>
    <cellStyle name="Note 46 2" xfId="53808"/>
    <cellStyle name="Note 46 2 2" xfId="53809"/>
    <cellStyle name="Note 46 3" xfId="53810"/>
    <cellStyle name="Note 46 4" xfId="57972"/>
    <cellStyle name="Note 47" xfId="53811"/>
    <cellStyle name="Note 47 2" xfId="53812"/>
    <cellStyle name="Note 47 2 2" xfId="53813"/>
    <cellStyle name="Note 47 3" xfId="53814"/>
    <cellStyle name="Note 47 4" xfId="57973"/>
    <cellStyle name="Note 48" xfId="53815"/>
    <cellStyle name="Note 48 2" xfId="53816"/>
    <cellStyle name="Note 48 2 2" xfId="53817"/>
    <cellStyle name="Note 48 3" xfId="53818"/>
    <cellStyle name="Note 48 4" xfId="57974"/>
    <cellStyle name="Note 49" xfId="53819"/>
    <cellStyle name="Note 49 2" xfId="53820"/>
    <cellStyle name="Note 49 2 2" xfId="53821"/>
    <cellStyle name="Note 49 3" xfId="53822"/>
    <cellStyle name="Note 49 4" xfId="57975"/>
    <cellStyle name="Note 5" xfId="53823"/>
    <cellStyle name="Note 5 10" xfId="53824"/>
    <cellStyle name="Note 5 11" xfId="53825"/>
    <cellStyle name="Note 5 12" xfId="53826"/>
    <cellStyle name="Note 5 13" xfId="53827"/>
    <cellStyle name="Note 5 14" xfId="53828"/>
    <cellStyle name="Note 5 15" xfId="53829"/>
    <cellStyle name="Note 5 16" xfId="57976"/>
    <cellStyle name="Note 5 2" xfId="53830"/>
    <cellStyle name="Note 5 2 10" xfId="53831"/>
    <cellStyle name="Note 5 2 11" xfId="53832"/>
    <cellStyle name="Note 5 2 12" xfId="53833"/>
    <cellStyle name="Note 5 2 13" xfId="53834"/>
    <cellStyle name="Note 5 2 14" xfId="53835"/>
    <cellStyle name="Note 5 2 15" xfId="53836"/>
    <cellStyle name="Note 5 2 16" xfId="53837"/>
    <cellStyle name="Note 5 2 17" xfId="53838"/>
    <cellStyle name="Note 5 2 18" xfId="53839"/>
    <cellStyle name="Note 5 2 19" xfId="53840"/>
    <cellStyle name="Note 5 2 2" xfId="53841"/>
    <cellStyle name="Note 5 2 2 2" xfId="53842"/>
    <cellStyle name="Note 5 2 20" xfId="53843"/>
    <cellStyle name="Note 5 2 21" xfId="53844"/>
    <cellStyle name="Note 5 2 22" xfId="53845"/>
    <cellStyle name="Note 5 2 23" xfId="53846"/>
    <cellStyle name="Note 5 2 24" xfId="53847"/>
    <cellStyle name="Note 5 2 25" xfId="53848"/>
    <cellStyle name="Note 5 2 26" xfId="53849"/>
    <cellStyle name="Note 5 2 27" xfId="53850"/>
    <cellStyle name="Note 5 2 28" xfId="53851"/>
    <cellStyle name="Note 5 2 29" xfId="53852"/>
    <cellStyle name="Note 5 2 3" xfId="53853"/>
    <cellStyle name="Note 5 2 30" xfId="53854"/>
    <cellStyle name="Note 5 2 31" xfId="53855"/>
    <cellStyle name="Note 5 2 32" xfId="53856"/>
    <cellStyle name="Note 5 2 33" xfId="53857"/>
    <cellStyle name="Note 5 2 34" xfId="53858"/>
    <cellStyle name="Note 5 2 35" xfId="53859"/>
    <cellStyle name="Note 5 2 36" xfId="53860"/>
    <cellStyle name="Note 5 2 37" xfId="53861"/>
    <cellStyle name="Note 5 2 38" xfId="53862"/>
    <cellStyle name="Note 5 2 39" xfId="53863"/>
    <cellStyle name="Note 5 2 4" xfId="53864"/>
    <cellStyle name="Note 5 2 40" xfId="53865"/>
    <cellStyle name="Note 5 2 41" xfId="53866"/>
    <cellStyle name="Note 5 2 42" xfId="53867"/>
    <cellStyle name="Note 5 2 43" xfId="53868"/>
    <cellStyle name="Note 5 2 44" xfId="53869"/>
    <cellStyle name="Note 5 2 45" xfId="53870"/>
    <cellStyle name="Note 5 2 46" xfId="53871"/>
    <cellStyle name="Note 5 2 47" xfId="53872"/>
    <cellStyle name="Note 5 2 48" xfId="53873"/>
    <cellStyle name="Note 5 2 49" xfId="53874"/>
    <cellStyle name="Note 5 2 5" xfId="53875"/>
    <cellStyle name="Note 5 2 50" xfId="53876"/>
    <cellStyle name="Note 5 2 51" xfId="53877"/>
    <cellStyle name="Note 5 2 52" xfId="53878"/>
    <cellStyle name="Note 5 2 53" xfId="53879"/>
    <cellStyle name="Note 5 2 54" xfId="53880"/>
    <cellStyle name="Note 5 2 55" xfId="53881"/>
    <cellStyle name="Note 5 2 6" xfId="53882"/>
    <cellStyle name="Note 5 2 7" xfId="53883"/>
    <cellStyle name="Note 5 2 8" xfId="53884"/>
    <cellStyle name="Note 5 2 9" xfId="53885"/>
    <cellStyle name="Note 5 3" xfId="53886"/>
    <cellStyle name="Note 5 3 10" xfId="53887"/>
    <cellStyle name="Note 5 3 11" xfId="53888"/>
    <cellStyle name="Note 5 3 12" xfId="53889"/>
    <cellStyle name="Note 5 3 13" xfId="53890"/>
    <cellStyle name="Note 5 3 14" xfId="53891"/>
    <cellStyle name="Note 5 3 15" xfId="53892"/>
    <cellStyle name="Note 5 3 16" xfId="53893"/>
    <cellStyle name="Note 5 3 17" xfId="53894"/>
    <cellStyle name="Note 5 3 18" xfId="53895"/>
    <cellStyle name="Note 5 3 19" xfId="53896"/>
    <cellStyle name="Note 5 3 2" xfId="53897"/>
    <cellStyle name="Note 5 3 2 2" xfId="53898"/>
    <cellStyle name="Note 5 3 20" xfId="53899"/>
    <cellStyle name="Note 5 3 21" xfId="53900"/>
    <cellStyle name="Note 5 3 22" xfId="53901"/>
    <cellStyle name="Note 5 3 23" xfId="53902"/>
    <cellStyle name="Note 5 3 24" xfId="53903"/>
    <cellStyle name="Note 5 3 25" xfId="53904"/>
    <cellStyle name="Note 5 3 26" xfId="53905"/>
    <cellStyle name="Note 5 3 27" xfId="53906"/>
    <cellStyle name="Note 5 3 28" xfId="53907"/>
    <cellStyle name="Note 5 3 29" xfId="53908"/>
    <cellStyle name="Note 5 3 3" xfId="53909"/>
    <cellStyle name="Note 5 3 30" xfId="53910"/>
    <cellStyle name="Note 5 3 31" xfId="53911"/>
    <cellStyle name="Note 5 3 32" xfId="53912"/>
    <cellStyle name="Note 5 3 33" xfId="53913"/>
    <cellStyle name="Note 5 3 34" xfId="53914"/>
    <cellStyle name="Note 5 3 35" xfId="53915"/>
    <cellStyle name="Note 5 3 36" xfId="53916"/>
    <cellStyle name="Note 5 3 37" xfId="53917"/>
    <cellStyle name="Note 5 3 38" xfId="53918"/>
    <cellStyle name="Note 5 3 39" xfId="53919"/>
    <cellStyle name="Note 5 3 4" xfId="53920"/>
    <cellStyle name="Note 5 3 40" xfId="53921"/>
    <cellStyle name="Note 5 3 41" xfId="53922"/>
    <cellStyle name="Note 5 3 42" xfId="53923"/>
    <cellStyle name="Note 5 3 43" xfId="53924"/>
    <cellStyle name="Note 5 3 44" xfId="53925"/>
    <cellStyle name="Note 5 3 45" xfId="53926"/>
    <cellStyle name="Note 5 3 46" xfId="53927"/>
    <cellStyle name="Note 5 3 47" xfId="53928"/>
    <cellStyle name="Note 5 3 48" xfId="53929"/>
    <cellStyle name="Note 5 3 49" xfId="53930"/>
    <cellStyle name="Note 5 3 5" xfId="53931"/>
    <cellStyle name="Note 5 3 50" xfId="53932"/>
    <cellStyle name="Note 5 3 51" xfId="53933"/>
    <cellStyle name="Note 5 3 52" xfId="53934"/>
    <cellStyle name="Note 5 3 53" xfId="53935"/>
    <cellStyle name="Note 5 3 54" xfId="53936"/>
    <cellStyle name="Note 5 3 55" xfId="53937"/>
    <cellStyle name="Note 5 3 6" xfId="53938"/>
    <cellStyle name="Note 5 3 7" xfId="53939"/>
    <cellStyle name="Note 5 3 8" xfId="53940"/>
    <cellStyle name="Note 5 3 9" xfId="53941"/>
    <cellStyle name="Note 5 4" xfId="53942"/>
    <cellStyle name="Note 5 5" xfId="53943"/>
    <cellStyle name="Note 5 6" xfId="53944"/>
    <cellStyle name="Note 5 7" xfId="53945"/>
    <cellStyle name="Note 5 8" xfId="53946"/>
    <cellStyle name="Note 5 9" xfId="53947"/>
    <cellStyle name="Note 50" xfId="53948"/>
    <cellStyle name="Note 50 2" xfId="53949"/>
    <cellStyle name="Note 50 2 2" xfId="53950"/>
    <cellStyle name="Note 50 3" xfId="53951"/>
    <cellStyle name="Note 50 4" xfId="57977"/>
    <cellStyle name="Note 51" xfId="53952"/>
    <cellStyle name="Note 51 2" xfId="53953"/>
    <cellStyle name="Note 51 2 2" xfId="53954"/>
    <cellStyle name="Note 51 3" xfId="53955"/>
    <cellStyle name="Note 51 4" xfId="57978"/>
    <cellStyle name="Note 52" xfId="53956"/>
    <cellStyle name="Note 52 2" xfId="53957"/>
    <cellStyle name="Note 52 2 2" xfId="53958"/>
    <cellStyle name="Note 52 3" xfId="53959"/>
    <cellStyle name="Note 52 4" xfId="57979"/>
    <cellStyle name="Note 53" xfId="53960"/>
    <cellStyle name="Note 53 2" xfId="53961"/>
    <cellStyle name="Note 53 2 2" xfId="53962"/>
    <cellStyle name="Note 53 3" xfId="53963"/>
    <cellStyle name="Note 53 4" xfId="57980"/>
    <cellStyle name="Note 54" xfId="53964"/>
    <cellStyle name="Note 54 2" xfId="53965"/>
    <cellStyle name="Note 54 2 2" xfId="53966"/>
    <cellStyle name="Note 54 3" xfId="53967"/>
    <cellStyle name="Note 54 4" xfId="57981"/>
    <cellStyle name="Note 55" xfId="53968"/>
    <cellStyle name="Note 55 2" xfId="53969"/>
    <cellStyle name="Note 55 2 2" xfId="53970"/>
    <cellStyle name="Note 55 3" xfId="53971"/>
    <cellStyle name="Note 55 4" xfId="57982"/>
    <cellStyle name="Note 56" xfId="53972"/>
    <cellStyle name="Note 56 2" xfId="53973"/>
    <cellStyle name="Note 56 2 2" xfId="53974"/>
    <cellStyle name="Note 56 3" xfId="53975"/>
    <cellStyle name="Note 56 4" xfId="57983"/>
    <cellStyle name="Note 57" xfId="53976"/>
    <cellStyle name="Note 57 2" xfId="53977"/>
    <cellStyle name="Note 57 2 2" xfId="53978"/>
    <cellStyle name="Note 57 3" xfId="53979"/>
    <cellStyle name="Note 57 4" xfId="57984"/>
    <cellStyle name="Note 58" xfId="53980"/>
    <cellStyle name="Note 58 2" xfId="53981"/>
    <cellStyle name="Note 58 2 2" xfId="53982"/>
    <cellStyle name="Note 58 3" xfId="53983"/>
    <cellStyle name="Note 58 4" xfId="57985"/>
    <cellStyle name="Note 59" xfId="53984"/>
    <cellStyle name="Note 59 2" xfId="53985"/>
    <cellStyle name="Note 59 2 2" xfId="53986"/>
    <cellStyle name="Note 59 3" xfId="53987"/>
    <cellStyle name="Note 59 4" xfId="57986"/>
    <cellStyle name="Note 6" xfId="53988"/>
    <cellStyle name="Note 6 10" xfId="53989"/>
    <cellStyle name="Note 6 11" xfId="53990"/>
    <cellStyle name="Note 6 12" xfId="53991"/>
    <cellStyle name="Note 6 13" xfId="53992"/>
    <cellStyle name="Note 6 14" xfId="53993"/>
    <cellStyle name="Note 6 15" xfId="53994"/>
    <cellStyle name="Note 6 16" xfId="57987"/>
    <cellStyle name="Note 6 2" xfId="53995"/>
    <cellStyle name="Note 6 2 10" xfId="53996"/>
    <cellStyle name="Note 6 2 11" xfId="53997"/>
    <cellStyle name="Note 6 2 12" xfId="53998"/>
    <cellStyle name="Note 6 2 13" xfId="53999"/>
    <cellStyle name="Note 6 2 14" xfId="54000"/>
    <cellStyle name="Note 6 2 15" xfId="54001"/>
    <cellStyle name="Note 6 2 16" xfId="54002"/>
    <cellStyle name="Note 6 2 17" xfId="54003"/>
    <cellStyle name="Note 6 2 18" xfId="54004"/>
    <cellStyle name="Note 6 2 19" xfId="54005"/>
    <cellStyle name="Note 6 2 2" xfId="54006"/>
    <cellStyle name="Note 6 2 2 2" xfId="54007"/>
    <cellStyle name="Note 6 2 20" xfId="54008"/>
    <cellStyle name="Note 6 2 21" xfId="54009"/>
    <cellStyle name="Note 6 2 22" xfId="54010"/>
    <cellStyle name="Note 6 2 23" xfId="54011"/>
    <cellStyle name="Note 6 2 24" xfId="54012"/>
    <cellStyle name="Note 6 2 25" xfId="54013"/>
    <cellStyle name="Note 6 2 26" xfId="54014"/>
    <cellStyle name="Note 6 2 27" xfId="54015"/>
    <cellStyle name="Note 6 2 28" xfId="54016"/>
    <cellStyle name="Note 6 2 29" xfId="54017"/>
    <cellStyle name="Note 6 2 3" xfId="54018"/>
    <cellStyle name="Note 6 2 30" xfId="54019"/>
    <cellStyle name="Note 6 2 31" xfId="54020"/>
    <cellStyle name="Note 6 2 32" xfId="54021"/>
    <cellStyle name="Note 6 2 33" xfId="54022"/>
    <cellStyle name="Note 6 2 34" xfId="54023"/>
    <cellStyle name="Note 6 2 35" xfId="54024"/>
    <cellStyle name="Note 6 2 36" xfId="54025"/>
    <cellStyle name="Note 6 2 37" xfId="54026"/>
    <cellStyle name="Note 6 2 38" xfId="54027"/>
    <cellStyle name="Note 6 2 39" xfId="54028"/>
    <cellStyle name="Note 6 2 4" xfId="54029"/>
    <cellStyle name="Note 6 2 40" xfId="54030"/>
    <cellStyle name="Note 6 2 41" xfId="54031"/>
    <cellStyle name="Note 6 2 42" xfId="54032"/>
    <cellStyle name="Note 6 2 43" xfId="54033"/>
    <cellStyle name="Note 6 2 44" xfId="54034"/>
    <cellStyle name="Note 6 2 45" xfId="54035"/>
    <cellStyle name="Note 6 2 46" xfId="54036"/>
    <cellStyle name="Note 6 2 47" xfId="54037"/>
    <cellStyle name="Note 6 2 48" xfId="54038"/>
    <cellStyle name="Note 6 2 49" xfId="54039"/>
    <cellStyle name="Note 6 2 5" xfId="54040"/>
    <cellStyle name="Note 6 2 50" xfId="54041"/>
    <cellStyle name="Note 6 2 51" xfId="54042"/>
    <cellStyle name="Note 6 2 52" xfId="54043"/>
    <cellStyle name="Note 6 2 53" xfId="54044"/>
    <cellStyle name="Note 6 2 54" xfId="54045"/>
    <cellStyle name="Note 6 2 55" xfId="54046"/>
    <cellStyle name="Note 6 2 6" xfId="54047"/>
    <cellStyle name="Note 6 2 7" xfId="54048"/>
    <cellStyle name="Note 6 2 8" xfId="54049"/>
    <cellStyle name="Note 6 2 9" xfId="54050"/>
    <cellStyle name="Note 6 3" xfId="54051"/>
    <cellStyle name="Note 6 3 10" xfId="54052"/>
    <cellStyle name="Note 6 3 11" xfId="54053"/>
    <cellStyle name="Note 6 3 12" xfId="54054"/>
    <cellStyle name="Note 6 3 13" xfId="54055"/>
    <cellStyle name="Note 6 3 14" xfId="54056"/>
    <cellStyle name="Note 6 3 15" xfId="54057"/>
    <cellStyle name="Note 6 3 16" xfId="54058"/>
    <cellStyle name="Note 6 3 17" xfId="54059"/>
    <cellStyle name="Note 6 3 18" xfId="54060"/>
    <cellStyle name="Note 6 3 19" xfId="54061"/>
    <cellStyle name="Note 6 3 2" xfId="54062"/>
    <cellStyle name="Note 6 3 2 2" xfId="54063"/>
    <cellStyle name="Note 6 3 20" xfId="54064"/>
    <cellStyle name="Note 6 3 21" xfId="54065"/>
    <cellStyle name="Note 6 3 22" xfId="54066"/>
    <cellStyle name="Note 6 3 23" xfId="54067"/>
    <cellStyle name="Note 6 3 24" xfId="54068"/>
    <cellStyle name="Note 6 3 25" xfId="54069"/>
    <cellStyle name="Note 6 3 26" xfId="54070"/>
    <cellStyle name="Note 6 3 27" xfId="54071"/>
    <cellStyle name="Note 6 3 28" xfId="54072"/>
    <cellStyle name="Note 6 3 29" xfId="54073"/>
    <cellStyle name="Note 6 3 3" xfId="54074"/>
    <cellStyle name="Note 6 3 30" xfId="54075"/>
    <cellStyle name="Note 6 3 31" xfId="54076"/>
    <cellStyle name="Note 6 3 32" xfId="54077"/>
    <cellStyle name="Note 6 3 33" xfId="54078"/>
    <cellStyle name="Note 6 3 34" xfId="54079"/>
    <cellStyle name="Note 6 3 35" xfId="54080"/>
    <cellStyle name="Note 6 3 36" xfId="54081"/>
    <cellStyle name="Note 6 3 37" xfId="54082"/>
    <cellStyle name="Note 6 3 38" xfId="54083"/>
    <cellStyle name="Note 6 3 39" xfId="54084"/>
    <cellStyle name="Note 6 3 4" xfId="54085"/>
    <cellStyle name="Note 6 3 40" xfId="54086"/>
    <cellStyle name="Note 6 3 41" xfId="54087"/>
    <cellStyle name="Note 6 3 42" xfId="54088"/>
    <cellStyle name="Note 6 3 43" xfId="54089"/>
    <cellStyle name="Note 6 3 44" xfId="54090"/>
    <cellStyle name="Note 6 3 45" xfId="54091"/>
    <cellStyle name="Note 6 3 46" xfId="54092"/>
    <cellStyle name="Note 6 3 47" xfId="54093"/>
    <cellStyle name="Note 6 3 48" xfId="54094"/>
    <cellStyle name="Note 6 3 49" xfId="54095"/>
    <cellStyle name="Note 6 3 5" xfId="54096"/>
    <cellStyle name="Note 6 3 50" xfId="54097"/>
    <cellStyle name="Note 6 3 51" xfId="54098"/>
    <cellStyle name="Note 6 3 52" xfId="54099"/>
    <cellStyle name="Note 6 3 53" xfId="54100"/>
    <cellStyle name="Note 6 3 54" xfId="54101"/>
    <cellStyle name="Note 6 3 55" xfId="54102"/>
    <cellStyle name="Note 6 3 6" xfId="54103"/>
    <cellStyle name="Note 6 3 7" xfId="54104"/>
    <cellStyle name="Note 6 3 8" xfId="54105"/>
    <cellStyle name="Note 6 3 9" xfId="54106"/>
    <cellStyle name="Note 6 4" xfId="54107"/>
    <cellStyle name="Note 6 5" xfId="54108"/>
    <cellStyle name="Note 6 6" xfId="54109"/>
    <cellStyle name="Note 6 7" xfId="54110"/>
    <cellStyle name="Note 6 8" xfId="54111"/>
    <cellStyle name="Note 6 9" xfId="54112"/>
    <cellStyle name="Note 60" xfId="54113"/>
    <cellStyle name="Note 60 2" xfId="54114"/>
    <cellStyle name="Note 60 2 2" xfId="54115"/>
    <cellStyle name="Note 60 3" xfId="54116"/>
    <cellStyle name="Note 60 4" xfId="57988"/>
    <cellStyle name="Note 61" xfId="54117"/>
    <cellStyle name="Note 61 2" xfId="54118"/>
    <cellStyle name="Note 61 2 2" xfId="54119"/>
    <cellStyle name="Note 61 3" xfId="54120"/>
    <cellStyle name="Note 61 4" xfId="57989"/>
    <cellStyle name="Note 62" xfId="54121"/>
    <cellStyle name="Note 62 2" xfId="54122"/>
    <cellStyle name="Note 62 2 2" xfId="54123"/>
    <cellStyle name="Note 62 3" xfId="54124"/>
    <cellStyle name="Note 62 4" xfId="57990"/>
    <cellStyle name="Note 63" xfId="54125"/>
    <cellStyle name="Note 63 2" xfId="54126"/>
    <cellStyle name="Note 63 2 2" xfId="54127"/>
    <cellStyle name="Note 63 3" xfId="54128"/>
    <cellStyle name="Note 63 4" xfId="57991"/>
    <cellStyle name="Note 64" xfId="54129"/>
    <cellStyle name="Note 64 2" xfId="54130"/>
    <cellStyle name="Note 64 2 2" xfId="54131"/>
    <cellStyle name="Note 64 3" xfId="54132"/>
    <cellStyle name="Note 64 4" xfId="57992"/>
    <cellStyle name="Note 65" xfId="54133"/>
    <cellStyle name="Note 65 2" xfId="54134"/>
    <cellStyle name="Note 65 2 2" xfId="54135"/>
    <cellStyle name="Note 65 3" xfId="54136"/>
    <cellStyle name="Note 65 4" xfId="57993"/>
    <cellStyle name="Note 66" xfId="54137"/>
    <cellStyle name="Note 66 2" xfId="54138"/>
    <cellStyle name="Note 66 2 2" xfId="54139"/>
    <cellStyle name="Note 66 3" xfId="54140"/>
    <cellStyle name="Note 66 4" xfId="57994"/>
    <cellStyle name="Note 67" xfId="54141"/>
    <cellStyle name="Note 67 2" xfId="54142"/>
    <cellStyle name="Note 67 2 2" xfId="54143"/>
    <cellStyle name="Note 67 3" xfId="54144"/>
    <cellStyle name="Note 67 4" xfId="57995"/>
    <cellStyle name="Note 68" xfId="54145"/>
    <cellStyle name="Note 68 2" xfId="54146"/>
    <cellStyle name="Note 68 2 2" xfId="54147"/>
    <cellStyle name="Note 68 3" xfId="54148"/>
    <cellStyle name="Note 68 4" xfId="57996"/>
    <cellStyle name="Note 69" xfId="54149"/>
    <cellStyle name="Note 69 2" xfId="54150"/>
    <cellStyle name="Note 69 2 2" xfId="54151"/>
    <cellStyle name="Note 69 3" xfId="54152"/>
    <cellStyle name="Note 69 4" xfId="57997"/>
    <cellStyle name="Note 7" xfId="54153"/>
    <cellStyle name="Note 7 10" xfId="54154"/>
    <cellStyle name="Note 7 11" xfId="54155"/>
    <cellStyle name="Note 7 12" xfId="54156"/>
    <cellStyle name="Note 7 13" xfId="54157"/>
    <cellStyle name="Note 7 14" xfId="54158"/>
    <cellStyle name="Note 7 15" xfId="54159"/>
    <cellStyle name="Note 7 16" xfId="57998"/>
    <cellStyle name="Note 7 2" xfId="54160"/>
    <cellStyle name="Note 7 2 10" xfId="54161"/>
    <cellStyle name="Note 7 2 11" xfId="54162"/>
    <cellStyle name="Note 7 2 12" xfId="54163"/>
    <cellStyle name="Note 7 2 13" xfId="54164"/>
    <cellStyle name="Note 7 2 14" xfId="54165"/>
    <cellStyle name="Note 7 2 15" xfId="54166"/>
    <cellStyle name="Note 7 2 16" xfId="54167"/>
    <cellStyle name="Note 7 2 17" xfId="54168"/>
    <cellStyle name="Note 7 2 18" xfId="54169"/>
    <cellStyle name="Note 7 2 19" xfId="54170"/>
    <cellStyle name="Note 7 2 2" xfId="54171"/>
    <cellStyle name="Note 7 2 2 2" xfId="54172"/>
    <cellStyle name="Note 7 2 20" xfId="54173"/>
    <cellStyle name="Note 7 2 21" xfId="54174"/>
    <cellStyle name="Note 7 2 22" xfId="54175"/>
    <cellStyle name="Note 7 2 23" xfId="54176"/>
    <cellStyle name="Note 7 2 24" xfId="54177"/>
    <cellStyle name="Note 7 2 25" xfId="54178"/>
    <cellStyle name="Note 7 2 26" xfId="54179"/>
    <cellStyle name="Note 7 2 27" xfId="54180"/>
    <cellStyle name="Note 7 2 28" xfId="54181"/>
    <cellStyle name="Note 7 2 29" xfId="54182"/>
    <cellStyle name="Note 7 2 3" xfId="54183"/>
    <cellStyle name="Note 7 2 30" xfId="54184"/>
    <cellStyle name="Note 7 2 31" xfId="54185"/>
    <cellStyle name="Note 7 2 32" xfId="54186"/>
    <cellStyle name="Note 7 2 33" xfId="54187"/>
    <cellStyle name="Note 7 2 34" xfId="54188"/>
    <cellStyle name="Note 7 2 35" xfId="54189"/>
    <cellStyle name="Note 7 2 36" xfId="54190"/>
    <cellStyle name="Note 7 2 37" xfId="54191"/>
    <cellStyle name="Note 7 2 38" xfId="54192"/>
    <cellStyle name="Note 7 2 39" xfId="54193"/>
    <cellStyle name="Note 7 2 4" xfId="54194"/>
    <cellStyle name="Note 7 2 40" xfId="54195"/>
    <cellStyle name="Note 7 2 41" xfId="54196"/>
    <cellStyle name="Note 7 2 42" xfId="54197"/>
    <cellStyle name="Note 7 2 43" xfId="54198"/>
    <cellStyle name="Note 7 2 44" xfId="54199"/>
    <cellStyle name="Note 7 2 45" xfId="54200"/>
    <cellStyle name="Note 7 2 46" xfId="54201"/>
    <cellStyle name="Note 7 2 47" xfId="54202"/>
    <cellStyle name="Note 7 2 48" xfId="54203"/>
    <cellStyle name="Note 7 2 49" xfId="54204"/>
    <cellStyle name="Note 7 2 5" xfId="54205"/>
    <cellStyle name="Note 7 2 50" xfId="54206"/>
    <cellStyle name="Note 7 2 51" xfId="54207"/>
    <cellStyle name="Note 7 2 52" xfId="54208"/>
    <cellStyle name="Note 7 2 53" xfId="54209"/>
    <cellStyle name="Note 7 2 54" xfId="54210"/>
    <cellStyle name="Note 7 2 55" xfId="54211"/>
    <cellStyle name="Note 7 2 6" xfId="54212"/>
    <cellStyle name="Note 7 2 7" xfId="54213"/>
    <cellStyle name="Note 7 2 8" xfId="54214"/>
    <cellStyle name="Note 7 2 9" xfId="54215"/>
    <cellStyle name="Note 7 3" xfId="54216"/>
    <cellStyle name="Note 7 3 10" xfId="54217"/>
    <cellStyle name="Note 7 3 11" xfId="54218"/>
    <cellStyle name="Note 7 3 12" xfId="54219"/>
    <cellStyle name="Note 7 3 13" xfId="54220"/>
    <cellStyle name="Note 7 3 14" xfId="54221"/>
    <cellStyle name="Note 7 3 15" xfId="54222"/>
    <cellStyle name="Note 7 3 16" xfId="54223"/>
    <cellStyle name="Note 7 3 17" xfId="54224"/>
    <cellStyle name="Note 7 3 18" xfId="54225"/>
    <cellStyle name="Note 7 3 19" xfId="54226"/>
    <cellStyle name="Note 7 3 2" xfId="54227"/>
    <cellStyle name="Note 7 3 2 2" xfId="54228"/>
    <cellStyle name="Note 7 3 20" xfId="54229"/>
    <cellStyle name="Note 7 3 21" xfId="54230"/>
    <cellStyle name="Note 7 3 22" xfId="54231"/>
    <cellStyle name="Note 7 3 23" xfId="54232"/>
    <cellStyle name="Note 7 3 24" xfId="54233"/>
    <cellStyle name="Note 7 3 25" xfId="54234"/>
    <cellStyle name="Note 7 3 26" xfId="54235"/>
    <cellStyle name="Note 7 3 27" xfId="54236"/>
    <cellStyle name="Note 7 3 28" xfId="54237"/>
    <cellStyle name="Note 7 3 29" xfId="54238"/>
    <cellStyle name="Note 7 3 3" xfId="54239"/>
    <cellStyle name="Note 7 3 30" xfId="54240"/>
    <cellStyle name="Note 7 3 31" xfId="54241"/>
    <cellStyle name="Note 7 3 32" xfId="54242"/>
    <cellStyle name="Note 7 3 33" xfId="54243"/>
    <cellStyle name="Note 7 3 34" xfId="54244"/>
    <cellStyle name="Note 7 3 35" xfId="54245"/>
    <cellStyle name="Note 7 3 36" xfId="54246"/>
    <cellStyle name="Note 7 3 37" xfId="54247"/>
    <cellStyle name="Note 7 3 38" xfId="54248"/>
    <cellStyle name="Note 7 3 39" xfId="54249"/>
    <cellStyle name="Note 7 3 4" xfId="54250"/>
    <cellStyle name="Note 7 3 40" xfId="54251"/>
    <cellStyle name="Note 7 3 41" xfId="54252"/>
    <cellStyle name="Note 7 3 42" xfId="54253"/>
    <cellStyle name="Note 7 3 43" xfId="54254"/>
    <cellStyle name="Note 7 3 44" xfId="54255"/>
    <cellStyle name="Note 7 3 45" xfId="54256"/>
    <cellStyle name="Note 7 3 46" xfId="54257"/>
    <cellStyle name="Note 7 3 47" xfId="54258"/>
    <cellStyle name="Note 7 3 48" xfId="54259"/>
    <cellStyle name="Note 7 3 49" xfId="54260"/>
    <cellStyle name="Note 7 3 5" xfId="54261"/>
    <cellStyle name="Note 7 3 50" xfId="54262"/>
    <cellStyle name="Note 7 3 51" xfId="54263"/>
    <cellStyle name="Note 7 3 52" xfId="54264"/>
    <cellStyle name="Note 7 3 53" xfId="54265"/>
    <cellStyle name="Note 7 3 54" xfId="54266"/>
    <cellStyle name="Note 7 3 55" xfId="54267"/>
    <cellStyle name="Note 7 3 6" xfId="54268"/>
    <cellStyle name="Note 7 3 7" xfId="54269"/>
    <cellStyle name="Note 7 3 8" xfId="54270"/>
    <cellStyle name="Note 7 3 9" xfId="54271"/>
    <cellStyle name="Note 7 4" xfId="54272"/>
    <cellStyle name="Note 7 5" xfId="54273"/>
    <cellStyle name="Note 7 6" xfId="54274"/>
    <cellStyle name="Note 7 7" xfId="54275"/>
    <cellStyle name="Note 7 8" xfId="54276"/>
    <cellStyle name="Note 7 9" xfId="54277"/>
    <cellStyle name="Note 70" xfId="54278"/>
    <cellStyle name="Note 70 2" xfId="54279"/>
    <cellStyle name="Note 70 2 2" xfId="54280"/>
    <cellStyle name="Note 70 3" xfId="54281"/>
    <cellStyle name="Note 70 4" xfId="57999"/>
    <cellStyle name="Note 71" xfId="54282"/>
    <cellStyle name="Note 71 2" xfId="54283"/>
    <cellStyle name="Note 71 2 2" xfId="54284"/>
    <cellStyle name="Note 71 3" xfId="54285"/>
    <cellStyle name="Note 71 4" xfId="58000"/>
    <cellStyle name="Note 72" xfId="54286"/>
    <cellStyle name="Note 72 2" xfId="54287"/>
    <cellStyle name="Note 72 2 2" xfId="54288"/>
    <cellStyle name="Note 72 3" xfId="54289"/>
    <cellStyle name="Note 72 4" xfId="58001"/>
    <cellStyle name="Note 73" xfId="54290"/>
    <cellStyle name="Note 73 2" xfId="54291"/>
    <cellStyle name="Note 73 2 2" xfId="54292"/>
    <cellStyle name="Note 73 3" xfId="54293"/>
    <cellStyle name="Note 73 4" xfId="58002"/>
    <cellStyle name="Note 74" xfId="54294"/>
    <cellStyle name="Note 74 2" xfId="54295"/>
    <cellStyle name="Note 74 2 2" xfId="54296"/>
    <cellStyle name="Note 74 3" xfId="54297"/>
    <cellStyle name="Note 74 4" xfId="58003"/>
    <cellStyle name="Note 75" xfId="54298"/>
    <cellStyle name="Note 75 2" xfId="54299"/>
    <cellStyle name="Note 75 2 2" xfId="54300"/>
    <cellStyle name="Note 75 3" xfId="54301"/>
    <cellStyle name="Note 75 4" xfId="58004"/>
    <cellStyle name="Note 76" xfId="54302"/>
    <cellStyle name="Note 76 2" xfId="54303"/>
    <cellStyle name="Note 76 2 2" xfId="54304"/>
    <cellStyle name="Note 76 3" xfId="54305"/>
    <cellStyle name="Note 76 4" xfId="58005"/>
    <cellStyle name="Note 77" xfId="54306"/>
    <cellStyle name="Note 77 2" xfId="54307"/>
    <cellStyle name="Note 77 2 2" xfId="54308"/>
    <cellStyle name="Note 77 3" xfId="54309"/>
    <cellStyle name="Note 77 4" xfId="58006"/>
    <cellStyle name="Note 78" xfId="54310"/>
    <cellStyle name="Note 78 2" xfId="54311"/>
    <cellStyle name="Note 78 2 2" xfId="54312"/>
    <cellStyle name="Note 78 3" xfId="54313"/>
    <cellStyle name="Note 78 4" xfId="58007"/>
    <cellStyle name="Note 79" xfId="54314"/>
    <cellStyle name="Note 79 2" xfId="54315"/>
    <cellStyle name="Note 79 2 2" xfId="54316"/>
    <cellStyle name="Note 79 3" xfId="54317"/>
    <cellStyle name="Note 79 4" xfId="58008"/>
    <cellStyle name="Note 8" xfId="54318"/>
    <cellStyle name="Note 8 10" xfId="54319"/>
    <cellStyle name="Note 8 11" xfId="54320"/>
    <cellStyle name="Note 8 12" xfId="54321"/>
    <cellStyle name="Note 8 13" xfId="54322"/>
    <cellStyle name="Note 8 14" xfId="54323"/>
    <cellStyle name="Note 8 15" xfId="54324"/>
    <cellStyle name="Note 8 16" xfId="58009"/>
    <cellStyle name="Note 8 2" xfId="54325"/>
    <cellStyle name="Note 8 2 10" xfId="54326"/>
    <cellStyle name="Note 8 2 11" xfId="54327"/>
    <cellStyle name="Note 8 2 12" xfId="54328"/>
    <cellStyle name="Note 8 2 13" xfId="54329"/>
    <cellStyle name="Note 8 2 14" xfId="54330"/>
    <cellStyle name="Note 8 2 15" xfId="54331"/>
    <cellStyle name="Note 8 2 16" xfId="54332"/>
    <cellStyle name="Note 8 2 17" xfId="54333"/>
    <cellStyle name="Note 8 2 18" xfId="54334"/>
    <cellStyle name="Note 8 2 19" xfId="54335"/>
    <cellStyle name="Note 8 2 2" xfId="54336"/>
    <cellStyle name="Note 8 2 2 2" xfId="54337"/>
    <cellStyle name="Note 8 2 20" xfId="54338"/>
    <cellStyle name="Note 8 2 21" xfId="54339"/>
    <cellStyle name="Note 8 2 22" xfId="54340"/>
    <cellStyle name="Note 8 2 23" xfId="54341"/>
    <cellStyle name="Note 8 2 24" xfId="54342"/>
    <cellStyle name="Note 8 2 25" xfId="54343"/>
    <cellStyle name="Note 8 2 26" xfId="54344"/>
    <cellStyle name="Note 8 2 27" xfId="54345"/>
    <cellStyle name="Note 8 2 28" xfId="54346"/>
    <cellStyle name="Note 8 2 29" xfId="54347"/>
    <cellStyle name="Note 8 2 3" xfId="54348"/>
    <cellStyle name="Note 8 2 30" xfId="54349"/>
    <cellStyle name="Note 8 2 31" xfId="54350"/>
    <cellStyle name="Note 8 2 32" xfId="54351"/>
    <cellStyle name="Note 8 2 33" xfId="54352"/>
    <cellStyle name="Note 8 2 34" xfId="54353"/>
    <cellStyle name="Note 8 2 35" xfId="54354"/>
    <cellStyle name="Note 8 2 36" xfId="54355"/>
    <cellStyle name="Note 8 2 37" xfId="54356"/>
    <cellStyle name="Note 8 2 38" xfId="54357"/>
    <cellStyle name="Note 8 2 39" xfId="54358"/>
    <cellStyle name="Note 8 2 4" xfId="54359"/>
    <cellStyle name="Note 8 2 40" xfId="54360"/>
    <cellStyle name="Note 8 2 41" xfId="54361"/>
    <cellStyle name="Note 8 2 42" xfId="54362"/>
    <cellStyle name="Note 8 2 43" xfId="54363"/>
    <cellStyle name="Note 8 2 44" xfId="54364"/>
    <cellStyle name="Note 8 2 45" xfId="54365"/>
    <cellStyle name="Note 8 2 46" xfId="54366"/>
    <cellStyle name="Note 8 2 47" xfId="54367"/>
    <cellStyle name="Note 8 2 48" xfId="54368"/>
    <cellStyle name="Note 8 2 49" xfId="54369"/>
    <cellStyle name="Note 8 2 5" xfId="54370"/>
    <cellStyle name="Note 8 2 50" xfId="54371"/>
    <cellStyle name="Note 8 2 51" xfId="54372"/>
    <cellStyle name="Note 8 2 52" xfId="54373"/>
    <cellStyle name="Note 8 2 53" xfId="54374"/>
    <cellStyle name="Note 8 2 54" xfId="54375"/>
    <cellStyle name="Note 8 2 55" xfId="54376"/>
    <cellStyle name="Note 8 2 6" xfId="54377"/>
    <cellStyle name="Note 8 2 7" xfId="54378"/>
    <cellStyle name="Note 8 2 8" xfId="54379"/>
    <cellStyle name="Note 8 2 9" xfId="54380"/>
    <cellStyle name="Note 8 3" xfId="54381"/>
    <cellStyle name="Note 8 3 10" xfId="54382"/>
    <cellStyle name="Note 8 3 11" xfId="54383"/>
    <cellStyle name="Note 8 3 12" xfId="54384"/>
    <cellStyle name="Note 8 3 13" xfId="54385"/>
    <cellStyle name="Note 8 3 14" xfId="54386"/>
    <cellStyle name="Note 8 3 15" xfId="54387"/>
    <cellStyle name="Note 8 3 16" xfId="54388"/>
    <cellStyle name="Note 8 3 17" xfId="54389"/>
    <cellStyle name="Note 8 3 18" xfId="54390"/>
    <cellStyle name="Note 8 3 19" xfId="54391"/>
    <cellStyle name="Note 8 3 2" xfId="54392"/>
    <cellStyle name="Note 8 3 2 2" xfId="54393"/>
    <cellStyle name="Note 8 3 20" xfId="54394"/>
    <cellStyle name="Note 8 3 21" xfId="54395"/>
    <cellStyle name="Note 8 3 22" xfId="54396"/>
    <cellStyle name="Note 8 3 23" xfId="54397"/>
    <cellStyle name="Note 8 3 24" xfId="54398"/>
    <cellStyle name="Note 8 3 25" xfId="54399"/>
    <cellStyle name="Note 8 3 26" xfId="54400"/>
    <cellStyle name="Note 8 3 27" xfId="54401"/>
    <cellStyle name="Note 8 3 28" xfId="54402"/>
    <cellStyle name="Note 8 3 29" xfId="54403"/>
    <cellStyle name="Note 8 3 3" xfId="54404"/>
    <cellStyle name="Note 8 3 30" xfId="54405"/>
    <cellStyle name="Note 8 3 31" xfId="54406"/>
    <cellStyle name="Note 8 3 32" xfId="54407"/>
    <cellStyle name="Note 8 3 33" xfId="54408"/>
    <cellStyle name="Note 8 3 34" xfId="54409"/>
    <cellStyle name="Note 8 3 35" xfId="54410"/>
    <cellStyle name="Note 8 3 36" xfId="54411"/>
    <cellStyle name="Note 8 3 37" xfId="54412"/>
    <cellStyle name="Note 8 3 38" xfId="54413"/>
    <cellStyle name="Note 8 3 39" xfId="54414"/>
    <cellStyle name="Note 8 3 4" xfId="54415"/>
    <cellStyle name="Note 8 3 40" xfId="54416"/>
    <cellStyle name="Note 8 3 41" xfId="54417"/>
    <cellStyle name="Note 8 3 42" xfId="54418"/>
    <cellStyle name="Note 8 3 43" xfId="54419"/>
    <cellStyle name="Note 8 3 44" xfId="54420"/>
    <cellStyle name="Note 8 3 45" xfId="54421"/>
    <cellStyle name="Note 8 3 46" xfId="54422"/>
    <cellStyle name="Note 8 3 47" xfId="54423"/>
    <cellStyle name="Note 8 3 48" xfId="54424"/>
    <cellStyle name="Note 8 3 49" xfId="54425"/>
    <cellStyle name="Note 8 3 5" xfId="54426"/>
    <cellStyle name="Note 8 3 50" xfId="54427"/>
    <cellStyle name="Note 8 3 51" xfId="54428"/>
    <cellStyle name="Note 8 3 52" xfId="54429"/>
    <cellStyle name="Note 8 3 53" xfId="54430"/>
    <cellStyle name="Note 8 3 54" xfId="54431"/>
    <cellStyle name="Note 8 3 55" xfId="54432"/>
    <cellStyle name="Note 8 3 6" xfId="54433"/>
    <cellStyle name="Note 8 3 7" xfId="54434"/>
    <cellStyle name="Note 8 3 8" xfId="54435"/>
    <cellStyle name="Note 8 3 9" xfId="54436"/>
    <cellStyle name="Note 8 4" xfId="54437"/>
    <cellStyle name="Note 8 5" xfId="54438"/>
    <cellStyle name="Note 8 6" xfId="54439"/>
    <cellStyle name="Note 8 7" xfId="54440"/>
    <cellStyle name="Note 8 8" xfId="54441"/>
    <cellStyle name="Note 8 9" xfId="54442"/>
    <cellStyle name="Note 80" xfId="54443"/>
    <cellStyle name="Note 81" xfId="54444"/>
    <cellStyle name="Note 82" xfId="54445"/>
    <cellStyle name="Note 83" xfId="54446"/>
    <cellStyle name="Note 84" xfId="54447"/>
    <cellStyle name="Note 85" xfId="54448"/>
    <cellStyle name="Note 86" xfId="54449"/>
    <cellStyle name="Note 87" xfId="54450"/>
    <cellStyle name="Note 88" xfId="54451"/>
    <cellStyle name="Note 89" xfId="54452"/>
    <cellStyle name="Note 9" xfId="54453"/>
    <cellStyle name="Note 9 10" xfId="54454"/>
    <cellStyle name="Note 9 11" xfId="54455"/>
    <cellStyle name="Note 9 12" xfId="54456"/>
    <cellStyle name="Note 9 13" xfId="54457"/>
    <cellStyle name="Note 9 14" xfId="54458"/>
    <cellStyle name="Note 9 15" xfId="54459"/>
    <cellStyle name="Note 9 16" xfId="58010"/>
    <cellStyle name="Note 9 2" xfId="54460"/>
    <cellStyle name="Note 9 2 10" xfId="54461"/>
    <cellStyle name="Note 9 2 11" xfId="54462"/>
    <cellStyle name="Note 9 2 12" xfId="54463"/>
    <cellStyle name="Note 9 2 13" xfId="54464"/>
    <cellStyle name="Note 9 2 14" xfId="54465"/>
    <cellStyle name="Note 9 2 15" xfId="54466"/>
    <cellStyle name="Note 9 2 16" xfId="54467"/>
    <cellStyle name="Note 9 2 17" xfId="54468"/>
    <cellStyle name="Note 9 2 18" xfId="54469"/>
    <cellStyle name="Note 9 2 19" xfId="54470"/>
    <cellStyle name="Note 9 2 2" xfId="54471"/>
    <cellStyle name="Note 9 2 2 2" xfId="54472"/>
    <cellStyle name="Note 9 2 20" xfId="54473"/>
    <cellStyle name="Note 9 2 21" xfId="54474"/>
    <cellStyle name="Note 9 2 22" xfId="54475"/>
    <cellStyle name="Note 9 2 23" xfId="54476"/>
    <cellStyle name="Note 9 2 24" xfId="54477"/>
    <cellStyle name="Note 9 2 25" xfId="54478"/>
    <cellStyle name="Note 9 2 26" xfId="54479"/>
    <cellStyle name="Note 9 2 27" xfId="54480"/>
    <cellStyle name="Note 9 2 28" xfId="54481"/>
    <cellStyle name="Note 9 2 29" xfId="54482"/>
    <cellStyle name="Note 9 2 3" xfId="54483"/>
    <cellStyle name="Note 9 2 30" xfId="54484"/>
    <cellStyle name="Note 9 2 31" xfId="54485"/>
    <cellStyle name="Note 9 2 32" xfId="54486"/>
    <cellStyle name="Note 9 2 33" xfId="54487"/>
    <cellStyle name="Note 9 2 34" xfId="54488"/>
    <cellStyle name="Note 9 2 35" xfId="54489"/>
    <cellStyle name="Note 9 2 36" xfId="54490"/>
    <cellStyle name="Note 9 2 37" xfId="54491"/>
    <cellStyle name="Note 9 2 38" xfId="54492"/>
    <cellStyle name="Note 9 2 39" xfId="54493"/>
    <cellStyle name="Note 9 2 4" xfId="54494"/>
    <cellStyle name="Note 9 2 40" xfId="54495"/>
    <cellStyle name="Note 9 2 41" xfId="54496"/>
    <cellStyle name="Note 9 2 42" xfId="54497"/>
    <cellStyle name="Note 9 2 43" xfId="54498"/>
    <cellStyle name="Note 9 2 44" xfId="54499"/>
    <cellStyle name="Note 9 2 45" xfId="54500"/>
    <cellStyle name="Note 9 2 46" xfId="54501"/>
    <cellStyle name="Note 9 2 47" xfId="54502"/>
    <cellStyle name="Note 9 2 48" xfId="54503"/>
    <cellStyle name="Note 9 2 49" xfId="54504"/>
    <cellStyle name="Note 9 2 5" xfId="54505"/>
    <cellStyle name="Note 9 2 50" xfId="54506"/>
    <cellStyle name="Note 9 2 51" xfId="54507"/>
    <cellStyle name="Note 9 2 52" xfId="54508"/>
    <cellStyle name="Note 9 2 53" xfId="54509"/>
    <cellStyle name="Note 9 2 54" xfId="54510"/>
    <cellStyle name="Note 9 2 55" xfId="54511"/>
    <cellStyle name="Note 9 2 6" xfId="54512"/>
    <cellStyle name="Note 9 2 7" xfId="54513"/>
    <cellStyle name="Note 9 2 8" xfId="54514"/>
    <cellStyle name="Note 9 2 9" xfId="54515"/>
    <cellStyle name="Note 9 3" xfId="54516"/>
    <cellStyle name="Note 9 3 10" xfId="54517"/>
    <cellStyle name="Note 9 3 11" xfId="54518"/>
    <cellStyle name="Note 9 3 12" xfId="54519"/>
    <cellStyle name="Note 9 3 13" xfId="54520"/>
    <cellStyle name="Note 9 3 14" xfId="54521"/>
    <cellStyle name="Note 9 3 15" xfId="54522"/>
    <cellStyle name="Note 9 3 16" xfId="54523"/>
    <cellStyle name="Note 9 3 17" xfId="54524"/>
    <cellStyle name="Note 9 3 18" xfId="54525"/>
    <cellStyle name="Note 9 3 19" xfId="54526"/>
    <cellStyle name="Note 9 3 2" xfId="54527"/>
    <cellStyle name="Note 9 3 2 2" xfId="54528"/>
    <cellStyle name="Note 9 3 20" xfId="54529"/>
    <cellStyle name="Note 9 3 21" xfId="54530"/>
    <cellStyle name="Note 9 3 22" xfId="54531"/>
    <cellStyle name="Note 9 3 23" xfId="54532"/>
    <cellStyle name="Note 9 3 24" xfId="54533"/>
    <cellStyle name="Note 9 3 25" xfId="54534"/>
    <cellStyle name="Note 9 3 26" xfId="54535"/>
    <cellStyle name="Note 9 3 27" xfId="54536"/>
    <cellStyle name="Note 9 3 28" xfId="54537"/>
    <cellStyle name="Note 9 3 29" xfId="54538"/>
    <cellStyle name="Note 9 3 3" xfId="54539"/>
    <cellStyle name="Note 9 3 30" xfId="54540"/>
    <cellStyle name="Note 9 3 31" xfId="54541"/>
    <cellStyle name="Note 9 3 32" xfId="54542"/>
    <cellStyle name="Note 9 3 33" xfId="54543"/>
    <cellStyle name="Note 9 3 34" xfId="54544"/>
    <cellStyle name="Note 9 3 35" xfId="54545"/>
    <cellStyle name="Note 9 3 36" xfId="54546"/>
    <cellStyle name="Note 9 3 37" xfId="54547"/>
    <cellStyle name="Note 9 3 38" xfId="54548"/>
    <cellStyle name="Note 9 3 39" xfId="54549"/>
    <cellStyle name="Note 9 3 4" xfId="54550"/>
    <cellStyle name="Note 9 3 40" xfId="54551"/>
    <cellStyle name="Note 9 3 41" xfId="54552"/>
    <cellStyle name="Note 9 3 42" xfId="54553"/>
    <cellStyle name="Note 9 3 43" xfId="54554"/>
    <cellStyle name="Note 9 3 44" xfId="54555"/>
    <cellStyle name="Note 9 3 45" xfId="54556"/>
    <cellStyle name="Note 9 3 46" xfId="54557"/>
    <cellStyle name="Note 9 3 47" xfId="54558"/>
    <cellStyle name="Note 9 3 48" xfId="54559"/>
    <cellStyle name="Note 9 3 49" xfId="54560"/>
    <cellStyle name="Note 9 3 5" xfId="54561"/>
    <cellStyle name="Note 9 3 50" xfId="54562"/>
    <cellStyle name="Note 9 3 51" xfId="54563"/>
    <cellStyle name="Note 9 3 52" xfId="54564"/>
    <cellStyle name="Note 9 3 53" xfId="54565"/>
    <cellStyle name="Note 9 3 54" xfId="54566"/>
    <cellStyle name="Note 9 3 55" xfId="54567"/>
    <cellStyle name="Note 9 3 6" xfId="54568"/>
    <cellStyle name="Note 9 3 7" xfId="54569"/>
    <cellStyle name="Note 9 3 8" xfId="54570"/>
    <cellStyle name="Note 9 3 9" xfId="54571"/>
    <cellStyle name="Note 9 4" xfId="54572"/>
    <cellStyle name="Note 9 5" xfId="54573"/>
    <cellStyle name="Note 9 6" xfId="54574"/>
    <cellStyle name="Note 9 7" xfId="54575"/>
    <cellStyle name="Note 9 8" xfId="54576"/>
    <cellStyle name="Note 9 9" xfId="54577"/>
    <cellStyle name="Note 90" xfId="54578"/>
    <cellStyle name="Note 91" xfId="54579"/>
    <cellStyle name="Note 92" xfId="54580"/>
    <cellStyle name="Note 93" xfId="54581"/>
    <cellStyle name="Note 94" xfId="54582"/>
    <cellStyle name="Note 95" xfId="54583"/>
    <cellStyle name="Note 96" xfId="54584"/>
    <cellStyle name="Note 97" xfId="54585"/>
    <cellStyle name="Note 98" xfId="54586"/>
    <cellStyle name="Note 99" xfId="54587"/>
    <cellStyle name="Notiz" xfId="54588"/>
    <cellStyle name="Notiz 2" xfId="54589"/>
    <cellStyle name="Notiz 2 2" xfId="54590"/>
    <cellStyle name="Notiz 2 2 2" xfId="54591"/>
    <cellStyle name="Notiz 2 3" xfId="54592"/>
    <cellStyle name="Notiz 3" xfId="54593"/>
    <cellStyle name="Notiz 3 2" xfId="54594"/>
    <cellStyle name="Notiz 3 2 2" xfId="54595"/>
    <cellStyle name="Notiz 3 3" xfId="54596"/>
    <cellStyle name="Notiz 4" xfId="54597"/>
    <cellStyle name="Notiz 4 2" xfId="54598"/>
    <cellStyle name="Notiz 5" xfId="54599"/>
    <cellStyle name="Number" xfId="54600"/>
    <cellStyle name="Number 0.00" xfId="58482"/>
    <cellStyle name="Number(hide zero)" xfId="58483"/>
    <cellStyle name="Œ…‹æØ‚è [0.00]_BQ4" xfId="54601"/>
    <cellStyle name="Œ…‹æØ‚è_BQ4" xfId="54602"/>
    <cellStyle name="Output % IvS" xfId="54603"/>
    <cellStyle name="Output 10" xfId="54604"/>
    <cellStyle name="Output 10 2" xfId="54605"/>
    <cellStyle name="Output 10 3" xfId="54606"/>
    <cellStyle name="Output 11" xfId="54607"/>
    <cellStyle name="Output 11 2" xfId="54608"/>
    <cellStyle name="Output 11 3" xfId="54609"/>
    <cellStyle name="Output 12" xfId="54610"/>
    <cellStyle name="Output 12 2" xfId="54611"/>
    <cellStyle name="Output 12 3" xfId="54612"/>
    <cellStyle name="Output 13" xfId="54613"/>
    <cellStyle name="Output 13 2" xfId="54614"/>
    <cellStyle name="Output 13 3" xfId="54615"/>
    <cellStyle name="Output 14" xfId="54616"/>
    <cellStyle name="Output 14 2" xfId="54617"/>
    <cellStyle name="Output 14 3" xfId="54618"/>
    <cellStyle name="Output 15" xfId="54619"/>
    <cellStyle name="Output 15 2" xfId="54620"/>
    <cellStyle name="Output 15 3" xfId="54621"/>
    <cellStyle name="Output 16" xfId="54622"/>
    <cellStyle name="Output 16 2" xfId="54623"/>
    <cellStyle name="Output 16 3" xfId="54624"/>
    <cellStyle name="Output 17" xfId="54625"/>
    <cellStyle name="Output 17 2" xfId="54626"/>
    <cellStyle name="Output 17 3" xfId="54627"/>
    <cellStyle name="Output 18" xfId="54628"/>
    <cellStyle name="Output 18 2" xfId="54629"/>
    <cellStyle name="Output 18 3" xfId="54630"/>
    <cellStyle name="Output 19" xfId="54631"/>
    <cellStyle name="Output 19 10" xfId="54632"/>
    <cellStyle name="Output 19 11" xfId="54633"/>
    <cellStyle name="Output 19 12" xfId="54634"/>
    <cellStyle name="Output 19 13" xfId="54635"/>
    <cellStyle name="Output 19 2" xfId="54636"/>
    <cellStyle name="Output 19 3" xfId="54637"/>
    <cellStyle name="Output 19 4" xfId="54638"/>
    <cellStyle name="Output 19 5" xfId="54639"/>
    <cellStyle name="Output 19 6" xfId="54640"/>
    <cellStyle name="Output 19 7" xfId="54641"/>
    <cellStyle name="Output 19 8" xfId="54642"/>
    <cellStyle name="Output 19 9" xfId="54643"/>
    <cellStyle name="Output 2" xfId="54644"/>
    <cellStyle name="Output 2 10" xfId="54645"/>
    <cellStyle name="Output 2 11" xfId="54646"/>
    <cellStyle name="Output 2 12" xfId="54647"/>
    <cellStyle name="Output 2 13" xfId="54648"/>
    <cellStyle name="Output 2 14" xfId="54649"/>
    <cellStyle name="Output 2 15" xfId="54650"/>
    <cellStyle name="Output 2 16" xfId="54651"/>
    <cellStyle name="Output 2 17" xfId="58011"/>
    <cellStyle name="Output 2 2" xfId="54652"/>
    <cellStyle name="Output 2 2 10" xfId="54653"/>
    <cellStyle name="Output 2 2 11" xfId="54654"/>
    <cellStyle name="Output 2 2 12" xfId="54655"/>
    <cellStyle name="Output 2 2 13" xfId="54656"/>
    <cellStyle name="Output 2 2 14" xfId="54657"/>
    <cellStyle name="Output 2 2 15" xfId="54658"/>
    <cellStyle name="Output 2 2 16" xfId="54659"/>
    <cellStyle name="Output 2 2 2" xfId="54660"/>
    <cellStyle name="Output 2 2 2 2" xfId="54661"/>
    <cellStyle name="Output 2 2 2_PM Okt 2014 Plan VS Actual Planning Workshop" xfId="54662"/>
    <cellStyle name="Output 2 2 3" xfId="54663"/>
    <cellStyle name="Output 2 2 3 2" xfId="54664"/>
    <cellStyle name="Output 2 2 4" xfId="54665"/>
    <cellStyle name="Output 2 2 4 2" xfId="54666"/>
    <cellStyle name="Output 2 2 5" xfId="54667"/>
    <cellStyle name="Output 2 2 5 2" xfId="54668"/>
    <cellStyle name="Output 2 2 6" xfId="54669"/>
    <cellStyle name="Output 2 2 7" xfId="54670"/>
    <cellStyle name="Output 2 2 8" xfId="54671"/>
    <cellStyle name="Output 2 2 9" xfId="54672"/>
    <cellStyle name="Output 2 2_Format Template Preventive Maintenance" xfId="54673"/>
    <cellStyle name="Output 2 3" xfId="54674"/>
    <cellStyle name="Output 2 3 2" xfId="54675"/>
    <cellStyle name="Output 2 3 2 2" xfId="54676"/>
    <cellStyle name="Output 2 3 2_PM Okt 2014 Plan VS Actual Planning Workshop" xfId="54677"/>
    <cellStyle name="Output 2 3 3" xfId="54678"/>
    <cellStyle name="Output 2 3_Format Template Preventive Maintenance" xfId="54679"/>
    <cellStyle name="Output 2 4" xfId="54680"/>
    <cellStyle name="Output 2 4 10" xfId="54681"/>
    <cellStyle name="Output 2 4 11" xfId="54682"/>
    <cellStyle name="Output 2 4 12" xfId="54683"/>
    <cellStyle name="Output 2 4 13" xfId="54684"/>
    <cellStyle name="Output 2 4 2" xfId="54685"/>
    <cellStyle name="Output 2 4 3" xfId="54686"/>
    <cellStyle name="Output 2 4 4" xfId="54687"/>
    <cellStyle name="Output 2 4 5" xfId="54688"/>
    <cellStyle name="Output 2 4 6" xfId="54689"/>
    <cellStyle name="Output 2 4 7" xfId="54690"/>
    <cellStyle name="Output 2 4 8" xfId="54691"/>
    <cellStyle name="Output 2 4 9" xfId="54692"/>
    <cellStyle name="Output 2 5" xfId="54693"/>
    <cellStyle name="Output 2 5 2" xfId="54694"/>
    <cellStyle name="Output 2 6" xfId="54695"/>
    <cellStyle name="Output 2 6 2" xfId="54696"/>
    <cellStyle name="Output 2 7" xfId="54697"/>
    <cellStyle name="Output 2 8" xfId="54698"/>
    <cellStyle name="Output 2 9" xfId="54699"/>
    <cellStyle name="Output 2_Caje 2011 (prepaid Rent Asset)" xfId="54700"/>
    <cellStyle name="Output 20" xfId="54701"/>
    <cellStyle name="Output 21" xfId="54702"/>
    <cellStyle name="Output 22" xfId="54703"/>
    <cellStyle name="Output 23" xfId="54704"/>
    <cellStyle name="Output 24" xfId="54705"/>
    <cellStyle name="Output 25" xfId="54706"/>
    <cellStyle name="Output 26" xfId="54707"/>
    <cellStyle name="Output 27" xfId="54708"/>
    <cellStyle name="Output 28" xfId="54709"/>
    <cellStyle name="Output 29" xfId="54710"/>
    <cellStyle name="Output 3" xfId="54711"/>
    <cellStyle name="Output 3 10" xfId="54712"/>
    <cellStyle name="Output 3 11" xfId="54713"/>
    <cellStyle name="Output 3 12" xfId="54714"/>
    <cellStyle name="Output 3 13" xfId="54715"/>
    <cellStyle name="Output 3 14" xfId="54716"/>
    <cellStyle name="Output 3 15" xfId="54717"/>
    <cellStyle name="Output 3 16" xfId="58012"/>
    <cellStyle name="Output 3 2" xfId="54718"/>
    <cellStyle name="Output 3 2 2" xfId="54719"/>
    <cellStyle name="Output 3 3" xfId="54720"/>
    <cellStyle name="Output 3 4" xfId="54721"/>
    <cellStyle name="Output 3 5" xfId="54722"/>
    <cellStyle name="Output 3 6" xfId="54723"/>
    <cellStyle name="Output 3 7" xfId="54724"/>
    <cellStyle name="Output 3 8" xfId="54725"/>
    <cellStyle name="Output 3 9" xfId="54726"/>
    <cellStyle name="Output 30" xfId="54727"/>
    <cellStyle name="Output 31" xfId="54728"/>
    <cellStyle name="Output 32" xfId="54729"/>
    <cellStyle name="Output 33" xfId="54730"/>
    <cellStyle name="Output 34" xfId="54731"/>
    <cellStyle name="Output 35" xfId="54732"/>
    <cellStyle name="Output 36" xfId="54733"/>
    <cellStyle name="Output 37" xfId="54734"/>
    <cellStyle name="Output 38" xfId="54735"/>
    <cellStyle name="Output 39" xfId="54736"/>
    <cellStyle name="Output 4" xfId="54737"/>
    <cellStyle name="Output 4 10" xfId="54738"/>
    <cellStyle name="Output 4 11" xfId="54739"/>
    <cellStyle name="Output 4 12" xfId="54740"/>
    <cellStyle name="Output 4 13" xfId="54741"/>
    <cellStyle name="Output 4 14" xfId="54742"/>
    <cellStyle name="Output 4 15" xfId="54743"/>
    <cellStyle name="Output 4 2" xfId="54744"/>
    <cellStyle name="Output 4 2 2" xfId="54745"/>
    <cellStyle name="Output 4 3" xfId="54746"/>
    <cellStyle name="Output 4 4" xfId="54747"/>
    <cellStyle name="Output 4 5" xfId="54748"/>
    <cellStyle name="Output 4 6" xfId="54749"/>
    <cellStyle name="Output 4 7" xfId="54750"/>
    <cellStyle name="Output 4 8" xfId="54751"/>
    <cellStyle name="Output 4 9" xfId="54752"/>
    <cellStyle name="Output 40" xfId="54753"/>
    <cellStyle name="Output 41" xfId="54754"/>
    <cellStyle name="Output 42" xfId="54755"/>
    <cellStyle name="Output 43" xfId="54756"/>
    <cellStyle name="Output 44" xfId="54757"/>
    <cellStyle name="Output 45" xfId="54758"/>
    <cellStyle name="Output 46" xfId="54759"/>
    <cellStyle name="Output 47" xfId="54760"/>
    <cellStyle name="Output 48" xfId="54761"/>
    <cellStyle name="Output 49" xfId="54762"/>
    <cellStyle name="Output 5" xfId="54763"/>
    <cellStyle name="Output 5 2" xfId="54764"/>
    <cellStyle name="Output 5 2 2" xfId="54765"/>
    <cellStyle name="Output 5 3" xfId="54766"/>
    <cellStyle name="Output 50" xfId="54767"/>
    <cellStyle name="Output 51" xfId="54768"/>
    <cellStyle name="Output 52" xfId="54769"/>
    <cellStyle name="Output 53" xfId="54770"/>
    <cellStyle name="Output 54" xfId="58484"/>
    <cellStyle name="Output 6" xfId="54771"/>
    <cellStyle name="Output 6 2" xfId="54772"/>
    <cellStyle name="Output 6 3" xfId="54773"/>
    <cellStyle name="Output 7" xfId="54774"/>
    <cellStyle name="Output 7 2" xfId="54775"/>
    <cellStyle name="Output 7 3" xfId="54776"/>
    <cellStyle name="Output 8" xfId="54777"/>
    <cellStyle name="Output 8 2" xfId="54778"/>
    <cellStyle name="Output 8 3" xfId="54779"/>
    <cellStyle name="Output 9" xfId="54780"/>
    <cellStyle name="Output 9 2" xfId="54781"/>
    <cellStyle name="Output 9 3" xfId="54782"/>
    <cellStyle name="Output Amounts" xfId="54783"/>
    <cellStyle name="Output Column Headings" xfId="54784"/>
    <cellStyle name="Output IvS" xfId="54785"/>
    <cellStyle name="Output Line Items" xfId="54786"/>
    <cellStyle name="Output Report Heading" xfId="54787"/>
    <cellStyle name="Output Report Title" xfId="54788"/>
    <cellStyle name="Output X IvS" xfId="54789"/>
    <cellStyle name="OUTPUTNORMAL" xfId="54790"/>
    <cellStyle name="P/N" xfId="54791"/>
    <cellStyle name="Page Number" xfId="54792"/>
    <cellStyle name="PANNER" xfId="54793"/>
    <cellStyle name="PANNER 2" xfId="58013"/>
    <cellStyle name="Paragrapg Heading" xfId="54794"/>
    <cellStyle name="PC" xfId="54795"/>
    <cellStyle name="per.style" xfId="54796"/>
    <cellStyle name="per.style 2" xfId="54797"/>
    <cellStyle name="per.style 2 2" xfId="54798"/>
    <cellStyle name="per.style 2 3" xfId="54799"/>
    <cellStyle name="per.style 3" xfId="54800"/>
    <cellStyle name="Percent" xfId="7" builtinId="5"/>
    <cellStyle name="Percent (0)" xfId="54801"/>
    <cellStyle name="Percent (0) 2" xfId="54802"/>
    <cellStyle name="Percent (0) 2 2" xfId="54803"/>
    <cellStyle name="Percent (0) 2 3" xfId="54804"/>
    <cellStyle name="Percent (0) 3" xfId="54805"/>
    <cellStyle name="Percent (0) 3 2" xfId="54806"/>
    <cellStyle name="Percent (0) 4" xfId="54807"/>
    <cellStyle name="Percent (0) 4 2" xfId="54808"/>
    <cellStyle name="Percent (0) 5" xfId="54809"/>
    <cellStyle name="Percent (0) 5 2" xfId="54810"/>
    <cellStyle name="Percent (0) 6" xfId="54811"/>
    <cellStyle name="Percent (0) 6 2" xfId="54812"/>
    <cellStyle name="Percent (0) 7" xfId="58014"/>
    <cellStyle name="Percent (0.0)" xfId="58485"/>
    <cellStyle name="Percent [0]" xfId="54813"/>
    <cellStyle name="Percent [00]" xfId="54814"/>
    <cellStyle name="Percent [00] 2" xfId="54815"/>
    <cellStyle name="Percent [2]" xfId="54816"/>
    <cellStyle name="Percent [2] 2" xfId="54817"/>
    <cellStyle name="Percent [2] 2 2" xfId="58486"/>
    <cellStyle name="Percent [2] 3" xfId="58487"/>
    <cellStyle name="Percent 10" xfId="56"/>
    <cellStyle name="Percent 10 2" xfId="54818"/>
    <cellStyle name="Percent 10 2 2" xfId="61"/>
    <cellStyle name="Percent 10 2 3" xfId="58015"/>
    <cellStyle name="Percent 10 3" xfId="54819"/>
    <cellStyle name="Percent 10 4" xfId="58016"/>
    <cellStyle name="Percent 11" xfId="54820"/>
    <cellStyle name="Percent 11 2" xfId="54821"/>
    <cellStyle name="Percent 11 2 2" xfId="54822"/>
    <cellStyle name="Percent 11 2 3" xfId="58018"/>
    <cellStyle name="Percent 11 3" xfId="54823"/>
    <cellStyle name="Percent 11 4" xfId="58019"/>
    <cellStyle name="Percent 11 5" xfId="58017"/>
    <cellStyle name="Percent 12" xfId="54824"/>
    <cellStyle name="Percent 12 2" xfId="54825"/>
    <cellStyle name="Percent 12 2 2" xfId="54826"/>
    <cellStyle name="Percent 12 2 3" xfId="58020"/>
    <cellStyle name="Percent 12 3" xfId="54827"/>
    <cellStyle name="Percent 13" xfId="54828"/>
    <cellStyle name="Percent 13 2" xfId="54829"/>
    <cellStyle name="Percent 14" xfId="54830"/>
    <cellStyle name="Percent 14 2" xfId="54831"/>
    <cellStyle name="Percent 15" xfId="54832"/>
    <cellStyle name="Percent 15 2" xfId="54833"/>
    <cellStyle name="Percent 15 2 2" xfId="54834"/>
    <cellStyle name="Percent 16" xfId="54835"/>
    <cellStyle name="Percent 16 2" xfId="54836"/>
    <cellStyle name="Percent 17" xfId="54837"/>
    <cellStyle name="Percent 17 2" xfId="54838"/>
    <cellStyle name="Percent 18" xfId="54839"/>
    <cellStyle name="Percent 18 2" xfId="54840"/>
    <cellStyle name="Percent 18 2 2" xfId="54841"/>
    <cellStyle name="Percent 18 3" xfId="54842"/>
    <cellStyle name="Percent 19" xfId="54843"/>
    <cellStyle name="Percent 19 2" xfId="54844"/>
    <cellStyle name="Percent 2" xfId="17"/>
    <cellStyle name="Percent 2 10" xfId="54845"/>
    <cellStyle name="Percent 2 11" xfId="54846"/>
    <cellStyle name="Percent 2 12" xfId="54847"/>
    <cellStyle name="Percent 2 13" xfId="54848"/>
    <cellStyle name="Percent 2 14" xfId="54849"/>
    <cellStyle name="Percent 2 15" xfId="54850"/>
    <cellStyle name="Percent 2 16" xfId="54851"/>
    <cellStyle name="Percent 2 17" xfId="54852"/>
    <cellStyle name="Percent 2 18" xfId="54853"/>
    <cellStyle name="Percent 2 19" xfId="54854"/>
    <cellStyle name="Percent 2 2" xfId="54855"/>
    <cellStyle name="Percent 2 2 2" xfId="54856"/>
    <cellStyle name="Percent 2 2 2 2" xfId="54857"/>
    <cellStyle name="Percent 2 2 2 2 2" xfId="54858"/>
    <cellStyle name="Percent 2 2 2 3" xfId="54859"/>
    <cellStyle name="Percent 2 2 2 4" xfId="54860"/>
    <cellStyle name="Percent 2 2 2 4 2" xfId="54861"/>
    <cellStyle name="Percent 2 2 2 5" xfId="58488"/>
    <cellStyle name="Percent 2 2 3" xfId="54862"/>
    <cellStyle name="Percent 2 2 3 2" xfId="54863"/>
    <cellStyle name="Percent 2 2 4" xfId="54864"/>
    <cellStyle name="Percent 2 2 4 2" xfId="54865"/>
    <cellStyle name="Percent 2 2 5" xfId="54866"/>
    <cellStyle name="Percent 2 2 6" xfId="54867"/>
    <cellStyle name="Percent 2 2 7" xfId="54868"/>
    <cellStyle name="Percent 2 2 8" xfId="58489"/>
    <cellStyle name="Percent 2 2_PM Okt 2014 Plan VS Actual Planning Workshop" xfId="54869"/>
    <cellStyle name="Percent 2 20" xfId="54870"/>
    <cellStyle name="Percent 2 21" xfId="54871"/>
    <cellStyle name="Percent 2 22" xfId="54872"/>
    <cellStyle name="Percent 2 23" xfId="54873"/>
    <cellStyle name="Percent 2 24" xfId="54874"/>
    <cellStyle name="Percent 2 25" xfId="54875"/>
    <cellStyle name="Percent 2 26" xfId="54876"/>
    <cellStyle name="Percent 2 27" xfId="54877"/>
    <cellStyle name="Percent 2 28" xfId="54878"/>
    <cellStyle name="Percent 2 29" xfId="54879"/>
    <cellStyle name="Percent 2 3" xfId="54880"/>
    <cellStyle name="Percent 2 3 2" xfId="54881"/>
    <cellStyle name="Percent 2 3 2 2" xfId="58490"/>
    <cellStyle name="Percent 2 3 3" xfId="54882"/>
    <cellStyle name="Percent 2 3 4" xfId="58491"/>
    <cellStyle name="Percent 2 30" xfId="54883"/>
    <cellStyle name="Percent 2 31" xfId="54884"/>
    <cellStyle name="Percent 2 32" xfId="54885"/>
    <cellStyle name="Percent 2 33" xfId="54886"/>
    <cellStyle name="Percent 2 34" xfId="54887"/>
    <cellStyle name="Percent 2 35" xfId="54888"/>
    <cellStyle name="Percent 2 36" xfId="54889"/>
    <cellStyle name="Percent 2 37" xfId="54890"/>
    <cellStyle name="Percent 2 38" xfId="54891"/>
    <cellStyle name="Percent 2 39" xfId="54892"/>
    <cellStyle name="Percent 2 4" xfId="54893"/>
    <cellStyle name="Percent 2 4 2" xfId="54894"/>
    <cellStyle name="Percent 2 4 2 2" xfId="58492"/>
    <cellStyle name="Percent 2 4 3" xfId="58493"/>
    <cellStyle name="Percent 2 4_PM Okt 2014 Plan VS Actual Planning Workshop" xfId="54895"/>
    <cellStyle name="Percent 2 40" xfId="54896"/>
    <cellStyle name="Percent 2 41" xfId="54897"/>
    <cellStyle name="Percent 2 42" xfId="54898"/>
    <cellStyle name="Percent 2 43" xfId="54899"/>
    <cellStyle name="Percent 2 44" xfId="54900"/>
    <cellStyle name="Percent 2 45" xfId="54901"/>
    <cellStyle name="Percent 2 46" xfId="54902"/>
    <cellStyle name="Percent 2 47" xfId="54903"/>
    <cellStyle name="Percent 2 48" xfId="54904"/>
    <cellStyle name="Percent 2 49" xfId="54905"/>
    <cellStyle name="Percent 2 5" xfId="54906"/>
    <cellStyle name="Percent 2 5 2" xfId="54907"/>
    <cellStyle name="Percent 2 5 2 2" xfId="54908"/>
    <cellStyle name="Percent 2 5 2 2 2" xfId="54909"/>
    <cellStyle name="Percent 2 5 2 2 2 2" xfId="54910"/>
    <cellStyle name="Percent 2 5 2 2 2 2 2" xfId="54911"/>
    <cellStyle name="Percent 2 5 2 2 2 3" xfId="54912"/>
    <cellStyle name="Percent 2 5 2 2 3" xfId="54913"/>
    <cellStyle name="Percent 2 5 2 2 3 2" xfId="54914"/>
    <cellStyle name="Percent 2 5 2 2 4" xfId="54915"/>
    <cellStyle name="Percent 2 5 2 3" xfId="54916"/>
    <cellStyle name="Percent 2 5 2 3 2" xfId="54917"/>
    <cellStyle name="Percent 2 5 2 3 2 2" xfId="54918"/>
    <cellStyle name="Percent 2 5 2 3 3" xfId="54919"/>
    <cellStyle name="Percent 2 5 2 4" xfId="54920"/>
    <cellStyle name="Percent 2 5 2 4 2" xfId="54921"/>
    <cellStyle name="Percent 2 5 2 5" xfId="54922"/>
    <cellStyle name="Percent 2 5 3" xfId="54923"/>
    <cellStyle name="Percent 2 5 3 2" xfId="54924"/>
    <cellStyle name="Percent 2 5 3 2 2" xfId="54925"/>
    <cellStyle name="Percent 2 5 3 2 2 2" xfId="54926"/>
    <cellStyle name="Percent 2 5 3 2 3" xfId="54927"/>
    <cellStyle name="Percent 2 5 3 3" xfId="54928"/>
    <cellStyle name="Percent 2 5 3 3 2" xfId="54929"/>
    <cellStyle name="Percent 2 5 3 4" xfId="54930"/>
    <cellStyle name="Percent 2 5 4" xfId="54931"/>
    <cellStyle name="Percent 2 5 4 2" xfId="54932"/>
    <cellStyle name="Percent 2 5 4 2 2" xfId="54933"/>
    <cellStyle name="Percent 2 5 4 3" xfId="54934"/>
    <cellStyle name="Percent 2 5 5" xfId="54935"/>
    <cellStyle name="Percent 2 5 5 2" xfId="54936"/>
    <cellStyle name="Percent 2 5 6" xfId="54937"/>
    <cellStyle name="Percent 2 5 7" xfId="58494"/>
    <cellStyle name="Percent 2 50" xfId="54938"/>
    <cellStyle name="Percent 2 51" xfId="54939"/>
    <cellStyle name="Percent 2 52" xfId="54940"/>
    <cellStyle name="Percent 2 53" xfId="54941"/>
    <cellStyle name="Percent 2 54" xfId="54942"/>
    <cellStyle name="Percent 2 55" xfId="54943"/>
    <cellStyle name="Percent 2 56" xfId="54944"/>
    <cellStyle name="Percent 2 57" xfId="54945"/>
    <cellStyle name="Percent 2 58" xfId="54946"/>
    <cellStyle name="Percent 2 59" xfId="54947"/>
    <cellStyle name="Percent 2 6" xfId="54948"/>
    <cellStyle name="Percent 2 6 2" xfId="54949"/>
    <cellStyle name="Percent 2 6 2 2" xfId="54950"/>
    <cellStyle name="Percent 2 6 2 2 2" xfId="54951"/>
    <cellStyle name="Percent 2 6 2 2 2 2" xfId="54952"/>
    <cellStyle name="Percent 2 6 2 2 3" xfId="54953"/>
    <cellStyle name="Percent 2 6 2 3" xfId="54954"/>
    <cellStyle name="Percent 2 6 2 3 2" xfId="54955"/>
    <cellStyle name="Percent 2 6 2 4" xfId="54956"/>
    <cellStyle name="Percent 2 6 3" xfId="54957"/>
    <cellStyle name="Percent 2 6 3 2" xfId="54958"/>
    <cellStyle name="Percent 2 6 3 2 2" xfId="54959"/>
    <cellStyle name="Percent 2 6 3 3" xfId="54960"/>
    <cellStyle name="Percent 2 6 4" xfId="54961"/>
    <cellStyle name="Percent 2 6 4 2" xfId="54962"/>
    <cellStyle name="Percent 2 6 5" xfId="54963"/>
    <cellStyle name="Percent 2 60" xfId="54964"/>
    <cellStyle name="Percent 2 61" xfId="54965"/>
    <cellStyle name="Percent 2 62" xfId="54966"/>
    <cellStyle name="Percent 2 63" xfId="54967"/>
    <cellStyle name="Percent 2 64" xfId="54968"/>
    <cellStyle name="Percent 2 65" xfId="54969"/>
    <cellStyle name="Percent 2 66" xfId="54970"/>
    <cellStyle name="Percent 2 67" xfId="54971"/>
    <cellStyle name="Percent 2 68" xfId="54972"/>
    <cellStyle name="Percent 2 69" xfId="54973"/>
    <cellStyle name="Percent 2 7" xfId="54974"/>
    <cellStyle name="Percent 2 7 2" xfId="54975"/>
    <cellStyle name="Percent 2 7 2 2" xfId="54976"/>
    <cellStyle name="Percent 2 7 2 2 2" xfId="54977"/>
    <cellStyle name="Percent 2 7 2 3" xfId="54978"/>
    <cellStyle name="Percent 2 7 3" xfId="54979"/>
    <cellStyle name="Percent 2 7 3 2" xfId="54980"/>
    <cellStyle name="Percent 2 7 4" xfId="54981"/>
    <cellStyle name="Percent 2 70" xfId="54982"/>
    <cellStyle name="Percent 2 71" xfId="54983"/>
    <cellStyle name="Percent 2 72" xfId="54984"/>
    <cellStyle name="Percent 2 73" xfId="54985"/>
    <cellStyle name="Percent 2 74" xfId="54986"/>
    <cellStyle name="Percent 2 75" xfId="54987"/>
    <cellStyle name="Percent 2 76" xfId="54988"/>
    <cellStyle name="Percent 2 77" xfId="54989"/>
    <cellStyle name="Percent 2 78" xfId="54990"/>
    <cellStyle name="Percent 2 79" xfId="54991"/>
    <cellStyle name="Percent 2 8" xfId="54992"/>
    <cellStyle name="Percent 2 8 2" xfId="54993"/>
    <cellStyle name="Percent 2 8 2 2" xfId="54994"/>
    <cellStyle name="Percent 2 8 3" xfId="54995"/>
    <cellStyle name="Percent 2 80" xfId="54996"/>
    <cellStyle name="Percent 2 81" xfId="54997"/>
    <cellStyle name="Percent 2 82" xfId="54998"/>
    <cellStyle name="Percent 2 83" xfId="54999"/>
    <cellStyle name="Percent 2 9" xfId="55000"/>
    <cellStyle name="Percent 2 9 2" xfId="55001"/>
    <cellStyle name="Percent 2_ACC JANUARI (YOSEPH)" xfId="55002"/>
    <cellStyle name="Percent 20" xfId="55003"/>
    <cellStyle name="Percent 20 2" xfId="55004"/>
    <cellStyle name="Percent 21" xfId="55005"/>
    <cellStyle name="Percent 21 2" xfId="55006"/>
    <cellStyle name="Percent 22" xfId="55007"/>
    <cellStyle name="Percent 22 2" xfId="55008"/>
    <cellStyle name="Percent 23" xfId="55009"/>
    <cellStyle name="Percent 23 2" xfId="55010"/>
    <cellStyle name="Percent 24" xfId="55011"/>
    <cellStyle name="Percent 24 2" xfId="55012"/>
    <cellStyle name="Percent 24 3" xfId="58021"/>
    <cellStyle name="Percent 25" xfId="55013"/>
    <cellStyle name="Percent 25 2" xfId="55014"/>
    <cellStyle name="Percent 25 2 2" xfId="55015"/>
    <cellStyle name="Percent 25 2 2 2" xfId="55016"/>
    <cellStyle name="Percent 25 2 2 2 2" xfId="55017"/>
    <cellStyle name="Percent 25 2 2 2 2 2" xfId="55018"/>
    <cellStyle name="Percent 25 2 2 2 2 2 2" xfId="55019"/>
    <cellStyle name="Percent 25 2 2 2 2 3" xfId="55020"/>
    <cellStyle name="Percent 25 2 2 2 3" xfId="55021"/>
    <cellStyle name="Percent 25 2 2 2 3 2" xfId="55022"/>
    <cellStyle name="Percent 25 2 2 2 4" xfId="55023"/>
    <cellStyle name="Percent 25 2 2 3" xfId="55024"/>
    <cellStyle name="Percent 25 2 2 3 2" xfId="55025"/>
    <cellStyle name="Percent 25 2 2 3 2 2" xfId="55026"/>
    <cellStyle name="Percent 25 2 2 3 3" xfId="55027"/>
    <cellStyle name="Percent 25 2 2 4" xfId="55028"/>
    <cellStyle name="Percent 25 2 2 4 2" xfId="55029"/>
    <cellStyle name="Percent 25 2 2 5" xfId="55030"/>
    <cellStyle name="Percent 25 2 3" xfId="55031"/>
    <cellStyle name="Percent 25 2 3 2" xfId="55032"/>
    <cellStyle name="Percent 25 2 3 2 2" xfId="55033"/>
    <cellStyle name="Percent 25 2 3 2 2 2" xfId="55034"/>
    <cellStyle name="Percent 25 2 3 2 3" xfId="55035"/>
    <cellStyle name="Percent 25 2 3 3" xfId="55036"/>
    <cellStyle name="Percent 25 2 3 3 2" xfId="55037"/>
    <cellStyle name="Percent 25 2 3 4" xfId="55038"/>
    <cellStyle name="Percent 25 2 4" xfId="55039"/>
    <cellStyle name="Percent 25 2 4 2" xfId="55040"/>
    <cellStyle name="Percent 25 2 4 2 2" xfId="55041"/>
    <cellStyle name="Percent 25 2 4 3" xfId="55042"/>
    <cellStyle name="Percent 25 2 5" xfId="55043"/>
    <cellStyle name="Percent 25 2 5 2" xfId="55044"/>
    <cellStyle name="Percent 25 2 6" xfId="55045"/>
    <cellStyle name="Percent 25 3" xfId="55046"/>
    <cellStyle name="Percent 25 3 2" xfId="55047"/>
    <cellStyle name="Percent 25 3 2 2" xfId="55048"/>
    <cellStyle name="Percent 25 3 2 2 2" xfId="55049"/>
    <cellStyle name="Percent 25 3 2 2 2 2" xfId="55050"/>
    <cellStyle name="Percent 25 3 2 2 3" xfId="55051"/>
    <cellStyle name="Percent 25 3 2 3" xfId="55052"/>
    <cellStyle name="Percent 25 3 2 3 2" xfId="55053"/>
    <cellStyle name="Percent 25 3 2 4" xfId="55054"/>
    <cellStyle name="Percent 25 3 3" xfId="55055"/>
    <cellStyle name="Percent 25 3 3 2" xfId="55056"/>
    <cellStyle name="Percent 25 3 3 2 2" xfId="55057"/>
    <cellStyle name="Percent 25 3 3 3" xfId="55058"/>
    <cellStyle name="Percent 25 3 4" xfId="55059"/>
    <cellStyle name="Percent 25 3 4 2" xfId="55060"/>
    <cellStyle name="Percent 25 3 5" xfId="55061"/>
    <cellStyle name="Percent 25 4" xfId="55062"/>
    <cellStyle name="Percent 25 4 2" xfId="55063"/>
    <cellStyle name="Percent 25 4 2 2" xfId="55064"/>
    <cellStyle name="Percent 25 4 2 2 2" xfId="55065"/>
    <cellStyle name="Percent 25 4 2 3" xfId="55066"/>
    <cellStyle name="Percent 25 4 3" xfId="55067"/>
    <cellStyle name="Percent 25 4 3 2" xfId="55068"/>
    <cellStyle name="Percent 25 4 4" xfId="55069"/>
    <cellStyle name="Percent 25 5" xfId="55070"/>
    <cellStyle name="Percent 25 5 2" xfId="55071"/>
    <cellStyle name="Percent 25 5 2 2" xfId="55072"/>
    <cellStyle name="Percent 25 5 3" xfId="55073"/>
    <cellStyle name="Percent 25 6" xfId="55074"/>
    <cellStyle name="Percent 25 6 2" xfId="55075"/>
    <cellStyle name="Percent 25 7" xfId="55076"/>
    <cellStyle name="Percent 25 8" xfId="55077"/>
    <cellStyle name="Percent 25 9" xfId="58022"/>
    <cellStyle name="Percent 26" xfId="55078"/>
    <cellStyle name="Percent 26 2" xfId="55079"/>
    <cellStyle name="Percent 26 2 2" xfId="55080"/>
    <cellStyle name="Percent 26 2 2 2" xfId="55081"/>
    <cellStyle name="Percent 26 2 2 2 2" xfId="55082"/>
    <cellStyle name="Percent 26 2 2 3" xfId="55083"/>
    <cellStyle name="Percent 26 2 3" xfId="55084"/>
    <cellStyle name="Percent 26 2 3 2" xfId="55085"/>
    <cellStyle name="Percent 26 2 4" xfId="55086"/>
    <cellStyle name="Percent 26 2 5" xfId="55087"/>
    <cellStyle name="Percent 26 3" xfId="55088"/>
    <cellStyle name="Percent 26 3 2" xfId="55089"/>
    <cellStyle name="Percent 26 3 2 2" xfId="55090"/>
    <cellStyle name="Percent 26 3 3" xfId="55091"/>
    <cellStyle name="Percent 26 4" xfId="55092"/>
    <cellStyle name="Percent 26 4 2" xfId="55093"/>
    <cellStyle name="Percent 26 5" xfId="55094"/>
    <cellStyle name="Percent 26 6" xfId="55095"/>
    <cellStyle name="Percent 26 7" xfId="58023"/>
    <cellStyle name="Percent 27" xfId="55096"/>
    <cellStyle name="Percent 27 2" xfId="55097"/>
    <cellStyle name="Percent 27 3" xfId="58024"/>
    <cellStyle name="Percent 28" xfId="55098"/>
    <cellStyle name="Percent 28 2" xfId="55099"/>
    <cellStyle name="Percent 28 3" xfId="58025"/>
    <cellStyle name="Percent 29" xfId="55100"/>
    <cellStyle name="Percent 29 2" xfId="55101"/>
    <cellStyle name="Percent 29 3" xfId="58026"/>
    <cellStyle name="Percent 3" xfId="58"/>
    <cellStyle name="Percent 3 10" xfId="55102"/>
    <cellStyle name="Percent 3 11" xfId="55103"/>
    <cellStyle name="Percent 3 12" xfId="55104"/>
    <cellStyle name="Percent 3 13" xfId="55105"/>
    <cellStyle name="Percent 3 14" xfId="55106"/>
    <cellStyle name="Percent 3 15" xfId="55107"/>
    <cellStyle name="Percent 3 16" xfId="55108"/>
    <cellStyle name="Percent 3 17" xfId="55109"/>
    <cellStyle name="Percent 3 18" xfId="55110"/>
    <cellStyle name="Percent 3 19" xfId="55111"/>
    <cellStyle name="Percent 3 2" xfId="29"/>
    <cellStyle name="Percent 3 2 2" xfId="55112"/>
    <cellStyle name="Percent 3 2 2 2" xfId="55113"/>
    <cellStyle name="Percent 3 2 2 2 2" xfId="55114"/>
    <cellStyle name="Percent 3 2 2 3" xfId="55115"/>
    <cellStyle name="Percent 3 2 2 3 2" xfId="55116"/>
    <cellStyle name="Percent 3 2 2 4" xfId="55117"/>
    <cellStyle name="Percent 3 2 2 4 2" xfId="55118"/>
    <cellStyle name="Percent 3 2 2 5" xfId="55119"/>
    <cellStyle name="Percent 3 2 3" xfId="55120"/>
    <cellStyle name="Percent 3 20" xfId="55121"/>
    <cellStyle name="Percent 3 21" xfId="55122"/>
    <cellStyle name="Percent 3 22" xfId="55123"/>
    <cellStyle name="Percent 3 23" xfId="55124"/>
    <cellStyle name="Percent 3 24" xfId="55125"/>
    <cellStyle name="Percent 3 25" xfId="55126"/>
    <cellStyle name="Percent 3 26" xfId="55127"/>
    <cellStyle name="Percent 3 27" xfId="55128"/>
    <cellStyle name="Percent 3 28" xfId="55129"/>
    <cellStyle name="Percent 3 29" xfId="55130"/>
    <cellStyle name="Percent 3 3" xfId="55131"/>
    <cellStyle name="Percent 3 3 2" xfId="55132"/>
    <cellStyle name="Percent 3 3 2 2" xfId="55133"/>
    <cellStyle name="Percent 3 3 2 2 2" xfId="55134"/>
    <cellStyle name="Percent 3 3 2 2 2 2" xfId="55135"/>
    <cellStyle name="Percent 3 3 2 2 2 3" xfId="30"/>
    <cellStyle name="Percent 3 3 2 2 3" xfId="55136"/>
    <cellStyle name="Percent 3 3 2 3" xfId="55137"/>
    <cellStyle name="Percent 3 3 2 3 2" xfId="55138"/>
    <cellStyle name="Percent 3 3 2 4" xfId="55139"/>
    <cellStyle name="Percent 3 3 3" xfId="55140"/>
    <cellStyle name="Percent 3 3 3 2" xfId="55141"/>
    <cellStyle name="Percent 3 3 4" xfId="55142"/>
    <cellStyle name="Percent 3 30" xfId="55143"/>
    <cellStyle name="Percent 3 31" xfId="55144"/>
    <cellStyle name="Percent 3 32" xfId="55145"/>
    <cellStyle name="Percent 3 33" xfId="55146"/>
    <cellStyle name="Percent 3 34" xfId="55147"/>
    <cellStyle name="Percent 3 35" xfId="55148"/>
    <cellStyle name="Percent 3 36" xfId="55149"/>
    <cellStyle name="Percent 3 37" xfId="55150"/>
    <cellStyle name="Percent 3 38" xfId="55151"/>
    <cellStyle name="Percent 3 39" xfId="55152"/>
    <cellStyle name="Percent 3 4" xfId="55153"/>
    <cellStyle name="Percent 3 4 2" xfId="55154"/>
    <cellStyle name="Percent 3 4 2 2" xfId="55155"/>
    <cellStyle name="Percent 3 4 3" xfId="55156"/>
    <cellStyle name="Percent 3 40" xfId="55157"/>
    <cellStyle name="Percent 3 41" xfId="55158"/>
    <cellStyle name="Percent 3 42" xfId="55159"/>
    <cellStyle name="Percent 3 43" xfId="55160"/>
    <cellStyle name="Percent 3 44" xfId="55161"/>
    <cellStyle name="Percent 3 45" xfId="55162"/>
    <cellStyle name="Percent 3 46" xfId="55163"/>
    <cellStyle name="Percent 3 47" xfId="55164"/>
    <cellStyle name="Percent 3 48" xfId="55165"/>
    <cellStyle name="Percent 3 49" xfId="55166"/>
    <cellStyle name="Percent 3 5" xfId="55167"/>
    <cellStyle name="Percent 3 5 2" xfId="55168"/>
    <cellStyle name="Percent 3 5 3" xfId="55169"/>
    <cellStyle name="Percent 3 5 4" xfId="58027"/>
    <cellStyle name="Percent 3 50" xfId="55170"/>
    <cellStyle name="Percent 3 51" xfId="55171"/>
    <cellStyle name="Percent 3 52" xfId="55172"/>
    <cellStyle name="Percent 3 53" xfId="55173"/>
    <cellStyle name="Percent 3 54" xfId="55174"/>
    <cellStyle name="Percent 3 55" xfId="55175"/>
    <cellStyle name="Percent 3 56" xfId="55176"/>
    <cellStyle name="Percent 3 56 2" xfId="55177"/>
    <cellStyle name="Percent 3 56 2 2" xfId="55178"/>
    <cellStyle name="Percent 3 56 3" xfId="55179"/>
    <cellStyle name="Percent 3 56 3 2" xfId="55180"/>
    <cellStyle name="Percent 3 56 4" xfId="55181"/>
    <cellStyle name="Percent 3 56 4 2" xfId="55182"/>
    <cellStyle name="Percent 3 56 5" xfId="55183"/>
    <cellStyle name="Percent 3 56 5 2" xfId="55184"/>
    <cellStyle name="Percent 3 56 6" xfId="55185"/>
    <cellStyle name="Percent 3 56 7" xfId="55186"/>
    <cellStyle name="Percent 3 56 8" xfId="55187"/>
    <cellStyle name="Percent 3 56 9" xfId="55188"/>
    <cellStyle name="Percent 3 57" xfId="55189"/>
    <cellStyle name="Percent 3 58" xfId="55190"/>
    <cellStyle name="Percent 3 59" xfId="58495"/>
    <cellStyle name="Percent 3 6" xfId="55191"/>
    <cellStyle name="Percent 3 7" xfId="55192"/>
    <cellStyle name="Percent 3 8" xfId="55193"/>
    <cellStyle name="Percent 3 9" xfId="55194"/>
    <cellStyle name="Percent 30" xfId="55195"/>
    <cellStyle name="Percent 30 2" xfId="55196"/>
    <cellStyle name="Percent 30 3" xfId="58028"/>
    <cellStyle name="Percent 31" xfId="55197"/>
    <cellStyle name="Percent 31 2" xfId="55198"/>
    <cellStyle name="Percent 31 3" xfId="58029"/>
    <cellStyle name="Percent 32" xfId="55199"/>
    <cellStyle name="Percent 32 2" xfId="55200"/>
    <cellStyle name="Percent 32 3" xfId="58030"/>
    <cellStyle name="Percent 33" xfId="55201"/>
    <cellStyle name="Percent 33 2" xfId="55202"/>
    <cellStyle name="Percent 33 3" xfId="58031"/>
    <cellStyle name="Percent 34" xfId="55203"/>
    <cellStyle name="Percent 34 2" xfId="55204"/>
    <cellStyle name="Percent 34 3" xfId="58032"/>
    <cellStyle name="Percent 35" xfId="55205"/>
    <cellStyle name="Percent 35 2" xfId="55206"/>
    <cellStyle name="Percent 35 3" xfId="58033"/>
    <cellStyle name="Percent 36" xfId="55207"/>
    <cellStyle name="Percent 36 2" xfId="55208"/>
    <cellStyle name="Percent 37" xfId="55209"/>
    <cellStyle name="Percent 37 2" xfId="55210"/>
    <cellStyle name="Percent 38" xfId="55211"/>
    <cellStyle name="Percent 38 2" xfId="55212"/>
    <cellStyle name="Percent 38 2 2" xfId="58035"/>
    <cellStyle name="Percent 38 3" xfId="58034"/>
    <cellStyle name="Percent 39" xfId="55213"/>
    <cellStyle name="Percent 4" xfId="55214"/>
    <cellStyle name="Percent 4 2" xfId="55215"/>
    <cellStyle name="Percent 4 2 2" xfId="55216"/>
    <cellStyle name="Percent 4 2 2 2" xfId="58036"/>
    <cellStyle name="Percent 4 2 3" xfId="55217"/>
    <cellStyle name="Percent 4 2 3 2" xfId="58037"/>
    <cellStyle name="Percent 4 2 4" xfId="55218"/>
    <cellStyle name="Percent 4 2 5" xfId="58496"/>
    <cellStyle name="Percent 4 3" xfId="55219"/>
    <cellStyle name="Percent 4 3 2" xfId="55220"/>
    <cellStyle name="Percent 4 3 3" xfId="55221"/>
    <cellStyle name="Percent 4 4" xfId="55222"/>
    <cellStyle name="Percent 4 4 2" xfId="55223"/>
    <cellStyle name="Percent 4 4 3" xfId="55224"/>
    <cellStyle name="Percent 4 5" xfId="55225"/>
    <cellStyle name="Percent 4 6" xfId="55226"/>
    <cellStyle name="Percent 4 7" xfId="55227"/>
    <cellStyle name="Percent 40" xfId="55228"/>
    <cellStyle name="Percent 41" xfId="55229"/>
    <cellStyle name="Percent 42" xfId="55230"/>
    <cellStyle name="Percent 43" xfId="55231"/>
    <cellStyle name="Percent 44" xfId="55232"/>
    <cellStyle name="Percent 45" xfId="55233"/>
    <cellStyle name="Percent 46" xfId="55234"/>
    <cellStyle name="Percent 47" xfId="55235"/>
    <cellStyle name="Percent 48" xfId="55236"/>
    <cellStyle name="Percent 49" xfId="55237"/>
    <cellStyle name="Percent 5" xfId="60"/>
    <cellStyle name="Percent 5 2" xfId="55238"/>
    <cellStyle name="Percent 5 2 2" xfId="55239"/>
    <cellStyle name="Percent 5 2 3" xfId="55240"/>
    <cellStyle name="Percent 5 2 4" xfId="58497"/>
    <cellStyle name="Percent 5 3" xfId="55241"/>
    <cellStyle name="Percent 5 3 2" xfId="55242"/>
    <cellStyle name="Percent 5 3 3" xfId="55243"/>
    <cellStyle name="Percent 5 4" xfId="55244"/>
    <cellStyle name="Percent 5 4 2" xfId="55245"/>
    <cellStyle name="Percent 5 5" xfId="55246"/>
    <cellStyle name="Percent 5 6" xfId="55247"/>
    <cellStyle name="Percent 5 7" xfId="58498"/>
    <cellStyle name="Percent 50" xfId="55248"/>
    <cellStyle name="Percent 51" xfId="55249"/>
    <cellStyle name="Percent 52" xfId="55250"/>
    <cellStyle name="Percent 53" xfId="55251"/>
    <cellStyle name="Percent 54" xfId="55252"/>
    <cellStyle name="Percent 55" xfId="55253"/>
    <cellStyle name="Percent 56" xfId="55254"/>
    <cellStyle name="Percent 56 2" xfId="55255"/>
    <cellStyle name="Percent 56 2 2" xfId="55256"/>
    <cellStyle name="Percent 57" xfId="55257"/>
    <cellStyle name="Percent 58" xfId="55258"/>
    <cellStyle name="Percent 59" xfId="55259"/>
    <cellStyle name="Percent 6" xfId="55260"/>
    <cellStyle name="Percent 6 2" xfId="55261"/>
    <cellStyle name="Percent 6 2 2" xfId="55262"/>
    <cellStyle name="Percent 6 2 3" xfId="58499"/>
    <cellStyle name="Percent 6 3" xfId="55263"/>
    <cellStyle name="Percent 6 4" xfId="55264"/>
    <cellStyle name="Percent 6 4 2" xfId="58039"/>
    <cellStyle name="Percent 6 5" xfId="55265"/>
    <cellStyle name="Percent 6 6" xfId="58038"/>
    <cellStyle name="Percent 60" xfId="55266"/>
    <cellStyle name="Percent 60 2" xfId="55267"/>
    <cellStyle name="Percent 61" xfId="55268"/>
    <cellStyle name="Percent 62" xfId="55269"/>
    <cellStyle name="Percent 63" xfId="55270"/>
    <cellStyle name="Percent 64" xfId="55271"/>
    <cellStyle name="Percent 65" xfId="55272"/>
    <cellStyle name="Percent 66" xfId="55273"/>
    <cellStyle name="Percent 67" xfId="55274"/>
    <cellStyle name="Percent 68" xfId="22"/>
    <cellStyle name="Percent 68 2" xfId="55275"/>
    <cellStyle name="Percent 69" xfId="55276"/>
    <cellStyle name="Percent 7" xfId="55277"/>
    <cellStyle name="Percent 7 2" xfId="55278"/>
    <cellStyle name="Percent 7 2 2" xfId="58500"/>
    <cellStyle name="Percent 7 3" xfId="55279"/>
    <cellStyle name="Percent 7 4" xfId="58040"/>
    <cellStyle name="Percent 70" xfId="55280"/>
    <cellStyle name="Percent 71" xfId="55281"/>
    <cellStyle name="Percent 71 2" xfId="57460"/>
    <cellStyle name="Percent 72" xfId="55282"/>
    <cellStyle name="Percent 73" xfId="57464"/>
    <cellStyle name="Percent 74" xfId="58331"/>
    <cellStyle name="Percent 8" xfId="55283"/>
    <cellStyle name="Percent 8 13" xfId="55284"/>
    <cellStyle name="Percent 8 2" xfId="55285"/>
    <cellStyle name="Percent 8 2 2" xfId="58501"/>
    <cellStyle name="Percent 8 3" xfId="55286"/>
    <cellStyle name="Percent 8 3 2" xfId="55287"/>
    <cellStyle name="Percent 8 4" xfId="58042"/>
    <cellStyle name="Percent 8 5" xfId="58041"/>
    <cellStyle name="Percent 9" xfId="55288"/>
    <cellStyle name="Percent 9 10" xfId="55289"/>
    <cellStyle name="Percent 9 11" xfId="55290"/>
    <cellStyle name="Percent 9 12" xfId="55291"/>
    <cellStyle name="Percent 9 13" xfId="55292"/>
    <cellStyle name="Percent 9 14" xfId="55293"/>
    <cellStyle name="Percent 9 15" xfId="55294"/>
    <cellStyle name="Percent 9 16" xfId="55295"/>
    <cellStyle name="Percent 9 17" xfId="55296"/>
    <cellStyle name="Percent 9 18" xfId="55297"/>
    <cellStyle name="Percent 9 19" xfId="55298"/>
    <cellStyle name="Percent 9 2" xfId="55299"/>
    <cellStyle name="Percent 9 2 2" xfId="55300"/>
    <cellStyle name="Percent 9 20" xfId="55301"/>
    <cellStyle name="Percent 9 21" xfId="55302"/>
    <cellStyle name="Percent 9 22" xfId="55303"/>
    <cellStyle name="Percent 9 23" xfId="55304"/>
    <cellStyle name="Percent 9 24" xfId="55305"/>
    <cellStyle name="Percent 9 25" xfId="55306"/>
    <cellStyle name="Percent 9 26" xfId="55307"/>
    <cellStyle name="Percent 9 27" xfId="55308"/>
    <cellStyle name="Percent 9 28" xfId="55309"/>
    <cellStyle name="Percent 9 29" xfId="55310"/>
    <cellStyle name="Percent 9 3" xfId="55311"/>
    <cellStyle name="Percent 9 3 2" xfId="55312"/>
    <cellStyle name="Percent 9 3 3" xfId="58043"/>
    <cellStyle name="Percent 9 30" xfId="55313"/>
    <cellStyle name="Percent 9 31" xfId="55314"/>
    <cellStyle name="Percent 9 32" xfId="55315"/>
    <cellStyle name="Percent 9 33" xfId="55316"/>
    <cellStyle name="Percent 9 34" xfId="55317"/>
    <cellStyle name="Percent 9 35" xfId="55318"/>
    <cellStyle name="Percent 9 36" xfId="55319"/>
    <cellStyle name="Percent 9 37" xfId="55320"/>
    <cellStyle name="Percent 9 38" xfId="55321"/>
    <cellStyle name="Percent 9 39" xfId="55322"/>
    <cellStyle name="Percent 9 4" xfId="55323"/>
    <cellStyle name="Percent 9 4 2" xfId="58044"/>
    <cellStyle name="Percent 9 40" xfId="55324"/>
    <cellStyle name="Percent 9 41" xfId="55325"/>
    <cellStyle name="Percent 9 42" xfId="55326"/>
    <cellStyle name="Percent 9 43" xfId="55327"/>
    <cellStyle name="Percent 9 44" xfId="55328"/>
    <cellStyle name="Percent 9 45" xfId="55329"/>
    <cellStyle name="Percent 9 46" xfId="55330"/>
    <cellStyle name="Percent 9 47" xfId="55331"/>
    <cellStyle name="Percent 9 48" xfId="55332"/>
    <cellStyle name="Percent 9 49" xfId="55333"/>
    <cellStyle name="Percent 9 5" xfId="55334"/>
    <cellStyle name="Percent 9 50" xfId="55335"/>
    <cellStyle name="Percent 9 51" xfId="55336"/>
    <cellStyle name="Percent 9 52" xfId="55337"/>
    <cellStyle name="Percent 9 53" xfId="55338"/>
    <cellStyle name="Percent 9 54" xfId="55339"/>
    <cellStyle name="Percent 9 55" xfId="55340"/>
    <cellStyle name="Percent 9 56" xfId="58502"/>
    <cellStyle name="Percent 9 6" xfId="55341"/>
    <cellStyle name="Percent 9 7" xfId="55342"/>
    <cellStyle name="Percent 9 8" xfId="55343"/>
    <cellStyle name="Percent 9 9" xfId="55344"/>
    <cellStyle name="Percent 940" xfId="58045"/>
    <cellStyle name="Percent 940 2" xfId="58046"/>
    <cellStyle name="Percent1" xfId="55345"/>
    <cellStyle name="PERCENTAGE" xfId="55346"/>
    <cellStyle name="PERCENTAGE 2" xfId="58047"/>
    <cellStyle name="Pink" xfId="55347"/>
    <cellStyle name="Pink 2" xfId="55348"/>
    <cellStyle name="Pivot Table Category" xfId="55349"/>
    <cellStyle name="Pivot Table Corner" xfId="55350"/>
    <cellStyle name="Pivot Table Field" xfId="55351"/>
    <cellStyle name="Pivot Table Result" xfId="55352"/>
    <cellStyle name="Pivot Table Title" xfId="55353"/>
    <cellStyle name="Pivot Table Value" xfId="55354"/>
    <cellStyle name="Pnumber" xfId="55355"/>
    <cellStyle name="Pnumber 2" xfId="58048"/>
    <cellStyle name="Popis" xfId="55356"/>
    <cellStyle name="Poznámka" xfId="55357"/>
    <cellStyle name="PrePop Currency (0)" xfId="55358"/>
    <cellStyle name="PrePop Currency (2)" xfId="55359"/>
    <cellStyle name="PrePop Units (0)" xfId="55360"/>
    <cellStyle name="PrePop Units (1)" xfId="55361"/>
    <cellStyle name="PrePop Units (1) 2" xfId="55362"/>
    <cellStyle name="PrePop Units (2)" xfId="55363"/>
    <cellStyle name="pricing" xfId="55364"/>
    <cellStyle name="pricing 2" xfId="55365"/>
    <cellStyle name="pricing 2 2" xfId="55366"/>
    <cellStyle name="pricing 2 2 2" xfId="58051"/>
    <cellStyle name="pricing 2 3" xfId="58050"/>
    <cellStyle name="pricing 3" xfId="55367"/>
    <cellStyle name="pricing 4" xfId="58049"/>
    <cellStyle name="PROFORMA" xfId="55368"/>
    <cellStyle name="Prozent_laroux" xfId="55369"/>
    <cellStyle name="PSChar" xfId="55370"/>
    <cellStyle name="PSChar 2" xfId="55371"/>
    <cellStyle name="PSChar 2 2" xfId="55372"/>
    <cellStyle name="PSChar 2 3" xfId="55373"/>
    <cellStyle name="PSChar 3" xfId="55374"/>
    <cellStyle name="PSChar 4" xfId="55375"/>
    <cellStyle name="PSDate" xfId="55376"/>
    <cellStyle name="PSHeading" xfId="55377"/>
    <cellStyle name="PSHeading 2" xfId="55378"/>
    <cellStyle name="q" xfId="55379"/>
    <cellStyle name="q 2" xfId="58053"/>
    <cellStyle name="q 3" xfId="58052"/>
    <cellStyle name="Quantity" xfId="55380"/>
    <cellStyle name="Quantity 2" xfId="55381"/>
    <cellStyle name="r13.5" xfId="55382"/>
    <cellStyle name="regstoresfromspecstores" xfId="55383"/>
    <cellStyle name="regstoresfromspecstores 2" xfId="55384"/>
    <cellStyle name="regstoresfromspecstores 2 2" xfId="55385"/>
    <cellStyle name="regstoresfromspecstores 2 3" xfId="55386"/>
    <cellStyle name="regstoresfromspecstores 3" xfId="55387"/>
    <cellStyle name="_x0006__x000e__x000e_rency_laroux_2_12~3SO2_laroux" xfId="55388"/>
    <cellStyle name="Reset  - Style4" xfId="55389"/>
    <cellStyle name="Reset  - Style7" xfId="55390"/>
    <cellStyle name="Reset range style to defaults" xfId="55391"/>
    <cellStyle name="Result" xfId="55392"/>
    <cellStyle name="Result 1" xfId="55393"/>
    <cellStyle name="Result 1 1" xfId="55394"/>
    <cellStyle name="Result 1 1 1" xfId="55395"/>
    <cellStyle name="Result 1 1 2" xfId="55396"/>
    <cellStyle name="Result 1 2" xfId="55397"/>
    <cellStyle name="Result 1 2 2" xfId="55398"/>
    <cellStyle name="Result 1 3" xfId="55399"/>
    <cellStyle name="Result 1 3 2" xfId="55400"/>
    <cellStyle name="Result 1 4" xfId="55401"/>
    <cellStyle name="Result 1 4 2" xfId="55402"/>
    <cellStyle name="Result 1 5" xfId="55403"/>
    <cellStyle name="Result 1_Format Template Preventive Maintenance" xfId="55404"/>
    <cellStyle name="Result 2" xfId="55405"/>
    <cellStyle name="Result 2 2" xfId="55406"/>
    <cellStyle name="Result 3" xfId="55407"/>
    <cellStyle name="Result 4" xfId="55408"/>
    <cellStyle name="Result2 1" xfId="55409"/>
    <cellStyle name="Result2 1 1" xfId="55410"/>
    <cellStyle name="Result2 1 2" xfId="55411"/>
    <cellStyle name="Result2 2" xfId="55412"/>
    <cellStyle name="Result2 2 2" xfId="55413"/>
    <cellStyle name="Result2 3" xfId="55414"/>
    <cellStyle name="revisi" xfId="55415"/>
    <cellStyle name="RevList" xfId="55416"/>
    <cellStyle name="RowLevel_1_laroux" xfId="55417"/>
    <cellStyle name="Rp" xfId="55418"/>
    <cellStyle name="Rp 2" xfId="58054"/>
    <cellStyle name="s" xfId="55419"/>
    <cellStyle name="s]_x000d__x000a_spooler=yes_x000d__x000a_NetWarn=1_x000d__x000a_NetMessage=Yes_x000d__x000a_load=hpsw.exe C:\NETA\VIRUSCAN\VSHWIN.EXE_x000d__x000a_run=_x000d__x000a_Beep=yes_x000d__x000a_NullPort=None_x000d__x000a_B" xfId="55420"/>
    <cellStyle name="S0" xfId="55421"/>
    <cellStyle name="S0 2" xfId="55422"/>
    <cellStyle name="S1" xfId="55423"/>
    <cellStyle name="S1 2" xfId="55424"/>
    <cellStyle name="S10" xfId="55425"/>
    <cellStyle name="S10 2" xfId="55426"/>
    <cellStyle name="S10 2 2" xfId="58056"/>
    <cellStyle name="S10 3" xfId="58057"/>
    <cellStyle name="S10 3 2" xfId="58058"/>
    <cellStyle name="S10 4" xfId="58059"/>
    <cellStyle name="S10 4 2" xfId="58060"/>
    <cellStyle name="S10 5" xfId="58055"/>
    <cellStyle name="S11" xfId="55427"/>
    <cellStyle name="S11 2" xfId="55428"/>
    <cellStyle name="S11 2 2" xfId="58062"/>
    <cellStyle name="S11 3" xfId="55429"/>
    <cellStyle name="S11 4" xfId="58061"/>
    <cellStyle name="S12" xfId="55430"/>
    <cellStyle name="S12 2" xfId="55431"/>
    <cellStyle name="S12 3" xfId="58063"/>
    <cellStyle name="S13" xfId="55432"/>
    <cellStyle name="S13 2" xfId="55433"/>
    <cellStyle name="S13 3" xfId="58064"/>
    <cellStyle name="S14" xfId="55434"/>
    <cellStyle name="S14 2" xfId="55435"/>
    <cellStyle name="S15" xfId="55436"/>
    <cellStyle name="S2" xfId="55437"/>
    <cellStyle name="S2 2" xfId="55438"/>
    <cellStyle name="S3" xfId="55439"/>
    <cellStyle name="S3 2" xfId="55440"/>
    <cellStyle name="S4" xfId="55441"/>
    <cellStyle name="S4 2" xfId="55442"/>
    <cellStyle name="S5" xfId="55443"/>
    <cellStyle name="S5 2" xfId="55444"/>
    <cellStyle name="S5 2 2" xfId="58065"/>
    <cellStyle name="S6" xfId="55445"/>
    <cellStyle name="S6 2" xfId="55446"/>
    <cellStyle name="S6 2 2" xfId="58066"/>
    <cellStyle name="S7" xfId="55447"/>
    <cellStyle name="S7 2" xfId="55448"/>
    <cellStyle name="S7 2 2" xfId="58068"/>
    <cellStyle name="S7 3" xfId="58067"/>
    <cellStyle name="S8" xfId="55449"/>
    <cellStyle name="S8 2" xfId="55450"/>
    <cellStyle name="S8 2 2" xfId="58070"/>
    <cellStyle name="S8 3" xfId="58069"/>
    <cellStyle name="S9" xfId="55451"/>
    <cellStyle name="S9 2" xfId="55452"/>
    <cellStyle name="S9 2 2" xfId="58072"/>
    <cellStyle name="S9 3" xfId="58071"/>
    <cellStyle name="SAPBEXaggData" xfId="55453"/>
    <cellStyle name="SAPBEXaggData 10" xfId="55454"/>
    <cellStyle name="SAPBEXaggData 11" xfId="55455"/>
    <cellStyle name="SAPBEXaggData 12" xfId="55456"/>
    <cellStyle name="SAPBEXaggData 13" xfId="55457"/>
    <cellStyle name="SAPBEXaggData 14" xfId="55458"/>
    <cellStyle name="SAPBEXaggData 15" xfId="55459"/>
    <cellStyle name="SAPBEXaggData 16" xfId="55460"/>
    <cellStyle name="SAPBEXaggData 17" xfId="55461"/>
    <cellStyle name="SAPBEXaggData 18" xfId="55462"/>
    <cellStyle name="SAPBEXaggData 19" xfId="55463"/>
    <cellStyle name="SAPBEXaggData 2" xfId="55464"/>
    <cellStyle name="SAPBEXaggData 2 10" xfId="55465"/>
    <cellStyle name="SAPBEXaggData 2 11" xfId="55466"/>
    <cellStyle name="SAPBEXaggData 2 12" xfId="55467"/>
    <cellStyle name="SAPBEXaggData 2 13" xfId="55468"/>
    <cellStyle name="SAPBEXaggData 2 2" xfId="55469"/>
    <cellStyle name="SAPBEXaggData 2 3" xfId="55470"/>
    <cellStyle name="SAPBEXaggData 2 4" xfId="55471"/>
    <cellStyle name="SAPBEXaggData 2 5" xfId="55472"/>
    <cellStyle name="SAPBEXaggData 2 6" xfId="55473"/>
    <cellStyle name="SAPBEXaggData 2 7" xfId="55474"/>
    <cellStyle name="SAPBEXaggData 2 8" xfId="55475"/>
    <cellStyle name="SAPBEXaggData 2 9" xfId="55476"/>
    <cellStyle name="SAPBEXaggData 20" xfId="55477"/>
    <cellStyle name="SAPBEXaggData 21" xfId="55478"/>
    <cellStyle name="SAPBEXaggData 22" xfId="55479"/>
    <cellStyle name="SAPBEXaggData 23" xfId="55480"/>
    <cellStyle name="SAPBEXaggData 24" xfId="58073"/>
    <cellStyle name="SAPBEXaggData 3" xfId="55481"/>
    <cellStyle name="SAPBEXaggData 4" xfId="55482"/>
    <cellStyle name="SAPBEXaggData 5" xfId="55483"/>
    <cellStyle name="SAPBEXaggData 6" xfId="55484"/>
    <cellStyle name="SAPBEXaggData 7" xfId="55485"/>
    <cellStyle name="SAPBEXaggData 8" xfId="55486"/>
    <cellStyle name="SAPBEXaggData 9" xfId="55487"/>
    <cellStyle name="SAPBEXaggDataEmph" xfId="55488"/>
    <cellStyle name="SAPBEXaggDataEmph 10" xfId="55489"/>
    <cellStyle name="SAPBEXaggDataEmph 11" xfId="55490"/>
    <cellStyle name="SAPBEXaggDataEmph 12" xfId="55491"/>
    <cellStyle name="SAPBEXaggDataEmph 13" xfId="55492"/>
    <cellStyle name="SAPBEXaggDataEmph 14" xfId="58074"/>
    <cellStyle name="SAPBEXaggDataEmph 2" xfId="55493"/>
    <cellStyle name="SAPBEXaggDataEmph 2 2" xfId="55494"/>
    <cellStyle name="SAPBEXaggDataEmph 3" xfId="55495"/>
    <cellStyle name="SAPBEXaggDataEmph 4" xfId="55496"/>
    <cellStyle name="SAPBEXaggDataEmph 5" xfId="55497"/>
    <cellStyle name="SAPBEXaggDataEmph 6" xfId="55498"/>
    <cellStyle name="SAPBEXaggDataEmph 7" xfId="55499"/>
    <cellStyle name="SAPBEXaggDataEmph 8" xfId="55500"/>
    <cellStyle name="SAPBEXaggDataEmph 9" xfId="55501"/>
    <cellStyle name="SAPBEXaggItem" xfId="55502"/>
    <cellStyle name="SAPBEXaggItem 10" xfId="55503"/>
    <cellStyle name="SAPBEXaggItem 11" xfId="55504"/>
    <cellStyle name="SAPBEXaggItem 12" xfId="55505"/>
    <cellStyle name="SAPBEXaggItem 13" xfId="55506"/>
    <cellStyle name="SAPBEXaggItem 14" xfId="55507"/>
    <cellStyle name="SAPBEXaggItem 15" xfId="55508"/>
    <cellStyle name="SAPBEXaggItem 16" xfId="55509"/>
    <cellStyle name="SAPBEXaggItem 17" xfId="55510"/>
    <cellStyle name="SAPBEXaggItem 18" xfId="55511"/>
    <cellStyle name="SAPBEXaggItem 19" xfId="55512"/>
    <cellStyle name="SAPBEXaggItem 2" xfId="55513"/>
    <cellStyle name="SAPBEXaggItem 2 10" xfId="55514"/>
    <cellStyle name="SAPBEXaggItem 2 11" xfId="55515"/>
    <cellStyle name="SAPBEXaggItem 2 12" xfId="55516"/>
    <cellStyle name="SAPBEXaggItem 2 13" xfId="55517"/>
    <cellStyle name="SAPBEXaggItem 2 2" xfId="55518"/>
    <cellStyle name="SAPBEXaggItem 2 3" xfId="55519"/>
    <cellStyle name="SAPBEXaggItem 2 4" xfId="55520"/>
    <cellStyle name="SAPBEXaggItem 2 5" xfId="55521"/>
    <cellStyle name="SAPBEXaggItem 2 6" xfId="55522"/>
    <cellStyle name="SAPBEXaggItem 2 7" xfId="55523"/>
    <cellStyle name="SAPBEXaggItem 2 8" xfId="55524"/>
    <cellStyle name="SAPBEXaggItem 2 9" xfId="55525"/>
    <cellStyle name="SAPBEXaggItem 20" xfId="55526"/>
    <cellStyle name="SAPBEXaggItem 21" xfId="55527"/>
    <cellStyle name="SAPBEXaggItem 22" xfId="55528"/>
    <cellStyle name="SAPBEXaggItem 23" xfId="55529"/>
    <cellStyle name="SAPBEXaggItem 24" xfId="58075"/>
    <cellStyle name="SAPBEXaggItem 3" xfId="55530"/>
    <cellStyle name="SAPBEXaggItem 4" xfId="55531"/>
    <cellStyle name="SAPBEXaggItem 5" xfId="55532"/>
    <cellStyle name="SAPBEXaggItem 6" xfId="55533"/>
    <cellStyle name="SAPBEXaggItem 7" xfId="55534"/>
    <cellStyle name="SAPBEXaggItem 8" xfId="55535"/>
    <cellStyle name="SAPBEXaggItem 9" xfId="55536"/>
    <cellStyle name="SAPBEXaggItemX" xfId="55537"/>
    <cellStyle name="SAPBEXaggItemX 10" xfId="55538"/>
    <cellStyle name="SAPBEXaggItemX 11" xfId="55539"/>
    <cellStyle name="SAPBEXaggItemX 12" xfId="55540"/>
    <cellStyle name="SAPBEXaggItemX 13" xfId="55541"/>
    <cellStyle name="SAPBEXaggItemX 2" xfId="55542"/>
    <cellStyle name="SAPBEXaggItemX 3" xfId="55543"/>
    <cellStyle name="SAPBEXaggItemX 4" xfId="55544"/>
    <cellStyle name="SAPBEXaggItemX 5" xfId="55545"/>
    <cellStyle name="SAPBEXaggItemX 6" xfId="55546"/>
    <cellStyle name="SAPBEXaggItemX 7" xfId="55547"/>
    <cellStyle name="SAPBEXaggItemX 8" xfId="55548"/>
    <cellStyle name="SAPBEXaggItemX 9" xfId="55549"/>
    <cellStyle name="SAPBEXchaText" xfId="55550"/>
    <cellStyle name="SAPBEXchaText 10" xfId="55551"/>
    <cellStyle name="SAPBEXchaText 11" xfId="55552"/>
    <cellStyle name="SAPBEXchaText 12" xfId="55553"/>
    <cellStyle name="SAPBEXchaText 13" xfId="55554"/>
    <cellStyle name="SAPBEXchaText 14" xfId="55555"/>
    <cellStyle name="SAPBEXchaText 15" xfId="55556"/>
    <cellStyle name="SAPBEXchaText 16" xfId="55557"/>
    <cellStyle name="SAPBEXchaText 17" xfId="55558"/>
    <cellStyle name="SAPBEXchaText 18" xfId="55559"/>
    <cellStyle name="SAPBEXchaText 19" xfId="55560"/>
    <cellStyle name="SAPBEXchaText 2" xfId="55561"/>
    <cellStyle name="SAPBEXchaText 2 10" xfId="55562"/>
    <cellStyle name="SAPBEXchaText 2 11" xfId="55563"/>
    <cellStyle name="SAPBEXchaText 2 12" xfId="55564"/>
    <cellStyle name="SAPBEXchaText 2 13" xfId="55565"/>
    <cellStyle name="SAPBEXchaText 2 2" xfId="55566"/>
    <cellStyle name="SAPBEXchaText 2 3" xfId="55567"/>
    <cellStyle name="SAPBEXchaText 2 4" xfId="55568"/>
    <cellStyle name="SAPBEXchaText 2 5" xfId="55569"/>
    <cellStyle name="SAPBEXchaText 2 6" xfId="55570"/>
    <cellStyle name="SAPBEXchaText 2 7" xfId="55571"/>
    <cellStyle name="SAPBEXchaText 2 8" xfId="55572"/>
    <cellStyle name="SAPBEXchaText 2 9" xfId="55573"/>
    <cellStyle name="SAPBEXchaText 20" xfId="55574"/>
    <cellStyle name="SAPBEXchaText 21" xfId="55575"/>
    <cellStyle name="SAPBEXchaText 22" xfId="55576"/>
    <cellStyle name="SAPBEXchaText 23" xfId="55577"/>
    <cellStyle name="SAPBEXchaText 24" xfId="58076"/>
    <cellStyle name="SAPBEXchaText 3" xfId="55578"/>
    <cellStyle name="SAPBEXchaText 4" xfId="55579"/>
    <cellStyle name="SAPBEXchaText 5" xfId="55580"/>
    <cellStyle name="SAPBEXchaText 6" xfId="55581"/>
    <cellStyle name="SAPBEXchaText 7" xfId="55582"/>
    <cellStyle name="SAPBEXchaText 8" xfId="55583"/>
    <cellStyle name="SAPBEXchaText 9" xfId="55584"/>
    <cellStyle name="SAPBEXexcBad7" xfId="55585"/>
    <cellStyle name="SAPBEXexcBad7 10" xfId="55586"/>
    <cellStyle name="SAPBEXexcBad7 11" xfId="55587"/>
    <cellStyle name="SAPBEXexcBad7 12" xfId="55588"/>
    <cellStyle name="SAPBEXexcBad7 13" xfId="55589"/>
    <cellStyle name="SAPBEXexcBad7 14" xfId="55590"/>
    <cellStyle name="SAPBEXexcBad7 15" xfId="55591"/>
    <cellStyle name="SAPBEXexcBad7 16" xfId="55592"/>
    <cellStyle name="SAPBEXexcBad7 17" xfId="55593"/>
    <cellStyle name="SAPBEXexcBad7 18" xfId="55594"/>
    <cellStyle name="SAPBEXexcBad7 19" xfId="55595"/>
    <cellStyle name="SAPBEXexcBad7 2" xfId="55596"/>
    <cellStyle name="SAPBEXexcBad7 2 10" xfId="55597"/>
    <cellStyle name="SAPBEXexcBad7 2 11" xfId="55598"/>
    <cellStyle name="SAPBEXexcBad7 2 12" xfId="55599"/>
    <cellStyle name="SAPBEXexcBad7 2 13" xfId="55600"/>
    <cellStyle name="SAPBEXexcBad7 2 2" xfId="55601"/>
    <cellStyle name="SAPBEXexcBad7 2 3" xfId="55602"/>
    <cellStyle name="SAPBEXexcBad7 2 4" xfId="55603"/>
    <cellStyle name="SAPBEXexcBad7 2 5" xfId="55604"/>
    <cellStyle name="SAPBEXexcBad7 2 6" xfId="55605"/>
    <cellStyle name="SAPBEXexcBad7 2 7" xfId="55606"/>
    <cellStyle name="SAPBEXexcBad7 2 8" xfId="55607"/>
    <cellStyle name="SAPBEXexcBad7 2 9" xfId="55608"/>
    <cellStyle name="SAPBEXexcBad7 20" xfId="55609"/>
    <cellStyle name="SAPBEXexcBad7 21" xfId="55610"/>
    <cellStyle name="SAPBEXexcBad7 22" xfId="55611"/>
    <cellStyle name="SAPBEXexcBad7 23" xfId="55612"/>
    <cellStyle name="SAPBEXexcBad7 24" xfId="58077"/>
    <cellStyle name="SAPBEXexcBad7 3" xfId="55613"/>
    <cellStyle name="SAPBEXexcBad7 4" xfId="55614"/>
    <cellStyle name="SAPBEXexcBad7 5" xfId="55615"/>
    <cellStyle name="SAPBEXexcBad7 6" xfId="55616"/>
    <cellStyle name="SAPBEXexcBad7 7" xfId="55617"/>
    <cellStyle name="SAPBEXexcBad7 8" xfId="55618"/>
    <cellStyle name="SAPBEXexcBad7 9" xfId="55619"/>
    <cellStyle name="SAPBEXexcBad8" xfId="55620"/>
    <cellStyle name="SAPBEXexcBad8 10" xfId="55621"/>
    <cellStyle name="SAPBEXexcBad8 11" xfId="55622"/>
    <cellStyle name="SAPBEXexcBad8 12" xfId="55623"/>
    <cellStyle name="SAPBEXexcBad8 13" xfId="55624"/>
    <cellStyle name="SAPBEXexcBad8 14" xfId="55625"/>
    <cellStyle name="SAPBEXexcBad8 15" xfId="55626"/>
    <cellStyle name="SAPBEXexcBad8 16" xfId="55627"/>
    <cellStyle name="SAPBEXexcBad8 17" xfId="55628"/>
    <cellStyle name="SAPBEXexcBad8 18" xfId="55629"/>
    <cellStyle name="SAPBEXexcBad8 19" xfId="55630"/>
    <cellStyle name="SAPBEXexcBad8 2" xfId="55631"/>
    <cellStyle name="SAPBEXexcBad8 2 10" xfId="55632"/>
    <cellStyle name="SAPBEXexcBad8 2 11" xfId="55633"/>
    <cellStyle name="SAPBEXexcBad8 2 12" xfId="55634"/>
    <cellStyle name="SAPBEXexcBad8 2 13" xfId="55635"/>
    <cellStyle name="SAPBEXexcBad8 2 2" xfId="55636"/>
    <cellStyle name="SAPBEXexcBad8 2 3" xfId="55637"/>
    <cellStyle name="SAPBEXexcBad8 2 4" xfId="55638"/>
    <cellStyle name="SAPBEXexcBad8 2 5" xfId="55639"/>
    <cellStyle name="SAPBEXexcBad8 2 6" xfId="55640"/>
    <cellStyle name="SAPBEXexcBad8 2 7" xfId="55641"/>
    <cellStyle name="SAPBEXexcBad8 2 8" xfId="55642"/>
    <cellStyle name="SAPBEXexcBad8 2 9" xfId="55643"/>
    <cellStyle name="SAPBEXexcBad8 20" xfId="55644"/>
    <cellStyle name="SAPBEXexcBad8 21" xfId="55645"/>
    <cellStyle name="SAPBEXexcBad8 22" xfId="55646"/>
    <cellStyle name="SAPBEXexcBad8 23" xfId="55647"/>
    <cellStyle name="SAPBEXexcBad8 24" xfId="58078"/>
    <cellStyle name="SAPBEXexcBad8 3" xfId="55648"/>
    <cellStyle name="SAPBEXexcBad8 4" xfId="55649"/>
    <cellStyle name="SAPBEXexcBad8 5" xfId="55650"/>
    <cellStyle name="SAPBEXexcBad8 6" xfId="55651"/>
    <cellStyle name="SAPBEXexcBad8 7" xfId="55652"/>
    <cellStyle name="SAPBEXexcBad8 8" xfId="55653"/>
    <cellStyle name="SAPBEXexcBad8 9" xfId="55654"/>
    <cellStyle name="SAPBEXexcBad9" xfId="55655"/>
    <cellStyle name="SAPBEXexcBad9 10" xfId="55656"/>
    <cellStyle name="SAPBEXexcBad9 11" xfId="55657"/>
    <cellStyle name="SAPBEXexcBad9 12" xfId="55658"/>
    <cellStyle name="SAPBEXexcBad9 13" xfId="55659"/>
    <cellStyle name="SAPBEXexcBad9 14" xfId="55660"/>
    <cellStyle name="SAPBEXexcBad9 15" xfId="55661"/>
    <cellStyle name="SAPBEXexcBad9 16" xfId="55662"/>
    <cellStyle name="SAPBEXexcBad9 17" xfId="55663"/>
    <cellStyle name="SAPBEXexcBad9 18" xfId="55664"/>
    <cellStyle name="SAPBEXexcBad9 19" xfId="55665"/>
    <cellStyle name="SAPBEXexcBad9 2" xfId="55666"/>
    <cellStyle name="SAPBEXexcBad9 2 10" xfId="55667"/>
    <cellStyle name="SAPBEXexcBad9 2 11" xfId="55668"/>
    <cellStyle name="SAPBEXexcBad9 2 12" xfId="55669"/>
    <cellStyle name="SAPBEXexcBad9 2 13" xfId="55670"/>
    <cellStyle name="SAPBEXexcBad9 2 2" xfId="55671"/>
    <cellStyle name="SAPBEXexcBad9 2 3" xfId="55672"/>
    <cellStyle name="SAPBEXexcBad9 2 4" xfId="55673"/>
    <cellStyle name="SAPBEXexcBad9 2 5" xfId="55674"/>
    <cellStyle name="SAPBEXexcBad9 2 6" xfId="55675"/>
    <cellStyle name="SAPBEXexcBad9 2 7" xfId="55676"/>
    <cellStyle name="SAPBEXexcBad9 2 8" xfId="55677"/>
    <cellStyle name="SAPBEXexcBad9 2 9" xfId="55678"/>
    <cellStyle name="SAPBEXexcBad9 20" xfId="55679"/>
    <cellStyle name="SAPBEXexcBad9 21" xfId="55680"/>
    <cellStyle name="SAPBEXexcBad9 22" xfId="55681"/>
    <cellStyle name="SAPBEXexcBad9 23" xfId="55682"/>
    <cellStyle name="SAPBEXexcBad9 24" xfId="58079"/>
    <cellStyle name="SAPBEXexcBad9 3" xfId="55683"/>
    <cellStyle name="SAPBEXexcBad9 4" xfId="55684"/>
    <cellStyle name="SAPBEXexcBad9 5" xfId="55685"/>
    <cellStyle name="SAPBEXexcBad9 6" xfId="55686"/>
    <cellStyle name="SAPBEXexcBad9 7" xfId="55687"/>
    <cellStyle name="SAPBEXexcBad9 8" xfId="55688"/>
    <cellStyle name="SAPBEXexcBad9 9" xfId="55689"/>
    <cellStyle name="SAPBEXexcCritical4" xfId="55690"/>
    <cellStyle name="SAPBEXexcCritical4 10" xfId="55691"/>
    <cellStyle name="SAPBEXexcCritical4 11" xfId="55692"/>
    <cellStyle name="SAPBEXexcCritical4 12" xfId="55693"/>
    <cellStyle name="SAPBEXexcCritical4 13" xfId="55694"/>
    <cellStyle name="SAPBEXexcCritical4 14" xfId="55695"/>
    <cellStyle name="SAPBEXexcCritical4 15" xfId="55696"/>
    <cellStyle name="SAPBEXexcCritical4 16" xfId="55697"/>
    <cellStyle name="SAPBEXexcCritical4 17" xfId="55698"/>
    <cellStyle name="SAPBEXexcCritical4 18" xfId="55699"/>
    <cellStyle name="SAPBEXexcCritical4 19" xfId="55700"/>
    <cellStyle name="SAPBEXexcCritical4 2" xfId="55701"/>
    <cellStyle name="SAPBEXexcCritical4 2 10" xfId="55702"/>
    <cellStyle name="SAPBEXexcCritical4 2 11" xfId="55703"/>
    <cellStyle name="SAPBEXexcCritical4 2 12" xfId="55704"/>
    <cellStyle name="SAPBEXexcCritical4 2 13" xfId="55705"/>
    <cellStyle name="SAPBEXexcCritical4 2 2" xfId="55706"/>
    <cellStyle name="SAPBEXexcCritical4 2 3" xfId="55707"/>
    <cellStyle name="SAPBEXexcCritical4 2 4" xfId="55708"/>
    <cellStyle name="SAPBEXexcCritical4 2 5" xfId="55709"/>
    <cellStyle name="SAPBEXexcCritical4 2 6" xfId="55710"/>
    <cellStyle name="SAPBEXexcCritical4 2 7" xfId="55711"/>
    <cellStyle name="SAPBEXexcCritical4 2 8" xfId="55712"/>
    <cellStyle name="SAPBEXexcCritical4 2 9" xfId="55713"/>
    <cellStyle name="SAPBEXexcCritical4 20" xfId="55714"/>
    <cellStyle name="SAPBEXexcCritical4 21" xfId="55715"/>
    <cellStyle name="SAPBEXexcCritical4 22" xfId="55716"/>
    <cellStyle name="SAPBEXexcCritical4 23" xfId="55717"/>
    <cellStyle name="SAPBEXexcCritical4 24" xfId="58080"/>
    <cellStyle name="SAPBEXexcCritical4 3" xfId="55718"/>
    <cellStyle name="SAPBEXexcCritical4 4" xfId="55719"/>
    <cellStyle name="SAPBEXexcCritical4 5" xfId="55720"/>
    <cellStyle name="SAPBEXexcCritical4 6" xfId="55721"/>
    <cellStyle name="SAPBEXexcCritical4 7" xfId="55722"/>
    <cellStyle name="SAPBEXexcCritical4 8" xfId="55723"/>
    <cellStyle name="SAPBEXexcCritical4 9" xfId="55724"/>
    <cellStyle name="SAPBEXexcCritical5" xfId="55725"/>
    <cellStyle name="SAPBEXexcCritical5 10" xfId="55726"/>
    <cellStyle name="SAPBEXexcCritical5 11" xfId="55727"/>
    <cellStyle name="SAPBEXexcCritical5 12" xfId="55728"/>
    <cellStyle name="SAPBEXexcCritical5 13" xfId="55729"/>
    <cellStyle name="SAPBEXexcCritical5 14" xfId="55730"/>
    <cellStyle name="SAPBEXexcCritical5 15" xfId="55731"/>
    <cellStyle name="SAPBEXexcCritical5 16" xfId="55732"/>
    <cellStyle name="SAPBEXexcCritical5 17" xfId="55733"/>
    <cellStyle name="SAPBEXexcCritical5 18" xfId="55734"/>
    <cellStyle name="SAPBEXexcCritical5 19" xfId="55735"/>
    <cellStyle name="SAPBEXexcCritical5 2" xfId="55736"/>
    <cellStyle name="SAPBEXexcCritical5 2 10" xfId="55737"/>
    <cellStyle name="SAPBEXexcCritical5 2 11" xfId="55738"/>
    <cellStyle name="SAPBEXexcCritical5 2 12" xfId="55739"/>
    <cellStyle name="SAPBEXexcCritical5 2 13" xfId="55740"/>
    <cellStyle name="SAPBEXexcCritical5 2 2" xfId="55741"/>
    <cellStyle name="SAPBEXexcCritical5 2 3" xfId="55742"/>
    <cellStyle name="SAPBEXexcCritical5 2 4" xfId="55743"/>
    <cellStyle name="SAPBEXexcCritical5 2 5" xfId="55744"/>
    <cellStyle name="SAPBEXexcCritical5 2 6" xfId="55745"/>
    <cellStyle name="SAPBEXexcCritical5 2 7" xfId="55746"/>
    <cellStyle name="SAPBEXexcCritical5 2 8" xfId="55747"/>
    <cellStyle name="SAPBEXexcCritical5 2 9" xfId="55748"/>
    <cellStyle name="SAPBEXexcCritical5 20" xfId="55749"/>
    <cellStyle name="SAPBEXexcCritical5 21" xfId="55750"/>
    <cellStyle name="SAPBEXexcCritical5 22" xfId="55751"/>
    <cellStyle name="SAPBEXexcCritical5 23" xfId="55752"/>
    <cellStyle name="SAPBEXexcCritical5 24" xfId="58081"/>
    <cellStyle name="SAPBEXexcCritical5 3" xfId="55753"/>
    <cellStyle name="SAPBEXexcCritical5 4" xfId="55754"/>
    <cellStyle name="SAPBEXexcCritical5 5" xfId="55755"/>
    <cellStyle name="SAPBEXexcCritical5 6" xfId="55756"/>
    <cellStyle name="SAPBEXexcCritical5 7" xfId="55757"/>
    <cellStyle name="SAPBEXexcCritical5 8" xfId="55758"/>
    <cellStyle name="SAPBEXexcCritical5 9" xfId="55759"/>
    <cellStyle name="SAPBEXexcCritical6" xfId="55760"/>
    <cellStyle name="SAPBEXexcCritical6 10" xfId="55761"/>
    <cellStyle name="SAPBEXexcCritical6 11" xfId="55762"/>
    <cellStyle name="SAPBEXexcCritical6 12" xfId="55763"/>
    <cellStyle name="SAPBEXexcCritical6 13" xfId="55764"/>
    <cellStyle name="SAPBEXexcCritical6 14" xfId="55765"/>
    <cellStyle name="SAPBEXexcCritical6 15" xfId="55766"/>
    <cellStyle name="SAPBEXexcCritical6 16" xfId="55767"/>
    <cellStyle name="SAPBEXexcCritical6 17" xfId="55768"/>
    <cellStyle name="SAPBEXexcCritical6 18" xfId="55769"/>
    <cellStyle name="SAPBEXexcCritical6 19" xfId="55770"/>
    <cellStyle name="SAPBEXexcCritical6 2" xfId="55771"/>
    <cellStyle name="SAPBEXexcCritical6 2 10" xfId="55772"/>
    <cellStyle name="SAPBEXexcCritical6 2 11" xfId="55773"/>
    <cellStyle name="SAPBEXexcCritical6 2 12" xfId="55774"/>
    <cellStyle name="SAPBEXexcCritical6 2 13" xfId="55775"/>
    <cellStyle name="SAPBEXexcCritical6 2 2" xfId="55776"/>
    <cellStyle name="SAPBEXexcCritical6 2 3" xfId="55777"/>
    <cellStyle name="SAPBEXexcCritical6 2 4" xfId="55778"/>
    <cellStyle name="SAPBEXexcCritical6 2 5" xfId="55779"/>
    <cellStyle name="SAPBEXexcCritical6 2 6" xfId="55780"/>
    <cellStyle name="SAPBEXexcCritical6 2 7" xfId="55781"/>
    <cellStyle name="SAPBEXexcCritical6 2 8" xfId="55782"/>
    <cellStyle name="SAPBEXexcCritical6 2 9" xfId="55783"/>
    <cellStyle name="SAPBEXexcCritical6 20" xfId="55784"/>
    <cellStyle name="SAPBEXexcCritical6 21" xfId="55785"/>
    <cellStyle name="SAPBEXexcCritical6 22" xfId="55786"/>
    <cellStyle name="SAPBEXexcCritical6 23" xfId="55787"/>
    <cellStyle name="SAPBEXexcCritical6 24" xfId="58082"/>
    <cellStyle name="SAPBEXexcCritical6 3" xfId="55788"/>
    <cellStyle name="SAPBEXexcCritical6 4" xfId="55789"/>
    <cellStyle name="SAPBEXexcCritical6 5" xfId="55790"/>
    <cellStyle name="SAPBEXexcCritical6 6" xfId="55791"/>
    <cellStyle name="SAPBEXexcCritical6 7" xfId="55792"/>
    <cellStyle name="SAPBEXexcCritical6 8" xfId="55793"/>
    <cellStyle name="SAPBEXexcCritical6 9" xfId="55794"/>
    <cellStyle name="SAPBEXexcGood1" xfId="55795"/>
    <cellStyle name="SAPBEXexcGood1 10" xfId="55796"/>
    <cellStyle name="SAPBEXexcGood1 11" xfId="55797"/>
    <cellStyle name="SAPBEXexcGood1 12" xfId="55798"/>
    <cellStyle name="SAPBEXexcGood1 13" xfId="55799"/>
    <cellStyle name="SAPBEXexcGood1 14" xfId="55800"/>
    <cellStyle name="SAPBEXexcGood1 15" xfId="55801"/>
    <cellStyle name="SAPBEXexcGood1 16" xfId="55802"/>
    <cellStyle name="SAPBEXexcGood1 17" xfId="55803"/>
    <cellStyle name="SAPBEXexcGood1 18" xfId="55804"/>
    <cellStyle name="SAPBEXexcGood1 19" xfId="55805"/>
    <cellStyle name="SAPBEXexcGood1 2" xfId="55806"/>
    <cellStyle name="SAPBEXexcGood1 2 10" xfId="55807"/>
    <cellStyle name="SAPBEXexcGood1 2 11" xfId="55808"/>
    <cellStyle name="SAPBEXexcGood1 2 12" xfId="55809"/>
    <cellStyle name="SAPBEXexcGood1 2 13" xfId="55810"/>
    <cellStyle name="SAPBEXexcGood1 2 2" xfId="55811"/>
    <cellStyle name="SAPBEXexcGood1 2 3" xfId="55812"/>
    <cellStyle name="SAPBEXexcGood1 2 4" xfId="55813"/>
    <cellStyle name="SAPBEXexcGood1 2 5" xfId="55814"/>
    <cellStyle name="SAPBEXexcGood1 2 6" xfId="55815"/>
    <cellStyle name="SAPBEXexcGood1 2 7" xfId="55816"/>
    <cellStyle name="SAPBEXexcGood1 2 8" xfId="55817"/>
    <cellStyle name="SAPBEXexcGood1 2 9" xfId="55818"/>
    <cellStyle name="SAPBEXexcGood1 20" xfId="55819"/>
    <cellStyle name="SAPBEXexcGood1 21" xfId="55820"/>
    <cellStyle name="SAPBEXexcGood1 22" xfId="55821"/>
    <cellStyle name="SAPBEXexcGood1 23" xfId="55822"/>
    <cellStyle name="SAPBEXexcGood1 24" xfId="58083"/>
    <cellStyle name="SAPBEXexcGood1 3" xfId="55823"/>
    <cellStyle name="SAPBEXexcGood1 4" xfId="55824"/>
    <cellStyle name="SAPBEXexcGood1 5" xfId="55825"/>
    <cellStyle name="SAPBEXexcGood1 6" xfId="55826"/>
    <cellStyle name="SAPBEXexcGood1 7" xfId="55827"/>
    <cellStyle name="SAPBEXexcGood1 8" xfId="55828"/>
    <cellStyle name="SAPBEXexcGood1 9" xfId="55829"/>
    <cellStyle name="SAPBEXexcGood2" xfId="55830"/>
    <cellStyle name="SAPBEXexcGood2 10" xfId="55831"/>
    <cellStyle name="SAPBEXexcGood2 11" xfId="55832"/>
    <cellStyle name="SAPBEXexcGood2 12" xfId="55833"/>
    <cellStyle name="SAPBEXexcGood2 13" xfId="55834"/>
    <cellStyle name="SAPBEXexcGood2 14" xfId="55835"/>
    <cellStyle name="SAPBEXexcGood2 15" xfId="55836"/>
    <cellStyle name="SAPBEXexcGood2 16" xfId="55837"/>
    <cellStyle name="SAPBEXexcGood2 17" xfId="55838"/>
    <cellStyle name="SAPBEXexcGood2 18" xfId="55839"/>
    <cellStyle name="SAPBEXexcGood2 19" xfId="55840"/>
    <cellStyle name="SAPBEXexcGood2 2" xfId="55841"/>
    <cellStyle name="SAPBEXexcGood2 2 10" xfId="55842"/>
    <cellStyle name="SAPBEXexcGood2 2 11" xfId="55843"/>
    <cellStyle name="SAPBEXexcGood2 2 12" xfId="55844"/>
    <cellStyle name="SAPBEXexcGood2 2 13" xfId="55845"/>
    <cellStyle name="SAPBEXexcGood2 2 2" xfId="55846"/>
    <cellStyle name="SAPBEXexcGood2 2 3" xfId="55847"/>
    <cellStyle name="SAPBEXexcGood2 2 4" xfId="55848"/>
    <cellStyle name="SAPBEXexcGood2 2 5" xfId="55849"/>
    <cellStyle name="SAPBEXexcGood2 2 6" xfId="55850"/>
    <cellStyle name="SAPBEXexcGood2 2 7" xfId="55851"/>
    <cellStyle name="SAPBEXexcGood2 2 8" xfId="55852"/>
    <cellStyle name="SAPBEXexcGood2 2 9" xfId="55853"/>
    <cellStyle name="SAPBEXexcGood2 20" xfId="55854"/>
    <cellStyle name="SAPBEXexcGood2 21" xfId="55855"/>
    <cellStyle name="SAPBEXexcGood2 22" xfId="55856"/>
    <cellStyle name="SAPBEXexcGood2 23" xfId="55857"/>
    <cellStyle name="SAPBEXexcGood2 24" xfId="58084"/>
    <cellStyle name="SAPBEXexcGood2 3" xfId="55858"/>
    <cellStyle name="SAPBEXexcGood2 4" xfId="55859"/>
    <cellStyle name="SAPBEXexcGood2 5" xfId="55860"/>
    <cellStyle name="SAPBEXexcGood2 6" xfId="55861"/>
    <cellStyle name="SAPBEXexcGood2 7" xfId="55862"/>
    <cellStyle name="SAPBEXexcGood2 8" xfId="55863"/>
    <cellStyle name="SAPBEXexcGood2 9" xfId="55864"/>
    <cellStyle name="SAPBEXexcGood3" xfId="55865"/>
    <cellStyle name="SAPBEXexcGood3 10" xfId="55866"/>
    <cellStyle name="SAPBEXexcGood3 11" xfId="55867"/>
    <cellStyle name="SAPBEXexcGood3 12" xfId="55868"/>
    <cellStyle name="SAPBEXexcGood3 13" xfId="55869"/>
    <cellStyle name="SAPBEXexcGood3 14" xfId="55870"/>
    <cellStyle name="SAPBEXexcGood3 15" xfId="55871"/>
    <cellStyle name="SAPBEXexcGood3 16" xfId="55872"/>
    <cellStyle name="SAPBEXexcGood3 17" xfId="55873"/>
    <cellStyle name="SAPBEXexcGood3 18" xfId="55874"/>
    <cellStyle name="SAPBEXexcGood3 19" xfId="55875"/>
    <cellStyle name="SAPBEXexcGood3 2" xfId="55876"/>
    <cellStyle name="SAPBEXexcGood3 2 10" xfId="55877"/>
    <cellStyle name="SAPBEXexcGood3 2 11" xfId="55878"/>
    <cellStyle name="SAPBEXexcGood3 2 12" xfId="55879"/>
    <cellStyle name="SAPBEXexcGood3 2 13" xfId="55880"/>
    <cellStyle name="SAPBEXexcGood3 2 2" xfId="55881"/>
    <cellStyle name="SAPBEXexcGood3 2 3" xfId="55882"/>
    <cellStyle name="SAPBEXexcGood3 2 4" xfId="55883"/>
    <cellStyle name="SAPBEXexcGood3 2 5" xfId="55884"/>
    <cellStyle name="SAPBEXexcGood3 2 6" xfId="55885"/>
    <cellStyle name="SAPBEXexcGood3 2 7" xfId="55886"/>
    <cellStyle name="SAPBEXexcGood3 2 8" xfId="55887"/>
    <cellStyle name="SAPBEXexcGood3 2 9" xfId="55888"/>
    <cellStyle name="SAPBEXexcGood3 20" xfId="55889"/>
    <cellStyle name="SAPBEXexcGood3 21" xfId="55890"/>
    <cellStyle name="SAPBEXexcGood3 22" xfId="55891"/>
    <cellStyle name="SAPBEXexcGood3 23" xfId="55892"/>
    <cellStyle name="SAPBEXexcGood3 24" xfId="58085"/>
    <cellStyle name="SAPBEXexcGood3 3" xfId="55893"/>
    <cellStyle name="SAPBEXexcGood3 4" xfId="55894"/>
    <cellStyle name="SAPBEXexcGood3 5" xfId="55895"/>
    <cellStyle name="SAPBEXexcGood3 6" xfId="55896"/>
    <cellStyle name="SAPBEXexcGood3 7" xfId="55897"/>
    <cellStyle name="SAPBEXexcGood3 8" xfId="55898"/>
    <cellStyle name="SAPBEXexcGood3 9" xfId="55899"/>
    <cellStyle name="SAPBEXfilterDrill" xfId="55900"/>
    <cellStyle name="SAPBEXfilterDrill 10" xfId="55901"/>
    <cellStyle name="SAPBEXfilterDrill 11" xfId="55902"/>
    <cellStyle name="SAPBEXfilterDrill 12" xfId="55903"/>
    <cellStyle name="SAPBEXfilterDrill 13" xfId="55904"/>
    <cellStyle name="SAPBEXfilterDrill 14" xfId="55905"/>
    <cellStyle name="SAPBEXfilterDrill 15" xfId="55906"/>
    <cellStyle name="SAPBEXfilterDrill 16" xfId="55907"/>
    <cellStyle name="SAPBEXfilterDrill 17" xfId="55908"/>
    <cellStyle name="SAPBEXfilterDrill 18" xfId="55909"/>
    <cellStyle name="SAPBEXfilterDrill 19" xfId="55910"/>
    <cellStyle name="SAPBEXfilterDrill 2" xfId="55911"/>
    <cellStyle name="SAPBEXfilterDrill 2 10" xfId="55912"/>
    <cellStyle name="SAPBEXfilterDrill 2 11" xfId="55913"/>
    <cellStyle name="SAPBEXfilterDrill 2 12" xfId="55914"/>
    <cellStyle name="SAPBEXfilterDrill 2 13" xfId="55915"/>
    <cellStyle name="SAPBEXfilterDrill 2 2" xfId="55916"/>
    <cellStyle name="SAPBEXfilterDrill 2 3" xfId="55917"/>
    <cellStyle name="SAPBEXfilterDrill 2 4" xfId="55918"/>
    <cellStyle name="SAPBEXfilterDrill 2 5" xfId="55919"/>
    <cellStyle name="SAPBEXfilterDrill 2 6" xfId="55920"/>
    <cellStyle name="SAPBEXfilterDrill 2 7" xfId="55921"/>
    <cellStyle name="SAPBEXfilterDrill 2 8" xfId="55922"/>
    <cellStyle name="SAPBEXfilterDrill 2 9" xfId="55923"/>
    <cellStyle name="SAPBEXfilterDrill 20" xfId="55924"/>
    <cellStyle name="SAPBEXfilterDrill 21" xfId="55925"/>
    <cellStyle name="SAPBEXfilterDrill 22" xfId="55926"/>
    <cellStyle name="SAPBEXfilterDrill 23" xfId="55927"/>
    <cellStyle name="SAPBEXfilterDrill 24" xfId="58086"/>
    <cellStyle name="SAPBEXfilterDrill 3" xfId="55928"/>
    <cellStyle name="SAPBEXfilterDrill 4" xfId="55929"/>
    <cellStyle name="SAPBEXfilterDrill 5" xfId="55930"/>
    <cellStyle name="SAPBEXfilterDrill 6" xfId="55931"/>
    <cellStyle name="SAPBEXfilterDrill 7" xfId="55932"/>
    <cellStyle name="SAPBEXfilterDrill 8" xfId="55933"/>
    <cellStyle name="SAPBEXfilterDrill 9" xfId="55934"/>
    <cellStyle name="SAPBEXfilterItem" xfId="55935"/>
    <cellStyle name="SAPBEXfilterItem 10" xfId="55936"/>
    <cellStyle name="SAPBEXfilterItem 11" xfId="55937"/>
    <cellStyle name="SAPBEXfilterItem 12" xfId="55938"/>
    <cellStyle name="SAPBEXfilterItem 13" xfId="55939"/>
    <cellStyle name="SAPBEXfilterItem 14" xfId="58087"/>
    <cellStyle name="SAPBEXfilterItem 2" xfId="55940"/>
    <cellStyle name="SAPBEXfilterItem 3" xfId="55941"/>
    <cellStyle name="SAPBEXfilterItem 4" xfId="55942"/>
    <cellStyle name="SAPBEXfilterItem 5" xfId="55943"/>
    <cellStyle name="SAPBEXfilterItem 6" xfId="55944"/>
    <cellStyle name="SAPBEXfilterItem 7" xfId="55945"/>
    <cellStyle name="SAPBEXfilterItem 8" xfId="55946"/>
    <cellStyle name="SAPBEXfilterItem 9" xfId="55947"/>
    <cellStyle name="SAPBEXfilterText" xfId="55948"/>
    <cellStyle name="SAPBEXfilterText 10" xfId="55949"/>
    <cellStyle name="SAPBEXfilterText 11" xfId="55950"/>
    <cellStyle name="SAPBEXfilterText 12" xfId="55951"/>
    <cellStyle name="SAPBEXfilterText 13" xfId="55952"/>
    <cellStyle name="SAPBEXfilterText 14" xfId="58088"/>
    <cellStyle name="SAPBEXfilterText 2" xfId="55953"/>
    <cellStyle name="SAPBEXfilterText 3" xfId="55954"/>
    <cellStyle name="SAPBEXfilterText 4" xfId="55955"/>
    <cellStyle name="SAPBEXfilterText 5" xfId="55956"/>
    <cellStyle name="SAPBEXfilterText 6" xfId="55957"/>
    <cellStyle name="SAPBEXfilterText 7" xfId="55958"/>
    <cellStyle name="SAPBEXfilterText 8" xfId="55959"/>
    <cellStyle name="SAPBEXfilterText 9" xfId="55960"/>
    <cellStyle name="SAPBEXformats" xfId="55961"/>
    <cellStyle name="SAPBEXformats 10" xfId="55962"/>
    <cellStyle name="SAPBEXformats 11" xfId="55963"/>
    <cellStyle name="SAPBEXformats 12" xfId="55964"/>
    <cellStyle name="SAPBEXformats 13" xfId="55965"/>
    <cellStyle name="SAPBEXformats 14" xfId="55966"/>
    <cellStyle name="SAPBEXformats 15" xfId="55967"/>
    <cellStyle name="SAPBEXformats 16" xfId="55968"/>
    <cellStyle name="SAPBEXformats 17" xfId="55969"/>
    <cellStyle name="SAPBEXformats 18" xfId="55970"/>
    <cellStyle name="SAPBEXformats 19" xfId="55971"/>
    <cellStyle name="SAPBEXformats 2" xfId="55972"/>
    <cellStyle name="SAPBEXformats 2 10" xfId="55973"/>
    <cellStyle name="SAPBEXformats 2 11" xfId="55974"/>
    <cellStyle name="SAPBEXformats 2 12" xfId="55975"/>
    <cellStyle name="SAPBEXformats 2 13" xfId="55976"/>
    <cellStyle name="SAPBEXformats 2 2" xfId="55977"/>
    <cellStyle name="SAPBEXformats 2 3" xfId="55978"/>
    <cellStyle name="SAPBEXformats 2 4" xfId="55979"/>
    <cellStyle name="SAPBEXformats 2 5" xfId="55980"/>
    <cellStyle name="SAPBEXformats 2 6" xfId="55981"/>
    <cellStyle name="SAPBEXformats 2 7" xfId="55982"/>
    <cellStyle name="SAPBEXformats 2 8" xfId="55983"/>
    <cellStyle name="SAPBEXformats 2 9" xfId="55984"/>
    <cellStyle name="SAPBEXformats 20" xfId="55985"/>
    <cellStyle name="SAPBEXformats 21" xfId="55986"/>
    <cellStyle name="SAPBEXformats 22" xfId="55987"/>
    <cellStyle name="SAPBEXformats 23" xfId="55988"/>
    <cellStyle name="SAPBEXformats 24" xfId="58089"/>
    <cellStyle name="SAPBEXformats 3" xfId="55989"/>
    <cellStyle name="SAPBEXformats 4" xfId="55990"/>
    <cellStyle name="SAPBEXformats 5" xfId="55991"/>
    <cellStyle name="SAPBEXformats 6" xfId="55992"/>
    <cellStyle name="SAPBEXformats 7" xfId="55993"/>
    <cellStyle name="SAPBEXformats 8" xfId="55994"/>
    <cellStyle name="SAPBEXformats 9" xfId="55995"/>
    <cellStyle name="SAPBEXheaderItem" xfId="55996"/>
    <cellStyle name="SAPBEXheaderItem 10" xfId="55997"/>
    <cellStyle name="SAPBEXheaderItem 11" xfId="55998"/>
    <cellStyle name="SAPBEXheaderItem 12" xfId="55999"/>
    <cellStyle name="SAPBEXheaderItem 13" xfId="56000"/>
    <cellStyle name="SAPBEXheaderItem 14" xfId="56001"/>
    <cellStyle name="SAPBEXheaderItem 15" xfId="56002"/>
    <cellStyle name="SAPBEXheaderItem 16" xfId="56003"/>
    <cellStyle name="SAPBEXheaderItem 17" xfId="56004"/>
    <cellStyle name="SAPBEXheaderItem 18" xfId="56005"/>
    <cellStyle name="SAPBEXheaderItem 19" xfId="56006"/>
    <cellStyle name="SAPBEXheaderItem 2" xfId="56007"/>
    <cellStyle name="SAPBEXheaderItem 2 10" xfId="56008"/>
    <cellStyle name="SAPBEXheaderItem 2 11" xfId="56009"/>
    <cellStyle name="SAPBEXheaderItem 2 12" xfId="56010"/>
    <cellStyle name="SAPBEXheaderItem 2 13" xfId="56011"/>
    <cellStyle name="SAPBEXheaderItem 2 2" xfId="56012"/>
    <cellStyle name="SAPBEXheaderItem 2 3" xfId="56013"/>
    <cellStyle name="SAPBEXheaderItem 2 4" xfId="56014"/>
    <cellStyle name="SAPBEXheaderItem 2 5" xfId="56015"/>
    <cellStyle name="SAPBEXheaderItem 2 6" xfId="56016"/>
    <cellStyle name="SAPBEXheaderItem 2 7" xfId="56017"/>
    <cellStyle name="SAPBEXheaderItem 2 8" xfId="56018"/>
    <cellStyle name="SAPBEXheaderItem 2 9" xfId="56019"/>
    <cellStyle name="SAPBEXheaderItem 20" xfId="56020"/>
    <cellStyle name="SAPBEXheaderItem 21" xfId="56021"/>
    <cellStyle name="SAPBEXheaderItem 22" xfId="56022"/>
    <cellStyle name="SAPBEXheaderItem 23" xfId="56023"/>
    <cellStyle name="SAPBEXheaderItem 24" xfId="58090"/>
    <cellStyle name="SAPBEXheaderItem 3" xfId="56024"/>
    <cellStyle name="SAPBEXheaderItem 4" xfId="56025"/>
    <cellStyle name="SAPBEXheaderItem 5" xfId="56026"/>
    <cellStyle name="SAPBEXheaderItem 6" xfId="56027"/>
    <cellStyle name="SAPBEXheaderItem 7" xfId="56028"/>
    <cellStyle name="SAPBEXheaderItem 8" xfId="56029"/>
    <cellStyle name="SAPBEXheaderItem 9" xfId="56030"/>
    <cellStyle name="SAPBEXheaderText" xfId="56031"/>
    <cellStyle name="SAPBEXheaderText 10" xfId="56032"/>
    <cellStyle name="SAPBEXheaderText 11" xfId="56033"/>
    <cellStyle name="SAPBEXheaderText 12" xfId="56034"/>
    <cellStyle name="SAPBEXheaderText 13" xfId="56035"/>
    <cellStyle name="SAPBEXheaderText 14" xfId="56036"/>
    <cellStyle name="SAPBEXheaderText 15" xfId="56037"/>
    <cellStyle name="SAPBEXheaderText 16" xfId="56038"/>
    <cellStyle name="SAPBEXheaderText 17" xfId="56039"/>
    <cellStyle name="SAPBEXheaderText 18" xfId="56040"/>
    <cellStyle name="SAPBEXheaderText 19" xfId="56041"/>
    <cellStyle name="SAPBEXheaderText 2" xfId="56042"/>
    <cellStyle name="SAPBEXheaderText 2 10" xfId="56043"/>
    <cellStyle name="SAPBEXheaderText 2 11" xfId="56044"/>
    <cellStyle name="SAPBEXheaderText 2 12" xfId="56045"/>
    <cellStyle name="SAPBEXheaderText 2 13" xfId="56046"/>
    <cellStyle name="SAPBEXheaderText 2 2" xfId="56047"/>
    <cellStyle name="SAPBEXheaderText 2 3" xfId="56048"/>
    <cellStyle name="SAPBEXheaderText 2 4" xfId="56049"/>
    <cellStyle name="SAPBEXheaderText 2 5" xfId="56050"/>
    <cellStyle name="SAPBEXheaderText 2 6" xfId="56051"/>
    <cellStyle name="SAPBEXheaderText 2 7" xfId="56052"/>
    <cellStyle name="SAPBEXheaderText 2 8" xfId="56053"/>
    <cellStyle name="SAPBEXheaderText 2 9" xfId="56054"/>
    <cellStyle name="SAPBEXheaderText 20" xfId="56055"/>
    <cellStyle name="SAPBEXheaderText 21" xfId="56056"/>
    <cellStyle name="SAPBEXheaderText 22" xfId="56057"/>
    <cellStyle name="SAPBEXheaderText 23" xfId="56058"/>
    <cellStyle name="SAPBEXheaderText 24" xfId="58091"/>
    <cellStyle name="SAPBEXheaderText 3" xfId="56059"/>
    <cellStyle name="SAPBEXheaderText 4" xfId="56060"/>
    <cellStyle name="SAPBEXheaderText 5" xfId="56061"/>
    <cellStyle name="SAPBEXheaderText 6" xfId="56062"/>
    <cellStyle name="SAPBEXheaderText 7" xfId="56063"/>
    <cellStyle name="SAPBEXheaderText 8" xfId="56064"/>
    <cellStyle name="SAPBEXheaderText 9" xfId="56065"/>
    <cellStyle name="SAPBEXHLevel0" xfId="56066"/>
    <cellStyle name="SAPBEXHLevel0 10" xfId="56067"/>
    <cellStyle name="SAPBEXHLevel0 11" xfId="56068"/>
    <cellStyle name="SAPBEXHLevel0 12" xfId="56069"/>
    <cellStyle name="SAPBEXHLevel0 13" xfId="56070"/>
    <cellStyle name="SAPBEXHLevel0 14" xfId="56071"/>
    <cellStyle name="SAPBEXHLevel0 15" xfId="56072"/>
    <cellStyle name="SAPBEXHLevel0 16" xfId="56073"/>
    <cellStyle name="SAPBEXHLevel0 17" xfId="56074"/>
    <cellStyle name="SAPBEXHLevel0 18" xfId="56075"/>
    <cellStyle name="SAPBEXHLevel0 19" xfId="56076"/>
    <cellStyle name="SAPBEXHLevel0 2" xfId="56077"/>
    <cellStyle name="SAPBEXHLevel0 2 10" xfId="56078"/>
    <cellStyle name="SAPBEXHLevel0 2 11" xfId="56079"/>
    <cellStyle name="SAPBEXHLevel0 2 12" xfId="56080"/>
    <cellStyle name="SAPBEXHLevel0 2 13" xfId="56081"/>
    <cellStyle name="SAPBEXHLevel0 2 2" xfId="56082"/>
    <cellStyle name="SAPBEXHLevel0 2 3" xfId="56083"/>
    <cellStyle name="SAPBEXHLevel0 2 4" xfId="56084"/>
    <cellStyle name="SAPBEXHLevel0 2 5" xfId="56085"/>
    <cellStyle name="SAPBEXHLevel0 2 6" xfId="56086"/>
    <cellStyle name="SAPBEXHLevel0 2 7" xfId="56087"/>
    <cellStyle name="SAPBEXHLevel0 2 8" xfId="56088"/>
    <cellStyle name="SAPBEXHLevel0 2 9" xfId="56089"/>
    <cellStyle name="SAPBEXHLevel0 20" xfId="56090"/>
    <cellStyle name="SAPBEXHLevel0 21" xfId="56091"/>
    <cellStyle name="SAPBEXHLevel0 22" xfId="56092"/>
    <cellStyle name="SAPBEXHLevel0 23" xfId="56093"/>
    <cellStyle name="SAPBEXHLevel0 3" xfId="56094"/>
    <cellStyle name="SAPBEXHLevel0 4" xfId="56095"/>
    <cellStyle name="SAPBEXHLevel0 5" xfId="56096"/>
    <cellStyle name="SAPBEXHLevel0 6" xfId="56097"/>
    <cellStyle name="SAPBEXHLevel0 7" xfId="56098"/>
    <cellStyle name="SAPBEXHLevel0 8" xfId="56099"/>
    <cellStyle name="SAPBEXHLevel0 9" xfId="56100"/>
    <cellStyle name="SAPBEXHLevel0X" xfId="56101"/>
    <cellStyle name="SAPBEXHLevel0X 10" xfId="56102"/>
    <cellStyle name="SAPBEXHLevel0X 11" xfId="56103"/>
    <cellStyle name="SAPBEXHLevel0X 12" xfId="56104"/>
    <cellStyle name="SAPBEXHLevel0X 13" xfId="56105"/>
    <cellStyle name="SAPBEXHLevel0X 2" xfId="56106"/>
    <cellStyle name="SAPBEXHLevel0X 3" xfId="56107"/>
    <cellStyle name="SAPBEXHLevel0X 4" xfId="56108"/>
    <cellStyle name="SAPBEXHLevel0X 5" xfId="56109"/>
    <cellStyle name="SAPBEXHLevel0X 6" xfId="56110"/>
    <cellStyle name="SAPBEXHLevel0X 7" xfId="56111"/>
    <cellStyle name="SAPBEXHLevel0X 8" xfId="56112"/>
    <cellStyle name="SAPBEXHLevel0X 9" xfId="56113"/>
    <cellStyle name="SAPBEXHLevel1" xfId="56114"/>
    <cellStyle name="SAPBEXHLevel1 10" xfId="56115"/>
    <cellStyle name="SAPBEXHLevel1 11" xfId="56116"/>
    <cellStyle name="SAPBEXHLevel1 12" xfId="56117"/>
    <cellStyle name="SAPBEXHLevel1 13" xfId="56118"/>
    <cellStyle name="SAPBEXHLevel1 14" xfId="56119"/>
    <cellStyle name="SAPBEXHLevel1 15" xfId="56120"/>
    <cellStyle name="SAPBEXHLevel1 16" xfId="56121"/>
    <cellStyle name="SAPBEXHLevel1 17" xfId="56122"/>
    <cellStyle name="SAPBEXHLevel1 18" xfId="56123"/>
    <cellStyle name="SAPBEXHLevel1 19" xfId="56124"/>
    <cellStyle name="SAPBEXHLevel1 2" xfId="56125"/>
    <cellStyle name="SAPBEXHLevel1 2 10" xfId="56126"/>
    <cellStyle name="SAPBEXHLevel1 2 11" xfId="56127"/>
    <cellStyle name="SAPBEXHLevel1 2 12" xfId="56128"/>
    <cellStyle name="SAPBEXHLevel1 2 13" xfId="56129"/>
    <cellStyle name="SAPBEXHLevel1 2 2" xfId="56130"/>
    <cellStyle name="SAPBEXHLevel1 2 3" xfId="56131"/>
    <cellStyle name="SAPBEXHLevel1 2 4" xfId="56132"/>
    <cellStyle name="SAPBEXHLevel1 2 5" xfId="56133"/>
    <cellStyle name="SAPBEXHLevel1 2 6" xfId="56134"/>
    <cellStyle name="SAPBEXHLevel1 2 7" xfId="56135"/>
    <cellStyle name="SAPBEXHLevel1 2 8" xfId="56136"/>
    <cellStyle name="SAPBEXHLevel1 2 9" xfId="56137"/>
    <cellStyle name="SAPBEXHLevel1 20" xfId="56138"/>
    <cellStyle name="SAPBEXHLevel1 21" xfId="56139"/>
    <cellStyle name="SAPBEXHLevel1 22" xfId="56140"/>
    <cellStyle name="SAPBEXHLevel1 23" xfId="56141"/>
    <cellStyle name="SAPBEXHLevel1 3" xfId="56142"/>
    <cellStyle name="SAPBEXHLevel1 4" xfId="56143"/>
    <cellStyle name="SAPBEXHLevel1 5" xfId="56144"/>
    <cellStyle name="SAPBEXHLevel1 6" xfId="56145"/>
    <cellStyle name="SAPBEXHLevel1 7" xfId="56146"/>
    <cellStyle name="SAPBEXHLevel1 8" xfId="56147"/>
    <cellStyle name="SAPBEXHLevel1 9" xfId="56148"/>
    <cellStyle name="SAPBEXHLevel1X" xfId="56149"/>
    <cellStyle name="SAPBEXHLevel1X 10" xfId="56150"/>
    <cellStyle name="SAPBEXHLevel1X 11" xfId="56151"/>
    <cellStyle name="SAPBEXHLevel1X 12" xfId="56152"/>
    <cellStyle name="SAPBEXHLevel1X 13" xfId="56153"/>
    <cellStyle name="SAPBEXHLevel1X 2" xfId="56154"/>
    <cellStyle name="SAPBEXHLevel1X 3" xfId="56155"/>
    <cellStyle name="SAPBEXHLevel1X 4" xfId="56156"/>
    <cellStyle name="SAPBEXHLevel1X 5" xfId="56157"/>
    <cellStyle name="SAPBEXHLevel1X 6" xfId="56158"/>
    <cellStyle name="SAPBEXHLevel1X 7" xfId="56159"/>
    <cellStyle name="SAPBEXHLevel1X 8" xfId="56160"/>
    <cellStyle name="SAPBEXHLevel1X 9" xfId="56161"/>
    <cellStyle name="SAPBEXHLevel2" xfId="56162"/>
    <cellStyle name="SAPBEXHLevel2 10" xfId="56163"/>
    <cellStyle name="SAPBEXHLevel2 11" xfId="56164"/>
    <cellStyle name="SAPBEXHLevel2 12" xfId="56165"/>
    <cellStyle name="SAPBEXHLevel2 13" xfId="56166"/>
    <cellStyle name="SAPBEXHLevel2 14" xfId="56167"/>
    <cellStyle name="SAPBEXHLevel2 15" xfId="56168"/>
    <cellStyle name="SAPBEXHLevel2 16" xfId="56169"/>
    <cellStyle name="SAPBEXHLevel2 17" xfId="56170"/>
    <cellStyle name="SAPBEXHLevel2 18" xfId="56171"/>
    <cellStyle name="SAPBEXHLevel2 19" xfId="56172"/>
    <cellStyle name="SAPBEXHLevel2 2" xfId="56173"/>
    <cellStyle name="SAPBEXHLevel2 2 10" xfId="56174"/>
    <cellStyle name="SAPBEXHLevel2 2 11" xfId="56175"/>
    <cellStyle name="SAPBEXHLevel2 2 12" xfId="56176"/>
    <cellStyle name="SAPBEXHLevel2 2 13" xfId="56177"/>
    <cellStyle name="SAPBEXHLevel2 2 2" xfId="56178"/>
    <cellStyle name="SAPBEXHLevel2 2 3" xfId="56179"/>
    <cellStyle name="SAPBEXHLevel2 2 4" xfId="56180"/>
    <cellStyle name="SAPBEXHLevel2 2 5" xfId="56181"/>
    <cellStyle name="SAPBEXHLevel2 2 6" xfId="56182"/>
    <cellStyle name="SAPBEXHLevel2 2 7" xfId="56183"/>
    <cellStyle name="SAPBEXHLevel2 2 8" xfId="56184"/>
    <cellStyle name="SAPBEXHLevel2 2 9" xfId="56185"/>
    <cellStyle name="SAPBEXHLevel2 20" xfId="56186"/>
    <cellStyle name="SAPBEXHLevel2 21" xfId="56187"/>
    <cellStyle name="SAPBEXHLevel2 22" xfId="56188"/>
    <cellStyle name="SAPBEXHLevel2 23" xfId="56189"/>
    <cellStyle name="SAPBEXHLevel2 3" xfId="56190"/>
    <cellStyle name="SAPBEXHLevel2 4" xfId="56191"/>
    <cellStyle name="SAPBEXHLevel2 5" xfId="56192"/>
    <cellStyle name="SAPBEXHLevel2 6" xfId="56193"/>
    <cellStyle name="SAPBEXHLevel2 7" xfId="56194"/>
    <cellStyle name="SAPBEXHLevel2 8" xfId="56195"/>
    <cellStyle name="SAPBEXHLevel2 9" xfId="56196"/>
    <cellStyle name="SAPBEXHLevel2X" xfId="56197"/>
    <cellStyle name="SAPBEXHLevel2X 10" xfId="56198"/>
    <cellStyle name="SAPBEXHLevel2X 11" xfId="56199"/>
    <cellStyle name="SAPBEXHLevel2X 12" xfId="56200"/>
    <cellStyle name="SAPBEXHLevel2X 13" xfId="56201"/>
    <cellStyle name="SAPBEXHLevel2X 2" xfId="56202"/>
    <cellStyle name="SAPBEXHLevel2X 3" xfId="56203"/>
    <cellStyle name="SAPBEXHLevel2X 4" xfId="56204"/>
    <cellStyle name="SAPBEXHLevel2X 5" xfId="56205"/>
    <cellStyle name="SAPBEXHLevel2X 6" xfId="56206"/>
    <cellStyle name="SAPBEXHLevel2X 7" xfId="56207"/>
    <cellStyle name="SAPBEXHLevel2X 8" xfId="56208"/>
    <cellStyle name="SAPBEXHLevel2X 9" xfId="56209"/>
    <cellStyle name="SAPBEXHLevel3" xfId="56210"/>
    <cellStyle name="SAPBEXHLevel3 10" xfId="56211"/>
    <cellStyle name="SAPBEXHLevel3 11" xfId="56212"/>
    <cellStyle name="SAPBEXHLevel3 12" xfId="56213"/>
    <cellStyle name="SAPBEXHLevel3 13" xfId="56214"/>
    <cellStyle name="SAPBEXHLevel3 14" xfId="56215"/>
    <cellStyle name="SAPBEXHLevel3 15" xfId="56216"/>
    <cellStyle name="SAPBEXHLevel3 16" xfId="56217"/>
    <cellStyle name="SAPBEXHLevel3 17" xfId="56218"/>
    <cellStyle name="SAPBEXHLevel3 18" xfId="56219"/>
    <cellStyle name="SAPBEXHLevel3 19" xfId="56220"/>
    <cellStyle name="SAPBEXHLevel3 2" xfId="56221"/>
    <cellStyle name="SAPBEXHLevel3 2 10" xfId="56222"/>
    <cellStyle name="SAPBEXHLevel3 2 11" xfId="56223"/>
    <cellStyle name="SAPBEXHLevel3 2 12" xfId="56224"/>
    <cellStyle name="SAPBEXHLevel3 2 13" xfId="56225"/>
    <cellStyle name="SAPBEXHLevel3 2 2" xfId="56226"/>
    <cellStyle name="SAPBEXHLevel3 2 3" xfId="56227"/>
    <cellStyle name="SAPBEXHLevel3 2 4" xfId="56228"/>
    <cellStyle name="SAPBEXHLevel3 2 5" xfId="56229"/>
    <cellStyle name="SAPBEXHLevel3 2 6" xfId="56230"/>
    <cellStyle name="SAPBEXHLevel3 2 7" xfId="56231"/>
    <cellStyle name="SAPBEXHLevel3 2 8" xfId="56232"/>
    <cellStyle name="SAPBEXHLevel3 2 9" xfId="56233"/>
    <cellStyle name="SAPBEXHLevel3 20" xfId="56234"/>
    <cellStyle name="SAPBEXHLevel3 21" xfId="56235"/>
    <cellStyle name="SAPBEXHLevel3 22" xfId="56236"/>
    <cellStyle name="SAPBEXHLevel3 23" xfId="56237"/>
    <cellStyle name="SAPBEXHLevel3 3" xfId="56238"/>
    <cellStyle name="SAPBEXHLevel3 4" xfId="56239"/>
    <cellStyle name="SAPBEXHLevel3 5" xfId="56240"/>
    <cellStyle name="SAPBEXHLevel3 6" xfId="56241"/>
    <cellStyle name="SAPBEXHLevel3 7" xfId="56242"/>
    <cellStyle name="SAPBEXHLevel3 8" xfId="56243"/>
    <cellStyle name="SAPBEXHLevel3 9" xfId="56244"/>
    <cellStyle name="SAPBEXHLevel3X" xfId="56245"/>
    <cellStyle name="SAPBEXHLevel3X 10" xfId="56246"/>
    <cellStyle name="SAPBEXHLevel3X 11" xfId="56247"/>
    <cellStyle name="SAPBEXHLevel3X 12" xfId="56248"/>
    <cellStyle name="SAPBEXHLevel3X 13" xfId="56249"/>
    <cellStyle name="SAPBEXHLevel3X 2" xfId="56250"/>
    <cellStyle name="SAPBEXHLevel3X 3" xfId="56251"/>
    <cellStyle name="SAPBEXHLevel3X 4" xfId="56252"/>
    <cellStyle name="SAPBEXHLevel3X 5" xfId="56253"/>
    <cellStyle name="SAPBEXHLevel3X 6" xfId="56254"/>
    <cellStyle name="SAPBEXHLevel3X 7" xfId="56255"/>
    <cellStyle name="SAPBEXHLevel3X 8" xfId="56256"/>
    <cellStyle name="SAPBEXHLevel3X 9" xfId="56257"/>
    <cellStyle name="SAPBEXinputData" xfId="56258"/>
    <cellStyle name="SAPBEXinputData 10" xfId="56259"/>
    <cellStyle name="SAPBEXinputData 11" xfId="56260"/>
    <cellStyle name="SAPBEXinputData 12" xfId="56261"/>
    <cellStyle name="SAPBEXinputData 13" xfId="56262"/>
    <cellStyle name="SAPBEXinputData 14" xfId="56263"/>
    <cellStyle name="SAPBEXinputData 15" xfId="56264"/>
    <cellStyle name="SAPBEXinputData 16" xfId="56265"/>
    <cellStyle name="SAPBEXinputData 17" xfId="56266"/>
    <cellStyle name="SAPBEXinputData 18" xfId="56267"/>
    <cellStyle name="SAPBEXinputData 19" xfId="56268"/>
    <cellStyle name="SAPBEXinputData 2" xfId="56269"/>
    <cellStyle name="SAPBEXinputData 2 2" xfId="56270"/>
    <cellStyle name="SAPBEXinputData 20" xfId="56271"/>
    <cellStyle name="SAPBEXinputData 21" xfId="56272"/>
    <cellStyle name="SAPBEXinputData 22" xfId="56273"/>
    <cellStyle name="SAPBEXinputData 23" xfId="56274"/>
    <cellStyle name="SAPBEXinputData 24" xfId="56275"/>
    <cellStyle name="SAPBEXinputData 25" xfId="56276"/>
    <cellStyle name="SAPBEXinputData 26" xfId="56277"/>
    <cellStyle name="SAPBEXinputData 27" xfId="56278"/>
    <cellStyle name="SAPBEXinputData 28" xfId="56279"/>
    <cellStyle name="SAPBEXinputData 29" xfId="56280"/>
    <cellStyle name="SAPBEXinputData 3" xfId="56281"/>
    <cellStyle name="SAPBEXinputData 3 2" xfId="56282"/>
    <cellStyle name="SAPBEXinputData 30" xfId="56283"/>
    <cellStyle name="SAPBEXinputData 31" xfId="56284"/>
    <cellStyle name="SAPBEXinputData 32" xfId="56285"/>
    <cellStyle name="SAPBEXinputData 33" xfId="56286"/>
    <cellStyle name="SAPBEXinputData 34" xfId="56287"/>
    <cellStyle name="SAPBEXinputData 35" xfId="56288"/>
    <cellStyle name="SAPBEXinputData 36" xfId="56289"/>
    <cellStyle name="SAPBEXinputData 37" xfId="56290"/>
    <cellStyle name="SAPBEXinputData 38" xfId="56291"/>
    <cellStyle name="SAPBEXinputData 39" xfId="56292"/>
    <cellStyle name="SAPBEXinputData 4" xfId="56293"/>
    <cellStyle name="SAPBEXinputData 40" xfId="56294"/>
    <cellStyle name="SAPBEXinputData 41" xfId="56295"/>
    <cellStyle name="SAPBEXinputData 42" xfId="56296"/>
    <cellStyle name="SAPBEXinputData 43" xfId="56297"/>
    <cellStyle name="SAPBEXinputData 44" xfId="56298"/>
    <cellStyle name="SAPBEXinputData 45" xfId="56299"/>
    <cellStyle name="SAPBEXinputData 46" xfId="56300"/>
    <cellStyle name="SAPBEXinputData 47" xfId="56301"/>
    <cellStyle name="SAPBEXinputData 48" xfId="56302"/>
    <cellStyle name="SAPBEXinputData 49" xfId="56303"/>
    <cellStyle name="SAPBEXinputData 5" xfId="56304"/>
    <cellStyle name="SAPBEXinputData 50" xfId="56305"/>
    <cellStyle name="SAPBEXinputData 6" xfId="56306"/>
    <cellStyle name="SAPBEXinputData 7" xfId="56307"/>
    <cellStyle name="SAPBEXinputData 8" xfId="56308"/>
    <cellStyle name="SAPBEXinputData 9" xfId="56309"/>
    <cellStyle name="SAPBEXItemHeader" xfId="56310"/>
    <cellStyle name="SAPBEXItemHeader 10" xfId="56311"/>
    <cellStyle name="SAPBEXItemHeader 11" xfId="56312"/>
    <cellStyle name="SAPBEXItemHeader 12" xfId="56313"/>
    <cellStyle name="SAPBEXItemHeader 13" xfId="56314"/>
    <cellStyle name="SAPBEXItemHeader 2" xfId="56315"/>
    <cellStyle name="SAPBEXItemHeader 3" xfId="56316"/>
    <cellStyle name="SAPBEXItemHeader 4" xfId="56317"/>
    <cellStyle name="SAPBEXItemHeader 5" xfId="56318"/>
    <cellStyle name="SAPBEXItemHeader 6" xfId="56319"/>
    <cellStyle name="SAPBEXItemHeader 7" xfId="56320"/>
    <cellStyle name="SAPBEXItemHeader 8" xfId="56321"/>
    <cellStyle name="SAPBEXItemHeader 9" xfId="56322"/>
    <cellStyle name="SAPBEXresData" xfId="56323"/>
    <cellStyle name="SAPBEXresData 10" xfId="56324"/>
    <cellStyle name="SAPBEXresData 11" xfId="56325"/>
    <cellStyle name="SAPBEXresData 12" xfId="56326"/>
    <cellStyle name="SAPBEXresData 13" xfId="56327"/>
    <cellStyle name="SAPBEXresData 14" xfId="58092"/>
    <cellStyle name="SAPBEXresData 2" xfId="56328"/>
    <cellStyle name="SAPBEXresData 2 2" xfId="56329"/>
    <cellStyle name="SAPBEXresData 3" xfId="56330"/>
    <cellStyle name="SAPBEXresData 4" xfId="56331"/>
    <cellStyle name="SAPBEXresData 5" xfId="56332"/>
    <cellStyle name="SAPBEXresData 6" xfId="56333"/>
    <cellStyle name="SAPBEXresData 7" xfId="56334"/>
    <cellStyle name="SAPBEXresData 8" xfId="56335"/>
    <cellStyle name="SAPBEXresData 9" xfId="56336"/>
    <cellStyle name="SAPBEXresDataEmph" xfId="56337"/>
    <cellStyle name="SAPBEXresDataEmph 10" xfId="56338"/>
    <cellStyle name="SAPBEXresDataEmph 11" xfId="56339"/>
    <cellStyle name="SAPBEXresDataEmph 12" xfId="56340"/>
    <cellStyle name="SAPBEXresDataEmph 13" xfId="56341"/>
    <cellStyle name="SAPBEXresDataEmph 14" xfId="56342"/>
    <cellStyle name="SAPBEXresDataEmph 15" xfId="56343"/>
    <cellStyle name="SAPBEXresDataEmph 16" xfId="56344"/>
    <cellStyle name="SAPBEXresDataEmph 17" xfId="56345"/>
    <cellStyle name="SAPBEXresDataEmph 18" xfId="56346"/>
    <cellStyle name="SAPBEXresDataEmph 19" xfId="56347"/>
    <cellStyle name="SAPBEXresDataEmph 2" xfId="56348"/>
    <cellStyle name="SAPBEXresDataEmph 2 2" xfId="56349"/>
    <cellStyle name="SAPBEXresDataEmph 20" xfId="56350"/>
    <cellStyle name="SAPBEXresDataEmph 21" xfId="56351"/>
    <cellStyle name="SAPBEXresDataEmph 22" xfId="56352"/>
    <cellStyle name="SAPBEXresDataEmph 23" xfId="56353"/>
    <cellStyle name="SAPBEXresDataEmph 24" xfId="56354"/>
    <cellStyle name="SAPBEXresDataEmph 25" xfId="56355"/>
    <cellStyle name="SAPBEXresDataEmph 26" xfId="56356"/>
    <cellStyle name="SAPBEXresDataEmph 27" xfId="56357"/>
    <cellStyle name="SAPBEXresDataEmph 28" xfId="56358"/>
    <cellStyle name="SAPBEXresDataEmph 29" xfId="56359"/>
    <cellStyle name="SAPBEXresDataEmph 3" xfId="56360"/>
    <cellStyle name="SAPBEXresDataEmph 30" xfId="56361"/>
    <cellStyle name="SAPBEXresDataEmph 31" xfId="56362"/>
    <cellStyle name="SAPBEXresDataEmph 32" xfId="56363"/>
    <cellStyle name="SAPBEXresDataEmph 33" xfId="56364"/>
    <cellStyle name="SAPBEXresDataEmph 34" xfId="56365"/>
    <cellStyle name="SAPBEXresDataEmph 35" xfId="56366"/>
    <cellStyle name="SAPBEXresDataEmph 36" xfId="56367"/>
    <cellStyle name="SAPBEXresDataEmph 37" xfId="56368"/>
    <cellStyle name="SAPBEXresDataEmph 38" xfId="56369"/>
    <cellStyle name="SAPBEXresDataEmph 39" xfId="56370"/>
    <cellStyle name="SAPBEXresDataEmph 4" xfId="56371"/>
    <cellStyle name="SAPBEXresDataEmph 40" xfId="56372"/>
    <cellStyle name="SAPBEXresDataEmph 41" xfId="56373"/>
    <cellStyle name="SAPBEXresDataEmph 42" xfId="56374"/>
    <cellStyle name="SAPBEXresDataEmph 43" xfId="56375"/>
    <cellStyle name="SAPBEXresDataEmph 44" xfId="56376"/>
    <cellStyle name="SAPBEXresDataEmph 45" xfId="56377"/>
    <cellStyle name="SAPBEXresDataEmph 46" xfId="56378"/>
    <cellStyle name="SAPBEXresDataEmph 47" xfId="56379"/>
    <cellStyle name="SAPBEXresDataEmph 48" xfId="56380"/>
    <cellStyle name="SAPBEXresDataEmph 49" xfId="56381"/>
    <cellStyle name="SAPBEXresDataEmph 5" xfId="56382"/>
    <cellStyle name="SAPBEXresDataEmph 50" xfId="58093"/>
    <cellStyle name="SAPBEXresDataEmph 6" xfId="56383"/>
    <cellStyle name="SAPBEXresDataEmph 7" xfId="56384"/>
    <cellStyle name="SAPBEXresDataEmph 8" xfId="56385"/>
    <cellStyle name="SAPBEXresDataEmph 9" xfId="56386"/>
    <cellStyle name="SAPBEXresItem" xfId="56387"/>
    <cellStyle name="SAPBEXresItem 10" xfId="56388"/>
    <cellStyle name="SAPBEXresItem 11" xfId="56389"/>
    <cellStyle name="SAPBEXresItem 12" xfId="56390"/>
    <cellStyle name="SAPBEXresItem 13" xfId="56391"/>
    <cellStyle name="SAPBEXresItem 14" xfId="58094"/>
    <cellStyle name="SAPBEXresItem 2" xfId="56392"/>
    <cellStyle name="SAPBEXresItem 2 2" xfId="56393"/>
    <cellStyle name="SAPBEXresItem 3" xfId="56394"/>
    <cellStyle name="SAPBEXresItem 4" xfId="56395"/>
    <cellStyle name="SAPBEXresItem 5" xfId="56396"/>
    <cellStyle name="SAPBEXresItem 6" xfId="56397"/>
    <cellStyle name="SAPBEXresItem 7" xfId="56398"/>
    <cellStyle name="SAPBEXresItem 8" xfId="56399"/>
    <cellStyle name="SAPBEXresItem 9" xfId="56400"/>
    <cellStyle name="SAPBEXresItemX" xfId="56401"/>
    <cellStyle name="SAPBEXresItemX 10" xfId="56402"/>
    <cellStyle name="SAPBEXresItemX 11" xfId="56403"/>
    <cellStyle name="SAPBEXresItemX 12" xfId="56404"/>
    <cellStyle name="SAPBEXresItemX 13" xfId="56405"/>
    <cellStyle name="SAPBEXresItemX 2" xfId="56406"/>
    <cellStyle name="SAPBEXresItemX 3" xfId="56407"/>
    <cellStyle name="SAPBEXresItemX 4" xfId="56408"/>
    <cellStyle name="SAPBEXresItemX 5" xfId="56409"/>
    <cellStyle name="SAPBEXresItemX 6" xfId="56410"/>
    <cellStyle name="SAPBEXresItemX 7" xfId="56411"/>
    <cellStyle name="SAPBEXresItemX 8" xfId="56412"/>
    <cellStyle name="SAPBEXresItemX 9" xfId="56413"/>
    <cellStyle name="SAPBEXstdData" xfId="56414"/>
    <cellStyle name="SAPBEXstdData 10" xfId="56415"/>
    <cellStyle name="SAPBEXstdData 11" xfId="56416"/>
    <cellStyle name="SAPBEXstdData 12" xfId="56417"/>
    <cellStyle name="SAPBEXstdData 13" xfId="56418"/>
    <cellStyle name="SAPBEXstdData 14" xfId="56419"/>
    <cellStyle name="SAPBEXstdData 15" xfId="56420"/>
    <cellStyle name="SAPBEXstdData 16" xfId="56421"/>
    <cellStyle name="SAPBEXstdData 17" xfId="56422"/>
    <cellStyle name="SAPBEXstdData 18" xfId="56423"/>
    <cellStyle name="SAPBEXstdData 19" xfId="56424"/>
    <cellStyle name="SAPBEXstdData 2" xfId="56425"/>
    <cellStyle name="SAPBEXstdData 2 10" xfId="56426"/>
    <cellStyle name="SAPBEXstdData 2 11" xfId="56427"/>
    <cellStyle name="SAPBEXstdData 2 12" xfId="56428"/>
    <cellStyle name="SAPBEXstdData 2 13" xfId="56429"/>
    <cellStyle name="SAPBEXstdData 2 2" xfId="56430"/>
    <cellStyle name="SAPBEXstdData 2 3" xfId="56431"/>
    <cellStyle name="SAPBEXstdData 2 4" xfId="56432"/>
    <cellStyle name="SAPBEXstdData 2 5" xfId="56433"/>
    <cellStyle name="SAPBEXstdData 2 6" xfId="56434"/>
    <cellStyle name="SAPBEXstdData 2 7" xfId="56435"/>
    <cellStyle name="SAPBEXstdData 2 8" xfId="56436"/>
    <cellStyle name="SAPBEXstdData 2 9" xfId="56437"/>
    <cellStyle name="SAPBEXstdData 20" xfId="56438"/>
    <cellStyle name="SAPBEXstdData 21" xfId="56439"/>
    <cellStyle name="SAPBEXstdData 22" xfId="56440"/>
    <cellStyle name="SAPBEXstdData 23" xfId="56441"/>
    <cellStyle name="SAPBEXstdData 24" xfId="58095"/>
    <cellStyle name="SAPBEXstdData 3" xfId="56442"/>
    <cellStyle name="SAPBEXstdData 4" xfId="56443"/>
    <cellStyle name="SAPBEXstdData 5" xfId="56444"/>
    <cellStyle name="SAPBEXstdData 6" xfId="56445"/>
    <cellStyle name="SAPBEXstdData 7" xfId="56446"/>
    <cellStyle name="SAPBEXstdData 8" xfId="56447"/>
    <cellStyle name="SAPBEXstdData 9" xfId="56448"/>
    <cellStyle name="SAPBEXstdDataEmph" xfId="56449"/>
    <cellStyle name="SAPBEXstdDataEmph 10" xfId="56450"/>
    <cellStyle name="SAPBEXstdDataEmph 11" xfId="56451"/>
    <cellStyle name="SAPBEXstdDataEmph 12" xfId="56452"/>
    <cellStyle name="SAPBEXstdDataEmph 13" xfId="56453"/>
    <cellStyle name="SAPBEXstdDataEmph 14" xfId="58096"/>
    <cellStyle name="SAPBEXstdDataEmph 2" xfId="56454"/>
    <cellStyle name="SAPBEXstdDataEmph 2 2" xfId="56455"/>
    <cellStyle name="SAPBEXstdDataEmph 3" xfId="56456"/>
    <cellStyle name="SAPBEXstdDataEmph 4" xfId="56457"/>
    <cellStyle name="SAPBEXstdDataEmph 5" xfId="56458"/>
    <cellStyle name="SAPBEXstdDataEmph 6" xfId="56459"/>
    <cellStyle name="SAPBEXstdDataEmph 7" xfId="56460"/>
    <cellStyle name="SAPBEXstdDataEmph 8" xfId="56461"/>
    <cellStyle name="SAPBEXstdDataEmph 9" xfId="56462"/>
    <cellStyle name="SAPBEXstdItem" xfId="56463"/>
    <cellStyle name="SAPBEXstdItem 10" xfId="56464"/>
    <cellStyle name="SAPBEXstdItem 11" xfId="56465"/>
    <cellStyle name="SAPBEXstdItem 12" xfId="56466"/>
    <cellStyle name="SAPBEXstdItem 13" xfId="56467"/>
    <cellStyle name="SAPBEXstdItem 14" xfId="56468"/>
    <cellStyle name="SAPBEXstdItem 15" xfId="56469"/>
    <cellStyle name="SAPBEXstdItem 16" xfId="56470"/>
    <cellStyle name="SAPBEXstdItem 17" xfId="56471"/>
    <cellStyle name="SAPBEXstdItem 18" xfId="56472"/>
    <cellStyle name="SAPBEXstdItem 19" xfId="56473"/>
    <cellStyle name="SAPBEXstdItem 2" xfId="56474"/>
    <cellStyle name="SAPBEXstdItem 2 10" xfId="56475"/>
    <cellStyle name="SAPBEXstdItem 2 11" xfId="56476"/>
    <cellStyle name="SAPBEXstdItem 2 12" xfId="56477"/>
    <cellStyle name="SAPBEXstdItem 2 13" xfId="56478"/>
    <cellStyle name="SAPBEXstdItem 2 2" xfId="56479"/>
    <cellStyle name="SAPBEXstdItem 2 3" xfId="56480"/>
    <cellStyle name="SAPBEXstdItem 2 4" xfId="56481"/>
    <cellStyle name="SAPBEXstdItem 2 5" xfId="56482"/>
    <cellStyle name="SAPBEXstdItem 2 6" xfId="56483"/>
    <cellStyle name="SAPBEXstdItem 2 7" xfId="56484"/>
    <cellStyle name="SAPBEXstdItem 2 8" xfId="56485"/>
    <cellStyle name="SAPBEXstdItem 2 9" xfId="56486"/>
    <cellStyle name="SAPBEXstdItem 20" xfId="56487"/>
    <cellStyle name="SAPBEXstdItem 21" xfId="56488"/>
    <cellStyle name="SAPBEXstdItem 22" xfId="56489"/>
    <cellStyle name="SAPBEXstdItem 23" xfId="56490"/>
    <cellStyle name="SAPBEXstdItem 24" xfId="58097"/>
    <cellStyle name="SAPBEXstdItem 3" xfId="56491"/>
    <cellStyle name="SAPBEXstdItem 4" xfId="56492"/>
    <cellStyle name="SAPBEXstdItem 5" xfId="56493"/>
    <cellStyle name="SAPBEXstdItem 6" xfId="56494"/>
    <cellStyle name="SAPBEXstdItem 7" xfId="56495"/>
    <cellStyle name="SAPBEXstdItem 8" xfId="56496"/>
    <cellStyle name="SAPBEXstdItem 9" xfId="56497"/>
    <cellStyle name="SAPBEXstdItemX" xfId="56498"/>
    <cellStyle name="SAPBEXstdItemX 10" xfId="56499"/>
    <cellStyle name="SAPBEXstdItemX 11" xfId="56500"/>
    <cellStyle name="SAPBEXstdItemX 12" xfId="56501"/>
    <cellStyle name="SAPBEXstdItemX 13" xfId="56502"/>
    <cellStyle name="SAPBEXstdItemX 2" xfId="56503"/>
    <cellStyle name="SAPBEXstdItemX 3" xfId="56504"/>
    <cellStyle name="SAPBEXstdItemX 4" xfId="56505"/>
    <cellStyle name="SAPBEXstdItemX 5" xfId="56506"/>
    <cellStyle name="SAPBEXstdItemX 6" xfId="56507"/>
    <cellStyle name="SAPBEXstdItemX 7" xfId="56508"/>
    <cellStyle name="SAPBEXstdItemX 8" xfId="56509"/>
    <cellStyle name="SAPBEXstdItemX 9" xfId="56510"/>
    <cellStyle name="SAPBEXtitle" xfId="56511"/>
    <cellStyle name="SAPBEXtitle 10" xfId="56512"/>
    <cellStyle name="SAPBEXtitle 11" xfId="56513"/>
    <cellStyle name="SAPBEXtitle 12" xfId="56514"/>
    <cellStyle name="SAPBEXtitle 13" xfId="56515"/>
    <cellStyle name="SAPBEXtitle 14" xfId="58098"/>
    <cellStyle name="SAPBEXtitle 2" xfId="56516"/>
    <cellStyle name="SAPBEXtitle 2 2" xfId="56517"/>
    <cellStyle name="SAPBEXtitle 3" xfId="56518"/>
    <cellStyle name="SAPBEXtitle 4" xfId="56519"/>
    <cellStyle name="SAPBEXtitle 5" xfId="56520"/>
    <cellStyle name="SAPBEXtitle 6" xfId="56521"/>
    <cellStyle name="SAPBEXtitle 7" xfId="56522"/>
    <cellStyle name="SAPBEXtitle 8" xfId="56523"/>
    <cellStyle name="SAPBEXtitle 9" xfId="56524"/>
    <cellStyle name="SAPBEXunassignedItem" xfId="56525"/>
    <cellStyle name="SAPBEXunassignedItem 10" xfId="56526"/>
    <cellStyle name="SAPBEXunassignedItem 11" xfId="56527"/>
    <cellStyle name="SAPBEXunassignedItem 12" xfId="56528"/>
    <cellStyle name="SAPBEXunassignedItem 13" xfId="56529"/>
    <cellStyle name="SAPBEXunassignedItem 14" xfId="56530"/>
    <cellStyle name="SAPBEXunassignedItem 15" xfId="56531"/>
    <cellStyle name="SAPBEXunassignedItem 16" xfId="56532"/>
    <cellStyle name="SAPBEXunassignedItem 17" xfId="56533"/>
    <cellStyle name="SAPBEXunassignedItem 18" xfId="56534"/>
    <cellStyle name="SAPBEXunassignedItem 19" xfId="56535"/>
    <cellStyle name="SAPBEXunassignedItem 2" xfId="56536"/>
    <cellStyle name="SAPBEXunassignedItem 2 10" xfId="56537"/>
    <cellStyle name="SAPBEXunassignedItem 2 11" xfId="56538"/>
    <cellStyle name="SAPBEXunassignedItem 2 12" xfId="56539"/>
    <cellStyle name="SAPBEXunassignedItem 2 13" xfId="56540"/>
    <cellStyle name="SAPBEXunassignedItem 2 14" xfId="56541"/>
    <cellStyle name="SAPBEXunassignedItem 2 15" xfId="56542"/>
    <cellStyle name="SAPBEXunassignedItem 2 16" xfId="56543"/>
    <cellStyle name="SAPBEXunassignedItem 2 17" xfId="56544"/>
    <cellStyle name="SAPBEXunassignedItem 2 18" xfId="56545"/>
    <cellStyle name="SAPBEXunassignedItem 2 19" xfId="56546"/>
    <cellStyle name="SAPBEXunassignedItem 2 2" xfId="56547"/>
    <cellStyle name="SAPBEXunassignedItem 2 20" xfId="56548"/>
    <cellStyle name="SAPBEXunassignedItem 2 21" xfId="56549"/>
    <cellStyle name="SAPBEXunassignedItem 2 22" xfId="56550"/>
    <cellStyle name="SAPBEXunassignedItem 2 23" xfId="56551"/>
    <cellStyle name="SAPBEXunassignedItem 2 24" xfId="56552"/>
    <cellStyle name="SAPBEXunassignedItem 2 25" xfId="56553"/>
    <cellStyle name="SAPBEXunassignedItem 2 26" xfId="56554"/>
    <cellStyle name="SAPBEXunassignedItem 2 27" xfId="56555"/>
    <cellStyle name="SAPBEXunassignedItem 2 28" xfId="56556"/>
    <cellStyle name="SAPBEXunassignedItem 2 29" xfId="56557"/>
    <cellStyle name="SAPBEXunassignedItem 2 3" xfId="56558"/>
    <cellStyle name="SAPBEXunassignedItem 2 30" xfId="56559"/>
    <cellStyle name="SAPBEXunassignedItem 2 31" xfId="56560"/>
    <cellStyle name="SAPBEXunassignedItem 2 32" xfId="56561"/>
    <cellStyle name="SAPBEXunassignedItem 2 33" xfId="56562"/>
    <cellStyle name="SAPBEXunassignedItem 2 34" xfId="56563"/>
    <cellStyle name="SAPBEXunassignedItem 2 35" xfId="56564"/>
    <cellStyle name="SAPBEXunassignedItem 2 36" xfId="56565"/>
    <cellStyle name="SAPBEXunassignedItem 2 37" xfId="56566"/>
    <cellStyle name="SAPBEXunassignedItem 2 38" xfId="56567"/>
    <cellStyle name="SAPBEXunassignedItem 2 39" xfId="56568"/>
    <cellStyle name="SAPBEXunassignedItem 2 4" xfId="56569"/>
    <cellStyle name="SAPBEXunassignedItem 2 40" xfId="56570"/>
    <cellStyle name="SAPBEXunassignedItem 2 41" xfId="56571"/>
    <cellStyle name="SAPBEXunassignedItem 2 42" xfId="56572"/>
    <cellStyle name="SAPBEXunassignedItem 2 43" xfId="56573"/>
    <cellStyle name="SAPBEXunassignedItem 2 44" xfId="56574"/>
    <cellStyle name="SAPBEXunassignedItem 2 45" xfId="56575"/>
    <cellStyle name="SAPBEXunassignedItem 2 46" xfId="56576"/>
    <cellStyle name="SAPBEXunassignedItem 2 47" xfId="56577"/>
    <cellStyle name="SAPBEXunassignedItem 2 48" xfId="56578"/>
    <cellStyle name="SAPBEXunassignedItem 2 49" xfId="56579"/>
    <cellStyle name="SAPBEXunassignedItem 2 5" xfId="56580"/>
    <cellStyle name="SAPBEXunassignedItem 2 6" xfId="56581"/>
    <cellStyle name="SAPBEXunassignedItem 2 7" xfId="56582"/>
    <cellStyle name="SAPBEXunassignedItem 2 8" xfId="56583"/>
    <cellStyle name="SAPBEXunassignedItem 2 9" xfId="56584"/>
    <cellStyle name="SAPBEXunassignedItem 20" xfId="56585"/>
    <cellStyle name="SAPBEXunassignedItem 21" xfId="56586"/>
    <cellStyle name="SAPBEXunassignedItem 22" xfId="56587"/>
    <cellStyle name="SAPBEXunassignedItem 23" xfId="56588"/>
    <cellStyle name="SAPBEXunassignedItem 24" xfId="56589"/>
    <cellStyle name="SAPBEXunassignedItem 25" xfId="56590"/>
    <cellStyle name="SAPBEXunassignedItem 26" xfId="56591"/>
    <cellStyle name="SAPBEXunassignedItem 27" xfId="56592"/>
    <cellStyle name="SAPBEXunassignedItem 28" xfId="56593"/>
    <cellStyle name="SAPBEXunassignedItem 29" xfId="56594"/>
    <cellStyle name="SAPBEXunassignedItem 3" xfId="56595"/>
    <cellStyle name="SAPBEXunassignedItem 30" xfId="56596"/>
    <cellStyle name="SAPBEXunassignedItem 31" xfId="56597"/>
    <cellStyle name="SAPBEXunassignedItem 32" xfId="56598"/>
    <cellStyle name="SAPBEXunassignedItem 33" xfId="56599"/>
    <cellStyle name="SAPBEXunassignedItem 34" xfId="56600"/>
    <cellStyle name="SAPBEXunassignedItem 35" xfId="56601"/>
    <cellStyle name="SAPBEXunassignedItem 36" xfId="56602"/>
    <cellStyle name="SAPBEXunassignedItem 37" xfId="56603"/>
    <cellStyle name="SAPBEXunassignedItem 38" xfId="56604"/>
    <cellStyle name="SAPBEXunassignedItem 39" xfId="56605"/>
    <cellStyle name="SAPBEXunassignedItem 4" xfId="56606"/>
    <cellStyle name="SAPBEXunassignedItem 40" xfId="56607"/>
    <cellStyle name="SAPBEXunassignedItem 41" xfId="56608"/>
    <cellStyle name="SAPBEXunassignedItem 42" xfId="56609"/>
    <cellStyle name="SAPBEXunassignedItem 43" xfId="56610"/>
    <cellStyle name="SAPBEXunassignedItem 44" xfId="56611"/>
    <cellStyle name="SAPBEXunassignedItem 45" xfId="56612"/>
    <cellStyle name="SAPBEXunassignedItem 46" xfId="56613"/>
    <cellStyle name="SAPBEXunassignedItem 47" xfId="56614"/>
    <cellStyle name="SAPBEXunassignedItem 48" xfId="56615"/>
    <cellStyle name="SAPBEXunassignedItem 49" xfId="56616"/>
    <cellStyle name="SAPBEXunassignedItem 5" xfId="56617"/>
    <cellStyle name="SAPBEXunassignedItem 50" xfId="56618"/>
    <cellStyle name="SAPBEXunassignedItem 51" xfId="56619"/>
    <cellStyle name="SAPBEXunassignedItem 52" xfId="56620"/>
    <cellStyle name="SAPBEXunassignedItem 53" xfId="56621"/>
    <cellStyle name="SAPBEXunassignedItem 54" xfId="56622"/>
    <cellStyle name="SAPBEXunassignedItem 55" xfId="56623"/>
    <cellStyle name="SAPBEXunassignedItem 56" xfId="56624"/>
    <cellStyle name="SAPBEXunassignedItem 57" xfId="56625"/>
    <cellStyle name="SAPBEXunassignedItem 58" xfId="56626"/>
    <cellStyle name="SAPBEXunassignedItem 59" xfId="56627"/>
    <cellStyle name="SAPBEXunassignedItem 6" xfId="56628"/>
    <cellStyle name="SAPBEXunassignedItem 7" xfId="56629"/>
    <cellStyle name="SAPBEXunassignedItem 8" xfId="56630"/>
    <cellStyle name="SAPBEXunassignedItem 9" xfId="56631"/>
    <cellStyle name="SAPBEXundefined" xfId="56632"/>
    <cellStyle name="SAPBEXundefined 10" xfId="56633"/>
    <cellStyle name="SAPBEXundefined 11" xfId="56634"/>
    <cellStyle name="SAPBEXundefined 12" xfId="56635"/>
    <cellStyle name="SAPBEXundefined 13" xfId="56636"/>
    <cellStyle name="SAPBEXundefined 14" xfId="58099"/>
    <cellStyle name="SAPBEXundefined 2" xfId="56637"/>
    <cellStyle name="SAPBEXundefined 2 2" xfId="56638"/>
    <cellStyle name="SAPBEXundefined 3" xfId="56639"/>
    <cellStyle name="SAPBEXundefined 4" xfId="56640"/>
    <cellStyle name="SAPBEXundefined 5" xfId="56641"/>
    <cellStyle name="SAPBEXundefined 6" xfId="56642"/>
    <cellStyle name="SAPBEXundefined 7" xfId="56643"/>
    <cellStyle name="SAPBEXundefined 8" xfId="56644"/>
    <cellStyle name="SAPBEXundefined 9" xfId="56645"/>
    <cellStyle name="sbt2" xfId="56646"/>
    <cellStyle name="sbt2 2" xfId="56647"/>
    <cellStyle name="sbt2 2 2" xfId="56648"/>
    <cellStyle name="sbt2 2 2 2" xfId="58102"/>
    <cellStyle name="sbt2 2 3" xfId="56649"/>
    <cellStyle name="sbt2 2 3 2" xfId="58103"/>
    <cellStyle name="sbt2 2 4" xfId="58101"/>
    <cellStyle name="sbt2 3" xfId="56650"/>
    <cellStyle name="sbt2 3 2" xfId="58104"/>
    <cellStyle name="sbt2 4" xfId="58100"/>
    <cellStyle name="sc1" xfId="56651"/>
    <cellStyle name="Schlecht" xfId="56652"/>
    <cellStyle name="Section Head" xfId="56653"/>
    <cellStyle name="Section Head 2" xfId="56654"/>
    <cellStyle name="Section Head 2 2" xfId="56655"/>
    <cellStyle name="Section Head 3" xfId="58105"/>
    <cellStyle name="Section Heading" xfId="56656"/>
    <cellStyle name="Shade" xfId="56657"/>
    <cellStyle name="SHADEDSTORES" xfId="56658"/>
    <cellStyle name="SHADEDSTORES 2" xfId="56659"/>
    <cellStyle name="SHADEDSTORES 2 2" xfId="56660"/>
    <cellStyle name="SHADEDSTORES 2 2 2" xfId="58108"/>
    <cellStyle name="SHADEDSTORES 2 3" xfId="56661"/>
    <cellStyle name="SHADEDSTORES 2 3 2" xfId="58109"/>
    <cellStyle name="SHADEDSTORES 2 4" xfId="58107"/>
    <cellStyle name="SHADEDSTORES 3" xfId="56662"/>
    <cellStyle name="SHADEDSTORES 3 2" xfId="58110"/>
    <cellStyle name="SHADEDSTORES 4" xfId="56663"/>
    <cellStyle name="SHADEDSTORES 5" xfId="58106"/>
    <cellStyle name="Sheet Title" xfId="56664"/>
    <cellStyle name="specstores" xfId="56665"/>
    <cellStyle name="specstores 2" xfId="56666"/>
    <cellStyle name="specstores 2 2" xfId="56667"/>
    <cellStyle name="specstores 2 3" xfId="56668"/>
    <cellStyle name="specstores 3" xfId="56669"/>
    <cellStyle name="Standaard_BLAD" xfId="56670"/>
    <cellStyle name="Standard_Anpassen der Amortisation" xfId="56671"/>
    <cellStyle name="Style 1" xfId="56672"/>
    <cellStyle name="Style 1 2" xfId="56673"/>
    <cellStyle name="Style 1 3" xfId="56674"/>
    <cellStyle name="Style 1 4" xfId="56675"/>
    <cellStyle name="Style 1 5" xfId="58111"/>
    <cellStyle name="Style 1_3rd Land Krw 26.11.2010" xfId="56676"/>
    <cellStyle name="Style 2" xfId="56677"/>
    <cellStyle name="Style 3" xfId="56678"/>
    <cellStyle name="Style1" xfId="56679"/>
    <cellStyle name="STYLE1 2" xfId="56680"/>
    <cellStyle name="Style2" xfId="56681"/>
    <cellStyle name="STYLE2 2" xfId="58112"/>
    <cellStyle name="Style3" xfId="56682"/>
    <cellStyle name="STYLE3 2" xfId="58113"/>
    <cellStyle name="Style4" xfId="56683"/>
    <cellStyle name="STYLE4 2" xfId="58114"/>
    <cellStyle name="Style5" xfId="56684"/>
    <cellStyle name="STYLE5 2" xfId="58115"/>
    <cellStyle name="Style6" xfId="56685"/>
    <cellStyle name="Style7" xfId="56686"/>
    <cellStyle name="Style8" xfId="56687"/>
    <cellStyle name="StyleName1" xfId="56688"/>
    <cellStyle name="StyleName2" xfId="56689"/>
    <cellStyle name="StyleName3" xfId="56690"/>
    <cellStyle name="StyleName4" xfId="56691"/>
    <cellStyle name="StyleName5" xfId="56692"/>
    <cellStyle name="StyleName6" xfId="56693"/>
    <cellStyle name="StyleName7" xfId="56694"/>
    <cellStyle name="StyleName8" xfId="56695"/>
    <cellStyle name="subhead" xfId="56696"/>
    <cellStyle name="Subheader" xfId="56697"/>
    <cellStyle name="SubHeading" xfId="56698"/>
    <cellStyle name="subt1" xfId="56699"/>
    <cellStyle name="subt1 2" xfId="56700"/>
    <cellStyle name="subt1 2 2" xfId="56701"/>
    <cellStyle name="subt1 2 3" xfId="56702"/>
    <cellStyle name="subt1 3" xfId="56703"/>
    <cellStyle name="Subtotal" xfId="56704"/>
    <cellStyle name="supplementary info" xfId="56705"/>
    <cellStyle name="Syifa" xfId="56706"/>
    <cellStyle name="T" xfId="56707"/>
    <cellStyle name="T 2" xfId="58116"/>
    <cellStyle name="T_AOP 2007 V.2 to Bgsr (23 Nov 06)" xfId="56708"/>
    <cellStyle name="T_AOP 2007-Divisional Stategic, Policy &amp; Sls Plan" xfId="56709"/>
    <cellStyle name="T_Book4" xfId="56710"/>
    <cellStyle name="T_BS-PL May 06" xfId="56711"/>
    <cellStyle name="T_Detail exp YTD June 06" xfId="56712"/>
    <cellStyle name="T_IMM LE06-Q2 (Aug-Dec 2006-Final) rev.2" xfId="56713"/>
    <cellStyle name="T_To Penny - Formula-review" xfId="56714"/>
    <cellStyle name="Table" xfId="56715"/>
    <cellStyle name="Table  - Style5" xfId="56716"/>
    <cellStyle name="Table  - Style5 2" xfId="56717"/>
    <cellStyle name="Table  - Style5 2 2" xfId="56718"/>
    <cellStyle name="Table  - Style5 3" xfId="56719"/>
    <cellStyle name="Table  - Style5 4" xfId="58118"/>
    <cellStyle name="Table  - Style6" xfId="56720"/>
    <cellStyle name="Table  - Style6 2" xfId="56721"/>
    <cellStyle name="Table  - Style6 2 2" xfId="56722"/>
    <cellStyle name="Table  - Style6 3" xfId="56723"/>
    <cellStyle name="Table  - Style6 4" xfId="58119"/>
    <cellStyle name="Table 2" xfId="58117"/>
    <cellStyle name="Table Head" xfId="56724"/>
    <cellStyle name="Table Head Aligned" xfId="56725"/>
    <cellStyle name="Table Head Aligned 2" xfId="56726"/>
    <cellStyle name="Table Head Aligned 2 2" xfId="56727"/>
    <cellStyle name="Table Head Aligned 2 3" xfId="56728"/>
    <cellStyle name="Table Head Aligned 3" xfId="56729"/>
    <cellStyle name="Table Head Aligned 3 2" xfId="56730"/>
    <cellStyle name="Table Head Aligned 4" xfId="56731"/>
    <cellStyle name="Table Head Aligned 4 2" xfId="56732"/>
    <cellStyle name="Table Head Aligned 5" xfId="56733"/>
    <cellStyle name="Table Head Aligned 5 2" xfId="56734"/>
    <cellStyle name="Table Head Aligned 6" xfId="56735"/>
    <cellStyle name="Table Head Aligned 6 2" xfId="56736"/>
    <cellStyle name="Table Head Blue" xfId="56737"/>
    <cellStyle name="Table Head Green" xfId="56738"/>
    <cellStyle name="Table Head Green 2" xfId="56739"/>
    <cellStyle name="Table Head Green 2 2" xfId="56740"/>
    <cellStyle name="Table Head Green 3" xfId="56741"/>
    <cellStyle name="Table Head Green 3 2" xfId="56742"/>
    <cellStyle name="Table Head Green 4" xfId="56743"/>
    <cellStyle name="Table Title" xfId="56744"/>
    <cellStyle name="Table Units" xfId="56745"/>
    <cellStyle name="Table Units 2" xfId="56746"/>
    <cellStyle name="Table Units 2 2" xfId="58121"/>
    <cellStyle name="Table Units 3" xfId="58120"/>
    <cellStyle name="TANGGAL" xfId="56747"/>
    <cellStyle name="TANGGAL 2" xfId="56748"/>
    <cellStyle name="TANGGAL 2 2" xfId="56749"/>
    <cellStyle name="TANGGAL 2 2 2" xfId="58124"/>
    <cellStyle name="TANGGAL 2 3" xfId="56750"/>
    <cellStyle name="TANGGAL 2 3 2" xfId="58125"/>
    <cellStyle name="TANGGAL 2 4" xfId="58123"/>
    <cellStyle name="TANGGAL 3" xfId="56751"/>
    <cellStyle name="TANGGAL 3 2" xfId="58126"/>
    <cellStyle name="TANGGAL 4" xfId="56752"/>
    <cellStyle name="TANGGAL 4 2" xfId="58127"/>
    <cellStyle name="TANGGAL 5" xfId="58122"/>
    <cellStyle name="TANGGAL_1209-FIXED ASSET eni" xfId="56753"/>
    <cellStyle name="Teks01" xfId="56754"/>
    <cellStyle name="TEXT" xfId="56755"/>
    <cellStyle name="Text 2" xfId="58503"/>
    <cellStyle name="Text Indent A" xfId="56756"/>
    <cellStyle name="Text Indent A 2" xfId="56757"/>
    <cellStyle name="Text Indent B" xfId="56758"/>
    <cellStyle name="Text Indent B 2" xfId="56759"/>
    <cellStyle name="Text Indent C" xfId="56760"/>
    <cellStyle name="TextNormal" xfId="56761"/>
    <cellStyle name="þ_x001d_ð_x0002__x000a__x000e_ÿ_x0002__x000d_ÞþU_x0001_h_x0007_ª_x0008__x0007__x0001__x0001_" xfId="56762"/>
    <cellStyle name="þ_x001d_ð_x0002__x000a__x000e_ÿ_x0002__x000d_ÞþU_x0001_h_x0007_ª_x0008__x0007__x0001__x0001_?_x0002_ÿÿÿÿÿÿÿÿÿÿÿÿÿÿÿ¯?(_x0002__x001c__x000a_ ???Ê_x0018_ÿÿÿÿ????_x0006__x0016_??????????????Í!Ë??????????           ?????           ????WzzW?_x000d_TEMP=C:\WINDOWS\TEMP_x000d_S;C:\NOTES;C:\MCAFEE\VIRUSCAN_x000d_?zWrLh?WDDDWW?Wz?zWrLh?B16?B16BBDz?WrLehDz?WrLh??L_x0011_P_x0011_X_x0011_`_x0011_zWrLh?n_x0011_W" xfId="56763"/>
    <cellStyle name="þ_x001d_ð_x0002__x000a__x000e_ÿ_x0002__x000d_ÞþU_x0001_h_x0007_ª_x0008__x0007__x0001__x0001__Analytical Sales Pasta Dec 31, 2007" xfId="56764"/>
    <cellStyle name="thick" xfId="56765"/>
    <cellStyle name="Tickmark" xfId="56766"/>
    <cellStyle name="Times New Roman" xfId="56767"/>
    <cellStyle name="timesnew12" xfId="56768"/>
    <cellStyle name="Title  - Style1" xfId="56769"/>
    <cellStyle name="Title  - Style6" xfId="56770"/>
    <cellStyle name="Title 10" xfId="56771"/>
    <cellStyle name="Title 10 2" xfId="56772"/>
    <cellStyle name="Title 10 3" xfId="56773"/>
    <cellStyle name="Title 11" xfId="56774"/>
    <cellStyle name="Title 11 2" xfId="56775"/>
    <cellStyle name="Title 11 3" xfId="56776"/>
    <cellStyle name="Title 12" xfId="56777"/>
    <cellStyle name="Title 12 2" xfId="56778"/>
    <cellStyle name="Title 12 3" xfId="56779"/>
    <cellStyle name="Title 13" xfId="56780"/>
    <cellStyle name="Title 13 2" xfId="56781"/>
    <cellStyle name="Title 13 3" xfId="56782"/>
    <cellStyle name="Title 14" xfId="56783"/>
    <cellStyle name="Title 14 2" xfId="56784"/>
    <cellStyle name="Title 14 3" xfId="56785"/>
    <cellStyle name="Title 15" xfId="56786"/>
    <cellStyle name="Title 15 2" xfId="56787"/>
    <cellStyle name="Title 15 3" xfId="56788"/>
    <cellStyle name="Title 16" xfId="56789"/>
    <cellStyle name="Title 16 2" xfId="56790"/>
    <cellStyle name="Title 16 3" xfId="56791"/>
    <cellStyle name="Title 17" xfId="56792"/>
    <cellStyle name="Title 17 2" xfId="56793"/>
    <cellStyle name="Title 17 3" xfId="56794"/>
    <cellStyle name="Title 18" xfId="56795"/>
    <cellStyle name="Title 18 2" xfId="56796"/>
    <cellStyle name="Title 18 3" xfId="56797"/>
    <cellStyle name="Title 19" xfId="56798"/>
    <cellStyle name="Title 2" xfId="56799"/>
    <cellStyle name="Title 2 2" xfId="56800"/>
    <cellStyle name="Title 2 2 2" xfId="56801"/>
    <cellStyle name="Title 2 2 2 2" xfId="56802"/>
    <cellStyle name="Title 2 2 3" xfId="56803"/>
    <cellStyle name="Title 2 3" xfId="56804"/>
    <cellStyle name="Title 2 3 2" xfId="56805"/>
    <cellStyle name="Title 2 3 2 2" xfId="56806"/>
    <cellStyle name="Title 2 3 3" xfId="56807"/>
    <cellStyle name="Title 2 4" xfId="56808"/>
    <cellStyle name="Title 2 4 2" xfId="56809"/>
    <cellStyle name="Title 2 5" xfId="56810"/>
    <cellStyle name="Title 20" xfId="56811"/>
    <cellStyle name="Title 21" xfId="56812"/>
    <cellStyle name="Title 22" xfId="56813"/>
    <cellStyle name="Title 23" xfId="56814"/>
    <cellStyle name="Title 24" xfId="56815"/>
    <cellStyle name="Title 25" xfId="56816"/>
    <cellStyle name="Title 26" xfId="56817"/>
    <cellStyle name="Title 27" xfId="56818"/>
    <cellStyle name="Title 28" xfId="56819"/>
    <cellStyle name="Title 29" xfId="56820"/>
    <cellStyle name="Title 3" xfId="56821"/>
    <cellStyle name="Title 3 2" xfId="56822"/>
    <cellStyle name="Title 3 3" xfId="56823"/>
    <cellStyle name="Title 30" xfId="56824"/>
    <cellStyle name="Title 31" xfId="56825"/>
    <cellStyle name="Title 32" xfId="56826"/>
    <cellStyle name="Title 33" xfId="56827"/>
    <cellStyle name="Title 34" xfId="56828"/>
    <cellStyle name="Title 35" xfId="56829"/>
    <cellStyle name="Title 36" xfId="56830"/>
    <cellStyle name="Title 37" xfId="56831"/>
    <cellStyle name="Title 38" xfId="56832"/>
    <cellStyle name="Title 39" xfId="56833"/>
    <cellStyle name="Title 4" xfId="56834"/>
    <cellStyle name="Title 4 2" xfId="56835"/>
    <cellStyle name="Title 4 3" xfId="56836"/>
    <cellStyle name="Title 4 4" xfId="58504"/>
    <cellStyle name="Title 40" xfId="56837"/>
    <cellStyle name="Title 41" xfId="56838"/>
    <cellStyle name="Title 42" xfId="56839"/>
    <cellStyle name="Title 43" xfId="56840"/>
    <cellStyle name="Title 44" xfId="56841"/>
    <cellStyle name="Title 45" xfId="56842"/>
    <cellStyle name="Title 46" xfId="56843"/>
    <cellStyle name="Title 47" xfId="56844"/>
    <cellStyle name="Title 48" xfId="56845"/>
    <cellStyle name="Title 49" xfId="56846"/>
    <cellStyle name="Title 5" xfId="56847"/>
    <cellStyle name="Title 5 2" xfId="56848"/>
    <cellStyle name="Title 5 3" xfId="56849"/>
    <cellStyle name="Title 50" xfId="56850"/>
    <cellStyle name="Title 51" xfId="56851"/>
    <cellStyle name="Title 52" xfId="56852"/>
    <cellStyle name="Title 53" xfId="56853"/>
    <cellStyle name="Title 54" xfId="56854"/>
    <cellStyle name="Title 55" xfId="56855"/>
    <cellStyle name="Title 56" xfId="56856"/>
    <cellStyle name="Title 57" xfId="56857"/>
    <cellStyle name="Title 58" xfId="56858"/>
    <cellStyle name="Title 59" xfId="56859"/>
    <cellStyle name="Title 6" xfId="56860"/>
    <cellStyle name="Title 6 2" xfId="56861"/>
    <cellStyle name="Title 6 3" xfId="56862"/>
    <cellStyle name="Title 60" xfId="56863"/>
    <cellStyle name="Title 61" xfId="56864"/>
    <cellStyle name="Title 62" xfId="56865"/>
    <cellStyle name="Title 63" xfId="56866"/>
    <cellStyle name="Title 64" xfId="56867"/>
    <cellStyle name="Title 65" xfId="56868"/>
    <cellStyle name="Title 66" xfId="56869"/>
    <cellStyle name="Title 67" xfId="56870"/>
    <cellStyle name="Title 68" xfId="56871"/>
    <cellStyle name="Title 69" xfId="56872"/>
    <cellStyle name="Title 7" xfId="56873"/>
    <cellStyle name="Title 7 2" xfId="56874"/>
    <cellStyle name="Title 7 3" xfId="56875"/>
    <cellStyle name="Title 70" xfId="56876"/>
    <cellStyle name="Title 71" xfId="56877"/>
    <cellStyle name="Title 72" xfId="56878"/>
    <cellStyle name="Title 73" xfId="56879"/>
    <cellStyle name="Title 74" xfId="56880"/>
    <cellStyle name="Title 75" xfId="56881"/>
    <cellStyle name="Title 76" xfId="56882"/>
    <cellStyle name="Title 77" xfId="56883"/>
    <cellStyle name="Title 78" xfId="56884"/>
    <cellStyle name="Title 79" xfId="56885"/>
    <cellStyle name="Title 8" xfId="56886"/>
    <cellStyle name="Title 8 2" xfId="56887"/>
    <cellStyle name="Title 8 3" xfId="56888"/>
    <cellStyle name="Title 80" xfId="56889"/>
    <cellStyle name="Title 81" xfId="58505"/>
    <cellStyle name="Title 9" xfId="56890"/>
    <cellStyle name="Title 9 2" xfId="56891"/>
    <cellStyle name="Title 9 3" xfId="56892"/>
    <cellStyle name="Título" xfId="56893"/>
    <cellStyle name="Título 2" xfId="56894"/>
    <cellStyle name="Título 2 2" xfId="56895"/>
    <cellStyle name="Título 3" xfId="56896"/>
    <cellStyle name="Título 4" xfId="58128"/>
    <cellStyle name="toddiaccountingstyle" xfId="56897"/>
    <cellStyle name="todditextstyle" xfId="56898"/>
    <cellStyle name="Total 10" xfId="56899"/>
    <cellStyle name="Total 10 2" xfId="56900"/>
    <cellStyle name="Total 10 3" xfId="56901"/>
    <cellStyle name="Total 11" xfId="56902"/>
    <cellStyle name="Total 11 2" xfId="56903"/>
    <cellStyle name="Total 11 3" xfId="56904"/>
    <cellStyle name="Total 12" xfId="56905"/>
    <cellStyle name="Total 12 2" xfId="56906"/>
    <cellStyle name="Total 12 3" xfId="56907"/>
    <cellStyle name="Total 13" xfId="56908"/>
    <cellStyle name="Total 13 2" xfId="56909"/>
    <cellStyle name="Total 13 3" xfId="56910"/>
    <cellStyle name="Total 14" xfId="56911"/>
    <cellStyle name="Total 14 2" xfId="56912"/>
    <cellStyle name="Total 14 3" xfId="56913"/>
    <cellStyle name="Total 15" xfId="56914"/>
    <cellStyle name="Total 15 2" xfId="56915"/>
    <cellStyle name="Total 15 3" xfId="56916"/>
    <cellStyle name="Total 16" xfId="56917"/>
    <cellStyle name="Total 16 2" xfId="56918"/>
    <cellStyle name="Total 16 3" xfId="56919"/>
    <cellStyle name="Total 17" xfId="56920"/>
    <cellStyle name="Total 17 2" xfId="56921"/>
    <cellStyle name="Total 17 3" xfId="56922"/>
    <cellStyle name="Total 18" xfId="56923"/>
    <cellStyle name="Total 18 2" xfId="56924"/>
    <cellStyle name="Total 18 3" xfId="56925"/>
    <cellStyle name="Total 19" xfId="56926"/>
    <cellStyle name="Total 19 10" xfId="56927"/>
    <cellStyle name="Total 19 11" xfId="56928"/>
    <cellStyle name="Total 19 12" xfId="56929"/>
    <cellStyle name="Total 19 13" xfId="56930"/>
    <cellStyle name="Total 19 2" xfId="56931"/>
    <cellStyle name="Total 19 3" xfId="56932"/>
    <cellStyle name="Total 19 4" xfId="56933"/>
    <cellStyle name="Total 19 5" xfId="56934"/>
    <cellStyle name="Total 19 6" xfId="56935"/>
    <cellStyle name="Total 19 7" xfId="56936"/>
    <cellStyle name="Total 19 8" xfId="56937"/>
    <cellStyle name="Total 19 9" xfId="56938"/>
    <cellStyle name="Total 2" xfId="56939"/>
    <cellStyle name="Total 2 10" xfId="56940"/>
    <cellStyle name="Total 2 11" xfId="56941"/>
    <cellStyle name="Total 2 12" xfId="56942"/>
    <cellStyle name="Total 2 13" xfId="56943"/>
    <cellStyle name="Total 2 14" xfId="56944"/>
    <cellStyle name="Total 2 15" xfId="56945"/>
    <cellStyle name="Total 2 16" xfId="56946"/>
    <cellStyle name="Total 2 17" xfId="58129"/>
    <cellStyle name="Total 2 2" xfId="56947"/>
    <cellStyle name="Total 2 2 10" xfId="56948"/>
    <cellStyle name="Total 2 2 11" xfId="56949"/>
    <cellStyle name="Total 2 2 12" xfId="56950"/>
    <cellStyle name="Total 2 2 13" xfId="56951"/>
    <cellStyle name="Total 2 2 14" xfId="56952"/>
    <cellStyle name="Total 2 2 15" xfId="56953"/>
    <cellStyle name="Total 2 2 16" xfId="56954"/>
    <cellStyle name="Total 2 2 2" xfId="56955"/>
    <cellStyle name="Total 2 2 2 2" xfId="56956"/>
    <cellStyle name="Total 2 2 2_PM Okt 2014 Plan VS Actual Planning Workshop" xfId="56957"/>
    <cellStyle name="Total 2 2 3" xfId="56958"/>
    <cellStyle name="Total 2 2 3 2" xfId="56959"/>
    <cellStyle name="Total 2 2 4" xfId="56960"/>
    <cellStyle name="Total 2 2 4 2" xfId="56961"/>
    <cellStyle name="Total 2 2 5" xfId="56962"/>
    <cellStyle name="Total 2 2 5 2" xfId="56963"/>
    <cellStyle name="Total 2 2 6" xfId="56964"/>
    <cellStyle name="Total 2 2 7" xfId="56965"/>
    <cellStyle name="Total 2 2 8" xfId="56966"/>
    <cellStyle name="Total 2 2 9" xfId="56967"/>
    <cellStyle name="Total 2 2_Format Template Preventive Maintenance" xfId="56968"/>
    <cellStyle name="Total 2 3" xfId="56969"/>
    <cellStyle name="Total 2 3 2" xfId="56970"/>
    <cellStyle name="Total 2 3 2 2" xfId="56971"/>
    <cellStyle name="Total 2 3 2_PM Okt 2014 Plan VS Actual Planning Workshop" xfId="56972"/>
    <cellStyle name="Total 2 3 3" xfId="56973"/>
    <cellStyle name="Total 2 3_Format Template Preventive Maintenance" xfId="56974"/>
    <cellStyle name="Total 2 4" xfId="56975"/>
    <cellStyle name="Total 2 4 10" xfId="56976"/>
    <cellStyle name="Total 2 4 11" xfId="56977"/>
    <cellStyle name="Total 2 4 12" xfId="56978"/>
    <cellStyle name="Total 2 4 13" xfId="56979"/>
    <cellStyle name="Total 2 4 2" xfId="56980"/>
    <cellStyle name="Total 2 4 3" xfId="56981"/>
    <cellStyle name="Total 2 4 4" xfId="56982"/>
    <cellStyle name="Total 2 4 5" xfId="56983"/>
    <cellStyle name="Total 2 4 6" xfId="56984"/>
    <cellStyle name="Total 2 4 7" xfId="56985"/>
    <cellStyle name="Total 2 4 8" xfId="56986"/>
    <cellStyle name="Total 2 4 9" xfId="56987"/>
    <cellStyle name="Total 2 5" xfId="56988"/>
    <cellStyle name="Total 2 5 2" xfId="56989"/>
    <cellStyle name="Total 2 6" xfId="56990"/>
    <cellStyle name="Total 2 6 2" xfId="56991"/>
    <cellStyle name="Total 2 7" xfId="56992"/>
    <cellStyle name="Total 2 8" xfId="56993"/>
    <cellStyle name="Total 2 9" xfId="56994"/>
    <cellStyle name="Total 2_Caje 2011 (prepaid Rent Asset)" xfId="56995"/>
    <cellStyle name="Total 20" xfId="56996"/>
    <cellStyle name="Total 21" xfId="56997"/>
    <cellStyle name="Total 22" xfId="56998"/>
    <cellStyle name="Total 23" xfId="56999"/>
    <cellStyle name="Total 24" xfId="57000"/>
    <cellStyle name="Total 25" xfId="57001"/>
    <cellStyle name="Total 26" xfId="57002"/>
    <cellStyle name="Total 27" xfId="57003"/>
    <cellStyle name="Total 28" xfId="57004"/>
    <cellStyle name="Total 29" xfId="57005"/>
    <cellStyle name="Total 3" xfId="57006"/>
    <cellStyle name="Total 3 10" xfId="57007"/>
    <cellStyle name="Total 3 11" xfId="57008"/>
    <cellStyle name="Total 3 12" xfId="57009"/>
    <cellStyle name="Total 3 13" xfId="57010"/>
    <cellStyle name="Total 3 14" xfId="57011"/>
    <cellStyle name="Total 3 15" xfId="57012"/>
    <cellStyle name="Total 3 16" xfId="58130"/>
    <cellStyle name="Total 3 2" xfId="57013"/>
    <cellStyle name="Total 3 2 2" xfId="57014"/>
    <cellStyle name="Total 3 3" xfId="57015"/>
    <cellStyle name="Total 3 4" xfId="57016"/>
    <cellStyle name="Total 3 5" xfId="57017"/>
    <cellStyle name="Total 3 6" xfId="57018"/>
    <cellStyle name="Total 3 7" xfId="57019"/>
    <cellStyle name="Total 3 8" xfId="57020"/>
    <cellStyle name="Total 3 9" xfId="57021"/>
    <cellStyle name="Total 30" xfId="57022"/>
    <cellStyle name="Total 31" xfId="57023"/>
    <cellStyle name="Total 32" xfId="57024"/>
    <cellStyle name="Total 33" xfId="57025"/>
    <cellStyle name="Total 34" xfId="57026"/>
    <cellStyle name="Total 35" xfId="57027"/>
    <cellStyle name="Total 36" xfId="57028"/>
    <cellStyle name="Total 37" xfId="57029"/>
    <cellStyle name="Total 38" xfId="57030"/>
    <cellStyle name="Total 39" xfId="57031"/>
    <cellStyle name="Total 4" xfId="57032"/>
    <cellStyle name="Total 4 10" xfId="57033"/>
    <cellStyle name="Total 4 11" xfId="57034"/>
    <cellStyle name="Total 4 12" xfId="57035"/>
    <cellStyle name="Total 4 13" xfId="57036"/>
    <cellStyle name="Total 4 14" xfId="57037"/>
    <cellStyle name="Total 4 15" xfId="57038"/>
    <cellStyle name="Total 4 2" xfId="57039"/>
    <cellStyle name="Total 4 2 2" xfId="57040"/>
    <cellStyle name="Total 4 3" xfId="57041"/>
    <cellStyle name="Total 4 4" xfId="57042"/>
    <cellStyle name="Total 4 5" xfId="57043"/>
    <cellStyle name="Total 4 6" xfId="57044"/>
    <cellStyle name="Total 4 7" xfId="57045"/>
    <cellStyle name="Total 4 8" xfId="57046"/>
    <cellStyle name="Total 4 9" xfId="57047"/>
    <cellStyle name="Total 40" xfId="57048"/>
    <cellStyle name="Total 41" xfId="57049"/>
    <cellStyle name="Total 42" xfId="57050"/>
    <cellStyle name="Total 43" xfId="57051"/>
    <cellStyle name="Total 44" xfId="57052"/>
    <cellStyle name="Total 45" xfId="57053"/>
    <cellStyle name="Total 46" xfId="57054"/>
    <cellStyle name="Total 47" xfId="57055"/>
    <cellStyle name="Total 48" xfId="57056"/>
    <cellStyle name="Total 49" xfId="57057"/>
    <cellStyle name="Total 5" xfId="57058"/>
    <cellStyle name="Total 5 2" xfId="57059"/>
    <cellStyle name="Total 5 2 2" xfId="57060"/>
    <cellStyle name="Total 5 3" xfId="57061"/>
    <cellStyle name="Total 50" xfId="57062"/>
    <cellStyle name="Total 51" xfId="57063"/>
    <cellStyle name="Total 52" xfId="57064"/>
    <cellStyle name="Total 53" xfId="57065"/>
    <cellStyle name="Total 6" xfId="57066"/>
    <cellStyle name="Total 6 2" xfId="57067"/>
    <cellStyle name="Total 6 3" xfId="57068"/>
    <cellStyle name="Total 7" xfId="57069"/>
    <cellStyle name="Total 7 2" xfId="57070"/>
    <cellStyle name="Total 7 3" xfId="57071"/>
    <cellStyle name="Total 8" xfId="57072"/>
    <cellStyle name="Total 8 2" xfId="57073"/>
    <cellStyle name="Total 8 3" xfId="57074"/>
    <cellStyle name="Total 9" xfId="57075"/>
    <cellStyle name="Total 9 2" xfId="57076"/>
    <cellStyle name="Total 9 3" xfId="57077"/>
    <cellStyle name="TotCol - Style5" xfId="57078"/>
    <cellStyle name="TotCol - Style7" xfId="57079"/>
    <cellStyle name="TotCol - Style7 2" xfId="57080"/>
    <cellStyle name="TotCol - Style7 2 2" xfId="57081"/>
    <cellStyle name="TotCol - Style7 2 3" xfId="57082"/>
    <cellStyle name="TotCol - Style7 3" xfId="57083"/>
    <cellStyle name="TotRow - Style4" xfId="57084"/>
    <cellStyle name="TotRow - Style4 2" xfId="57085"/>
    <cellStyle name="TotRow - Style4 2 2" xfId="57086"/>
    <cellStyle name="TotRow - Style4 3" xfId="57087"/>
    <cellStyle name="TotRow - Style4 4" xfId="58131"/>
    <cellStyle name="TotRow - Style8" xfId="57088"/>
    <cellStyle name="TotRow - Style8 2" xfId="57089"/>
    <cellStyle name="TotRow - Style8 2 2" xfId="57090"/>
    <cellStyle name="TotRow - Style8 2 2 2" xfId="57091"/>
    <cellStyle name="TotRow - Style8 2 2 3" xfId="58134"/>
    <cellStyle name="TotRow - Style8 2 3" xfId="57092"/>
    <cellStyle name="TotRow - Style8 2 3 2" xfId="57093"/>
    <cellStyle name="TotRow - Style8 2 3 3" xfId="58135"/>
    <cellStyle name="TotRow - Style8 2 4" xfId="57094"/>
    <cellStyle name="TotRow - Style8 2 5" xfId="58133"/>
    <cellStyle name="TotRow - Style8 3" xfId="57095"/>
    <cellStyle name="TotRow - Style8 3 2" xfId="57096"/>
    <cellStyle name="TotRow - Style8 3 3" xfId="58136"/>
    <cellStyle name="TotRow - Style8 4" xfId="57097"/>
    <cellStyle name="TotRow - Style8 5" xfId="58132"/>
    <cellStyle name="Tusental (0)_laroux" xfId="57098"/>
    <cellStyle name="Tusental_laroux" xfId="57099"/>
    <cellStyle name="Überschrift" xfId="57100"/>
    <cellStyle name="Überschrift 1" xfId="57101"/>
    <cellStyle name="Überschrift 2" xfId="57102"/>
    <cellStyle name="Überschrift 3" xfId="57103"/>
    <cellStyle name="Überschrift 3 2" xfId="57104"/>
    <cellStyle name="Überschrift 4" xfId="57105"/>
    <cellStyle name="update" xfId="57106"/>
    <cellStyle name="Valuta (0)_laroux" xfId="57107"/>
    <cellStyle name="Valuta [0]_BLAD" xfId="57108"/>
    <cellStyle name="Valuta_BLAD" xfId="57109"/>
    <cellStyle name="Velký nadpis" xfId="57110"/>
    <cellStyle name="Verknüpfte Zelle" xfId="57111"/>
    <cellStyle name="Verknüpfte Zelle 2" xfId="57112"/>
    <cellStyle name="Währung [0]_35ERI8T2gbIEMixb4v26icuOo" xfId="57113"/>
    <cellStyle name="Währung_35ERI8T2gbIEMixb4v26icuOo" xfId="57114"/>
    <cellStyle name="Warnender Text" xfId="57115"/>
    <cellStyle name="Warning Text 10" xfId="57116"/>
    <cellStyle name="Warning Text 10 2" xfId="57117"/>
    <cellStyle name="Warning Text 10 3" xfId="57118"/>
    <cellStyle name="Warning Text 11" xfId="57119"/>
    <cellStyle name="Warning Text 11 2" xfId="57120"/>
    <cellStyle name="Warning Text 11 3" xfId="57121"/>
    <cellStyle name="Warning Text 12" xfId="57122"/>
    <cellStyle name="Warning Text 12 2" xfId="57123"/>
    <cellStyle name="Warning Text 12 3" xfId="57124"/>
    <cellStyle name="Warning Text 13" xfId="57125"/>
    <cellStyle name="Warning Text 13 2" xfId="57126"/>
    <cellStyle name="Warning Text 13 3" xfId="57127"/>
    <cellStyle name="Warning Text 14" xfId="57128"/>
    <cellStyle name="Warning Text 14 2" xfId="57129"/>
    <cellStyle name="Warning Text 14 3" xfId="57130"/>
    <cellStyle name="Warning Text 15" xfId="57131"/>
    <cellStyle name="Warning Text 15 2" xfId="57132"/>
    <cellStyle name="Warning Text 15 3" xfId="57133"/>
    <cellStyle name="Warning Text 16" xfId="57134"/>
    <cellStyle name="Warning Text 16 2" xfId="57135"/>
    <cellStyle name="Warning Text 16 3" xfId="57136"/>
    <cellStyle name="Warning Text 17" xfId="57137"/>
    <cellStyle name="Warning Text 17 2" xfId="57138"/>
    <cellStyle name="Warning Text 17 3" xfId="57139"/>
    <cellStyle name="Warning Text 18" xfId="57140"/>
    <cellStyle name="Warning Text 18 2" xfId="57141"/>
    <cellStyle name="Warning Text 18 3" xfId="57142"/>
    <cellStyle name="Warning Text 19" xfId="57143"/>
    <cellStyle name="Warning Text 2" xfId="57144"/>
    <cellStyle name="Warning Text 2 2" xfId="57145"/>
    <cellStyle name="Warning Text 2 2 2" xfId="57146"/>
    <cellStyle name="Warning Text 2 2 2 2" xfId="57147"/>
    <cellStyle name="Warning Text 2 2 2_PM Okt 2014 Plan VS Actual Planning Workshop" xfId="57148"/>
    <cellStyle name="Warning Text 2 2 3" xfId="57149"/>
    <cellStyle name="Warning Text 2 2 4" xfId="57150"/>
    <cellStyle name="Warning Text 2 3" xfId="57151"/>
    <cellStyle name="Warning Text 2 3 2" xfId="57152"/>
    <cellStyle name="Warning Text 2 3 2 2" xfId="57153"/>
    <cellStyle name="Warning Text 2 3 2_PM Okt 2014 Plan VS Actual Planning Workshop" xfId="57154"/>
    <cellStyle name="Warning Text 2 3 3" xfId="57155"/>
    <cellStyle name="Warning Text 2 4" xfId="57156"/>
    <cellStyle name="Warning Text 2 4 2" xfId="57157"/>
    <cellStyle name="Warning Text 2 5" xfId="57158"/>
    <cellStyle name="Warning Text 20" xfId="57159"/>
    <cellStyle name="Warning Text 21" xfId="57160"/>
    <cellStyle name="Warning Text 22" xfId="57161"/>
    <cellStyle name="Warning Text 23" xfId="57162"/>
    <cellStyle name="Warning Text 24" xfId="57163"/>
    <cellStyle name="Warning Text 25" xfId="57164"/>
    <cellStyle name="Warning Text 26" xfId="57165"/>
    <cellStyle name="Warning Text 27" xfId="57166"/>
    <cellStyle name="Warning Text 28" xfId="57167"/>
    <cellStyle name="Warning Text 29" xfId="57168"/>
    <cellStyle name="Warning Text 3" xfId="57169"/>
    <cellStyle name="Warning Text 3 2" xfId="57170"/>
    <cellStyle name="Warning Text 3 3" xfId="57171"/>
    <cellStyle name="Warning Text 30" xfId="57172"/>
    <cellStyle name="Warning Text 31" xfId="57173"/>
    <cellStyle name="Warning Text 32" xfId="57174"/>
    <cellStyle name="Warning Text 33" xfId="57175"/>
    <cellStyle name="Warning Text 34" xfId="57176"/>
    <cellStyle name="Warning Text 35" xfId="57177"/>
    <cellStyle name="Warning Text 36" xfId="57178"/>
    <cellStyle name="Warning Text 37" xfId="57179"/>
    <cellStyle name="Warning Text 38" xfId="57180"/>
    <cellStyle name="Warning Text 39" xfId="57181"/>
    <cellStyle name="Warning Text 4" xfId="57182"/>
    <cellStyle name="Warning Text 4 2" xfId="57183"/>
    <cellStyle name="Warning Text 4 3" xfId="57184"/>
    <cellStyle name="Warning Text 4 4" xfId="58506"/>
    <cellStyle name="Warning Text 40" xfId="57185"/>
    <cellStyle name="Warning Text 41" xfId="57186"/>
    <cellStyle name="Warning Text 42" xfId="57187"/>
    <cellStyle name="Warning Text 43" xfId="57188"/>
    <cellStyle name="Warning Text 44" xfId="57189"/>
    <cellStyle name="Warning Text 45" xfId="57190"/>
    <cellStyle name="Warning Text 46" xfId="57191"/>
    <cellStyle name="Warning Text 47" xfId="57192"/>
    <cellStyle name="Warning Text 48" xfId="57193"/>
    <cellStyle name="Warning Text 49" xfId="57194"/>
    <cellStyle name="Warning Text 5" xfId="57195"/>
    <cellStyle name="Warning Text 5 2" xfId="57196"/>
    <cellStyle name="Warning Text 5 3" xfId="57197"/>
    <cellStyle name="Warning Text 50" xfId="57198"/>
    <cellStyle name="Warning Text 51" xfId="57199"/>
    <cellStyle name="Warning Text 52" xfId="57200"/>
    <cellStyle name="Warning Text 53" xfId="57201"/>
    <cellStyle name="Warning Text 6" xfId="57202"/>
    <cellStyle name="Warning Text 6 2" xfId="57203"/>
    <cellStyle name="Warning Text 6 3" xfId="57204"/>
    <cellStyle name="Warning Text 7" xfId="57205"/>
    <cellStyle name="Warning Text 7 2" xfId="57206"/>
    <cellStyle name="Warning Text 7 3" xfId="57207"/>
    <cellStyle name="Warning Text 8" xfId="57208"/>
    <cellStyle name="Warning Text 8 2" xfId="57209"/>
    <cellStyle name="Warning Text 8 3" xfId="57210"/>
    <cellStyle name="Warning Text 9" xfId="57211"/>
    <cellStyle name="Warning Text 9 2" xfId="57212"/>
    <cellStyle name="Warning Text 9 3" xfId="57213"/>
    <cellStyle name="WHead - Style2" xfId="57214"/>
    <cellStyle name="WHead - Style2 2" xfId="57215"/>
    <cellStyle name="WHead - Style2 2 2" xfId="57216"/>
    <cellStyle name="WHead - Style2 3" xfId="57217"/>
    <cellStyle name="WIWIT" xfId="57218"/>
    <cellStyle name="www" xfId="57219"/>
    <cellStyle name="www 2" xfId="58138"/>
    <cellStyle name="www 3" xfId="58137"/>
    <cellStyle name="x Text - 10 (Normal)" xfId="57220"/>
    <cellStyle name="x Text - 18 B" xfId="57221"/>
    <cellStyle name="Year" xfId="57222"/>
    <cellStyle name="Year 2" xfId="57223"/>
    <cellStyle name="Year 3" xfId="57224"/>
    <cellStyle name="Year 4" xfId="57225"/>
    <cellStyle name="Year 5" xfId="57226"/>
    <cellStyle name="Year 6" xfId="57227"/>
    <cellStyle name="Year_Data" xfId="57228"/>
    <cellStyle name="z All - Normal" xfId="57229"/>
    <cellStyle name="z Normal Format" xfId="57230"/>
    <cellStyle name="z Text - Border/Pattern" xfId="57231"/>
    <cellStyle name="Záhlaví" xfId="57232"/>
    <cellStyle name="Zelle überprüfen" xfId="57233"/>
    <cellStyle name="アクセント 1" xfId="57234"/>
    <cellStyle name="アクセント 1 - 20%" xfId="57235"/>
    <cellStyle name="アクセント 1 - 40%" xfId="57236"/>
    <cellStyle name="アクセント 1 - 60%" xfId="57237"/>
    <cellStyle name="アクセント 2" xfId="57238"/>
    <cellStyle name="アクセント 2 - 20%" xfId="57239"/>
    <cellStyle name="アクセント 2 - 40%" xfId="57240"/>
    <cellStyle name="アクセント 2 - 60%" xfId="57241"/>
    <cellStyle name="アクセント 3" xfId="57242"/>
    <cellStyle name="アクセント 3 - 20%" xfId="57243"/>
    <cellStyle name="アクセント 3 - 40%" xfId="57244"/>
    <cellStyle name="アクセント 3 - 60%" xfId="57245"/>
    <cellStyle name="アクセント 4" xfId="57246"/>
    <cellStyle name="アクセント 4 - 20%" xfId="57247"/>
    <cellStyle name="アクセント 4 - 40%" xfId="57248"/>
    <cellStyle name="アクセント 4 - 60%" xfId="57249"/>
    <cellStyle name="アクセント 5" xfId="57250"/>
    <cellStyle name="アクセント 5 - 20%" xfId="57251"/>
    <cellStyle name="アクセント 5 - 40%" xfId="57252"/>
    <cellStyle name="アクセント 5 - 60%" xfId="57253"/>
    <cellStyle name="アクセント 6" xfId="57254"/>
    <cellStyle name="アクセント 6 - 20%" xfId="57255"/>
    <cellStyle name="アクセント 6 - 40%" xfId="57256"/>
    <cellStyle name="アクセント 6 - 60%" xfId="57257"/>
    <cellStyle name="ｻ｡ｵﾔ_｢ﾒﾇ ﾊﾇﾂ ﾋﾁﾇﾂ 爿遑" xfId="57258"/>
    <cellStyle name="タイトル" xfId="57259"/>
    <cellStyle name="チェック セル" xfId="57260"/>
    <cellStyle name="どちらでもない" xfId="57261"/>
    <cellStyle name="パーセント 2" xfId="57262"/>
    <cellStyle name="メモ" xfId="57263"/>
    <cellStyle name="メモ 2" xfId="57264"/>
    <cellStyle name="メモ 2 2" xfId="57265"/>
    <cellStyle name="メモ 3" xfId="57266"/>
    <cellStyle name="メモ 4" xfId="58139"/>
    <cellStyle name="リンク セル" xfId="57267"/>
    <cellStyle name="เครื่องหมายจุลภาค [0]_Excel_MD97DL" xfId="57268"/>
    <cellStyle name="เครื่องหมายจุลภาค_Excel_MD97DL" xfId="57269"/>
    <cellStyle name="เครื่องหมายสกุลเงิน [0]_Excel_MD97DL" xfId="57270"/>
    <cellStyle name="เครื่องหมายสกุลเงิน_Excel_MD97DL" xfId="57271"/>
    <cellStyle name="น้บะภฒ_95" xfId="57272"/>
    <cellStyle name="ปกติ_Costing model" xfId="57273"/>
    <cellStyle name="ฤธถ [0]_95" xfId="57274"/>
    <cellStyle name="ฤธถ_95" xfId="57275"/>
    <cellStyle name="ล๋ศญ [0]_95" xfId="57276"/>
    <cellStyle name="ล๋ศญ_95" xfId="57277"/>
    <cellStyle name="วฅมุ_4ฟ๙ฝวภ๛" xfId="57278"/>
    <cellStyle name="วงเล็บ" xfId="57279"/>
    <cellStyle name="ᘁ_Sales_Whole_Year.xls Chart 1_3" xfId="57280"/>
    <cellStyle name="ᘁ_Sales_Whole_Year.xls Chart 1_3 2" xfId="58141"/>
    <cellStyle name="ᘁ_Sales_Whole_Year.xls Chart 1_3 3" xfId="58140"/>
    <cellStyle name="ᘁ_Sales_Whole_Year.xls Chart 2_3" xfId="57281"/>
    <cellStyle name="ᘁ_Sales_Whole_Year.xls Chart 2_3 2" xfId="58143"/>
    <cellStyle name="ᘁ_Sales_Whole_Year.xls Chart 2_3 3" xfId="58142"/>
    <cellStyle name="ᘁ_Sales_Year_3" xfId="57282"/>
    <cellStyle name="ᘁ_Sales_Year_3 2" xfId="58145"/>
    <cellStyle name="ᘁ_Sales_Year_3 3" xfId="58144"/>
    <cellStyle name=" [0.00]_ Att. 1- Cover" xfId="57283"/>
    <cellStyle name="_ Att. 1- Cover" xfId="57284"/>
    <cellStyle name="?_ Att. 1- Cover" xfId="57285"/>
    <cellStyle name="_x000c__x000c__x000c__xdf20__x000c__x000c__x000c_" xfId="58507"/>
    <cellStyle name="똿뗦먛귟 [0.00]_PRODUCT DETAIL Q1" xfId="57286"/>
    <cellStyle name="똿뗦먛귟_PRODUCT DETAIL Q1" xfId="57287"/>
    <cellStyle name="믅됞 [0.00]_PRODUCT DETAIL Q1" xfId="57288"/>
    <cellStyle name="믅됞_PRODUCT DETAIL Q1" xfId="57289"/>
    <cellStyle name="백분율_95" xfId="57290"/>
    <cellStyle name="뷭?_BOOKSHIP" xfId="57291"/>
    <cellStyle name="쉼표 [0]_Daftar pph 26 &amp; Jasa LN97" xfId="57292"/>
    <cellStyle name="콤마 [0]_1202" xfId="57293"/>
    <cellStyle name="콤마_1202" xfId="57294"/>
    <cellStyle name="통화 [0]_1202" xfId="57295"/>
    <cellStyle name="통화_1202" xfId="57296"/>
    <cellStyle name="표준_(정보부문)월별인원계획" xfId="57297"/>
    <cellStyle name="一般_00Q3902REV.1" xfId="57298"/>
    <cellStyle name="不良" xfId="57299"/>
    <cellStyle name="入力" xfId="57300"/>
    <cellStyle name="入力 2" xfId="57301"/>
    <cellStyle name="入力 2 2" xfId="57302"/>
    <cellStyle name="入力 3" xfId="57303"/>
    <cellStyle name="入力 4" xfId="58146"/>
    <cellStyle name="出力" xfId="57304"/>
    <cellStyle name="出力 2" xfId="57305"/>
    <cellStyle name="出力 2 2" xfId="57306"/>
    <cellStyle name="出力 3" xfId="57307"/>
    <cellStyle name="出力 4" xfId="58147"/>
    <cellStyle name="千位[0]_laroux" xfId="57308"/>
    <cellStyle name="千位_laroux" xfId="57309"/>
    <cellStyle name="千位分隔_百灵达财务报表" xfId="58508"/>
    <cellStyle name="千分位[0]_ 白土" xfId="57310"/>
    <cellStyle name="千分位_ 白土" xfId="57311"/>
    <cellStyle name="常规_Sheet1" xfId="58509"/>
    <cellStyle name="強調 1" xfId="57312"/>
    <cellStyle name="強調 2" xfId="57313"/>
    <cellStyle name="強調 3" xfId="57314"/>
    <cellStyle name="悪い" xfId="57315"/>
    <cellStyle name="普通" xfId="57316"/>
    <cellStyle name="桁区切り [0.00] 2" xfId="57317"/>
    <cellStyle name="桁区切り [0.00] 2 2" xfId="57318"/>
    <cellStyle name="桁区切り [0.00] 3" xfId="57319"/>
    <cellStyle name="桁区切り [0.00]_0404HSKUI" xfId="57320"/>
    <cellStyle name="桁区切り 2" xfId="57321"/>
    <cellStyle name="桁区切り 2 2" xfId="57322"/>
    <cellStyle name="桁区切り 3" xfId="57323"/>
    <cellStyle name="桁区切り_BP Rev11 v1 " xfId="57324"/>
    <cellStyle name="標準 2" xfId="57325"/>
    <cellStyle name="標準 2 2" xfId="57326"/>
    <cellStyle name="標準 3" xfId="57327"/>
    <cellStyle name="標準_(7)PL" xfId="57328"/>
    <cellStyle name="爨ﾃﾗ靉ｧﾋﾁﾒﾂｨﾘﾅﾀﾒ､ [0]_PERSONAL" xfId="57329"/>
    <cellStyle name="爨ﾃﾗ靉ｧﾋﾁﾒﾂｨﾘﾅﾀﾒ､_PERSONAL" xfId="57330"/>
    <cellStyle name="爨ﾃﾗ靉ｧﾋﾁﾒﾂﾊ｡ﾘﾅ爰ﾔｹ [0]_PERSONAL" xfId="57331"/>
    <cellStyle name="爨ﾃﾗ靉ｧﾋﾁﾒﾂﾊ｡ﾘﾅ爰ﾔｹ_PERSONAL" xfId="57332"/>
    <cellStyle name="良" xfId="57333"/>
    <cellStyle name="良い" xfId="57334"/>
    <cellStyle name="見出し 1" xfId="57335"/>
    <cellStyle name="見出し 2" xfId="57336"/>
    <cellStyle name="見出し 3" xfId="57337"/>
    <cellStyle name="見出し 3 2" xfId="58148"/>
    <cellStyle name="見出し 4" xfId="57338"/>
    <cellStyle name="計算" xfId="57339"/>
    <cellStyle name="計算 2" xfId="57340"/>
    <cellStyle name="計算 2 2" xfId="57341"/>
    <cellStyle name="計算 3" xfId="57342"/>
    <cellStyle name="計算 4" xfId="58149"/>
    <cellStyle name="説明文" xfId="57343"/>
    <cellStyle name="警告文" xfId="57344"/>
    <cellStyle name="貨幣 [0]_00Q3902REV.1" xfId="57345"/>
    <cellStyle name="貨幣[0]_BRE" xfId="57346"/>
    <cellStyle name="貨幣_00Q3902REV.1" xfId="57347"/>
    <cellStyle name="通貨 [0.00]_BUDGET ADMINSTRATION 2003" xfId="57348"/>
    <cellStyle name="通貨 2" xfId="57349"/>
    <cellStyle name="通貨_BUDGET ADMINSTRATION 2003" xfId="57350"/>
    <cellStyle name="集計" xfId="57351"/>
    <cellStyle name="集計 2" xfId="57352"/>
    <cellStyle name="集計 2 2" xfId="57353"/>
    <cellStyle name="集計 3" xfId="57354"/>
    <cellStyle name="集計 4" xfId="58150"/>
    <cellStyle name="䀁" xfId="57355"/>
    <cellStyle name="䀁_Sales_Whole_Year.xls Chart 1_1" xfId="57356"/>
    <cellStyle name="䀁_Sales_Whole_Year.xls Chart 1_1 2" xfId="58152"/>
    <cellStyle name="䀁_Sales_Whole_Year.xls Chart 1_1 3" xfId="58151"/>
    <cellStyle name="䀁_Sales_Whole_Year.xls Chart 1_1_F-10-1" xfId="57357"/>
    <cellStyle name="䀁_Sales_Whole_Year.xls Chart 1_1_F-10-1 2" xfId="58154"/>
    <cellStyle name="䀁_Sales_Whole_Year.xls Chart 1_1_F-10-1 3" xfId="58153"/>
    <cellStyle name="䀁_Sales_Whole_Year.xls Chart 1_1_F-10-1_Worksheet" xfId="57358"/>
    <cellStyle name="䀁_Sales_Whole_Year.xls Chart 1_1_F-10-1_Worksheet 2" xfId="58156"/>
    <cellStyle name="䀁_Sales_Whole_Year.xls Chart 1_1_F-10-1_Worksheet 3" xfId="58155"/>
    <cellStyle name="䀁_Sales_Whole_Year.xls Chart 1_2" xfId="57359"/>
    <cellStyle name="䀁_Sales_Whole_Year.xls Chart 1_4" xfId="57360"/>
    <cellStyle name="䀁_Sales_Whole_Year.xls Chart 1_6" xfId="57361"/>
    <cellStyle name="䀁_Sales_Whole_Year.xls Chart 1_6 2" xfId="58158"/>
    <cellStyle name="䀁_Sales_Whole_Year.xls Chart 1_6 3" xfId="58157"/>
    <cellStyle name="䀁_Sales_Whole_Year.xls Chart 1_7" xfId="57362"/>
    <cellStyle name="䀁_Sales_Whole_Year.xls Chart 1_7 2" xfId="58160"/>
    <cellStyle name="䀁_Sales_Whole_Year.xls Chart 1_7 3" xfId="58159"/>
    <cellStyle name="䀁_Sales_Whole_Year.xls Chart 1-1_1" xfId="57363"/>
    <cellStyle name="䀁_Sales_Whole_Year.xls Chart 1-1_1 2" xfId="58162"/>
    <cellStyle name="䀁_Sales_Whole_Year.xls Chart 1-1_1 3" xfId="58161"/>
    <cellStyle name="䀁_Sales_Whole_Year.xls Chart 1-1_3" xfId="57364"/>
    <cellStyle name="䀁_Sales_Whole_Year.xls Chart 1-1_3 2" xfId="58164"/>
    <cellStyle name="䀁_Sales_Whole_Year.xls Chart 1-1_3 3" xfId="58163"/>
    <cellStyle name="䀁_Sales_Whole_Year.xls Chart 1-1_5" xfId="57365"/>
    <cellStyle name="䀁_Sales_Whole_Year.xls Chart 1-1_6" xfId="57366"/>
    <cellStyle name="䀁_Sales_Whole_Year.xls Chart 1-1_6 2" xfId="58166"/>
    <cellStyle name="䀁_Sales_Whole_Year.xls Chart 1-1_6 3" xfId="58165"/>
    <cellStyle name="䀁_Sales_Whole_Year.xls Chart 1-1_6_F-10-1" xfId="57367"/>
    <cellStyle name="䀁_Sales_Whole_Year.xls Chart 1-1_6_F-10-1 2" xfId="58168"/>
    <cellStyle name="䀁_Sales_Whole_Year.xls Chart 1-1_6_F-10-1 3" xfId="58167"/>
    <cellStyle name="䀁_Sales_Whole_Year.xls Chart 1-1_6_F-10-1_Worksheet" xfId="57368"/>
    <cellStyle name="䀁_Sales_Whole_Year.xls Chart 1-1_6_F-10-1_Worksheet 2" xfId="58170"/>
    <cellStyle name="䀁_Sales_Whole_Year.xls Chart 1-1_6_F-10-1_Worksheet 3" xfId="58169"/>
    <cellStyle name="䀁_Sales_Whole_Year.xls Chart 1-1_7" xfId="57369"/>
    <cellStyle name="䀁_Sales_Whole_Year.xls Chart 2_1" xfId="57370"/>
    <cellStyle name="䀁_Sales_Whole_Year.xls Chart 2_1 2" xfId="58172"/>
    <cellStyle name="䀁_Sales_Whole_Year.xls Chart 2_1 3" xfId="58171"/>
    <cellStyle name="䀁_Sales_Whole_Year.xls Chart 2_1_F-10-1" xfId="57371"/>
    <cellStyle name="䀁_Sales_Whole_Year.xls Chart 2_1_F-10-1 2" xfId="58174"/>
    <cellStyle name="䀁_Sales_Whole_Year.xls Chart 2_1_F-10-1 3" xfId="58173"/>
    <cellStyle name="䀁_Sales_Whole_Year.xls Chart 2_1_F-10-1_Worksheet" xfId="57372"/>
    <cellStyle name="䀁_Sales_Whole_Year.xls Chart 2_1_F-10-1_Worksheet 2" xfId="58176"/>
    <cellStyle name="䀁_Sales_Whole_Year.xls Chart 2_1_F-10-1_Worksheet 3" xfId="58175"/>
    <cellStyle name="䀁_Sales_Whole_Year.xls Chart 2_2" xfId="57373"/>
    <cellStyle name="䀁_Sales_Whole_Year.xls Chart 2_4" xfId="57374"/>
    <cellStyle name="䀁_Sales_Whole_Year.xls Chart 2_6" xfId="57375"/>
    <cellStyle name="䀁_Sales_Whole_Year.xls Chart 2_6 2" xfId="58178"/>
    <cellStyle name="䀁_Sales_Whole_Year.xls Chart 2_6 3" xfId="58177"/>
    <cellStyle name="䀁_Sales_Whole_Year.xls Chart 2_7" xfId="57376"/>
    <cellStyle name="䀁_Sales_Whole_Year.xls Chart 2_7 2" xfId="58180"/>
    <cellStyle name="䀁_Sales_Whole_Year.xls Chart 2_7 3" xfId="58179"/>
    <cellStyle name="䀁_Sales_Whole_Year.xls Chart 2-1_1" xfId="57377"/>
    <cellStyle name="䀁_Sales_Whole_Year.xls Chart 2-1_1 2" xfId="58182"/>
    <cellStyle name="䀁_Sales_Whole_Year.xls Chart 2-1_1 3" xfId="58181"/>
    <cellStyle name="䀁_Sales_Whole_Year.xls Chart 2-1_3" xfId="57378"/>
    <cellStyle name="䀁_Sales_Whole_Year.xls Chart 2-1_3 2" xfId="58184"/>
    <cellStyle name="䀁_Sales_Whole_Year.xls Chart 2-1_3 3" xfId="58183"/>
    <cellStyle name="䀁_Sales_Whole_Year.xls Chart 2-1_5" xfId="57379"/>
    <cellStyle name="䀁_Sales_Whole_Year.xls Chart 2-1_6" xfId="57380"/>
    <cellStyle name="䀁_Sales_Whole_Year.xls Chart 2-1_6 2" xfId="58186"/>
    <cellStyle name="䀁_Sales_Whole_Year.xls Chart 2-1_6 3" xfId="58185"/>
    <cellStyle name="䀁_Sales_Whole_Year.xls Chart 2-1_6_F-10-1" xfId="57381"/>
    <cellStyle name="䀁_Sales_Whole_Year.xls Chart 2-1_6_F-10-1 2" xfId="58188"/>
    <cellStyle name="䀁_Sales_Whole_Year.xls Chart 2-1_6_F-10-1 3" xfId="58187"/>
    <cellStyle name="䀁_Sales_Whole_Year.xls Chart 2-1_6_F-10-1_Worksheet" xfId="57382"/>
    <cellStyle name="䀁_Sales_Whole_Year.xls Chart 2-1_6_F-10-1_Worksheet 2" xfId="58190"/>
    <cellStyle name="䀁_Sales_Whole_Year.xls Chart 2-1_6_F-10-1_Worksheet 3" xfId="58189"/>
    <cellStyle name="䀁_Sales_Whole_Year.xls Chart 2-1_7" xfId="57383"/>
    <cellStyle name="䀁_Sales_Year_1" xfId="57384"/>
    <cellStyle name="䀁_Sales_Year_1 2" xfId="58192"/>
    <cellStyle name="䀁_Sales_Year_1 3" xfId="58191"/>
    <cellStyle name="䀁_Sales_Year_1_F-10-1" xfId="57385"/>
    <cellStyle name="䀁_Sales_Year_1_F-10-1 2" xfId="58194"/>
    <cellStyle name="䀁_Sales_Year_1_F-10-1 3" xfId="58193"/>
    <cellStyle name="䀁_Sales_Year_1_F-10-1_Worksheet" xfId="57386"/>
    <cellStyle name="䀁_Sales_Year_1_F-10-1_Worksheet 2" xfId="58196"/>
    <cellStyle name="䀁_Sales_Year_1_F-10-1_Worksheet 3" xfId="58195"/>
    <cellStyle name="䀁_Sales_Year_2" xfId="57387"/>
    <cellStyle name="䀁_Sales_Year_4" xfId="57388"/>
    <cellStyle name="䀁_Sales_Year_6" xfId="57389"/>
    <cellStyle name="䀁_Sales_Year_6 2" xfId="58198"/>
    <cellStyle name="䀁_Sales_Year_6 3" xfId="58197"/>
    <cellStyle name="䀁_Sales_Year_7" xfId="57390"/>
    <cellStyle name="䀁_Sales_Year_7 2" xfId="58200"/>
    <cellStyle name="䀁_Sales_Year_7 3" xfId="58199"/>
    <cellStyle name="䀅䀁ᘁŀ䀅䀁ᘁŀ䀅䀁ᘁŀ䀅䀁ᘁŀ䀅䀁ᘁŀ䀅䀁ᘁŀ䀅䀁ᘁŀ䀅䀁ᘁŀ䀅䀁ᘁŀ䀅䀁ᘁŀ䀅䀁ᘁŀ䀅䀁䀁A䀅_x0001_䀎A_x0005__x000e_䀎A_x0005__x000e_䀎A_x0005__x000e_䀎A" xfId="57391"/>
    <cellStyle name="䀅䀁ᘁŀ䀅䀁ᘁŀ䀅䀁ᘁŀ䀅䀁ᘁŀ䀅䀁ᘁŀ䀅䀁ᘁŀ䀅䀁ᘁŀ䀅䀁ᘁŀ䀅䀁ᘁŀ䀅䀁ᘁŀ䀅䀁ᘁŀ䀅䀁䀁A䀅_x0001_䀎A_x0005__x000e_䀎A_x0005__x000e_䀎A_x0005__x000e_䀎A 2" xfId="58202"/>
    <cellStyle name="䀅䀁ᘁŀ䀅䀁ᘁŀ䀅䀁ᘁŀ䀅䀁ᘁŀ䀅䀁ᘁŀ䀅䀁ᘁŀ䀅䀁ᘁŀ䀅䀁ᘁŀ䀅䀁ᘁŀ䀅䀁ᘁŀ䀅䀁ᘁŀ䀅䀁䀁A䀅_x0001_䀎A_x0005__x000e_䀎A_x0005__x000e_䀎A_x0005__x000e_䀎A 3" xfId="58201"/>
    <cellStyle name="䀅䀁ᘁŀ䀅䀁ᘁŀ䀅䀁ᘁŀ䀅䀁ᘁŀ䀅䀁ᘁŀ䀅䀁䀁A䀅_x0001_䀎A_x0005__x000e_䀎A_x0005__x000e_䀎A_x0005__x000e_䀎A_x0005__x000e_䀎A䀆䀁䀁A䀆䀁䀁A䀆䀁䀁A䀆䀁䀁A䀆䀁䀁A" xfId="57392"/>
    <cellStyle name="䀅䀁ᘁŀ䀅䀁ᘁŀ䀅䀁ᘁŀ䀅䀁ᘁŀ䀅䀁ᘁŀ䀅䀁䀁A䀅_x0001_䀎A_x0005__x000e_䀎A_x0005__x000e_䀎A_x0005__x000e_䀎A_x0005__x000e_䀎A䀆䀁䀁A䀆䀁䀁A䀆䀁䀁A䀆䀁䀁A䀆䀁䀁A 2" xfId="58204"/>
    <cellStyle name="䀅䀁ᘁŀ䀅䀁ᘁŀ䀅䀁ᘁŀ䀅䀁ᘁŀ䀅䀁ᘁŀ䀅䀁䀁A䀅_x0001_䀎A_x0005__x000e_䀎A_x0005__x000e_䀎A_x0005__x000e_䀎A_x0005__x000e_䀎A䀆䀁䀁A䀆䀁䀁A䀆䀁䀁A䀆䀁䀁A䀆䀁䀁A 3" xfId="58203"/>
    <cellStyle name="䀅䀁ᘁŀ䀅䀁ᘁŀ䀅䀁ᘁŀ䀅䀁ᘁŀ䀅䀁䀁A䀅_x0001_䀎A_x0005__x000e_䀎A_x0005__x000e_䀎A_x0005__x000e_䀎A_x0005__x000e_䀎A䀆䀁䀁A䀆䀁䀁A䀆䀁䀁A䀆䀁䀁A䀆䀁䀁A䀆䀁䀁A" xfId="57393"/>
    <cellStyle name="䀅䀁ᘁŀ䀅䀁ᘁŀ䀅䀁ᘁŀ䀅䀁ᘁŀ䀅䀁䀁A䀅_x0001_䀎A_x0005__x000e_䀎A_x0005__x000e_䀎A_x0005__x000e_䀎A_x0005__x000e_䀎A䀆䀁䀁A䀆䀁䀁A䀆䀁䀁A䀆䀁䀁A䀆䀁䀁A䀆䀁䀁A 2" xfId="58206"/>
    <cellStyle name="䀅䀁ᘁŀ䀅䀁ᘁŀ䀅䀁ᘁŀ䀅䀁ᘁŀ䀅䀁䀁A䀅_x0001_䀎A_x0005__x000e_䀎A_x0005__x000e_䀎A_x0005__x000e_䀎A_x0005__x000e_䀎A䀆䀁䀁A䀆䀁䀁A䀆䀁䀁A䀆䀁䀁A䀆䀁䀁A䀆䀁䀁A 3" xfId="58205"/>
    <cellStyle name="䀅䀁䀁A䀅䀁䀁A䀅䀁䀁A䀅䀁䀁A䀅䀁䀁A䀅䀁䀁A䀅䀁䀁A䀅䀁䀁A䀅䀁䀁A䀆_x0001_䀎A_x0006__x000e_䀎A_x0006__x000e_䀎A_x0006__x000e_䀎A_x0006__x000e_䀎A_x0006_䀎䀁A_x0006_䀎䀁A_x0006_" xfId="57394"/>
    <cellStyle name="䀅䀁䀁A䀅䀁䀁A䀅䀁䀁A䀅䀁䀁A䀅䀁䀁A䀅䀁䀁A䀅䀁䀁A䀅䀁䀁A䀅䀁䀁A䀆_x0001_䀎A_x0006__x000e_䀎A_x0006__x000e_䀎A_x0006__x000e_䀎A_x0006__x000e_䀎A_x0006_䀎䀁A_x0006_䀎䀁A_x0006_ 2" xfId="58208"/>
    <cellStyle name="䀅䀁䀁A䀅䀁䀁A䀅䀁䀁A䀅䀁䀁A䀅䀁䀁A䀅䀁䀁A䀅䀁䀁A䀅䀁䀁A䀅䀁䀁A䀆_x0001_䀎A_x0006__x000e_䀎A_x0006__x000e_䀎A_x0006__x000e_䀎A_x0006__x000e_䀎A_x0006_䀎䀁A_x0006_䀎䀁A_x0006_ 3" xfId="58207"/>
    <cellStyle name="䀅䀁䀁A䀅䀁䀁A䀅䀁䀁A䀅䀁䀁A䀅䀁䀁A䀅䀁䀁A䀅䀁䀁A䀅䀁䀁A䀆_x0001_䀎A_x0006__x000e_䀎A_x0006__x000e_䀎A_x0006__x000e_䀎A_x0006__x000e_䀎A_x0006_䀎䀁A_x0006_䀎䀁A_x0006_䀎䀁A_x0006_" xfId="57395"/>
    <cellStyle name="䀅䀁䀁A䀅䀁䀁A䀅䀁䀁A䀅䀁䀁A䀅䀁䀁A䀅䀁䀁A䀅䀁䀁A䀅䀁䀁A䀆_x0001_䀎A_x0006__x000e_䀎A_x0006__x000e_䀎A_x0006__x000e_䀎A_x0006__x000e_䀎A_x0006_䀎䀁A_x0006_䀎䀁A_x0006_䀎䀁A_x0006_ 2" xfId="58210"/>
    <cellStyle name="䀅䀁䀁A䀅䀁䀁A䀅䀁䀁A䀅䀁䀁A䀅䀁䀁A䀅䀁䀁A䀅䀁䀁A䀅䀁䀁A䀆_x0001_䀎A_x0006__x000e_䀎A_x0006__x000e_䀎A_x0006__x000e_䀎A_x0006__x000e_䀎A_x0006_䀎䀁A_x0006_䀎䀁A_x0006_䀎䀁A_x0006_ 3" xfId="58209"/>
    <cellStyle name="䀅䀁䀁A䀆_x0001_䀎A_x0006__x000e_䀎A_x0006__x000e_䀎A_x0006__x000e_䀎A_x0006__x000e_䀎A䀆䀁䀁A䀆䀁䀁A䀆䀁䀁A䀆䀁䀁A䀆䀁䀁A䀆䀁䀁A䀆䀁䀁A䀆䀁䀁A䀆䀁䀁A䀆䀁䀁A䀆" xfId="57396"/>
    <cellStyle name="䀅䀁䀁A䀆_x0001_䀎A_x0006__x000e_䀎A_x0006__x000e_䀎A_x0006__x000e_䀎A_x0006__x000e_䀎A䀆䀁䀁A䀆䀁䀁A䀆䀁䀁A䀆䀁䀁A䀆䀁䀁A䀆䀁䀁A䀆䀁䀁A䀆䀁䀁A䀆䀁䀁A䀆䀁䀁A䀆 2" xfId="58212"/>
    <cellStyle name="䀅䀁䀁A䀆_x0001_䀎A_x0006__x000e_䀎A_x0006__x000e_䀎A_x0006__x000e_䀎A_x0006__x000e_䀎A䀆䀁䀁A䀆䀁䀁A䀆䀁䀁A䀆䀁䀁A䀆䀁䀁A䀆䀁䀁A䀆䀁䀁A䀆䀁䀁A䀆䀁䀁A䀆䀁䀁A䀆 3" xfId="58211"/>
    <cellStyle name="䀆䀁䀁A䀆䀁䀁A䀅䀁䀁A䀆_x0001_䀎A_x0006__x000e_䀎A_x0006__x000e_䀎A_x0006__x000e_䀎A_x0006__x000e_䀎A䀆䀁䀁A䀆䀁䀁A䀆䀁䀁A䀆䀁䀁A䀆䀁䀁A䀆䀁䀁A䀆䀁䀁A䀆䀁䀁A䀆" xfId="57397"/>
    <cellStyle name="䀆䀁䀁A䀆䀁䀁A䀅䀁䀁A䀆_x0001_䀎A_x0006__x000e_䀎A_x0006__x000e_䀎A_x0006__x000e_䀎A_x0006__x000e_䀎A䀆䀁䀁A䀆䀁䀁A䀆䀁䀁A䀆䀁䀁A䀆䀁䀁A䀆䀁䀁A䀆䀁䀁A䀆䀁䀁A䀆 2" xfId="58214"/>
    <cellStyle name="䀆䀁䀁A䀆䀁䀁A䀅䀁䀁A䀆_x0001_䀎A_x0006__x000e_䀎A_x0006__x000e_䀎A_x0006__x000e_䀎A_x0006__x000e_䀎A䀆䀁䀁A䀆䀁䀁A䀆䀁䀁A䀆䀁䀁A䀆䀁䀁A䀆䀁䀁A䀆䀁䀁A䀆䀁䀁A䀆 3" xfId="58213"/>
    <cellStyle name="䀆䀁䀁A䀆䀁䀁A䀆䀁䀁A䀅䀁䀁A䀆_x0001_䀎A_x0006__x000e_䀎A_x0006__x000e_䀎A_x0006__x000e_䀎A_x0006__x000e_䀎A䀆䀁䀁A䀆䀁䀁A䀆䀁䀁A䀆䀁䀁A䀆䀁䀁A䀆䀁䀁A䀆䀁䀁A䀆" xfId="57398"/>
    <cellStyle name="䀆䀁䀁A䀆䀁䀁A䀆䀁䀁A䀆䀁䀁A䀅䀁䀁A䀆_x0001_䀎A_x0006__x000e_䀎A_x0006__x000e_䀎A_x0006__x000e_䀎A_x0006__x000e_䀎A䀅䀁䀁A䀅䀁䀁A䀅䀁䀁A䀅䀁䀁A䀅䀁䀁A䀅䀁䀁A䀅" xfId="57399"/>
    <cellStyle name="䀆䀁䀁A䀆䀁䀁A䀆䀁䀁A䀆䀁䀁A䀅䀁䀁A䀆_x0001_䀎A_x0006__x000e_䀎A_x0006__x000e_䀎A_x0006__x000e_䀎A_x0006__x000e_䀎A䀅䀁䀁A䀅䀁䀁A䀅䀁䀁A䀅䀁䀁A䀅䀁䀁A䀅䀁䀁A䀅 2" xfId="58216"/>
    <cellStyle name="䀆䀁䀁A䀆䀁䀁A䀆䀁䀁A䀆䀁䀁A䀅䀁䀁A䀆_x0001_䀎A_x0006__x000e_䀎A_x0006__x000e_䀎A_x0006__x000e_䀎A_x0006__x000e_䀎A䀅䀁䀁A䀅䀁䀁A䀅䀁䀁A䀅䀁䀁A䀅䀁䀁A䀅䀁䀁A䀅 3" xfId="58215"/>
    <cellStyle name="䀆䀁䀁A䀆䀁䀁A䀆䀁䀁A䀆䀁䀁A䀆䀁䀁A䀅䀁䀁A䀆_x0001_䀎A_x0006__x000e_䀎A_x0006__x000e_䀎A_x0006__x000e_䀎A_x0006__x000e_䀎A䀆䀁䀁A䀆䀁䀁A䀆䀁䀁A䀆䀁䀁A䀆䀁䀁A䀆" xfId="57400"/>
    <cellStyle name="䀆䀁䀁A䀆䀁䀁A䀆䀁䀁A䀆䀁䀁A䀆䀁䀁A䀅䀁䀁A䀆_x0001_䀎A_x0006__x000e_䀎A_x0006__x000e_䀎A_x0006__x000e_䀎A_x0006__x000e_䀎A䀆䀁䀁A䀆䀁䀁A䀆䀁䀁A䀆䀁䀁A䀆䀁䀁A䀆 2" xfId="58218"/>
    <cellStyle name="䀆䀁䀁A䀆䀁䀁A䀆䀁䀁A䀆䀁䀁A䀆䀁䀁A䀅䀁䀁A䀆_x0001_䀎A_x0006__x000e_䀎A_x0006__x000e_䀎A_x0006__x000e_䀎A_x0006__x000e_䀎A䀆䀁䀁A䀆䀁䀁A䀆䀁䀁A䀆䀁䀁A䀆䀁䀁A䀆 3" xfId="58217"/>
    <cellStyle name="䀆䀁䀁A䀆䀁䀁A䀆䀁䀁A䀆䀁䀁A䀆䀁䀁A䀆䀁䀁A䀅䀁䀁A䀆_x0001_䀎A_x0006__x000e_䀎A_x0006__x000e_䀎A_x0006__x000e_䀎A_x0006__x000e_䀎A䀆䀁䀁A䀆䀁䀁A䀆䀁䀁A䀆䀁䀁A䀆_Sales_Whole_Year.xls Chart 1" xfId="57401"/>
    <cellStyle name="䀆䀁䀁A䀆䀁䀁A䀆䀁䀁A䀆䀁䀁A䀆䀁䀁A䀆䀁䀁A䀆䀁䀁A䀅䀁䀁A䀆_x0001_䀎A_x0006__x000e_䀎A_x0006__x000e_䀎A_x0006__x000e_䀎A_x0006__x000e_䀎A䀆䀁䀁A䀆䀁䀁A䀆䀁䀁A䀆" xfId="57402"/>
    <cellStyle name="䀆䀁䀁A䀆䀁䀁A䀆䀁䀁A䀆䀁䀁A䀆䀁䀁A䀆䀁䀁A䀆䀁䀁A䀅䀁䀁A䀆_x0001_䀎A_x0006__x000e_䀎A_x0006__x000e_䀎A_x0006__x000e_䀎A_x0006__x000e_䀎A䀆䀁䀁A䀆䀁䀁A䀆䀁䀁A䀆 2" xfId="58220"/>
    <cellStyle name="䀆䀁䀁A䀆䀁䀁A䀆䀁䀁A䀆䀁䀁A䀆䀁䀁A䀆䀁䀁A䀆䀁䀁A䀅䀁䀁A䀆_x0001_䀎A_x0006__x000e_䀎A_x0006__x000e_䀎A_x0006__x000e_䀎A_x0006__x000e_䀎A䀆䀁䀁A䀆䀁䀁A䀆䀁䀁A䀆 3" xfId="58219"/>
    <cellStyle name="䀆䀁䀁A䀆䀁䀁A䀆䀁䀁A䀆䀁䀁A䀆䀁䀁A䀆䀁䀁A䀆䀁䀁A䀆䀁䀁A䀅䀁䀁A䀆_x0001_䀎A_x0006__x000e_䀎A_x0006__x000e_䀎A_x0006__x000e_䀎A_x0006__x000e_䀎A䀅䀁䀁A䀅䀁䀁A䀅" xfId="57403"/>
    <cellStyle name="䀆䀁䀁A䀆䀁䀁A䀆䀁䀁A䀆䀁䀁A䀆䀁䀁A䀆䀁䀁A䀆䀁䀁A䀆䀁䀁A䀅䀁䀁A䀆_x0001_䀎A_x0006__x000e_䀎A_x0006__x000e_䀎A_x0006__x000e_䀎A_x0006__x000e_䀎A䀅䀁䀁A䀅䀁䀁A䀅 2" xfId="58222"/>
    <cellStyle name="䀆䀁䀁A䀆䀁䀁A䀆䀁䀁A䀆䀁䀁A䀆䀁䀁A䀆䀁䀁A䀆䀁䀁A䀆䀁䀁A䀅䀁䀁A䀆_x0001_䀎A_x0006__x000e_䀎A_x0006__x000e_䀎A_x0006__x000e_䀎A_x0006__x000e_䀎A䀅䀁䀁A䀅䀁䀁A䀅 3" xfId="58221"/>
    <cellStyle name="䀆䀁䀁A䀆䀁䀁A䀆䀁䀁A䀆䀁䀁A䀆䀁䀁A䀆䀁䀁A䀆䀁䀁A䀆䀁䀁A䀆䀁䀁A䀆䀁䀁A䀅䀁䀁A䀆_x0001_䀎A_x0006__x000e_䀎A_x0006__x000e_䀎A_x0006__x000e_䀎A_x0006__x000e_䀎A䀆" xfId="57404"/>
    <cellStyle name="䀆䀁䀁A䀆䀁䀁A䀆䀁䀁A䀆䀁䀁A䀆䀁䀁A䀆䀁䀁A䀆䀁䀁A䀆䀁䀁A䀆䀁䀁A䀆䀁䀁A䀅䀁䀁A䀆_x0001_䀎A_x0006__x000e_䀎A_x0006__x000e_䀎A_x0006__x000e_䀎A_x0006__x000e_䀎A䀆 2" xfId="58224"/>
    <cellStyle name="䀆䀁䀁A䀆䀁䀁A䀆䀁䀁A䀆䀁䀁A䀆䀁䀁A䀆䀁䀁A䀆䀁䀁A䀆䀁䀁A䀆䀁䀁A䀆䀁䀁A䀅䀁䀁A䀆_x0001_䀎A_x0006__x000e_䀎A_x0006__x000e_䀎A_x0006__x000e_䀎A_x0006__x000e_䀎A䀆 3" xfId="58223"/>
    <cellStyle name="䀆䀁䀁A䀆䀁䀁A䀆䀁䀁A䀆䀁䀁A䀆䀁䀁A䀆䀁䀁A䀆䀁䀁A䀆䀁䀁A䀆䀁䀁A䀆䀁䀁A䀆䀁䀁A䀅䀁䀁A䀆_x0001_䀎A_x0006__x000e_䀎A_x0006__x000e_䀎A_x0006__x000e_䀎A_x0006_" xfId="57405"/>
    <cellStyle name="䀆䀁䀁A䀆䀁䀁A䀆䀁䀁A䀆䀁䀁A䀆䀁䀁A䀆䀁䀁A䀆䀁䀁A䀆䀁䀁A䀆䀁䀁A䀆䀁䀁A䀆䀁䀁A䀅䀁䀁A䀆_x0001_䀎A_x0006__x000e_䀎A_x0006__x000e_䀎A_x0006__x000e_䀎A_x0006_ 2" xfId="58226"/>
    <cellStyle name="䀆䀁䀁A䀆䀁䀁A䀆䀁䀁A䀆䀁䀁A䀆䀁䀁A䀆䀁䀁A䀆䀁䀁A䀆䀁䀁A䀆䀁䀁A䀆䀁䀁A䀆䀁䀁A䀅䀁䀁A䀆_x0001_䀎A_x0006__x000e_䀎A_x0006__x000e_䀎A_x0006__x000e_䀎A_x0006_ 3" xfId="58225"/>
    <cellStyle name="䀆䀁䀁A䀆䀁䀁A䀆䀁䀁A䀆䀁䀁A䀆䀁䀁A䀆䀁䀁A䀆䀁䀁A䀆䀁䀁A䀆䀁䀁A䀆䀁䀁A䀆䀁䀁A䀆䀁䀁A䀅䀁䀁A䀆_x0001_䀎A_x0006__x000e_䀎A_x0006__x000e_䀎A_x0006_" xfId="57406"/>
    <cellStyle name="䀆䀁䀁A䀆䀁䀁A䀆䀁䀁A䀆䀁䀁A䀆䀁䀁A䀆䀁䀁A䀆䀁䀁A䀆䀁䀁A䀆䀁䀁A䀆䀁䀁A䀆䀁䀁A䀆䀁䀁A䀅䀁䀁A䀆_x0001_䀎A_x0006__x000e_䀎A_x0006__x000e_䀎A_x0006_ 2" xfId="58228"/>
    <cellStyle name="䀆䀁䀁A䀆䀁䀁A䀆䀁䀁A䀆䀁䀁A䀆䀁䀁A䀆䀁䀁A䀆䀁䀁A䀆䀁䀁A䀆䀁䀁A䀆䀁䀁A䀆䀁䀁A䀆䀁䀁A䀅䀁䀁A䀆_x0001_䀎A_x0006__x000e_䀎A_x0006__x000e_䀎A_x0006_ 3" xfId="58227"/>
    <cellStyle name="䀎_Sales_Whole_Year.xls Chart 1_8" xfId="57407"/>
    <cellStyle name="䀎_Sales_Whole_Year.xls Chart 1_8 2" xfId="58230"/>
    <cellStyle name="䀎_Sales_Whole_Year.xls Chart 1_8 3" xfId="58229"/>
    <cellStyle name="䀎_Sales_Whole_Year.xls Chart 1_8_F-10-1" xfId="57408"/>
    <cellStyle name="䀎_Sales_Whole_Year.xls Chart 1_8_F-10-1 2" xfId="58232"/>
    <cellStyle name="䀎_Sales_Whole_Year.xls Chart 1_8_F-10-1 3" xfId="58231"/>
    <cellStyle name="䀎_Sales_Whole_Year.xls Chart 1_8_F-10-1_Worksheet" xfId="57409"/>
    <cellStyle name="䀎_Sales_Whole_Year.xls Chart 1_8_F-10-1_Worksheet 2" xfId="58234"/>
    <cellStyle name="䀎_Sales_Whole_Year.xls Chart 1_8_F-10-1_Worksheet 3" xfId="58233"/>
    <cellStyle name="䀎_Sales_Whole_Year.xls Chart 1-1_4" xfId="57410"/>
    <cellStyle name="䀎_Sales_Whole_Year.xls Chart 1-1_4 2" xfId="58236"/>
    <cellStyle name="䀎_Sales_Whole_Year.xls Chart 1-1_4 3" xfId="58235"/>
    <cellStyle name="䀎_Sales_Whole_Year.xls Chart 1-1_8" xfId="57411"/>
    <cellStyle name="䀎_Sales_Whole_Year.xls Chart 1-1_8 2" xfId="58238"/>
    <cellStyle name="䀎_Sales_Whole_Year.xls Chart 1-1_8 3" xfId="58237"/>
    <cellStyle name="䀎_Sales_Whole_Year.xls Chart 1-1_8_F-10-1" xfId="57412"/>
    <cellStyle name="䀎_Sales_Whole_Year.xls Chart 1-1_8_F-10-1 2" xfId="58240"/>
    <cellStyle name="䀎_Sales_Whole_Year.xls Chart 1-1_8_F-10-1 3" xfId="58239"/>
    <cellStyle name="䀎_Sales_Whole_Year.xls Chart 1-1_8_F-10-1_Worksheet" xfId="57413"/>
    <cellStyle name="䀎_Sales_Whole_Year.xls Chart 1-1_8_F-10-1_Worksheet 2" xfId="58242"/>
    <cellStyle name="䀎_Sales_Whole_Year.xls Chart 1-1_8_F-10-1_Worksheet 3" xfId="58241"/>
    <cellStyle name="䀎_Sales_Whole_Year.xls Chart 2_8" xfId="57414"/>
    <cellStyle name="䀎_Sales_Whole_Year.xls Chart 2_8 2" xfId="58244"/>
    <cellStyle name="䀎_Sales_Whole_Year.xls Chart 2_8 3" xfId="58243"/>
    <cellStyle name="䀎_Sales_Whole_Year.xls Chart 2_8_F-10-1" xfId="57415"/>
    <cellStyle name="䀎_Sales_Whole_Year.xls Chart 2_8_F-10-1 2" xfId="58246"/>
    <cellStyle name="䀎_Sales_Whole_Year.xls Chart 2_8_F-10-1 3" xfId="58245"/>
    <cellStyle name="䀎_Sales_Whole_Year.xls Chart 2_8_F-10-1_Worksheet" xfId="57416"/>
    <cellStyle name="䀎_Sales_Whole_Year.xls Chart 2_8_F-10-1_Worksheet 2" xfId="58248"/>
    <cellStyle name="䀎_Sales_Whole_Year.xls Chart 2_8_F-10-1_Worksheet 3" xfId="58247"/>
    <cellStyle name="䀎_Sales_Whole_Year.xls Chart 2-1_4" xfId="57417"/>
    <cellStyle name="䀎_Sales_Whole_Year.xls Chart 2-1_4 2" xfId="58250"/>
    <cellStyle name="䀎_Sales_Whole_Year.xls Chart 2-1_4 3" xfId="58249"/>
    <cellStyle name="䀎_Sales_Whole_Year.xls Chart 2-1_8" xfId="57418"/>
    <cellStyle name="䀎_Sales_Whole_Year.xls Chart 2-1_8 2" xfId="58252"/>
    <cellStyle name="䀎_Sales_Whole_Year.xls Chart 2-1_8 3" xfId="58251"/>
    <cellStyle name="䀎_Sales_Whole_Year.xls Chart 2-1_8_F-10-1" xfId="57419"/>
    <cellStyle name="䀎_Sales_Whole_Year.xls Chart 2-1_8_F-10-1 2" xfId="58254"/>
    <cellStyle name="䀎_Sales_Whole_Year.xls Chart 2-1_8_F-10-1 3" xfId="58253"/>
    <cellStyle name="䀎_Sales_Whole_Year.xls Chart 2-1_8_F-10-1_Worksheet" xfId="57420"/>
    <cellStyle name="䀎_Sales_Whole_Year.xls Chart 2-1_8_F-10-1_Worksheet 2" xfId="58256"/>
    <cellStyle name="䀎_Sales_Whole_Year.xls Chart 2-1_8_F-10-1_Worksheet 3" xfId="58255"/>
    <cellStyle name="䀎_Sales_Year_8" xfId="57421"/>
    <cellStyle name="䀎_Sales_Year_8 2" xfId="58258"/>
    <cellStyle name="䀎_Sales_Year_8 3" xfId="58257"/>
    <cellStyle name="䀎_Sales_Year_8_F-10-1" xfId="57422"/>
    <cellStyle name="䀎_Sales_Year_8_F-10-1 2" xfId="58260"/>
    <cellStyle name="䀎_Sales_Year_8_F-10-1 3" xfId="58259"/>
    <cellStyle name="䀎_Sales_Year_8_F-10-1_Worksheet" xfId="57423"/>
    <cellStyle name="䀎_Sales_Year_8_F-10-1_Worksheet 2" xfId="58262"/>
    <cellStyle name="䀎_Sales_Year_8_F-10-1_Worksheet 3" xfId="58261"/>
    <cellStyle name="_x0006__x000e_䀎A䀆䀁䀁A䀆䀁䀁A䀆䀁䀁A䀆䀁䀁A䀆䀁䀁A䀆䀁䀁A䀆䀁䀁A䀆䀁䀁A䀆䀁䀁A䀆䀁䀁A䀆䀁䀁A䀆䀁䀁A䀅䀁䀁A䀆_x0001_䀎A_x0006__x000e_䀎A_x0006_" xfId="57424"/>
    <cellStyle name="_x0006__x000e_䀎A_x0006__x000e_䀎A_x0006__x000e_ᘎŀ䀅䀁ᘁŀ䀅䀁ᘁŀ䀅䀁ᘁŀ䀅䀁ᘁŀ䀅䀁ᘁŀ䀅䀁ᘁŀ䀅䀁ᘁŀ䀅䀁ᘁŀ䀅䀁ᘁŀ䀅䀁ᘁŀ䀅䀁ᘁŀ䀅䀁ᘁŀ䀅䀁䀁A䀅" xfId="57425"/>
    <cellStyle name="_x0006__x000e_䀎A_x0006__x000e_䀎A_x0006__x000e_ᘎŀ䀅䀁ᘁŀ䀅䀁ᘁŀ䀅䀁ᘁŀ䀅䀁ᘁŀ䀅䀁ᘁŀ䀅䀁ᘁŀ䀅䀁ᘁŀ䀅䀁ᘁŀ䀅䀁ᘁŀ䀅䀁ᘁŀ䀅䀁ᘁŀ䀅䀁ᘁŀ䀅䀁䀁A䀅 2" xfId="58264"/>
    <cellStyle name="_x0006__x000e_䀎A_x0006__x000e_䀎A_x0006__x000e_ᘎŀ䀅䀁ᘁŀ䀅䀁ᘁŀ䀅䀁ᘁŀ䀅䀁ᘁŀ䀅䀁ᘁŀ䀅䀁ᘁŀ䀅䀁ᘁŀ䀅䀁ᘁŀ䀅䀁ᘁŀ䀅䀁ᘁŀ䀅䀁ᘁŀ䀅䀁ᘁŀ䀅䀁䀁A䀅 3" xfId="58263"/>
    <cellStyle name="䀎A_x0006__x000e_䀎A䀆䀁䀁A䀆䀁䀁A_Sales_Whole_Year.xls Chart 1" xfId="57426"/>
    <cellStyle name="_x0006__x000e_䀎A_x0006__x000e_䀎A䀆䀁䀁A䀆䀁䀁A䀆䀁䀁A䀆䀁䀁A䀆䀁䀁A䀆䀁䀁A䀆䀁䀁A䀆䀁䀁A䀆䀁䀁A䀆䀁䀁A䀆䀁䀁A䀆䀁䀁A䀅䀁䀁A䀆_x0001_䀎A_x0006_" xfId="57427"/>
    <cellStyle name="_x0006__x000e_䀎A_x0006__x000e_䀎A䀆䀁䀁A䀆䀁䀁A䀆䀁䀁A䀆䀁䀁A䀆䀁䀁A䀆䀁䀁A䀆䀁䀁A䀆䀁䀁A䀆䀁䀁A䀆䀁䀁A䀆䀁䀁A䀆䀁䀁A䀅䀁䀁A䀆_x0001_䀎A_x0006_ 2" xfId="58266"/>
    <cellStyle name="_x0006__x000e_䀎A_x0006__x000e_䀎A䀆䀁䀁A䀆䀁䀁A䀆䀁䀁A䀆䀁䀁A䀆䀁䀁A䀆䀁䀁A䀆䀁䀁A䀆䀁䀁A䀆䀁䀁A䀆䀁䀁A䀆䀁䀁A䀆䀁䀁A䀅䀁䀁A䀆_x0001_䀎A_x0006_ 3" xfId="58265"/>
    <cellStyle name="䀎A_x0005__x000e_䀎A_x0005__x000e_䀎A_x0005__x000e_䀎A" xfId="57428"/>
    <cellStyle name="䀎A_x0005__x000e_䀎A_x0006__x000e_䀎A_x0006__x000e_䀎A" xfId="57429"/>
    <cellStyle name="䀎A_x0006__x000e_䀎A_x0005__x000e_䀎A_x0005__x000e_䀎A" xfId="57430"/>
    <cellStyle name="_x0006__x000e_䀎A_x0006__x000e_䀎A_x0006__x000e_䀎A_x0006__x000e_䀎A_x0006_" xfId="57431"/>
    <cellStyle name="䀎A_x0005__x000e_䀎A_x0006__x000e_䀎A_x0006__x000e_䀎A 2" xfId="58270"/>
    <cellStyle name="䀎A_x0006__x000e_䀎A_x0005__x000e_䀎A_x0005__x000e_䀎A 2" xfId="58271"/>
    <cellStyle name="_x0006__x000e_䀎A_x0006__x000e_䀎A_x0006__x000e_䀎A_x0006__x000e_䀎A_x0006_ 2" xfId="58272"/>
    <cellStyle name="䀎A_x0005__x000e_䀎A_x0006__x000e_䀎A_x0006__x000e_䀎A 3" xfId="58273"/>
    <cellStyle name="䀎A_x0006__x000e_䀎A_x0005__x000e_䀎A_x0005__x000e_䀎A 3" xfId="58274"/>
    <cellStyle name="_x0006__x000e_䀎A_x0006__x000e_䀎A_x0006__x000e_䀎A_x0006__x000e_䀎A_x0006_ 3" xfId="58275"/>
    <cellStyle name="䀎A_x0005__x000e_䀎A_x0006__x000e_䀎A_x0006__x000e_䀎A 4" xfId="58276"/>
    <cellStyle name="䀎A_x0006__x000e_䀎A_x0005__x000e_䀎A_x0005__x000e_䀎A 4" xfId="58277"/>
    <cellStyle name="_x0006__x000e_䀎A_x0006__x000e_䀎A_x0006__x000e_䀎A_x0006__x000e_䀎A_x0006_ 4" xfId="58278"/>
    <cellStyle name="䀎A_x0005__x000e_䀎A_x0006__x000e_䀎A_x0006__x000e_䀎A 5" xfId="58267"/>
    <cellStyle name="䀎A_x0006__x000e_䀎A_x0005__x000e_䀎A_x0005__x000e_䀎A 5" xfId="58268"/>
    <cellStyle name="_x0006__x000e_䀎A_x0006__x000e_䀎A_x0006__x000e_䀎A_x0006__x000e_䀎A_x0006_ 5" xfId="58269"/>
    <cellStyle name="䀎A_x0005__x000e_䀎A_x0006__x000e_䀎A_x0006__x000e_䀎A_F-10-1" xfId="57432"/>
    <cellStyle name="䀎A_x0006__x000e_䀎A_x0006__x000e_䀎A_x0006__x000e_䀎A_Sales_Whole_Year.xls Chart 1" xfId="57433"/>
    <cellStyle name="_x0006__x000e_䀎A_x0006__x000e_䀎A_x0006__x000e_䀎A_x0006__x000e_䀎A_x0006__Worksheet" xfId="57434"/>
    <cellStyle name="_x0006__x000e_䀎A_x0006__x000e_䀎A_x0006__x000e_䀎A_x0006__x000e_䀎A䀆䀁䀁A䀆䀁䀁A䀆䀁䀁A䀆䀁䀁A䀆䀁䀁A䀆䀁䀁A䀆䀁䀁A䀆䀁䀁A䀆䀁䀁A䀆䀁䀁A䀆䀁䀁A䀆䀁䀁A䀅" xfId="57435"/>
    <cellStyle name="_x0006__x000e_䀎A_x0006__x000e_䀎A_x0006__x000e_䀎A_x0006__x000e_䀎A䀆䀁䀁A䀆䀁䀁A䀆䀁䀁A䀆䀁䀁A䀆䀁䀁A䀆䀁䀁A䀆䀁䀁A䀆䀁䀁A䀆䀁䀁A䀆䀁䀁A䀆䀁䀁A䀆䀁䀁A䀅 2" xfId="58280"/>
    <cellStyle name="_x0006__x000e_䀎A_x0006__x000e_䀎A_x0006__x000e_䀎A_x0006__x000e_䀎A䀆䀁䀁A䀆䀁䀁A䀆䀁䀁A䀆䀁䀁A䀆䀁䀁A䀆䀁䀁A䀆䀁䀁A䀆䀁䀁A䀆䀁䀁A䀆䀁䀁A䀆䀁䀁A䀆䀁䀁A䀅 3" xfId="58279"/>
    <cellStyle name="_x0005__x000e_䀎A_x0005__x000e_䀎A_x0005__x000e_䀎A_x0005__x000e_䀎A_x0006__x000e_䀎A_x0006__x000e_䀎A_x0006__x000e_䀎A_x0006__x000e_䀎A_x0006__x000e_䀎A_x0006__x000e_ᘎŀ䀅䀁ᘁŀ䀅䀁ᘁŀ䀅䀁ᘁŀ䀅䀁ᘁŀ䀅䀁ᘁŀ䀅䀁ᘁŀ䀅" xfId="57436"/>
    <cellStyle name="_x0005__x000e_䀎A_x0005__x000e_䀎A_x0005__x000e_䀎A_x0005__x000e_䀎A_x0006__x000e_䀎A_x0006__x000e_䀎A_x0006__x000e_䀎A_x0006__x000e_䀎A_x0006__x000e_䀎A_x0006__x000e_ᘎŀ䀅䀁ᘁŀ䀅䀁ᘁŀ䀅䀁ᘁŀ䀅䀁ᘁŀ䀅䀁ᘁŀ䀅䀁ᘁŀ䀅 2" xfId="58282"/>
    <cellStyle name="_x0005__x000e_䀎A_x0005__x000e_䀎A_x0005__x000e_䀎A_x0005__x000e_䀎A_x0006__x000e_䀎A_x0006__x000e_䀎A_x0006__x000e_䀎A_x0006__x000e_䀎A_x0006__x000e_䀎A_x0006__x000e_ᘎŀ䀅䀁ᘁŀ䀅䀁ᘁŀ䀅䀁ᘁŀ䀅䀁ᘁŀ䀅䀁ᘁŀ䀅䀁ᘁŀ䀅 3" xfId="58281"/>
    <cellStyle name="_x0005__x000e_䀎A_x0005__x000e_䀎A_x0005__x000e_䀎A_x0005__x000e_䀎A_x0005__x000e_䀎A_x0005__x000e_䀎A_x0006__x000e_䀎A_x0006__x000e_䀎A_x0006__x000e_䀎A_x0006__x000e_䀎A_x0006__x000e_䀎A_x0006__x000e__x000e_rency_laroux_2_12~" xfId="57437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" xfId="57438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" xfId="57439"/>
    <cellStyle name="_x0006__x000e_䀎A_x0006__x000e_䀎A_x0006__x000e_䀎A_x0006__x000e_䀎A_x0006__x000e_䀎A_x0006__x000e_䀎A_x0006__x000e_䀎A_x0006__x000e_䀎A_x0006__x000e_䀎A_x0006__x000e_䀎A_x0006__x000e_䀎A_x0005__x000e_䀎A_x0005__x000e_䀎A_x0005__x000e_䀎A_x0005__x000e_䀎A_x0005__x000e_䀎A_x0005_" xfId="57440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" xfId="57441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 2" xfId="58287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 2" xfId="58288"/>
    <cellStyle name="_x0006__x000e_䀎A_x0006__x000e_䀎A_x0006__x000e_䀎A_x0006__x000e_䀎A_x0006__x000e_䀎A_x0006__x000e_䀎A_x0006__x000e_䀎A_x0006__x000e_䀎A_x0006__x000e_䀎A_x0006__x000e_䀎A_x0006__x000e_䀎A_x0005__x000e_䀎A_x0005__x000e_䀎A_x0005__x000e_䀎A_x0005__x000e_䀎A_x0005__x000e_䀎A_x0005_ 2" xfId="58289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 2" xfId="58290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 3" xfId="58291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 3" xfId="58292"/>
    <cellStyle name="_x0006__x000e_䀎A_x0006__x000e_䀎A_x0006__x000e_䀎A_x0006__x000e_䀎A_x0006__x000e_䀎A_x0006__x000e_䀎A_x0006__x000e_䀎A_x0006__x000e_䀎A_x0006__x000e_䀎A_x0006__x000e_䀎A_x0006__x000e_䀎A_x0005__x000e_䀎A_x0005__x000e_䀎A_x0005__x000e_䀎A_x0005__x000e_䀎A_x0005__x000e_䀎A_x0005_ 3" xfId="58293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 3" xfId="58294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 4" xfId="58295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 4" xfId="58296"/>
    <cellStyle name="_x0006__x000e_䀎A_x0006__x000e_䀎A_x0006__x000e_䀎A_x0006__x000e_䀎A_x0006__x000e_䀎A_x0006__x000e_䀎A_x0006__x000e_䀎A_x0006__x000e_䀎A_x0006__x000e_䀎A_x0006__x000e_䀎A_x0006__x000e_䀎A_x0005__x000e_䀎A_x0005__x000e_䀎A_x0005__x000e_䀎A_x0005__x000e_䀎A_x0005__x000e_䀎A_x0005_ 4" xfId="58297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 4" xfId="58298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 5" xfId="58283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 5" xfId="58284"/>
    <cellStyle name="_x0006__x000e_䀎A_x0006__x000e_䀎A_x0006__x000e_䀎A_x0006__x000e_䀎A_x0006__x000e_䀎A_x0006__x000e_䀎A_x0006__x000e_䀎A_x0006__x000e_䀎A_x0006__x000e_䀎A_x0006__x000e_䀎A_x0006__x000e_䀎A_x0005__x000e_䀎A_x0005__x000e_䀎A_x0005__x000e_䀎A_x0005__x000e_䀎A_x0005__x000e_䀎A_x0005_ 5" xfId="58285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 5" xfId="58286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_F-10-1" xfId="57442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_F-10-1" xfId="57443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_F-10-1" xfId="57444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_F-10-1 2" xfId="58302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_F-10-1 2" xfId="58303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_F-10-1 2" xfId="58304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_F-10-1 3" xfId="58305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_F-10-1 3" xfId="58306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_F-10-1 3" xfId="58307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_F-10-1 4" xfId="58308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_F-10-1 4" xfId="58309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_F-10-1 4" xfId="58310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_F-10-1 5" xfId="58299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_F-10-1 5" xfId="58300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_F-10-1 5" xfId="58301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_F-10-1_Worksheet" xfId="57445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_F-10-1_Worksheet" xfId="57446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_F-10-1_Worksheet" xfId="57447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_F-10-1_Worksheet 2" xfId="58314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_F-10-1_Worksheet 2" xfId="58315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_F-10-1_Worksheet 2" xfId="58316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_F-10-1_Worksheet 3" xfId="58317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_F-10-1_Worksheet 3" xfId="58318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_F-10-1_Worksheet 3" xfId="58319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_F-10-1_Worksheet 4" xfId="58320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_F-10-1_Worksheet 4" xfId="58321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_F-10-1_Worksheet 4" xfId="58322"/>
    <cellStyle name="_x0006__x000e_䀎A_x0006__x000e_䀎A_x0006__x000e_䀎A_x0005__x000e_䀎A_x0005__x000e_䀎A_x0005__x000e_䀎A_x0005__x000e_䀎A_x0005__x000e_䀎A_x0005__x000e_䀎A_x0005__x000e_䀎A_x0005__x000e_䀎A_x0005__x000e_䀎A_x0005__x000e_䀎A_x0005__x000e_䀎A_x0005__x000e_䀎A_x0006__x000e_䀎A_x0006__F-10-1_Worksheet 5" xfId="58311"/>
    <cellStyle name="_x0006__x000e_䀎A_x0006__x000e_䀎A_x0006__x000e_䀎A_x0006__x000e_䀎A_x0006__x000e_䀎A_x0006__x000e_䀎A_x0006__x000e_䀎A_x0006__x000e_䀎A_x0005__x000e_䀎A_x0005__x000e_䀎A_x0005__x000e_䀎A_x0005__x000e_䀎A_x0005__x000e_䀎A_x0005__x000e_䀎A_x0005__x000e_䀎A_x0005__x000e_䀎A_x0005__F-10-1_Worksheet 5" xfId="58312"/>
    <cellStyle name="_x0006__x000e_䀎A_x0006__x000e_䀎A_x0006__x000e_䀎A_x0006__x000e_䀎A_x0006__x000e_䀎A_x0006__x000e_䀎A_x0006__x000e_䀎A_x0006__x000e_䀎A_x0006__x000e_䀎A_x0006__x000e_䀎A_x0006__x000e_䀎A_x0006__x000e_䀎A_x0006__x000e_䀎A_x0006__x000e_䀎A_x0006__x000e_䀎A_x0006__x000e_䀎A_x0006__F-10-1_Worksheet 5" xfId="58313"/>
    <cellStyle name="_x0006_䀎䀁A_x0006_䀎䀁A_x0006_䀎䀁A_x0006_䀎䀁A_x0006_䀎䀁A_x0006__x000e_䀎A_x0006__x000e_䀎A_x0006__x000e_䀎A_x0006__x000e_䀎A_x0006__x000e_䀎A_x0006__x000e_䀎A_x0006__x000e_䀎A_x0006__x000e_䀎A_x0006__x000e_䀎A_x0006__x000e_䀎A_x0006__x000e_䀎A_x0006_" xfId="57448"/>
    <cellStyle name="_x0006_䀎䀁A_x0006_䀎䀁A_x0006_䀎䀁A_x0006_䀎䀁A_x0006_䀎䀁A_x0006_䀎䀁A_x0006_䀎䀁A_x0006__x000e_䀎A_x0006__x000e_䀎A_x0006__x000e_䀎A_x0006__x000e_䀎A_x0006__x000e_䀎A_x0006__x000e_䀎A_x0006__x000e_䀎A_x0006__x000e_䀎A_x0006__x000e_䀎A_x0006_" xfId="57449"/>
    <cellStyle name="_x0006_䀎䀁A_x0006_䀎䀁A_x0006_䀎䀁A_x0006_䀎䀁A_x0006_䀎䀁A_x0006_䀎䀁A_x0006_䀎䀁A_x0006__x000e_䀎A_x0006__x000e_䀎A_x0006__x000e_䀎A_x0006__x000e_䀎A_x0006__x000e_䀎A_x0006__x000e_䀎A_x0006__x000e_䀎A_x0006__x000e_䀎A_x0006__x000e_䀎A_x0006_ 2" xfId="58324"/>
    <cellStyle name="_x0006_䀎䀁A_x0006_䀎䀁A_x0006_䀎䀁A_x0006_䀎䀁A_x0006_䀎䀁A_x0006_䀎䀁A_x0006_䀎䀁A_x0006__x000e_䀎A_x0006__x000e_䀎A_x0006__x000e_䀎A_x0006__x000e_䀎A_x0006__x000e_䀎A_x0006__x000e_䀎A_x0006__x000e_䀎A_x0006__x000e_䀎A_x0006__x000e_䀎A_x0006_ 3" xfId="58323"/>
    <cellStyle name="_x0006_䀎䀁A_x0006_䀎䀁A_x0006_䀎䀁A_x0006_䀎䀁A_x0006_䀎䀁A_x0006_䀎䀁A_x0006_䀎䀁A_x0006_䀎䀁A_x0006_䀎䀁A_x0006_䀎䀁A_x0006_䀎䀁A_x0006_䀎䀁A_x0006_䀎䀁A_x0006__x000e_䀎A_x0006__x000e_䀎A_x0006__x000e_䀎A_x0006_" xfId="57450"/>
    <cellStyle name="_x0006_䀎䀁A_x0006_䀎䀁A_x0006_䀎䀁A_x0006_䀎䀁A_x0006_䀎䀁A_x0006_䀎䀁A_x0006_䀎䀁A_x0006_䀎䀁A_x0006_䀎䀁A_x0006_䀎䀁A_x0006_䀎䀁A_x0006_䀎䀁A_x0006_䀎䀁A_x0006__x000e_䀎A_x0006__x000e_䀎A_x0006__x000e_䀎A_x0006_ 2" xfId="58326"/>
    <cellStyle name="_x0006_䀎䀁A_x0006_䀎䀁A_x0006_䀎䀁A_x0006_䀎䀁A_x0006_䀎䀁A_x0006_䀎䀁A_x0006_䀎䀁A_x0006_䀎䀁A_x0006_䀎䀁A_x0006_䀎䀁A_x0006_䀎䀁A_x0006_䀎䀁A_x0006_䀎䀁A_x0006__x000e_䀎A_x0006__x000e_䀎A_x0006__x000e_䀎A_x0006_ 3" xfId="58325"/>
  </cellStyles>
  <dxfs count="0"/>
  <tableStyles count="0" defaultTableStyle="TableStyleMedium2" defaultPivotStyle="PivotStyleLight16"/>
  <colors>
    <mruColors>
      <color rgb="FF00FFFF"/>
      <color rgb="FFEFFAFB"/>
      <color rgb="FFCCFFFF"/>
      <color rgb="FFF3F6F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9.xml"/><Relationship Id="rId117" Type="http://schemas.openxmlformats.org/officeDocument/2006/relationships/externalLink" Target="externalLinks/externalLink110.xml"/><Relationship Id="rId21" Type="http://schemas.openxmlformats.org/officeDocument/2006/relationships/externalLink" Target="externalLinks/externalLink14.xml"/><Relationship Id="rId42" Type="http://schemas.openxmlformats.org/officeDocument/2006/relationships/externalLink" Target="externalLinks/externalLink35.xml"/><Relationship Id="rId47" Type="http://schemas.openxmlformats.org/officeDocument/2006/relationships/externalLink" Target="externalLinks/externalLink40.xml"/><Relationship Id="rId63" Type="http://schemas.openxmlformats.org/officeDocument/2006/relationships/externalLink" Target="externalLinks/externalLink56.xml"/><Relationship Id="rId68" Type="http://schemas.openxmlformats.org/officeDocument/2006/relationships/externalLink" Target="externalLinks/externalLink61.xml"/><Relationship Id="rId84" Type="http://schemas.openxmlformats.org/officeDocument/2006/relationships/externalLink" Target="externalLinks/externalLink77.xml"/><Relationship Id="rId89" Type="http://schemas.openxmlformats.org/officeDocument/2006/relationships/externalLink" Target="externalLinks/externalLink82.xml"/><Relationship Id="rId112" Type="http://schemas.openxmlformats.org/officeDocument/2006/relationships/externalLink" Target="externalLinks/externalLink105.xml"/><Relationship Id="rId133" Type="http://schemas.openxmlformats.org/officeDocument/2006/relationships/externalLink" Target="externalLinks/externalLink126.xml"/><Relationship Id="rId138" Type="http://schemas.openxmlformats.org/officeDocument/2006/relationships/externalLink" Target="externalLinks/externalLink131.xml"/><Relationship Id="rId154" Type="http://schemas.openxmlformats.org/officeDocument/2006/relationships/externalLink" Target="externalLinks/externalLink147.xml"/><Relationship Id="rId159" Type="http://schemas.openxmlformats.org/officeDocument/2006/relationships/externalLink" Target="externalLinks/externalLink152.xml"/><Relationship Id="rId175" Type="http://schemas.openxmlformats.org/officeDocument/2006/relationships/externalLink" Target="externalLinks/externalLink168.xml"/><Relationship Id="rId170" Type="http://schemas.openxmlformats.org/officeDocument/2006/relationships/externalLink" Target="externalLinks/externalLink163.xml"/><Relationship Id="rId16" Type="http://schemas.openxmlformats.org/officeDocument/2006/relationships/externalLink" Target="externalLinks/externalLink9.xml"/><Relationship Id="rId107" Type="http://schemas.openxmlformats.org/officeDocument/2006/relationships/externalLink" Target="externalLinks/externalLink100.xml"/><Relationship Id="rId11" Type="http://schemas.openxmlformats.org/officeDocument/2006/relationships/externalLink" Target="externalLinks/externalLink4.xml"/><Relationship Id="rId32" Type="http://schemas.openxmlformats.org/officeDocument/2006/relationships/externalLink" Target="externalLinks/externalLink25.xml"/><Relationship Id="rId37" Type="http://schemas.openxmlformats.org/officeDocument/2006/relationships/externalLink" Target="externalLinks/externalLink30.xml"/><Relationship Id="rId53" Type="http://schemas.openxmlformats.org/officeDocument/2006/relationships/externalLink" Target="externalLinks/externalLink46.xml"/><Relationship Id="rId58" Type="http://schemas.openxmlformats.org/officeDocument/2006/relationships/externalLink" Target="externalLinks/externalLink51.xml"/><Relationship Id="rId74" Type="http://schemas.openxmlformats.org/officeDocument/2006/relationships/externalLink" Target="externalLinks/externalLink67.xml"/><Relationship Id="rId79" Type="http://schemas.openxmlformats.org/officeDocument/2006/relationships/externalLink" Target="externalLinks/externalLink72.xml"/><Relationship Id="rId102" Type="http://schemas.openxmlformats.org/officeDocument/2006/relationships/externalLink" Target="externalLinks/externalLink95.xml"/><Relationship Id="rId123" Type="http://schemas.openxmlformats.org/officeDocument/2006/relationships/externalLink" Target="externalLinks/externalLink116.xml"/><Relationship Id="rId128" Type="http://schemas.openxmlformats.org/officeDocument/2006/relationships/externalLink" Target="externalLinks/externalLink121.xml"/><Relationship Id="rId144" Type="http://schemas.openxmlformats.org/officeDocument/2006/relationships/externalLink" Target="externalLinks/externalLink137.xml"/><Relationship Id="rId149" Type="http://schemas.openxmlformats.org/officeDocument/2006/relationships/externalLink" Target="externalLinks/externalLink142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3.xml"/><Relationship Id="rId95" Type="http://schemas.openxmlformats.org/officeDocument/2006/relationships/externalLink" Target="externalLinks/externalLink88.xml"/><Relationship Id="rId160" Type="http://schemas.openxmlformats.org/officeDocument/2006/relationships/externalLink" Target="externalLinks/externalLink153.xml"/><Relationship Id="rId165" Type="http://schemas.openxmlformats.org/officeDocument/2006/relationships/externalLink" Target="externalLinks/externalLink158.xml"/><Relationship Id="rId181" Type="http://schemas.openxmlformats.org/officeDocument/2006/relationships/sharedStrings" Target="sharedStrings.xml"/><Relationship Id="rId22" Type="http://schemas.openxmlformats.org/officeDocument/2006/relationships/externalLink" Target="externalLinks/externalLink15.xml"/><Relationship Id="rId27" Type="http://schemas.openxmlformats.org/officeDocument/2006/relationships/externalLink" Target="externalLinks/externalLink20.xml"/><Relationship Id="rId43" Type="http://schemas.openxmlformats.org/officeDocument/2006/relationships/externalLink" Target="externalLinks/externalLink36.xml"/><Relationship Id="rId48" Type="http://schemas.openxmlformats.org/officeDocument/2006/relationships/externalLink" Target="externalLinks/externalLink41.xml"/><Relationship Id="rId64" Type="http://schemas.openxmlformats.org/officeDocument/2006/relationships/externalLink" Target="externalLinks/externalLink57.xml"/><Relationship Id="rId69" Type="http://schemas.openxmlformats.org/officeDocument/2006/relationships/externalLink" Target="externalLinks/externalLink62.xml"/><Relationship Id="rId113" Type="http://schemas.openxmlformats.org/officeDocument/2006/relationships/externalLink" Target="externalLinks/externalLink106.xml"/><Relationship Id="rId118" Type="http://schemas.openxmlformats.org/officeDocument/2006/relationships/externalLink" Target="externalLinks/externalLink111.xml"/><Relationship Id="rId134" Type="http://schemas.openxmlformats.org/officeDocument/2006/relationships/externalLink" Target="externalLinks/externalLink127.xml"/><Relationship Id="rId139" Type="http://schemas.openxmlformats.org/officeDocument/2006/relationships/externalLink" Target="externalLinks/externalLink132.xml"/><Relationship Id="rId80" Type="http://schemas.openxmlformats.org/officeDocument/2006/relationships/externalLink" Target="externalLinks/externalLink73.xml"/><Relationship Id="rId85" Type="http://schemas.openxmlformats.org/officeDocument/2006/relationships/externalLink" Target="externalLinks/externalLink78.xml"/><Relationship Id="rId150" Type="http://schemas.openxmlformats.org/officeDocument/2006/relationships/externalLink" Target="externalLinks/externalLink143.xml"/><Relationship Id="rId155" Type="http://schemas.openxmlformats.org/officeDocument/2006/relationships/externalLink" Target="externalLinks/externalLink148.xml"/><Relationship Id="rId171" Type="http://schemas.openxmlformats.org/officeDocument/2006/relationships/externalLink" Target="externalLinks/externalLink164.xml"/><Relationship Id="rId176" Type="http://schemas.openxmlformats.org/officeDocument/2006/relationships/externalLink" Target="externalLinks/externalLink169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26.xml"/><Relationship Id="rId38" Type="http://schemas.openxmlformats.org/officeDocument/2006/relationships/externalLink" Target="externalLinks/externalLink31.xml"/><Relationship Id="rId59" Type="http://schemas.openxmlformats.org/officeDocument/2006/relationships/externalLink" Target="externalLinks/externalLink52.xml"/><Relationship Id="rId103" Type="http://schemas.openxmlformats.org/officeDocument/2006/relationships/externalLink" Target="externalLinks/externalLink96.xml"/><Relationship Id="rId108" Type="http://schemas.openxmlformats.org/officeDocument/2006/relationships/externalLink" Target="externalLinks/externalLink101.xml"/><Relationship Id="rId124" Type="http://schemas.openxmlformats.org/officeDocument/2006/relationships/externalLink" Target="externalLinks/externalLink117.xml"/><Relationship Id="rId129" Type="http://schemas.openxmlformats.org/officeDocument/2006/relationships/externalLink" Target="externalLinks/externalLink122.xml"/><Relationship Id="rId54" Type="http://schemas.openxmlformats.org/officeDocument/2006/relationships/externalLink" Target="externalLinks/externalLink47.xml"/><Relationship Id="rId70" Type="http://schemas.openxmlformats.org/officeDocument/2006/relationships/externalLink" Target="externalLinks/externalLink63.xml"/><Relationship Id="rId75" Type="http://schemas.openxmlformats.org/officeDocument/2006/relationships/externalLink" Target="externalLinks/externalLink68.xml"/><Relationship Id="rId91" Type="http://schemas.openxmlformats.org/officeDocument/2006/relationships/externalLink" Target="externalLinks/externalLink84.xml"/><Relationship Id="rId96" Type="http://schemas.openxmlformats.org/officeDocument/2006/relationships/externalLink" Target="externalLinks/externalLink89.xml"/><Relationship Id="rId140" Type="http://schemas.openxmlformats.org/officeDocument/2006/relationships/externalLink" Target="externalLinks/externalLink133.xml"/><Relationship Id="rId145" Type="http://schemas.openxmlformats.org/officeDocument/2006/relationships/externalLink" Target="externalLinks/externalLink138.xml"/><Relationship Id="rId161" Type="http://schemas.openxmlformats.org/officeDocument/2006/relationships/externalLink" Target="externalLinks/externalLink154.xml"/><Relationship Id="rId166" Type="http://schemas.openxmlformats.org/officeDocument/2006/relationships/externalLink" Target="externalLinks/externalLink159.xml"/><Relationship Id="rId18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6.xml"/><Relationship Id="rId28" Type="http://schemas.openxmlformats.org/officeDocument/2006/relationships/externalLink" Target="externalLinks/externalLink21.xml"/><Relationship Id="rId49" Type="http://schemas.openxmlformats.org/officeDocument/2006/relationships/externalLink" Target="externalLinks/externalLink42.xml"/><Relationship Id="rId114" Type="http://schemas.openxmlformats.org/officeDocument/2006/relationships/externalLink" Target="externalLinks/externalLink107.xml"/><Relationship Id="rId119" Type="http://schemas.openxmlformats.org/officeDocument/2006/relationships/externalLink" Target="externalLinks/externalLink112.xml"/><Relationship Id="rId44" Type="http://schemas.openxmlformats.org/officeDocument/2006/relationships/externalLink" Target="externalLinks/externalLink37.xml"/><Relationship Id="rId60" Type="http://schemas.openxmlformats.org/officeDocument/2006/relationships/externalLink" Target="externalLinks/externalLink53.xml"/><Relationship Id="rId65" Type="http://schemas.openxmlformats.org/officeDocument/2006/relationships/externalLink" Target="externalLinks/externalLink58.xml"/><Relationship Id="rId81" Type="http://schemas.openxmlformats.org/officeDocument/2006/relationships/externalLink" Target="externalLinks/externalLink74.xml"/><Relationship Id="rId86" Type="http://schemas.openxmlformats.org/officeDocument/2006/relationships/externalLink" Target="externalLinks/externalLink79.xml"/><Relationship Id="rId130" Type="http://schemas.openxmlformats.org/officeDocument/2006/relationships/externalLink" Target="externalLinks/externalLink123.xml"/><Relationship Id="rId135" Type="http://schemas.openxmlformats.org/officeDocument/2006/relationships/externalLink" Target="externalLinks/externalLink128.xml"/><Relationship Id="rId151" Type="http://schemas.openxmlformats.org/officeDocument/2006/relationships/externalLink" Target="externalLinks/externalLink144.xml"/><Relationship Id="rId156" Type="http://schemas.openxmlformats.org/officeDocument/2006/relationships/externalLink" Target="externalLinks/externalLink149.xml"/><Relationship Id="rId177" Type="http://schemas.openxmlformats.org/officeDocument/2006/relationships/externalLink" Target="externalLinks/externalLink170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72" Type="http://schemas.openxmlformats.org/officeDocument/2006/relationships/externalLink" Target="externalLinks/externalLink165.xml"/><Relationship Id="rId180" Type="http://schemas.openxmlformats.org/officeDocument/2006/relationships/styles" Target="styles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32.xml"/><Relationship Id="rId109" Type="http://schemas.openxmlformats.org/officeDocument/2006/relationships/externalLink" Target="externalLinks/externalLink102.xml"/><Relationship Id="rId34" Type="http://schemas.openxmlformats.org/officeDocument/2006/relationships/externalLink" Target="externalLinks/externalLink27.xml"/><Relationship Id="rId50" Type="http://schemas.openxmlformats.org/officeDocument/2006/relationships/externalLink" Target="externalLinks/externalLink43.xml"/><Relationship Id="rId55" Type="http://schemas.openxmlformats.org/officeDocument/2006/relationships/externalLink" Target="externalLinks/externalLink48.xml"/><Relationship Id="rId76" Type="http://schemas.openxmlformats.org/officeDocument/2006/relationships/externalLink" Target="externalLinks/externalLink69.xml"/><Relationship Id="rId97" Type="http://schemas.openxmlformats.org/officeDocument/2006/relationships/externalLink" Target="externalLinks/externalLink90.xml"/><Relationship Id="rId104" Type="http://schemas.openxmlformats.org/officeDocument/2006/relationships/externalLink" Target="externalLinks/externalLink97.xml"/><Relationship Id="rId120" Type="http://schemas.openxmlformats.org/officeDocument/2006/relationships/externalLink" Target="externalLinks/externalLink113.xml"/><Relationship Id="rId125" Type="http://schemas.openxmlformats.org/officeDocument/2006/relationships/externalLink" Target="externalLinks/externalLink118.xml"/><Relationship Id="rId141" Type="http://schemas.openxmlformats.org/officeDocument/2006/relationships/externalLink" Target="externalLinks/externalLink134.xml"/><Relationship Id="rId146" Type="http://schemas.openxmlformats.org/officeDocument/2006/relationships/externalLink" Target="externalLinks/externalLink139.xml"/><Relationship Id="rId167" Type="http://schemas.openxmlformats.org/officeDocument/2006/relationships/externalLink" Target="externalLinks/externalLink160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4.xml"/><Relationship Id="rId92" Type="http://schemas.openxmlformats.org/officeDocument/2006/relationships/externalLink" Target="externalLinks/externalLink85.xml"/><Relationship Id="rId162" Type="http://schemas.openxmlformats.org/officeDocument/2006/relationships/externalLink" Target="externalLinks/externalLink155.xml"/><Relationship Id="rId18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2.xml"/><Relationship Id="rId24" Type="http://schemas.openxmlformats.org/officeDocument/2006/relationships/externalLink" Target="externalLinks/externalLink17.xml"/><Relationship Id="rId40" Type="http://schemas.openxmlformats.org/officeDocument/2006/relationships/externalLink" Target="externalLinks/externalLink33.xml"/><Relationship Id="rId45" Type="http://schemas.openxmlformats.org/officeDocument/2006/relationships/externalLink" Target="externalLinks/externalLink38.xml"/><Relationship Id="rId66" Type="http://schemas.openxmlformats.org/officeDocument/2006/relationships/externalLink" Target="externalLinks/externalLink59.xml"/><Relationship Id="rId87" Type="http://schemas.openxmlformats.org/officeDocument/2006/relationships/externalLink" Target="externalLinks/externalLink80.xml"/><Relationship Id="rId110" Type="http://schemas.openxmlformats.org/officeDocument/2006/relationships/externalLink" Target="externalLinks/externalLink103.xml"/><Relationship Id="rId115" Type="http://schemas.openxmlformats.org/officeDocument/2006/relationships/externalLink" Target="externalLinks/externalLink108.xml"/><Relationship Id="rId131" Type="http://schemas.openxmlformats.org/officeDocument/2006/relationships/externalLink" Target="externalLinks/externalLink124.xml"/><Relationship Id="rId136" Type="http://schemas.openxmlformats.org/officeDocument/2006/relationships/externalLink" Target="externalLinks/externalLink129.xml"/><Relationship Id="rId157" Type="http://schemas.openxmlformats.org/officeDocument/2006/relationships/externalLink" Target="externalLinks/externalLink150.xml"/><Relationship Id="rId178" Type="http://schemas.openxmlformats.org/officeDocument/2006/relationships/externalLink" Target="externalLinks/externalLink171.xml"/><Relationship Id="rId61" Type="http://schemas.openxmlformats.org/officeDocument/2006/relationships/externalLink" Target="externalLinks/externalLink54.xml"/><Relationship Id="rId82" Type="http://schemas.openxmlformats.org/officeDocument/2006/relationships/externalLink" Target="externalLinks/externalLink75.xml"/><Relationship Id="rId152" Type="http://schemas.openxmlformats.org/officeDocument/2006/relationships/externalLink" Target="externalLinks/externalLink145.xml"/><Relationship Id="rId173" Type="http://schemas.openxmlformats.org/officeDocument/2006/relationships/externalLink" Target="externalLinks/externalLink166.xml"/><Relationship Id="rId19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7.xml"/><Relationship Id="rId30" Type="http://schemas.openxmlformats.org/officeDocument/2006/relationships/externalLink" Target="externalLinks/externalLink23.xml"/><Relationship Id="rId35" Type="http://schemas.openxmlformats.org/officeDocument/2006/relationships/externalLink" Target="externalLinks/externalLink28.xml"/><Relationship Id="rId56" Type="http://schemas.openxmlformats.org/officeDocument/2006/relationships/externalLink" Target="externalLinks/externalLink49.xml"/><Relationship Id="rId77" Type="http://schemas.openxmlformats.org/officeDocument/2006/relationships/externalLink" Target="externalLinks/externalLink70.xml"/><Relationship Id="rId100" Type="http://schemas.openxmlformats.org/officeDocument/2006/relationships/externalLink" Target="externalLinks/externalLink93.xml"/><Relationship Id="rId105" Type="http://schemas.openxmlformats.org/officeDocument/2006/relationships/externalLink" Target="externalLinks/externalLink98.xml"/><Relationship Id="rId126" Type="http://schemas.openxmlformats.org/officeDocument/2006/relationships/externalLink" Target="externalLinks/externalLink119.xml"/><Relationship Id="rId147" Type="http://schemas.openxmlformats.org/officeDocument/2006/relationships/externalLink" Target="externalLinks/externalLink140.xml"/><Relationship Id="rId168" Type="http://schemas.openxmlformats.org/officeDocument/2006/relationships/externalLink" Target="externalLinks/externalLink161.xml"/><Relationship Id="rId8" Type="http://schemas.openxmlformats.org/officeDocument/2006/relationships/externalLink" Target="externalLinks/externalLink1.xml"/><Relationship Id="rId51" Type="http://schemas.openxmlformats.org/officeDocument/2006/relationships/externalLink" Target="externalLinks/externalLink44.xml"/><Relationship Id="rId72" Type="http://schemas.openxmlformats.org/officeDocument/2006/relationships/externalLink" Target="externalLinks/externalLink65.xml"/><Relationship Id="rId93" Type="http://schemas.openxmlformats.org/officeDocument/2006/relationships/externalLink" Target="externalLinks/externalLink86.xml"/><Relationship Id="rId98" Type="http://schemas.openxmlformats.org/officeDocument/2006/relationships/externalLink" Target="externalLinks/externalLink91.xml"/><Relationship Id="rId121" Type="http://schemas.openxmlformats.org/officeDocument/2006/relationships/externalLink" Target="externalLinks/externalLink114.xml"/><Relationship Id="rId142" Type="http://schemas.openxmlformats.org/officeDocument/2006/relationships/externalLink" Target="externalLinks/externalLink135.xml"/><Relationship Id="rId163" Type="http://schemas.openxmlformats.org/officeDocument/2006/relationships/externalLink" Target="externalLinks/externalLink156.xml"/><Relationship Id="rId184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8.xml"/><Relationship Id="rId46" Type="http://schemas.openxmlformats.org/officeDocument/2006/relationships/externalLink" Target="externalLinks/externalLink39.xml"/><Relationship Id="rId67" Type="http://schemas.openxmlformats.org/officeDocument/2006/relationships/externalLink" Target="externalLinks/externalLink60.xml"/><Relationship Id="rId116" Type="http://schemas.openxmlformats.org/officeDocument/2006/relationships/externalLink" Target="externalLinks/externalLink109.xml"/><Relationship Id="rId137" Type="http://schemas.openxmlformats.org/officeDocument/2006/relationships/externalLink" Target="externalLinks/externalLink130.xml"/><Relationship Id="rId158" Type="http://schemas.openxmlformats.org/officeDocument/2006/relationships/externalLink" Target="externalLinks/externalLink151.xml"/><Relationship Id="rId20" Type="http://schemas.openxmlformats.org/officeDocument/2006/relationships/externalLink" Target="externalLinks/externalLink13.xml"/><Relationship Id="rId41" Type="http://schemas.openxmlformats.org/officeDocument/2006/relationships/externalLink" Target="externalLinks/externalLink34.xml"/><Relationship Id="rId62" Type="http://schemas.openxmlformats.org/officeDocument/2006/relationships/externalLink" Target="externalLinks/externalLink55.xml"/><Relationship Id="rId83" Type="http://schemas.openxmlformats.org/officeDocument/2006/relationships/externalLink" Target="externalLinks/externalLink76.xml"/><Relationship Id="rId88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104.xml"/><Relationship Id="rId132" Type="http://schemas.openxmlformats.org/officeDocument/2006/relationships/externalLink" Target="externalLinks/externalLink125.xml"/><Relationship Id="rId153" Type="http://schemas.openxmlformats.org/officeDocument/2006/relationships/externalLink" Target="externalLinks/externalLink146.xml"/><Relationship Id="rId174" Type="http://schemas.openxmlformats.org/officeDocument/2006/relationships/externalLink" Target="externalLinks/externalLink167.xml"/><Relationship Id="rId179" Type="http://schemas.openxmlformats.org/officeDocument/2006/relationships/theme" Target="theme/theme1.xml"/><Relationship Id="rId15" Type="http://schemas.openxmlformats.org/officeDocument/2006/relationships/externalLink" Target="externalLinks/externalLink8.xml"/><Relationship Id="rId36" Type="http://schemas.openxmlformats.org/officeDocument/2006/relationships/externalLink" Target="externalLinks/externalLink29.xml"/><Relationship Id="rId57" Type="http://schemas.openxmlformats.org/officeDocument/2006/relationships/externalLink" Target="externalLinks/externalLink50.xml"/><Relationship Id="rId106" Type="http://schemas.openxmlformats.org/officeDocument/2006/relationships/externalLink" Target="externalLinks/externalLink99.xml"/><Relationship Id="rId127" Type="http://schemas.openxmlformats.org/officeDocument/2006/relationships/externalLink" Target="externalLinks/externalLink120.xml"/><Relationship Id="rId10" Type="http://schemas.openxmlformats.org/officeDocument/2006/relationships/externalLink" Target="externalLinks/externalLink3.xml"/><Relationship Id="rId31" Type="http://schemas.openxmlformats.org/officeDocument/2006/relationships/externalLink" Target="externalLinks/externalLink24.xml"/><Relationship Id="rId52" Type="http://schemas.openxmlformats.org/officeDocument/2006/relationships/externalLink" Target="externalLinks/externalLink45.xml"/><Relationship Id="rId73" Type="http://schemas.openxmlformats.org/officeDocument/2006/relationships/externalLink" Target="externalLinks/externalLink66.xml"/><Relationship Id="rId78" Type="http://schemas.openxmlformats.org/officeDocument/2006/relationships/externalLink" Target="externalLinks/externalLink71.xml"/><Relationship Id="rId94" Type="http://schemas.openxmlformats.org/officeDocument/2006/relationships/externalLink" Target="externalLinks/externalLink87.xml"/><Relationship Id="rId99" Type="http://schemas.openxmlformats.org/officeDocument/2006/relationships/externalLink" Target="externalLinks/externalLink92.xml"/><Relationship Id="rId101" Type="http://schemas.openxmlformats.org/officeDocument/2006/relationships/externalLink" Target="externalLinks/externalLink94.xml"/><Relationship Id="rId122" Type="http://schemas.openxmlformats.org/officeDocument/2006/relationships/externalLink" Target="externalLinks/externalLink115.xml"/><Relationship Id="rId143" Type="http://schemas.openxmlformats.org/officeDocument/2006/relationships/externalLink" Target="externalLinks/externalLink136.xml"/><Relationship Id="rId148" Type="http://schemas.openxmlformats.org/officeDocument/2006/relationships/externalLink" Target="externalLinks/externalLink141.xml"/><Relationship Id="rId164" Type="http://schemas.openxmlformats.org/officeDocument/2006/relationships/externalLink" Target="externalLinks/externalLink157.xml"/><Relationship Id="rId169" Type="http://schemas.openxmlformats.org/officeDocument/2006/relationships/externalLink" Target="externalLinks/externalLink162.xml"/><Relationship Id="rId185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pn5\c\slamet\PSL\smal20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PT%20CATUR%20ADILUHUR%20SENTOSA\CATUR%20ADILUHUR%20SENTOSA%20Juni%2007\WORKSHEET\My%20Documents\My%20Received%20Files\PT%20ABC\Repor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1.%20MAXTOR%20FILE\2.%20REPORT%20CML%20CONSOLIDATION\44.%20July'12\Data%20Subsidiaries%20July'12\3.%20MR\MR%20BP%20Jul'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~1\Johana\LOCALS~1\Temp\Rar$DI00.391\1008-MANAGEMENT%20RE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User\AppData\Local\Microsoft\Windows\Temporary%20Internet%20Files\Content.Outlook\OFPH3C1D\1.%20MAXTOR%20FILE\2.%20REPORT%20CML%20CONSOLIDATION\44.%20July'12\Data%20Subsidiaries%20July'12\3.%20MR\MR%20BP%20Jul'1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Linc%20E\2013\12.%20Des\Report\1312-MANAGEMENT%20REPORT%20EDIT%20LT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019trdjumali\D\Documents%20and%20Settings\pajak\My%20Documents\Tris\CONDUCTAMA%20JERBINDO\ikiweku\My%20Documents\Riksus\RADA\MK91\MUKASK9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PT%20CATUR%20ADILUHUR%20SENTOSA\CATUR%20ADILUHUR%20SENTOSA%20Juni%2007\WORKSHEET\My%20Documents\My%20Received%20Files\PT%20ABC\Repor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User\AppData\Local\Microsoft\Windows\Temporary%20Internet%20Files\Content.Outlook\OFPH3C1D\1.%20MAXTOR%20FILE\2.%20REPORT%20CML%20CONSOLIDATION\44.%20July'12\Data%20Subsidiaries%20July'12\3.%20MR\MR%20BP%20Jul'1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pril's%20documents\TBS\CIBA\Audit%2031%20Dec%2008\LTL\TBS\PDSU%202007\My%20Documents\My%20Received%20Files\PT%20ABC\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7.1.2\reny-lincsol\Documents%20and%20Settings\cherissa.ACCT09\Local%20Settings\Temporary%20Internet%20Files\OLK65\Documents%20and%20Settings\Herry\Desktop\PDSU%202007\My%20Documents\My%20Received%20Files\PT%20ABC\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FAPC-02\AppData\Local\Microsoft\Windows\Temporary%20Internet%20Files\Content.Outlook\67KLDFA7\Projection%20Aug%20-%20Dec%20140815b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uliani.herman/My%20Documents/EY/My%20Clients/APOL/Documents%20and%20Settings/sgv/My%20Documents/rathy.panget/Documents%20and%20Settings/clients/2003%20audit/SPI%20Technologies/May_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LTL/TBS/PDSU%202007/My%20Documents/My%20Received%20Files/PT%20ABC/Report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Johana/LOCALS~1/Temp/Rar$DI00.391/1008-MANAGEMENT%20REPOR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MAXTOR%20FILE/2.%20REPORT%20CML%20CONSOLIDATION/44.%20July'12/Data%20Subsidiaries%20July'12/3.%20MR/MR%20BP%20Jul'1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538326/AppData/Local/Microsoft/Windows/Temporary%20Internet%20Files/Content.Outlook/5WC2TD52/Trading%20comps%20model_v170_vph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66\c\My%20Documents\ADR\QCDSM\QCD04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K91\MUKASK9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dian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kaLife\KKP%20Ekalif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019trdjumali\D\My%20Documents\ikiweku\My%20Documents\Riksus\RADA\MK91\MUKASK9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nA-ira\Audit\Lap\LB-PPN\docsiap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nA-ira\Audit\Lap\LB-PPN\RASMON%20HARLIWANG-use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LTL%20-%20PT%20BAHANA%20PRESTASI\LTL-%20Bahana%20Prestasi\data%20client\AR%20PER%2030%20SEPT%200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LTL%20-%20PT%20BAHANA%20PRESTASI/LTL-%20Bahana%20Prestasi/data%20client/AR%20PER%2030%20SEPT%2007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DOCUME~1\TRAVEL~1\LOCALS~1\Temp\Temporary%20Directory%202%20for%20Audit%2031122007.zip\AR%20PER%2031%20DES-UNINVOICED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TRAVEL~1/LOCALS~1/Temp/Temporary%20Directory%202%20for%20Audit%2031122007.zip/AR%20PER%2031%20DES-UNINVOICED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ounting5\my%20documents\My%20Documents\Tjandra\&#20107;&#26989;&#35336;&#30011;\&#27604;&#20363;&#36027;&#19979;&#26399;&#65288;&#20516;&#19979;5%25&#65289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ounting5\my%20documents\My%20Documents\Tjandra\&#20107;&#26989;&#35336;&#30011;\98-1-LAB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DEVI/LAutan%20Luas%202010/Binding/CML%20Group/TBS/PT%20Catur%20Logamindo%20Sentosa%20-%20Yogya/REPORT-WORKSHEET%20CLS%20JUN%2007/My%20Documents/My%20Received%20Files/PT%20ABC/Report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903129\Desktop\ChartPRO\ChartPRO%20Master%20v3m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KPBR.XLS\BRAMA_96\RIKPA\BM\DATAWP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OTDPOD\FORMULA-OTDPOD-CILACA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uliani.herman/My%20Documents/EY/My%20Clients/APOL/Documents%20and%20Settings/sgv/My%20Documents/rathy.panget/clients/SPI/TB_September%20200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uliani.herman/My%20Documents/EY/My%20Clients/APOL/CLIENTS/SPI/Documents%20and%20Settings/clients/2003%20audit/SPI%20Technologies/september/September_Trial%20Balance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Users\User\AppData\Local\Microsoft\Windows\Temporary%20Internet%20Files\Content.Outlook\OFPH3C1D\1.%20MAXTOR%20FILE\2.%20REPORT%20CML%20CONSOLIDATION\44.%20July'12\Data%20Subsidiaries%20July'12\3.%20MR\MR%20BP%20Jul'1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CLIENT\YKB%20ATMI\ZEBRA%2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ounting5\my%20documents\My%20Documents\Tjandra\&#20107;&#26989;&#35336;&#30011;\&#23551;for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FINANCE\Exhibit\2003\Prepaid%20and%20Accrual\ACCR%20010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FINANCE\Exhibit\2003\Prepaid%20and%20Accrual\ACCR%200103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rawan\c_server\Aris%20Aviantara\RPE%2097\My%20Documents\PSK\PUNINAR\dep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254.4.54:8080/Documents%20and%20Settings/user/My%20Documents/Pemeriksaan/Kadera-ar/KKP-Impor%20Jul-Ag'0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DESKTOP/Wegig%20Wicaksono/Pemeriksaan/lap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CLIENT\GE%20Lokindo\GE%20Lokindo%202001\Tax%20Refund%202001\FIN%20ST%20Nov%200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rpec_yesi\kiang\FINANCE\HE2001-consoled0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HRD\Cost%20Center\2016\03.%20Maret\Gabungan-Gaji%202007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de17\drv_c_n17\DATA\SRI\FN\FN0196C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grakfs\Truck2\Users\Kas\AppData\Local\Microsoft\Windows\Temporary%20Internet%20Files\Content.Outlook\J42C48BB\template%20komentif\New%20OP%20MR%20Toyot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CLIENT\YKB%20ATMI\mah%20sing\KKPmahsing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Accounting%20Analysis\Budget%202019\Support%20service\From%20Subs\REPORT%20BY%20SITE%20MTM%202018%20FINAL%2020181123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DataKKP%20Surya%20Siam%200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Tri_wien@gawean/wienproject@PPh/golden%20greatwall_2000/FOSROC9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Tri_wien@gawean\wienproject@PPh\golden%20greatwall_2000\FOSROC98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s4\d\JTP-2001\PT.%20Jasuindo.%20coba-coba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de17\my%20documents\My%20Documents\Ria\DATA98\FSsubmit\FS1198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y%20Documents\ikiweku\My%20Documents\Riksus\RADA\KERJA\CITRA\CITRA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1D44ADB\Report.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019trdjumali\D\My%20Documents\kkp-kharism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NEW%20DATA%202015\2018\PROJECTION\Template%20Operation%20Business%20Plan%202017%20-%20Nirwana%20Lestari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BDP%202005\Au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Auditlaptop16%20-%20Catherine\BDP\BDP%20AsiaPacific\BDP-2005%20consolidatio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ACCOUNTING/2006/LAP/koreksi%20g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nar%20Karunia-PM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pherdian\My%20Documents\prambudi\Project\JHHP\medan\JHHP%20FG%20IKP+UJ%20current%20WH%20-%20170107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BDP%202005\BDP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PT%20CATUR%20ADILUHUR%20SENTOSA\CATUR%20ADILUHUR%20SENTOSA%20Juni%2007\WORKSHEET\Clients\Audit%20Year-2003\PT%20Masaji%20Tatanan%20Container\File%20ter-update\WP-MTCont%20%202003-%20240404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B8308DA\WP-MTCont%20%202003-%202404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de17\my%20documents\My%20Documents\Ratna\Data99\Pl\PL_0199-R1FINAL-ganti-variance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up%20NB%20David/My%20Documents/Investor/Crystal%20-%20Financial%20Model%2005032019v14_FINAL%20_updated%20LINC3107_Update%20Chart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up%20NB%20David/My%20Documents/Report%20CML/2020/Feb/Graphic/Bulk%20-%20Grafik%20Actual%20vs%20Budget%20CML%20by%20branch%20Feb%2020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~1\user\LOCALS~1\Temp\Temporary%20Directory%201%20for%20FS-TBS%2054%20000KL%20(2).zip\SSP%203%201_BREAKDOWN%20COST%20OF%20TENDER%20Workshee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de02\data\Data\1998%20planning\BDGAE98-R5-5000$%20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Tigor\AppData\Local\Microsoft\Windows\Temporary%20Internet%20Files\Content.Outlook\A0TNFM8X\folder%20dr%20joko\cost%20structure%20MD\BC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PT%20CATUR%20ADILUHUR%20SENTOSA/CATUR%20ADILUHUR%20SENTOSA%20Juni%2007/WORKSHEET/Documents%20and%20Settings/anggka/My%20Documents/Angela/My%20Clients/Ratu%20Agung%20Sayang/2001/WbsWpl%202001-RAS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PT%20CATUR%20ADILUHUR%20SENTOSA\CATUR%20ADILUHUR%20SENTOSA%20Juni%2007\WORKSHEET\Documents%20and%20Settings\anggka\My%20Documents\Angela\My%20Clients\Ratu%20Agung%20Sayang\2001\WbsWpl%202001-RA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Foremost\Documents%20and%20Settings\curnom\Local%20Settings\Temporary%20Internet%20Files\OLK6\data\Consumer%20Group\Assets\Capex%20Projects\Botany\Financials\Financial%20Proposal_Botany%20Projec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simon.LINFOXMY\My%20Documents\VIETNAM\Fosters\Cost%20model\Warehouse%20cost%20models\Fosters%20cost%20model%20%20DC1%2012th%20May%20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BS\TBS-Project\CONSTRUCTION%20DETAILS-PROJECT%2054000%20KL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TBS/TBS-Project/CONSTRUCTION%20DETAILS-PROJECT%2054000%20KL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Auditlaptop16%20-%20Catherine\External%20audit\BDP%20Asia%20Pacific-2005\BDP%202005\BDP%20Group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ORPLAN\TUJUAN%20PA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pn5\c\My%20Documents\Ashari\klarifikasi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Users\FAPC-02\AppData\Local\Microsoft\Windows\Temporary%20Internet%20Files\Content.Outlook\67KLDFA7\02%20-%20Transaction%20Template\FI-BS-GL%20(TP)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rpec_iwani\data%20iwan\WINDOWS\TEMP\FER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rpec_iwani\data%20iwan\Acct.%20Feriadi\Acct.%20Report\LT2001-console%2006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cct.%20Feriadi\Acct.%20Report\Crane2001-consoled%2006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simon.LINFOXMY\My%20Documents\VIETNAM\Fosters\Data%20Files\Logistics\VN%20CCR%20F040304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cct.%20Feriadi\Acct.%20Report\Crane2001-consoled03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Lasma\AppData\Local\Microsoft\Windows\Temporary%20Internet%20Files\OLKA5AD\02%20%20Daily%20Report%20Buatan%20-%20Juli%20201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e\1project%20ten\2009\Linc%20Terminal%20Ciwandan%20Phase%203_Audex\COMMERCIAL%20PROPOSAL\Detailed%20Breakdown%20Cost-SSP%20-%20Combined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urn\Trucking\Users\bagus\AppData\Local\Temp\Rar$DI00.449\template%20daily%20breakdown%201%20Mei%202014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urn\public\SHARED-POINT\OSD\Asset%20Mgt\Asset%202014\FleetTs\Asset%20Mgn%20Truck\Data%20Asset%202014\01.%20January%202014\Puninar%20Corp\GENERAL%20ADMINISTRATIVE\Template%20-%20eFPB%20Apporafin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urn\Trucking\Users\bagus\AppData\Local\Temp\Rar$DI00.449\WORK\TSD%20Puninar%20Jaya\Main%20Job%20TSD%20Dept\Daily%20Report\BreakDown\2014\Maret\Puninar%20Corp\GENERAL%20ADMINISTRATIVE\Template%20-%20eFPB%20Apporafin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urn\Trucking\Puninar%20Corp\GENERAL%20ADMINISTRATIVE\Template%20-%20eFPB%20Apporafin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urn\trucking\Fleet_TS\Asset%20Mgn%20Truck\Data%20Asset%202011\Asset%20Fleet\101012TrucksNChassis%202010101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urn\trucking\Fleet_TS\Asset%20Mgn%20Truck\Data%20Asset%202011\Admin%20Fleet\Fauzi\Asset%20Mgn%20Truck\Data%20Asset%202011\Asset%20Fleet\101012TrucksNChassis%2020101014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urn\trucking\Fleet_TS\Asset%20Mgn%20Truck\Data%20Asset%202011\Fleet%20&amp;%20TS\Operasional\Asset\Asset%20Fleet\101012TrucksNChassis%2020101014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urn\trucking\Fleet_TS\Asset%20Mgn%20Truck\Data%20Asset%202011\Admin%20Fleet\Fauzi\Asset%20Mgn%20Truck\Data%20Asset%202011\Fleet%20&amp;%20TS\Operasional\Asset\Asset%20Fleet\101012TrucksNChassis%2020101014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up%20NB%20David/My%20Documents/Report%20CML/2020/Feb/Graphic/Exim%20-%20Grafik%20Actual%20vs%20Budget%20CML%20by%20branch%20Feb%2020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Sampe/2004/Liku%20Telaga/DEPR%20kom2004dr%20audi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Sampe\2004\Liku%20Telaga\DEPR%20kom2004dr%20audi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4F58A47\Linc%20Group%20Consol%20up%20date%20(Sri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BDP%202005\Forwarding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Alb3rt\Desktop\Project\CML%20Sby\Proposal%20to%20LTL%20270710-Meeting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pril's%20documents\TBS\CIBA\Audit%2031%20Dec%2008\CLIENT%20KNN\2007\LTL%2031%20Des%2007\Subsidiaries\ILO\Documents%20and%20Settings\Herry\Desktop\PDSU%202007\My%20Documents\My%20Received%20Files\PT%20ABC\Report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CLIENT%20KNN/2007/LTL%2031%20Des%2007/Subsidiaries/ILO/Documents%20and%20Settings/Herry/Desktop/PDSU%202007/My%20Documents/My%20Received%20Files/PT%20ABC/Report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94aad\project\Share\WINDOWS\Temporary%20Internet%20Files\Content.IE5\1H15ZXIV\My%20Documents\My%20Office\QCDSM\2000\QCD0400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Edist\Local%20Settings\Temporary%20Internet%20Files\OLKC\RECEIVED%2020%20APRIL%2006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PT%20CATUR%20ADILUHUR%20SENTOSA\CATUR%20ADILUHUR%20SENTOSA%20Juni%2007\WORKSHEET\Maria's\Client\2003\Samudera%20Indonesia\PT%20Prima%20Nur%20Panurjwan\Update-Report-ASM-SRM\WP%20PT%20Prima%202003-050404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493E3F4\WP%20PT%20Prima%2020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ppc02\PPC%20ah\Capacity\Cap-2004\NENKEI%20Capacity%20Bandwith%202004-%202006%20%20JUN'04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File%20Yogi\BACK%20UP%20MAXTOR\2.%20MAXTOR%203%20APRIL%202009\1.%20REPORT%20%20OVERSEAS%20CONSOLIDATION\Audit%20Report\Lautan%20Hongze%20%202007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jak/My%20Documents/Data%20Transfer/From%20WP/INTI%20ABADI%20KEMASINDO/Joko%20Suyitno/Pemeriksaan%20Madya%20Bekasi/TITIAN/Titian%20Anugerahagung/1SPPP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nA-ira\Audit\Lap\LB-PPN\Documents%20and%20Settings\bowomono\My%20Documents\TaxAudit\Manual\LEPneo\My%20Documents\%60KERTAS%20KERJA\K%20K%20P\OCBC%20sikap%20securities%2095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1998%20planning\FS%20CF%20Rp5k1998\FSCF98%20Rp5000-R2+Asiatex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Nocky\My%20Documents\Project\Yamaha%20Milkrun\Yamaha%20Milkrun%20030507%204Fuso%208Trip%20Puninar%20Base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ST%20CONTROL\Kertas%20Kerja%20Vehicle%20Desember%202015%20(IO%20Z002)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First%20Steamship%20Group\I-Perfect-30%20June%202006\A10-Audit%20worksheet(IPIL)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Desktop\ERWIN\Bln%209%202004\FPB&amp;TTB%20BLN%209%20'04-2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Sampe/2004/Liku%20Telaga/DEPR%20kom2004dr%20audit-2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Sampe\2004\Liku%20Telaga\DEPR%20kom2004dr%20audit-2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_CLIENTS\_CLIENTS\PT%20Surya%20Siam%20Keramik\DataKKP%20Surya%20Siam%2002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ha_r\data%20kerja\DATA%20KERJA\Bank%20Haga\kerja\nyoman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First%20Steamship%20Group\Leading%20Steamship%20S.A-30%20June%202006\A10-Audit%20worksheet%20(LSSA)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dmksfs01\05.%20LOGISTIC%20New\10.%20SHARE-DEPARTEMENT\Alvin\Material%20Planner%20Week%207\Schedule%20%20%20Priode%2010-22%20Februari%202020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File%20Yogi\BACK%20UP%20MAXTOR\2.%20MAXTOR%203%20APRIL%202009\1.%20REPORT%20%20OVERSEAS%20CONSOLIDATION\Audit%20Report\B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de17\my%20documents\Ratna\Data1999\FSsubmit\FS0199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BDP%202005\Msia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019trdjumali\D\nA-ira\Audit\Lap\LB-PPN\TaxAudit\templateKKP\graha%20lelang%20survindo%2099%20PSL%20minima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Catherine%20Chok\Desktop\First%20Steamship%20Group\Nature%20Sources%20Ltd\A10-Audit%20worksheet(nature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HRD\Cost%20Center\2016\03.%20Maret\Th2006\Gaji\SPT%201721-20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common4\Finance\Evi\SB%20PPN\02\Ppn%2011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up%20NB%20David/My%20Documents/Report%20CML/2020/Feb/Graphic/Package,%20Bulk,%20&amp;%20Exim%20-%20Grafik%20Actual%20vs%20Budget%20CML%20by%20branch%20Feb%2020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PT%20CATUR%20ADILUHUR%20SENTOSA/CATUR%20ADILUHUR%20SENTOSA%20Juni%2007/WORKSHEET/My%20Documents/My%20Received%20Files/PT%20ABC/Report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USER\AppData\Local\Microsoft\Windows\Temporary%20Internet%20Files\Content.Outlook\4IW71R5D\Linc%20Express\Linc%20Express\DT%20Bandung\Linc%20Express\Linc%20Express\Nirles%20FS%20(Add%20Unit%20Only))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7.1.2\reny-lincsol\RENY\ILO\GPS%20Stock_17Jan08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019trdjumali\D\Documents%20and%20Settings\Dino\My%20Documents\LPP-Badan\pt%20jala%20visiarta\Javis2\Bank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BS\Projection\New%20folder\AMA.xlsx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simon.LINFOXMY\My%20Documents\VIETNAM\Fosters\Cost%20model\Warehouse%20cost%20models\Fosters%20Existing%20Summary%20Table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urn\Trucking\DOCUME~1\ABDULL~1.RIZ\LOCALS~1\Temp\Rar$DI06.360\FLTP%20HR%20Telkom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019trdjumali\D\nA-ira\Audit\Lap\LB-PPN\My%20Documents\Form21\PPh%2021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First%20Steamship%20Group\Qingdao\A10-Audit%20worksheet(Qingdao)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ata%202009%20BARU\Cycle%20Time%202009\Query%20Cycle%20Time%20by%20Activity%20May%2009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/PT%20CATUR%20ADILUHUR%20SENTOSA/CATUR%20ADILUHUR%20SENTOSA%20Juni%2007/WORKSHEET/Documents%20and%20Settings/michja/Desktop/MANDIRI/IPO%20Sept%202001/Treasury%20September%202001/DerivativesBMELYth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PT%20CATUR%20ADILUHUR%20SENTOSA\CATUR%20ADILUHUR%20SENTOSA%20Juni%2007\WORKSHEET\Documents%20and%20Settings\michja\Desktop\MANDIRI\IPO%20Sept%202001\Treasury%20September%202001\DerivativesBMELYth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First%20Steamship%20Group\Regal%20Ocean\A10-Audit%20worksheet(Regal%20Ocean)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Holcim\2011\01Januari11\Januari%202011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tmp\GL%20Account%20dgn%20Trd%20Partner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Istanti\AppData\Local\Microsoft\Windows\Temporary%20Internet%20Files\Content.Outlook\N5U51DIH\Gaja%20Group\Gaja%20Group%2029052013%20new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File%20Yogi\BACK%20UP%20MAXTOR\2.%20MAXTOR%203%20APRIL%202009\1.%20REPORT%20%20OVERSEAS%20CONSOLIDATION\Audit%20Report\Lautan%20Luas%20Shanghai%202007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ata%20BP\Laporan%20Imelda\02.%20Daily%20Report%20Project%20RAPP\03.%20August%202014\02.%20Rapp_Baserah.xlsx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newpud(1)\denny\Files\Personal%20Files\Denny\PP095N\149W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newpud(1)\denny\Supplier%20List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AHYU%20BACKUP\RaNny\KNN%20Client\PT%20Catur%20Logamindo%20Sentosa\Audit%20Desember%202008\WS%20dan%20report\PT%20Catur%20Logamindo%20Sentosa%20-%20Yogya\REPORT-WORKSHEET%20CLS%20JUN%2007\My%20Documents\My%20Received%20Files\PT%20ABC\Report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45E1E2E\Report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019trdjumali\D\DATA2004\Tax-2004\TAX%202004_BARU03-05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ATA2004\Tax-2004\TAX%202004_BARU03-05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hop%20Development/09.%20MTC%20Cost%20Report/2018/Populasi%202018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A055445\Local%20Settings\Temporary%20Internet%20Files\OLK21\DECEMBER-06\ID2\WIDODO\WH%20CC-ID2%20by%20Widodo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File%20Yogi\BACK%20UP%20MAXTOR\2.%20MAXTOR%203%20APRIL%202009\1.%20REPORT%20%20OVERSEAS%20CONSOLIDATION\Audit%20Report\Linc%20Group%20Consol%20up%20date%20(Sri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Documents%20and%20Settings\PW044\Desktop\BDP%202005\Thai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DAUD~1.PAN\AppData\Local\Temp\Rar$DIa0.779\File%20Yogi\BACK%20UP%20MAXTOR\2.%20MAXTOR%203%20APRIL%202009\1.%20REPORT%20%20OVERSEAS%20CONSOLIDATION\Audit%20Report\Lautan%20Thai%202008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yfpwm01\UserFiles\Finance&amp;Admin\-%20General\Main%20Billing\Billing\Warehouse%20Biling\Orica\2004\Billing%20for%20the%20Month%20of%20Apr%2004-New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Istanti\AppData\Local\Microsoft\Windows\Temporary%20Internet%20Files\Content.Outlook\N5U51DIH\Gaja%20Group\FS%20Gaja%20Group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Users\Istanti\AppData\Local\Microsoft\Windows\Temporary%20Internet%20Files\Content.Outlook\N5U51DIH\Survey%20Danone\Danone%20v2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y%20Documents\Opts\OpstSummary%20September%2003%20Final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dwi/2009/LINK%20TERMINAL%20R2/Proposal/Detailed%20Breakdown%20Cost-SSP-all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cct.%20Feriadi\Acct.%20Report\Crane2001-consoled%2005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/LINC%20LOG%20SBY%202018/BUDGET/2022/TBS%20Projection%20(2021-2026)_Update20211005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/Budi%20Jayadi/2021%20Acc/LINC%20Consol/BOD%20Reporting/8.%20Aug'21/0821%20Report%20BOD%20Performance%20update%20Re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 KPP"/>
      <sheetName val="Klarifikasi (2)"/>
      <sheetName val="Daft. Klar"/>
      <sheetName val="seluruh"/>
      <sheetName val="Complete"/>
      <sheetName val="PK-PM"/>
      <sheetName val="KKP A.1"/>
      <sheetName val="KKP A.2.1"/>
      <sheetName val="KKP A.2.2"/>
      <sheetName val="KKP A.3.1"/>
      <sheetName val="KKP A.3.2"/>
      <sheetName val="KKP B.1.1"/>
      <sheetName val="KKP B.1.1 (2)"/>
      <sheetName val="PK"/>
      <sheetName val="RekapM"/>
      <sheetName val="PPN"/>
      <sheetName val="SPM"/>
      <sheetName val="Cover LHP"/>
      <sheetName val="LHP"/>
      <sheetName val="Nothit"/>
      <sheetName val="Klarifikasi"/>
      <sheetName val="KKP A.3"/>
      <sheetName val="PANGGILAN"/>
      <sheetName val="SP"/>
      <sheetName val="KP. PDIP 3.17"/>
      <sheetName val="SURAT TUGAS"/>
      <sheetName val="KURS"/>
      <sheetName val="PPh 29"/>
      <sheetName val="penjualan"/>
      <sheetName val="Rekap kon fp bl"/>
      <sheetName val="ekspor (B.1.1)"/>
      <sheetName val="dpp &amp; pk (b.1.3)"/>
      <sheetName val="Ekspore"/>
      <sheetName val="Rekap FPM"/>
      <sheetName val="KP. RIK. PS. 1.18 F"/>
      <sheetName val="KP. RIK. PS.1.18 G"/>
      <sheetName val="KP. RIK. PS.1.18 H"/>
      <sheetName val="KP.RIK.PS 1.18I"/>
      <sheetName val="laporan "/>
      <sheetName val="arus brg"/>
      <sheetName val="%"/>
      <sheetName val="pelunasan"/>
      <sheetName val="analisa"/>
      <sheetName val="equalisasi"/>
      <sheetName val="ekspor"/>
      <sheetName val="pm"/>
      <sheetName val="RIK.PS.118F"/>
      <sheetName val="RIK. PS.1.18G"/>
      <sheetName val="RIK. PS.1.18 H"/>
      <sheetName val="RIK.PS 1.18I"/>
      <sheetName val="jdl"/>
      <sheetName val="ars brg 2003"/>
      <sheetName val="A"/>
      <sheetName val="Sold"/>
      <sheetName val="表紙"/>
      <sheetName val="KKP A_2_1"/>
      <sheetName val="Drop Down List"/>
      <sheetName val="Type Truck &amp; Ratio"/>
      <sheetName val="Database Ratio"/>
      <sheetName val="DB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WP"/>
      <sheetName val="Lists&amp;Calcs"/>
      <sheetName val="Readme"/>
      <sheetName val="Parameters"/>
      <sheetName val="Permanent info"/>
      <sheetName val="DATA01-08-2004"/>
      <sheetName val="Links"/>
      <sheetName val="LTLGroup"/>
      <sheetName val="Disposal Tanah"/>
      <sheetName val="NY ADMI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COA"/>
      <sheetName val="TB Mapping"/>
      <sheetName val="Cover"/>
      <sheetName val="Content"/>
      <sheetName val="Reimbursement"/>
      <sheetName val="summary"/>
      <sheetName val="Ratio-1A-"/>
      <sheetName val="ROCE-1B- "/>
      <sheetName val="Summary-"/>
      <sheetName val="Summ OS Cons-3-"/>
      <sheetName val="Summ BS Cons-4- "/>
      <sheetName val="Summ RE Cons-5- "/>
      <sheetName val="OS By Comp-CM-6-"/>
      <sheetName val="OS By Overs Comp-CM-6A-"/>
      <sheetName val="OS By Comp-YTD-7-"/>
      <sheetName val="OS By Overs Comp-YTD-7A-"/>
      <sheetName val="BS By Comp-8-"/>
      <sheetName val="BS By Overs Comp-8A-"/>
      <sheetName val="RE By Comp-9-"/>
      <sheetName val="RE By Overs Comp-9A-"/>
      <sheetName val="Detail CF"/>
      <sheetName val="Cashflow Cons MTM-10-"/>
      <sheetName val="CF By Comp CM-11-"/>
      <sheetName val="Sales &amp; GM-Cons-12-"/>
      <sheetName val="Sales &amp; GM-By Comp CM-13-"/>
      <sheetName val="Sales &amp; GM-By Comp YTD-14-"/>
      <sheetName val="Summ Sell Exp-Cons-15-"/>
      <sheetName val="Sell Exp By Comp CM-16-"/>
      <sheetName val="Sell Exp By Comp YTD-17-"/>
      <sheetName val="Summ G&amp;A Exp Cons-18-"/>
      <sheetName val="G&amp;A Exp By Comp CM-19-"/>
      <sheetName val="G&amp;A Exp By Comp YTD-20-"/>
      <sheetName val="Interest Principle MTM-21-"/>
      <sheetName val="Interest Principle by Comp-22-"/>
      <sheetName val="Interest Exp MTM-23-"/>
      <sheetName val="Int Exp By Comp CM-24-"/>
      <sheetName val="Int Exp By Comp YTD-25-"/>
      <sheetName val="Forex Principal MTM -26-"/>
      <sheetName val="Forex Principal-By Comp-27-"/>
      <sheetName val="Forex Exp MTM -28-"/>
      <sheetName val="Forex Exp By Comp CM-29-"/>
      <sheetName val="Forex Exp By Comp YTD-30-"/>
      <sheetName val="Fixed Assets-31-"/>
      <sheetName val="SALES &amp; COGS Internal"/>
      <sheetName val="PURCHASE INTERCOMPANY"/>
      <sheetName val="Disposal"/>
      <sheetName val="Sheet2"/>
      <sheetName val="PVT TB"/>
      <sheetName val="TB-SPS"/>
      <sheetName val="IS-fs"/>
      <sheetName val="DBS"/>
      <sheetName val="BUDGET 2011"/>
      <sheetName val="BUDGET-OS 2012"/>
      <sheetName val="BUDGET-Sales Exp 2012"/>
      <sheetName val="BUDGET-GA Exp 20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>
        <row r="3">
          <cell r="F3">
            <v>41029</v>
          </cell>
          <cell r="G3">
            <v>41060</v>
          </cell>
          <cell r="H3">
            <v>41090</v>
          </cell>
          <cell r="I3">
            <v>41121</v>
          </cell>
          <cell r="J3">
            <v>41152</v>
          </cell>
          <cell r="K3">
            <v>41182</v>
          </cell>
          <cell r="L3">
            <v>41213</v>
          </cell>
          <cell r="M3">
            <v>41243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STER COA"/>
      <sheetName val="TB Mapping"/>
      <sheetName val="Cover"/>
      <sheetName val="Content"/>
      <sheetName val="Reimbursement"/>
      <sheetName val="Ratio-1A-"/>
      <sheetName val="ROCE-1B- "/>
      <sheetName val="Summary-"/>
      <sheetName val="Summ OS Cons-3-"/>
      <sheetName val="Summ BS Cons-4- "/>
      <sheetName val="Summ RE Cons-5- "/>
      <sheetName val="OS By Comp-CM-6-"/>
      <sheetName val="OS By Overs Comp-CM-6A-"/>
      <sheetName val="OS By Comp-YTD-7-"/>
      <sheetName val="OS By Overs Comp-YTD-7A-"/>
      <sheetName val="BS By Comp-8-"/>
      <sheetName val="BS By Overs Comp-8A-"/>
      <sheetName val="RE By Comp-9-"/>
      <sheetName val="RE By Overs Comp-9A-"/>
      <sheetName val="Detail CF"/>
      <sheetName val="Cashflow Cons MTM-10-"/>
      <sheetName val="CF By Comp CM-11-"/>
      <sheetName val="Sales &amp; GM-Cons-12-"/>
      <sheetName val="Sales &amp; GM-By Comp CM-13-"/>
      <sheetName val="Sales &amp; GM-By Comp YTD-14-"/>
      <sheetName val="Summ Sell Exp-Cons-15-"/>
      <sheetName val="Sell Exp By Comp CM-16-"/>
      <sheetName val="Sell Exp By Comp YTD-17-"/>
      <sheetName val="Summ G&amp;A Exp Cons-18-"/>
      <sheetName val="G&amp;A Exp By Comp CM-19-"/>
      <sheetName val="G&amp;A Exp By Comp YTD-20-"/>
      <sheetName val="Interest Principle MTM-21-"/>
      <sheetName val="Interest Principle by Comp-22-"/>
      <sheetName val="Interest Exp MTM-23-"/>
      <sheetName val="Int Exp By Comp CM-24-"/>
      <sheetName val="Int Exp By Comp YTD-25-"/>
      <sheetName val="Forex Principal MTM -26-"/>
      <sheetName val="Forex Principal-By Comp-27-"/>
      <sheetName val="Forex Exp MTM -28-"/>
      <sheetName val="Forex Exp By Comp CM-29-"/>
      <sheetName val="Forex Exp By Comp YTD-30-"/>
      <sheetName val="Fixed Assets-31-"/>
      <sheetName val="SALES &amp; COGS Internal"/>
      <sheetName val="PURCHASE INTERCOMPANY"/>
      <sheetName val="Disposal"/>
      <sheetName val="PVT TB"/>
      <sheetName val="TB-SPS"/>
      <sheetName val="IS-fs"/>
      <sheetName val="DBS"/>
      <sheetName val="Plan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>
        <row r="3">
          <cell r="B3">
            <v>40209</v>
          </cell>
          <cell r="C3">
            <v>40237</v>
          </cell>
        </row>
      </sheetData>
      <sheetData sheetId="22"/>
      <sheetData sheetId="23" refreshError="1">
        <row r="3">
          <cell r="E3">
            <v>40209</v>
          </cell>
          <cell r="F3">
            <v>40237</v>
          </cell>
          <cell r="G3">
            <v>40268</v>
          </cell>
          <cell r="H3">
            <v>40298</v>
          </cell>
          <cell r="I3">
            <v>40329</v>
          </cell>
          <cell r="J3">
            <v>40359</v>
          </cell>
          <cell r="K3">
            <v>40390</v>
          </cell>
          <cell r="L3">
            <v>40421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/>
      <sheetData sheetId="34" refreshError="1">
        <row r="4">
          <cell r="C4">
            <v>40209</v>
          </cell>
          <cell r="D4">
            <v>40237</v>
          </cell>
          <cell r="E4">
            <v>40268</v>
          </cell>
          <cell r="F4">
            <v>40298</v>
          </cell>
          <cell r="G4">
            <v>40329</v>
          </cell>
          <cell r="H4">
            <v>40359</v>
          </cell>
          <cell r="I4">
            <v>40390</v>
          </cell>
          <cell r="J4">
            <v>40421</v>
          </cell>
        </row>
      </sheetData>
      <sheetData sheetId="35"/>
      <sheetData sheetId="36"/>
      <sheetData sheetId="37" refreshError="1">
        <row r="3">
          <cell r="C3">
            <v>40209</v>
          </cell>
          <cell r="D3">
            <v>40237</v>
          </cell>
          <cell r="E3">
            <v>40268</v>
          </cell>
          <cell r="F3">
            <v>40298</v>
          </cell>
          <cell r="G3">
            <v>40329</v>
          </cell>
          <cell r="H3">
            <v>40359</v>
          </cell>
          <cell r="I3">
            <v>40390</v>
          </cell>
          <cell r="J3">
            <v>40421</v>
          </cell>
        </row>
      </sheetData>
      <sheetData sheetId="38"/>
      <sheetData sheetId="39" refreshError="1">
        <row r="3">
          <cell r="C3">
            <v>40209</v>
          </cell>
          <cell r="D3">
            <v>40237</v>
          </cell>
          <cell r="E3">
            <v>40268</v>
          </cell>
          <cell r="F3">
            <v>40298</v>
          </cell>
          <cell r="G3">
            <v>40329</v>
          </cell>
          <cell r="H3">
            <v>40359</v>
          </cell>
          <cell r="I3">
            <v>40390</v>
          </cell>
          <cell r="J3">
            <v>40421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COA"/>
      <sheetName val="TB Mapping"/>
      <sheetName val="Cover"/>
      <sheetName val="Content"/>
      <sheetName val="Reimbursement"/>
      <sheetName val="summary"/>
      <sheetName val="Ratio-1A-"/>
      <sheetName val="ROCE-1B- "/>
      <sheetName val="Summary-"/>
      <sheetName val="Summ OS Cons-3-"/>
      <sheetName val="Summ BS Cons-4- "/>
      <sheetName val="Summ RE Cons-5- "/>
      <sheetName val="OS By Comp-CM-6-"/>
      <sheetName val="OS By Overs Comp-CM-6A-"/>
      <sheetName val="OS By Comp-YTD-7-"/>
      <sheetName val="OS By Overs Comp-YTD-7A-"/>
      <sheetName val="BS By Comp-8-"/>
      <sheetName val="BS By Overs Comp-8A-"/>
      <sheetName val="RE By Comp-9-"/>
      <sheetName val="RE By Overs Comp-9A-"/>
      <sheetName val="Detail CF"/>
      <sheetName val="Cashflow Cons MTM-10-"/>
      <sheetName val="CF By Comp CM-11-"/>
      <sheetName val="Sales &amp; GM-Cons-12-"/>
      <sheetName val="Sales &amp; GM-By Comp CM-13-"/>
      <sheetName val="Sales &amp; GM-By Comp YTD-14-"/>
      <sheetName val="Summ Sell Exp-Cons-15-"/>
      <sheetName val="Sell Exp By Comp CM-16-"/>
      <sheetName val="Sell Exp By Comp YTD-17-"/>
      <sheetName val="Summ G&amp;A Exp Cons-18-"/>
      <sheetName val="G&amp;A Exp By Comp CM-19-"/>
      <sheetName val="G&amp;A Exp By Comp YTD-20-"/>
      <sheetName val="Interest Principle MTM-21-"/>
      <sheetName val="Interest Principle by Comp-22-"/>
      <sheetName val="Interest Exp MTM-23-"/>
      <sheetName val="Int Exp By Comp CM-24-"/>
      <sheetName val="Int Exp By Comp YTD-25-"/>
      <sheetName val="Forex Principal MTM -26-"/>
      <sheetName val="Forex Principal-By Comp-27-"/>
      <sheetName val="Forex Exp MTM -28-"/>
      <sheetName val="Forex Exp By Comp CM-29-"/>
      <sheetName val="Forex Exp By Comp YTD-30-"/>
      <sheetName val="Fixed Assets-31-"/>
      <sheetName val="SALES &amp; COGS Internal"/>
      <sheetName val="PURCHASE INTERCOMPANY"/>
      <sheetName val="Disposal"/>
      <sheetName val="Sheet2"/>
      <sheetName val="PVT TB"/>
      <sheetName val="TB-SPS"/>
      <sheetName val="IS-fs"/>
      <sheetName val="DBS"/>
      <sheetName val="BUDGET 2011"/>
      <sheetName val="BUDGET-OS 2012"/>
      <sheetName val="BUDGET-Sales Exp 2012"/>
      <sheetName val="BUDGET-GA Exp 20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3">
          <cell r="F3">
            <v>41029</v>
          </cell>
          <cell r="G3">
            <v>41060</v>
          </cell>
          <cell r="H3">
            <v>41090</v>
          </cell>
          <cell r="I3">
            <v>41121</v>
          </cell>
          <cell r="J3">
            <v>41152</v>
          </cell>
          <cell r="K3">
            <v>41182</v>
          </cell>
          <cell r="L3">
            <v>41213</v>
          </cell>
          <cell r="M3">
            <v>41243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COA"/>
      <sheetName val="TB Mapping"/>
      <sheetName val="Cover"/>
      <sheetName val="Content"/>
      <sheetName val="Reimbursement"/>
      <sheetName val="Summary"/>
      <sheetName val="Ratio-1A-"/>
      <sheetName val="ROCE-1B- "/>
      <sheetName val="Summary-"/>
      <sheetName val="Summ OS Cons-3-"/>
      <sheetName val="Detail CF"/>
      <sheetName val="Summ BS Cons-4- "/>
      <sheetName val="Summ RE Cons-5- "/>
      <sheetName val="OS By Comp-CM-6-"/>
      <sheetName val="OS By Overs Comp-CM-6A-"/>
      <sheetName val="OS By Comp-YTD-7-"/>
      <sheetName val="OS By Overs Comp-YTD-7A-"/>
      <sheetName val="BS By Comp-8-"/>
      <sheetName val="BS By Overs Comp-8A-"/>
      <sheetName val="RE By Comp-9-"/>
      <sheetName val="RE By Overs Comp-9A-"/>
      <sheetName val="Cashflow Cons MTM-10-"/>
      <sheetName val="CF By Comp CM-11-"/>
      <sheetName val="Sales &amp; GM-Cons-12-"/>
      <sheetName val="Sales &amp; GM-By Comp CM-13-"/>
      <sheetName val="Sales &amp; GM-By Comp YTD-14-"/>
      <sheetName val="Summ Sell Exp-Cons-15-"/>
      <sheetName val="Sell Exp By Comp CM-16-"/>
      <sheetName val="Sell Exp By Comp YTD-17-"/>
      <sheetName val="Summ G&amp;A Exp Cons-18-"/>
      <sheetName val="G&amp;A Exp By Comp CM-19-"/>
      <sheetName val="G&amp;A Exp By Comp YTD-20-"/>
      <sheetName val="Interest Principle MTM-21-"/>
      <sheetName val="Interest Principle by Comp-22-"/>
      <sheetName val="Interest Exp MTM-23-"/>
      <sheetName val="Int Exp By Comp CM-24-"/>
      <sheetName val="Int Exp By Comp YTD-25-"/>
      <sheetName val="Forex Principal MTM -26-"/>
      <sheetName val="Forex Principal-By Comp-27-"/>
      <sheetName val="Forex Exp MTM -28-"/>
      <sheetName val="Forex Exp By Comp CM-29-"/>
      <sheetName val="Forex Exp By Comp YTD-30-"/>
      <sheetName val="Fixed Assets-31-"/>
      <sheetName val="SALES &amp; COGS Internal"/>
      <sheetName val="PURCHASE INTERCOMPANY"/>
      <sheetName val="Disposal"/>
      <sheetName val="Sheet2"/>
      <sheetName val="PVT TB"/>
      <sheetName val="TB-SPS"/>
      <sheetName val="IS-fs(TB FI)"/>
      <sheetName val="DBS"/>
      <sheetName val="BUDGET 2011"/>
      <sheetName val="BUDGET-OS 2013"/>
      <sheetName val="BUDGET-Sales Exp 2013"/>
      <sheetName val="BUDGET-GA Exp 20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D3">
            <v>41364</v>
          </cell>
          <cell r="E3">
            <v>41394</v>
          </cell>
          <cell r="F3">
            <v>41425</v>
          </cell>
          <cell r="G3">
            <v>41455</v>
          </cell>
          <cell r="H3">
            <v>41486</v>
          </cell>
          <cell r="I3">
            <v>41517</v>
          </cell>
          <cell r="K3">
            <v>41578</v>
          </cell>
          <cell r="M3">
            <v>41639</v>
          </cell>
        </row>
      </sheetData>
      <sheetData sheetId="22"/>
      <sheetData sheetId="23">
        <row r="3">
          <cell r="G3">
            <v>41364</v>
          </cell>
          <cell r="H3">
            <v>41394</v>
          </cell>
          <cell r="I3">
            <v>41425</v>
          </cell>
          <cell r="J3">
            <v>41455</v>
          </cell>
          <cell r="K3">
            <v>41486</v>
          </cell>
          <cell r="L3">
            <v>41517</v>
          </cell>
          <cell r="N3">
            <v>41578</v>
          </cell>
          <cell r="P3">
            <v>41639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4">
          <cell r="F4">
            <v>41364</v>
          </cell>
        </row>
      </sheetData>
      <sheetData sheetId="33"/>
      <sheetData sheetId="34">
        <row r="4">
          <cell r="E4">
            <v>41364</v>
          </cell>
          <cell r="F4">
            <v>41394</v>
          </cell>
          <cell r="G4">
            <v>41425</v>
          </cell>
          <cell r="H4">
            <v>41455</v>
          </cell>
          <cell r="I4">
            <v>41486</v>
          </cell>
          <cell r="J4">
            <v>41517</v>
          </cell>
          <cell r="L4">
            <v>41578</v>
          </cell>
          <cell r="N4">
            <v>41639</v>
          </cell>
        </row>
      </sheetData>
      <sheetData sheetId="35"/>
      <sheetData sheetId="36"/>
      <sheetData sheetId="37">
        <row r="3">
          <cell r="E3">
            <v>41364</v>
          </cell>
          <cell r="F3">
            <v>41394</v>
          </cell>
          <cell r="G3">
            <v>41425</v>
          </cell>
          <cell r="H3">
            <v>41455</v>
          </cell>
          <cell r="I3">
            <v>41486</v>
          </cell>
          <cell r="J3">
            <v>41517</v>
          </cell>
          <cell r="L3">
            <v>41578</v>
          </cell>
          <cell r="N3">
            <v>41639</v>
          </cell>
        </row>
      </sheetData>
      <sheetData sheetId="38"/>
      <sheetData sheetId="39">
        <row r="3">
          <cell r="E3">
            <v>41364</v>
          </cell>
          <cell r="N3">
            <v>41639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ORAN"/>
    </sheetNames>
    <sheetDataSet>
      <sheetData sheetId="0" refreshError="1">
        <row r="1">
          <cell r="I1">
            <v>1</v>
          </cell>
          <cell r="J1" t="str">
            <v>PENGHITUNGAN PAJAK TERHUTANG</v>
          </cell>
          <cell r="U1" t="str">
            <v xml:space="preserve">     b. Daftar Pemegang Saham</v>
          </cell>
        </row>
        <row r="2">
          <cell r="U2" t="str">
            <v>No</v>
          </cell>
          <cell r="V2" t="str">
            <v>N a m a</v>
          </cell>
          <cell r="W2" t="str">
            <v>Alamat</v>
          </cell>
          <cell r="X2" t="str">
            <v>Lembar</v>
          </cell>
          <cell r="Y2" t="str">
            <v>%</v>
          </cell>
          <cell r="Z2" t="str">
            <v>Nilai Nominal</v>
          </cell>
          <cell r="AA2" t="str">
            <v>Keterangan</v>
          </cell>
        </row>
        <row r="3">
          <cell r="J3" t="str">
            <v>1.  PPh Pasal 25/29</v>
          </cell>
        </row>
        <row r="4">
          <cell r="U4" t="str">
            <v>---</v>
          </cell>
          <cell r="V4" t="str">
            <v>---</v>
          </cell>
          <cell r="W4" t="str">
            <v>---</v>
          </cell>
          <cell r="X4" t="str">
            <v>---</v>
          </cell>
          <cell r="Y4" t="str">
            <v>---</v>
          </cell>
          <cell r="Z4" t="str">
            <v>---</v>
          </cell>
          <cell r="AA4" t="str">
            <v>---</v>
          </cell>
        </row>
        <row r="5">
          <cell r="J5" t="str">
            <v xml:space="preserve">     Penghasilan Kena Pajak menurut SPT/WP </v>
          </cell>
          <cell r="R5" t="str">
            <v>Rp.</v>
          </cell>
          <cell r="S5" t="str">
            <v>---</v>
          </cell>
        </row>
        <row r="6">
          <cell r="J6" t="str">
            <v xml:space="preserve">     Koreksi Penghasilan Kena Pajak menurut pemeriksa</v>
          </cell>
          <cell r="R6" t="str">
            <v>Rp.</v>
          </cell>
          <cell r="S6" t="str">
            <v>---</v>
          </cell>
        </row>
        <row r="7">
          <cell r="J7" t="str">
            <v xml:space="preserve">     Penghasilan Kena Pajak menurut Pemeriksaan</v>
          </cell>
          <cell r="R7" t="str">
            <v>Rp.</v>
          </cell>
          <cell r="S7">
            <v>0</v>
          </cell>
        </row>
        <row r="8">
          <cell r="J8" t="str">
            <v xml:space="preserve">     Pengenaan Pajak(tarif Ps.17 UU PPh 1983) :</v>
          </cell>
        </row>
        <row r="9">
          <cell r="J9" t="str">
            <v xml:space="preserve">      - 15 %</v>
          </cell>
          <cell r="K9" t="str">
            <v>X Rp.</v>
          </cell>
          <cell r="M9">
            <v>0</v>
          </cell>
          <cell r="N9" t="str">
            <v>=</v>
          </cell>
          <cell r="O9" t="str">
            <v>Rp.</v>
          </cell>
          <cell r="P9">
            <v>0</v>
          </cell>
        </row>
        <row r="10">
          <cell r="J10" t="str">
            <v xml:space="preserve">      - 25 % </v>
          </cell>
          <cell r="K10" t="str">
            <v>X Rp.</v>
          </cell>
          <cell r="M10">
            <v>0</v>
          </cell>
          <cell r="N10" t="str">
            <v>=</v>
          </cell>
          <cell r="O10" t="str">
            <v>Rp.</v>
          </cell>
          <cell r="P10">
            <v>0</v>
          </cell>
        </row>
        <row r="11">
          <cell r="I11" t="str">
            <v>PRIN-030/WPJ.12/KP.0305/1999</v>
          </cell>
          <cell r="J11" t="str">
            <v xml:space="preserve">      - 35 % </v>
          </cell>
          <cell r="K11" t="str">
            <v>X Rp.</v>
          </cell>
          <cell r="M11">
            <v>0</v>
          </cell>
          <cell r="N11" t="str">
            <v>=</v>
          </cell>
          <cell r="O11" t="str">
            <v>Rp.</v>
          </cell>
          <cell r="P11">
            <v>0</v>
          </cell>
        </row>
        <row r="12">
          <cell r="I12" t="str">
            <v>14 Juni 1999</v>
          </cell>
          <cell r="J12" t="str">
            <v xml:space="preserve">     Jumlah Pajak Terhutang</v>
          </cell>
          <cell r="R12" t="str">
            <v>Rp.</v>
          </cell>
          <cell r="S12">
            <v>0</v>
          </cell>
        </row>
        <row r="13">
          <cell r="J13" t="str">
            <v xml:space="preserve">     Kredit Pajak </v>
          </cell>
          <cell r="R13" t="str">
            <v>Rp.</v>
          </cell>
        </row>
        <row r="14">
          <cell r="J14" t="str">
            <v xml:space="preserve">     PPh kurang ( lebih )  bayar</v>
          </cell>
          <cell r="S14">
            <v>0</v>
          </cell>
        </row>
        <row r="15">
          <cell r="I15" t="str">
            <v>Kepala Seksi PPh Badan</v>
          </cell>
          <cell r="J15" t="str">
            <v xml:space="preserve">     Sanksi bunga :            </v>
          </cell>
          <cell r="U15" t="str">
            <v>14. Pengurus</v>
          </cell>
        </row>
        <row r="16">
          <cell r="I16" t="str">
            <v>Sukardi Koesyono/060050665</v>
          </cell>
          <cell r="J16" t="str">
            <v xml:space="preserve">     - Ps.13 (2) UU No.6 Tahun 1983 :</v>
          </cell>
          <cell r="U16" t="str">
            <v xml:space="preserve">      a. Dewan Direksi</v>
          </cell>
        </row>
        <row r="17">
          <cell r="I17" t="str">
            <v>Sukardi / 060074497</v>
          </cell>
          <cell r="J17" t="str">
            <v xml:space="preserve">          2  %  X  </v>
          </cell>
          <cell r="L17">
            <v>24</v>
          </cell>
          <cell r="M17" t="str">
            <v>bulan  X</v>
          </cell>
          <cell r="O17" t="str">
            <v>Rp.</v>
          </cell>
          <cell r="P17">
            <v>0</v>
          </cell>
          <cell r="R17" t="str">
            <v>Rp.</v>
          </cell>
          <cell r="S17">
            <v>0</v>
          </cell>
          <cell r="U17" t="str">
            <v>No</v>
          </cell>
          <cell r="V17" t="str">
            <v>N a m a</v>
          </cell>
          <cell r="W17" t="str">
            <v>Jabatan</v>
          </cell>
          <cell r="Y17" t="str">
            <v>A l a m a t</v>
          </cell>
          <cell r="AA17" t="str">
            <v>Keterangan</v>
          </cell>
        </row>
        <row r="18">
          <cell r="I18" t="str">
            <v>Baiguni / 060080342</v>
          </cell>
          <cell r="J18" t="str">
            <v xml:space="preserve">     - Ps.13 (3) UU No.6 Tahun 1983 :</v>
          </cell>
        </row>
        <row r="19">
          <cell r="J19" t="str">
            <v xml:space="preserve">              %  X</v>
          </cell>
          <cell r="L19" t="str">
            <v>Rp.</v>
          </cell>
          <cell r="R19" t="str">
            <v>Rp</v>
          </cell>
          <cell r="S19">
            <v>0</v>
          </cell>
        </row>
        <row r="20">
          <cell r="I20" t="str">
            <v>1998</v>
          </cell>
          <cell r="J20" t="str">
            <v xml:space="preserve">    PPh yang masih harus dibayar </v>
          </cell>
          <cell r="R20" t="str">
            <v>Rp</v>
          </cell>
          <cell r="S20">
            <v>0</v>
          </cell>
          <cell r="U20" t="str">
            <v>---</v>
          </cell>
          <cell r="V20" t="str">
            <v>---</v>
          </cell>
          <cell r="W20" t="str">
            <v>---</v>
          </cell>
          <cell r="X20" t="str">
            <v>---</v>
          </cell>
          <cell r="AA20" t="str">
            <v>---</v>
          </cell>
        </row>
        <row r="22">
          <cell r="J22" t="str">
            <v>2. PPh Pasal 21</v>
          </cell>
          <cell r="N22" t="str">
            <v/>
          </cell>
        </row>
        <row r="24">
          <cell r="J24" t="str">
            <v xml:space="preserve">     PPh Pasal 21 Tahun 1991 menurut SPT tahun 1991</v>
          </cell>
          <cell r="R24" t="str">
            <v>Rp.</v>
          </cell>
          <cell r="S24">
            <v>0</v>
          </cell>
        </row>
        <row r="25">
          <cell r="J25" t="str">
            <v xml:space="preserve">     Koreksi PPh Pasal 21 menurut Pemeriksa (lampiran)</v>
          </cell>
          <cell r="R25" t="str">
            <v>Rp.</v>
          </cell>
          <cell r="S25">
            <v>0</v>
          </cell>
        </row>
        <row r="26">
          <cell r="J26" t="str">
            <v xml:space="preserve">     PPh Pasal 21 yang terhutang</v>
          </cell>
          <cell r="R26" t="str">
            <v>Rp.</v>
          </cell>
          <cell r="S26">
            <v>0</v>
          </cell>
        </row>
        <row r="27">
          <cell r="J27" t="str">
            <v xml:space="preserve">     PPh Pasal 21 yang dibayar</v>
          </cell>
          <cell r="R27" t="str">
            <v>Rp.</v>
          </cell>
          <cell r="S27">
            <v>0</v>
          </cell>
        </row>
        <row r="28">
          <cell r="J28" t="str">
            <v xml:space="preserve">     PPh Pasal 21 kurang bayar</v>
          </cell>
          <cell r="R28" t="str">
            <v>Rp.</v>
          </cell>
          <cell r="S28">
            <v>0</v>
          </cell>
        </row>
        <row r="29">
          <cell r="J29" t="str">
            <v xml:space="preserve">     Sanksi bunga/kenaikan :</v>
          </cell>
          <cell r="R29" t="str">
            <v/>
          </cell>
          <cell r="V29" t="str">
            <v xml:space="preserve">   b.Komisaris .</v>
          </cell>
        </row>
        <row r="30">
          <cell r="J30" t="str">
            <v>Tgl. Surat</v>
          </cell>
          <cell r="K30" t="str">
            <v>Tgl. Jatuh Tempo</v>
          </cell>
          <cell r="N30" t="str">
            <v>Keterangan</v>
          </cell>
          <cell r="U30" t="str">
            <v>No</v>
          </cell>
          <cell r="V30" t="str">
            <v>N a m a</v>
          </cell>
          <cell r="W30" t="str">
            <v>Jabatan</v>
          </cell>
          <cell r="Y30" t="str">
            <v>A l a m a t</v>
          </cell>
          <cell r="AA30" t="str">
            <v xml:space="preserve">        Keterangan</v>
          </cell>
        </row>
        <row r="31">
          <cell r="J31" t="str">
            <v xml:space="preserve">          2  %  X  </v>
          </cell>
          <cell r="K31" t="str">
            <v>X</v>
          </cell>
          <cell r="L31">
            <v>24</v>
          </cell>
          <cell r="M31" t="str">
            <v>bulan</v>
          </cell>
          <cell r="N31" t="str">
            <v>X</v>
          </cell>
          <cell r="O31" t="str">
            <v>Rp</v>
          </cell>
          <cell r="P31">
            <v>0</v>
          </cell>
          <cell r="R31" t="str">
            <v>Rp.</v>
          </cell>
          <cell r="S31">
            <v>0</v>
          </cell>
        </row>
        <row r="32">
          <cell r="J32" t="str">
            <v xml:space="preserve">     - Ps.13 (3) UU No.6 Tahun 1983 :</v>
          </cell>
        </row>
        <row r="33">
          <cell r="J33" t="str">
            <v xml:space="preserve">              %  X</v>
          </cell>
          <cell r="L33" t="str">
            <v>Rp.</v>
          </cell>
          <cell r="R33" t="str">
            <v>Rp.</v>
          </cell>
          <cell r="S33">
            <v>0</v>
          </cell>
          <cell r="U33" t="str">
            <v>---</v>
          </cell>
          <cell r="V33" t="str">
            <v>---</v>
          </cell>
          <cell r="W33" t="str">
            <v>---</v>
          </cell>
          <cell r="X33" t="str">
            <v>---</v>
          </cell>
          <cell r="AA33" t="str">
            <v>---</v>
          </cell>
        </row>
        <row r="34">
          <cell r="J34" t="str">
            <v/>
          </cell>
          <cell r="R34" t="str">
            <v/>
          </cell>
          <cell r="S34" t="str">
            <v/>
          </cell>
        </row>
        <row r="35">
          <cell r="J35" t="str">
            <v xml:space="preserve">    PPh Pasal 21 yang masih harus dibayar</v>
          </cell>
          <cell r="R35" t="str">
            <v>Rp.</v>
          </cell>
          <cell r="S35">
            <v>0</v>
          </cell>
        </row>
        <row r="37">
          <cell r="J37" t="str">
            <v xml:space="preserve">3. PPh Pasal 23 </v>
          </cell>
        </row>
        <row r="39">
          <cell r="J39" t="str">
            <v xml:space="preserve">    Dasar Pengenaan Pajak</v>
          </cell>
          <cell r="R39" t="str">
            <v>Rp.</v>
          </cell>
          <cell r="S39">
            <v>1950000</v>
          </cell>
        </row>
        <row r="40">
          <cell r="J40" t="str">
            <v xml:space="preserve">    Tarif PPh Pasal 23</v>
          </cell>
        </row>
        <row r="41">
          <cell r="J41" t="str">
            <v xml:space="preserve">      - 15 %</v>
          </cell>
          <cell r="K41" t="str">
            <v>X Rp.</v>
          </cell>
          <cell r="R41" t="str">
            <v>Rp.</v>
          </cell>
          <cell r="S41">
            <v>292500.00000000006</v>
          </cell>
        </row>
        <row r="42">
          <cell r="J42" t="str">
            <v xml:space="preserve">    PPh Pasal 23 yang dibayar</v>
          </cell>
          <cell r="R42" t="str">
            <v>Rp.</v>
          </cell>
          <cell r="S42">
            <v>0</v>
          </cell>
        </row>
        <row r="43">
          <cell r="J43" t="str">
            <v xml:space="preserve">    PPh Pasal 23 kurang bayar</v>
          </cell>
          <cell r="R43" t="str">
            <v>Rp.</v>
          </cell>
          <cell r="S43">
            <v>292500.00000000006</v>
          </cell>
          <cell r="U43" t="str">
            <v xml:space="preserve">15. </v>
          </cell>
          <cell r="V43" t="str">
            <v>Investasi jangka panjang dalam bentuk saham</v>
          </cell>
        </row>
        <row r="44">
          <cell r="J44" t="str">
            <v xml:space="preserve">    Sanksi bunga/kenaikan :</v>
          </cell>
        </row>
        <row r="45">
          <cell r="J45" t="str">
            <v xml:space="preserve">     - Ps.13 (2) UU No.6 Tahun 1983 :</v>
          </cell>
          <cell r="U45" t="str">
            <v>No</v>
          </cell>
          <cell r="V45" t="str">
            <v>Nama Perusahaan</v>
          </cell>
          <cell r="W45" t="str">
            <v xml:space="preserve">  Alamat</v>
          </cell>
          <cell r="X45" t="str">
            <v>Lembar</v>
          </cell>
          <cell r="Z45" t="str">
            <v xml:space="preserve">   Nilai</v>
          </cell>
          <cell r="AA45" t="str">
            <v>Besarnya</v>
          </cell>
          <cell r="AB45" t="str">
            <v>Ket.</v>
          </cell>
        </row>
        <row r="46">
          <cell r="J46" t="str">
            <v xml:space="preserve">          2  %  X  </v>
          </cell>
          <cell r="K46">
            <v>24</v>
          </cell>
          <cell r="L46" t="str">
            <v>bulan</v>
          </cell>
          <cell r="M46" t="str">
            <v>X</v>
          </cell>
          <cell r="O46" t="str">
            <v>Rp.</v>
          </cell>
          <cell r="P46">
            <v>292500.00000000006</v>
          </cell>
          <cell r="R46" t="str">
            <v>Rp.</v>
          </cell>
          <cell r="S46">
            <v>140400.00000000003</v>
          </cell>
          <cell r="X46" t="str">
            <v>Saham</v>
          </cell>
          <cell r="Z46" t="str">
            <v>Nominal</v>
          </cell>
          <cell r="AA46" t="str">
            <v>Pemilikan</v>
          </cell>
        </row>
        <row r="47">
          <cell r="I47" t="str">
            <v>PT  UNITED INDOHADA</v>
          </cell>
          <cell r="J47" t="str">
            <v xml:space="preserve">     - Ps.13 (3) UU No.6 Tahun 1983 :</v>
          </cell>
          <cell r="R47" t="str">
            <v/>
          </cell>
        </row>
        <row r="48">
          <cell r="I48" t="str">
            <v>1.526.870.9-611</v>
          </cell>
          <cell r="J48" t="str">
            <v xml:space="preserve">              %  X</v>
          </cell>
          <cell r="L48" t="str">
            <v>Rp.</v>
          </cell>
          <cell r="R48" t="str">
            <v>Rp.</v>
          </cell>
          <cell r="S48">
            <v>0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Z48" t="str">
            <v xml:space="preserve">  -</v>
          </cell>
          <cell r="AA48" t="str">
            <v>-</v>
          </cell>
          <cell r="AB48" t="str">
            <v>-</v>
          </cell>
        </row>
        <row r="49">
          <cell r="I49" t="str">
            <v>1.526.870.9-611</v>
          </cell>
          <cell r="J49" t="str">
            <v/>
          </cell>
          <cell r="K49" t="str">
            <v>Tgl,</v>
          </cell>
          <cell r="L49" t="str">
            <v>18 Januari 1991</v>
          </cell>
          <cell r="Q49" t="str">
            <v/>
          </cell>
          <cell r="S49" t="str">
            <v/>
          </cell>
        </row>
        <row r="50">
          <cell r="I50" t="str">
            <v>Perseroan Terbatas</v>
          </cell>
          <cell r="J50" t="str">
            <v xml:space="preserve">    PPh Pasal 23 yang masih harus dibayar</v>
          </cell>
          <cell r="R50" t="str">
            <v>Rp.</v>
          </cell>
          <cell r="S50">
            <v>432900.00000000012</v>
          </cell>
        </row>
        <row r="51">
          <cell r="P51" t="str">
            <v/>
          </cell>
        </row>
        <row r="52">
          <cell r="I52" t="str">
            <v>Jalan Undaan Wetan   50  Surabaya</v>
          </cell>
        </row>
        <row r="53">
          <cell r="I53" t="str">
            <v>5345600</v>
          </cell>
        </row>
        <row r="54">
          <cell r="I54" t="str">
            <v>-</v>
          </cell>
          <cell r="X54" t="str">
            <v xml:space="preserve"> - 2 -</v>
          </cell>
        </row>
        <row r="55">
          <cell r="I55" t="str">
            <v>-</v>
          </cell>
          <cell r="O55" t="str">
            <v>- 11 -</v>
          </cell>
        </row>
        <row r="56">
          <cell r="I56" t="str">
            <v>-</v>
          </cell>
        </row>
        <row r="169">
          <cell r="J169" t="str">
            <v xml:space="preserve"> 6. P B B</v>
          </cell>
        </row>
        <row r="171">
          <cell r="P171" t="str">
            <v>TANAH</v>
          </cell>
          <cell r="S171" t="str">
            <v>BANGUNAN</v>
          </cell>
        </row>
        <row r="172">
          <cell r="I172" t="str">
            <v>x</v>
          </cell>
          <cell r="J172" t="str">
            <v xml:space="preserve"> Dilaksanakan sendiri</v>
          </cell>
        </row>
        <row r="173">
          <cell r="J173" t="str">
            <v xml:space="preserve">    Luas Obyek Pajak menurut SPOP/WP</v>
          </cell>
          <cell r="P173">
            <v>0</v>
          </cell>
          <cell r="S173">
            <v>0</v>
          </cell>
        </row>
        <row r="174">
          <cell r="I174">
            <v>0</v>
          </cell>
          <cell r="J174" t="str">
            <v xml:space="preserve"> Konsultan Pajak           :</v>
          </cell>
          <cell r="P174">
            <v>0</v>
          </cell>
          <cell r="S174">
            <v>0</v>
          </cell>
        </row>
        <row r="175">
          <cell r="J175" t="str">
            <v xml:space="preserve"> Nama Kantor                 :</v>
          </cell>
          <cell r="P175">
            <v>0</v>
          </cell>
          <cell r="S175">
            <v>0</v>
          </cell>
        </row>
        <row r="176">
          <cell r="J176" t="str">
            <v xml:space="preserve"> Nama Konsultan Pajak :</v>
          </cell>
        </row>
        <row r="177">
          <cell r="J177" t="str">
            <v xml:space="preserve"> No. Surat Izin Kerja        : </v>
          </cell>
          <cell r="O177" t="str">
            <v>Rp.</v>
          </cell>
          <cell r="P177">
            <v>0</v>
          </cell>
          <cell r="R177" t="str">
            <v>Rp.</v>
          </cell>
          <cell r="S177">
            <v>0</v>
          </cell>
        </row>
        <row r="178">
          <cell r="J178" t="str">
            <v xml:space="preserve">    NJOP Menurut Pemeriksaan</v>
          </cell>
          <cell r="O178" t="str">
            <v>Rp.</v>
          </cell>
          <cell r="P178">
            <v>0</v>
          </cell>
          <cell r="R178" t="str">
            <v>Rp.</v>
          </cell>
          <cell r="S178">
            <v>0</v>
          </cell>
        </row>
        <row r="179">
          <cell r="J179" t="str">
            <v xml:space="preserve">    Koreksi</v>
          </cell>
          <cell r="O179" t="str">
            <v>Rp.</v>
          </cell>
          <cell r="P179">
            <v>0</v>
          </cell>
          <cell r="R179" t="str">
            <v>Rp.</v>
          </cell>
          <cell r="S179">
            <v>0</v>
          </cell>
        </row>
        <row r="180">
          <cell r="J180" t="str">
            <v xml:space="preserve">    PBB Terhutang menurut SPOP</v>
          </cell>
          <cell r="R180" t="str">
            <v>Rp.</v>
          </cell>
          <cell r="S180">
            <v>0</v>
          </cell>
        </row>
        <row r="181">
          <cell r="I181" t="str">
            <v>x</v>
          </cell>
          <cell r="J181" t="str">
            <v xml:space="preserve"> Tepat waktu</v>
          </cell>
          <cell r="L181" t="str">
            <v>tgl. 23 Maret 1999</v>
          </cell>
          <cell r="R181" t="str">
            <v>Rp.</v>
          </cell>
          <cell r="S181">
            <v>0</v>
          </cell>
        </row>
        <row r="182">
          <cell r="I182" t="str">
            <v>-</v>
          </cell>
          <cell r="J182" t="str">
            <v xml:space="preserve"> Tidak tepat waktu tgl. </v>
          </cell>
          <cell r="R182" t="str">
            <v>Rp.</v>
          </cell>
          <cell r="S182">
            <v>0</v>
          </cell>
        </row>
        <row r="183">
          <cell r="I183" t="str">
            <v>-</v>
          </cell>
          <cell r="J183" t="str">
            <v xml:space="preserve"> Tidak disampaikan </v>
          </cell>
          <cell r="R183" t="str">
            <v>Rp.</v>
          </cell>
          <cell r="S183">
            <v>0</v>
          </cell>
        </row>
        <row r="184">
          <cell r="J184" t="str">
            <v xml:space="preserve">    Denda Administrasi ps.11(3) UU.12/85</v>
          </cell>
          <cell r="R184" t="str">
            <v>Rp.</v>
          </cell>
          <cell r="S184">
            <v>0</v>
          </cell>
        </row>
        <row r="185">
          <cell r="I185" t="str">
            <v>x</v>
          </cell>
          <cell r="J185" t="str">
            <v xml:space="preserve"> Tepat waktu</v>
          </cell>
          <cell r="L185" t="str">
            <v>tgl. 23 Maret 1999</v>
          </cell>
          <cell r="R185" t="str">
            <v>Rp.</v>
          </cell>
          <cell r="S185">
            <v>0</v>
          </cell>
        </row>
        <row r="186">
          <cell r="I186" t="str">
            <v>-</v>
          </cell>
          <cell r="J186" t="str">
            <v xml:space="preserve"> Tidak tepat waktu tgl. </v>
          </cell>
        </row>
        <row r="187">
          <cell r="I187" t="str">
            <v>-</v>
          </cell>
          <cell r="J187" t="str">
            <v xml:space="preserve"> Tidak disampaikan </v>
          </cell>
        </row>
        <row r="190">
          <cell r="I190" t="str">
            <v>-</v>
          </cell>
          <cell r="J190" t="str">
            <v xml:space="preserve"> Tepat waktu</v>
          </cell>
          <cell r="L190" t="str">
            <v/>
          </cell>
          <cell r="M190" t="str">
            <v>bulan</v>
          </cell>
        </row>
        <row r="191">
          <cell r="I191" t="str">
            <v>x</v>
          </cell>
          <cell r="J191" t="str">
            <v xml:space="preserve"> Tidak tepat waktu</v>
          </cell>
          <cell r="L191">
            <v>12</v>
          </cell>
          <cell r="M191" t="str">
            <v>bulan</v>
          </cell>
        </row>
        <row r="192">
          <cell r="I192" t="str">
            <v>-</v>
          </cell>
          <cell r="J192" t="str">
            <v xml:space="preserve"> Tidak disampaikan</v>
          </cell>
          <cell r="M192" t="str">
            <v>bulan</v>
          </cell>
        </row>
        <row r="194">
          <cell r="I194" t="str">
            <v>-</v>
          </cell>
          <cell r="J194" t="str">
            <v xml:space="preserve"> Tepat waktu</v>
          </cell>
          <cell r="L194" t="str">
            <v/>
          </cell>
          <cell r="M194" t="str">
            <v>bulan</v>
          </cell>
        </row>
        <row r="195">
          <cell r="I195" t="str">
            <v>-</v>
          </cell>
          <cell r="J195" t="str">
            <v xml:space="preserve"> Tidak tepat waktu</v>
          </cell>
          <cell r="L195" t="str">
            <v/>
          </cell>
          <cell r="M195" t="str">
            <v>bulan</v>
          </cell>
        </row>
        <row r="196">
          <cell r="I196" t="str">
            <v>-</v>
          </cell>
          <cell r="J196" t="str">
            <v xml:space="preserve"> Tidak disampaikan</v>
          </cell>
          <cell r="M196" t="str">
            <v>bulan</v>
          </cell>
        </row>
        <row r="198">
          <cell r="I198" t="str">
            <v>x</v>
          </cell>
          <cell r="J198" t="str">
            <v xml:space="preserve"> Tepat waktu</v>
          </cell>
          <cell r="L198">
            <v>12</v>
          </cell>
          <cell r="M198" t="str">
            <v>bulan</v>
          </cell>
        </row>
        <row r="199">
          <cell r="I199" t="str">
            <v>-</v>
          </cell>
          <cell r="J199" t="str">
            <v xml:space="preserve"> Tidak tepat waktu</v>
          </cell>
          <cell r="L199" t="str">
            <v>00</v>
          </cell>
          <cell r="M199" t="str">
            <v>bulan</v>
          </cell>
        </row>
        <row r="200">
          <cell r="I200" t="str">
            <v>-</v>
          </cell>
          <cell r="J200" t="str">
            <v xml:space="preserve"> Tidak disampaikan</v>
          </cell>
          <cell r="M200" t="str">
            <v>bulan</v>
          </cell>
        </row>
        <row r="206">
          <cell r="I206" t="str">
            <v>x</v>
          </cell>
          <cell r="J206" t="str">
            <v xml:space="preserve"> Tepat waktu</v>
          </cell>
          <cell r="L206">
            <v>12</v>
          </cell>
          <cell r="M206" t="str">
            <v>bulan</v>
          </cell>
        </row>
        <row r="207">
          <cell r="I207" t="str">
            <v>-</v>
          </cell>
          <cell r="J207" t="str">
            <v xml:space="preserve"> Tidak tepat waktu</v>
          </cell>
          <cell r="L207" t="str">
            <v>00</v>
          </cell>
          <cell r="M207" t="str">
            <v>bulan</v>
          </cell>
        </row>
        <row r="208">
          <cell r="J208" t="str">
            <v xml:space="preserve"> Tidak disampaikan</v>
          </cell>
        </row>
        <row r="210">
          <cell r="I210" t="str">
            <v>-</v>
          </cell>
          <cell r="J210" t="str">
            <v xml:space="preserve"> Tepat waktu</v>
          </cell>
          <cell r="L210" t="str">
            <v>00</v>
          </cell>
          <cell r="M210" t="str">
            <v>bulan</v>
          </cell>
        </row>
        <row r="211">
          <cell r="I211" t="str">
            <v>x</v>
          </cell>
          <cell r="J211" t="str">
            <v xml:space="preserve"> Tidak tepat waktu</v>
          </cell>
          <cell r="L211">
            <v>12</v>
          </cell>
          <cell r="M211" t="str">
            <v>bulan</v>
          </cell>
        </row>
        <row r="212">
          <cell r="J212" t="str">
            <v xml:space="preserve"> Tidak disampaikan</v>
          </cell>
        </row>
        <row r="214">
          <cell r="I214" t="str">
            <v>-</v>
          </cell>
          <cell r="J214" t="str">
            <v xml:space="preserve"> Tepat waktu</v>
          </cell>
          <cell r="L214" t="str">
            <v>00</v>
          </cell>
          <cell r="M214" t="str">
            <v>bulan</v>
          </cell>
        </row>
        <row r="215">
          <cell r="I215" t="str">
            <v>-</v>
          </cell>
          <cell r="J215" t="str">
            <v xml:space="preserve"> Tidak tepat waktu</v>
          </cell>
          <cell r="L215" t="str">
            <v>00</v>
          </cell>
          <cell r="M215" t="str">
            <v>bulan</v>
          </cell>
        </row>
        <row r="216">
          <cell r="J216" t="str">
            <v xml:space="preserve"> Tidak disampaikan</v>
          </cell>
        </row>
        <row r="218">
          <cell r="I218" t="str">
            <v>-</v>
          </cell>
          <cell r="J218" t="str">
            <v xml:space="preserve"> Tepat waktu</v>
          </cell>
          <cell r="L218" t="str">
            <v>00</v>
          </cell>
          <cell r="M218" t="str">
            <v>bulan</v>
          </cell>
        </row>
        <row r="219">
          <cell r="I219" t="str">
            <v>-</v>
          </cell>
          <cell r="J219" t="str">
            <v xml:space="preserve"> Tidak tepat waktu</v>
          </cell>
          <cell r="L219" t="str">
            <v>00</v>
          </cell>
          <cell r="M219" t="str">
            <v>bulan</v>
          </cell>
        </row>
        <row r="220">
          <cell r="J220" t="str">
            <v xml:space="preserve"> Tidak disampaikan</v>
          </cell>
        </row>
        <row r="222">
          <cell r="I222" t="str">
            <v>-</v>
          </cell>
          <cell r="J222" t="str">
            <v xml:space="preserve"> Tepat waktu</v>
          </cell>
          <cell r="L222" t="str">
            <v>00</v>
          </cell>
          <cell r="M222" t="str">
            <v>bulan</v>
          </cell>
        </row>
        <row r="223">
          <cell r="I223" t="str">
            <v>-</v>
          </cell>
          <cell r="J223" t="str">
            <v xml:space="preserve"> Tidak tepat waktu</v>
          </cell>
          <cell r="L223" t="str">
            <v>00</v>
          </cell>
          <cell r="M223" t="str">
            <v>bulan</v>
          </cell>
          <cell r="O223" t="str">
            <v>- 13 a -</v>
          </cell>
        </row>
        <row r="224">
          <cell r="J224" t="str">
            <v xml:space="preserve"> Tidak disampaikan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WP"/>
      <sheetName val="Lists&amp;Calcs"/>
      <sheetName val="Readme"/>
      <sheetName val="Parameters"/>
      <sheetName val="Permanent info"/>
      <sheetName val="DATA01-08-2004"/>
      <sheetName val="Links"/>
      <sheetName val="LTLGroup"/>
      <sheetName val="Disposal Tanah"/>
      <sheetName val="NY ADMI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COA"/>
      <sheetName val="TB Mapping"/>
      <sheetName val="Cover"/>
      <sheetName val="Content"/>
      <sheetName val="Reimbursement"/>
      <sheetName val="summary"/>
      <sheetName val="Ratio-1A-"/>
      <sheetName val="ROCE-1B- "/>
      <sheetName val="Summary-"/>
      <sheetName val="Summ OS Cons-3-"/>
      <sheetName val="Summ BS Cons-4- "/>
      <sheetName val="Summ RE Cons-5- "/>
      <sheetName val="OS By Comp-CM-6-"/>
      <sheetName val="OS By Overs Comp-CM-6A-"/>
      <sheetName val="OS By Comp-YTD-7-"/>
      <sheetName val="OS By Overs Comp-YTD-7A-"/>
      <sheetName val="BS By Comp-8-"/>
      <sheetName val="BS By Overs Comp-8A-"/>
      <sheetName val="RE By Comp-9-"/>
      <sheetName val="RE By Overs Comp-9A-"/>
      <sheetName val="Detail CF"/>
      <sheetName val="Cashflow Cons MTM-10-"/>
      <sheetName val="CF By Comp CM-11-"/>
      <sheetName val="Sales &amp; GM-Cons-12-"/>
      <sheetName val="Sales &amp; GM-By Comp CM-13-"/>
      <sheetName val="Sales &amp; GM-By Comp YTD-14-"/>
      <sheetName val="Summ Sell Exp-Cons-15-"/>
      <sheetName val="Sell Exp By Comp CM-16-"/>
      <sheetName val="Sell Exp By Comp YTD-17-"/>
      <sheetName val="Summ G&amp;A Exp Cons-18-"/>
      <sheetName val="G&amp;A Exp By Comp CM-19-"/>
      <sheetName val="G&amp;A Exp By Comp YTD-20-"/>
      <sheetName val="Interest Principle MTM-21-"/>
      <sheetName val="Interest Principle by Comp-22-"/>
      <sheetName val="Interest Exp MTM-23-"/>
      <sheetName val="Int Exp By Comp CM-24-"/>
      <sheetName val="Int Exp By Comp YTD-25-"/>
      <sheetName val="Forex Principal MTM -26-"/>
      <sheetName val="Forex Principal-By Comp-27-"/>
      <sheetName val="Forex Exp MTM -28-"/>
      <sheetName val="Forex Exp By Comp CM-29-"/>
      <sheetName val="Forex Exp By Comp YTD-30-"/>
      <sheetName val="Fixed Assets-31-"/>
      <sheetName val="SALES &amp; COGS Internal"/>
      <sheetName val="PURCHASE INTERCOMPANY"/>
      <sheetName val="Disposal"/>
      <sheetName val="Sheet2"/>
      <sheetName val="PVT TB"/>
      <sheetName val="TB-SPS"/>
      <sheetName val="IS-fs"/>
      <sheetName val="DBS"/>
      <sheetName val="BUDGET 2011"/>
      <sheetName val="BUDGET-OS 2012"/>
      <sheetName val="BUDGET-Sales Exp 2012"/>
      <sheetName val="BUDGET-GA Exp 20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3">
          <cell r="F3">
            <v>41029</v>
          </cell>
          <cell r="G3">
            <v>41060</v>
          </cell>
          <cell r="H3">
            <v>41090</v>
          </cell>
          <cell r="I3">
            <v>41121</v>
          </cell>
          <cell r="J3">
            <v>41152</v>
          </cell>
          <cell r="K3">
            <v>41182</v>
          </cell>
          <cell r="L3">
            <v>41213</v>
          </cell>
          <cell r="M3">
            <v>41243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Database Rat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Rincian"/>
      <sheetName val="NY ADMI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Projection"/>
      <sheetName val="Summ OS Cons-3-"/>
      <sheetName val="Projection balance sheet"/>
      <sheetName val="CF dari  projection P&amp;L &amp; BS "/>
      <sheetName val="Detail CF"/>
      <sheetName val="Summ Sell Exp-Cons-15-"/>
      <sheetName val="Sell Exp By Comp CM-16-"/>
      <sheetName val="Sell Exp By Comp YTD-17-"/>
      <sheetName val="Summ G&amp;A Exp Cons-18-"/>
      <sheetName val="G&amp;A Exp By Comp CM-19-"/>
      <sheetName val="G&amp;A Exp By Comp YTD-20-"/>
      <sheetName val="Interest Principle MTM-21-"/>
      <sheetName val="Interest Principle by Comp-22-"/>
      <sheetName val="Interest Exp MTM-23-"/>
      <sheetName val="Int Exp By Comp CM-24-"/>
      <sheetName val="Int Exp By Comp YTD-25-"/>
      <sheetName val="Forex Principal MTM -26-"/>
      <sheetName val="Forex Principal-By Comp-27-"/>
      <sheetName val="Forex Exp MTM -28-"/>
      <sheetName val="Forex Exp By Comp CM-29-"/>
      <sheetName val="Forex Exp By Comp YTD-30-"/>
      <sheetName val="Fixed Assets-31-"/>
      <sheetName val="SALES &amp; COGS Internal"/>
      <sheetName val="PURCHASE INTERCOMPANY"/>
      <sheetName val="Disposal"/>
      <sheetName val="Sheet2"/>
      <sheetName val="PVT TB"/>
      <sheetName val="TB-SPS"/>
      <sheetName val="IS-fs"/>
      <sheetName val="DBS"/>
      <sheetName val="BUDGET 2011"/>
      <sheetName val="BUDGET-OS 2013"/>
      <sheetName val="BUDGET-Sales Exp 2013"/>
      <sheetName val="BUDGET-GA Exp 2013"/>
      <sheetName val="Summ OS Cons Jan-Jul"/>
      <sheetName val="BS Jan-Jul"/>
      <sheetName val="Cashflow projection Aug-Dec"/>
      <sheetName val="Jadwal angsuran"/>
      <sheetName val="Jadwal angsuran bank"/>
      <sheetName val="`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">
          <cell r="D4">
            <v>41305</v>
          </cell>
          <cell r="E4">
            <v>41333</v>
          </cell>
        </row>
      </sheetData>
      <sheetData sheetId="12"/>
      <sheetData sheetId="13">
        <row r="4">
          <cell r="C4">
            <v>41305</v>
          </cell>
          <cell r="D4">
            <v>41333</v>
          </cell>
          <cell r="E4">
            <v>41364</v>
          </cell>
          <cell r="F4">
            <v>41394</v>
          </cell>
          <cell r="G4">
            <v>41425</v>
          </cell>
          <cell r="H4">
            <v>41455</v>
          </cell>
          <cell r="I4">
            <v>41486</v>
          </cell>
          <cell r="J4">
            <v>41517</v>
          </cell>
        </row>
      </sheetData>
      <sheetData sheetId="14"/>
      <sheetData sheetId="15"/>
      <sheetData sheetId="16">
        <row r="3">
          <cell r="C3">
            <v>41305</v>
          </cell>
          <cell r="D3">
            <v>41333</v>
          </cell>
          <cell r="E3">
            <v>41364</v>
          </cell>
          <cell r="F3">
            <v>41394</v>
          </cell>
          <cell r="G3">
            <v>41425</v>
          </cell>
          <cell r="H3">
            <v>41455</v>
          </cell>
          <cell r="I3">
            <v>41486</v>
          </cell>
          <cell r="J3">
            <v>41517</v>
          </cell>
        </row>
      </sheetData>
      <sheetData sheetId="17"/>
      <sheetData sheetId="18">
        <row r="3">
          <cell r="C3">
            <v>41305</v>
          </cell>
          <cell r="D3">
            <v>41333</v>
          </cell>
          <cell r="E3">
            <v>41364</v>
          </cell>
          <cell r="F3">
            <v>41394</v>
          </cell>
          <cell r="G3">
            <v>41425</v>
          </cell>
          <cell r="H3">
            <v>41455</v>
          </cell>
          <cell r="I3">
            <v>41486</v>
          </cell>
          <cell r="J3">
            <v>41517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I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STER COA"/>
      <sheetName val="TB Mapping"/>
      <sheetName val="Cover"/>
      <sheetName val="Content"/>
      <sheetName val="Reimbursement"/>
      <sheetName val="Ratio-1A-"/>
      <sheetName val="ROCE-1B- "/>
      <sheetName val="Summary-"/>
      <sheetName val="Summ OS Cons-3-"/>
      <sheetName val="Summ BS Cons-4- "/>
      <sheetName val="Summ RE Cons-5- "/>
      <sheetName val="OS By Comp-CM-6-"/>
      <sheetName val="OS By Overs Comp-CM-6A-"/>
      <sheetName val="OS By Comp-YTD-7-"/>
      <sheetName val="OS By Overs Comp-YTD-7A-"/>
      <sheetName val="BS By Comp-8-"/>
      <sheetName val="BS By Overs Comp-8A-"/>
      <sheetName val="RE By Comp-9-"/>
      <sheetName val="RE By Overs Comp-9A-"/>
      <sheetName val="Detail CF"/>
      <sheetName val="Cashflow Cons MTM-10-"/>
      <sheetName val="CF By Comp CM-11-"/>
      <sheetName val="Sales &amp; GM-Cons-12-"/>
      <sheetName val="Sales &amp; GM-By Comp CM-13-"/>
      <sheetName val="Sales &amp; GM-By Comp YTD-14-"/>
      <sheetName val="Summ Sell Exp-Cons-15-"/>
      <sheetName val="Sell Exp By Comp CM-16-"/>
      <sheetName val="Sell Exp By Comp YTD-17-"/>
      <sheetName val="Summ G&amp;A Exp Cons-18-"/>
      <sheetName val="G&amp;A Exp By Comp CM-19-"/>
      <sheetName val="G&amp;A Exp By Comp YTD-20-"/>
      <sheetName val="Interest Principle MTM-21-"/>
      <sheetName val="Interest Principle by Comp-22-"/>
      <sheetName val="Interest Exp MTM-23-"/>
      <sheetName val="Int Exp By Comp CM-24-"/>
      <sheetName val="Int Exp By Comp YTD-25-"/>
      <sheetName val="Forex Principal MTM -26-"/>
      <sheetName val="Forex Principal-By Comp-27-"/>
      <sheetName val="Forex Exp MTM -28-"/>
      <sheetName val="Forex Exp By Comp CM-29-"/>
      <sheetName val="Forex Exp By Comp YTD-30-"/>
      <sheetName val="Fixed Assets-31-"/>
      <sheetName val="SALES &amp; COGS Internal"/>
      <sheetName val="PURCHASE INTERCOMPANY"/>
      <sheetName val="Disposal"/>
      <sheetName val="PVT TB"/>
      <sheetName val="TB-SPS"/>
      <sheetName val="IS-fs"/>
      <sheetName val="DBS"/>
      <sheetName val="Plan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>
        <row r="3">
          <cell r="B3">
            <v>40209</v>
          </cell>
          <cell r="C3">
            <v>40237</v>
          </cell>
          <cell r="D3">
            <v>40268</v>
          </cell>
          <cell r="E3">
            <v>40298</v>
          </cell>
          <cell r="F3">
            <v>40329</v>
          </cell>
          <cell r="G3">
            <v>40359</v>
          </cell>
          <cell r="H3">
            <v>40390</v>
          </cell>
          <cell r="I3">
            <v>40421</v>
          </cell>
        </row>
      </sheetData>
      <sheetData sheetId="22"/>
      <sheetData sheetId="23" refreshError="1">
        <row r="3">
          <cell r="E3">
            <v>40209</v>
          </cell>
          <cell r="F3">
            <v>40237</v>
          </cell>
          <cell r="G3">
            <v>40268</v>
          </cell>
          <cell r="H3">
            <v>40298</v>
          </cell>
          <cell r="I3">
            <v>40329</v>
          </cell>
          <cell r="J3">
            <v>40359</v>
          </cell>
          <cell r="K3">
            <v>40390</v>
          </cell>
          <cell r="L3">
            <v>40421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>
        <row r="4">
          <cell r="D4">
            <v>40209</v>
          </cell>
          <cell r="E4">
            <v>40237</v>
          </cell>
          <cell r="F4">
            <v>40268</v>
          </cell>
          <cell r="G4">
            <v>40298</v>
          </cell>
          <cell r="H4">
            <v>40329</v>
          </cell>
          <cell r="I4">
            <v>40359</v>
          </cell>
          <cell r="J4">
            <v>40390</v>
          </cell>
          <cell r="K4">
            <v>40421</v>
          </cell>
        </row>
      </sheetData>
      <sheetData sheetId="33"/>
      <sheetData sheetId="34" refreshError="1">
        <row r="4">
          <cell r="C4">
            <v>40209</v>
          </cell>
          <cell r="D4">
            <v>40237</v>
          </cell>
          <cell r="E4">
            <v>40268</v>
          </cell>
          <cell r="F4">
            <v>40298</v>
          </cell>
          <cell r="G4">
            <v>40329</v>
          </cell>
          <cell r="H4">
            <v>40359</v>
          </cell>
          <cell r="I4">
            <v>40390</v>
          </cell>
          <cell r="J4">
            <v>40421</v>
          </cell>
        </row>
      </sheetData>
      <sheetData sheetId="35"/>
      <sheetData sheetId="36"/>
      <sheetData sheetId="37" refreshError="1">
        <row r="3">
          <cell r="C3">
            <v>40209</v>
          </cell>
          <cell r="D3">
            <v>40237</v>
          </cell>
          <cell r="E3">
            <v>40268</v>
          </cell>
          <cell r="F3">
            <v>40298</v>
          </cell>
          <cell r="G3">
            <v>40329</v>
          </cell>
          <cell r="H3">
            <v>40359</v>
          </cell>
          <cell r="I3">
            <v>40390</v>
          </cell>
          <cell r="J3">
            <v>40421</v>
          </cell>
        </row>
      </sheetData>
      <sheetData sheetId="38"/>
      <sheetData sheetId="39" refreshError="1">
        <row r="3">
          <cell r="C3">
            <v>40209</v>
          </cell>
          <cell r="D3">
            <v>40237</v>
          </cell>
          <cell r="E3">
            <v>40268</v>
          </cell>
          <cell r="F3">
            <v>40298</v>
          </cell>
          <cell r="G3">
            <v>40329</v>
          </cell>
          <cell r="H3">
            <v>40359</v>
          </cell>
          <cell r="I3">
            <v>40390</v>
          </cell>
          <cell r="J3">
            <v>40421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>
        <row r="7">
          <cell r="E7">
            <v>40209</v>
          </cell>
          <cell r="F7">
            <v>40237</v>
          </cell>
          <cell r="G7">
            <v>40268</v>
          </cell>
          <cell r="H7">
            <v>40298</v>
          </cell>
          <cell r="I7">
            <v>40329</v>
          </cell>
          <cell r="J7">
            <v>40359</v>
          </cell>
          <cell r="K7">
            <v>40390</v>
          </cell>
          <cell r="L7">
            <v>40421</v>
          </cell>
          <cell r="S7">
            <v>40209</v>
          </cell>
          <cell r="T7">
            <v>40237</v>
          </cell>
          <cell r="U7">
            <v>40268</v>
          </cell>
          <cell r="V7">
            <v>40298</v>
          </cell>
          <cell r="W7">
            <v>40329</v>
          </cell>
          <cell r="X7">
            <v>40359</v>
          </cell>
          <cell r="Y7">
            <v>40390</v>
          </cell>
          <cell r="Z7">
            <v>40421</v>
          </cell>
        </row>
      </sheetData>
      <sheetData sheetId="5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COA"/>
      <sheetName val="TB Mapping"/>
      <sheetName val="Cover"/>
      <sheetName val="Content"/>
      <sheetName val="Reimbursement"/>
      <sheetName val="summary"/>
      <sheetName val="Ratio-1A-"/>
      <sheetName val="ROCE-1B- "/>
      <sheetName val="Summary-"/>
      <sheetName val="Summ OS Cons-3-"/>
      <sheetName val="Summ BS Cons-4- "/>
      <sheetName val="Summ RE Cons-5- "/>
      <sheetName val="OS By Comp-CM-6-"/>
      <sheetName val="OS By Overs Comp-CM-6A-"/>
      <sheetName val="OS By Comp-YTD-7-"/>
      <sheetName val="OS By Overs Comp-YTD-7A-"/>
      <sheetName val="BS By Comp-8-"/>
      <sheetName val="BS By Overs Comp-8A-"/>
      <sheetName val="RE By Comp-9-"/>
      <sheetName val="RE By Overs Comp-9A-"/>
      <sheetName val="Detail CF"/>
      <sheetName val="Cashflow Cons MTM-10-"/>
      <sheetName val="CF By Comp CM-11-"/>
      <sheetName val="Sales &amp; GM-Cons-12-"/>
      <sheetName val="Sales &amp; GM-By Comp CM-13-"/>
      <sheetName val="Sales &amp; GM-By Comp YTD-14-"/>
      <sheetName val="Summ Sell Exp-Cons-15-"/>
      <sheetName val="Sell Exp By Comp CM-16-"/>
      <sheetName val="Sell Exp By Comp YTD-17-"/>
      <sheetName val="Summ G&amp;A Exp Cons-18-"/>
      <sheetName val="G&amp;A Exp By Comp CM-19-"/>
      <sheetName val="G&amp;A Exp By Comp YTD-20-"/>
      <sheetName val="Interest Principle MTM-21-"/>
      <sheetName val="Interest Principle by Comp-22-"/>
      <sheetName val="Interest Exp MTM-23-"/>
      <sheetName val="Int Exp By Comp CM-24-"/>
      <sheetName val="Int Exp By Comp YTD-25-"/>
      <sheetName val="Forex Principal MTM -26-"/>
      <sheetName val="Forex Principal-By Comp-27-"/>
      <sheetName val="Forex Exp MTM -28-"/>
      <sheetName val="Forex Exp By Comp CM-29-"/>
      <sheetName val="Forex Exp By Comp YTD-30-"/>
      <sheetName val="Fixed Assets-31-"/>
      <sheetName val="SALES &amp; COGS Internal"/>
      <sheetName val="PURCHASE INTERCOMPANY"/>
      <sheetName val="Disposal"/>
      <sheetName val="Sheet2"/>
      <sheetName val="PVT TB"/>
      <sheetName val="TB-SPS"/>
      <sheetName val="IS-fs"/>
      <sheetName val="DBS"/>
      <sheetName val="BUDGET 2011"/>
      <sheetName val="BUDGET-OS 2012"/>
      <sheetName val="BUDGET-Sales Exp 2012"/>
      <sheetName val="BUDGET-GA Exp 20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>
        <row r="3">
          <cell r="F3">
            <v>41029</v>
          </cell>
          <cell r="G3">
            <v>41060</v>
          </cell>
          <cell r="H3">
            <v>41090</v>
          </cell>
          <cell r="I3">
            <v>41121</v>
          </cell>
          <cell r="J3">
            <v>41152</v>
          </cell>
          <cell r="K3">
            <v>41182</v>
          </cell>
          <cell r="L3">
            <v>41213</v>
          </cell>
          <cell r="M3">
            <v>41243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Cover"/>
      <sheetName val="Taiwan"/>
      <sheetName val="Korea"/>
      <sheetName val="China"/>
      <sheetName val="HK"/>
      <sheetName val="Singapore"/>
      <sheetName val="Thailand"/>
      <sheetName val="Indonesia"/>
      <sheetName val="Malaysia"/>
      <sheetName val="Philippines"/>
      <sheetName val="Vietnam"/>
      <sheetName val="India"/>
      <sheetName val="Pakistan"/>
      <sheetName val="SEA"/>
      <sheetName val="Inputs&gt;&gt;&gt;"/>
      <sheetName val="Data"/>
      <sheetName val="CAR"/>
      <sheetName val="Data_India"/>
      <sheetName val="ICICI-Adjustment"/>
      <sheetName val="China Securities input"/>
      <sheetName val="China bank input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__APW_ACTIVE_FIELD_RESTORE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5">
          <cell r="C5">
            <v>41456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132">
          <cell r="ER132" t="e">
            <v>#N/A</v>
          </cell>
          <cell r="FA132" t="e">
            <v>#N/A</v>
          </cell>
        </row>
        <row r="133">
          <cell r="ER133" t="e">
            <v>#N/A</v>
          </cell>
          <cell r="FA133">
            <v>2.0375027624309299</v>
          </cell>
        </row>
        <row r="138">
          <cell r="ER138" t="e">
            <v>#N/A</v>
          </cell>
          <cell r="FA138" t="e">
            <v>#N/A</v>
          </cell>
        </row>
        <row r="193">
          <cell r="BR193" t="e">
            <v>#N/A</v>
          </cell>
          <cell r="CA193">
            <v>0.27422303473491699</v>
          </cell>
        </row>
      </sheetData>
      <sheetData sheetId="33"/>
      <sheetData sheetId="34">
        <row r="52">
          <cell r="DP52" t="e">
            <v>#N/A</v>
          </cell>
          <cell r="DY52">
            <v>1.4000700035001701</v>
          </cell>
        </row>
        <row r="57">
          <cell r="DP57" t="e">
            <v>#N/A</v>
          </cell>
          <cell r="DY57">
            <v>3.7369207772795199</v>
          </cell>
        </row>
        <row r="58">
          <cell r="DP58" t="e">
            <v>#N/A</v>
          </cell>
          <cell r="DY58">
            <v>4.0792540792540803</v>
          </cell>
        </row>
        <row r="59">
          <cell r="DP59" t="e">
            <v>#N/A</v>
          </cell>
          <cell r="DY59">
            <v>3.3149171270718201</v>
          </cell>
        </row>
        <row r="60">
          <cell r="DP60" t="e">
            <v>#N/A</v>
          </cell>
          <cell r="DY60">
            <v>2.6773761713520701</v>
          </cell>
        </row>
        <row r="61">
          <cell r="DP61" t="e">
            <v>#N/A</v>
          </cell>
          <cell r="DY61">
            <v>1.89933523266856</v>
          </cell>
        </row>
        <row r="62">
          <cell r="DP62" t="e">
            <v>#N/A</v>
          </cell>
          <cell r="DY62" t="e">
            <v>#N/A</v>
          </cell>
        </row>
        <row r="63">
          <cell r="DP63" t="e">
            <v>#N/A</v>
          </cell>
          <cell r="DY63">
            <v>1.00603621730382</v>
          </cell>
        </row>
        <row r="64">
          <cell r="DP64" t="e">
            <v>#N/A</v>
          </cell>
          <cell r="DY64">
            <v>1.80995475113122</v>
          </cell>
        </row>
        <row r="65">
          <cell r="DP65" t="e">
            <v>#N/A</v>
          </cell>
          <cell r="DY65">
            <v>1.6892642809513201</v>
          </cell>
        </row>
      </sheetData>
      <sheetData sheetId="3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R"/>
      <sheetName val="OEE  (2)"/>
      <sheetName val="OEE "/>
      <sheetName val="Sheet3"/>
      <sheetName val="Acv-1"/>
      <sheetName val="PRD-ACV"/>
      <sheetName val="material"/>
      <sheetName val="capacity"/>
      <sheetName val="Sheet2"/>
      <sheetName val="dht fix"/>
      <sheetName val="Sheet1"/>
      <sheetName val="Man power"/>
      <sheetName val="AssySupps"/>
      <sheetName val="taruna sheet"/>
      <sheetName val="Calendar 2006"/>
      <sheetName val="06-11-07.selasa"/>
      <sheetName val="B_初期画面"/>
      <sheetName val="data editing"/>
      <sheetName val="HRD Salary"/>
      <sheetName val="吊上げパ(20)"/>
      <sheetName val="吊上げパ_20_"/>
      <sheetName val="05年"/>
      <sheetName val="REQUEST_TABLE"/>
      <sheetName val="REVICED"/>
      <sheetName val="ＢＭ"/>
      <sheetName val="B_計算条件(D稼動後)"/>
      <sheetName val="動力源"/>
      <sheetName val="delivery"/>
      <sheetName val="deff"/>
      <sheetName val="393_N"/>
      <sheetName val="____"/>
      <sheetName val="B_????"/>
      <sheetName val="????(20)"/>
      <sheetName val="????_20_"/>
      <sheetName val="05?"/>
      <sheetName val="BM"/>
      <sheetName val="B_????(D???)"/>
      <sheetName val="???"/>
      <sheetName val="SLSunit"/>
      <sheetName val="BS"/>
      <sheetName val="IS"/>
      <sheetName val="Gen_as"/>
      <sheetName val="___ "/>
      <sheetName val=""/>
      <sheetName val="F-1 F-2"/>
      <sheetName val="MARCH_APRIL_ 03"/>
      <sheetName val="Dom"/>
      <sheetName val="B_計算条件_D稼動後_"/>
      <sheetName val="OEE__(2)"/>
      <sheetName val="OEE_"/>
      <sheetName val="dht_fix"/>
      <sheetName val="Man_power"/>
      <sheetName val="taruna_sheet"/>
      <sheetName val="Calendar_2006"/>
      <sheetName val="06-11-07_selasa"/>
      <sheetName val="data_editing"/>
      <sheetName val="HRD_Salary"/>
      <sheetName val="Draft Vehicle Format"/>
      <sheetName val="tabel"/>
      <sheetName val="truck capt"/>
      <sheetName val="MASTER "/>
      <sheetName val="____1"/>
      <sheetName val="F-1_F-2"/>
      <sheetName val="QCD0401"/>
      <sheetName val="Nov.'02"/>
      <sheetName val="4p"/>
      <sheetName val="Innova List"/>
      <sheetName val="工数データ"/>
      <sheetName val="ocean voyage"/>
      <sheetName val="B_____"/>
      <sheetName val="____(20)"/>
      <sheetName val="_____20_"/>
      <sheetName val="05_"/>
      <sheetName val="B_____(D___)"/>
      <sheetName val="___"/>
      <sheetName val="投資ﾌｫﾛｰ"/>
      <sheetName val="Parts list (060411)"/>
      <sheetName val="forex"/>
      <sheetName val="Highlight"/>
      <sheetName val="BD &amp; EH (DATA)"/>
      <sheetName val=""/>
      <sheetName val="parameter"/>
      <sheetName val="Schedule"/>
      <sheetName val="LVC 31RB"/>
      <sheetName val="SEP"/>
      <sheetName val="590P追加"/>
      <sheetName val="??????"/>
      <sheetName val="ﾃｨｰﾁﾝｸﾞ"/>
      <sheetName val="______"/>
      <sheetName val="Nov"/>
      <sheetName val="DEV-HO"/>
      <sheetName val="ppe"/>
      <sheetName val="GROUP A"/>
      <sheetName val="Type I"/>
      <sheetName val="OEE__(2)2"/>
      <sheetName val="OEE_2"/>
      <sheetName val="dht_fix2"/>
      <sheetName val="Man_power2"/>
      <sheetName val="taruna_sheet2"/>
      <sheetName val="Calendar_20062"/>
      <sheetName val="06-11-07_selasa2"/>
      <sheetName val="HRD_Salary2"/>
      <sheetName val="data_editing2"/>
      <sheetName val="____3"/>
      <sheetName val="F-1_F-22"/>
      <sheetName val="truck_capt1"/>
      <sheetName val="MASTER_1"/>
      <sheetName val="MARCH_APRIL__031"/>
      <sheetName val="Draft_Vehicle_Format1"/>
      <sheetName val="ocean_voyage1"/>
      <sheetName val="Nov_'021"/>
      <sheetName val="Parts_list_(060411)1"/>
      <sheetName val="Innova_List1"/>
      <sheetName val="LVC_31RB1"/>
      <sheetName val="BD_&amp;_EH_(DATA)1"/>
      <sheetName val="OEE__(2)1"/>
      <sheetName val="OEE_1"/>
      <sheetName val="dht_fix1"/>
      <sheetName val="Man_power1"/>
      <sheetName val="taruna_sheet1"/>
      <sheetName val="Calendar_20061"/>
      <sheetName val="06-11-07_selasa1"/>
      <sheetName val="HRD_Salary1"/>
      <sheetName val="data_editing1"/>
      <sheetName val="____2"/>
      <sheetName val="F-1_F-21"/>
      <sheetName val="truck_capt"/>
      <sheetName val="MASTER_"/>
      <sheetName val="MARCH_APRIL__03"/>
      <sheetName val="Draft_Vehicle_Format"/>
      <sheetName val="ocean_voyage"/>
      <sheetName val="Nov_'02"/>
      <sheetName val="Parts_list_(060411)"/>
      <sheetName val="Innova_List"/>
      <sheetName val="LVC_31RB"/>
      <sheetName val="BD_&amp;_EH_(DATA)"/>
      <sheetName val="OEE__(2)3"/>
      <sheetName val="OEE_3"/>
      <sheetName val="dht_fix3"/>
      <sheetName val="Man_power3"/>
      <sheetName val="taruna_sheet3"/>
      <sheetName val="Calendar_20063"/>
      <sheetName val="06-11-07_selasa3"/>
      <sheetName val="data_editing3"/>
      <sheetName val="HRD_Salary3"/>
      <sheetName val="____4"/>
      <sheetName val="F-1_F-23"/>
      <sheetName val="MARCH_APRIL__032"/>
      <sheetName val="Draft_Vehicle_Format2"/>
      <sheetName val="MASTER_2"/>
      <sheetName val="truck_capt2"/>
      <sheetName val="ocean_voyage2"/>
      <sheetName val="Nov_'022"/>
      <sheetName val="Parts_list_(060411)2"/>
      <sheetName val="Innova_List2"/>
      <sheetName val="LVC_31RB2"/>
      <sheetName val="BD_&amp;_EH_(DATA)2"/>
      <sheetName val="OTHERS x620"/>
      <sheetName val="Unit Price 96"/>
      <sheetName val="CORONA"/>
      <sheetName val="KIJANG"/>
      <sheetName val="progress FC"/>
      <sheetName val="OEM sum"/>
      <sheetName val="MANUF"/>
      <sheetName val="YTD sales"/>
      <sheetName val="CST-CAPEX"/>
      <sheetName val="DELINS"/>
      <sheetName val="Link List OPL"/>
      <sheetName val="SAP"/>
      <sheetName val="STATUS FOLLOWUP"/>
      <sheetName val="GRAFICOS"/>
    </sheetNames>
    <sheetDataSet>
      <sheetData sheetId="0">
        <row r="5">
          <cell r="C5">
            <v>2.8</v>
          </cell>
        </row>
      </sheetData>
      <sheetData sheetId="1"/>
      <sheetData sheetId="2"/>
      <sheetData sheetId="3"/>
      <sheetData sheetId="4"/>
      <sheetData sheetId="5">
        <row r="5">
          <cell r="C5">
            <v>2.8</v>
          </cell>
        </row>
      </sheetData>
      <sheetData sheetId="6"/>
      <sheetData sheetId="7" refreshError="1">
        <row r="5">
          <cell r="C5">
            <v>2.8</v>
          </cell>
          <cell r="D5">
            <v>1.6</v>
          </cell>
          <cell r="E5">
            <v>2.2000000000000002</v>
          </cell>
        </row>
      </sheetData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oran"/>
      <sheetName val="ujiRK"/>
      <sheetName val="Induk"/>
      <sheetName val="PPh23"/>
      <sheetName val="PPh21"/>
      <sheetName val="Penerimaan"/>
      <sheetName val="Pengeluaran"/>
      <sheetName val="PPN"/>
      <sheetName val="RL95"/>
      <sheetName val="Art_22"/>
      <sheetName val="Nrc95"/>
      <sheetName val="induk23"/>
      <sheetName val="KKP E 3-1-1,2,3,4"/>
      <sheetName val="E23 (2)"/>
      <sheetName val="pp 23"/>
      <sheetName val="TERUTANG"/>
    </sheetNames>
    <sheetDataSet>
      <sheetData sheetId="0" refreshError="1">
        <row r="1">
          <cell r="A1" t="str">
            <v xml:space="preserve"> I.   </v>
          </cell>
          <cell r="B1" t="str">
            <v>UMUM</v>
          </cell>
          <cell r="I1">
            <v>1</v>
          </cell>
          <cell r="J1" t="str">
            <v>PENGHITUNGAN PAJAK TERHUTANG</v>
          </cell>
          <cell r="AE1" t="str">
            <v xml:space="preserve">III. </v>
          </cell>
          <cell r="AF1" t="str">
            <v>HASIL PEMERIKSAAN</v>
          </cell>
        </row>
        <row r="2">
          <cell r="AF2" t="str">
            <v>A. IKHTISAR KOREKSI</v>
          </cell>
        </row>
        <row r="3">
          <cell r="A3" t="str">
            <v xml:space="preserve">A.  </v>
          </cell>
          <cell r="B3" t="str">
            <v>IDENTITAS WAJIB PAJAK</v>
          </cell>
          <cell r="J3" t="str">
            <v>1.  PPh Pasal 25/29</v>
          </cell>
        </row>
        <row r="4">
          <cell r="A4" t="str">
            <v xml:space="preserve">1. </v>
          </cell>
          <cell r="B4" t="str">
            <v xml:space="preserve">Nama Wajib Pajak </v>
          </cell>
          <cell r="D4" t="str">
            <v>:</v>
          </cell>
          <cell r="E4" t="str">
            <v>PT. Pel. Nusantara Meratus Cab. Kendari</v>
          </cell>
          <cell r="AF4" t="str">
            <v xml:space="preserve">1. </v>
          </cell>
          <cell r="AG4" t="str">
            <v>Obyek PPh Pasal 25/29</v>
          </cell>
        </row>
        <row r="5">
          <cell r="A5" t="str">
            <v xml:space="preserve">2. </v>
          </cell>
          <cell r="B5" t="str">
            <v xml:space="preserve">N P W P   </v>
          </cell>
          <cell r="D5" t="str">
            <v xml:space="preserve">:  </v>
          </cell>
          <cell r="E5" t="str">
            <v>1.108.202.1-811</v>
          </cell>
          <cell r="J5" t="str">
            <v xml:space="preserve">     Penghasilan Kena Pajak menurut SPT/WP </v>
          </cell>
          <cell r="R5" t="str">
            <v>Rp.</v>
          </cell>
          <cell r="S5" t="str">
            <v>---</v>
          </cell>
        </row>
        <row r="6">
          <cell r="A6" t="str">
            <v xml:space="preserve">3. </v>
          </cell>
          <cell r="B6" t="str">
            <v>Nomor dan Tanggal Pengukuhan PKP</v>
          </cell>
          <cell r="D6" t="str">
            <v>:</v>
          </cell>
          <cell r="E6" t="str">
            <v>811.00340.05.91</v>
          </cell>
          <cell r="J6" t="str">
            <v xml:space="preserve">     Koreksi Penghasilan Kena Pajak menurut pemeriksa</v>
          </cell>
          <cell r="R6" t="str">
            <v>Rp.</v>
          </cell>
          <cell r="S6" t="str">
            <v>---</v>
          </cell>
          <cell r="AH6" t="str">
            <v xml:space="preserve">                     M E N U R U T</v>
          </cell>
        </row>
        <row r="7">
          <cell r="A7" t="str">
            <v xml:space="preserve">4. </v>
          </cell>
          <cell r="B7" t="str">
            <v>Bentuk Usaha</v>
          </cell>
          <cell r="D7" t="str">
            <v>:</v>
          </cell>
          <cell r="E7" t="str">
            <v xml:space="preserve"> [X] Badan</v>
          </cell>
          <cell r="J7" t="str">
            <v xml:space="preserve">     Penghasilan Kena Pajak menurut Pemeriksaan</v>
          </cell>
          <cell r="R7" t="str">
            <v>Rp.</v>
          </cell>
          <cell r="S7">
            <v>0</v>
          </cell>
          <cell r="AF7" t="str">
            <v>No</v>
          </cell>
          <cell r="AG7" t="str">
            <v>URAIAN</v>
          </cell>
          <cell r="AH7" t="str">
            <v>SPT/WP</v>
          </cell>
          <cell r="AI7" t="str">
            <v>PEMERIKSA</v>
          </cell>
          <cell r="AJ7" t="str">
            <v>KOREKSI</v>
          </cell>
        </row>
        <row r="8">
          <cell r="D8" t="str">
            <v/>
          </cell>
          <cell r="E8" t="str">
            <v xml:space="preserve"> [ - ] Perorangan</v>
          </cell>
          <cell r="J8" t="str">
            <v xml:space="preserve">     Pengenaan Pajak(tarif Ps.17 UU PPh 1983) :</v>
          </cell>
        </row>
        <row r="9">
          <cell r="A9" t="str">
            <v xml:space="preserve">5. </v>
          </cell>
          <cell r="B9" t="str">
            <v>Alamat dan Telepon</v>
          </cell>
          <cell r="D9" t="str">
            <v/>
          </cell>
          <cell r="J9" t="str">
            <v xml:space="preserve">      - 15 %</v>
          </cell>
          <cell r="K9" t="str">
            <v>X Rp.</v>
          </cell>
          <cell r="M9">
            <v>0</v>
          </cell>
          <cell r="N9" t="str">
            <v>=</v>
          </cell>
          <cell r="O9" t="str">
            <v>Rp.</v>
          </cell>
          <cell r="P9">
            <v>0</v>
          </cell>
        </row>
        <row r="10">
          <cell r="B10" t="str">
            <v>a. Kantor Pusat /Tempat Usaha</v>
          </cell>
          <cell r="D10" t="str">
            <v>:</v>
          </cell>
          <cell r="E10" t="str">
            <v>Jl. Gajah Mada No. 16 Kendari</v>
          </cell>
          <cell r="J10" t="str">
            <v xml:space="preserve">      - 25 % </v>
          </cell>
          <cell r="K10" t="str">
            <v>X Rp.</v>
          </cell>
          <cell r="M10">
            <v>0</v>
          </cell>
          <cell r="N10" t="str">
            <v>=</v>
          </cell>
          <cell r="O10" t="str">
            <v>Rp.</v>
          </cell>
          <cell r="P10">
            <v>0</v>
          </cell>
        </row>
        <row r="11">
          <cell r="B11" t="str">
            <v xml:space="preserve">    Telepon</v>
          </cell>
          <cell r="D11" t="str">
            <v>:</v>
          </cell>
          <cell r="E11" t="str">
            <v>---</v>
          </cell>
          <cell r="J11" t="str">
            <v xml:space="preserve">      - 35 % </v>
          </cell>
          <cell r="K11" t="str">
            <v>X Rp.</v>
          </cell>
          <cell r="M11">
            <v>0</v>
          </cell>
          <cell r="N11" t="str">
            <v>=</v>
          </cell>
          <cell r="O11" t="str">
            <v>Rp.</v>
          </cell>
          <cell r="P11">
            <v>0</v>
          </cell>
        </row>
        <row r="12">
          <cell r="B12" t="str">
            <v>b. Tempat Tinggal</v>
          </cell>
          <cell r="D12" t="str">
            <v>:</v>
          </cell>
          <cell r="E12" t="str">
            <v>---</v>
          </cell>
          <cell r="J12" t="str">
            <v xml:space="preserve">     Jumlah Pajak Terhutang</v>
          </cell>
          <cell r="R12" t="str">
            <v>Rp.</v>
          </cell>
          <cell r="S12">
            <v>0</v>
          </cell>
        </row>
        <row r="13">
          <cell r="B13" t="str">
            <v xml:space="preserve">    Telepon</v>
          </cell>
          <cell r="D13" t="str">
            <v>:</v>
          </cell>
          <cell r="E13" t="str">
            <v>---</v>
          </cell>
          <cell r="J13" t="str">
            <v xml:space="preserve">     Kredit Pajak </v>
          </cell>
          <cell r="R13" t="str">
            <v>Rp.</v>
          </cell>
        </row>
        <row r="14">
          <cell r="B14" t="str">
            <v>c. Cabang (perwakilan)</v>
          </cell>
          <cell r="D14" t="str">
            <v>:</v>
          </cell>
          <cell r="E14" t="str">
            <v>---</v>
          </cell>
          <cell r="J14" t="str">
            <v xml:space="preserve">     PPh kurang ( lebih )  bayar</v>
          </cell>
          <cell r="S14">
            <v>0</v>
          </cell>
        </row>
        <row r="15">
          <cell r="B15" t="str">
            <v xml:space="preserve">    Telepon</v>
          </cell>
          <cell r="D15" t="str">
            <v>:</v>
          </cell>
          <cell r="E15" t="str">
            <v>---</v>
          </cell>
          <cell r="J15" t="str">
            <v xml:space="preserve">     Sanksi bunga :            </v>
          </cell>
        </row>
        <row r="16">
          <cell r="B16" t="str">
            <v>d. Pabrik (Unit usaha lain)</v>
          </cell>
          <cell r="D16" t="str">
            <v>:</v>
          </cell>
          <cell r="E16" t="str">
            <v>---</v>
          </cell>
          <cell r="J16" t="str">
            <v xml:space="preserve">     - Ps.13 (2) UU No.6 Tahun 1983 :</v>
          </cell>
        </row>
        <row r="17">
          <cell r="B17" t="str">
            <v xml:space="preserve">     Telepon</v>
          </cell>
          <cell r="D17" t="str">
            <v>:</v>
          </cell>
          <cell r="E17" t="str">
            <v>---</v>
          </cell>
          <cell r="J17" t="str">
            <v xml:space="preserve">          2  %  X  </v>
          </cell>
          <cell r="L17">
            <v>24</v>
          </cell>
          <cell r="M17" t="str">
            <v>bulan  X</v>
          </cell>
          <cell r="O17" t="str">
            <v>Rp.</v>
          </cell>
          <cell r="P17">
            <v>0</v>
          </cell>
          <cell r="R17" t="str">
            <v>Rp.</v>
          </cell>
          <cell r="S17">
            <v>0</v>
          </cell>
        </row>
        <row r="18">
          <cell r="A18" t="str">
            <v xml:space="preserve">6. </v>
          </cell>
          <cell r="B18" t="str">
            <v>Jumlah Tanggungan</v>
          </cell>
          <cell r="D18" t="str">
            <v>:</v>
          </cell>
          <cell r="E18" t="str">
            <v>---</v>
          </cell>
          <cell r="J18" t="str">
            <v xml:space="preserve">     - Ps.13 (3) UU No.6 Tahun 1983 :</v>
          </cell>
        </row>
        <row r="19">
          <cell r="A19" t="str">
            <v xml:space="preserve">7. </v>
          </cell>
          <cell r="B19" t="str">
            <v>Status Permodalan</v>
          </cell>
          <cell r="D19" t="str">
            <v>:</v>
          </cell>
          <cell r="E19" t="str">
            <v xml:space="preserve"> [-] PMA          [-] PMDN</v>
          </cell>
          <cell r="J19" t="str">
            <v xml:space="preserve">              %  X</v>
          </cell>
          <cell r="L19" t="str">
            <v>Rp.</v>
          </cell>
          <cell r="R19" t="str">
            <v>Rp</v>
          </cell>
          <cell r="S19">
            <v>0</v>
          </cell>
        </row>
        <row r="20">
          <cell r="D20" t="str">
            <v>:</v>
          </cell>
          <cell r="E20" t="str">
            <v xml:space="preserve"> [-] BUMN / BUMD  [-]</v>
          </cell>
          <cell r="J20" t="str">
            <v xml:space="preserve">    PPh yang masih harus dibayar </v>
          </cell>
          <cell r="R20" t="str">
            <v>Rp</v>
          </cell>
          <cell r="S20">
            <v>0</v>
          </cell>
        </row>
        <row r="21">
          <cell r="D21" t="str">
            <v/>
          </cell>
          <cell r="E21" t="str">
            <v xml:space="preserve"> [X] SWASTA LAINNYA</v>
          </cell>
        </row>
        <row r="22">
          <cell r="A22" t="str">
            <v xml:space="preserve">8. </v>
          </cell>
          <cell r="B22" t="str">
            <v>Status Badan</v>
          </cell>
          <cell r="D22" t="str">
            <v>:</v>
          </cell>
          <cell r="E22" t="str">
            <v xml:space="preserve"> [- ] Pusat          [X] Cabang</v>
          </cell>
          <cell r="J22" t="str">
            <v>2. PPh Pasal 21</v>
          </cell>
          <cell r="N22" t="str">
            <v/>
          </cell>
        </row>
        <row r="23">
          <cell r="D23" t="str">
            <v/>
          </cell>
          <cell r="E23" t="str">
            <v xml:space="preserve"> [-] Tunggal      [-] BUT</v>
          </cell>
        </row>
        <row r="24">
          <cell r="A24" t="str">
            <v xml:space="preserve">9. </v>
          </cell>
          <cell r="B24" t="str">
            <v>Klassifikasi Lapangan Usaha</v>
          </cell>
          <cell r="D24" t="str">
            <v>:</v>
          </cell>
          <cell r="E24" t="str">
            <v>7210</v>
          </cell>
          <cell r="J24" t="str">
            <v xml:space="preserve">     PPh Pasal 21 Tahun 1991 menurut SPT tahun 1991</v>
          </cell>
          <cell r="R24" t="str">
            <v>Rp.</v>
          </cell>
          <cell r="S24">
            <v>0</v>
          </cell>
        </row>
        <row r="25">
          <cell r="A25" t="str">
            <v xml:space="preserve">10. </v>
          </cell>
          <cell r="B25" t="str">
            <v>Jenis Pajak yang menjadi kewajiban</v>
          </cell>
          <cell r="D25" t="str">
            <v>:</v>
          </cell>
          <cell r="E25" t="str">
            <v xml:space="preserve"> [ - ] PPh Ps.25/29</v>
          </cell>
          <cell r="J25" t="str">
            <v xml:space="preserve">     Koreksi PPh Pasal 21 menurut Pemeriksa (lampiran)</v>
          </cell>
          <cell r="R25" t="str">
            <v>Rp.</v>
          </cell>
          <cell r="S25">
            <v>0</v>
          </cell>
          <cell r="AH25" t="str">
            <v>J U M L A H    K O R E K S I</v>
          </cell>
          <cell r="AJ25">
            <v>0</v>
          </cell>
        </row>
        <row r="26">
          <cell r="D26" t="str">
            <v/>
          </cell>
          <cell r="E26" t="str">
            <v xml:space="preserve"> [X] PPh Ps.21</v>
          </cell>
          <cell r="J26" t="str">
            <v xml:space="preserve">     PPh Pasal 21 yang terhutang</v>
          </cell>
          <cell r="R26" t="str">
            <v>Rp.</v>
          </cell>
          <cell r="S26">
            <v>0</v>
          </cell>
        </row>
        <row r="27">
          <cell r="D27" t="str">
            <v/>
          </cell>
          <cell r="E27" t="str">
            <v xml:space="preserve"> [ - ] PPh Ps.22</v>
          </cell>
          <cell r="J27" t="str">
            <v xml:space="preserve">     PPh Pasal 21 yang dibayar</v>
          </cell>
          <cell r="R27" t="str">
            <v>Rp.</v>
          </cell>
          <cell r="S27">
            <v>0</v>
          </cell>
          <cell r="AF27" t="str">
            <v/>
          </cell>
          <cell r="AG27" t="str">
            <v/>
          </cell>
        </row>
        <row r="28">
          <cell r="E28" t="str">
            <v xml:space="preserve"> [ - ] PPh Ps.23</v>
          </cell>
          <cell r="J28" t="str">
            <v xml:space="preserve">     PPh Pasal 21 kurang bayar</v>
          </cell>
          <cell r="R28" t="str">
            <v>Rp.</v>
          </cell>
          <cell r="S28">
            <v>0</v>
          </cell>
          <cell r="AF28" t="str">
            <v xml:space="preserve">2. </v>
          </cell>
          <cell r="AG28" t="str">
            <v>Obyek PPh Pasal 21</v>
          </cell>
        </row>
        <row r="29">
          <cell r="D29" t="str">
            <v/>
          </cell>
          <cell r="E29" t="str">
            <v xml:space="preserve"> [ - ] PPh Ps.24</v>
          </cell>
          <cell r="J29" t="str">
            <v xml:space="preserve">     Sanksi bunga/kenaikan :</v>
          </cell>
          <cell r="R29" t="str">
            <v/>
          </cell>
          <cell r="AF29" t="str">
            <v/>
          </cell>
          <cell r="AG29" t="str">
            <v/>
          </cell>
        </row>
        <row r="30">
          <cell r="D30" t="str">
            <v/>
          </cell>
          <cell r="E30" t="str">
            <v xml:space="preserve"> [ - ] PPh Ps.25</v>
          </cell>
          <cell r="J30" t="str">
            <v xml:space="preserve">     - Ps.13 (2) UU No.6 Tahun 1983 :</v>
          </cell>
          <cell r="AH30" t="str">
            <v xml:space="preserve">                      M E N U R U T</v>
          </cell>
        </row>
        <row r="31">
          <cell r="D31" t="str">
            <v/>
          </cell>
          <cell r="E31" t="str">
            <v xml:space="preserve"> [ - ] PPh Ps.26</v>
          </cell>
          <cell r="J31" t="str">
            <v xml:space="preserve">          2  %  X  </v>
          </cell>
          <cell r="K31" t="str">
            <v>X</v>
          </cell>
          <cell r="L31">
            <v>24</v>
          </cell>
          <cell r="M31" t="str">
            <v>bulan</v>
          </cell>
          <cell r="N31" t="str">
            <v>X</v>
          </cell>
          <cell r="O31" t="str">
            <v>Rp</v>
          </cell>
          <cell r="P31">
            <v>0</v>
          </cell>
          <cell r="R31" t="str">
            <v>Rp.</v>
          </cell>
          <cell r="S31">
            <v>0</v>
          </cell>
          <cell r="AF31" t="str">
            <v>No</v>
          </cell>
          <cell r="AG31" t="str">
            <v>URAIAN</v>
          </cell>
          <cell r="AH31" t="str">
            <v>SPT/WP</v>
          </cell>
          <cell r="AI31" t="str">
            <v>PEMERIKSA</v>
          </cell>
          <cell r="AJ31" t="str">
            <v>KOREKSI</v>
          </cell>
        </row>
        <row r="32">
          <cell r="D32" t="str">
            <v/>
          </cell>
          <cell r="E32" t="str">
            <v xml:space="preserve"> [X] PPN /PPn BM</v>
          </cell>
          <cell r="J32" t="str">
            <v xml:space="preserve">     - Ps.13 (3) UU No.6 Tahun 1983 :</v>
          </cell>
        </row>
        <row r="33">
          <cell r="D33" t="str">
            <v/>
          </cell>
          <cell r="E33" t="str">
            <v xml:space="preserve"> [X] PBB</v>
          </cell>
          <cell r="J33" t="str">
            <v xml:space="preserve">              %  X</v>
          </cell>
          <cell r="L33" t="str">
            <v>Rp.</v>
          </cell>
          <cell r="R33" t="str">
            <v>Rp.</v>
          </cell>
          <cell r="S33">
            <v>0</v>
          </cell>
        </row>
        <row r="34">
          <cell r="A34" t="str">
            <v xml:space="preserve">11. </v>
          </cell>
          <cell r="B34" t="str">
            <v>Penanggung Jawab</v>
          </cell>
          <cell r="D34" t="str">
            <v/>
          </cell>
          <cell r="J34" t="str">
            <v/>
          </cell>
          <cell r="R34" t="str">
            <v/>
          </cell>
          <cell r="S34" t="str">
            <v/>
          </cell>
          <cell r="AF34">
            <v>1</v>
          </cell>
          <cell r="AG34" t="str">
            <v>Gaji Karyawan/buruh</v>
          </cell>
          <cell r="AH34">
            <v>0</v>
          </cell>
          <cell r="AI34">
            <v>1233620</v>
          </cell>
          <cell r="AJ34">
            <v>1233620</v>
          </cell>
        </row>
        <row r="35">
          <cell r="B35" t="str">
            <v xml:space="preserve"> -Nama</v>
          </cell>
          <cell r="D35" t="str">
            <v>:</v>
          </cell>
          <cell r="E35" t="str">
            <v>M. S. Nurdin</v>
          </cell>
          <cell r="J35" t="str">
            <v xml:space="preserve">    PPh Pasal 21 yang masih harus dibayar</v>
          </cell>
          <cell r="R35" t="str">
            <v>Rp.</v>
          </cell>
          <cell r="S35">
            <v>0</v>
          </cell>
        </row>
        <row r="36">
          <cell r="B36" t="str">
            <v xml:space="preserve"> -Jabatan</v>
          </cell>
          <cell r="D36" t="str">
            <v>:</v>
          </cell>
          <cell r="E36" t="str">
            <v>Kepala Cabang</v>
          </cell>
        </row>
        <row r="37">
          <cell r="B37" t="str">
            <v xml:space="preserve"> -Alamat</v>
          </cell>
          <cell r="D37" t="str">
            <v>:</v>
          </cell>
          <cell r="E37" t="str">
            <v>Jl. Gajah Mada No. 16 Kendari</v>
          </cell>
          <cell r="J37" t="str">
            <v xml:space="preserve">3. PPh Pasal 23 </v>
          </cell>
        </row>
        <row r="38">
          <cell r="B38" t="str">
            <v xml:space="preserve"> -Telepon</v>
          </cell>
          <cell r="D38" t="str">
            <v>:</v>
          </cell>
          <cell r="E38" t="str">
            <v>---</v>
          </cell>
        </row>
        <row r="39">
          <cell r="A39" t="str">
            <v xml:space="preserve">12. </v>
          </cell>
          <cell r="B39" t="str">
            <v>Pendirian</v>
          </cell>
          <cell r="D39" t="str">
            <v/>
          </cell>
          <cell r="J39" t="str">
            <v xml:space="preserve">    Dasar Pengenaan Pajak</v>
          </cell>
          <cell r="R39" t="str">
            <v>Rp.</v>
          </cell>
          <cell r="S39">
            <v>1950000</v>
          </cell>
        </row>
        <row r="40">
          <cell r="B40" t="str">
            <v xml:space="preserve">a. Tanggal Pendirian </v>
          </cell>
          <cell r="D40" t="str">
            <v>:</v>
          </cell>
          <cell r="E40" t="str">
            <v>---</v>
          </cell>
          <cell r="J40" t="str">
            <v xml:space="preserve">    Tarif PPh Pasal 23</v>
          </cell>
        </row>
        <row r="41">
          <cell r="B41" t="str">
            <v xml:space="preserve">    Akte Notaris</v>
          </cell>
          <cell r="D41" t="str">
            <v>:</v>
          </cell>
          <cell r="E41" t="str">
            <v>---</v>
          </cell>
          <cell r="J41" t="str">
            <v xml:space="preserve">      - 15 %</v>
          </cell>
          <cell r="K41" t="str">
            <v>X Rp.</v>
          </cell>
          <cell r="R41" t="str">
            <v>Rp.</v>
          </cell>
          <cell r="S41">
            <v>292500.00000000006</v>
          </cell>
        </row>
        <row r="42">
          <cell r="B42" t="str">
            <v xml:space="preserve">    Nomor</v>
          </cell>
          <cell r="D42" t="str">
            <v>:</v>
          </cell>
          <cell r="E42" t="str">
            <v>---</v>
          </cell>
          <cell r="J42" t="str">
            <v xml:space="preserve">    PPh Pasal 23 yang dibayar</v>
          </cell>
          <cell r="R42" t="str">
            <v>Rp.</v>
          </cell>
          <cell r="S42">
            <v>0</v>
          </cell>
        </row>
        <row r="43">
          <cell r="B43" t="str">
            <v>b. Akte Perubahan(terakhir)</v>
          </cell>
          <cell r="D43" t="str">
            <v/>
          </cell>
          <cell r="J43" t="str">
            <v xml:space="preserve">    PPh Pasal 23 kurang bayar</v>
          </cell>
          <cell r="R43" t="str">
            <v>Rp.</v>
          </cell>
          <cell r="S43">
            <v>292500.00000000006</v>
          </cell>
        </row>
        <row r="44">
          <cell r="B44" t="str">
            <v xml:space="preserve">    Tanggal</v>
          </cell>
          <cell r="D44" t="str">
            <v>:</v>
          </cell>
          <cell r="E44" t="str">
            <v>---</v>
          </cell>
          <cell r="J44" t="str">
            <v xml:space="preserve">    Sanksi bunga/kenaikan :</v>
          </cell>
        </row>
        <row r="45">
          <cell r="B45" t="str">
            <v xml:space="preserve">    Notaris</v>
          </cell>
          <cell r="D45" t="str">
            <v>:</v>
          </cell>
          <cell r="E45" t="str">
            <v>---</v>
          </cell>
          <cell r="J45" t="str">
            <v xml:space="preserve">     - Ps.13 (2) UU No.6 Tahun 1983 :</v>
          </cell>
        </row>
        <row r="46">
          <cell r="B46" t="str">
            <v xml:space="preserve">    Nomor</v>
          </cell>
          <cell r="D46" t="str">
            <v>:</v>
          </cell>
          <cell r="E46" t="str">
            <v>---</v>
          </cell>
          <cell r="J46" t="str">
            <v xml:space="preserve">          2  %  X  </v>
          </cell>
          <cell r="K46">
            <v>24</v>
          </cell>
          <cell r="L46" t="str">
            <v>bulan</v>
          </cell>
          <cell r="M46" t="str">
            <v>X</v>
          </cell>
          <cell r="O46" t="str">
            <v>Rp.</v>
          </cell>
          <cell r="P46">
            <v>292500.00000000006</v>
          </cell>
          <cell r="R46" t="str">
            <v>Rp.</v>
          </cell>
          <cell r="S46">
            <v>140400.00000000003</v>
          </cell>
        </row>
        <row r="47">
          <cell r="A47" t="str">
            <v xml:space="preserve">13. </v>
          </cell>
          <cell r="B47" t="str">
            <v>Permodalan dan daftar pemegang saham</v>
          </cell>
          <cell r="J47" t="str">
            <v xml:space="preserve">     - Ps.13 (3) UU No.6 Tahun 1983 :</v>
          </cell>
          <cell r="R47" t="str">
            <v/>
          </cell>
        </row>
        <row r="48">
          <cell r="B48" t="str">
            <v>a. Permodalan</v>
          </cell>
          <cell r="J48" t="str">
            <v xml:space="preserve">              %  X</v>
          </cell>
          <cell r="L48" t="str">
            <v>Rp.</v>
          </cell>
          <cell r="R48" t="str">
            <v>Rp.</v>
          </cell>
          <cell r="S48">
            <v>0</v>
          </cell>
        </row>
        <row r="49">
          <cell r="B49" t="str">
            <v xml:space="preserve">    Modal statutair</v>
          </cell>
          <cell r="D49" t="str">
            <v>:</v>
          </cell>
          <cell r="E49" t="str">
            <v>Rp. ---     tdr  --- lembar</v>
          </cell>
          <cell r="J49" t="str">
            <v/>
          </cell>
          <cell r="Q49" t="str">
            <v/>
          </cell>
          <cell r="S49" t="str">
            <v/>
          </cell>
          <cell r="AH49" t="str">
            <v>J U M L A H    K O R E K S I</v>
          </cell>
          <cell r="AJ49">
            <v>1233620</v>
          </cell>
        </row>
        <row r="50">
          <cell r="E50" t="str">
            <v xml:space="preserve">@ Rp </v>
          </cell>
          <cell r="J50" t="str">
            <v xml:space="preserve">    PPh Pasal 23 yang masih harus dibayar</v>
          </cell>
          <cell r="R50" t="str">
            <v>Rp.</v>
          </cell>
          <cell r="S50">
            <v>432900.00000000012</v>
          </cell>
        </row>
        <row r="51">
          <cell r="B51" t="str">
            <v xml:space="preserve">    Modal ditempatkan</v>
          </cell>
          <cell r="D51" t="str">
            <v>:</v>
          </cell>
          <cell r="E51" t="str">
            <v>Rp</v>
          </cell>
          <cell r="P51" t="str">
            <v/>
          </cell>
        </row>
        <row r="52">
          <cell r="B52" t="str">
            <v xml:space="preserve">    Modal disetor</v>
          </cell>
          <cell r="D52" t="str">
            <v>:</v>
          </cell>
          <cell r="E52" t="str">
            <v xml:space="preserve">Rp </v>
          </cell>
        </row>
        <row r="54">
          <cell r="AH54" t="str">
            <v>- 8 -</v>
          </cell>
        </row>
        <row r="55">
          <cell r="D55" t="str">
            <v>- 1 -</v>
          </cell>
          <cell r="O55" t="str">
            <v>- 11 -</v>
          </cell>
        </row>
        <row r="57">
          <cell r="A57" t="str">
            <v xml:space="preserve">B. </v>
          </cell>
          <cell r="B57" t="str">
            <v>PEMBUKUAN WAJIB PAJAK</v>
          </cell>
          <cell r="J57" t="str">
            <v>4. PPh Pasal 26</v>
          </cell>
          <cell r="AF57" t="str">
            <v xml:space="preserve">3. </v>
          </cell>
          <cell r="AG57" t="str">
            <v>Obyek PPh Pasal 23</v>
          </cell>
        </row>
        <row r="58">
          <cell r="B58" t="str">
            <v>a. Metode pembukuan yang dipakai</v>
          </cell>
          <cell r="D58" t="str">
            <v>:</v>
          </cell>
          <cell r="E58" t="str">
            <v xml:space="preserve"> [-] Kas   [X] Akrual</v>
          </cell>
        </row>
        <row r="59">
          <cell r="B59" t="str">
            <v>b. Penataan Pembukuan</v>
          </cell>
          <cell r="D59" t="str">
            <v>:</v>
          </cell>
          <cell r="E59" t="str">
            <v xml:space="preserve"> [X] Manual [-]Komputer</v>
          </cell>
          <cell r="J59" t="str">
            <v xml:space="preserve">   Dasar Pengenaan Pajak</v>
          </cell>
          <cell r="R59" t="str">
            <v>Rp.</v>
          </cell>
          <cell r="S59">
            <v>0</v>
          </cell>
          <cell r="AH59" t="str">
            <v xml:space="preserve">                      M E N U R U T</v>
          </cell>
        </row>
        <row r="60">
          <cell r="D60" t="str">
            <v>:</v>
          </cell>
          <cell r="E60" t="str">
            <v xml:space="preserve"> [-] Semi Komputer</v>
          </cell>
          <cell r="J60" t="str">
            <v xml:space="preserve">   Tarif Tax Treaty</v>
          </cell>
          <cell r="AF60" t="str">
            <v>No</v>
          </cell>
          <cell r="AG60" t="str">
            <v>URAIAN</v>
          </cell>
          <cell r="AH60" t="str">
            <v>SPT/WP</v>
          </cell>
          <cell r="AI60" t="str">
            <v>PEMERIKSA</v>
          </cell>
          <cell r="AJ60" t="str">
            <v>KOREKSI</v>
          </cell>
        </row>
        <row r="61">
          <cell r="B61" t="str">
            <v>c. Bila Penataan Pembukuan secara manual</v>
          </cell>
          <cell r="J61" t="str">
            <v xml:space="preserve">   .....% x Rp..........</v>
          </cell>
          <cell r="R61" t="str">
            <v>Rp.</v>
          </cell>
          <cell r="S61">
            <v>0</v>
          </cell>
        </row>
        <row r="62">
          <cell r="B62" t="str">
            <v xml:space="preserve">  -Buku-buku yang digunakan</v>
          </cell>
          <cell r="D62" t="str">
            <v>:</v>
          </cell>
          <cell r="E62" t="str">
            <v>Laporan Bulanan Cabang</v>
          </cell>
          <cell r="J62" t="str">
            <v xml:space="preserve">   Telah disetor</v>
          </cell>
          <cell r="R62" t="str">
            <v>Rp.</v>
          </cell>
          <cell r="S62">
            <v>0</v>
          </cell>
          <cell r="AF62">
            <v>1</v>
          </cell>
          <cell r="AG62" t="str">
            <v>Sewa Kantor</v>
          </cell>
          <cell r="AH62" t="str">
            <v>---</v>
          </cell>
          <cell r="AI62">
            <v>1950000</v>
          </cell>
          <cell r="AJ62">
            <v>1950000</v>
          </cell>
        </row>
        <row r="63">
          <cell r="E63" t="str">
            <v>Buku Kas</v>
          </cell>
          <cell r="J63" t="str">
            <v xml:space="preserve">   PPh Pasal 26 lebih/kurang bayar</v>
          </cell>
          <cell r="R63" t="str">
            <v>Rp.</v>
          </cell>
          <cell r="S63">
            <v>0</v>
          </cell>
        </row>
        <row r="64">
          <cell r="E64" t="str">
            <v>Buku Bank</v>
          </cell>
          <cell r="J64" t="str">
            <v xml:space="preserve">   Sanksi bunga/kenaikan :</v>
          </cell>
        </row>
        <row r="65">
          <cell r="J65" t="str">
            <v xml:space="preserve">    Sanksi bunga/kenaikan :</v>
          </cell>
        </row>
        <row r="66">
          <cell r="J66" t="str">
            <v xml:space="preserve">     - Ps.13 (2) UU No.6 Tahun 1983 :</v>
          </cell>
        </row>
        <row r="67">
          <cell r="J67" t="str">
            <v xml:space="preserve">          2  %  X  </v>
          </cell>
          <cell r="L67" t="str">
            <v>bulan</v>
          </cell>
          <cell r="R67" t="str">
            <v>Rp.</v>
          </cell>
          <cell r="S67">
            <v>0</v>
          </cell>
        </row>
        <row r="68">
          <cell r="B68" t="str">
            <v>d. Bila Penataan Pembukuan dengan komputer</v>
          </cell>
          <cell r="D68" t="str">
            <v>:</v>
          </cell>
          <cell r="E68" t="str">
            <v>---</v>
          </cell>
          <cell r="J68" t="str">
            <v xml:space="preserve">     - Ps.13 (3) UU No.6 Tahun 1983 :</v>
          </cell>
          <cell r="R68" t="str">
            <v/>
          </cell>
        </row>
        <row r="69">
          <cell r="B69" t="str">
            <v>d. 1. Jenis software yang digunakan</v>
          </cell>
          <cell r="D69" t="str">
            <v>:</v>
          </cell>
          <cell r="E69" t="str">
            <v>---</v>
          </cell>
          <cell r="J69" t="str">
            <v xml:space="preserve">              %  X</v>
          </cell>
          <cell r="L69" t="str">
            <v>Rp.</v>
          </cell>
          <cell r="R69" t="str">
            <v>Rp.</v>
          </cell>
          <cell r="S69">
            <v>0</v>
          </cell>
        </row>
        <row r="70">
          <cell r="B70" t="str">
            <v>d. 2. File yang ada</v>
          </cell>
          <cell r="D70" t="str">
            <v>:</v>
          </cell>
          <cell r="E70" t="str">
            <v>---</v>
          </cell>
          <cell r="J70" t="str">
            <v xml:space="preserve">    PPh Pasal 26 yang masih harus dibayar</v>
          </cell>
          <cell r="R70" t="str">
            <v>Rp.</v>
          </cell>
          <cell r="S70">
            <v>0</v>
          </cell>
        </row>
        <row r="71">
          <cell r="B71" t="str">
            <v xml:space="preserve">e. Bila Penataan Pembukuan secara semi </v>
          </cell>
          <cell r="D71" t="str">
            <v/>
          </cell>
          <cell r="E71" t="str">
            <v/>
          </cell>
          <cell r="AH71" t="str">
            <v>J U M L A H    K O R E K S I</v>
          </cell>
          <cell r="AJ71">
            <v>1950000</v>
          </cell>
        </row>
        <row r="72">
          <cell r="B72" t="str">
            <v xml:space="preserve">    komputer</v>
          </cell>
          <cell r="D72" t="str">
            <v/>
          </cell>
          <cell r="E72" t="str">
            <v/>
          </cell>
          <cell r="J72" t="str">
            <v>5. PPN/PPn BM</v>
          </cell>
        </row>
        <row r="73">
          <cell r="B73" t="str">
            <v xml:space="preserve">e. 1. Buku yang digunakan </v>
          </cell>
          <cell r="D73" t="str">
            <v>:</v>
          </cell>
          <cell r="E73" t="str">
            <v>---</v>
          </cell>
        </row>
        <row r="74">
          <cell r="B74" t="str">
            <v>e. 2. Jenis Software yang digunakan</v>
          </cell>
          <cell r="D74" t="str">
            <v>:</v>
          </cell>
          <cell r="E74" t="str">
            <v>---</v>
          </cell>
          <cell r="J74" t="str">
            <v xml:space="preserve">    P P N</v>
          </cell>
          <cell r="AF74" t="str">
            <v xml:space="preserve">4. </v>
          </cell>
          <cell r="AG74" t="str">
            <v>Obyek PPh Pasal 26</v>
          </cell>
        </row>
        <row r="75">
          <cell r="B75" t="str">
            <v>e. 3. File yang ada</v>
          </cell>
          <cell r="D75" t="str">
            <v>:</v>
          </cell>
          <cell r="E75" t="str">
            <v>---</v>
          </cell>
          <cell r="P75" t="str">
            <v>D P P</v>
          </cell>
          <cell r="S75" t="str">
            <v>P P N</v>
          </cell>
        </row>
        <row r="76">
          <cell r="B76" t="str">
            <v>f. Tahun Buku</v>
          </cell>
          <cell r="D76" t="str">
            <v>:</v>
          </cell>
          <cell r="E76" t="str">
            <v xml:space="preserve"> Mulai 1 Januari  s.d.  31 Desember</v>
          </cell>
          <cell r="J76" t="str">
            <v xml:space="preserve">    Jumlah Penyerahan Kena Pajak</v>
          </cell>
          <cell r="AH76" t="str">
            <v xml:space="preserve">                      M E N U R U T</v>
          </cell>
        </row>
        <row r="77">
          <cell r="B77" t="str">
            <v>g. Laporan Keuangan disusun/diaudit</v>
          </cell>
          <cell r="D77" t="str">
            <v>:</v>
          </cell>
          <cell r="E77" t="str">
            <v xml:space="preserve"> [X] Disusun sendiri</v>
          </cell>
          <cell r="AF77" t="str">
            <v>No</v>
          </cell>
          <cell r="AG77" t="str">
            <v>URAIAN</v>
          </cell>
          <cell r="AH77" t="str">
            <v>SPT/WP</v>
          </cell>
          <cell r="AI77" t="str">
            <v>PEMERIKSA</v>
          </cell>
          <cell r="AJ77" t="str">
            <v>KOREKSI</v>
          </cell>
        </row>
        <row r="78">
          <cell r="D78" t="str">
            <v>:</v>
          </cell>
          <cell r="E78" t="str">
            <v xml:space="preserve"> [ - ] Ktr.Akuntan Publik : </v>
          </cell>
          <cell r="J78" t="str">
            <v xml:space="preserve">     a. Ekspor</v>
          </cell>
          <cell r="O78" t="str">
            <v>Rp.</v>
          </cell>
          <cell r="P78">
            <v>0</v>
          </cell>
          <cell r="R78" t="str">
            <v>Rp</v>
          </cell>
          <cell r="S78">
            <v>0</v>
          </cell>
        </row>
        <row r="79">
          <cell r="J79" t="str">
            <v xml:space="preserve">     b. Penyerahan yang PPN-nya ditunda, ditang</v>
          </cell>
          <cell r="AF79" t="str">
            <v>---</v>
          </cell>
          <cell r="AG79" t="str">
            <v>---</v>
          </cell>
          <cell r="AH79">
            <v>0</v>
          </cell>
          <cell r="AI79">
            <v>0</v>
          </cell>
          <cell r="AJ79">
            <v>0</v>
          </cell>
        </row>
        <row r="80">
          <cell r="J80" t="str">
            <v xml:space="preserve">          guhkan, ditanggung Pemerintah dll.</v>
          </cell>
          <cell r="O80" t="str">
            <v>Rp</v>
          </cell>
          <cell r="P80">
            <v>0</v>
          </cell>
          <cell r="R80" t="str">
            <v>Rp</v>
          </cell>
          <cell r="S80">
            <v>0</v>
          </cell>
        </row>
        <row r="81">
          <cell r="E81" t="str">
            <v/>
          </cell>
          <cell r="J81" t="str">
            <v xml:space="preserve">     c. Penyerahan yang PPN-nya harus dipungut :</v>
          </cell>
        </row>
        <row r="82">
          <cell r="E82" t="str">
            <v xml:space="preserve">     No.Reg  :  </v>
          </cell>
          <cell r="J82" t="str">
            <v xml:space="preserve">        - Dengan Tarif umum 10%</v>
          </cell>
          <cell r="O82" t="str">
            <v>Rp</v>
          </cell>
          <cell r="P82">
            <v>1300000</v>
          </cell>
          <cell r="R82" t="str">
            <v>Rp. 20.205.155,-</v>
          </cell>
          <cell r="S82">
            <v>130000</v>
          </cell>
        </row>
        <row r="83">
          <cell r="E83" t="str">
            <v xml:space="preserve">     Pendapat Akuntan  :  </v>
          </cell>
          <cell r="J83" t="str">
            <v xml:space="preserve">        - Dengan Tarif efektif......%</v>
          </cell>
          <cell r="O83" t="str">
            <v>Rp</v>
          </cell>
          <cell r="P83">
            <v>0</v>
          </cell>
          <cell r="R83" t="str">
            <v>Rp.   --</v>
          </cell>
          <cell r="S83">
            <v>0</v>
          </cell>
        </row>
        <row r="84">
          <cell r="D84" t="str">
            <v/>
          </cell>
          <cell r="E84" t="str">
            <v/>
          </cell>
          <cell r="J84" t="str">
            <v xml:space="preserve">     Jumlah Penyerahan Kena Pajak</v>
          </cell>
          <cell r="O84" t="str">
            <v>Rp.</v>
          </cell>
          <cell r="P84">
            <v>1300000</v>
          </cell>
          <cell r="R84" t="str">
            <v>Rp.   --</v>
          </cell>
          <cell r="S84">
            <v>130000</v>
          </cell>
        </row>
        <row r="85">
          <cell r="B85" t="str">
            <v>h. Pendapat Pemeriksa mengenai Pembukuan Wajib Pajak :</v>
          </cell>
        </row>
        <row r="87">
          <cell r="P87" t="str">
            <v>D P P</v>
          </cell>
          <cell r="S87" t="str">
            <v>P P N</v>
          </cell>
        </row>
        <row r="88">
          <cell r="B88" t="str">
            <v>Pembukuan telah memenuhi Pasal 28 ( 4 ) UU No. 6 tahun 1983</v>
          </cell>
          <cell r="J88" t="str">
            <v xml:space="preserve">    Jumlah Pajak Keluaran</v>
          </cell>
          <cell r="AH88" t="str">
            <v>J U M L A H    K O R E K S I</v>
          </cell>
          <cell r="AJ88">
            <v>0</v>
          </cell>
        </row>
        <row r="89">
          <cell r="B89" t="str">
            <v>Secara formal pembukuan telah dilaksanakan dengan baik.</v>
          </cell>
          <cell r="J89" t="str">
            <v xml:space="preserve">     a. Pajak Keluaran seluruhnya :</v>
          </cell>
        </row>
        <row r="90">
          <cell r="J90" t="str">
            <v xml:space="preserve">       -Dengan tarif umum 10%</v>
          </cell>
          <cell r="O90" t="str">
            <v>Rp.</v>
          </cell>
          <cell r="P90">
            <v>1300000</v>
          </cell>
          <cell r="R90" t="str">
            <v>Rp.</v>
          </cell>
          <cell r="S90">
            <v>130000</v>
          </cell>
        </row>
        <row r="91">
          <cell r="J91" t="str">
            <v xml:space="preserve">       -Dengan tarif efektif......%</v>
          </cell>
          <cell r="O91" t="str">
            <v>Rp.</v>
          </cell>
          <cell r="P91">
            <v>0</v>
          </cell>
          <cell r="R91" t="str">
            <v>Rp.</v>
          </cell>
          <cell r="S91">
            <v>0</v>
          </cell>
          <cell r="AF91" t="str">
            <v xml:space="preserve">5. </v>
          </cell>
          <cell r="AG91" t="str">
            <v>Obyek PPN/PPn BM</v>
          </cell>
        </row>
        <row r="92">
          <cell r="J92" t="str">
            <v xml:space="preserve">     b. Dikurangi retur pemjualan</v>
          </cell>
          <cell r="O92" t="str">
            <v>Rp.</v>
          </cell>
          <cell r="P92">
            <v>0</v>
          </cell>
          <cell r="R92" t="str">
            <v>Rp.</v>
          </cell>
          <cell r="S92">
            <v>0</v>
          </cell>
        </row>
        <row r="93">
          <cell r="J93" t="str">
            <v xml:space="preserve">     c. Dikurangi Pajak Keluaran Ex.</v>
          </cell>
          <cell r="AH93" t="str">
            <v xml:space="preserve">                      M E N U R U T</v>
          </cell>
        </row>
        <row r="94">
          <cell r="J94" t="str">
            <v xml:space="preserve">         Keppres No.56/1988</v>
          </cell>
          <cell r="O94" t="str">
            <v>Rp.</v>
          </cell>
          <cell r="P94">
            <v>0</v>
          </cell>
          <cell r="R94" t="str">
            <v>Rp.</v>
          </cell>
          <cell r="S94">
            <v>0</v>
          </cell>
          <cell r="AF94" t="str">
            <v>No</v>
          </cell>
          <cell r="AG94" t="str">
            <v>URAIAN</v>
          </cell>
          <cell r="AH94" t="str">
            <v>SPT/WP</v>
          </cell>
          <cell r="AI94" t="str">
            <v>PEMERIKSA</v>
          </cell>
          <cell r="AJ94" t="str">
            <v>KOREKSI</v>
          </cell>
        </row>
        <row r="95">
          <cell r="J95" t="str">
            <v xml:space="preserve">         Pajak Keluaran yang hrs dipungut</v>
          </cell>
          <cell r="O95" t="str">
            <v>Rp.   nihil</v>
          </cell>
          <cell r="P95">
            <v>1300000</v>
          </cell>
          <cell r="R95" t="str">
            <v>Rp.   --</v>
          </cell>
          <cell r="S95">
            <v>130000</v>
          </cell>
        </row>
        <row r="96">
          <cell r="AF96">
            <v>1</v>
          </cell>
          <cell r="AG96" t="str">
            <v>Jasa keagenan kapal</v>
          </cell>
          <cell r="AH96">
            <v>1300000</v>
          </cell>
          <cell r="AI96">
            <v>1300000</v>
          </cell>
          <cell r="AJ96">
            <v>0</v>
          </cell>
        </row>
        <row r="97">
          <cell r="A97" t="str">
            <v xml:space="preserve">C. </v>
          </cell>
          <cell r="B97" t="str">
            <v>PEMENUHAN KEWAJIBAN PERPAJAKAN TAHUN YANG DIPERIKSA</v>
          </cell>
        </row>
        <row r="98">
          <cell r="P98" t="str">
            <v>D P P</v>
          </cell>
          <cell r="S98" t="str">
            <v>P P N</v>
          </cell>
        </row>
        <row r="99">
          <cell r="B99" t="str">
            <v xml:space="preserve">    1.Pelaksanaan kewajiban perpajakan dilakukan :</v>
          </cell>
          <cell r="J99" t="str">
            <v xml:space="preserve">    Kredit Pajak Pertambahan Nilai :</v>
          </cell>
        </row>
        <row r="100">
          <cell r="J100" t="str">
            <v xml:space="preserve">     a. Pajak Masukan Impor</v>
          </cell>
          <cell r="O100" t="str">
            <v>Rp.</v>
          </cell>
          <cell r="P100">
            <v>0</v>
          </cell>
          <cell r="R100" t="str">
            <v>Rp.</v>
          </cell>
          <cell r="S100">
            <v>0</v>
          </cell>
        </row>
        <row r="101">
          <cell r="D101" t="str">
            <v xml:space="preserve">  [ X ] Dilaksanakan sendiri</v>
          </cell>
          <cell r="J101" t="str">
            <v xml:space="preserve">     b. Pajak masukan Dalam Negeri</v>
          </cell>
          <cell r="O101" t="str">
            <v>Rp.</v>
          </cell>
          <cell r="P101">
            <v>0</v>
          </cell>
          <cell r="R101" t="str">
            <v>Rp.</v>
          </cell>
          <cell r="S101">
            <v>0</v>
          </cell>
        </row>
        <row r="102">
          <cell r="D102" t="str">
            <v xml:space="preserve">  [ - ] Konsultan Pajak :</v>
          </cell>
          <cell r="J102" t="str">
            <v xml:space="preserve">     c. Pajak masukan dari Masa Pajak </v>
          </cell>
          <cell r="P102" t="str">
            <v/>
          </cell>
          <cell r="S102" t="str">
            <v/>
          </cell>
        </row>
        <row r="103">
          <cell r="D103" t="str">
            <v xml:space="preserve">        -</v>
          </cell>
          <cell r="J103" t="str">
            <v xml:space="preserve">         yang tidak sama.</v>
          </cell>
          <cell r="O103" t="str">
            <v>Rp.</v>
          </cell>
          <cell r="P103">
            <v>0</v>
          </cell>
          <cell r="R103" t="str">
            <v>Rp.</v>
          </cell>
          <cell r="S103">
            <v>0</v>
          </cell>
        </row>
        <row r="104">
          <cell r="D104" t="str">
            <v xml:space="preserve">     Nama Konsultan Pajak :</v>
          </cell>
          <cell r="J104" t="str">
            <v xml:space="preserve">     d. Dibayar sendiri/SSP</v>
          </cell>
          <cell r="O104" t="str">
            <v>Rp.</v>
          </cell>
          <cell r="P104">
            <v>1300000</v>
          </cell>
          <cell r="R104" t="str">
            <v>Rp.</v>
          </cell>
          <cell r="S104">
            <v>130000</v>
          </cell>
        </row>
        <row r="105">
          <cell r="D105" t="str">
            <v xml:space="preserve">       -</v>
          </cell>
          <cell r="J105" t="str">
            <v xml:space="preserve">     e. Dikomp. ke masa berikutnya/direstitusi</v>
          </cell>
          <cell r="O105" t="str">
            <v>Rp.</v>
          </cell>
          <cell r="P105">
            <v>0</v>
          </cell>
          <cell r="R105" t="str">
            <v>Rp.</v>
          </cell>
          <cell r="S105">
            <v>0</v>
          </cell>
          <cell r="AH105" t="str">
            <v>J U M L A H    K O R E K S I</v>
          </cell>
          <cell r="AJ105">
            <v>0</v>
          </cell>
        </row>
        <row r="106">
          <cell r="D106" t="str">
            <v xml:space="preserve">     No.Surat Izin kerja :</v>
          </cell>
          <cell r="J106" t="str">
            <v xml:space="preserve">     f. Dikurangi retur pembelian</v>
          </cell>
          <cell r="O106" t="str">
            <v>Rp.</v>
          </cell>
          <cell r="P106">
            <v>0</v>
          </cell>
          <cell r="R106" t="str">
            <v>Rp.</v>
          </cell>
          <cell r="S106">
            <v>0</v>
          </cell>
        </row>
        <row r="107">
          <cell r="E107" t="str">
            <v xml:space="preserve">    -</v>
          </cell>
          <cell r="J107" t="str">
            <v xml:space="preserve">     g. Dikurangi pembayaran pendahuluan </v>
          </cell>
          <cell r="P107" t="str">
            <v/>
          </cell>
        </row>
        <row r="108">
          <cell r="J108" t="str">
            <v xml:space="preserve">         / pengembalian oleh BAPEKSTA</v>
          </cell>
          <cell r="O108" t="str">
            <v>Rp.</v>
          </cell>
          <cell r="P108">
            <v>0</v>
          </cell>
          <cell r="R108" t="str">
            <v>Rp.</v>
          </cell>
          <cell r="S108">
            <v>0</v>
          </cell>
        </row>
        <row r="109">
          <cell r="J109" t="str">
            <v xml:space="preserve">      Jumlah Kredit PPN</v>
          </cell>
          <cell r="O109" t="str">
            <v>Rp.</v>
          </cell>
          <cell r="P109">
            <v>1300000</v>
          </cell>
          <cell r="R109" t="str">
            <v>Rp.</v>
          </cell>
          <cell r="S109">
            <v>130000</v>
          </cell>
        </row>
        <row r="111">
          <cell r="D111" t="str">
            <v>- 3 -</v>
          </cell>
          <cell r="O111" t="str">
            <v>- 12 -</v>
          </cell>
          <cell r="AH111" t="str">
            <v>- 9 -</v>
          </cell>
        </row>
        <row r="113">
          <cell r="B113" t="str">
            <v>2. Ketaatan pemasukan SPT</v>
          </cell>
          <cell r="J113" t="str">
            <v xml:space="preserve">   Pajak yang kurang/lebih dibayar</v>
          </cell>
          <cell r="U113" t="str">
            <v>2. DATA/INFORMASI YANG DIPRODUKSI</v>
          </cell>
          <cell r="AF113" t="str">
            <v xml:space="preserve">6. </v>
          </cell>
          <cell r="AG113" t="str">
            <v>Obyek PBB</v>
          </cell>
        </row>
        <row r="114">
          <cell r="B114" t="str">
            <v xml:space="preserve">    -SPT Tahunan :</v>
          </cell>
          <cell r="J114" t="str">
            <v xml:space="preserve">   a. Penyerahan kena Pajak</v>
          </cell>
          <cell r="R114" t="str">
            <v>Rp.</v>
          </cell>
          <cell r="S114">
            <v>1300000</v>
          </cell>
        </row>
        <row r="115">
          <cell r="B115" t="str">
            <v xml:space="preserve">       -PPh Pasal 21   </v>
          </cell>
          <cell r="D115" t="str">
            <v>:</v>
          </cell>
          <cell r="E115" t="str">
            <v xml:space="preserve"> [-] Tepat waktu</v>
          </cell>
          <cell r="F115" t="str">
            <v>--</v>
          </cell>
          <cell r="J115" t="str">
            <v xml:space="preserve">   b. Pajak keluaran</v>
          </cell>
          <cell r="R115" t="str">
            <v>Rp.</v>
          </cell>
          <cell r="S115">
            <v>130000</v>
          </cell>
          <cell r="U115" t="str">
            <v>Tidak ada</v>
          </cell>
          <cell r="AH115" t="str">
            <v xml:space="preserve">                      M E N U R U T</v>
          </cell>
        </row>
        <row r="116">
          <cell r="E116" t="str">
            <v xml:space="preserve"> [-] Tidak tepat waktu</v>
          </cell>
          <cell r="F116" t="str">
            <v>--</v>
          </cell>
          <cell r="J116" t="str">
            <v xml:space="preserve">   c. kredit PPN</v>
          </cell>
          <cell r="R116" t="str">
            <v>Rp.</v>
          </cell>
          <cell r="S116">
            <v>130000</v>
          </cell>
          <cell r="AF116" t="str">
            <v>No</v>
          </cell>
          <cell r="AG116" t="str">
            <v>URAIAN</v>
          </cell>
          <cell r="AH116" t="str">
            <v>SPT/WP</v>
          </cell>
          <cell r="AI116" t="str">
            <v>PEMERIKSA</v>
          </cell>
          <cell r="AJ116" t="str">
            <v>KOREKSI</v>
          </cell>
        </row>
        <row r="117">
          <cell r="E117" t="str">
            <v xml:space="preserve"> [X] Tidak disampaikan</v>
          </cell>
          <cell r="F117" t="str">
            <v>--</v>
          </cell>
          <cell r="J117" t="str">
            <v xml:space="preserve">       pajak yang Kurang dibayar</v>
          </cell>
          <cell r="R117" t="str">
            <v>Rp.</v>
          </cell>
          <cell r="S117">
            <v>0</v>
          </cell>
        </row>
        <row r="118">
          <cell r="J118" t="str">
            <v xml:space="preserve">   d. Denda :</v>
          </cell>
          <cell r="AF118" t="str">
            <v>---</v>
          </cell>
          <cell r="AG118" t="str">
            <v>---</v>
          </cell>
          <cell r="AH118" t="str">
            <v>---</v>
          </cell>
          <cell r="AI118" t="str">
            <v>---</v>
          </cell>
          <cell r="AJ118" t="str">
            <v>---</v>
          </cell>
        </row>
        <row r="119">
          <cell r="B119" t="str">
            <v xml:space="preserve">       -PPh Pasal 25/29</v>
          </cell>
          <cell r="D119" t="str">
            <v>:</v>
          </cell>
          <cell r="E119" t="str">
            <v xml:space="preserve"> [-] Tepat waktu</v>
          </cell>
          <cell r="F119" t="str">
            <v>--</v>
          </cell>
          <cell r="J119" t="str">
            <v xml:space="preserve">       -Psl 13 (2) UU No.6/1983 </v>
          </cell>
          <cell r="O119" t="str">
            <v>Rp.   --</v>
          </cell>
          <cell r="P119">
            <v>0</v>
          </cell>
          <cell r="T119" t="str">
            <v/>
          </cell>
        </row>
        <row r="120">
          <cell r="E120" t="str">
            <v xml:space="preserve"> [-] Tidak tepat waktu</v>
          </cell>
          <cell r="F120" t="str">
            <v>--</v>
          </cell>
          <cell r="J120" t="str">
            <v xml:space="preserve">       -Psl 13 (3) UU No.6/1983 </v>
          </cell>
          <cell r="O120" t="str">
            <v>Rp.   --</v>
          </cell>
          <cell r="P120">
            <v>0</v>
          </cell>
          <cell r="W120" t="str">
            <v/>
          </cell>
        </row>
        <row r="121">
          <cell r="E121" t="str">
            <v xml:space="preserve"> [-] Tidak disampaikan</v>
          </cell>
          <cell r="F121" t="str">
            <v>--</v>
          </cell>
          <cell r="J121" t="str">
            <v xml:space="preserve">       -Psl 13 (8) UU No.8/1983 </v>
          </cell>
          <cell r="O121" t="str">
            <v>Rp.   --</v>
          </cell>
          <cell r="P121">
            <v>0</v>
          </cell>
        </row>
        <row r="122">
          <cell r="O122" t="str">
            <v/>
          </cell>
          <cell r="P122" t="str">
            <v/>
          </cell>
          <cell r="R122" t="str">
            <v>Rp.</v>
          </cell>
          <cell r="S122">
            <v>0</v>
          </cell>
        </row>
        <row r="123">
          <cell r="B123" t="str">
            <v xml:space="preserve">       -SPOP PBB</v>
          </cell>
          <cell r="D123" t="str">
            <v>:</v>
          </cell>
          <cell r="E123" t="str">
            <v xml:space="preserve"> [-] Tepat waktu</v>
          </cell>
          <cell r="F123" t="str">
            <v>--</v>
          </cell>
          <cell r="J123" t="str">
            <v xml:space="preserve">    PPN Yang masih harus dibayar</v>
          </cell>
          <cell r="R123" t="str">
            <v>Rp.   --</v>
          </cell>
          <cell r="S123">
            <v>0</v>
          </cell>
        </row>
        <row r="124">
          <cell r="E124" t="str">
            <v xml:space="preserve"> [-] Tidak tepat waktu</v>
          </cell>
          <cell r="F124" t="str">
            <v>--</v>
          </cell>
          <cell r="S124" t="str">
            <v/>
          </cell>
        </row>
        <row r="125">
          <cell r="E125" t="str">
            <v xml:space="preserve"> [-] Tidak disampaikan</v>
          </cell>
          <cell r="F125" t="str">
            <v>--</v>
          </cell>
          <cell r="J125" t="str">
            <v>PPn   BM</v>
          </cell>
          <cell r="U125" t="str">
            <v>3. USUL PEMERIKSA</v>
          </cell>
        </row>
        <row r="126">
          <cell r="O126" t="str">
            <v/>
          </cell>
          <cell r="P126" t="str">
            <v/>
          </cell>
          <cell r="U126" t="str">
            <v/>
          </cell>
        </row>
        <row r="127">
          <cell r="B127" t="str">
            <v xml:space="preserve">    - SPT Masa :</v>
          </cell>
          <cell r="J127" t="str">
            <v>Penyerahan Dalam Negeri dan Ekspor</v>
          </cell>
          <cell r="U127" t="str">
            <v xml:space="preserve">      Berdasarkan data yang ditemukan dalam pemeriksaan, maka pajak terhutang  seperti pada </v>
          </cell>
        </row>
        <row r="128">
          <cell r="B128" t="str">
            <v xml:space="preserve">       -PPh Pasal 21</v>
          </cell>
          <cell r="D128" t="str">
            <v>:</v>
          </cell>
          <cell r="E128" t="str">
            <v xml:space="preserve"> [-] Tepat waktu</v>
          </cell>
          <cell r="F128" t="str">
            <v>-- bulan</v>
          </cell>
          <cell r="S128" t="str">
            <v xml:space="preserve">D P P            </v>
          </cell>
          <cell r="U128" t="str">
            <v xml:space="preserve">       nomor urut 1 diatas, Oleh  karenanya  agar  segera  diterbitkan :</v>
          </cell>
        </row>
        <row r="129">
          <cell r="E129" t="str">
            <v xml:space="preserve"> [-] Tidak tepat waktu</v>
          </cell>
          <cell r="F129" t="str">
            <v>-- bulan</v>
          </cell>
          <cell r="J129" t="str">
            <v xml:space="preserve">   a. Dikenakan tarif 0%(ekspor)</v>
          </cell>
          <cell r="R129" t="str">
            <v>Rp.</v>
          </cell>
          <cell r="S129">
            <v>0</v>
          </cell>
          <cell r="U129" t="str">
            <v xml:space="preserve">         - SKPN untuk PPh pasal 21</v>
          </cell>
        </row>
        <row r="130">
          <cell r="E130" t="str">
            <v xml:space="preserve"> [X] Tidak disampaikan</v>
          </cell>
          <cell r="F130" t="str">
            <v xml:space="preserve">  12  bulan</v>
          </cell>
          <cell r="J130" t="str">
            <v xml:space="preserve">   b. Dikenakan tarif 10%</v>
          </cell>
          <cell r="R130" t="str">
            <v>Rp.</v>
          </cell>
          <cell r="S130">
            <v>0</v>
          </cell>
          <cell r="U130" t="str">
            <v xml:space="preserve">         - SKPKB untuk PPh pasal 23</v>
          </cell>
        </row>
        <row r="131">
          <cell r="J131" t="str">
            <v xml:space="preserve">   c. Dikenakan tarif 20%</v>
          </cell>
          <cell r="R131" t="str">
            <v>Rp.</v>
          </cell>
          <cell r="S131">
            <v>0</v>
          </cell>
          <cell r="U131" t="str">
            <v xml:space="preserve">         - SKPN untuk PPN</v>
          </cell>
        </row>
        <row r="132">
          <cell r="B132" t="str">
            <v xml:space="preserve">       -PPN/PPn BM</v>
          </cell>
          <cell r="D132" t="str">
            <v>:</v>
          </cell>
          <cell r="E132" t="str">
            <v xml:space="preserve"> [-] Tepat waktu</v>
          </cell>
          <cell r="F132" t="str">
            <v>-- bulan</v>
          </cell>
          <cell r="J132" t="str">
            <v xml:space="preserve">   d. Dikenakan tarif 30%</v>
          </cell>
          <cell r="R132" t="str">
            <v>Rp.</v>
          </cell>
          <cell r="S132">
            <v>0</v>
          </cell>
        </row>
        <row r="133">
          <cell r="E133" t="str">
            <v xml:space="preserve"> [-] Tidak tepat waktu</v>
          </cell>
          <cell r="F133" t="str">
            <v>-- bulan</v>
          </cell>
          <cell r="J133" t="str">
            <v xml:space="preserve">   e. Ditunda,ditghk dan ditanggung pemerintah.</v>
          </cell>
          <cell r="R133" t="str">
            <v>Rp.</v>
          </cell>
          <cell r="S133">
            <v>0</v>
          </cell>
        </row>
        <row r="134">
          <cell r="E134" t="str">
            <v xml:space="preserve"> [-] Tidak disampaikan</v>
          </cell>
          <cell r="F134" t="str">
            <v>-- bulan</v>
          </cell>
          <cell r="J134" t="str">
            <v xml:space="preserve">   Jumlah Penyerahan DN dan ekspor</v>
          </cell>
          <cell r="R134" t="str">
            <v>Rp.</v>
          </cell>
          <cell r="S134">
            <v>0</v>
          </cell>
          <cell r="AH134" t="str">
            <v>J U M L A H    K O R E K S I</v>
          </cell>
          <cell r="AJ134" t="str">
            <v>---</v>
          </cell>
        </row>
        <row r="136">
          <cell r="B136" t="str">
            <v>3. Ketaatan pembayaran/setoran masa</v>
          </cell>
          <cell r="D136" t="str">
            <v>:</v>
          </cell>
          <cell r="R136" t="str">
            <v/>
          </cell>
          <cell r="AF136" t="str">
            <v/>
          </cell>
          <cell r="AG136" t="str">
            <v/>
          </cell>
        </row>
        <row r="137">
          <cell r="B137" t="str">
            <v xml:space="preserve">       -PPh Pasal 25</v>
          </cell>
          <cell r="D137" t="str">
            <v>:</v>
          </cell>
          <cell r="E137" t="str">
            <v xml:space="preserve"> [-] Tepat waktu</v>
          </cell>
          <cell r="F137" t="str">
            <v>-- bulan</v>
          </cell>
          <cell r="J137" t="str">
            <v>PPn BM atas penyerahan Dalam Negeri</v>
          </cell>
          <cell r="R137" t="str">
            <v/>
          </cell>
          <cell r="S137" t="str">
            <v xml:space="preserve">P P n  B M        </v>
          </cell>
          <cell r="AF137" t="str">
            <v>B. KREDIT PAJAK</v>
          </cell>
        </row>
        <row r="138">
          <cell r="E138" t="str">
            <v xml:space="preserve"> [-] Tidak tepat waktu</v>
          </cell>
          <cell r="F138" t="str">
            <v>-- bulan</v>
          </cell>
          <cell r="J138" t="str">
            <v xml:space="preserve">   a. Tarif 10%</v>
          </cell>
          <cell r="R138" t="str">
            <v>Rp.</v>
          </cell>
          <cell r="S138">
            <v>0</v>
          </cell>
          <cell r="Z138" t="str">
            <v>Ujung Pandang,   31  Agustus 1995</v>
          </cell>
          <cell r="AF138" t="str">
            <v/>
          </cell>
          <cell r="AG138" t="str">
            <v/>
          </cell>
        </row>
        <row r="139">
          <cell r="E139" t="str">
            <v xml:space="preserve"> [-] Tidak disampaikan</v>
          </cell>
          <cell r="F139" t="str">
            <v>-- bulan</v>
          </cell>
          <cell r="J139" t="str">
            <v xml:space="preserve">   b. Tarif 20%</v>
          </cell>
          <cell r="R139" t="str">
            <v>Rp.</v>
          </cell>
          <cell r="S139">
            <v>0</v>
          </cell>
          <cell r="AH139" t="str">
            <v xml:space="preserve">                      M E N U R U T</v>
          </cell>
        </row>
        <row r="140">
          <cell r="J140" t="str">
            <v xml:space="preserve">   c. Tarif 30%</v>
          </cell>
          <cell r="R140" t="str">
            <v>Rp.</v>
          </cell>
          <cell r="S140">
            <v>0</v>
          </cell>
          <cell r="V140" t="str">
            <v xml:space="preserve">          SUPERVISOR</v>
          </cell>
          <cell r="Z140" t="str">
            <v>KETUA TIM PEMERIKSA</v>
          </cell>
          <cell r="AF140" t="str">
            <v>No</v>
          </cell>
          <cell r="AG140" t="str">
            <v>URAIAN</v>
          </cell>
          <cell r="AH140" t="str">
            <v>SPT/WP</v>
          </cell>
          <cell r="AI140" t="str">
            <v>PEMERIKSA</v>
          </cell>
          <cell r="AJ140" t="str">
            <v>KOREKSI</v>
          </cell>
        </row>
        <row r="141">
          <cell r="B141" t="str">
            <v xml:space="preserve">       -PPh Pasal 21</v>
          </cell>
          <cell r="D141" t="str">
            <v>:</v>
          </cell>
          <cell r="E141" t="str">
            <v xml:space="preserve"> [-] Tepat waktu</v>
          </cell>
          <cell r="F141" t="str">
            <v>-- bulan</v>
          </cell>
          <cell r="J141" t="str">
            <v xml:space="preserve">   d. Dikurangi retur penjualan</v>
          </cell>
          <cell r="R141" t="str">
            <v>Rp.</v>
          </cell>
          <cell r="S141">
            <v>0</v>
          </cell>
        </row>
        <row r="142">
          <cell r="E142" t="str">
            <v xml:space="preserve"> [-] Tidak tepat waktu</v>
          </cell>
          <cell r="F142" t="str">
            <v>-- bulan</v>
          </cell>
          <cell r="J142" t="str">
            <v xml:space="preserve">   e. Dikurangi PPn BM Ex.Keppres 56/88</v>
          </cell>
          <cell r="R142" t="str">
            <v>Rp.</v>
          </cell>
          <cell r="S142">
            <v>0</v>
          </cell>
        </row>
        <row r="143">
          <cell r="E143" t="str">
            <v xml:space="preserve"> [-] Tidak disampaikan</v>
          </cell>
          <cell r="F143" t="str">
            <v>-- bulan</v>
          </cell>
          <cell r="J143" t="str">
            <v xml:space="preserve">   Jumlah PPn BM yang harus disetor</v>
          </cell>
          <cell r="R143" t="str">
            <v>Rp.</v>
          </cell>
          <cell r="S143">
            <v>0</v>
          </cell>
          <cell r="AF143" t="str">
            <v>---</v>
          </cell>
          <cell r="AG143" t="str">
            <v>---</v>
          </cell>
          <cell r="AH143" t="str">
            <v>---</v>
          </cell>
          <cell r="AI143" t="str">
            <v>---</v>
          </cell>
          <cell r="AJ143" t="str">
            <v>---</v>
          </cell>
        </row>
        <row r="145">
          <cell r="B145" t="str">
            <v xml:space="preserve">       -PPh Pasal 23</v>
          </cell>
          <cell r="D145" t="str">
            <v>:</v>
          </cell>
          <cell r="E145" t="str">
            <v xml:space="preserve"> [-] Tepat waktu</v>
          </cell>
          <cell r="F145" t="str">
            <v>-- bulan</v>
          </cell>
          <cell r="R145" t="str">
            <v/>
          </cell>
          <cell r="V145" t="str">
            <v xml:space="preserve">       Drs. SUDARSONO</v>
          </cell>
          <cell r="Z145" t="str">
            <v xml:space="preserve">   MIXON PARDOMUAN</v>
          </cell>
        </row>
        <row r="146">
          <cell r="E146" t="str">
            <v xml:space="preserve"> [-] Tidak tepat waktu</v>
          </cell>
          <cell r="F146" t="str">
            <v>-- bulan</v>
          </cell>
          <cell r="J146" t="str">
            <v>PPn BM atas Impor</v>
          </cell>
          <cell r="V146" t="str">
            <v xml:space="preserve">           NIP. 060027101</v>
          </cell>
          <cell r="Z146" t="str">
            <v xml:space="preserve">         NIP. 740002248</v>
          </cell>
        </row>
        <row r="147">
          <cell r="E147" t="str">
            <v xml:space="preserve"> [-] Tidak disampaikan</v>
          </cell>
          <cell r="F147" t="str">
            <v>-- bulan</v>
          </cell>
          <cell r="P147" t="str">
            <v>D P P</v>
          </cell>
          <cell r="S147" t="str">
            <v>P P n  B M</v>
          </cell>
        </row>
        <row r="148">
          <cell r="J148" t="str">
            <v xml:space="preserve">   a. Tarif 10%</v>
          </cell>
          <cell r="O148" t="str">
            <v>Rp.</v>
          </cell>
          <cell r="P148">
            <v>0</v>
          </cell>
          <cell r="R148" t="str">
            <v>Rp.</v>
          </cell>
          <cell r="S148">
            <v>0</v>
          </cell>
          <cell r="U148" t="str">
            <v/>
          </cell>
        </row>
        <row r="149">
          <cell r="B149" t="str">
            <v xml:space="preserve">       -PPh Pasal 26</v>
          </cell>
          <cell r="D149" t="str">
            <v>:</v>
          </cell>
          <cell r="E149" t="str">
            <v xml:space="preserve"> [-] Tepat waktu</v>
          </cell>
          <cell r="F149" t="str">
            <v>-- bulan</v>
          </cell>
          <cell r="J149" t="str">
            <v xml:space="preserve">   b. Tarif 20%</v>
          </cell>
          <cell r="O149" t="str">
            <v>Rp.</v>
          </cell>
          <cell r="P149">
            <v>0</v>
          </cell>
          <cell r="R149" t="str">
            <v>Rp.</v>
          </cell>
          <cell r="S149">
            <v>0</v>
          </cell>
        </row>
        <row r="150">
          <cell r="E150" t="str">
            <v xml:space="preserve"> [-] Tidak tepat waktu</v>
          </cell>
          <cell r="F150" t="str">
            <v>-- bulan</v>
          </cell>
          <cell r="J150" t="str">
            <v xml:space="preserve">   c. Tarif 30%</v>
          </cell>
          <cell r="O150" t="str">
            <v>Rp.</v>
          </cell>
          <cell r="P150">
            <v>0</v>
          </cell>
          <cell r="R150" t="str">
            <v>Rp.</v>
          </cell>
          <cell r="S150">
            <v>0</v>
          </cell>
          <cell r="U150" t="str">
            <v xml:space="preserve">KEPALA  KANTOR PEMERIKSAAN DAN           </v>
          </cell>
          <cell r="Z150" t="str">
            <v>ANGGOTA TIM PEMERIKSA</v>
          </cell>
        </row>
        <row r="151">
          <cell r="E151" t="str">
            <v xml:space="preserve"> [-] Tidak disampaikan</v>
          </cell>
          <cell r="F151" t="str">
            <v>-- bulan</v>
          </cell>
          <cell r="J151" t="str">
            <v xml:space="preserve">   Jumlah PPn BM atas Impor   </v>
          </cell>
          <cell r="O151" t="str">
            <v>Rp.</v>
          </cell>
          <cell r="P151">
            <v>0</v>
          </cell>
          <cell r="R151" t="str">
            <v>Rp.</v>
          </cell>
          <cell r="S151">
            <v>0</v>
          </cell>
          <cell r="U151" t="str">
            <v>PENYIDIKAN PAJAK UJUNG PANDANG</v>
          </cell>
        </row>
        <row r="153">
          <cell r="B153" t="str">
            <v xml:space="preserve">       -PPN/PPn BM</v>
          </cell>
          <cell r="D153" t="str">
            <v>:</v>
          </cell>
          <cell r="E153" t="str">
            <v xml:space="preserve"> [X] Tepat waktu</v>
          </cell>
          <cell r="F153" t="str">
            <v xml:space="preserve">  12  bulan</v>
          </cell>
          <cell r="J153" t="str">
            <v xml:space="preserve">   Jumlah yang kurang lebih disetor :</v>
          </cell>
        </row>
        <row r="154">
          <cell r="E154" t="str">
            <v xml:space="preserve"> [-] Tidak tepat waktu</v>
          </cell>
          <cell r="F154" t="str">
            <v>-- bulan</v>
          </cell>
          <cell r="J154" t="str">
            <v xml:space="preserve">   a. PPn Bm atas penyerahan Dalam Negeri</v>
          </cell>
          <cell r="R154" t="str">
            <v>Rp.</v>
          </cell>
          <cell r="S154">
            <v>0</v>
          </cell>
        </row>
        <row r="155">
          <cell r="E155" t="str">
            <v xml:space="preserve"> [-] Tidak disampaikan</v>
          </cell>
          <cell r="F155" t="str">
            <v>-- bulan</v>
          </cell>
          <cell r="J155" t="str">
            <v xml:space="preserve">   b. PPn Bm atas Impor</v>
          </cell>
          <cell r="R155" t="str">
            <v>Rp.</v>
          </cell>
          <cell r="S155">
            <v>0</v>
          </cell>
          <cell r="Z155" t="str">
            <v xml:space="preserve">           HARUN AL RASYID</v>
          </cell>
        </row>
        <row r="156">
          <cell r="J156" t="str">
            <v xml:space="preserve">       Jumlah PPn BM yang harus disetor</v>
          </cell>
          <cell r="R156" t="str">
            <v>Rp.</v>
          </cell>
          <cell r="S156">
            <v>0</v>
          </cell>
          <cell r="U156" t="str">
            <v xml:space="preserve">                  Drs.  MEMAN PANJAITAN                   </v>
          </cell>
          <cell r="V156" t="str">
            <v xml:space="preserve">        Drs. MANOSOR L. TOBING</v>
          </cell>
          <cell r="Z156" t="str">
            <v xml:space="preserve">                  NIP. 060079615</v>
          </cell>
        </row>
        <row r="157">
          <cell r="B157" t="str">
            <v xml:space="preserve">       -PBB</v>
          </cell>
          <cell r="D157" t="str">
            <v>:</v>
          </cell>
          <cell r="E157" t="str">
            <v xml:space="preserve"> [-] Tepat waktu</v>
          </cell>
          <cell r="J157" t="str">
            <v xml:space="preserve">       PPn Bm yang disetor</v>
          </cell>
          <cell r="R157" t="str">
            <v>Rp.</v>
          </cell>
          <cell r="S157">
            <v>0</v>
          </cell>
          <cell r="U157" t="str">
            <v xml:space="preserve">                            NIP. 060027441</v>
          </cell>
          <cell r="V157" t="str">
            <v xml:space="preserve">               NIP. 060029476</v>
          </cell>
        </row>
        <row r="158">
          <cell r="E158" t="str">
            <v xml:space="preserve"> [-] Tidak tepat waktu</v>
          </cell>
          <cell r="J158" t="str">
            <v xml:space="preserve">   PPn BM yang kurang/lebih disetor</v>
          </cell>
          <cell r="O158" t="str">
            <v/>
          </cell>
          <cell r="P158" t="str">
            <v/>
          </cell>
          <cell r="R158" t="str">
            <v>Rp.</v>
          </cell>
          <cell r="S158">
            <v>0</v>
          </cell>
          <cell r="AH158" t="str">
            <v>J U M L A H    K O R E K S I</v>
          </cell>
          <cell r="AJ158" t="str">
            <v>---</v>
          </cell>
        </row>
        <row r="159">
          <cell r="E159" t="str">
            <v xml:space="preserve"> [-] Tidak disampaikan</v>
          </cell>
          <cell r="J159" t="str">
            <v xml:space="preserve">   Denda :</v>
          </cell>
        </row>
        <row r="160">
          <cell r="J160" t="str">
            <v xml:space="preserve">   - Pasal 13(2)UU No.6/1983    </v>
          </cell>
          <cell r="O160" t="str">
            <v>Rp.   --</v>
          </cell>
          <cell r="P160">
            <v>0</v>
          </cell>
        </row>
        <row r="161">
          <cell r="B161" t="str">
            <v>4. Tunggakan Pajak</v>
          </cell>
          <cell r="J161" t="str">
            <v xml:space="preserve">   - Pasal 13(3)UU No.6/1983    </v>
          </cell>
          <cell r="O161" t="str">
            <v>Rp.   --</v>
          </cell>
          <cell r="P161">
            <v>0</v>
          </cell>
        </row>
        <row r="162">
          <cell r="B162" t="str">
            <v xml:space="preserve">    a.-Nomor dan Tanggal SKP/SKPT/STP</v>
          </cell>
          <cell r="D162" t="str">
            <v>:</v>
          </cell>
          <cell r="E162" t="str">
            <v>---</v>
          </cell>
          <cell r="J162" t="str">
            <v xml:space="preserve">   - Pasal 13(8)UU No.6/1983   </v>
          </cell>
          <cell r="O162" t="str">
            <v>Rp.   --</v>
          </cell>
          <cell r="P162">
            <v>0</v>
          </cell>
        </row>
        <row r="163">
          <cell r="B163" t="str">
            <v xml:space="preserve">      -Jumlah tunggakan</v>
          </cell>
          <cell r="D163" t="str">
            <v>:</v>
          </cell>
          <cell r="E163" t="str">
            <v>---</v>
          </cell>
          <cell r="O163" t="str">
            <v/>
          </cell>
          <cell r="P163" t="str">
            <v/>
          </cell>
          <cell r="R163" t="str">
            <v>Rp.</v>
          </cell>
        </row>
        <row r="164">
          <cell r="B164" t="str">
            <v xml:space="preserve">      -Tanggal jatuh tempo</v>
          </cell>
          <cell r="D164" t="str">
            <v>:</v>
          </cell>
          <cell r="E164" t="str">
            <v>---</v>
          </cell>
          <cell r="J164" t="str">
            <v xml:space="preserve">   PPn BM yang masih harus dibayar</v>
          </cell>
          <cell r="O164" t="str">
            <v/>
          </cell>
          <cell r="R164" t="str">
            <v>Rp.</v>
          </cell>
          <cell r="S164">
            <v>0</v>
          </cell>
        </row>
        <row r="165">
          <cell r="B165" t="str">
            <v xml:space="preserve">      -Surat Keberatan tanggal</v>
          </cell>
          <cell r="D165" t="str">
            <v>:</v>
          </cell>
          <cell r="E165" t="str">
            <v>---</v>
          </cell>
          <cell r="M165" t="str">
            <v/>
          </cell>
          <cell r="P165" t="str">
            <v/>
          </cell>
        </row>
        <row r="167">
          <cell r="C167" t="str">
            <v>- 4 -</v>
          </cell>
          <cell r="O167" t="str">
            <v>- 13 -</v>
          </cell>
          <cell r="X167" t="str">
            <v>- 16 -</v>
          </cell>
          <cell r="AH167" t="str">
            <v>- 10 -</v>
          </cell>
        </row>
        <row r="169">
          <cell r="J169" t="str">
            <v xml:space="preserve"> 6. P B B</v>
          </cell>
          <cell r="AF169" t="str">
            <v xml:space="preserve">IV.  </v>
          </cell>
          <cell r="AG169" t="str">
            <v>KESIMPULAN DAN USUL PEMERIKSA</v>
          </cell>
        </row>
        <row r="170">
          <cell r="AG170" t="str">
            <v>1. PENGHITUNGAN PAJAK SEBELUM DAN SESUDAH PEMERIKSAAN</v>
          </cell>
        </row>
        <row r="171">
          <cell r="P171" t="str">
            <v>TANAH</v>
          </cell>
          <cell r="S171" t="str">
            <v>BANGUNAN</v>
          </cell>
        </row>
        <row r="172">
          <cell r="AH172" t="str">
            <v>MENURUT</v>
          </cell>
          <cell r="AI172" t="str">
            <v>MENURUT</v>
          </cell>
        </row>
        <row r="173">
          <cell r="J173" t="str">
            <v xml:space="preserve">    Luas Obyek Pajak menurut SPOP/WP</v>
          </cell>
          <cell r="P173">
            <v>0</v>
          </cell>
          <cell r="S173">
            <v>0</v>
          </cell>
          <cell r="AG173" t="str">
            <v>URAIAN</v>
          </cell>
          <cell r="AH173" t="str">
            <v>SPT/WP</v>
          </cell>
          <cell r="AI173" t="str">
            <v>PEMERIKSAAN</v>
          </cell>
          <cell r="AJ173" t="str">
            <v>KOREKSI</v>
          </cell>
        </row>
        <row r="174">
          <cell r="J174" t="str">
            <v xml:space="preserve">    Luas Obyek Pajak menurut Pemeriksaan</v>
          </cell>
          <cell r="P174">
            <v>0</v>
          </cell>
          <cell r="S174">
            <v>0</v>
          </cell>
          <cell r="AH174" t="str">
            <v>(Rupiah)</v>
          </cell>
          <cell r="AI174" t="str">
            <v>(Rupiah)</v>
          </cell>
          <cell r="AJ174" t="str">
            <v>(Rupiah)</v>
          </cell>
        </row>
        <row r="175">
          <cell r="J175" t="str">
            <v xml:space="preserve">    Koreksi</v>
          </cell>
          <cell r="P175">
            <v>0</v>
          </cell>
          <cell r="S175">
            <v>0</v>
          </cell>
        </row>
        <row r="176">
          <cell r="AG176" t="str">
            <v xml:space="preserve"> PPh badan Ps. 25/29</v>
          </cell>
        </row>
        <row r="177">
          <cell r="J177" t="str">
            <v xml:space="preserve">    NJOP Menurut SPOP/WP</v>
          </cell>
          <cell r="O177" t="str">
            <v>Rp.</v>
          </cell>
          <cell r="P177">
            <v>0</v>
          </cell>
          <cell r="R177" t="str">
            <v>Rp.</v>
          </cell>
          <cell r="S177">
            <v>0</v>
          </cell>
          <cell r="AG177" t="str">
            <v>-Penghasilan Kena Pajak</v>
          </cell>
          <cell r="AH177">
            <v>0</v>
          </cell>
          <cell r="AI177">
            <v>0</v>
          </cell>
          <cell r="AJ177">
            <v>0</v>
          </cell>
        </row>
        <row r="178">
          <cell r="J178" t="str">
            <v xml:space="preserve">    NJOP Menurut Pemeriksaan</v>
          </cell>
          <cell r="O178" t="str">
            <v>Rp.</v>
          </cell>
          <cell r="P178">
            <v>0</v>
          </cell>
          <cell r="R178" t="str">
            <v>Rp.</v>
          </cell>
          <cell r="S178">
            <v>0</v>
          </cell>
          <cell r="AJ178" t="str">
            <v/>
          </cell>
        </row>
        <row r="179">
          <cell r="J179" t="str">
            <v xml:space="preserve">    Koreksi</v>
          </cell>
          <cell r="O179" t="str">
            <v>Rp.</v>
          </cell>
          <cell r="P179">
            <v>0</v>
          </cell>
          <cell r="R179" t="str">
            <v>Rp.</v>
          </cell>
          <cell r="S179">
            <v>0</v>
          </cell>
          <cell r="AG179" t="str">
            <v>-Pajak Terhutang</v>
          </cell>
          <cell r="AH179">
            <v>0</v>
          </cell>
          <cell r="AI179">
            <v>0</v>
          </cell>
          <cell r="AJ179">
            <v>0</v>
          </cell>
        </row>
        <row r="180">
          <cell r="J180" t="str">
            <v xml:space="preserve">    PBB Terhutang menurut SPOP</v>
          </cell>
          <cell r="R180" t="str">
            <v>Rp.</v>
          </cell>
          <cell r="S180">
            <v>0</v>
          </cell>
          <cell r="AG180" t="str">
            <v/>
          </cell>
          <cell r="AJ180" t="str">
            <v/>
          </cell>
        </row>
        <row r="181">
          <cell r="J181" t="str">
            <v xml:space="preserve">    PBB Terhutang menurut Pemeriksaan</v>
          </cell>
          <cell r="R181" t="str">
            <v>Rp.</v>
          </cell>
          <cell r="S181">
            <v>0</v>
          </cell>
          <cell r="AG181" t="str">
            <v>-Kredit Pajak</v>
          </cell>
          <cell r="AJ181">
            <v>0</v>
          </cell>
        </row>
        <row r="182">
          <cell r="J182" t="str">
            <v xml:space="preserve">    PBB yang kurang (lebih) bayar</v>
          </cell>
          <cell r="R182" t="str">
            <v>Rp.</v>
          </cell>
          <cell r="S182">
            <v>0</v>
          </cell>
          <cell r="AJ182" t="str">
            <v/>
          </cell>
        </row>
        <row r="183">
          <cell r="J183" t="str">
            <v xml:space="preserve">    Denda Administrasi ps.10(4) UU.12/85</v>
          </cell>
          <cell r="R183" t="str">
            <v>Rp.</v>
          </cell>
          <cell r="S183">
            <v>0</v>
          </cell>
          <cell r="AG183" t="str">
            <v>-PPh Kurang (Lebih) Bayar</v>
          </cell>
          <cell r="AH183">
            <v>0</v>
          </cell>
          <cell r="AI183">
            <v>0</v>
          </cell>
          <cell r="AJ183">
            <v>0</v>
          </cell>
        </row>
        <row r="184">
          <cell r="J184" t="str">
            <v xml:space="preserve">    Denda Administrasi ps.11(3) UU.12/85</v>
          </cell>
          <cell r="R184" t="str">
            <v>Rp.</v>
          </cell>
          <cell r="S184">
            <v>0</v>
          </cell>
          <cell r="AJ184" t="str">
            <v/>
          </cell>
        </row>
        <row r="185">
          <cell r="J185" t="str">
            <v xml:space="preserve">    PBB yang masih harus bayar</v>
          </cell>
          <cell r="R185" t="str">
            <v>Rp.</v>
          </cell>
          <cell r="S185">
            <v>0</v>
          </cell>
          <cell r="AG185" t="str">
            <v xml:space="preserve">-Sanksi Adm. </v>
          </cell>
          <cell r="AH185">
            <v>0</v>
          </cell>
          <cell r="AI185">
            <v>0</v>
          </cell>
          <cell r="AJ185">
            <v>0</v>
          </cell>
        </row>
        <row r="187">
          <cell r="AG187" t="str">
            <v>-PPh pasal 25 harus bayar</v>
          </cell>
          <cell r="AH187">
            <v>0</v>
          </cell>
          <cell r="AI187">
            <v>0</v>
          </cell>
          <cell r="AJ187">
            <v>0</v>
          </cell>
        </row>
        <row r="189">
          <cell r="AG189" t="str">
            <v xml:space="preserve">  PPh Pasal 23</v>
          </cell>
        </row>
        <row r="190">
          <cell r="AG190" t="str">
            <v xml:space="preserve">  -Pajak terhutang </v>
          </cell>
          <cell r="AH190">
            <v>0</v>
          </cell>
          <cell r="AI190">
            <v>292500.00000000006</v>
          </cell>
          <cell r="AJ190">
            <v>292500.00000000006</v>
          </cell>
        </row>
        <row r="192">
          <cell r="AG192" t="str">
            <v xml:space="preserve">  -Kredit Pajak </v>
          </cell>
          <cell r="AH192">
            <v>0</v>
          </cell>
          <cell r="AI192">
            <v>0</v>
          </cell>
          <cell r="AJ192">
            <v>0</v>
          </cell>
        </row>
        <row r="194">
          <cell r="AG194" t="str">
            <v xml:space="preserve">  -PPh kurang bayar </v>
          </cell>
          <cell r="AH194">
            <v>0</v>
          </cell>
          <cell r="AI194">
            <v>292500.00000000006</v>
          </cell>
          <cell r="AJ194">
            <v>292500.00000000006</v>
          </cell>
        </row>
        <row r="196">
          <cell r="AG196" t="str">
            <v xml:space="preserve">  -Sanksi adminitrasi </v>
          </cell>
          <cell r="AH196">
            <v>0</v>
          </cell>
          <cell r="AI196">
            <v>140400.00000000003</v>
          </cell>
          <cell r="AJ196">
            <v>140400.00000000003</v>
          </cell>
        </row>
        <row r="198">
          <cell r="AG198" t="str">
            <v xml:space="preserve">  PPh pasal 23 harus bayar </v>
          </cell>
          <cell r="AH198">
            <v>0</v>
          </cell>
          <cell r="AI198">
            <v>432900.00000000012</v>
          </cell>
          <cell r="AJ198">
            <v>432900.00000000012</v>
          </cell>
        </row>
        <row r="200">
          <cell r="AG200" t="str">
            <v xml:space="preserve">  PPh Pasal 26</v>
          </cell>
        </row>
        <row r="201">
          <cell r="AG201" t="str">
            <v xml:space="preserve">  -Pajak terhutang </v>
          </cell>
          <cell r="AH201">
            <v>0</v>
          </cell>
          <cell r="AI201">
            <v>0</v>
          </cell>
          <cell r="AJ201">
            <v>0</v>
          </cell>
        </row>
        <row r="203">
          <cell r="AG203" t="str">
            <v xml:space="preserve">  -Telah disetor</v>
          </cell>
          <cell r="AH203">
            <v>0</v>
          </cell>
          <cell r="AI203">
            <v>0</v>
          </cell>
          <cell r="AJ203">
            <v>0</v>
          </cell>
        </row>
        <row r="205">
          <cell r="AG205" t="str">
            <v xml:space="preserve">  -Kurang bayar</v>
          </cell>
          <cell r="AH205">
            <v>0</v>
          </cell>
          <cell r="AI205">
            <v>0</v>
          </cell>
          <cell r="AJ205">
            <v>0</v>
          </cell>
        </row>
        <row r="207">
          <cell r="AG207" t="str">
            <v xml:space="preserve">  -Sanksi Administrasi</v>
          </cell>
          <cell r="AH207">
            <v>0</v>
          </cell>
          <cell r="AI207">
            <v>0</v>
          </cell>
          <cell r="AJ207">
            <v>0</v>
          </cell>
        </row>
        <row r="209">
          <cell r="AG209" t="str">
            <v xml:space="preserve">  PPh pasal 26 harus bayar </v>
          </cell>
          <cell r="AH209">
            <v>0</v>
          </cell>
          <cell r="AI209">
            <v>0</v>
          </cell>
          <cell r="AJ209">
            <v>0</v>
          </cell>
        </row>
        <row r="211">
          <cell r="AG211" t="str">
            <v xml:space="preserve">  PPh Pasal 21</v>
          </cell>
        </row>
        <row r="212">
          <cell r="AG212" t="str">
            <v xml:space="preserve"> -Pajak Terhutang </v>
          </cell>
          <cell r="AH212">
            <v>0</v>
          </cell>
          <cell r="AI212">
            <v>0</v>
          </cell>
          <cell r="AJ212">
            <v>0</v>
          </cell>
        </row>
        <row r="214">
          <cell r="AG214" t="str">
            <v xml:space="preserve"> -Telah disetor</v>
          </cell>
          <cell r="AH214">
            <v>0</v>
          </cell>
          <cell r="AI214">
            <v>0</v>
          </cell>
          <cell r="AJ214">
            <v>0</v>
          </cell>
        </row>
        <row r="216">
          <cell r="AG216" t="str">
            <v xml:space="preserve"> -Kurang Bayar</v>
          </cell>
          <cell r="AH216">
            <v>0</v>
          </cell>
          <cell r="AI216">
            <v>0</v>
          </cell>
          <cell r="AJ216">
            <v>0</v>
          </cell>
        </row>
        <row r="218">
          <cell r="AG218" t="str">
            <v xml:space="preserve"> -Sanksi Administrasi</v>
          </cell>
          <cell r="AH218">
            <v>0</v>
          </cell>
          <cell r="AI218">
            <v>0</v>
          </cell>
          <cell r="AJ218">
            <v>0</v>
          </cell>
        </row>
        <row r="220">
          <cell r="AG220" t="str">
            <v xml:space="preserve"> -PPh pasal 21 harus bayar</v>
          </cell>
          <cell r="AH220">
            <v>0</v>
          </cell>
          <cell r="AI220">
            <v>0</v>
          </cell>
          <cell r="AJ220">
            <v>0</v>
          </cell>
        </row>
        <row r="223">
          <cell r="O223" t="str">
            <v>- 13 a -</v>
          </cell>
          <cell r="AH223" t="str">
            <v>- 14 -</v>
          </cell>
        </row>
        <row r="225">
          <cell r="AH225" t="str">
            <v>MENURUT</v>
          </cell>
          <cell r="AI225" t="str">
            <v>MENURUT</v>
          </cell>
          <cell r="AJ225" t="str">
            <v>KOREKSI</v>
          </cell>
        </row>
        <row r="226">
          <cell r="AG226" t="str">
            <v>URAIAN</v>
          </cell>
          <cell r="AH226" t="str">
            <v>SPT/WP</v>
          </cell>
          <cell r="AI226" t="str">
            <v>PEMERIKSAAN</v>
          </cell>
        </row>
        <row r="227">
          <cell r="AH227" t="str">
            <v>(Rupiah)</v>
          </cell>
          <cell r="AI227" t="str">
            <v>(Rupiah)</v>
          </cell>
          <cell r="AJ227" t="str">
            <v>(Rupiah)</v>
          </cell>
        </row>
        <row r="229">
          <cell r="AG229" t="str">
            <v>PPN Tahun 1991</v>
          </cell>
        </row>
        <row r="230">
          <cell r="AG230" t="str">
            <v>Masa Jan s. d  Des</v>
          </cell>
        </row>
        <row r="231">
          <cell r="AG231" t="str">
            <v xml:space="preserve">- Pajak Keluaran     </v>
          </cell>
          <cell r="AH231">
            <v>1300000</v>
          </cell>
          <cell r="AI231">
            <v>1300000</v>
          </cell>
          <cell r="AJ231">
            <v>0</v>
          </cell>
        </row>
        <row r="233">
          <cell r="AG233" t="str">
            <v>- Pajak Masukan</v>
          </cell>
          <cell r="AH233">
            <v>1300000</v>
          </cell>
          <cell r="AI233">
            <v>1300000</v>
          </cell>
          <cell r="AJ233">
            <v>0</v>
          </cell>
        </row>
        <row r="235">
          <cell r="AG235" t="str">
            <v>- Kelebihan bulan lalu</v>
          </cell>
          <cell r="AH235">
            <v>0</v>
          </cell>
          <cell r="AI235">
            <v>0</v>
          </cell>
          <cell r="AJ235">
            <v>0</v>
          </cell>
        </row>
        <row r="237">
          <cell r="AG237" t="str">
            <v>- Direstitusi/dikompensasikan</v>
          </cell>
        </row>
        <row r="238">
          <cell r="AG238" t="str">
            <v xml:space="preserve">     ke masa berikutnya</v>
          </cell>
          <cell r="AH238">
            <v>0</v>
          </cell>
          <cell r="AI238">
            <v>0</v>
          </cell>
          <cell r="AJ238">
            <v>0</v>
          </cell>
        </row>
        <row r="240">
          <cell r="AG240" t="str">
            <v xml:space="preserve"> - Kurang Bayar</v>
          </cell>
          <cell r="AH240">
            <v>0</v>
          </cell>
          <cell r="AI240">
            <v>0</v>
          </cell>
          <cell r="AJ240">
            <v>0</v>
          </cell>
        </row>
        <row r="242">
          <cell r="AG242" t="str">
            <v xml:space="preserve"> - Telah dibayar</v>
          </cell>
          <cell r="AH242">
            <v>0</v>
          </cell>
          <cell r="AI242">
            <v>0</v>
          </cell>
          <cell r="AJ242">
            <v>0</v>
          </cell>
        </row>
        <row r="244">
          <cell r="AG244" t="str">
            <v xml:space="preserve"> - Kurang/lebih dibayar</v>
          </cell>
          <cell r="AH244">
            <v>0</v>
          </cell>
          <cell r="AI244">
            <v>0</v>
          </cell>
          <cell r="AJ244">
            <v>0</v>
          </cell>
        </row>
        <row r="246">
          <cell r="AG246" t="str">
            <v xml:space="preserve"> - Sanksi Administrasi</v>
          </cell>
          <cell r="AH246">
            <v>0</v>
          </cell>
          <cell r="AI246">
            <v>0</v>
          </cell>
          <cell r="AJ246">
            <v>0</v>
          </cell>
        </row>
        <row r="248">
          <cell r="AG248" t="str">
            <v>- Masih harus bayar</v>
          </cell>
          <cell r="AH248">
            <v>0</v>
          </cell>
          <cell r="AI248">
            <v>0</v>
          </cell>
          <cell r="AJ248">
            <v>0</v>
          </cell>
        </row>
        <row r="250">
          <cell r="AG250" t="str">
            <v>PPn BM Tahun 1991</v>
          </cell>
        </row>
        <row r="251">
          <cell r="AG251" t="str">
            <v>Masa Jan. s.d  Des.</v>
          </cell>
        </row>
        <row r="252">
          <cell r="AG252" t="str">
            <v>- PPn BM yang terhutang</v>
          </cell>
          <cell r="AH252">
            <v>0</v>
          </cell>
          <cell r="AI252">
            <v>0</v>
          </cell>
          <cell r="AJ252">
            <v>0</v>
          </cell>
        </row>
        <row r="254">
          <cell r="AG254" t="str">
            <v>- PPn BM yang disetor</v>
          </cell>
          <cell r="AH254">
            <v>0</v>
          </cell>
          <cell r="AI254">
            <v>0</v>
          </cell>
          <cell r="AJ254">
            <v>0</v>
          </cell>
        </row>
        <row r="256">
          <cell r="AG256" t="str">
            <v>- PPn BM yg Kurang Bayar</v>
          </cell>
          <cell r="AH256">
            <v>0</v>
          </cell>
          <cell r="AI256">
            <v>0</v>
          </cell>
          <cell r="AJ256">
            <v>0</v>
          </cell>
        </row>
        <row r="258">
          <cell r="AG258" t="str">
            <v>- Sanksi Administrasi</v>
          </cell>
          <cell r="AH258">
            <v>0</v>
          </cell>
          <cell r="AI258">
            <v>0</v>
          </cell>
          <cell r="AJ258">
            <v>0</v>
          </cell>
        </row>
        <row r="260">
          <cell r="AG260" t="str">
            <v>- PPn BM masih harus bayar</v>
          </cell>
          <cell r="AH260">
            <v>0</v>
          </cell>
          <cell r="AI260">
            <v>0</v>
          </cell>
          <cell r="AJ260">
            <v>0</v>
          </cell>
        </row>
        <row r="262">
          <cell r="AG262" t="str">
            <v xml:space="preserve">     P B B</v>
          </cell>
        </row>
        <row r="263">
          <cell r="AG263" t="str">
            <v xml:space="preserve"> - Pajak Terhutang</v>
          </cell>
          <cell r="AH263">
            <v>0</v>
          </cell>
          <cell r="AI263">
            <v>0</v>
          </cell>
          <cell r="AJ263">
            <v>0</v>
          </cell>
        </row>
        <row r="265">
          <cell r="AG265" t="str">
            <v xml:space="preserve"> - Telah Disetor</v>
          </cell>
          <cell r="AH265">
            <v>0</v>
          </cell>
          <cell r="AI265">
            <v>0</v>
          </cell>
          <cell r="AJ265">
            <v>0</v>
          </cell>
        </row>
        <row r="267">
          <cell r="AG267" t="str">
            <v xml:space="preserve"> - Kurang (Lebih) Bayar</v>
          </cell>
          <cell r="AH267">
            <v>0</v>
          </cell>
          <cell r="AI267">
            <v>0</v>
          </cell>
          <cell r="AJ267">
            <v>0</v>
          </cell>
        </row>
        <row r="269">
          <cell r="AG269" t="str">
            <v xml:space="preserve"> - Sanksi Administrasi</v>
          </cell>
          <cell r="AH269">
            <v>0</v>
          </cell>
          <cell r="AI269">
            <v>0</v>
          </cell>
          <cell r="AJ269">
            <v>0</v>
          </cell>
        </row>
        <row r="271">
          <cell r="AG271" t="str">
            <v xml:space="preserve"> - PBB masih harus bayar</v>
          </cell>
          <cell r="AH271">
            <v>0</v>
          </cell>
          <cell r="AI271">
            <v>0</v>
          </cell>
          <cell r="AJ271">
            <v>0</v>
          </cell>
        </row>
        <row r="273">
          <cell r="AH273" t="str">
            <v>- 15 -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kp induk"/>
      <sheetName val="b.1"/>
      <sheetName val="b.2"/>
      <sheetName val="b.3"/>
      <sheetName val="b.4"/>
      <sheetName val="b.4.5"/>
      <sheetName val="b.5"/>
      <sheetName val="kertas"/>
      <sheetName val="bulan"/>
      <sheetName val="pph21"/>
      <sheetName val="obyek21"/>
      <sheetName val="ssp21"/>
      <sheetName val="pph23"/>
      <sheetName val="obyek23"/>
      <sheetName val="PPh23KB"/>
      <sheetName val="ssp23"/>
      <sheetName val="pph26"/>
      <sheetName val="obyek26"/>
      <sheetName val="PPN"/>
      <sheetName val="PPN BESAR"/>
      <sheetName val="komparatif"/>
      <sheetName val="DAFTAR SUPPLI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2">
          <cell r="C22">
            <v>0</v>
          </cell>
        </row>
        <row r="23">
          <cell r="C23">
            <v>0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  <row r="29">
          <cell r="C29">
            <v>0</v>
          </cell>
        </row>
        <row r="30">
          <cell r="C30">
            <v>0</v>
          </cell>
        </row>
        <row r="31">
          <cell r="C31">
            <v>0</v>
          </cell>
        </row>
        <row r="32">
          <cell r="C32">
            <v>0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35480</v>
          </cell>
        </row>
        <row r="40">
          <cell r="C40">
            <v>14276278252</v>
          </cell>
        </row>
        <row r="41">
          <cell r="C41">
            <v>0</v>
          </cell>
        </row>
        <row r="43">
          <cell r="C43">
            <v>0</v>
          </cell>
        </row>
        <row r="44">
          <cell r="C44">
            <v>0</v>
          </cell>
        </row>
        <row r="45">
          <cell r="C45">
            <v>14276278252</v>
          </cell>
        </row>
        <row r="46">
          <cell r="C46">
            <v>14276278252</v>
          </cell>
        </row>
        <row r="48"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0</v>
          </cell>
        </row>
        <row r="54">
          <cell r="C54">
            <v>0</v>
          </cell>
        </row>
        <row r="55">
          <cell r="C55">
            <v>474040380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30478756</v>
          </cell>
        </row>
        <row r="59">
          <cell r="C59">
            <v>0</v>
          </cell>
        </row>
        <row r="60">
          <cell r="C60">
            <v>504519136</v>
          </cell>
        </row>
        <row r="61">
          <cell r="C61">
            <v>0</v>
          </cell>
        </row>
        <row r="62">
          <cell r="C62">
            <v>0</v>
          </cell>
        </row>
        <row r="63">
          <cell r="C63">
            <v>0</v>
          </cell>
        </row>
        <row r="64">
          <cell r="C64">
            <v>504519136</v>
          </cell>
        </row>
        <row r="65">
          <cell r="C65">
            <v>-504519136</v>
          </cell>
        </row>
        <row r="66">
          <cell r="C66">
            <v>0</v>
          </cell>
        </row>
        <row r="67">
          <cell r="C67">
            <v>-504519136</v>
          </cell>
        </row>
        <row r="69">
          <cell r="C69">
            <v>0</v>
          </cell>
        </row>
        <row r="70">
          <cell r="C70">
            <v>-504519136</v>
          </cell>
        </row>
        <row r="71">
          <cell r="C71">
            <v>-1009038272</v>
          </cell>
        </row>
        <row r="73">
          <cell r="C73">
            <v>0</v>
          </cell>
        </row>
        <row r="74">
          <cell r="C74">
            <v>-1009038272</v>
          </cell>
        </row>
      </sheetData>
      <sheetData sheetId="20"/>
      <sheetData sheetId="2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ORAN"/>
    </sheetNames>
    <sheetDataSet>
      <sheetData sheetId="0" refreshError="1">
        <row r="1">
          <cell r="AE1" t="str">
            <v xml:space="preserve">III. </v>
          </cell>
          <cell r="AF1" t="str">
            <v>HASIL PEMERIKSAAN</v>
          </cell>
          <cell r="AN1" t="str">
            <v>II.  PELAKSANAAN PEMERIKSAAN</v>
          </cell>
        </row>
        <row r="2">
          <cell r="AF2" t="str">
            <v>A. IKHTISAR KOREKSI</v>
          </cell>
          <cell r="AO2" t="str">
            <v>A. POS-POS YANG DIPERIKSA</v>
          </cell>
        </row>
        <row r="4">
          <cell r="AF4" t="str">
            <v xml:space="preserve">1. </v>
          </cell>
          <cell r="AG4" t="str">
            <v>Obyek PPh Pasal 25/29</v>
          </cell>
          <cell r="AO4" t="str">
            <v xml:space="preserve">       1.  PENERIMAAN</v>
          </cell>
        </row>
        <row r="5">
          <cell r="AO5" t="str">
            <v xml:space="preserve">       2.  PENGELUARAN</v>
          </cell>
        </row>
        <row r="6">
          <cell r="AH6" t="str">
            <v xml:space="preserve">                     M E N U R U T</v>
          </cell>
          <cell r="AO6" t="str">
            <v xml:space="preserve">       3.  OBYEK PPh PASAL 21</v>
          </cell>
        </row>
        <row r="7">
          <cell r="AF7" t="str">
            <v>No</v>
          </cell>
          <cell r="AG7" t="str">
            <v>URAIAN</v>
          </cell>
          <cell r="AH7" t="str">
            <v>SPT/WP</v>
          </cell>
          <cell r="AI7" t="str">
            <v>PEMERIKSA</v>
          </cell>
          <cell r="AJ7" t="str">
            <v>KOREKSI</v>
          </cell>
          <cell r="AO7" t="str">
            <v xml:space="preserve">       4.  OBYEK  PPh PASAL 23</v>
          </cell>
        </row>
        <row r="8">
          <cell r="AO8" t="str">
            <v xml:space="preserve">       5.  OBYEK PPN</v>
          </cell>
        </row>
        <row r="9">
          <cell r="AO9" t="str">
            <v xml:space="preserve">       6.  OBYEK PBB</v>
          </cell>
        </row>
        <row r="12">
          <cell r="AO12" t="str">
            <v>B. PENJELASAN DAN PENILAIAN ATAS POS-POS YANG DIPERIKSA</v>
          </cell>
        </row>
        <row r="15">
          <cell r="AO15" t="str">
            <v xml:space="preserve">     1.    PENERIMAAN </v>
          </cell>
        </row>
        <row r="17">
          <cell r="AO17" t="str">
            <v xml:space="preserve">            Penerimaan wajib pajak pada tahun 1991 terdiri dari :</v>
          </cell>
        </row>
        <row r="19">
          <cell r="AP19" t="str">
            <v>- Piutang usaha</v>
          </cell>
          <cell r="AU19">
            <v>578803684</v>
          </cell>
        </row>
        <row r="20">
          <cell r="AP20" t="str">
            <v>- R/K Jasamas Bandar Bahtera</v>
          </cell>
          <cell r="AU20">
            <v>9390000</v>
          </cell>
        </row>
        <row r="21">
          <cell r="AP21" t="str">
            <v>- R/K PT. Meratus Surabaya</v>
          </cell>
          <cell r="AU21">
            <v>2301000</v>
          </cell>
        </row>
        <row r="22">
          <cell r="AP22" t="str">
            <v>- R/K keagenan</v>
          </cell>
          <cell r="AU22">
            <v>22950000</v>
          </cell>
        </row>
        <row r="23">
          <cell r="AP23" t="str">
            <v>- Pendapatan Overfraght</v>
          </cell>
          <cell r="AU23">
            <v>830400</v>
          </cell>
        </row>
        <row r="24">
          <cell r="AP24" t="str">
            <v>- Pendapatan pasasi</v>
          </cell>
          <cell r="AU24">
            <v>4910000</v>
          </cell>
        </row>
        <row r="25">
          <cell r="AH25" t="str">
            <v>J U M L A H    K O R E K S I</v>
          </cell>
          <cell r="AJ25">
            <v>0</v>
          </cell>
          <cell r="AP25" t="str">
            <v>- Pendapatan jasa giro</v>
          </cell>
          <cell r="AU25">
            <v>61880</v>
          </cell>
        </row>
        <row r="26">
          <cell r="AP26" t="str">
            <v>- Pendapatan MIF</v>
          </cell>
          <cell r="AU26">
            <v>1875570</v>
          </cell>
        </row>
        <row r="27">
          <cell r="AF27" t="str">
            <v/>
          </cell>
          <cell r="AG27" t="str">
            <v/>
          </cell>
          <cell r="AP27" t="str">
            <v>- Pendapatan lain-lain</v>
          </cell>
          <cell r="AU27">
            <v>60250</v>
          </cell>
        </row>
        <row r="28">
          <cell r="AF28" t="str">
            <v xml:space="preserve">2. </v>
          </cell>
          <cell r="AG28" t="str">
            <v>Obyek PPh Pasal 21</v>
          </cell>
          <cell r="AP28" t="str">
            <v>-  Pendapatan telekomunikasi</v>
          </cell>
          <cell r="AU28">
            <v>81620</v>
          </cell>
        </row>
        <row r="29">
          <cell r="AF29" t="str">
            <v/>
          </cell>
          <cell r="AG29" t="str">
            <v/>
          </cell>
          <cell r="AP29" t="str">
            <v>Jumlah</v>
          </cell>
          <cell r="AU29">
            <v>621264404</v>
          </cell>
        </row>
        <row r="30">
          <cell r="AH30" t="str">
            <v xml:space="preserve">                      M E N U R U T</v>
          </cell>
        </row>
        <row r="31">
          <cell r="AF31" t="str">
            <v>No</v>
          </cell>
          <cell r="AG31" t="str">
            <v>URAIAN</v>
          </cell>
          <cell r="AH31" t="str">
            <v>SPT/WP</v>
          </cell>
          <cell r="AI31" t="str">
            <v>PEMERIKSA</v>
          </cell>
          <cell r="AJ31" t="str">
            <v>KOREKSI</v>
          </cell>
          <cell r="AO31" t="str">
            <v xml:space="preserve">             Pengujian terhadap bukti tidak dapat dilakukan karena seluruh bukti telah dikirim ke</v>
          </cell>
        </row>
        <row r="32">
          <cell r="AO32" t="str">
            <v xml:space="preserve">             Kantor Pusat Surabaya.</v>
          </cell>
        </row>
        <row r="33">
          <cell r="AO33" t="str">
            <v xml:space="preserve">             Rincian penerimaan per bulan dapat dilihat pada lampiran 4.</v>
          </cell>
        </row>
        <row r="34">
          <cell r="AF34">
            <v>1</v>
          </cell>
          <cell r="AG34" t="str">
            <v>Gaji Karyawan/buruh</v>
          </cell>
          <cell r="AH34">
            <v>0</v>
          </cell>
          <cell r="AI34">
            <v>1233620</v>
          </cell>
          <cell r="AJ34">
            <v>1233620</v>
          </cell>
        </row>
        <row r="37">
          <cell r="AO37" t="str">
            <v xml:space="preserve">     2.    PENGELUARAN</v>
          </cell>
        </row>
        <row r="39">
          <cell r="AP39" t="str">
            <v>Dari mutasi kas diperoleh rincian pendapatan sebagai berikut :</v>
          </cell>
        </row>
        <row r="41">
          <cell r="AP41" t="str">
            <v>Biaya armada</v>
          </cell>
          <cell r="AU41">
            <v>7854873</v>
          </cell>
        </row>
        <row r="42">
          <cell r="AP42" t="str">
            <v>Biaya operasi</v>
          </cell>
          <cell r="AU42">
            <v>6750486</v>
          </cell>
        </row>
        <row r="43">
          <cell r="AP43" t="str">
            <v>Biaya karyawan</v>
          </cell>
          <cell r="AU43">
            <v>1233620</v>
          </cell>
        </row>
        <row r="44">
          <cell r="AP44" t="str">
            <v>Biaya umum</v>
          </cell>
          <cell r="AU44">
            <v>6768065</v>
          </cell>
        </row>
        <row r="45">
          <cell r="AP45" t="str">
            <v>Biaya umum lain</v>
          </cell>
          <cell r="AU45">
            <v>1160340</v>
          </cell>
        </row>
        <row r="46">
          <cell r="AP46" t="str">
            <v>Biaya pengobatan/konsultasi</v>
          </cell>
          <cell r="AU46">
            <v>0</v>
          </cell>
        </row>
        <row r="47">
          <cell r="AP47" t="str">
            <v>Retribusi/potong uang tambang</v>
          </cell>
          <cell r="AU47">
            <v>573750</v>
          </cell>
        </row>
        <row r="48">
          <cell r="AP48" t="str">
            <v>R/K Keagenan</v>
          </cell>
          <cell r="AU48">
            <v>20677177</v>
          </cell>
        </row>
        <row r="49">
          <cell r="AH49" t="str">
            <v>J U M L A H    K O R E K S I</v>
          </cell>
          <cell r="AJ49">
            <v>1233620</v>
          </cell>
          <cell r="AP49" t="str">
            <v>R/K PT. Meratus Surabaya/UP</v>
          </cell>
          <cell r="AU49">
            <v>465430475</v>
          </cell>
        </row>
        <row r="50">
          <cell r="AP50" t="str">
            <v>R/K PT. MIF Cab Kendari</v>
          </cell>
          <cell r="AU50">
            <v>3167570</v>
          </cell>
        </row>
        <row r="51">
          <cell r="AP51" t="str">
            <v>R/K PT, Jasamas Bandar B.</v>
          </cell>
          <cell r="AU51">
            <v>100000</v>
          </cell>
        </row>
        <row r="54">
          <cell r="AH54" t="str">
            <v>- 8 -</v>
          </cell>
          <cell r="AR54" t="str">
            <v>- 7.a -</v>
          </cell>
        </row>
        <row r="57">
          <cell r="A57" t="str">
            <v xml:space="preserve">B. </v>
          </cell>
          <cell r="B57" t="str">
            <v>PEMBUKUAN WAJIB PAJAK</v>
          </cell>
          <cell r="D57" t="str">
            <v>Telepon</v>
          </cell>
          <cell r="H57" t="str">
            <v>:</v>
          </cell>
          <cell r="U57" t="str">
            <v>F.DATA / INFORMASI YANG TERSEDIA</v>
          </cell>
          <cell r="AF57" t="str">
            <v xml:space="preserve">3. </v>
          </cell>
          <cell r="AG57" t="str">
            <v>Obyek PPh Pasal 23</v>
          </cell>
        </row>
        <row r="58">
          <cell r="B58" t="str">
            <v>6.</v>
          </cell>
          <cell r="C58" t="str">
            <v>Status Permodalan</v>
          </cell>
          <cell r="D58" t="str">
            <v>:</v>
          </cell>
          <cell r="E58" t="str">
            <v xml:space="preserve"> [-] Kas   [X] Akrual</v>
          </cell>
          <cell r="H58" t="str">
            <v>:</v>
          </cell>
        </row>
        <row r="59">
          <cell r="B59" t="str">
            <v>b. Penataan Pembukuan</v>
          </cell>
          <cell r="D59" t="str">
            <v>:</v>
          </cell>
          <cell r="E59" t="str">
            <v xml:space="preserve"> [X] Manual [-]Komputer</v>
          </cell>
          <cell r="AH59" t="str">
            <v xml:space="preserve">                      M E N U R U T</v>
          </cell>
        </row>
        <row r="60">
          <cell r="D60" t="str">
            <v>:</v>
          </cell>
          <cell r="E60" t="str">
            <v xml:space="preserve"> [-] Semi Komputer</v>
          </cell>
          <cell r="U60" t="str">
            <v xml:space="preserve">1. </v>
          </cell>
          <cell r="V60" t="str">
            <v>KP. PDIP. 3.17</v>
          </cell>
          <cell r="AF60" t="str">
            <v>No</v>
          </cell>
          <cell r="AG60" t="str">
            <v>URAIAN</v>
          </cell>
          <cell r="AH60" t="str">
            <v>SPT/WP</v>
          </cell>
          <cell r="AI60" t="str">
            <v>PEMERIKSA</v>
          </cell>
          <cell r="AJ60" t="str">
            <v>KOREKSI</v>
          </cell>
        </row>
        <row r="61">
          <cell r="B61" t="str">
            <v>c. Bila Penataan Pembukuan secara manual</v>
          </cell>
          <cell r="V61" t="str">
            <v>Berdasarkan peminjaman berkas data No. Pemb-166/WPJ.12/RP.01/1995 tanggal 20 Juli 1995</v>
          </cell>
        </row>
        <row r="62">
          <cell r="B62" t="str">
            <v xml:space="preserve">  -Buku-buku yang digunakan</v>
          </cell>
          <cell r="D62" t="str">
            <v>:</v>
          </cell>
          <cell r="E62" t="str">
            <v>Laporan Bulanan Cabang</v>
          </cell>
          <cell r="V62" t="str">
            <v>nilai data adalah nihil.</v>
          </cell>
          <cell r="AF62">
            <v>1</v>
          </cell>
          <cell r="AG62" t="str">
            <v>Sewa Kantor</v>
          </cell>
          <cell r="AH62" t="str">
            <v>---</v>
          </cell>
          <cell r="AI62">
            <v>1950000</v>
          </cell>
          <cell r="AJ62">
            <v>1950000</v>
          </cell>
        </row>
        <row r="63">
          <cell r="E63" t="str">
            <v>Buku Kas</v>
          </cell>
        </row>
        <row r="64">
          <cell r="B64" t="str">
            <v>7.</v>
          </cell>
          <cell r="C64" t="str">
            <v>Status Badan</v>
          </cell>
          <cell r="E64" t="str">
            <v>Buku Bank</v>
          </cell>
          <cell r="H64" t="str">
            <v>:</v>
          </cell>
        </row>
        <row r="68">
          <cell r="B68" t="str">
            <v>8.</v>
          </cell>
          <cell r="C68" t="str">
            <v>Klasifikasi Lapangan Usaha</v>
          </cell>
          <cell r="D68" t="str">
            <v>:</v>
          </cell>
          <cell r="E68" t="str">
            <v>---</v>
          </cell>
        </row>
        <row r="69">
          <cell r="B69" t="str">
            <v>d. 1. Jenis software yang digunakan</v>
          </cell>
          <cell r="D69" t="str">
            <v>a. SPT</v>
          </cell>
          <cell r="E69" t="str">
            <v>---</v>
          </cell>
          <cell r="H69" t="str">
            <v>:</v>
          </cell>
        </row>
        <row r="70">
          <cell r="B70" t="str">
            <v>d. 2. File yang ada</v>
          </cell>
          <cell r="D70" t="str">
            <v>b. Pemeriksa</v>
          </cell>
          <cell r="E70" t="str">
            <v>---</v>
          </cell>
          <cell r="H70" t="str">
            <v>:</v>
          </cell>
        </row>
        <row r="71">
          <cell r="B71" t="str">
            <v xml:space="preserve">e. Bila Penataan Pembukuan secara semi </v>
          </cell>
          <cell r="D71" t="str">
            <v/>
          </cell>
          <cell r="E71" t="str">
            <v/>
          </cell>
          <cell r="AH71" t="str">
            <v>J U M L A H    K O R E K S I</v>
          </cell>
          <cell r="AJ71">
            <v>1950000</v>
          </cell>
        </row>
        <row r="72">
          <cell r="B72" t="str">
            <v xml:space="preserve">    komputer</v>
          </cell>
          <cell r="D72" t="str">
            <v/>
          </cell>
          <cell r="E72" t="str">
            <v/>
          </cell>
        </row>
        <row r="73">
          <cell r="B73" t="str">
            <v>9.</v>
          </cell>
          <cell r="C73" t="str">
            <v>Jenis Pajak yang menjadi kewajiban</v>
          </cell>
          <cell r="D73" t="str">
            <v>:</v>
          </cell>
          <cell r="E73" t="str">
            <v>---</v>
          </cell>
          <cell r="H73" t="str">
            <v>:</v>
          </cell>
        </row>
        <row r="74">
          <cell r="B74" t="str">
            <v>e. 2. Jenis Software yang digunakan</v>
          </cell>
          <cell r="D74" t="str">
            <v>:</v>
          </cell>
          <cell r="E74" t="str">
            <v>---</v>
          </cell>
          <cell r="AF74" t="str">
            <v xml:space="preserve">4. </v>
          </cell>
          <cell r="AG74" t="str">
            <v>Obyek PPh Pasal 26</v>
          </cell>
        </row>
        <row r="75">
          <cell r="B75" t="str">
            <v>e. 3. File yang ada</v>
          </cell>
          <cell r="D75" t="str">
            <v>:</v>
          </cell>
          <cell r="E75" t="str">
            <v>---</v>
          </cell>
        </row>
        <row r="76">
          <cell r="B76" t="str">
            <v>f. Tahun Buku</v>
          </cell>
          <cell r="D76" t="str">
            <v>:</v>
          </cell>
          <cell r="E76" t="str">
            <v xml:space="preserve"> Mulai 1 Januari  s.d.  31 Desember</v>
          </cell>
          <cell r="AH76" t="str">
            <v xml:space="preserve">                      M E N U R U T</v>
          </cell>
        </row>
        <row r="77">
          <cell r="B77" t="str">
            <v>g. Laporan Keuangan disusun/diaudit</v>
          </cell>
          <cell r="D77" t="str">
            <v>:</v>
          </cell>
          <cell r="E77" t="str">
            <v xml:space="preserve"> [X] Disusun sendiri</v>
          </cell>
          <cell r="AF77" t="str">
            <v>No</v>
          </cell>
          <cell r="AG77" t="str">
            <v>URAIAN</v>
          </cell>
          <cell r="AH77" t="str">
            <v>SPT/WP</v>
          </cell>
          <cell r="AI77" t="str">
            <v>PEMERIKSA</v>
          </cell>
          <cell r="AJ77" t="str">
            <v>KOREKSI</v>
          </cell>
        </row>
        <row r="78">
          <cell r="D78" t="str">
            <v>:</v>
          </cell>
          <cell r="E78" t="str">
            <v xml:space="preserve"> [ - ] Ktr.Akuntan Publik : </v>
          </cell>
        </row>
        <row r="79">
          <cell r="AF79" t="str">
            <v>---</v>
          </cell>
          <cell r="AG79" t="str">
            <v>---</v>
          </cell>
          <cell r="AH79">
            <v>0</v>
          </cell>
          <cell r="AI79">
            <v>0</v>
          </cell>
          <cell r="AJ79">
            <v>0</v>
          </cell>
        </row>
        <row r="81">
          <cell r="B81" t="str">
            <v>10.</v>
          </cell>
          <cell r="C81" t="str">
            <v>Penanggung Jawab</v>
          </cell>
          <cell r="E81" t="str">
            <v/>
          </cell>
        </row>
        <row r="82">
          <cell r="C82" t="str">
            <v>-</v>
          </cell>
          <cell r="D82" t="str">
            <v>N a m a</v>
          </cell>
          <cell r="E82" t="str">
            <v xml:space="preserve">     No.Reg  :  </v>
          </cell>
          <cell r="H82" t="str">
            <v>:</v>
          </cell>
        </row>
        <row r="83">
          <cell r="D83" t="str">
            <v>Jabatan</v>
          </cell>
          <cell r="E83" t="str">
            <v xml:space="preserve">     Pendapat Akuntan  :  </v>
          </cell>
          <cell r="H83" t="str">
            <v>:</v>
          </cell>
        </row>
        <row r="84">
          <cell r="D84" t="str">
            <v>Alamat</v>
          </cell>
          <cell r="E84" t="str">
            <v/>
          </cell>
          <cell r="H84" t="str">
            <v>:</v>
          </cell>
        </row>
        <row r="85">
          <cell r="B85" t="str">
            <v>h. Pendapat Pemeriksa mengenai Pembukuan Wajib Pajak :</v>
          </cell>
          <cell r="D85" t="str">
            <v>Telepon</v>
          </cell>
          <cell r="H85" t="str">
            <v>:</v>
          </cell>
          <cell r="U85" t="str">
            <v>G.DAFTAR LAMPIRAN</v>
          </cell>
        </row>
        <row r="87">
          <cell r="B87" t="str">
            <v>11.</v>
          </cell>
          <cell r="C87" t="str">
            <v>Pendirian</v>
          </cell>
          <cell r="U87" t="str">
            <v>1.</v>
          </cell>
          <cell r="V87" t="str">
            <v xml:space="preserve"> Surat Perintah Pemeriksaan Pajak Nomor : PRIN-0166/WPJ.12/RP.01/95 tanggal 20 Juli 1995.</v>
          </cell>
        </row>
        <row r="88">
          <cell r="B88" t="str">
            <v>Pembukuan telah memenuhi Pasal 28 ( 4 ) UU No. 6 tahun 1983</v>
          </cell>
          <cell r="C88" t="str">
            <v>a.</v>
          </cell>
          <cell r="D88" t="str">
            <v>Tanggal dan Tempat Pendirian</v>
          </cell>
          <cell r="H88" t="str">
            <v>:</v>
          </cell>
          <cell r="U88" t="str">
            <v>2.</v>
          </cell>
          <cell r="V88" t="str">
            <v xml:space="preserve"> Pemberitahuan tentang Pemeriksaan Pajak Nomor : Pem-0166/WPJ.12/RP/01/94  tanggal  </v>
          </cell>
          <cell r="AH88" t="str">
            <v>J U M L A H    K O R E K S I</v>
          </cell>
          <cell r="AJ88">
            <v>0</v>
          </cell>
        </row>
        <row r="89">
          <cell r="B89" t="str">
            <v>Secara formal pembukuan telah dilaksanakan dengan baik.</v>
          </cell>
          <cell r="D89" t="str">
            <v>Akte Notaris</v>
          </cell>
          <cell r="H89" t="str">
            <v>:</v>
          </cell>
          <cell r="V89" t="str">
            <v>20 Juli 1995.</v>
          </cell>
        </row>
        <row r="90">
          <cell r="D90" t="str">
            <v>Nomor</v>
          </cell>
          <cell r="H90" t="str">
            <v>:</v>
          </cell>
          <cell r="U90" t="str">
            <v>3.</v>
          </cell>
          <cell r="V90" t="str">
            <v xml:space="preserve"> KP. PDIP. 3.17</v>
          </cell>
        </row>
        <row r="91">
          <cell r="C91" t="str">
            <v>b.</v>
          </cell>
          <cell r="D91" t="str">
            <v>Akte Perubahan   ( Terakhir )</v>
          </cell>
          <cell r="H91" t="str">
            <v>:</v>
          </cell>
          <cell r="U91">
            <v>4</v>
          </cell>
          <cell r="V91" t="str">
            <v>Rekapitulasi Mutasi Kas.</v>
          </cell>
          <cell r="AF91" t="str">
            <v xml:space="preserve">5. </v>
          </cell>
          <cell r="AG91" t="str">
            <v>Obyek PPN/PPn BM</v>
          </cell>
        </row>
        <row r="92">
          <cell r="D92" t="str">
            <v xml:space="preserve">Tanggal  </v>
          </cell>
          <cell r="H92" t="str">
            <v>:</v>
          </cell>
          <cell r="U92">
            <v>5</v>
          </cell>
          <cell r="V92" t="str">
            <v>Daftar perhitungan PPN</v>
          </cell>
        </row>
        <row r="93">
          <cell r="D93" t="str">
            <v>Nama Notaris</v>
          </cell>
          <cell r="H93" t="str">
            <v>:</v>
          </cell>
          <cell r="AH93" t="str">
            <v xml:space="preserve">                      M E N U R U T</v>
          </cell>
        </row>
        <row r="94">
          <cell r="D94" t="str">
            <v>Nomor</v>
          </cell>
          <cell r="H94" t="str">
            <v>:</v>
          </cell>
          <cell r="AF94" t="str">
            <v>No</v>
          </cell>
          <cell r="AG94" t="str">
            <v>URAIAN</v>
          </cell>
          <cell r="AH94" t="str">
            <v>SPT/WP</v>
          </cell>
          <cell r="AI94" t="str">
            <v>PEMERIKSA</v>
          </cell>
          <cell r="AJ94" t="str">
            <v>KOREKSI</v>
          </cell>
        </row>
        <row r="95">
          <cell r="D95" t="str">
            <v>Perihal / Tentang</v>
          </cell>
          <cell r="H95" t="str">
            <v>:</v>
          </cell>
        </row>
        <row r="96">
          <cell r="AF96">
            <v>1</v>
          </cell>
          <cell r="AG96" t="str">
            <v>Jasa keagenan kapal</v>
          </cell>
          <cell r="AH96">
            <v>1300000</v>
          </cell>
          <cell r="AI96">
            <v>1300000</v>
          </cell>
          <cell r="AJ96">
            <v>0</v>
          </cell>
        </row>
        <row r="97">
          <cell r="A97" t="str">
            <v xml:space="preserve">C. </v>
          </cell>
          <cell r="B97" t="str">
            <v>PEMENUHAN KEWAJIBAN PERPAJAKAN TAHUN YANG DIPERIKSA</v>
          </cell>
        </row>
        <row r="99">
          <cell r="B99" t="str">
            <v xml:space="preserve">    1.Pelaksanaan kewajiban perpajakan dilakukan :</v>
          </cell>
        </row>
        <row r="101">
          <cell r="B101" t="str">
            <v>12.</v>
          </cell>
          <cell r="C101" t="str">
            <v>Permodalan dan Daftar Pemegang Saham</v>
          </cell>
          <cell r="D101" t="str">
            <v xml:space="preserve">  [ X ] Dilaksanakan sendiri</v>
          </cell>
        </row>
        <row r="102">
          <cell r="C102" t="str">
            <v>a.</v>
          </cell>
          <cell r="D102" t="str">
            <v>Permodalan</v>
          </cell>
        </row>
        <row r="103">
          <cell r="D103" t="str">
            <v>Modal Statuair</v>
          </cell>
          <cell r="H103" t="str">
            <v>:</v>
          </cell>
        </row>
        <row r="104">
          <cell r="D104" t="str">
            <v xml:space="preserve">     Nama Konsultan Pajak :</v>
          </cell>
          <cell r="X104" t="str">
            <v/>
          </cell>
        </row>
        <row r="105">
          <cell r="D105" t="str">
            <v>Modal Ditempatkan</v>
          </cell>
          <cell r="H105" t="str">
            <v>:</v>
          </cell>
          <cell r="X105" t="str">
            <v/>
          </cell>
          <cell r="AH105" t="str">
            <v>J U M L A H    K O R E K S I</v>
          </cell>
          <cell r="AJ105">
            <v>0</v>
          </cell>
        </row>
        <row r="106">
          <cell r="D106" t="str">
            <v>Modal Disetor</v>
          </cell>
          <cell r="H106" t="str">
            <v>:</v>
          </cell>
          <cell r="X106" t="str">
            <v/>
          </cell>
        </row>
        <row r="107">
          <cell r="E107" t="str">
            <v xml:space="preserve">    -</v>
          </cell>
        </row>
        <row r="108">
          <cell r="C108" t="str">
            <v>b.</v>
          </cell>
          <cell r="D108" t="str">
            <v>Daftar Pemegang Saham</v>
          </cell>
        </row>
        <row r="110">
          <cell r="B110" t="str">
            <v>No.</v>
          </cell>
          <cell r="C110" t="str">
            <v>Nama</v>
          </cell>
          <cell r="F110" t="str">
            <v>Alamat</v>
          </cell>
        </row>
        <row r="111">
          <cell r="C111" t="str">
            <v>NPWP</v>
          </cell>
          <cell r="D111" t="str">
            <v>- 3 -</v>
          </cell>
          <cell r="X111" t="str">
            <v>- 6 -</v>
          </cell>
          <cell r="AH111" t="str">
            <v>- 9 -</v>
          </cell>
        </row>
        <row r="113">
          <cell r="U113" t="str">
            <v>2. DATA/INFORMASI YANG DIPRODUKSI</v>
          </cell>
        </row>
        <row r="115">
          <cell r="U115" t="str">
            <v>Tidak ada</v>
          </cell>
        </row>
        <row r="119">
          <cell r="T119" t="str">
            <v/>
          </cell>
        </row>
        <row r="120">
          <cell r="W120" t="str">
            <v/>
          </cell>
        </row>
        <row r="125">
          <cell r="U125" t="str">
            <v>3. USUL PEMERIKSA</v>
          </cell>
        </row>
        <row r="126">
          <cell r="U126" t="str">
            <v/>
          </cell>
        </row>
        <row r="127">
          <cell r="U127" t="str">
            <v xml:space="preserve">      Berdasarkan data yang ditemukan dalam pemeriksaan, maka pajak terhutang  seperti pada </v>
          </cell>
        </row>
        <row r="128">
          <cell r="U128" t="str">
            <v xml:space="preserve">       nomor urut 1 diatas, Oleh  karenanya  agar  segera  diterbitkan :</v>
          </cell>
        </row>
        <row r="129">
          <cell r="U129" t="str">
            <v xml:space="preserve">         - SKPN untuk PPh pasal 21</v>
          </cell>
        </row>
        <row r="130">
          <cell r="U130" t="str">
            <v xml:space="preserve">         - SKPKB untuk PPh pasal 23</v>
          </cell>
        </row>
        <row r="131">
          <cell r="U131" t="str">
            <v xml:space="preserve">         - SKPN untuk PPN</v>
          </cell>
        </row>
        <row r="138">
          <cell r="Z138" t="str">
            <v>Ujung Pandang,   31  Agustus 1995</v>
          </cell>
        </row>
        <row r="140">
          <cell r="V140" t="str">
            <v xml:space="preserve">          SUPERVISOR</v>
          </cell>
          <cell r="Z140" t="str">
            <v>KETUA TIM PEMERIKSA</v>
          </cell>
        </row>
        <row r="145">
          <cell r="V145" t="str">
            <v xml:space="preserve">       Drs. SUDARSONO</v>
          </cell>
          <cell r="Z145" t="str">
            <v xml:space="preserve">   MIXON PARDOMUAN</v>
          </cell>
        </row>
        <row r="146">
          <cell r="V146" t="str">
            <v xml:space="preserve">           NIP. 060027101</v>
          </cell>
          <cell r="Z146" t="str">
            <v xml:space="preserve">         NIP. 740002248</v>
          </cell>
        </row>
        <row r="148">
          <cell r="U148" t="str">
            <v/>
          </cell>
        </row>
        <row r="150">
          <cell r="U150" t="str">
            <v xml:space="preserve">KEPALA  KANTOR PEMERIKSAAN DAN           </v>
          </cell>
          <cell r="Z150" t="str">
            <v>ANGGOTA TIM PEMERIKSA</v>
          </cell>
        </row>
        <row r="151">
          <cell r="U151" t="str">
            <v>PENYIDIKAN PAJAK UJUNG PANDANG</v>
          </cell>
        </row>
        <row r="155">
          <cell r="Z155" t="str">
            <v xml:space="preserve">           HARUN AL RASYID</v>
          </cell>
        </row>
        <row r="156">
          <cell r="U156" t="str">
            <v xml:space="preserve">                  Drs.  MEMAN PANJAITAN                   </v>
          </cell>
          <cell r="V156" t="str">
            <v xml:space="preserve">        Drs. MANOSOR L. TOBING</v>
          </cell>
          <cell r="Z156" t="str">
            <v xml:space="preserve">                  NIP. 060079615</v>
          </cell>
        </row>
        <row r="157">
          <cell r="U157" t="str">
            <v xml:space="preserve">                            NIP. 060027441</v>
          </cell>
          <cell r="V157" t="str">
            <v xml:space="preserve">               NIP. 060029476</v>
          </cell>
        </row>
        <row r="167">
          <cell r="X167" t="str">
            <v>- 16 -</v>
          </cell>
        </row>
        <row r="169">
          <cell r="A169" t="str">
            <v xml:space="preserve">D. </v>
          </cell>
          <cell r="B169" t="str">
            <v>PENUGASAN PEMERIKSAAN</v>
          </cell>
          <cell r="AF169" t="str">
            <v xml:space="preserve">IV.  </v>
          </cell>
          <cell r="AG169" t="str">
            <v>KESIMPULAN DAN USUL PEMERIKSA</v>
          </cell>
        </row>
        <row r="170">
          <cell r="A170" t="str">
            <v>D.</v>
          </cell>
          <cell r="B170" t="str">
            <v xml:space="preserve">PEMENUHAN KEWAJIBAN PERPAJAKAN </v>
          </cell>
          <cell r="AG170" t="str">
            <v>1. PENGHITUNGAN PAJAK SEBELUM DAN SESUDAH PEMERIKSAAN</v>
          </cell>
        </row>
        <row r="171">
          <cell r="B171" t="str">
            <v xml:space="preserve">  1. Surat Perintah Pemeriksaan</v>
          </cell>
        </row>
        <row r="172">
          <cell r="B172" t="str">
            <v>1.</v>
          </cell>
          <cell r="C172" t="str">
            <v>Pelaksanaan kewajiban perpajakan dilakukan :</v>
          </cell>
          <cell r="E172" t="str">
            <v>PRIN-0166/WPJ.12/RP.01/95</v>
          </cell>
          <cell r="AH172" t="str">
            <v>MENURUT</v>
          </cell>
          <cell r="AI172" t="str">
            <v>MENURUT</v>
          </cell>
        </row>
        <row r="173">
          <cell r="B173" t="str">
            <v xml:space="preserve">      Tanggal</v>
          </cell>
          <cell r="C173" t="str">
            <v>:</v>
          </cell>
          <cell r="E173" t="str">
            <v>20 Juli 1995</v>
          </cell>
          <cell r="AG173" t="str">
            <v>URAIAN</v>
          </cell>
          <cell r="AH173" t="str">
            <v>SPT/WP</v>
          </cell>
          <cell r="AI173" t="str">
            <v>PEMERIKSAAN</v>
          </cell>
          <cell r="AJ173" t="str">
            <v>KOREKSI</v>
          </cell>
        </row>
        <row r="174">
          <cell r="B174" t="str">
            <v xml:space="preserve">  2. Alasan Pemerikasaam</v>
          </cell>
          <cell r="C174" t="str">
            <v>:</v>
          </cell>
          <cell r="E174" t="str">
            <v>Pemeriksaan Cabang</v>
          </cell>
          <cell r="AH174" t="str">
            <v>(Rupiah)</v>
          </cell>
          <cell r="AI174" t="str">
            <v>(Rupiah)</v>
          </cell>
          <cell r="AJ174" t="str">
            <v>(Rupiah)</v>
          </cell>
        </row>
        <row r="175">
          <cell r="B175" t="str">
            <v xml:space="preserve">  3. No. Pengawasan Pem. SPT</v>
          </cell>
          <cell r="C175" t="str">
            <v>:</v>
          </cell>
          <cell r="E175" t="str">
            <v>00</v>
          </cell>
        </row>
        <row r="176">
          <cell r="B176" t="str">
            <v xml:space="preserve">  4. Tahun Pajak</v>
          </cell>
          <cell r="C176" t="str">
            <v>:</v>
          </cell>
          <cell r="E176" t="str">
            <v>1291</v>
          </cell>
          <cell r="AG176" t="str">
            <v xml:space="preserve"> PPh badan Ps. 25/29</v>
          </cell>
        </row>
        <row r="177">
          <cell r="B177" t="str">
            <v xml:space="preserve">  5. Jam Kerja Pemeriksaan</v>
          </cell>
          <cell r="C177" t="str">
            <v>:</v>
          </cell>
          <cell r="AG177" t="str">
            <v>-Penghasilan Kena Pajak</v>
          </cell>
          <cell r="AH177">
            <v>0</v>
          </cell>
          <cell r="AI177">
            <v>0</v>
          </cell>
          <cell r="AJ177">
            <v>0</v>
          </cell>
        </row>
        <row r="178">
          <cell r="B178" t="str">
            <v>2.</v>
          </cell>
          <cell r="C178" t="str">
            <v>Ketaatan pemasukan SPT</v>
          </cell>
          <cell r="E178" t="str">
            <v>Lapangan</v>
          </cell>
          <cell r="AJ178" t="str">
            <v/>
          </cell>
        </row>
        <row r="179">
          <cell r="B179" t="str">
            <v xml:space="preserve">  7. Kelas Pemeriksaan</v>
          </cell>
          <cell r="C179" t="str">
            <v>:</v>
          </cell>
          <cell r="E179" t="str">
            <v>---</v>
          </cell>
          <cell r="AG179" t="str">
            <v>-Pajak Terhutang</v>
          </cell>
          <cell r="AH179">
            <v>0</v>
          </cell>
          <cell r="AI179">
            <v>0</v>
          </cell>
          <cell r="AJ179">
            <v>0</v>
          </cell>
        </row>
        <row r="180">
          <cell r="B180" t="str">
            <v xml:space="preserve">  8. Kode KARIKPA/DIT. RIKPA</v>
          </cell>
          <cell r="C180" t="str">
            <v>a. SPT Tahunan</v>
          </cell>
          <cell r="E180" t="str">
            <v>M01</v>
          </cell>
          <cell r="AG180" t="str">
            <v/>
          </cell>
          <cell r="AJ180" t="str">
            <v/>
          </cell>
        </row>
        <row r="181">
          <cell r="B181" t="str">
            <v xml:space="preserve">  9. Kode Penyelesaian</v>
          </cell>
          <cell r="C181" t="str">
            <v xml:space="preserve">   - PPh Pasal Badan</v>
          </cell>
          <cell r="H181" t="str">
            <v>:</v>
          </cell>
          <cell r="AG181" t="str">
            <v>-Kredit Pajak</v>
          </cell>
          <cell r="AJ181">
            <v>0</v>
          </cell>
        </row>
        <row r="182">
          <cell r="B182" t="str">
            <v>10. Pemeriksaan tahun sebelumnya</v>
          </cell>
          <cell r="C182" t="str">
            <v>:</v>
          </cell>
          <cell r="E182" t="str">
            <v>[X]  Ya       [-]  Tidak</v>
          </cell>
          <cell r="AJ182" t="str">
            <v/>
          </cell>
        </row>
        <row r="183">
          <cell r="B183" t="str">
            <v>11. Laporan Pemeriksaan terdahulu</v>
          </cell>
          <cell r="C183" t="str">
            <v>:</v>
          </cell>
          <cell r="E183" t="str">
            <v>[-]  Ya       [X]  Tidak</v>
          </cell>
          <cell r="AG183" t="str">
            <v>-PPh Kurang (Lebih) Bayar</v>
          </cell>
          <cell r="AH183">
            <v>0</v>
          </cell>
          <cell r="AI183">
            <v>0</v>
          </cell>
          <cell r="AJ183">
            <v>0</v>
          </cell>
        </row>
        <row r="184">
          <cell r="B184" t="str">
            <v xml:space="preserve">      Nomor</v>
          </cell>
          <cell r="C184" t="str">
            <v>:</v>
          </cell>
          <cell r="E184" t="str">
            <v>---</v>
          </cell>
          <cell r="AJ184" t="str">
            <v/>
          </cell>
        </row>
        <row r="185">
          <cell r="B185" t="str">
            <v xml:space="preserve">      Tanggal</v>
          </cell>
          <cell r="C185" t="str">
            <v xml:space="preserve">   - PPh Pasal 21</v>
          </cell>
          <cell r="E185" t="str">
            <v>---</v>
          </cell>
          <cell r="H185" t="str">
            <v>:</v>
          </cell>
          <cell r="AG185" t="str">
            <v xml:space="preserve">-Sanksi Adm. </v>
          </cell>
          <cell r="AH185">
            <v>0</v>
          </cell>
          <cell r="AI185">
            <v>0</v>
          </cell>
          <cell r="AJ185">
            <v>0</v>
          </cell>
        </row>
        <row r="187">
          <cell r="AG187" t="str">
            <v>-PPh pasal 25 harus bayar</v>
          </cell>
          <cell r="AH187">
            <v>0</v>
          </cell>
          <cell r="AI187">
            <v>0</v>
          </cell>
          <cell r="AJ187">
            <v>0</v>
          </cell>
        </row>
        <row r="188">
          <cell r="A188" t="str">
            <v xml:space="preserve">E. </v>
          </cell>
          <cell r="B188" t="str">
            <v>GAMBARAN KEGIATAN WAJIB PAJAK</v>
          </cell>
        </row>
        <row r="189">
          <cell r="C189" t="str">
            <v>b. SPT Masa</v>
          </cell>
          <cell r="AG189" t="str">
            <v xml:space="preserve">  PPh Pasal 23</v>
          </cell>
        </row>
        <row r="190">
          <cell r="C190" t="str">
            <v xml:space="preserve">  - PPh Pasal 21</v>
          </cell>
          <cell r="H190" t="str">
            <v>:</v>
          </cell>
          <cell r="AG190" t="str">
            <v xml:space="preserve">  -Pajak terhutang </v>
          </cell>
          <cell r="AH190">
            <v>0</v>
          </cell>
          <cell r="AI190">
            <v>292500.00000000006</v>
          </cell>
          <cell r="AJ190">
            <v>292500.00000000006</v>
          </cell>
        </row>
        <row r="191">
          <cell r="B191" t="str">
            <v xml:space="preserve">Kegaiatan usaha kantor cabang Kendari adalah angkutan samudra dan perairan </v>
          </cell>
        </row>
        <row r="192">
          <cell r="B192" t="str">
            <v>pantai. Seluruh kegiatan usaha dilaporkan ke kantor Pusat Surabaya.</v>
          </cell>
          <cell r="AG192" t="str">
            <v xml:space="preserve">  -Kredit Pajak </v>
          </cell>
          <cell r="AH192">
            <v>0</v>
          </cell>
          <cell r="AI192">
            <v>0</v>
          </cell>
          <cell r="AJ192">
            <v>0</v>
          </cell>
        </row>
        <row r="194">
          <cell r="C194" t="str">
            <v xml:space="preserve">  - PPh Pasal 23</v>
          </cell>
          <cell r="H194" t="str">
            <v>:</v>
          </cell>
          <cell r="AG194" t="str">
            <v xml:space="preserve">  -PPh kurang bayar </v>
          </cell>
          <cell r="AH194">
            <v>0</v>
          </cell>
          <cell r="AI194">
            <v>292500.00000000006</v>
          </cell>
          <cell r="AJ194">
            <v>292500.00000000006</v>
          </cell>
        </row>
        <row r="196">
          <cell r="AG196" t="str">
            <v xml:space="preserve">  -Sanksi adminitrasi </v>
          </cell>
          <cell r="AH196">
            <v>0</v>
          </cell>
          <cell r="AI196">
            <v>140400.00000000003</v>
          </cell>
          <cell r="AJ196">
            <v>140400.00000000003</v>
          </cell>
        </row>
        <row r="198">
          <cell r="C198" t="str">
            <v xml:space="preserve">  - PPN/PPn BM</v>
          </cell>
          <cell r="H198" t="str">
            <v>:</v>
          </cell>
          <cell r="AG198" t="str">
            <v xml:space="preserve">  PPh pasal 23 harus bayar </v>
          </cell>
          <cell r="AH198">
            <v>0</v>
          </cell>
          <cell r="AI198">
            <v>432900.00000000012</v>
          </cell>
          <cell r="AJ198">
            <v>432900.00000000012</v>
          </cell>
        </row>
        <row r="199">
          <cell r="B199" t="str">
            <v/>
          </cell>
        </row>
        <row r="200">
          <cell r="AG200" t="str">
            <v xml:space="preserve">  PPh Pasal 26</v>
          </cell>
        </row>
        <row r="201">
          <cell r="AG201" t="str">
            <v xml:space="preserve">  -Pajak terhutang </v>
          </cell>
          <cell r="AH201">
            <v>0</v>
          </cell>
          <cell r="AI201">
            <v>0</v>
          </cell>
          <cell r="AJ201">
            <v>0</v>
          </cell>
        </row>
        <row r="203">
          <cell r="AG203" t="str">
            <v xml:space="preserve">  -Telah disetor</v>
          </cell>
          <cell r="AH203">
            <v>0</v>
          </cell>
          <cell r="AI203">
            <v>0</v>
          </cell>
          <cell r="AJ203">
            <v>0</v>
          </cell>
        </row>
        <row r="205">
          <cell r="B205" t="str">
            <v>3.</v>
          </cell>
          <cell r="C205" t="str">
            <v>Ketaatan pembayaran/setoran masa</v>
          </cell>
          <cell r="AG205" t="str">
            <v xml:space="preserve">  -Kurang bayar</v>
          </cell>
          <cell r="AH205">
            <v>0</v>
          </cell>
          <cell r="AI205">
            <v>0</v>
          </cell>
          <cell r="AJ205">
            <v>0</v>
          </cell>
        </row>
        <row r="206">
          <cell r="C206" t="str">
            <v xml:space="preserve">   - PPh Pasal 25</v>
          </cell>
          <cell r="H206" t="str">
            <v>:</v>
          </cell>
        </row>
        <row r="207">
          <cell r="AG207" t="str">
            <v xml:space="preserve">  -Sanksi Administrasi</v>
          </cell>
          <cell r="AH207">
            <v>0</v>
          </cell>
          <cell r="AI207">
            <v>0</v>
          </cell>
          <cell r="AJ207">
            <v>0</v>
          </cell>
        </row>
        <row r="209">
          <cell r="AG209" t="str">
            <v xml:space="preserve">  PPh pasal 26 harus bayar </v>
          </cell>
          <cell r="AH209">
            <v>0</v>
          </cell>
          <cell r="AI209">
            <v>0</v>
          </cell>
          <cell r="AJ209">
            <v>0</v>
          </cell>
        </row>
        <row r="210">
          <cell r="C210" t="str">
            <v xml:space="preserve">   - PPh Pasal 21</v>
          </cell>
          <cell r="H210" t="str">
            <v>:</v>
          </cell>
        </row>
        <row r="211">
          <cell r="AG211" t="str">
            <v xml:space="preserve">  PPh Pasal 21</v>
          </cell>
        </row>
        <row r="212">
          <cell r="AG212" t="str">
            <v xml:space="preserve"> -Pajak Terhutang </v>
          </cell>
          <cell r="AH212">
            <v>0</v>
          </cell>
          <cell r="AI212">
            <v>0</v>
          </cell>
          <cell r="AJ212">
            <v>0</v>
          </cell>
        </row>
        <row r="214">
          <cell r="C214" t="str">
            <v xml:space="preserve">   - PPh Pasal 22</v>
          </cell>
          <cell r="H214" t="str">
            <v>:</v>
          </cell>
          <cell r="AG214" t="str">
            <v xml:space="preserve"> -Telah disetor</v>
          </cell>
          <cell r="AH214">
            <v>0</v>
          </cell>
          <cell r="AI214">
            <v>0</v>
          </cell>
          <cell r="AJ214">
            <v>0</v>
          </cell>
        </row>
        <row r="216">
          <cell r="AG216" t="str">
            <v xml:space="preserve"> -Kurang Bayar</v>
          </cell>
          <cell r="AH216">
            <v>0</v>
          </cell>
          <cell r="AI216">
            <v>0</v>
          </cell>
          <cell r="AJ216">
            <v>0</v>
          </cell>
        </row>
        <row r="218">
          <cell r="C218" t="str">
            <v xml:space="preserve">   - PPh Pasal 23</v>
          </cell>
          <cell r="H218" t="str">
            <v>:</v>
          </cell>
          <cell r="AG218" t="str">
            <v xml:space="preserve"> -Sanksi Administrasi</v>
          </cell>
          <cell r="AH218">
            <v>0</v>
          </cell>
          <cell r="AI218">
            <v>0</v>
          </cell>
          <cell r="AJ218">
            <v>0</v>
          </cell>
        </row>
        <row r="220">
          <cell r="AG220" t="str">
            <v xml:space="preserve"> -PPh pasal 21 harus bayar</v>
          </cell>
          <cell r="AH220">
            <v>0</v>
          </cell>
          <cell r="AI220">
            <v>0</v>
          </cell>
          <cell r="AJ220">
            <v>0</v>
          </cell>
        </row>
        <row r="222">
          <cell r="C222" t="str">
            <v xml:space="preserve">   - PPh Pasal 26</v>
          </cell>
          <cell r="H222" t="str">
            <v>:</v>
          </cell>
        </row>
        <row r="223">
          <cell r="C223" t="str">
            <v>- 5 -</v>
          </cell>
          <cell r="AH223" t="str">
            <v>- 14 -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2"/>
      <sheetName val="3"/>
      <sheetName val="4"/>
      <sheetName val="5"/>
      <sheetName val="6"/>
      <sheetName val="7"/>
      <sheetName val="H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0"/>
      <sheetName val="21"/>
      <sheetName val="22"/>
      <sheetName val="W"/>
      <sheetName val="23"/>
      <sheetName val="24"/>
      <sheetName val="25"/>
      <sheetName val="26"/>
      <sheetName val="27"/>
      <sheetName val="28"/>
      <sheetName val="29"/>
      <sheetName val="30"/>
      <sheetName val="32"/>
      <sheetName val="33"/>
      <sheetName val="34"/>
      <sheetName val="seg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-tdknanggapi"/>
      <sheetName val="BA-hslaudit"/>
      <sheetName val="BAse-7"/>
      <sheetName val="lbr-se7"/>
      <sheetName val="tanggapan"/>
      <sheetName val="lamp-php"/>
      <sheetName val="php"/>
      <sheetName val="kitir"/>
      <sheetName val="coverKKP"/>
      <sheetName val="Cover"/>
      <sheetName val="LPP"/>
      <sheetName val="kkp_umum+data"/>
      <sheetName val="pered"/>
      <sheetName val="ptkp"/>
      <sheetName val="kredit pajak"/>
      <sheetName val="pphterutang"/>
      <sheetName val="ps-25"/>
      <sheetName val="AlKet"/>
      <sheetName val="SKPSTPPPh2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Summary-Customer"/>
      <sheetName val="LTLGroup-Trans"/>
      <sheetName val="LTLGroup-Rent"/>
      <sheetName val="LTLGroup-SD"/>
      <sheetName val="LTLGroup-Oth"/>
      <sheetName val="NONLTL-Trans"/>
      <sheetName val="NONLTL-Rent"/>
      <sheetName val="NONLTL-SD"/>
      <sheetName val="NONLTL-OTH"/>
      <sheetName val="AR PER 30 SEPT 07"/>
      <sheetName val="ranges"/>
      <sheetName val="E-1-1"/>
      <sheetName val="Sold"/>
      <sheetName val="Inventori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Summary-Customer"/>
      <sheetName val="LTLGroup-Trans"/>
      <sheetName val="LTLGroup-Rent"/>
      <sheetName val="LTLGroup-SD"/>
      <sheetName val="LTLGroup-Oth"/>
      <sheetName val="NONLTL-Trans"/>
      <sheetName val="NONLTL-Rent"/>
      <sheetName val="NONLTL-SD"/>
      <sheetName val="NONLTL-OTH"/>
      <sheetName val="AR PER 30 SEPT 07"/>
      <sheetName val="ranges"/>
      <sheetName val="E-1-1"/>
      <sheetName val="Sold"/>
      <sheetName val="Inventori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Sheet1"/>
      <sheetName val="Summary-Customer"/>
      <sheetName val="1151000088"/>
      <sheetName val="1151000089"/>
      <sheetName val="1152000088"/>
      <sheetName val="1152000089"/>
      <sheetName val="LTLGroup"/>
      <sheetName val="LTLGroup-Trans"/>
      <sheetName val="A"/>
      <sheetName val="DEPK2003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Sheet1"/>
      <sheetName val="Summary-Customer"/>
      <sheetName val="1151000088"/>
      <sheetName val="1151000089"/>
      <sheetName val="1152000088"/>
      <sheetName val="1152000089"/>
      <sheetName val="LTLGroup"/>
      <sheetName val="LTLGroup-Trans"/>
      <sheetName val="A"/>
      <sheetName val="DEPK2003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ﾙｰﾄ別販売(概況3)"/>
      <sheetName val="生販計画(02)"/>
      <sheetName val="直労・販直・営業外(04)"/>
      <sheetName val="合理化"/>
      <sheetName val="合理化 (2)"/>
      <sheetName val="ﾍﾞｰｽ"/>
      <sheetName val="PSI"/>
      <sheetName val="生産"/>
      <sheetName val="生産 (Rp)"/>
      <sheetName val="販売 (Rp)"/>
      <sheetName val="販売"/>
      <sheetName val="金型"/>
      <sheetName val="外注加工費"/>
      <sheetName val="BASE"/>
      <sheetName val="MONTHLY (Rp)"/>
      <sheetName val="SUMMARY (Rp)"/>
      <sheetName val="MONTHLY ($)"/>
      <sheetName val="SUMMARY ($)"/>
      <sheetName val="仕入計画"/>
      <sheetName val="仕入計画 (2)"/>
      <sheetName val="MONTHLY (2)"/>
      <sheetName val="SUMMARY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-1-LAB"/>
      <sheetName val="98-1-OVT"/>
      <sheetName val="SUMMARY"/>
    </sheetNames>
    <sheetDataSet>
      <sheetData sheetId="0"/>
      <sheetData sheetId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Cashflow Cons MTM-10-"/>
      <sheetName val="Interest Exp MTM-23-"/>
      <sheetName val="Forex Principal MTM -26-"/>
      <sheetName val="Forex Exp MTM -28-"/>
      <sheetName val="Sales &amp; GM-Cons-12-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ea Standard"/>
      <sheetName val="Area Stack"/>
      <sheetName val="Area Stack 100%"/>
      <sheetName val="Bar_clustered"/>
      <sheetName val="Bar stack"/>
      <sheetName val="Bar clustered w zero axis"/>
      <sheetName val="Bar clustered with 2 axes"/>
      <sheetName val="Bar clustered and stacked"/>
      <sheetName val="Floating bar"/>
      <sheetName val="Stack bar 100%"/>
      <sheetName val="Barbell"/>
      <sheetName val="Bubble 1"/>
      <sheetName val="Bubble 2 (grid)"/>
      <sheetName val="Column"/>
      <sheetName val="Column stack"/>
      <sheetName val="Column clustered w zero axis"/>
      <sheetName val="Column clustered with 2 axes"/>
      <sheetName val="Column clustered and stacked"/>
      <sheetName val="Data Arrangement (2)"/>
      <sheetName val="Reserved"/>
      <sheetName val="Double stacked column"/>
      <sheetName val="Floating column"/>
      <sheetName val="Stack column 100%"/>
      <sheetName val="Line"/>
      <sheetName val="Line with column"/>
      <sheetName val="Line with column stack"/>
      <sheetName val="Line with zero axis"/>
      <sheetName val="2 clustered+stacked col w_ line"/>
      <sheetName val="Pie"/>
      <sheetName val="Pie with pie"/>
      <sheetName val="Pie with column"/>
      <sheetName val="Price volume"/>
      <sheetName val="Radar"/>
      <sheetName val="Scatter"/>
      <sheetName val="Scatterline (with annotations)"/>
      <sheetName val="Step"/>
      <sheetName val="Waterfall 1"/>
      <sheetName val="Waterfall 2 (negative)"/>
      <sheetName val="Data Arrangement"/>
      <sheetName val="Color Grid"/>
      <sheetName val="Sheet1"/>
      <sheetName val="Assum"/>
      <sheetName val="CRO Input"/>
      <sheetName val="Storage"/>
      <sheetName val="CSAS-Liquidity"/>
      <sheetName val="AccDil"/>
      <sheetName val="Comps input"/>
      <sheetName val="InitialinputsJim"/>
      <sheetName val="DCF"/>
      <sheetName val="Valuation"/>
      <sheetName val="WyomProd"/>
      <sheetName val="Output_risked"/>
      <sheetName val="ASPT"/>
      <sheetName val="Outputs"/>
      <sheetName val="Probable Production"/>
      <sheetName val="Operating_Output"/>
      <sheetName val="Open"/>
      <sheetName val="ind"/>
      <sheetName val="Advances"/>
      <sheetName val="ONEInput"/>
      <sheetName val="ChartPRO Master v3m3"/>
      <sheetName val="Input"/>
      <sheetName val="Graph 1"/>
      <sheetName val="Master"/>
      <sheetName val="CCM by Initiative"/>
      <sheetName val="SFS by Initiative"/>
      <sheetName val="Area_Standard"/>
      <sheetName val="Area_Stack"/>
      <sheetName val="Area_Stack_100%"/>
      <sheetName val="Bar_stack"/>
      <sheetName val="Bar_clustered_w_zero_axis"/>
      <sheetName val="Bar_clustered_with_2_axes"/>
      <sheetName val="Bar_clustered_and_stacked"/>
      <sheetName val="Floating_bar"/>
      <sheetName val="Stack_bar_100%"/>
      <sheetName val="Bubble_1"/>
      <sheetName val="Bubble_2_(grid)"/>
      <sheetName val="Column_stack"/>
      <sheetName val="Column_clustered_w_zero_axis"/>
      <sheetName val="Column_clustered_with_2_axes"/>
      <sheetName val="Column_clustered_and_stacked"/>
      <sheetName val="Data_Arrangement_(2)"/>
      <sheetName val="Double_stacked_column"/>
      <sheetName val="Floating_column"/>
      <sheetName val="Stack_column_100%"/>
      <sheetName val="Line_with_column"/>
      <sheetName val="Line_with_column_stack"/>
      <sheetName val="Line_with_zero_axis"/>
      <sheetName val="2_clustered+stacked_col_w__line"/>
      <sheetName val="Pie_with_pie"/>
      <sheetName val="Pie_with_column"/>
      <sheetName val="Price_volume"/>
      <sheetName val="Scatterline_(with_annotations)"/>
      <sheetName val="Waterfall_1"/>
      <sheetName val="Waterfall_2_(negative)"/>
      <sheetName val="Data_Arrangement"/>
      <sheetName val="Color_Grid"/>
      <sheetName val="MAIN"/>
      <sheetName val="Accounts"/>
      <sheetName val="Front Page"/>
      <sheetName val="COMBINED_BS"/>
      <sheetName val="COMBINED_IS"/>
      <sheetName val="HAS_GETS"/>
      <sheetName val="TRANS_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1">
          <cell r="A1" t="str">
            <v>Data for Area/Area Stacked/Stacked 100 Chart</v>
          </cell>
        </row>
        <row r="2">
          <cell r="B2" t="str">
            <v>Area 1</v>
          </cell>
          <cell r="C2" t="str">
            <v>Area 2</v>
          </cell>
          <cell r="D2" t="str">
            <v>Area 3</v>
          </cell>
          <cell r="E2" t="str">
            <v>Area 4</v>
          </cell>
        </row>
        <row r="3">
          <cell r="A3">
            <v>2002</v>
          </cell>
          <cell r="B3">
            <v>50</v>
          </cell>
          <cell r="C3">
            <v>100</v>
          </cell>
          <cell r="D3">
            <v>100</v>
          </cell>
          <cell r="E3">
            <v>100</v>
          </cell>
        </row>
        <row r="4">
          <cell r="A4">
            <v>2003</v>
          </cell>
          <cell r="B4">
            <v>150</v>
          </cell>
          <cell r="C4">
            <v>100</v>
          </cell>
          <cell r="D4">
            <v>100</v>
          </cell>
          <cell r="E4">
            <v>100</v>
          </cell>
        </row>
        <row r="5">
          <cell r="A5">
            <v>2004</v>
          </cell>
          <cell r="B5">
            <v>50</v>
          </cell>
          <cell r="C5">
            <v>100</v>
          </cell>
          <cell r="D5">
            <v>100</v>
          </cell>
          <cell r="E5">
            <v>100</v>
          </cell>
        </row>
        <row r="6">
          <cell r="A6">
            <v>2005</v>
          </cell>
          <cell r="B6">
            <v>150</v>
          </cell>
          <cell r="C6">
            <v>100</v>
          </cell>
          <cell r="D6">
            <v>100</v>
          </cell>
          <cell r="E6">
            <v>100</v>
          </cell>
        </row>
        <row r="14">
          <cell r="A14" t="str">
            <v>Data for Cluster/Stacked Bar Chart</v>
          </cell>
        </row>
        <row r="15">
          <cell r="B15" t="str">
            <v>Series 1</v>
          </cell>
          <cell r="C15" t="str">
            <v>Series 2</v>
          </cell>
          <cell r="D15" t="str">
            <v>Series 3</v>
          </cell>
        </row>
        <row r="16">
          <cell r="A16" t="str">
            <v>Company C</v>
          </cell>
          <cell r="B16">
            <v>0</v>
          </cell>
        </row>
        <row r="17">
          <cell r="A17" t="str">
            <v>Company C</v>
          </cell>
          <cell r="D17">
            <v>60</v>
          </cell>
        </row>
        <row r="18">
          <cell r="A18" t="str">
            <v>Company C</v>
          </cell>
          <cell r="B18">
            <v>50</v>
          </cell>
          <cell r="C18">
            <v>20</v>
          </cell>
        </row>
        <row r="19">
          <cell r="A19" t="str">
            <v>Company B</v>
          </cell>
          <cell r="B19">
            <v>0</v>
          </cell>
        </row>
        <row r="20">
          <cell r="A20" t="str">
            <v>Company B</v>
          </cell>
          <cell r="D20">
            <v>70</v>
          </cell>
        </row>
        <row r="21">
          <cell r="A21" t="str">
            <v>Company B</v>
          </cell>
          <cell r="B21">
            <v>60</v>
          </cell>
          <cell r="C21">
            <v>20</v>
          </cell>
        </row>
        <row r="22">
          <cell r="A22" t="str">
            <v>Company A</v>
          </cell>
          <cell r="B22">
            <v>0</v>
          </cell>
        </row>
        <row r="23">
          <cell r="A23" t="str">
            <v>Company A</v>
          </cell>
          <cell r="D23">
            <v>80</v>
          </cell>
        </row>
        <row r="24">
          <cell r="A24" t="str">
            <v>Company A</v>
          </cell>
          <cell r="B24">
            <v>70</v>
          </cell>
          <cell r="C24">
            <v>20</v>
          </cell>
        </row>
        <row r="25">
          <cell r="A25" t="str">
            <v xml:space="preserve">  </v>
          </cell>
        </row>
        <row r="33">
          <cell r="A33" t="str">
            <v>Data Block for 2-Axis Bar Chart</v>
          </cell>
        </row>
        <row r="34">
          <cell r="B34" t="str">
            <v>Primary
Axis</v>
          </cell>
          <cell r="D34" t="str">
            <v>Secondary
Axis</v>
          </cell>
          <cell r="F34" t="str">
            <v>Primary
Axis</v>
          </cell>
          <cell r="H34" t="str">
            <v>Secondary
Axis</v>
          </cell>
        </row>
        <row r="35">
          <cell r="B35" t="str">
            <v>Bar 1</v>
          </cell>
          <cell r="C35" t="str">
            <v>Invisible 1</v>
          </cell>
          <cell r="D35" t="str">
            <v>Invisible 3</v>
          </cell>
          <cell r="E35" t="str">
            <v>Bar 3</v>
          </cell>
          <cell r="F35" t="str">
            <v>Bar 2</v>
          </cell>
          <cell r="G35" t="str">
            <v>Invisible 2</v>
          </cell>
          <cell r="H35" t="str">
            <v>Invisible 4</v>
          </cell>
          <cell r="I35" t="str">
            <v>Bar 4</v>
          </cell>
        </row>
        <row r="36">
          <cell r="A36" t="str">
            <v>Company A</v>
          </cell>
          <cell r="B36">
            <v>9500</v>
          </cell>
          <cell r="E36">
            <v>90</v>
          </cell>
          <cell r="F36">
            <v>9000</v>
          </cell>
          <cell r="I36">
            <v>80</v>
          </cell>
        </row>
        <row r="37">
          <cell r="A37" t="str">
            <v>Company B</v>
          </cell>
          <cell r="B37">
            <v>8500</v>
          </cell>
          <cell r="E37">
            <v>80</v>
          </cell>
          <cell r="F37">
            <v>8000</v>
          </cell>
          <cell r="I37">
            <v>70</v>
          </cell>
        </row>
        <row r="38">
          <cell r="A38" t="str">
            <v>Company C</v>
          </cell>
          <cell r="B38">
            <v>7500</v>
          </cell>
          <cell r="E38">
            <v>70</v>
          </cell>
          <cell r="F38">
            <v>7000</v>
          </cell>
          <cell r="I38">
            <v>60</v>
          </cell>
        </row>
        <row r="39">
          <cell r="A39" t="str">
            <v>Company D</v>
          </cell>
          <cell r="B39">
            <v>6500</v>
          </cell>
          <cell r="E39">
            <v>60</v>
          </cell>
          <cell r="F39">
            <v>6000</v>
          </cell>
          <cell r="I39">
            <v>50</v>
          </cell>
        </row>
        <row r="48">
          <cell r="A48" t="str">
            <v>Data Block for Floating Bar Chart</v>
          </cell>
        </row>
        <row r="49">
          <cell r="B49" t="str">
            <v>Base</v>
          </cell>
          <cell r="C49" t="str">
            <v>Blue Pillar</v>
          </cell>
          <cell r="D49" t="str">
            <v>Pillar Cap</v>
          </cell>
          <cell r="E49" t="str">
            <v>Mean Low</v>
          </cell>
          <cell r="F49" t="str">
            <v>Mean Hi</v>
          </cell>
        </row>
        <row r="50">
          <cell r="A50" t="str">
            <v>Valuation A</v>
          </cell>
          <cell r="B50">
            <v>2</v>
          </cell>
          <cell r="C50">
            <v>3</v>
          </cell>
          <cell r="D50">
            <v>5</v>
          </cell>
          <cell r="E50">
            <v>6</v>
          </cell>
          <cell r="F50">
            <v>3</v>
          </cell>
        </row>
        <row r="51">
          <cell r="A51" t="str">
            <v>Valuation B</v>
          </cell>
          <cell r="B51">
            <v>4</v>
          </cell>
          <cell r="C51">
            <v>3</v>
          </cell>
          <cell r="D51">
            <v>7</v>
          </cell>
          <cell r="E51">
            <v>6</v>
          </cell>
          <cell r="F51">
            <v>3</v>
          </cell>
        </row>
        <row r="52">
          <cell r="A52" t="str">
            <v>Valuation C</v>
          </cell>
          <cell r="B52">
            <v>6</v>
          </cell>
          <cell r="C52">
            <v>3</v>
          </cell>
          <cell r="D52">
            <v>9</v>
          </cell>
          <cell r="E52">
            <v>6</v>
          </cell>
          <cell r="F52">
            <v>3</v>
          </cell>
        </row>
        <row r="53">
          <cell r="A53" t="str">
            <v>Valuation D</v>
          </cell>
          <cell r="B53">
            <v>8</v>
          </cell>
          <cell r="C53">
            <v>3</v>
          </cell>
          <cell r="D53">
            <v>11</v>
          </cell>
          <cell r="E53">
            <v>6</v>
          </cell>
          <cell r="F53">
            <v>3</v>
          </cell>
        </row>
        <row r="54">
          <cell r="A54" t="str">
            <v>Valuation E</v>
          </cell>
          <cell r="B54">
            <v>10</v>
          </cell>
          <cell r="C54">
            <v>3</v>
          </cell>
          <cell r="D54">
            <v>13</v>
          </cell>
          <cell r="E54">
            <v>6</v>
          </cell>
          <cell r="F54">
            <v>3</v>
          </cell>
        </row>
        <row r="55">
          <cell r="A55" t="str">
            <v>Valuation F</v>
          </cell>
          <cell r="B55">
            <v>12</v>
          </cell>
          <cell r="C55">
            <v>4</v>
          </cell>
          <cell r="D55">
            <v>16</v>
          </cell>
          <cell r="E55">
            <v>6</v>
          </cell>
          <cell r="F55">
            <v>3</v>
          </cell>
        </row>
        <row r="63">
          <cell r="A63" t="str">
            <v>Data Block for Barbell Chart</v>
          </cell>
        </row>
        <row r="64">
          <cell r="B64" t="str">
            <v>__Mean</v>
          </cell>
          <cell r="C64" t="str">
            <v>Barbell 1</v>
          </cell>
          <cell r="D64" t="str">
            <v>Barbell 2</v>
          </cell>
          <cell r="E64" t="str">
            <v>Barbell 3</v>
          </cell>
          <cell r="F64" t="str">
            <v>Barbell 5</v>
          </cell>
        </row>
        <row r="65">
          <cell r="A65">
            <v>8</v>
          </cell>
          <cell r="B65">
            <v>0</v>
          </cell>
        </row>
        <row r="66">
          <cell r="A66">
            <v>8</v>
          </cell>
          <cell r="B66">
            <v>50</v>
          </cell>
        </row>
        <row r="67">
          <cell r="A67">
            <v>2</v>
          </cell>
          <cell r="C67">
            <v>7</v>
          </cell>
        </row>
        <row r="68">
          <cell r="A68">
            <v>6</v>
          </cell>
          <cell r="C68">
            <v>7</v>
          </cell>
        </row>
        <row r="69">
          <cell r="A69">
            <v>4</v>
          </cell>
          <cell r="D69">
            <v>18</v>
          </cell>
        </row>
        <row r="70">
          <cell r="A70">
            <v>8</v>
          </cell>
          <cell r="D70">
            <v>18</v>
          </cell>
        </row>
        <row r="71">
          <cell r="A71">
            <v>6</v>
          </cell>
          <cell r="E71">
            <v>29</v>
          </cell>
        </row>
        <row r="72">
          <cell r="A72">
            <v>10</v>
          </cell>
          <cell r="E72">
            <v>29</v>
          </cell>
        </row>
        <row r="73">
          <cell r="A73">
            <v>8</v>
          </cell>
          <cell r="F73">
            <v>40</v>
          </cell>
        </row>
        <row r="74">
          <cell r="A74">
            <v>12</v>
          </cell>
          <cell r="F74">
            <v>40</v>
          </cell>
        </row>
        <row r="83">
          <cell r="A83" t="str">
            <v>Data Block for Bubble 1 Chart</v>
          </cell>
        </row>
        <row r="84">
          <cell r="B84" t="str">
            <v>Series 1</v>
          </cell>
          <cell r="C84" t="str">
            <v>Size (Series 1)</v>
          </cell>
          <cell r="D84" t="str">
            <v>Series 2</v>
          </cell>
          <cell r="E84" t="str">
            <v>Size (Series 2)</v>
          </cell>
          <cell r="F84" t="str">
            <v>__Series 1</v>
          </cell>
          <cell r="G84" t="str">
            <v>__Series 2</v>
          </cell>
        </row>
        <row r="85">
          <cell r="A85">
            <v>25</v>
          </cell>
          <cell r="B85">
            <v>22</v>
          </cell>
          <cell r="C85">
            <v>5</v>
          </cell>
          <cell r="F85" t="str">
            <v>Company A</v>
          </cell>
        </row>
        <row r="86">
          <cell r="A86">
            <v>20</v>
          </cell>
          <cell r="B86">
            <v>18</v>
          </cell>
          <cell r="C86">
            <v>4</v>
          </cell>
          <cell r="F86" t="str">
            <v>Company B</v>
          </cell>
        </row>
        <row r="87">
          <cell r="A87">
            <v>15</v>
          </cell>
          <cell r="B87">
            <v>14</v>
          </cell>
          <cell r="C87">
            <v>3</v>
          </cell>
          <cell r="F87" t="str">
            <v>Company C</v>
          </cell>
        </row>
        <row r="88">
          <cell r="A88">
            <v>10</v>
          </cell>
          <cell r="B88">
            <v>10</v>
          </cell>
          <cell r="C88">
            <v>2</v>
          </cell>
          <cell r="D88">
            <v>20</v>
          </cell>
          <cell r="E88">
            <v>5</v>
          </cell>
          <cell r="F88" t="str">
            <v>Company D</v>
          </cell>
          <cell r="G88" t="str">
            <v>JPMorgan</v>
          </cell>
        </row>
        <row r="89">
          <cell r="A89">
            <v>5</v>
          </cell>
          <cell r="B89">
            <v>6</v>
          </cell>
          <cell r="C89">
            <v>1</v>
          </cell>
          <cell r="F89" t="str">
            <v>Company E</v>
          </cell>
        </row>
        <row r="98">
          <cell r="A98" t="str">
            <v>Data Block for Bubble 2 Chart</v>
          </cell>
        </row>
        <row r="99">
          <cell r="B99" t="str">
            <v>Series 1</v>
          </cell>
          <cell r="C99" t="str">
            <v>Size (Series 1)</v>
          </cell>
          <cell r="D99" t="str">
            <v>Series 2</v>
          </cell>
          <cell r="E99" t="str">
            <v>Size (Series 2)</v>
          </cell>
          <cell r="F99" t="str">
            <v>Series 3</v>
          </cell>
          <cell r="G99" t="str">
            <v>Size (Series 3)</v>
          </cell>
          <cell r="H99" t="str">
            <v>Series 4</v>
          </cell>
          <cell r="I99" t="str">
            <v>Size (Series 4)</v>
          </cell>
          <cell r="J99" t="str">
            <v>__Series 1</v>
          </cell>
          <cell r="K99" t="str">
            <v>__Series 2</v>
          </cell>
        </row>
        <row r="100">
          <cell r="A100">
            <v>12</v>
          </cell>
          <cell r="B100">
            <v>158221</v>
          </cell>
          <cell r="C100">
            <v>8</v>
          </cell>
          <cell r="F100">
            <v>35000</v>
          </cell>
          <cell r="G100">
            <v>6</v>
          </cell>
          <cell r="J100" t="str">
            <v>GM</v>
          </cell>
        </row>
        <row r="101">
          <cell r="A101">
            <v>5</v>
          </cell>
          <cell r="B101">
            <v>51672</v>
          </cell>
          <cell r="C101">
            <v>7</v>
          </cell>
          <cell r="J101" t="str">
            <v>Renault</v>
          </cell>
        </row>
        <row r="102">
          <cell r="A102">
            <v>5</v>
          </cell>
          <cell r="B102">
            <v>79786</v>
          </cell>
          <cell r="C102">
            <v>6</v>
          </cell>
          <cell r="J102" t="str">
            <v>Nissan</v>
          </cell>
        </row>
        <row r="103">
          <cell r="A103">
            <v>4</v>
          </cell>
          <cell r="B103">
            <v>70334</v>
          </cell>
          <cell r="C103">
            <v>5</v>
          </cell>
          <cell r="J103" t="str">
            <v>Peugeot</v>
          </cell>
        </row>
        <row r="104">
          <cell r="A104">
            <v>7</v>
          </cell>
          <cell r="D104">
            <v>57439</v>
          </cell>
          <cell r="E104">
            <v>4</v>
          </cell>
          <cell r="K104" t="str">
            <v>Hyundai</v>
          </cell>
        </row>
        <row r="105">
          <cell r="A105">
            <v>4</v>
          </cell>
          <cell r="B105">
            <v>120335</v>
          </cell>
          <cell r="C105">
            <v>4</v>
          </cell>
          <cell r="J105" t="str">
            <v>VW</v>
          </cell>
        </row>
        <row r="106">
          <cell r="A106">
            <v>2</v>
          </cell>
          <cell r="B106">
            <v>58230</v>
          </cell>
          <cell r="C106">
            <v>3</v>
          </cell>
          <cell r="J106" t="str">
            <v>BMW</v>
          </cell>
        </row>
        <row r="107">
          <cell r="A107">
            <v>2</v>
          </cell>
          <cell r="B107">
            <v>80473</v>
          </cell>
          <cell r="C107">
            <v>2</v>
          </cell>
          <cell r="J107" t="str">
            <v>Honda</v>
          </cell>
        </row>
        <row r="108">
          <cell r="A108">
            <v>10</v>
          </cell>
          <cell r="B108">
            <v>177089</v>
          </cell>
          <cell r="C108">
            <v>2</v>
          </cell>
          <cell r="J108" t="str">
            <v>Ford</v>
          </cell>
        </row>
        <row r="109">
          <cell r="A109">
            <v>1</v>
          </cell>
          <cell r="B109">
            <v>172587</v>
          </cell>
          <cell r="C109">
            <v>1</v>
          </cell>
          <cell r="J109" t="str">
            <v>Toyota</v>
          </cell>
        </row>
        <row r="110">
          <cell r="A110">
            <v>6</v>
          </cell>
          <cell r="B110">
            <v>187220</v>
          </cell>
          <cell r="C110">
            <v>1</v>
          </cell>
          <cell r="J110" t="str">
            <v>DCX</v>
          </cell>
        </row>
        <row r="118">
          <cell r="A118" t="str">
            <v>Data Block for Bubble 3 Chart</v>
          </cell>
        </row>
        <row r="119">
          <cell r="B119" t="str">
            <v>Series 1</v>
          </cell>
          <cell r="C119" t="str">
            <v>Size (Series 1)</v>
          </cell>
          <cell r="D119" t="str">
            <v>Series 2</v>
          </cell>
          <cell r="E119" t="str">
            <v>Size (Series 2)</v>
          </cell>
          <cell r="F119" t="str">
            <v>Series 3</v>
          </cell>
          <cell r="G119" t="str">
            <v>Size (Series 3)</v>
          </cell>
          <cell r="H119" t="str">
            <v>Series 4</v>
          </cell>
          <cell r="I119" t="str">
            <v>Size (Series 4)</v>
          </cell>
          <cell r="J119" t="str">
            <v>Series 5</v>
          </cell>
          <cell r="K119" t="str">
            <v>Size (Series 5)</v>
          </cell>
        </row>
        <row r="120">
          <cell r="A120">
            <v>0.5</v>
          </cell>
          <cell r="B120">
            <v>2010</v>
          </cell>
          <cell r="C120">
            <v>4.2</v>
          </cell>
        </row>
        <row r="121">
          <cell r="A121">
            <v>0.5</v>
          </cell>
          <cell r="B121">
            <v>2005</v>
          </cell>
          <cell r="C121">
            <v>3.8</v>
          </cell>
        </row>
        <row r="122">
          <cell r="A122">
            <v>0.5</v>
          </cell>
          <cell r="B122">
            <v>2000</v>
          </cell>
          <cell r="C122">
            <v>3.5</v>
          </cell>
        </row>
        <row r="123">
          <cell r="A123">
            <v>1.5</v>
          </cell>
          <cell r="D123">
            <v>2010</v>
          </cell>
          <cell r="E123">
            <v>1.6</v>
          </cell>
        </row>
        <row r="124">
          <cell r="A124">
            <v>1.5</v>
          </cell>
          <cell r="D124">
            <v>2005</v>
          </cell>
          <cell r="E124">
            <v>1.1000000000000001</v>
          </cell>
        </row>
        <row r="125">
          <cell r="A125">
            <v>1.5</v>
          </cell>
          <cell r="D125">
            <v>2000</v>
          </cell>
          <cell r="E125">
            <v>0.7</v>
          </cell>
        </row>
        <row r="126">
          <cell r="A126">
            <v>2.5</v>
          </cell>
          <cell r="F126">
            <v>2010</v>
          </cell>
          <cell r="G126">
            <v>11.4</v>
          </cell>
        </row>
        <row r="127">
          <cell r="A127">
            <v>2.5</v>
          </cell>
          <cell r="F127">
            <v>2005</v>
          </cell>
          <cell r="G127">
            <v>9.8000000000000007</v>
          </cell>
        </row>
        <row r="128">
          <cell r="A128">
            <v>2.5</v>
          </cell>
          <cell r="F128">
            <v>2000</v>
          </cell>
          <cell r="G128">
            <v>8.4</v>
          </cell>
        </row>
        <row r="129">
          <cell r="A129">
            <v>3.5</v>
          </cell>
          <cell r="H129">
            <v>2010</v>
          </cell>
          <cell r="I129">
            <v>25</v>
          </cell>
        </row>
        <row r="130">
          <cell r="A130">
            <v>3.5</v>
          </cell>
          <cell r="H130">
            <v>2005</v>
          </cell>
          <cell r="I130">
            <v>9</v>
          </cell>
        </row>
        <row r="131">
          <cell r="A131">
            <v>3.5</v>
          </cell>
          <cell r="H131">
            <v>2000</v>
          </cell>
          <cell r="I131">
            <v>0.5</v>
          </cell>
        </row>
        <row r="138">
          <cell r="A138" t="str">
            <v>Data for Cluster/Stacked Column Chart</v>
          </cell>
        </row>
        <row r="139">
          <cell r="B139" t="str">
            <v>Series 1</v>
          </cell>
          <cell r="C139" t="str">
            <v>Series 2</v>
          </cell>
          <cell r="D139" t="str">
            <v>Series 3</v>
          </cell>
          <cell r="E139" t="str">
            <v>__Total</v>
          </cell>
        </row>
        <row r="140">
          <cell r="A140" t="str">
            <v>Company A</v>
          </cell>
          <cell r="B140">
            <v>0</v>
          </cell>
        </row>
        <row r="141">
          <cell r="A141" t="str">
            <v>Company A</v>
          </cell>
          <cell r="B141">
            <v>70</v>
          </cell>
          <cell r="C141">
            <v>20</v>
          </cell>
          <cell r="E141">
            <v>90</v>
          </cell>
        </row>
        <row r="142">
          <cell r="A142" t="str">
            <v>Company A</v>
          </cell>
          <cell r="D142">
            <v>80</v>
          </cell>
        </row>
        <row r="143">
          <cell r="A143" t="str">
            <v>Company B</v>
          </cell>
          <cell r="B143">
            <v>0</v>
          </cell>
        </row>
        <row r="144">
          <cell r="A144" t="str">
            <v>Company B</v>
          </cell>
          <cell r="B144">
            <v>60</v>
          </cell>
          <cell r="C144">
            <v>20</v>
          </cell>
          <cell r="E144">
            <v>80</v>
          </cell>
        </row>
        <row r="145">
          <cell r="A145" t="str">
            <v>Company B</v>
          </cell>
          <cell r="D145">
            <v>70</v>
          </cell>
        </row>
        <row r="146">
          <cell r="A146" t="str">
            <v>Company C</v>
          </cell>
          <cell r="B146">
            <v>0</v>
          </cell>
        </row>
        <row r="147">
          <cell r="A147" t="str">
            <v>Company C</v>
          </cell>
          <cell r="B147">
            <v>50</v>
          </cell>
          <cell r="C147">
            <v>20</v>
          </cell>
          <cell r="E147">
            <v>70</v>
          </cell>
        </row>
        <row r="148">
          <cell r="A148" t="str">
            <v>Company C</v>
          </cell>
          <cell r="D148">
            <v>60</v>
          </cell>
        </row>
        <row r="149">
          <cell r="A149" t="str">
            <v xml:space="preserve">  </v>
          </cell>
        </row>
        <row r="155">
          <cell r="A155" t="str">
            <v>Data for Double Stacked Column Chart</v>
          </cell>
        </row>
        <row r="156">
          <cell r="B156" t="str">
            <v>Series 1</v>
          </cell>
          <cell r="C156" t="str">
            <v>Series 2</v>
          </cell>
          <cell r="D156" t="str">
            <v>Series 3</v>
          </cell>
          <cell r="E156" t="str">
            <v>Series 4</v>
          </cell>
          <cell r="F156" t="str">
            <v>__Total</v>
          </cell>
        </row>
        <row r="157">
          <cell r="A157" t="str">
            <v>Company A</v>
          </cell>
          <cell r="B157">
            <v>0</v>
          </cell>
        </row>
        <row r="158">
          <cell r="A158" t="str">
            <v>Company A</v>
          </cell>
          <cell r="B158">
            <v>70</v>
          </cell>
          <cell r="C158">
            <v>20</v>
          </cell>
          <cell r="F158">
            <v>90</v>
          </cell>
        </row>
        <row r="159">
          <cell r="A159" t="str">
            <v>Company A</v>
          </cell>
          <cell r="D159">
            <v>80</v>
          </cell>
          <cell r="E159">
            <v>80</v>
          </cell>
          <cell r="F159">
            <v>160</v>
          </cell>
        </row>
        <row r="160">
          <cell r="A160" t="str">
            <v>Company B</v>
          </cell>
          <cell r="B160">
            <v>0</v>
          </cell>
        </row>
        <row r="161">
          <cell r="A161" t="str">
            <v>Company B</v>
          </cell>
          <cell r="B161">
            <v>60</v>
          </cell>
          <cell r="C161">
            <v>20</v>
          </cell>
          <cell r="F161">
            <v>80</v>
          </cell>
        </row>
        <row r="162">
          <cell r="A162" t="str">
            <v>Company B</v>
          </cell>
          <cell r="D162">
            <v>70</v>
          </cell>
          <cell r="E162">
            <v>70</v>
          </cell>
          <cell r="F162">
            <v>140</v>
          </cell>
        </row>
        <row r="163">
          <cell r="A163" t="str">
            <v>Company C</v>
          </cell>
          <cell r="B163">
            <v>0</v>
          </cell>
        </row>
        <row r="164">
          <cell r="A164" t="str">
            <v>Company C</v>
          </cell>
          <cell r="B164">
            <v>50</v>
          </cell>
          <cell r="C164">
            <v>20</v>
          </cell>
          <cell r="F164">
            <v>70</v>
          </cell>
        </row>
        <row r="165">
          <cell r="A165" t="str">
            <v>Company C</v>
          </cell>
          <cell r="D165">
            <v>60</v>
          </cell>
          <cell r="E165">
            <v>60</v>
          </cell>
          <cell r="F165">
            <v>120</v>
          </cell>
        </row>
        <row r="166">
          <cell r="A166" t="str">
            <v xml:space="preserve">  </v>
          </cell>
        </row>
        <row r="171">
          <cell r="A171" t="str">
            <v>Data Block for 2-Axis Column Chart</v>
          </cell>
        </row>
        <row r="172">
          <cell r="B172" t="str">
            <v>Primary
Axis</v>
          </cell>
          <cell r="D172" t="str">
            <v>Secondary
Axis</v>
          </cell>
          <cell r="F172" t="str">
            <v>Primary
Axis</v>
          </cell>
          <cell r="H172" t="str">
            <v>Secondary
Axis</v>
          </cell>
        </row>
        <row r="173">
          <cell r="B173" t="str">
            <v>Bar 1</v>
          </cell>
          <cell r="C173" t="str">
            <v>Invisible 1</v>
          </cell>
          <cell r="D173" t="str">
            <v>Invisible 3</v>
          </cell>
          <cell r="E173" t="str">
            <v>Bar 3</v>
          </cell>
          <cell r="F173" t="str">
            <v>Bar 2</v>
          </cell>
          <cell r="G173" t="str">
            <v>Invisible 2</v>
          </cell>
          <cell r="H173" t="str">
            <v>Invisible 4</v>
          </cell>
          <cell r="I173" t="str">
            <v>Bar 4</v>
          </cell>
        </row>
        <row r="174">
          <cell r="A174" t="str">
            <v>Company A</v>
          </cell>
          <cell r="B174">
            <v>9500</v>
          </cell>
          <cell r="E174">
            <v>90</v>
          </cell>
          <cell r="F174">
            <v>9000</v>
          </cell>
          <cell r="I174">
            <v>80</v>
          </cell>
        </row>
        <row r="175">
          <cell r="A175" t="str">
            <v>Company B</v>
          </cell>
          <cell r="B175">
            <v>8500</v>
          </cell>
          <cell r="E175">
            <v>80</v>
          </cell>
          <cell r="F175">
            <v>8000</v>
          </cell>
          <cell r="I175">
            <v>70</v>
          </cell>
        </row>
        <row r="176">
          <cell r="A176" t="str">
            <v>Company C</v>
          </cell>
          <cell r="B176">
            <v>7500</v>
          </cell>
          <cell r="E176">
            <v>70</v>
          </cell>
          <cell r="F176">
            <v>7000</v>
          </cell>
          <cell r="I176">
            <v>60</v>
          </cell>
        </row>
        <row r="177">
          <cell r="A177" t="str">
            <v>Company D</v>
          </cell>
          <cell r="B177">
            <v>6500</v>
          </cell>
          <cell r="E177">
            <v>60</v>
          </cell>
          <cell r="F177">
            <v>6000</v>
          </cell>
          <cell r="I177">
            <v>50</v>
          </cell>
        </row>
        <row r="187">
          <cell r="A187" t="str">
            <v>Data Block for Floating Column Chart</v>
          </cell>
        </row>
        <row r="188">
          <cell r="B188" t="str">
            <v>Base</v>
          </cell>
          <cell r="C188" t="str">
            <v>Ceiling</v>
          </cell>
          <cell r="D188" t="str">
            <v>Mean Low</v>
          </cell>
          <cell r="E188" t="str">
            <v>Mean Hi</v>
          </cell>
          <cell r="F188" t="str">
            <v>Average</v>
          </cell>
        </row>
        <row r="189">
          <cell r="A189" t="str">
            <v>Valuation A</v>
          </cell>
          <cell r="B189">
            <v>30</v>
          </cell>
          <cell r="C189">
            <v>60</v>
          </cell>
          <cell r="D189">
            <v>30</v>
          </cell>
          <cell r="E189">
            <v>20</v>
          </cell>
          <cell r="F189">
            <v>35</v>
          </cell>
        </row>
        <row r="190">
          <cell r="A190" t="str">
            <v>Valuation B</v>
          </cell>
          <cell r="B190">
            <v>20</v>
          </cell>
          <cell r="C190">
            <v>50</v>
          </cell>
          <cell r="D190">
            <v>30</v>
          </cell>
          <cell r="E190">
            <v>20</v>
          </cell>
          <cell r="F190">
            <v>35</v>
          </cell>
        </row>
        <row r="191">
          <cell r="A191" t="str">
            <v>Valuation C</v>
          </cell>
          <cell r="B191">
            <v>30</v>
          </cell>
          <cell r="C191">
            <v>60</v>
          </cell>
          <cell r="D191">
            <v>30</v>
          </cell>
          <cell r="E191">
            <v>20</v>
          </cell>
          <cell r="F191">
            <v>35</v>
          </cell>
        </row>
        <row r="192">
          <cell r="A192" t="str">
            <v>Valuation D</v>
          </cell>
          <cell r="B192">
            <v>20</v>
          </cell>
          <cell r="C192">
            <v>50</v>
          </cell>
          <cell r="D192">
            <v>30</v>
          </cell>
          <cell r="E192">
            <v>20</v>
          </cell>
          <cell r="F192">
            <v>35</v>
          </cell>
        </row>
        <row r="193">
          <cell r="A193" t="str">
            <v>Valuation E</v>
          </cell>
          <cell r="B193">
            <v>30</v>
          </cell>
          <cell r="C193">
            <v>60</v>
          </cell>
          <cell r="D193">
            <v>30</v>
          </cell>
          <cell r="E193">
            <v>20</v>
          </cell>
          <cell r="F193">
            <v>35</v>
          </cell>
        </row>
        <row r="207">
          <cell r="A207" t="str">
            <v>Data Block for Pie with Bar or Column Chart</v>
          </cell>
        </row>
        <row r="208">
          <cell r="B208" t="str">
            <v>Pie 1</v>
          </cell>
        </row>
        <row r="209">
          <cell r="A209" t="str">
            <v>Company A</v>
          </cell>
          <cell r="B209">
            <v>50</v>
          </cell>
        </row>
        <row r="210">
          <cell r="A210" t="str">
            <v>Company B</v>
          </cell>
          <cell r="B210">
            <v>30</v>
          </cell>
        </row>
        <row r="211">
          <cell r="A211" t="str">
            <v>Company C</v>
          </cell>
          <cell r="B211">
            <v>55</v>
          </cell>
        </row>
        <row r="212">
          <cell r="A212" t="str">
            <v>Company D</v>
          </cell>
          <cell r="B212">
            <v>40</v>
          </cell>
        </row>
        <row r="213">
          <cell r="A213" t="str">
            <v>Company E</v>
          </cell>
          <cell r="B213">
            <v>45</v>
          </cell>
        </row>
        <row r="214">
          <cell r="A214" t="str">
            <v>Division 1</v>
          </cell>
          <cell r="B214">
            <v>35</v>
          </cell>
        </row>
        <row r="215">
          <cell r="A215" t="str">
            <v>Division 2</v>
          </cell>
          <cell r="B215">
            <v>30</v>
          </cell>
        </row>
        <row r="216">
          <cell r="A216" t="str">
            <v>Division 3</v>
          </cell>
          <cell r="B216">
            <v>25</v>
          </cell>
        </row>
        <row r="227">
          <cell r="A227" t="str">
            <v>Data Block for XY Scatter Chart</v>
          </cell>
        </row>
        <row r="228">
          <cell r="B228" t="str">
            <v>Series 1</v>
          </cell>
          <cell r="C228" t="str">
            <v>Series 2</v>
          </cell>
          <cell r="D228" t="str">
            <v>Series 3</v>
          </cell>
          <cell r="E228" t="str">
            <v>__Series 1</v>
          </cell>
          <cell r="F228" t="str">
            <v>__Series 2</v>
          </cell>
          <cell r="G228" t="str">
            <v>__Series 3</v>
          </cell>
        </row>
        <row r="229">
          <cell r="A229">
            <v>1</v>
          </cell>
          <cell r="B229">
            <v>1</v>
          </cell>
          <cell r="C229">
            <v>6</v>
          </cell>
          <cell r="E229" t="str">
            <v>Company A</v>
          </cell>
          <cell r="F229" t="str">
            <v>JPMorgan</v>
          </cell>
        </row>
        <row r="230">
          <cell r="A230">
            <v>2</v>
          </cell>
          <cell r="B230">
            <v>2</v>
          </cell>
          <cell r="E230" t="str">
            <v>Company B</v>
          </cell>
        </row>
        <row r="231">
          <cell r="A231">
            <v>3</v>
          </cell>
          <cell r="B231">
            <v>3</v>
          </cell>
          <cell r="E231" t="str">
            <v>Company C2</v>
          </cell>
        </row>
        <row r="232">
          <cell r="A232">
            <v>4</v>
          </cell>
          <cell r="B232">
            <v>4</v>
          </cell>
          <cell r="E232" t="str">
            <v>Company D</v>
          </cell>
        </row>
        <row r="233">
          <cell r="A233">
            <v>5</v>
          </cell>
          <cell r="B233">
            <v>5</v>
          </cell>
          <cell r="D233">
            <v>7</v>
          </cell>
          <cell r="E233" t="str">
            <v>Company E</v>
          </cell>
          <cell r="G233" t="str">
            <v>Citibank</v>
          </cell>
        </row>
        <row r="234">
          <cell r="A234">
            <v>6</v>
          </cell>
          <cell r="B234">
            <v>6</v>
          </cell>
          <cell r="E234" t="str">
            <v>Company F</v>
          </cell>
        </row>
        <row r="235">
          <cell r="A235">
            <v>7</v>
          </cell>
          <cell r="B235">
            <v>7</v>
          </cell>
          <cell r="E235" t="str">
            <v>Company G</v>
          </cell>
        </row>
        <row r="236">
          <cell r="A236">
            <v>8</v>
          </cell>
          <cell r="B236">
            <v>8</v>
          </cell>
          <cell r="E236" t="str">
            <v>Company H</v>
          </cell>
        </row>
        <row r="245">
          <cell r="A245" t="str">
            <v>Data Block for Waterfall Chart</v>
          </cell>
        </row>
        <row r="246">
          <cell r="B246" t="str">
            <v>Blue bar</v>
          </cell>
          <cell r="C246" t="str">
            <v>Invisible</v>
          </cell>
          <cell r="D246" t="str">
            <v>Green bar</v>
          </cell>
          <cell r="E246" t="str">
            <v>__Total</v>
          </cell>
        </row>
        <row r="247">
          <cell r="A247" t="str">
            <v>Item 1</v>
          </cell>
          <cell r="B247">
            <v>20</v>
          </cell>
          <cell r="D247">
            <v>15</v>
          </cell>
          <cell r="E247">
            <v>35</v>
          </cell>
        </row>
        <row r="248">
          <cell r="A248" t="str">
            <v>Item 2</v>
          </cell>
          <cell r="C248">
            <v>35</v>
          </cell>
          <cell r="D248">
            <v>10</v>
          </cell>
        </row>
        <row r="249">
          <cell r="A249" t="str">
            <v>Item 3</v>
          </cell>
          <cell r="C249">
            <v>45</v>
          </cell>
          <cell r="D249">
            <v>10</v>
          </cell>
        </row>
        <row r="250">
          <cell r="A250" t="str">
            <v>Item 4</v>
          </cell>
          <cell r="C250">
            <v>55</v>
          </cell>
          <cell r="D250">
            <v>10</v>
          </cell>
        </row>
        <row r="251">
          <cell r="A251" t="str">
            <v>Item 5</v>
          </cell>
          <cell r="B251">
            <v>30</v>
          </cell>
          <cell r="D251">
            <v>30</v>
          </cell>
          <cell r="E251">
            <v>60</v>
          </cell>
        </row>
        <row r="261">
          <cell r="A261" t="str">
            <v>Data Block for Sample Banker Data - Use with Add Waterfall Formulas Demo</v>
          </cell>
        </row>
        <row r="262">
          <cell r="B262">
            <v>1</v>
          </cell>
          <cell r="C262">
            <v>2</v>
          </cell>
          <cell r="D262">
            <v>3</v>
          </cell>
          <cell r="E262">
            <v>4</v>
          </cell>
          <cell r="F262">
            <v>5</v>
          </cell>
          <cell r="G262">
            <v>6</v>
          </cell>
          <cell r="H262">
            <v>7</v>
          </cell>
          <cell r="I262">
            <v>8</v>
          </cell>
          <cell r="J262">
            <v>9</v>
          </cell>
          <cell r="K262">
            <v>10</v>
          </cell>
        </row>
        <row r="263">
          <cell r="B263" t="str">
            <v>Inputs</v>
          </cell>
        </row>
        <row r="265">
          <cell r="B265" t="str">
            <v>Pillar 1</v>
          </cell>
          <cell r="C265" t="str">
            <v>Floating 2</v>
          </cell>
          <cell r="D265" t="str">
            <v>Floating 3</v>
          </cell>
          <cell r="E265" t="str">
            <v>Floating 4</v>
          </cell>
          <cell r="F265" t="str">
            <v>Pillar 5</v>
          </cell>
          <cell r="G265" t="str">
            <v>Pillar 6</v>
          </cell>
          <cell r="H265" t="str">
            <v>Floating 7</v>
          </cell>
          <cell r="I265" t="str">
            <v>Floating 8</v>
          </cell>
          <cell r="J265" t="str">
            <v>Pillar 9</v>
          </cell>
          <cell r="K265" t="str">
            <v>Pillar 10</v>
          </cell>
        </row>
        <row r="267">
          <cell r="A267" t="str">
            <v>Label</v>
          </cell>
          <cell r="B267" t="str">
            <v>Item 1</v>
          </cell>
          <cell r="C267" t="str">
            <v>Item 2</v>
          </cell>
          <cell r="D267" t="str">
            <v>Item 3</v>
          </cell>
          <cell r="E267" t="str">
            <v>Item 4</v>
          </cell>
          <cell r="F267" t="str">
            <v>Item 5</v>
          </cell>
          <cell r="G267" t="str">
            <v>Item 6</v>
          </cell>
          <cell r="H267" t="str">
            <v>Negative Item 1</v>
          </cell>
          <cell r="I267" t="str">
            <v>Negative Item 2</v>
          </cell>
          <cell r="J267" t="str">
            <v>Subtotal 1</v>
          </cell>
          <cell r="K267" t="str">
            <v>Subtotal 2</v>
          </cell>
        </row>
        <row r="268">
          <cell r="A268" t="str">
            <v>Data</v>
          </cell>
          <cell r="B268">
            <v>6963</v>
          </cell>
          <cell r="C268">
            <v>15526</v>
          </cell>
          <cell r="D268">
            <v>721</v>
          </cell>
          <cell r="E268">
            <v>12811</v>
          </cell>
          <cell r="F268">
            <v>5111</v>
          </cell>
          <cell r="G268">
            <v>20422</v>
          </cell>
          <cell r="H268">
            <v>-3389</v>
          </cell>
          <cell r="I268">
            <v>-8985</v>
          </cell>
          <cell r="J268">
            <v>49153</v>
          </cell>
          <cell r="K268">
            <v>38441</v>
          </cell>
        </row>
        <row r="269">
          <cell r="A269" t="str">
            <v>Pillar or Floating?</v>
          </cell>
          <cell r="B269" t="str">
            <v>Pillar</v>
          </cell>
          <cell r="C269" t="str">
            <v>Floating</v>
          </cell>
          <cell r="D269" t="str">
            <v>Floating</v>
          </cell>
          <cell r="E269" t="str">
            <v>Floating</v>
          </cell>
          <cell r="F269" t="str">
            <v>Pillar</v>
          </cell>
          <cell r="G269" t="str">
            <v>Pillar</v>
          </cell>
          <cell r="H269" t="str">
            <v>Floating</v>
          </cell>
          <cell r="I269" t="str">
            <v>Floating</v>
          </cell>
          <cell r="J269" t="str">
            <v>Pillar</v>
          </cell>
          <cell r="K269" t="str">
            <v>Pillar</v>
          </cell>
        </row>
        <row r="278">
          <cell r="A278" t="str">
            <v>Data Block for Waterfall_2 Chart</v>
          </cell>
        </row>
        <row r="279">
          <cell r="B279" t="str">
            <v>Pillar</v>
          </cell>
          <cell r="C279" t="str">
            <v>Invisible</v>
          </cell>
          <cell r="D279" t="str">
            <v>Column 1</v>
          </cell>
          <cell r="E279" t="str">
            <v>__Negative</v>
          </cell>
        </row>
        <row r="280">
          <cell r="A280" t="str">
            <v>Item 1</v>
          </cell>
          <cell r="B280">
            <v>6936</v>
          </cell>
        </row>
        <row r="281">
          <cell r="A281" t="str">
            <v>Item 2</v>
          </cell>
          <cell r="C281">
            <v>6936</v>
          </cell>
          <cell r="D281">
            <v>15526</v>
          </cell>
        </row>
        <row r="282">
          <cell r="A282" t="str">
            <v>Item 3</v>
          </cell>
          <cell r="C282">
            <v>22462</v>
          </cell>
          <cell r="D282">
            <v>721</v>
          </cell>
        </row>
        <row r="283">
          <cell r="A283" t="str">
            <v>Item 4</v>
          </cell>
          <cell r="C283">
            <v>23183</v>
          </cell>
          <cell r="D283">
            <v>12811</v>
          </cell>
        </row>
        <row r="284">
          <cell r="A284" t="str">
            <v>Item 5</v>
          </cell>
          <cell r="C284">
            <v>35994</v>
          </cell>
          <cell r="D284">
            <v>5111</v>
          </cell>
        </row>
        <row r="285">
          <cell r="A285" t="str">
            <v>Item 6</v>
          </cell>
          <cell r="C285">
            <v>41105</v>
          </cell>
          <cell r="D285">
            <v>20422</v>
          </cell>
        </row>
        <row r="286">
          <cell r="A286" t="str">
            <v>Negative Item 1</v>
          </cell>
          <cell r="C286">
            <v>58138</v>
          </cell>
          <cell r="E286">
            <v>3389</v>
          </cell>
        </row>
        <row r="287">
          <cell r="A287" t="str">
            <v>Negative Item 2</v>
          </cell>
          <cell r="C287">
            <v>49153</v>
          </cell>
          <cell r="E287">
            <v>8985</v>
          </cell>
        </row>
        <row r="288">
          <cell r="A288" t="str">
            <v>Subtotal 1</v>
          </cell>
          <cell r="B288">
            <v>49153</v>
          </cell>
        </row>
        <row r="289">
          <cell r="A289" t="str">
            <v>Subtotal 2</v>
          </cell>
          <cell r="B289">
            <v>38441</v>
          </cell>
        </row>
        <row r="292">
          <cell r="A292" t="str">
            <v>Data Block for Line Chart</v>
          </cell>
        </row>
        <row r="293">
          <cell r="B293" t="str">
            <v>Line 1</v>
          </cell>
          <cell r="C293" t="str">
            <v>Line 2</v>
          </cell>
          <cell r="D293" t="str">
            <v>Line 3</v>
          </cell>
          <cell r="E293" t="str">
            <v>Line 4</v>
          </cell>
          <cell r="F293" t="str">
            <v>Line 5</v>
          </cell>
          <cell r="G293" t="str">
            <v>Line 6</v>
          </cell>
          <cell r="H293" t="str">
            <v>Line 7</v>
          </cell>
          <cell r="I293" t="str">
            <v>Line 8</v>
          </cell>
        </row>
        <row r="294">
          <cell r="A294">
            <v>2002</v>
          </cell>
          <cell r="B294">
            <v>25</v>
          </cell>
          <cell r="C294">
            <v>50</v>
          </cell>
          <cell r="D294">
            <v>75</v>
          </cell>
          <cell r="E294">
            <v>100</v>
          </cell>
          <cell r="F294">
            <v>125</v>
          </cell>
          <cell r="G294">
            <v>150</v>
          </cell>
          <cell r="H294">
            <v>175</v>
          </cell>
          <cell r="I294">
            <v>200</v>
          </cell>
        </row>
        <row r="295">
          <cell r="A295">
            <v>2003</v>
          </cell>
          <cell r="B295">
            <v>85</v>
          </cell>
          <cell r="C295">
            <v>110</v>
          </cell>
          <cell r="D295">
            <v>135</v>
          </cell>
          <cell r="E295">
            <v>160</v>
          </cell>
          <cell r="F295">
            <v>185</v>
          </cell>
          <cell r="G295">
            <v>210</v>
          </cell>
          <cell r="H295">
            <v>235</v>
          </cell>
          <cell r="I295">
            <v>260</v>
          </cell>
        </row>
        <row r="296">
          <cell r="A296">
            <v>2004</v>
          </cell>
          <cell r="B296">
            <v>20</v>
          </cell>
          <cell r="C296">
            <v>45</v>
          </cell>
          <cell r="D296">
            <v>70</v>
          </cell>
          <cell r="E296">
            <v>95</v>
          </cell>
          <cell r="F296">
            <v>120</v>
          </cell>
          <cell r="G296">
            <v>145</v>
          </cell>
          <cell r="H296">
            <v>170</v>
          </cell>
          <cell r="I296">
            <v>195</v>
          </cell>
        </row>
        <row r="297">
          <cell r="A297">
            <v>2005</v>
          </cell>
          <cell r="B297">
            <v>100</v>
          </cell>
          <cell r="C297">
            <v>125</v>
          </cell>
          <cell r="D297">
            <v>150</v>
          </cell>
          <cell r="E297">
            <v>175</v>
          </cell>
          <cell r="F297">
            <v>200</v>
          </cell>
          <cell r="G297">
            <v>225</v>
          </cell>
          <cell r="H297">
            <v>250</v>
          </cell>
          <cell r="I297">
            <v>275</v>
          </cell>
        </row>
        <row r="300">
          <cell r="A300" t="str">
            <v>Data Block for Line Zero Axis Chart</v>
          </cell>
        </row>
        <row r="301">
          <cell r="B301" t="str">
            <v>Line 1</v>
          </cell>
          <cell r="C301" t="str">
            <v>Line 2</v>
          </cell>
          <cell r="D301" t="str">
            <v>Line 3</v>
          </cell>
          <cell r="E301" t="str">
            <v>Line 4</v>
          </cell>
          <cell r="F301" t="str">
            <v>Line 5</v>
          </cell>
          <cell r="G301" t="str">
            <v>Line 6</v>
          </cell>
          <cell r="H301" t="str">
            <v>Line 7</v>
          </cell>
          <cell r="I301" t="str">
            <v>Line 8</v>
          </cell>
          <cell r="J301" t="str">
            <v>negative data)</v>
          </cell>
        </row>
        <row r="302">
          <cell r="A302">
            <v>2002</v>
          </cell>
          <cell r="B302">
            <v>-85</v>
          </cell>
          <cell r="C302">
            <v>50</v>
          </cell>
          <cell r="D302">
            <v>75</v>
          </cell>
          <cell r="E302">
            <v>100</v>
          </cell>
          <cell r="F302">
            <v>125</v>
          </cell>
          <cell r="G302">
            <v>150</v>
          </cell>
          <cell r="H302">
            <v>175</v>
          </cell>
          <cell r="I302">
            <v>200</v>
          </cell>
          <cell r="J302">
            <v>-150</v>
          </cell>
        </row>
        <row r="303">
          <cell r="A303">
            <v>2003</v>
          </cell>
          <cell r="B303">
            <v>-25</v>
          </cell>
          <cell r="C303">
            <v>110</v>
          </cell>
          <cell r="D303">
            <v>135</v>
          </cell>
          <cell r="E303">
            <v>160</v>
          </cell>
          <cell r="F303">
            <v>185</v>
          </cell>
          <cell r="G303">
            <v>210</v>
          </cell>
          <cell r="H303">
            <v>235</v>
          </cell>
          <cell r="I303">
            <v>260</v>
          </cell>
          <cell r="J303">
            <v>-150</v>
          </cell>
        </row>
        <row r="304">
          <cell r="A304">
            <v>2004</v>
          </cell>
          <cell r="B304">
            <v>-85</v>
          </cell>
          <cell r="C304">
            <v>45</v>
          </cell>
          <cell r="D304">
            <v>70</v>
          </cell>
          <cell r="E304">
            <v>95</v>
          </cell>
          <cell r="F304">
            <v>120</v>
          </cell>
          <cell r="G304">
            <v>145</v>
          </cell>
          <cell r="H304">
            <v>170</v>
          </cell>
          <cell r="I304">
            <v>195</v>
          </cell>
          <cell r="J304">
            <v>-150</v>
          </cell>
        </row>
        <row r="305">
          <cell r="A305">
            <v>2005</v>
          </cell>
          <cell r="B305">
            <v>-15</v>
          </cell>
          <cell r="C305">
            <v>125</v>
          </cell>
          <cell r="D305">
            <v>150</v>
          </cell>
          <cell r="E305">
            <v>175</v>
          </cell>
          <cell r="F305">
            <v>200</v>
          </cell>
          <cell r="G305">
            <v>225</v>
          </cell>
          <cell r="H305">
            <v>250</v>
          </cell>
          <cell r="I305">
            <v>275</v>
          </cell>
          <cell r="J305">
            <v>-150</v>
          </cell>
        </row>
        <row r="309">
          <cell r="A309" t="str">
            <v>Data Block for Line/Column Cluster or Line/ColumnStacked Chart</v>
          </cell>
        </row>
        <row r="310">
          <cell r="B310" t="str">
            <v>Line 1</v>
          </cell>
          <cell r="C310" t="str">
            <v>Line 2</v>
          </cell>
          <cell r="D310" t="str">
            <v>Column 1</v>
          </cell>
          <cell r="E310" t="str">
            <v>Column 2</v>
          </cell>
        </row>
        <row r="311">
          <cell r="A311">
            <v>2002</v>
          </cell>
          <cell r="B311">
            <v>0.8</v>
          </cell>
          <cell r="C311">
            <v>0.9</v>
          </cell>
          <cell r="D311">
            <v>100</v>
          </cell>
          <cell r="E311">
            <v>25</v>
          </cell>
        </row>
        <row r="312">
          <cell r="A312">
            <v>2003</v>
          </cell>
          <cell r="B312">
            <v>0.85</v>
          </cell>
          <cell r="C312">
            <v>0.95</v>
          </cell>
          <cell r="D312">
            <v>200</v>
          </cell>
          <cell r="E312">
            <v>125</v>
          </cell>
        </row>
        <row r="313">
          <cell r="A313">
            <v>2004</v>
          </cell>
          <cell r="B313">
            <v>0.8</v>
          </cell>
          <cell r="C313">
            <v>0.9</v>
          </cell>
          <cell r="D313">
            <v>300</v>
          </cell>
          <cell r="E313">
            <v>225</v>
          </cell>
        </row>
        <row r="314">
          <cell r="A314">
            <v>2005</v>
          </cell>
          <cell r="B314">
            <v>0.85</v>
          </cell>
          <cell r="C314">
            <v>0.95</v>
          </cell>
          <cell r="D314">
            <v>400</v>
          </cell>
          <cell r="E314">
            <v>325</v>
          </cell>
        </row>
        <row r="315">
          <cell r="A315">
            <v>2006</v>
          </cell>
          <cell r="B315">
            <v>0.8</v>
          </cell>
          <cell r="C315">
            <v>0.9</v>
          </cell>
          <cell r="D315">
            <v>500</v>
          </cell>
          <cell r="E315">
            <v>425</v>
          </cell>
        </row>
        <row r="323">
          <cell r="A323" t="str">
            <v>Data Block for Line/Column Cluster Stacked Chart</v>
          </cell>
        </row>
        <row r="324">
          <cell r="B324" t="str">
            <v>Line</v>
          </cell>
          <cell r="C324" t="str">
            <v>Column 1</v>
          </cell>
          <cell r="D324" t="str">
            <v>Column 2</v>
          </cell>
          <cell r="E324" t="str">
            <v>Stack 1</v>
          </cell>
          <cell r="F324" t="str">
            <v>Stack 2</v>
          </cell>
          <cell r="G324" t="str">
            <v>__Total</v>
          </cell>
        </row>
        <row r="325">
          <cell r="C325">
            <v>20</v>
          </cell>
          <cell r="G325">
            <v>20</v>
          </cell>
        </row>
        <row r="326">
          <cell r="A326" t="str">
            <v>FY1987</v>
          </cell>
          <cell r="B326">
            <v>20</v>
          </cell>
          <cell r="D326">
            <v>25</v>
          </cell>
          <cell r="G326">
            <v>25</v>
          </cell>
        </row>
        <row r="327">
          <cell r="E327">
            <v>20</v>
          </cell>
          <cell r="F327">
            <v>25</v>
          </cell>
          <cell r="G327">
            <v>45</v>
          </cell>
        </row>
        <row r="328">
          <cell r="A328" t="str">
            <v xml:space="preserve"> </v>
          </cell>
        </row>
        <row r="329">
          <cell r="C329">
            <v>25</v>
          </cell>
          <cell r="G329">
            <v>25</v>
          </cell>
        </row>
        <row r="330">
          <cell r="A330" t="str">
            <v>FY2002</v>
          </cell>
          <cell r="B330">
            <v>25</v>
          </cell>
          <cell r="D330">
            <v>30</v>
          </cell>
          <cell r="G330">
            <v>30</v>
          </cell>
        </row>
        <row r="331">
          <cell r="E331">
            <v>25</v>
          </cell>
          <cell r="F331">
            <v>30</v>
          </cell>
          <cell r="G331">
            <v>55</v>
          </cell>
        </row>
        <row r="333">
          <cell r="C333">
            <v>30</v>
          </cell>
          <cell r="G333">
            <v>30</v>
          </cell>
        </row>
        <row r="334">
          <cell r="A334" t="str">
            <v>FY2007</v>
          </cell>
          <cell r="B334">
            <v>30</v>
          </cell>
          <cell r="D334">
            <v>35</v>
          </cell>
          <cell r="G334">
            <v>35</v>
          </cell>
        </row>
        <row r="335">
          <cell r="E335">
            <v>30</v>
          </cell>
          <cell r="F335">
            <v>35</v>
          </cell>
          <cell r="G335">
            <v>65</v>
          </cell>
        </row>
        <row r="342">
          <cell r="A342" t="str">
            <v>Data Block for Price/Volume Chart</v>
          </cell>
        </row>
        <row r="343">
          <cell r="B343" t="str">
            <v>Volume</v>
          </cell>
          <cell r="C343" t="str">
            <v>PRGS</v>
          </cell>
          <cell r="D343" t="str">
            <v>NASDAQ</v>
          </cell>
          <cell r="E343" t="str">
            <v>Annotations</v>
          </cell>
        </row>
        <row r="344">
          <cell r="A344">
            <v>38540</v>
          </cell>
          <cell r="B344">
            <v>0.23857500000000001</v>
          </cell>
          <cell r="C344">
            <v>30.57</v>
          </cell>
          <cell r="D344">
            <v>30.57</v>
          </cell>
          <cell r="E344">
            <v>30.57</v>
          </cell>
        </row>
        <row r="345">
          <cell r="A345">
            <v>38541</v>
          </cell>
          <cell r="B345">
            <v>0.40975400000000001</v>
          </cell>
          <cell r="C345">
            <v>30.85</v>
          </cell>
          <cell r="D345">
            <v>31.118170410000001</v>
          </cell>
        </row>
        <row r="346">
          <cell r="A346">
            <v>38544</v>
          </cell>
          <cell r="B346">
            <v>0.34825800000000001</v>
          </cell>
          <cell r="C346">
            <v>31.4</v>
          </cell>
          <cell r="D346">
            <v>31.450283330000001</v>
          </cell>
        </row>
        <row r="347">
          <cell r="A347">
            <v>38545</v>
          </cell>
          <cell r="B347">
            <v>0.22373999999999999</v>
          </cell>
          <cell r="C347">
            <v>31.34</v>
          </cell>
          <cell r="D347">
            <v>31.563982299999999</v>
          </cell>
        </row>
        <row r="348">
          <cell r="A348">
            <v>38546</v>
          </cell>
          <cell r="B348">
            <v>0.2248</v>
          </cell>
          <cell r="C348">
            <v>31.274999999999999</v>
          </cell>
          <cell r="D348">
            <v>31.578121029999998</v>
          </cell>
        </row>
        <row r="349">
          <cell r="A349">
            <v>38547</v>
          </cell>
          <cell r="B349">
            <v>0.16411200000000001</v>
          </cell>
          <cell r="C349">
            <v>31.34</v>
          </cell>
          <cell r="D349">
            <v>31.70640057</v>
          </cell>
        </row>
        <row r="350">
          <cell r="A350">
            <v>38548</v>
          </cell>
          <cell r="B350">
            <v>0.27278200000000002</v>
          </cell>
          <cell r="C350">
            <v>31.62</v>
          </cell>
          <cell r="D350">
            <v>31.764722840000001</v>
          </cell>
          <cell r="E350">
            <v>31.62</v>
          </cell>
        </row>
        <row r="351">
          <cell r="A351">
            <v>38551</v>
          </cell>
          <cell r="B351">
            <v>0.29028500000000002</v>
          </cell>
          <cell r="C351">
            <v>31.164999999999999</v>
          </cell>
          <cell r="D351">
            <v>31.58931419</v>
          </cell>
        </row>
        <row r="352">
          <cell r="A352">
            <v>38552</v>
          </cell>
          <cell r="B352">
            <v>0.199909</v>
          </cell>
          <cell r="C352">
            <v>31.805</v>
          </cell>
          <cell r="D352">
            <v>32.006259499999999</v>
          </cell>
        </row>
        <row r="353">
          <cell r="A353">
            <v>38553</v>
          </cell>
          <cell r="B353">
            <v>0.25247399999999998</v>
          </cell>
          <cell r="C353">
            <v>31.57</v>
          </cell>
          <cell r="D353">
            <v>32.232921050000002</v>
          </cell>
        </row>
        <row r="354">
          <cell r="A354">
            <v>38554</v>
          </cell>
          <cell r="B354">
            <v>0.168571</v>
          </cell>
          <cell r="C354">
            <v>31.25</v>
          </cell>
          <cell r="D354">
            <v>32.08608443</v>
          </cell>
        </row>
        <row r="355">
          <cell r="A355">
            <v>38555</v>
          </cell>
          <cell r="B355">
            <v>0.142037</v>
          </cell>
          <cell r="C355">
            <v>31.95</v>
          </cell>
          <cell r="D355">
            <v>32.10287417</v>
          </cell>
        </row>
        <row r="356">
          <cell r="A356">
            <v>38558</v>
          </cell>
          <cell r="B356">
            <v>0.27243800000000001</v>
          </cell>
          <cell r="C356">
            <v>31.78</v>
          </cell>
          <cell r="D356">
            <v>31.911412179999999</v>
          </cell>
        </row>
        <row r="357">
          <cell r="A357">
            <v>38559</v>
          </cell>
          <cell r="B357">
            <v>0.47065899999999999</v>
          </cell>
          <cell r="C357">
            <v>31.7</v>
          </cell>
          <cell r="D357">
            <v>32.047644750000003</v>
          </cell>
        </row>
        <row r="358">
          <cell r="A358">
            <v>38560</v>
          </cell>
          <cell r="B358">
            <v>0.366062</v>
          </cell>
          <cell r="C358">
            <v>31.18</v>
          </cell>
          <cell r="D358">
            <v>32.19831061</v>
          </cell>
        </row>
        <row r="359">
          <cell r="A359">
            <v>38561</v>
          </cell>
          <cell r="B359">
            <v>0.29388700000000001</v>
          </cell>
          <cell r="C359">
            <v>30.71</v>
          </cell>
          <cell r="D359">
            <v>32.378284880000002</v>
          </cell>
        </row>
        <row r="360">
          <cell r="A360">
            <v>38562</v>
          </cell>
          <cell r="B360">
            <v>0.161774</v>
          </cell>
          <cell r="C360">
            <v>31.09</v>
          </cell>
          <cell r="D360">
            <v>32.177838899999998</v>
          </cell>
        </row>
        <row r="361">
          <cell r="A361">
            <v>38565</v>
          </cell>
          <cell r="B361">
            <v>0.43984499999999999</v>
          </cell>
          <cell r="C361">
            <v>31.71</v>
          </cell>
          <cell r="D361">
            <v>32.333217679999997</v>
          </cell>
        </row>
        <row r="362">
          <cell r="A362">
            <v>38566</v>
          </cell>
          <cell r="B362">
            <v>0.27124900000000002</v>
          </cell>
          <cell r="C362">
            <v>32.130000000000003</v>
          </cell>
          <cell r="D362">
            <v>32.668570719999998</v>
          </cell>
        </row>
        <row r="363">
          <cell r="A363">
            <v>38567</v>
          </cell>
          <cell r="B363">
            <v>0.25775700000000001</v>
          </cell>
          <cell r="C363">
            <v>32.14</v>
          </cell>
          <cell r="D363">
            <v>32.648835409999997</v>
          </cell>
        </row>
        <row r="364">
          <cell r="A364">
            <v>38568</v>
          </cell>
          <cell r="B364">
            <v>0.179755</v>
          </cell>
          <cell r="C364">
            <v>31.52</v>
          </cell>
          <cell r="D364">
            <v>32.273422619999998</v>
          </cell>
        </row>
        <row r="365">
          <cell r="A365">
            <v>38569</v>
          </cell>
          <cell r="B365">
            <v>0.130107</v>
          </cell>
          <cell r="C365">
            <v>31.5</v>
          </cell>
          <cell r="D365">
            <v>32.075922210000002</v>
          </cell>
        </row>
        <row r="366">
          <cell r="A366">
            <v>38572</v>
          </cell>
          <cell r="B366">
            <v>0.17233399999999999</v>
          </cell>
          <cell r="C366">
            <v>31.1</v>
          </cell>
          <cell r="D366">
            <v>31.876801740000001</v>
          </cell>
        </row>
        <row r="367">
          <cell r="A367">
            <v>38573</v>
          </cell>
          <cell r="B367">
            <v>0.110748</v>
          </cell>
          <cell r="C367">
            <v>30.89</v>
          </cell>
          <cell r="D367">
            <v>32.021134629999999</v>
          </cell>
        </row>
        <row r="368">
          <cell r="A368">
            <v>38574</v>
          </cell>
          <cell r="B368">
            <v>0.25652799999999998</v>
          </cell>
          <cell r="C368">
            <v>30.99</v>
          </cell>
          <cell r="D368">
            <v>31.779892520000001</v>
          </cell>
        </row>
        <row r="369">
          <cell r="A369">
            <v>38575</v>
          </cell>
          <cell r="B369">
            <v>0.18084700000000001</v>
          </cell>
          <cell r="C369">
            <v>31.1</v>
          </cell>
          <cell r="D369">
            <v>32.026436650000001</v>
          </cell>
        </row>
        <row r="370">
          <cell r="A370">
            <v>38576</v>
          </cell>
          <cell r="B370">
            <v>0.208564</v>
          </cell>
          <cell r="C370">
            <v>30.49</v>
          </cell>
          <cell r="D370">
            <v>31.766490180000002</v>
          </cell>
        </row>
        <row r="371">
          <cell r="A371">
            <v>38579</v>
          </cell>
          <cell r="B371">
            <v>0.17825299999999999</v>
          </cell>
          <cell r="C371">
            <v>31.3</v>
          </cell>
          <cell r="D371">
            <v>31.915830530000001</v>
          </cell>
        </row>
        <row r="372">
          <cell r="A372">
            <v>38580</v>
          </cell>
          <cell r="B372">
            <v>0.118587</v>
          </cell>
          <cell r="C372">
            <v>30.91</v>
          </cell>
          <cell r="D372">
            <v>31.474289720000002</v>
          </cell>
        </row>
        <row r="373">
          <cell r="A373">
            <v>38581</v>
          </cell>
          <cell r="B373">
            <v>0.13633100000000001</v>
          </cell>
          <cell r="C373">
            <v>30.41</v>
          </cell>
          <cell r="D373">
            <v>31.593437990000002</v>
          </cell>
        </row>
        <row r="374">
          <cell r="A374">
            <v>38582</v>
          </cell>
          <cell r="B374">
            <v>0.14119699999999999</v>
          </cell>
          <cell r="C374">
            <v>30.43</v>
          </cell>
          <cell r="D374">
            <v>31.459856429999999</v>
          </cell>
        </row>
        <row r="375">
          <cell r="A375">
            <v>38583</v>
          </cell>
          <cell r="B375">
            <v>0.21107999999999999</v>
          </cell>
          <cell r="C375">
            <v>30.25</v>
          </cell>
          <cell r="D375">
            <v>31.452197949999999</v>
          </cell>
        </row>
        <row r="376">
          <cell r="A376">
            <v>38586</v>
          </cell>
          <cell r="B376">
            <v>0.13280900000000001</v>
          </cell>
          <cell r="C376">
            <v>30.59</v>
          </cell>
          <cell r="D376">
            <v>31.538355849999999</v>
          </cell>
        </row>
        <row r="377">
          <cell r="A377">
            <v>38587</v>
          </cell>
          <cell r="B377">
            <v>9.5179E-2</v>
          </cell>
          <cell r="C377">
            <v>30.73</v>
          </cell>
          <cell r="D377">
            <v>31.477088009999999</v>
          </cell>
        </row>
        <row r="378">
          <cell r="A378">
            <v>38588</v>
          </cell>
          <cell r="B378">
            <v>0.15323600000000001</v>
          </cell>
          <cell r="C378">
            <v>31</v>
          </cell>
          <cell r="D378">
            <v>31.354257780000001</v>
          </cell>
        </row>
        <row r="379">
          <cell r="A379">
            <v>38589</v>
          </cell>
          <cell r="B379">
            <v>0.12532799999999999</v>
          </cell>
          <cell r="C379">
            <v>31.27</v>
          </cell>
          <cell r="D379">
            <v>31.434671819999998</v>
          </cell>
        </row>
        <row r="380">
          <cell r="A380">
            <v>38590</v>
          </cell>
          <cell r="B380">
            <v>0.17152000000000001</v>
          </cell>
          <cell r="C380">
            <v>30.34</v>
          </cell>
          <cell r="D380">
            <v>31.234373120000001</v>
          </cell>
        </row>
        <row r="381">
          <cell r="A381">
            <v>38593</v>
          </cell>
          <cell r="B381">
            <v>0.15698699999999999</v>
          </cell>
          <cell r="C381">
            <v>30</v>
          </cell>
          <cell r="D381">
            <v>31.482979149999998</v>
          </cell>
        </row>
        <row r="382">
          <cell r="A382">
            <v>38594</v>
          </cell>
          <cell r="B382">
            <v>0.179122</v>
          </cell>
          <cell r="C382">
            <v>29.73</v>
          </cell>
          <cell r="D382">
            <v>31.36677645</v>
          </cell>
        </row>
        <row r="383">
          <cell r="A383">
            <v>38595</v>
          </cell>
          <cell r="B383">
            <v>0.16578399999999999</v>
          </cell>
          <cell r="C383">
            <v>30.66</v>
          </cell>
          <cell r="D383">
            <v>31.695649240000002</v>
          </cell>
        </row>
        <row r="384">
          <cell r="A384">
            <v>38596</v>
          </cell>
          <cell r="B384">
            <v>0.11712400000000001</v>
          </cell>
          <cell r="C384">
            <v>30.55</v>
          </cell>
          <cell r="D384">
            <v>31.633939569999999</v>
          </cell>
        </row>
        <row r="385">
          <cell r="A385">
            <v>38597</v>
          </cell>
          <cell r="B385">
            <v>0.14291799999999999</v>
          </cell>
          <cell r="C385">
            <v>30.16</v>
          </cell>
          <cell r="D385">
            <v>31.53334838</v>
          </cell>
        </row>
        <row r="386">
          <cell r="A386">
            <v>38601</v>
          </cell>
          <cell r="B386">
            <v>0.122948</v>
          </cell>
          <cell r="C386">
            <v>30.95</v>
          </cell>
          <cell r="D386">
            <v>31.91317952</v>
          </cell>
        </row>
        <row r="387">
          <cell r="A387">
            <v>38602</v>
          </cell>
          <cell r="B387">
            <v>0.13464300000000001</v>
          </cell>
          <cell r="C387">
            <v>31.52</v>
          </cell>
          <cell r="D387">
            <v>31.989322479999998</v>
          </cell>
        </row>
        <row r="388">
          <cell r="A388">
            <v>38603</v>
          </cell>
          <cell r="B388">
            <v>7.6817999999999997E-2</v>
          </cell>
          <cell r="C388">
            <v>31.16</v>
          </cell>
          <cell r="D388">
            <v>31.900955410000002</v>
          </cell>
        </row>
        <row r="389">
          <cell r="A389">
            <v>38604</v>
          </cell>
          <cell r="B389">
            <v>8.5763000000000006E-2</v>
          </cell>
          <cell r="C389">
            <v>31.49</v>
          </cell>
          <cell r="D389">
            <v>32.04057538</v>
          </cell>
        </row>
        <row r="390">
          <cell r="A390">
            <v>38607</v>
          </cell>
          <cell r="B390">
            <v>0.14690500000000001</v>
          </cell>
          <cell r="C390">
            <v>32.24</v>
          </cell>
          <cell r="D390">
            <v>32.148383209999999</v>
          </cell>
        </row>
        <row r="391">
          <cell r="A391">
            <v>38608</v>
          </cell>
          <cell r="B391">
            <v>0.116938</v>
          </cell>
          <cell r="C391">
            <v>31.62</v>
          </cell>
          <cell r="D391">
            <v>31.98519868</v>
          </cell>
        </row>
        <row r="392">
          <cell r="A392">
            <v>38609</v>
          </cell>
          <cell r="B392">
            <v>9.4317999999999999E-2</v>
          </cell>
          <cell r="C392">
            <v>31.23</v>
          </cell>
          <cell r="D392">
            <v>31.655000390000001</v>
          </cell>
        </row>
        <row r="393">
          <cell r="A393">
            <v>38610</v>
          </cell>
          <cell r="B393">
            <v>0.108361</v>
          </cell>
          <cell r="C393">
            <v>31.41</v>
          </cell>
          <cell r="D393">
            <v>31.608165840000002</v>
          </cell>
        </row>
        <row r="394">
          <cell r="A394">
            <v>38611</v>
          </cell>
          <cell r="B394">
            <v>0.37387500000000001</v>
          </cell>
          <cell r="C394">
            <v>32.01</v>
          </cell>
          <cell r="D394">
            <v>31.817301239999999</v>
          </cell>
        </row>
        <row r="395">
          <cell r="A395">
            <v>38614</v>
          </cell>
          <cell r="B395">
            <v>0.18535499999999999</v>
          </cell>
          <cell r="C395">
            <v>31.95</v>
          </cell>
          <cell r="D395">
            <v>31.595058049999999</v>
          </cell>
        </row>
        <row r="396">
          <cell r="A396">
            <v>38615</v>
          </cell>
          <cell r="B396">
            <v>1.7675149999999999</v>
          </cell>
          <cell r="C396">
            <v>32.6</v>
          </cell>
          <cell r="D396">
            <v>31.389899159999999</v>
          </cell>
        </row>
        <row r="397">
          <cell r="A397">
            <v>38616</v>
          </cell>
          <cell r="B397">
            <v>0.32385799999999998</v>
          </cell>
          <cell r="C397">
            <v>32.200000000000003</v>
          </cell>
          <cell r="D397">
            <v>31.026268659999999</v>
          </cell>
        </row>
        <row r="398">
          <cell r="A398">
            <v>38617</v>
          </cell>
          <cell r="B398">
            <v>0.21295700000000001</v>
          </cell>
          <cell r="C398">
            <v>32.1</v>
          </cell>
          <cell r="D398">
            <v>31.087241939999998</v>
          </cell>
        </row>
        <row r="399">
          <cell r="A399">
            <v>38618</v>
          </cell>
          <cell r="B399">
            <v>0.29752000000000001</v>
          </cell>
          <cell r="C399">
            <v>32.590000000000003</v>
          </cell>
          <cell r="D399">
            <v>31.176492679999999</v>
          </cell>
        </row>
        <row r="400">
          <cell r="A400">
            <v>38621</v>
          </cell>
          <cell r="B400">
            <v>0.213507</v>
          </cell>
          <cell r="C400">
            <v>32.04</v>
          </cell>
          <cell r="D400">
            <v>31.244535330000001</v>
          </cell>
        </row>
        <row r="401">
          <cell r="A401">
            <v>38622</v>
          </cell>
          <cell r="B401">
            <v>0.150057</v>
          </cell>
          <cell r="C401">
            <v>31.95</v>
          </cell>
          <cell r="D401">
            <v>31.17030699</v>
          </cell>
        </row>
        <row r="402">
          <cell r="A402">
            <v>38623</v>
          </cell>
          <cell r="B402">
            <v>0.210919</v>
          </cell>
          <cell r="C402">
            <v>31.82</v>
          </cell>
          <cell r="D402">
            <v>31.15528458</v>
          </cell>
        </row>
        <row r="403">
          <cell r="A403">
            <v>38624</v>
          </cell>
          <cell r="B403">
            <v>0.21393799999999999</v>
          </cell>
          <cell r="C403">
            <v>31.91</v>
          </cell>
          <cell r="D403">
            <v>31.535557560000001</v>
          </cell>
        </row>
        <row r="404">
          <cell r="A404">
            <v>38625</v>
          </cell>
          <cell r="B404">
            <v>0.15206900000000001</v>
          </cell>
          <cell r="C404">
            <v>31.77</v>
          </cell>
          <cell r="D404">
            <v>31.689758099999999</v>
          </cell>
        </row>
        <row r="405">
          <cell r="A405">
            <v>38628</v>
          </cell>
          <cell r="B405">
            <v>0.26832699999999998</v>
          </cell>
          <cell r="C405">
            <v>31.82</v>
          </cell>
          <cell r="D405">
            <v>31.744840239999998</v>
          </cell>
        </row>
        <row r="406">
          <cell r="A406">
            <v>38629</v>
          </cell>
          <cell r="B406">
            <v>0.21195900000000001</v>
          </cell>
          <cell r="C406">
            <v>31.4</v>
          </cell>
          <cell r="D406">
            <v>31.508163759999999</v>
          </cell>
        </row>
        <row r="407">
          <cell r="A407">
            <v>38630</v>
          </cell>
          <cell r="B407">
            <v>0.184088</v>
          </cell>
          <cell r="C407">
            <v>30.59</v>
          </cell>
          <cell r="D407">
            <v>30.972953860000001</v>
          </cell>
        </row>
        <row r="408">
          <cell r="A408">
            <v>38631</v>
          </cell>
          <cell r="B408">
            <v>0.26031100000000001</v>
          </cell>
          <cell r="C408">
            <v>30.89</v>
          </cell>
          <cell r="D408">
            <v>30.694008459999999</v>
          </cell>
        </row>
        <row r="409">
          <cell r="A409">
            <v>38632</v>
          </cell>
          <cell r="B409">
            <v>0.180117</v>
          </cell>
          <cell r="C409">
            <v>31.34</v>
          </cell>
          <cell r="D409">
            <v>30.786352050000001</v>
          </cell>
        </row>
        <row r="410">
          <cell r="A410">
            <v>38635</v>
          </cell>
          <cell r="B410">
            <v>0.22018199999999999</v>
          </cell>
          <cell r="C410">
            <v>30.48</v>
          </cell>
          <cell r="D410">
            <v>30.618012780000001</v>
          </cell>
        </row>
        <row r="411">
          <cell r="A411">
            <v>38636</v>
          </cell>
          <cell r="B411">
            <v>0.34897600000000001</v>
          </cell>
          <cell r="C411">
            <v>30.45</v>
          </cell>
          <cell r="D411">
            <v>30.35541529</v>
          </cell>
        </row>
        <row r="412">
          <cell r="A412">
            <v>38637</v>
          </cell>
          <cell r="B412">
            <v>0.245447</v>
          </cell>
          <cell r="C412">
            <v>30.28</v>
          </cell>
          <cell r="D412">
            <v>30.00754358</v>
          </cell>
        </row>
        <row r="413">
          <cell r="A413">
            <v>38638</v>
          </cell>
          <cell r="B413">
            <v>0.29543900000000001</v>
          </cell>
          <cell r="C413">
            <v>30.23</v>
          </cell>
          <cell r="D413">
            <v>30.15114007</v>
          </cell>
        </row>
        <row r="414">
          <cell r="A414">
            <v>38639</v>
          </cell>
          <cell r="B414">
            <v>0.21817900000000001</v>
          </cell>
          <cell r="C414">
            <v>30.7</v>
          </cell>
          <cell r="D414">
            <v>30.410497429999999</v>
          </cell>
        </row>
        <row r="415">
          <cell r="A415">
            <v>38642</v>
          </cell>
          <cell r="B415">
            <v>0.179811</v>
          </cell>
          <cell r="C415">
            <v>30.3</v>
          </cell>
          <cell r="D415">
            <v>30.491058750000001</v>
          </cell>
        </row>
        <row r="416">
          <cell r="A416">
            <v>38643</v>
          </cell>
          <cell r="B416">
            <v>0.265934</v>
          </cell>
          <cell r="C416">
            <v>29.76</v>
          </cell>
          <cell r="D416">
            <v>30.280450559999998</v>
          </cell>
        </row>
        <row r="417">
          <cell r="A417">
            <v>38644</v>
          </cell>
          <cell r="B417">
            <v>0.35405199999999998</v>
          </cell>
          <cell r="C417">
            <v>30.47</v>
          </cell>
          <cell r="D417">
            <v>30.79945983</v>
          </cell>
        </row>
        <row r="418">
          <cell r="A418">
            <v>38645</v>
          </cell>
          <cell r="B418">
            <v>0.17777000000000001</v>
          </cell>
          <cell r="C418">
            <v>29.88</v>
          </cell>
          <cell r="D418">
            <v>30.45880477</v>
          </cell>
        </row>
        <row r="419">
          <cell r="A419">
            <v>38646</v>
          </cell>
          <cell r="B419">
            <v>0.20003000000000001</v>
          </cell>
          <cell r="C419">
            <v>29.52</v>
          </cell>
          <cell r="D419">
            <v>30.666467390000001</v>
          </cell>
        </row>
        <row r="420">
          <cell r="A420">
            <v>38649</v>
          </cell>
          <cell r="B420">
            <v>0.38137700000000002</v>
          </cell>
          <cell r="C420">
            <v>30.91</v>
          </cell>
          <cell r="D420">
            <v>31.16161756</v>
          </cell>
        </row>
        <row r="421">
          <cell r="A421">
            <v>38650</v>
          </cell>
          <cell r="B421">
            <v>0.22501299999999999</v>
          </cell>
          <cell r="C421">
            <v>31.21</v>
          </cell>
          <cell r="D421">
            <v>31.0676539</v>
          </cell>
        </row>
        <row r="422">
          <cell r="A422">
            <v>38651</v>
          </cell>
          <cell r="B422">
            <v>0.385855</v>
          </cell>
          <cell r="C422">
            <v>31.51</v>
          </cell>
          <cell r="D422">
            <v>30.929212150000001</v>
          </cell>
        </row>
        <row r="423">
          <cell r="A423">
            <v>38652</v>
          </cell>
          <cell r="B423">
            <v>0.23034199999999999</v>
          </cell>
          <cell r="C423">
            <v>30.1</v>
          </cell>
          <cell r="D423">
            <v>30.39547503</v>
          </cell>
        </row>
        <row r="424">
          <cell r="A424">
            <v>38653</v>
          </cell>
          <cell r="B424">
            <v>0.31645000000000001</v>
          </cell>
          <cell r="C424">
            <v>31.23</v>
          </cell>
          <cell r="D424">
            <v>30.779429960000002</v>
          </cell>
        </row>
        <row r="425">
          <cell r="A425">
            <v>38656</v>
          </cell>
          <cell r="B425">
            <v>0.40474700000000002</v>
          </cell>
          <cell r="C425">
            <v>31.14</v>
          </cell>
          <cell r="D425">
            <v>31.227451030000001</v>
          </cell>
        </row>
        <row r="426">
          <cell r="A426">
            <v>38657</v>
          </cell>
          <cell r="B426">
            <v>0.14938499999999999</v>
          </cell>
          <cell r="C426">
            <v>30.85</v>
          </cell>
          <cell r="D426">
            <v>31.135401989999998</v>
          </cell>
        </row>
        <row r="427">
          <cell r="A427">
            <v>38658</v>
          </cell>
          <cell r="B427">
            <v>0.13419400000000001</v>
          </cell>
          <cell r="C427">
            <v>31.33</v>
          </cell>
          <cell r="D427">
            <v>31.5810666</v>
          </cell>
        </row>
        <row r="428">
          <cell r="A428">
            <v>38659</v>
          </cell>
          <cell r="B428">
            <v>0.22281699999999999</v>
          </cell>
          <cell r="C428">
            <v>30.4</v>
          </cell>
          <cell r="D428">
            <v>31.815386620000002</v>
          </cell>
        </row>
        <row r="429">
          <cell r="A429">
            <v>38660</v>
          </cell>
          <cell r="B429">
            <v>0.18374499999999999</v>
          </cell>
          <cell r="C429">
            <v>30.25</v>
          </cell>
          <cell r="D429">
            <v>31.951030079999999</v>
          </cell>
        </row>
        <row r="430">
          <cell r="A430">
            <v>38663</v>
          </cell>
          <cell r="B430">
            <v>0.25261099999999997</v>
          </cell>
          <cell r="C430">
            <v>30.24</v>
          </cell>
          <cell r="D430">
            <v>32.080782399999997</v>
          </cell>
        </row>
        <row r="431">
          <cell r="A431">
            <v>38664</v>
          </cell>
          <cell r="B431">
            <v>0.182445</v>
          </cell>
          <cell r="C431">
            <v>29.59</v>
          </cell>
          <cell r="D431">
            <v>31.989911589999998</v>
          </cell>
        </row>
        <row r="432">
          <cell r="A432">
            <v>38665</v>
          </cell>
          <cell r="B432">
            <v>0.17915600000000001</v>
          </cell>
          <cell r="C432">
            <v>30.03</v>
          </cell>
          <cell r="D432">
            <v>32.044993740000002</v>
          </cell>
        </row>
        <row r="433">
          <cell r="A433">
            <v>38666</v>
          </cell>
          <cell r="B433">
            <v>0.154498</v>
          </cell>
          <cell r="C433">
            <v>30.92</v>
          </cell>
          <cell r="D433">
            <v>32.352363869999998</v>
          </cell>
        </row>
        <row r="434">
          <cell r="A434">
            <v>38667</v>
          </cell>
          <cell r="B434">
            <v>0.13950199999999999</v>
          </cell>
          <cell r="C434">
            <v>31.15</v>
          </cell>
          <cell r="D434">
            <v>32.437638100000001</v>
          </cell>
        </row>
        <row r="435">
          <cell r="A435">
            <v>38670</v>
          </cell>
          <cell r="B435">
            <v>0.21645600000000001</v>
          </cell>
          <cell r="C435">
            <v>31.09</v>
          </cell>
          <cell r="D435">
            <v>32.415251779999998</v>
          </cell>
        </row>
        <row r="436">
          <cell r="A436">
            <v>38671</v>
          </cell>
          <cell r="B436">
            <v>0.18416399999999999</v>
          </cell>
          <cell r="C436">
            <v>30.81</v>
          </cell>
          <cell r="D436">
            <v>32.205969090000004</v>
          </cell>
        </row>
        <row r="437">
          <cell r="A437">
            <v>38672</v>
          </cell>
          <cell r="B437">
            <v>0.15947600000000001</v>
          </cell>
          <cell r="C437">
            <v>30.76</v>
          </cell>
          <cell r="D437">
            <v>32.223495229999997</v>
          </cell>
        </row>
        <row r="438">
          <cell r="A438">
            <v>38673</v>
          </cell>
          <cell r="B438">
            <v>9.0162000000000006E-2</v>
          </cell>
          <cell r="C438">
            <v>31.06</v>
          </cell>
          <cell r="D438">
            <v>32.702592039999999</v>
          </cell>
        </row>
        <row r="439">
          <cell r="A439">
            <v>38674</v>
          </cell>
          <cell r="B439">
            <v>0.27504899999999999</v>
          </cell>
          <cell r="C439">
            <v>31.58</v>
          </cell>
          <cell r="D439">
            <v>32.7999431</v>
          </cell>
        </row>
        <row r="440">
          <cell r="A440">
            <v>38677</v>
          </cell>
          <cell r="B440">
            <v>0.14230599999999999</v>
          </cell>
          <cell r="C440">
            <v>31.1</v>
          </cell>
          <cell r="D440">
            <v>33.014969649999998</v>
          </cell>
        </row>
        <row r="441">
          <cell r="A441">
            <v>38678</v>
          </cell>
          <cell r="B441">
            <v>8.6808999999999997E-2</v>
          </cell>
          <cell r="C441">
            <v>31.25</v>
          </cell>
          <cell r="D441">
            <v>33.190083729999998</v>
          </cell>
        </row>
        <row r="442">
          <cell r="A442">
            <v>38679</v>
          </cell>
          <cell r="B442">
            <v>8.8914999999999994E-2</v>
          </cell>
          <cell r="C442">
            <v>30.63</v>
          </cell>
          <cell r="D442">
            <v>33.284636499999998</v>
          </cell>
        </row>
        <row r="443">
          <cell r="A443">
            <v>38681</v>
          </cell>
          <cell r="B443">
            <v>0.116314</v>
          </cell>
          <cell r="C443">
            <v>30.58</v>
          </cell>
          <cell r="D443">
            <v>33.329261870000003</v>
          </cell>
        </row>
        <row r="444">
          <cell r="A444">
            <v>38684</v>
          </cell>
          <cell r="B444">
            <v>0.212064</v>
          </cell>
          <cell r="C444">
            <v>30.01</v>
          </cell>
          <cell r="D444">
            <v>32.981095600000003</v>
          </cell>
        </row>
        <row r="445">
          <cell r="A445">
            <v>38685</v>
          </cell>
          <cell r="B445">
            <v>0.27937699999999999</v>
          </cell>
          <cell r="C445">
            <v>29.73</v>
          </cell>
          <cell r="D445">
            <v>32.883008150000002</v>
          </cell>
        </row>
        <row r="446">
          <cell r="A446">
            <v>38686</v>
          </cell>
          <cell r="B446">
            <v>0.20913799999999999</v>
          </cell>
          <cell r="C446">
            <v>30.94</v>
          </cell>
          <cell r="D446">
            <v>32.884628210000002</v>
          </cell>
        </row>
        <row r="447">
          <cell r="A447">
            <v>38687</v>
          </cell>
          <cell r="B447">
            <v>0.212813</v>
          </cell>
          <cell r="C447">
            <v>30.76</v>
          </cell>
          <cell r="D447">
            <v>33.390529710000003</v>
          </cell>
        </row>
        <row r="448">
          <cell r="A448">
            <v>38688</v>
          </cell>
          <cell r="B448">
            <v>0.16859199999999999</v>
          </cell>
          <cell r="C448">
            <v>30.94</v>
          </cell>
          <cell r="D448">
            <v>33.481842350000001</v>
          </cell>
        </row>
        <row r="449">
          <cell r="A449">
            <v>38691</v>
          </cell>
          <cell r="B449">
            <v>7.2905999999999999E-2</v>
          </cell>
          <cell r="C449">
            <v>30.6</v>
          </cell>
          <cell r="D449">
            <v>33.250173340000003</v>
          </cell>
        </row>
        <row r="450">
          <cell r="A450">
            <v>38692</v>
          </cell>
          <cell r="B450">
            <v>0.15412300000000001</v>
          </cell>
          <cell r="C450">
            <v>30.79</v>
          </cell>
          <cell r="D450">
            <v>33.296124220000003</v>
          </cell>
        </row>
        <row r="451">
          <cell r="A451">
            <v>38693</v>
          </cell>
          <cell r="B451">
            <v>0.20013400000000001</v>
          </cell>
          <cell r="C451">
            <v>30.48</v>
          </cell>
          <cell r="D451">
            <v>33.167255570000002</v>
          </cell>
        </row>
        <row r="452">
          <cell r="A452">
            <v>38694</v>
          </cell>
          <cell r="B452">
            <v>0.20655299999999999</v>
          </cell>
          <cell r="C452">
            <v>30.08</v>
          </cell>
          <cell r="D452">
            <v>33.085516030000001</v>
          </cell>
        </row>
        <row r="453">
          <cell r="A453">
            <v>38695</v>
          </cell>
          <cell r="B453">
            <v>0.112917</v>
          </cell>
          <cell r="C453">
            <v>30.09</v>
          </cell>
          <cell r="D453">
            <v>33.236770999999997</v>
          </cell>
        </row>
        <row r="454">
          <cell r="A454">
            <v>38698</v>
          </cell>
          <cell r="B454">
            <v>0.263851</v>
          </cell>
          <cell r="C454">
            <v>29.67</v>
          </cell>
          <cell r="D454">
            <v>33.298922509999997</v>
          </cell>
        </row>
        <row r="455">
          <cell r="A455">
            <v>38699</v>
          </cell>
          <cell r="B455">
            <v>0.21757099999999999</v>
          </cell>
          <cell r="C455">
            <v>29.55</v>
          </cell>
          <cell r="D455">
            <v>33.358570290000003</v>
          </cell>
        </row>
        <row r="456">
          <cell r="A456">
            <v>38700</v>
          </cell>
          <cell r="B456">
            <v>0.13383100000000001</v>
          </cell>
          <cell r="C456">
            <v>29.94</v>
          </cell>
          <cell r="D456">
            <v>33.323076180000001</v>
          </cell>
        </row>
        <row r="457">
          <cell r="A457">
            <v>38701</v>
          </cell>
          <cell r="B457">
            <v>0.29528599999999999</v>
          </cell>
          <cell r="C457">
            <v>30.28</v>
          </cell>
          <cell r="D457">
            <v>33.294209600000002</v>
          </cell>
        </row>
        <row r="458">
          <cell r="A458">
            <v>38702</v>
          </cell>
          <cell r="B458">
            <v>0.56621200000000005</v>
          </cell>
          <cell r="C458">
            <v>31.34</v>
          </cell>
          <cell r="D458">
            <v>33.174177659999998</v>
          </cell>
        </row>
        <row r="459">
          <cell r="A459">
            <v>38705</v>
          </cell>
          <cell r="B459">
            <v>0.36960199999999999</v>
          </cell>
          <cell r="C459">
            <v>31.19</v>
          </cell>
          <cell r="D459">
            <v>32.73617153</v>
          </cell>
        </row>
        <row r="460">
          <cell r="A460">
            <v>38706</v>
          </cell>
          <cell r="B460">
            <v>1.709835</v>
          </cell>
          <cell r="C460">
            <v>27.71</v>
          </cell>
          <cell r="D460">
            <v>32.731458619999998</v>
          </cell>
        </row>
        <row r="461">
          <cell r="A461">
            <v>38707</v>
          </cell>
          <cell r="B461">
            <v>0.77879900000000002</v>
          </cell>
          <cell r="C461">
            <v>29.01</v>
          </cell>
          <cell r="D461">
            <v>32.867543910000002</v>
          </cell>
        </row>
        <row r="462">
          <cell r="A462">
            <v>38708</v>
          </cell>
          <cell r="B462">
            <v>0.33330700000000002</v>
          </cell>
          <cell r="C462">
            <v>28.59</v>
          </cell>
          <cell r="D462">
            <v>33.085957860000001</v>
          </cell>
        </row>
        <row r="463">
          <cell r="A463">
            <v>38709</v>
          </cell>
          <cell r="B463">
            <v>0.19101199999999999</v>
          </cell>
          <cell r="C463">
            <v>29.06</v>
          </cell>
          <cell r="D463">
            <v>33.129110449999999</v>
          </cell>
        </row>
        <row r="464">
          <cell r="A464">
            <v>38713</v>
          </cell>
          <cell r="B464">
            <v>0.305203</v>
          </cell>
          <cell r="C464">
            <v>28.95</v>
          </cell>
          <cell r="D464">
            <v>32.797292089999999</v>
          </cell>
        </row>
        <row r="465">
          <cell r="A465">
            <v>38714</v>
          </cell>
          <cell r="B465">
            <v>0.39660699999999999</v>
          </cell>
          <cell r="C465">
            <v>28.91</v>
          </cell>
          <cell r="D465">
            <v>32.827484169999998</v>
          </cell>
        </row>
        <row r="466">
          <cell r="A466">
            <v>38715</v>
          </cell>
          <cell r="B466">
            <v>0.26813900000000002</v>
          </cell>
          <cell r="C466">
            <v>28.81</v>
          </cell>
          <cell r="D466">
            <v>32.668717999999998</v>
          </cell>
        </row>
        <row r="467">
          <cell r="A467">
            <v>38716</v>
          </cell>
          <cell r="B467">
            <v>0.20851800000000001</v>
          </cell>
          <cell r="C467">
            <v>28.38</v>
          </cell>
          <cell r="D467">
            <v>32.479612459999998</v>
          </cell>
        </row>
        <row r="468">
          <cell r="A468">
            <v>38720</v>
          </cell>
          <cell r="B468">
            <v>0.40184199999999998</v>
          </cell>
          <cell r="C468">
            <v>28.89</v>
          </cell>
          <cell r="D468">
            <v>33.045456289999997</v>
          </cell>
        </row>
        <row r="469">
          <cell r="A469">
            <v>38721</v>
          </cell>
          <cell r="B469">
            <v>0.15485299999999999</v>
          </cell>
          <cell r="C469">
            <v>28.99</v>
          </cell>
          <cell r="D469">
            <v>33.335889399999999</v>
          </cell>
        </row>
        <row r="470">
          <cell r="A470">
            <v>38722</v>
          </cell>
          <cell r="B470">
            <v>0.26746599999999998</v>
          </cell>
          <cell r="C470">
            <v>28.9</v>
          </cell>
          <cell r="D470">
            <v>33.533389810000003</v>
          </cell>
        </row>
        <row r="471">
          <cell r="A471">
            <v>38723</v>
          </cell>
          <cell r="B471">
            <v>0.32665699999999998</v>
          </cell>
          <cell r="C471">
            <v>28.88</v>
          </cell>
          <cell r="D471">
            <v>33.956815370000001</v>
          </cell>
        </row>
        <row r="472">
          <cell r="A472">
            <v>38726</v>
          </cell>
          <cell r="B472">
            <v>0.47045799999999999</v>
          </cell>
          <cell r="C472">
            <v>29.67</v>
          </cell>
          <cell r="D472">
            <v>34.149308320000003</v>
          </cell>
        </row>
        <row r="473">
          <cell r="A473">
            <v>38727</v>
          </cell>
          <cell r="B473">
            <v>0.243253</v>
          </cell>
          <cell r="C473">
            <v>29.39</v>
          </cell>
          <cell r="D473">
            <v>34.173314699999999</v>
          </cell>
        </row>
        <row r="474">
          <cell r="A474">
            <v>38728</v>
          </cell>
          <cell r="B474">
            <v>0.194323</v>
          </cell>
          <cell r="C474">
            <v>29.44</v>
          </cell>
          <cell r="D474">
            <v>34.335910120000001</v>
          </cell>
        </row>
        <row r="475">
          <cell r="A475">
            <v>38729</v>
          </cell>
          <cell r="B475">
            <v>0.12325800000000001</v>
          </cell>
          <cell r="C475">
            <v>29.66</v>
          </cell>
          <cell r="D475">
            <v>34.119852629999997</v>
          </cell>
        </row>
        <row r="476">
          <cell r="A476">
            <v>38730</v>
          </cell>
          <cell r="B476">
            <v>0.16644700000000001</v>
          </cell>
          <cell r="C476">
            <v>29.21</v>
          </cell>
          <cell r="D476">
            <v>34.125007369999999</v>
          </cell>
        </row>
        <row r="477">
          <cell r="A477">
            <v>38734</v>
          </cell>
          <cell r="B477">
            <v>0.26971000000000001</v>
          </cell>
          <cell r="C477">
            <v>28.62</v>
          </cell>
          <cell r="D477">
            <v>33.913662789999997</v>
          </cell>
        </row>
        <row r="478">
          <cell r="A478">
            <v>38735</v>
          </cell>
          <cell r="B478">
            <v>0.23527000000000001</v>
          </cell>
          <cell r="C478">
            <v>28.24</v>
          </cell>
          <cell r="D478">
            <v>33.57418595</v>
          </cell>
        </row>
        <row r="479">
          <cell r="A479">
            <v>38736</v>
          </cell>
          <cell r="B479">
            <v>0.43657899999999999</v>
          </cell>
          <cell r="C479">
            <v>28.39</v>
          </cell>
          <cell r="D479">
            <v>33.900702279999997</v>
          </cell>
        </row>
        <row r="480">
          <cell r="A480">
            <v>38737</v>
          </cell>
          <cell r="B480">
            <v>0.24158399999999999</v>
          </cell>
          <cell r="C480">
            <v>28.13</v>
          </cell>
          <cell r="D480">
            <v>33.103778560000002</v>
          </cell>
          <cell r="E480">
            <v>28.39</v>
          </cell>
        </row>
        <row r="481">
          <cell r="A481">
            <v>38740</v>
          </cell>
          <cell r="B481">
            <v>0.17389299999999999</v>
          </cell>
          <cell r="C481">
            <v>28.05</v>
          </cell>
          <cell r="D481">
            <v>33.115119</v>
          </cell>
        </row>
        <row r="482">
          <cell r="A482">
            <v>38741</v>
          </cell>
          <cell r="B482">
            <v>0.13336700000000001</v>
          </cell>
          <cell r="C482">
            <v>28.35</v>
          </cell>
          <cell r="D482">
            <v>33.362252249999997</v>
          </cell>
        </row>
        <row r="483">
          <cell r="A483">
            <v>38742</v>
          </cell>
          <cell r="B483">
            <v>0.199548</v>
          </cell>
          <cell r="C483">
            <v>27.77</v>
          </cell>
          <cell r="D483">
            <v>33.294504160000002</v>
          </cell>
        </row>
        <row r="484">
          <cell r="A484">
            <v>38743</v>
          </cell>
          <cell r="B484">
            <v>0.24373900000000001</v>
          </cell>
          <cell r="C484">
            <v>28.92</v>
          </cell>
          <cell r="D484">
            <v>33.623671510000001</v>
          </cell>
        </row>
        <row r="485">
          <cell r="A485">
            <v>38744</v>
          </cell>
          <cell r="B485">
            <v>0.18534200000000001</v>
          </cell>
          <cell r="C485">
            <v>28.41</v>
          </cell>
          <cell r="D485">
            <v>33.936343669999999</v>
          </cell>
        </row>
        <row r="486">
          <cell r="A486">
            <v>38747</v>
          </cell>
          <cell r="B486">
            <v>0.25126900000000002</v>
          </cell>
          <cell r="C486">
            <v>28.28</v>
          </cell>
          <cell r="D486">
            <v>33.973899680000002</v>
          </cell>
        </row>
        <row r="487">
          <cell r="A487">
            <v>38748</v>
          </cell>
          <cell r="B487">
            <v>0.29603200000000002</v>
          </cell>
          <cell r="C487">
            <v>28.76</v>
          </cell>
          <cell r="D487">
            <v>33.959760940000002</v>
          </cell>
        </row>
        <row r="488">
          <cell r="A488">
            <v>38749</v>
          </cell>
          <cell r="B488">
            <v>0.60245099999999996</v>
          </cell>
          <cell r="C488">
            <v>28.53</v>
          </cell>
          <cell r="D488">
            <v>34.029570929999998</v>
          </cell>
        </row>
        <row r="489">
          <cell r="A489">
            <v>38750</v>
          </cell>
          <cell r="B489">
            <v>0.25431900000000002</v>
          </cell>
          <cell r="C489">
            <v>28.15</v>
          </cell>
          <cell r="D489">
            <v>33.602610689999999</v>
          </cell>
        </row>
        <row r="490">
          <cell r="A490">
            <v>38751</v>
          </cell>
          <cell r="B490">
            <v>0.31172899999999998</v>
          </cell>
          <cell r="C490">
            <v>28.55</v>
          </cell>
          <cell r="D490">
            <v>33.322928900000001</v>
          </cell>
        </row>
        <row r="491">
          <cell r="A491">
            <v>38754</v>
          </cell>
          <cell r="B491">
            <v>0.31173600000000001</v>
          </cell>
          <cell r="C491">
            <v>28.34</v>
          </cell>
          <cell r="D491">
            <v>33.267257639999997</v>
          </cell>
        </row>
        <row r="492">
          <cell r="A492">
            <v>38755</v>
          </cell>
          <cell r="B492">
            <v>0.19303699999999999</v>
          </cell>
          <cell r="C492">
            <v>28.41</v>
          </cell>
          <cell r="D492">
            <v>33.063424259999998</v>
          </cell>
        </row>
        <row r="493">
          <cell r="A493">
            <v>38756</v>
          </cell>
          <cell r="B493">
            <v>0.24537600000000001</v>
          </cell>
          <cell r="C493">
            <v>28.2</v>
          </cell>
          <cell r="D493">
            <v>33.387731420000001</v>
          </cell>
        </row>
        <row r="494">
          <cell r="A494">
            <v>38757</v>
          </cell>
          <cell r="B494">
            <v>0.15884799999999999</v>
          </cell>
          <cell r="C494">
            <v>27.94</v>
          </cell>
          <cell r="D494">
            <v>33.224105059999999</v>
          </cell>
        </row>
        <row r="495">
          <cell r="A495">
            <v>38758</v>
          </cell>
          <cell r="B495">
            <v>0.19012100000000001</v>
          </cell>
          <cell r="C495">
            <v>28.48</v>
          </cell>
          <cell r="D495">
            <v>33.312619410000003</v>
          </cell>
        </row>
        <row r="496">
          <cell r="A496">
            <v>38761</v>
          </cell>
          <cell r="B496">
            <v>0.26973599999999998</v>
          </cell>
          <cell r="C496">
            <v>28.3</v>
          </cell>
          <cell r="D496">
            <v>32.98757586</v>
          </cell>
        </row>
        <row r="497">
          <cell r="A497">
            <v>38762</v>
          </cell>
          <cell r="B497">
            <v>0.18011199999999999</v>
          </cell>
          <cell r="C497">
            <v>28.52</v>
          </cell>
          <cell r="D497">
            <v>33.316890479999998</v>
          </cell>
        </row>
        <row r="498">
          <cell r="A498">
            <v>38763</v>
          </cell>
          <cell r="B498">
            <v>0.19594600000000001</v>
          </cell>
          <cell r="C498">
            <v>28.71</v>
          </cell>
          <cell r="D498">
            <v>33.52690956</v>
          </cell>
        </row>
        <row r="499">
          <cell r="A499">
            <v>38764</v>
          </cell>
          <cell r="B499">
            <v>0.18381500000000001</v>
          </cell>
          <cell r="C499">
            <v>28.72</v>
          </cell>
          <cell r="D499">
            <v>33.79495635</v>
          </cell>
        </row>
        <row r="500">
          <cell r="A500">
            <v>38765</v>
          </cell>
          <cell r="B500">
            <v>0.25955899999999998</v>
          </cell>
          <cell r="C500">
            <v>28.6</v>
          </cell>
          <cell r="D500">
            <v>33.614245689999997</v>
          </cell>
        </row>
        <row r="501">
          <cell r="A501">
            <v>38769</v>
          </cell>
          <cell r="B501">
            <v>0.21667600000000001</v>
          </cell>
          <cell r="C501">
            <v>28.48</v>
          </cell>
          <cell r="D501">
            <v>33.328525480000003</v>
          </cell>
        </row>
        <row r="502">
          <cell r="A502">
            <v>38770</v>
          </cell>
          <cell r="B502">
            <v>0.37630599999999997</v>
          </cell>
          <cell r="C502">
            <v>29.94</v>
          </cell>
          <cell r="D502">
            <v>33.626175240000002</v>
          </cell>
        </row>
        <row r="503">
          <cell r="A503">
            <v>38771</v>
          </cell>
          <cell r="B503">
            <v>0.40137200000000001</v>
          </cell>
          <cell r="C503">
            <v>30.33</v>
          </cell>
          <cell r="D503">
            <v>33.569473039999998</v>
          </cell>
        </row>
        <row r="504">
          <cell r="A504">
            <v>38772</v>
          </cell>
          <cell r="B504">
            <v>0.336841</v>
          </cell>
          <cell r="C504">
            <v>30.4</v>
          </cell>
          <cell r="D504">
            <v>33.683171999999999</v>
          </cell>
        </row>
        <row r="505">
          <cell r="A505">
            <v>38775</v>
          </cell>
          <cell r="B505">
            <v>0.31570900000000002</v>
          </cell>
          <cell r="C505">
            <v>30.09</v>
          </cell>
          <cell r="D505">
            <v>33.979790809999997</v>
          </cell>
        </row>
        <row r="506">
          <cell r="A506">
            <v>38776</v>
          </cell>
          <cell r="B506">
            <v>0.45702300000000001</v>
          </cell>
          <cell r="C506">
            <v>29.2</v>
          </cell>
          <cell r="D506">
            <v>33.599959679999998</v>
          </cell>
        </row>
        <row r="507">
          <cell r="A507">
            <v>38777</v>
          </cell>
          <cell r="B507">
            <v>0.176813</v>
          </cell>
          <cell r="C507">
            <v>29.68</v>
          </cell>
          <cell r="D507">
            <v>34.089660539999997</v>
          </cell>
        </row>
        <row r="508">
          <cell r="A508">
            <v>38778</v>
          </cell>
          <cell r="B508">
            <v>0.23741399999999999</v>
          </cell>
          <cell r="C508">
            <v>30.04</v>
          </cell>
          <cell r="D508">
            <v>34.037671250000002</v>
          </cell>
        </row>
        <row r="509">
          <cell r="A509">
            <v>38779</v>
          </cell>
          <cell r="B509">
            <v>0.19014</v>
          </cell>
          <cell r="C509">
            <v>30</v>
          </cell>
          <cell r="D509">
            <v>33.912337280000003</v>
          </cell>
        </row>
        <row r="510">
          <cell r="A510">
            <v>38782</v>
          </cell>
          <cell r="B510">
            <v>0.44075500000000001</v>
          </cell>
          <cell r="C510">
            <v>29.66</v>
          </cell>
          <cell r="D510">
            <v>33.66829688</v>
          </cell>
        </row>
        <row r="511">
          <cell r="A511">
            <v>38783</v>
          </cell>
          <cell r="B511">
            <v>0.27336100000000002</v>
          </cell>
          <cell r="C511">
            <v>29.26</v>
          </cell>
          <cell r="D511">
            <v>33.408350400000003</v>
          </cell>
        </row>
        <row r="512">
          <cell r="A512">
            <v>38784</v>
          </cell>
          <cell r="B512">
            <v>0.15374399999999999</v>
          </cell>
          <cell r="C512">
            <v>29.31</v>
          </cell>
          <cell r="D512">
            <v>33.394800789999998</v>
          </cell>
        </row>
        <row r="513">
          <cell r="A513">
            <v>38785</v>
          </cell>
          <cell r="B513">
            <v>0.16392699999999999</v>
          </cell>
          <cell r="C513">
            <v>29.06</v>
          </cell>
          <cell r="D513">
            <v>33.133528810000001</v>
          </cell>
        </row>
        <row r="514">
          <cell r="A514">
            <v>38786</v>
          </cell>
          <cell r="B514">
            <v>0.113583</v>
          </cell>
          <cell r="C514">
            <v>29.39</v>
          </cell>
          <cell r="D514">
            <v>33.314975859999997</v>
          </cell>
        </row>
        <row r="515">
          <cell r="A515">
            <v>38789</v>
          </cell>
          <cell r="B515">
            <v>0.21348600000000001</v>
          </cell>
          <cell r="C515">
            <v>29.25</v>
          </cell>
          <cell r="D515">
            <v>33.388467810000002</v>
          </cell>
        </row>
        <row r="516">
          <cell r="A516">
            <v>38790</v>
          </cell>
          <cell r="B516">
            <v>0.27545999999999998</v>
          </cell>
          <cell r="C516">
            <v>29.52</v>
          </cell>
          <cell r="D516">
            <v>33.813660720000001</v>
          </cell>
        </row>
        <row r="517">
          <cell r="A517">
            <v>38791</v>
          </cell>
          <cell r="B517">
            <v>0.106947</v>
          </cell>
          <cell r="C517">
            <v>29.63</v>
          </cell>
          <cell r="D517">
            <v>34.04842257</v>
          </cell>
        </row>
        <row r="518">
          <cell r="A518">
            <v>38792</v>
          </cell>
          <cell r="B518">
            <v>0.173152</v>
          </cell>
          <cell r="C518">
            <v>29.28</v>
          </cell>
          <cell r="D518">
            <v>33.867564629999997</v>
          </cell>
        </row>
        <row r="519">
          <cell r="A519">
            <v>38793</v>
          </cell>
          <cell r="B519">
            <v>0.45980100000000002</v>
          </cell>
          <cell r="C519">
            <v>29.91</v>
          </cell>
          <cell r="D519">
            <v>33.96948132</v>
          </cell>
        </row>
        <row r="520">
          <cell r="A520">
            <v>38796</v>
          </cell>
          <cell r="B520">
            <v>0.31128800000000001</v>
          </cell>
          <cell r="C520">
            <v>30.22</v>
          </cell>
          <cell r="D520">
            <v>34.08185478</v>
          </cell>
        </row>
        <row r="521">
          <cell r="A521">
            <v>38797</v>
          </cell>
          <cell r="B521">
            <v>1.1740010000000001</v>
          </cell>
          <cell r="C521">
            <v>29.01</v>
          </cell>
          <cell r="D521">
            <v>33.789065209999997</v>
          </cell>
        </row>
        <row r="522">
          <cell r="A522">
            <v>38798</v>
          </cell>
          <cell r="B522">
            <v>0.30943500000000002</v>
          </cell>
          <cell r="C522">
            <v>29.09</v>
          </cell>
          <cell r="D522">
            <v>33.92338316</v>
          </cell>
        </row>
        <row r="523">
          <cell r="A523">
            <v>38799</v>
          </cell>
          <cell r="B523">
            <v>0.44598199999999999</v>
          </cell>
          <cell r="C523">
            <v>29.12</v>
          </cell>
          <cell r="D523">
            <v>33.876254060000001</v>
          </cell>
        </row>
        <row r="524">
          <cell r="A524">
            <v>38800</v>
          </cell>
          <cell r="B524">
            <v>0.260986</v>
          </cell>
          <cell r="C524">
            <v>29.16</v>
          </cell>
          <cell r="D524">
            <v>34.062855859999999</v>
          </cell>
        </row>
        <row r="525">
          <cell r="A525">
            <v>38803</v>
          </cell>
          <cell r="B525">
            <v>0.14464199999999999</v>
          </cell>
          <cell r="C525">
            <v>29.16</v>
          </cell>
          <cell r="D525">
            <v>34.103504719999997</v>
          </cell>
        </row>
        <row r="526">
          <cell r="A526">
            <v>38804</v>
          </cell>
          <cell r="B526">
            <v>0.237176</v>
          </cell>
          <cell r="C526">
            <v>29.01</v>
          </cell>
          <cell r="D526">
            <v>33.939731070000001</v>
          </cell>
        </row>
        <row r="527">
          <cell r="A527">
            <v>38805</v>
          </cell>
          <cell r="B527">
            <v>0.38676100000000002</v>
          </cell>
          <cell r="C527">
            <v>28.99</v>
          </cell>
          <cell r="D527">
            <v>34.430462890000001</v>
          </cell>
        </row>
        <row r="528">
          <cell r="A528">
            <v>38806</v>
          </cell>
          <cell r="B528">
            <v>0.135522</v>
          </cell>
          <cell r="C528">
            <v>29.11</v>
          </cell>
          <cell r="D528">
            <v>34.47523554</v>
          </cell>
        </row>
        <row r="529">
          <cell r="A529">
            <v>38807</v>
          </cell>
          <cell r="B529">
            <v>0.14069100000000001</v>
          </cell>
          <cell r="C529">
            <v>29.09</v>
          </cell>
          <cell r="D529">
            <v>34.46006586</v>
          </cell>
        </row>
        <row r="530">
          <cell r="A530">
            <v>38810</v>
          </cell>
          <cell r="B530">
            <v>0.27496799999999999</v>
          </cell>
          <cell r="C530">
            <v>28.78</v>
          </cell>
          <cell r="D530">
            <v>34.415145930000001</v>
          </cell>
        </row>
        <row r="531">
          <cell r="A531">
            <v>38811</v>
          </cell>
          <cell r="B531">
            <v>0.19101199999999999</v>
          </cell>
          <cell r="C531">
            <v>28.86</v>
          </cell>
          <cell r="D531">
            <v>34.542099960000002</v>
          </cell>
        </row>
        <row r="532">
          <cell r="A532">
            <v>38812</v>
          </cell>
          <cell r="B532">
            <v>0.17447199999999999</v>
          </cell>
          <cell r="C532">
            <v>28.88</v>
          </cell>
          <cell r="D532">
            <v>34.754033659999997</v>
          </cell>
        </row>
        <row r="533">
          <cell r="A533">
            <v>38813</v>
          </cell>
          <cell r="B533">
            <v>0.216419</v>
          </cell>
          <cell r="C533">
            <v>28.67</v>
          </cell>
          <cell r="D533">
            <v>34.7749472</v>
          </cell>
        </row>
        <row r="534">
          <cell r="A534">
            <v>38814</v>
          </cell>
          <cell r="B534">
            <v>0.16944699999999999</v>
          </cell>
          <cell r="C534">
            <v>28.52</v>
          </cell>
          <cell r="D534">
            <v>34.448725420000002</v>
          </cell>
        </row>
        <row r="535">
          <cell r="A535">
            <v>38817</v>
          </cell>
          <cell r="B535">
            <v>0.50017599999999995</v>
          </cell>
          <cell r="C535">
            <v>28.25</v>
          </cell>
          <cell r="D535">
            <v>34.36404031</v>
          </cell>
        </row>
        <row r="536">
          <cell r="A536">
            <v>38818</v>
          </cell>
          <cell r="B536">
            <v>0.165405</v>
          </cell>
          <cell r="C536">
            <v>28.16</v>
          </cell>
          <cell r="D536">
            <v>34.026478079999997</v>
          </cell>
        </row>
        <row r="537">
          <cell r="A537">
            <v>38819</v>
          </cell>
          <cell r="B537">
            <v>0.18048900000000001</v>
          </cell>
          <cell r="C537">
            <v>28.12</v>
          </cell>
          <cell r="D537">
            <v>34.090249659999998</v>
          </cell>
        </row>
        <row r="538">
          <cell r="A538">
            <v>38820</v>
          </cell>
          <cell r="B538">
            <v>0.26223200000000002</v>
          </cell>
          <cell r="C538">
            <v>28.45</v>
          </cell>
          <cell r="D538">
            <v>34.258588930000002</v>
          </cell>
        </row>
        <row r="539">
          <cell r="A539">
            <v>38824</v>
          </cell>
          <cell r="B539">
            <v>0.32834400000000002</v>
          </cell>
          <cell r="C539">
            <v>28.36</v>
          </cell>
          <cell r="D539">
            <v>34.038407640000003</v>
          </cell>
        </row>
        <row r="540">
          <cell r="A540">
            <v>38825</v>
          </cell>
          <cell r="B540">
            <v>0.33676099999999998</v>
          </cell>
          <cell r="C540">
            <v>28.15</v>
          </cell>
          <cell r="D540">
            <v>34.700866130000001</v>
          </cell>
        </row>
        <row r="541">
          <cell r="A541">
            <v>38826</v>
          </cell>
          <cell r="B541">
            <v>0.28986899999999999</v>
          </cell>
          <cell r="C541">
            <v>28.23</v>
          </cell>
          <cell r="D541">
            <v>34.91795458</v>
          </cell>
        </row>
        <row r="542">
          <cell r="A542">
            <v>38827</v>
          </cell>
          <cell r="B542">
            <v>0.23055100000000001</v>
          </cell>
          <cell r="C542">
            <v>28.65</v>
          </cell>
          <cell r="D542">
            <v>34.795271620000001</v>
          </cell>
        </row>
        <row r="543">
          <cell r="A543">
            <v>38828</v>
          </cell>
          <cell r="B543">
            <v>0.23582900000000001</v>
          </cell>
          <cell r="C543">
            <v>27.99</v>
          </cell>
          <cell r="D543">
            <v>34.505280339999999</v>
          </cell>
        </row>
        <row r="544">
          <cell r="A544">
            <v>38831</v>
          </cell>
          <cell r="B544">
            <v>0.195969</v>
          </cell>
          <cell r="C544">
            <v>28.01</v>
          </cell>
          <cell r="D544">
            <v>34.365660370000001</v>
          </cell>
        </row>
        <row r="545">
          <cell r="A545">
            <v>38832</v>
          </cell>
          <cell r="B545">
            <v>0.33526600000000001</v>
          </cell>
          <cell r="C545">
            <v>27.75</v>
          </cell>
          <cell r="D545">
            <v>34.320298600000001</v>
          </cell>
        </row>
        <row r="546">
          <cell r="A546">
            <v>38833</v>
          </cell>
          <cell r="B546">
            <v>0.13861000000000001</v>
          </cell>
          <cell r="C546">
            <v>27.81</v>
          </cell>
          <cell r="D546">
            <v>34.369342330000002</v>
          </cell>
        </row>
        <row r="547">
          <cell r="A547">
            <v>38834</v>
          </cell>
          <cell r="B547">
            <v>0.168207</v>
          </cell>
          <cell r="C547">
            <v>27.67</v>
          </cell>
          <cell r="D547">
            <v>34.536061539999999</v>
          </cell>
        </row>
        <row r="548">
          <cell r="A548">
            <v>38835</v>
          </cell>
          <cell r="B548">
            <v>0.20874599999999999</v>
          </cell>
          <cell r="C548">
            <v>27.59</v>
          </cell>
          <cell r="D548">
            <v>34.20645236</v>
          </cell>
        </row>
        <row r="549">
          <cell r="A549">
            <v>38838</v>
          </cell>
          <cell r="B549">
            <v>0.12425899999999999</v>
          </cell>
          <cell r="C549">
            <v>27.17</v>
          </cell>
          <cell r="D549">
            <v>33.944591260000003</v>
          </cell>
        </row>
        <row r="550">
          <cell r="A550">
            <v>38839</v>
          </cell>
          <cell r="B550">
            <v>0.25153199999999998</v>
          </cell>
          <cell r="C550">
            <v>27.26</v>
          </cell>
          <cell r="D550">
            <v>34.018966880000001</v>
          </cell>
        </row>
        <row r="551">
          <cell r="A551">
            <v>38840</v>
          </cell>
          <cell r="B551">
            <v>0.156778</v>
          </cell>
          <cell r="C551">
            <v>27.13</v>
          </cell>
          <cell r="D551">
            <v>33.932514429999998</v>
          </cell>
        </row>
        <row r="552">
          <cell r="A552">
            <v>38841</v>
          </cell>
          <cell r="B552">
            <v>0.12662999999999999</v>
          </cell>
          <cell r="C552">
            <v>27.6</v>
          </cell>
          <cell r="D552">
            <v>34.226040390000001</v>
          </cell>
        </row>
        <row r="553">
          <cell r="A553">
            <v>38842</v>
          </cell>
          <cell r="B553">
            <v>0.17299100000000001</v>
          </cell>
          <cell r="C553">
            <v>27.69</v>
          </cell>
          <cell r="D553">
            <v>34.501009269999997</v>
          </cell>
        </row>
        <row r="554">
          <cell r="A554">
            <v>38845</v>
          </cell>
          <cell r="B554">
            <v>0.13598099999999999</v>
          </cell>
          <cell r="C554">
            <v>27.31</v>
          </cell>
          <cell r="D554">
            <v>34.536650659999999</v>
          </cell>
        </row>
        <row r="555">
          <cell r="A555">
            <v>38846</v>
          </cell>
          <cell r="B555">
            <v>0.169317</v>
          </cell>
          <cell r="C555">
            <v>27.37</v>
          </cell>
          <cell r="D555">
            <v>34.437384979999997</v>
          </cell>
        </row>
        <row r="556">
          <cell r="A556">
            <v>38847</v>
          </cell>
          <cell r="B556">
            <v>0.11386400000000001</v>
          </cell>
          <cell r="C556">
            <v>27.02</v>
          </cell>
          <cell r="D556">
            <v>34.179500400000002</v>
          </cell>
        </row>
        <row r="557">
          <cell r="A557">
            <v>38848</v>
          </cell>
          <cell r="B557">
            <v>0.44888400000000001</v>
          </cell>
          <cell r="C557">
            <v>26.52</v>
          </cell>
          <cell r="D557">
            <v>33.471974699999997</v>
          </cell>
        </row>
        <row r="558">
          <cell r="A558">
            <v>38849</v>
          </cell>
          <cell r="B558">
            <v>0.19259999999999999</v>
          </cell>
          <cell r="C558">
            <v>25.81</v>
          </cell>
          <cell r="D558">
            <v>33.046045399999997</v>
          </cell>
        </row>
        <row r="559">
          <cell r="A559">
            <v>38852</v>
          </cell>
          <cell r="B559">
            <v>0.465339</v>
          </cell>
          <cell r="C559">
            <v>25.76</v>
          </cell>
          <cell r="D559">
            <v>32.968576929999998</v>
          </cell>
        </row>
        <row r="560">
          <cell r="A560">
            <v>38853</v>
          </cell>
          <cell r="B560">
            <v>0.31956000000000001</v>
          </cell>
          <cell r="C560">
            <v>26.36</v>
          </cell>
          <cell r="D560">
            <v>32.830282459999999</v>
          </cell>
        </row>
        <row r="561">
          <cell r="A561">
            <v>38854</v>
          </cell>
          <cell r="B561">
            <v>0.41977999999999999</v>
          </cell>
          <cell r="C561">
            <v>25.71</v>
          </cell>
          <cell r="D561">
            <v>32.339403369999999</v>
          </cell>
        </row>
        <row r="562">
          <cell r="A562">
            <v>38855</v>
          </cell>
          <cell r="B562">
            <v>0.40531800000000001</v>
          </cell>
          <cell r="C562">
            <v>25.3</v>
          </cell>
          <cell r="D562">
            <v>32.111416319999996</v>
          </cell>
        </row>
        <row r="563">
          <cell r="A563">
            <v>38856</v>
          </cell>
          <cell r="B563">
            <v>1.2213020000000001</v>
          </cell>
          <cell r="C563">
            <v>23.83</v>
          </cell>
          <cell r="D563">
            <v>32.311125910000001</v>
          </cell>
        </row>
        <row r="564">
          <cell r="A564">
            <v>38859</v>
          </cell>
          <cell r="B564">
            <v>0.65685300000000002</v>
          </cell>
          <cell r="C564">
            <v>23.07</v>
          </cell>
          <cell r="D564">
            <v>32.001546589999997</v>
          </cell>
        </row>
        <row r="565">
          <cell r="A565">
            <v>38860</v>
          </cell>
          <cell r="B565">
            <v>0.66522700000000001</v>
          </cell>
          <cell r="C565">
            <v>22.87</v>
          </cell>
          <cell r="D565">
            <v>31.79388397</v>
          </cell>
        </row>
        <row r="566">
          <cell r="A566">
            <v>38861</v>
          </cell>
          <cell r="B566">
            <v>0.76102199999999998</v>
          </cell>
          <cell r="C566">
            <v>23.97</v>
          </cell>
          <cell r="D566">
            <v>31.947200840000001</v>
          </cell>
        </row>
        <row r="567">
          <cell r="A567">
            <v>38862</v>
          </cell>
          <cell r="B567">
            <v>0.47376400000000002</v>
          </cell>
          <cell r="C567">
            <v>24.37</v>
          </cell>
          <cell r="D567">
            <v>32.375339310000001</v>
          </cell>
        </row>
        <row r="568">
          <cell r="A568">
            <v>38863</v>
          </cell>
          <cell r="B568">
            <v>0.17450499999999999</v>
          </cell>
          <cell r="C568">
            <v>24.31</v>
          </cell>
          <cell r="D568">
            <v>32.553988080000003</v>
          </cell>
        </row>
        <row r="569">
          <cell r="A569">
            <v>38867</v>
          </cell>
          <cell r="B569">
            <v>0.25146000000000002</v>
          </cell>
          <cell r="C569">
            <v>23.44</v>
          </cell>
          <cell r="D569">
            <v>31.88195649</v>
          </cell>
        </row>
        <row r="570">
          <cell r="A570">
            <v>38868</v>
          </cell>
          <cell r="B570">
            <v>0.34585300000000002</v>
          </cell>
          <cell r="C570">
            <v>23.28</v>
          </cell>
          <cell r="D570">
            <v>32.090208220000001</v>
          </cell>
        </row>
        <row r="571">
          <cell r="A571">
            <v>38869</v>
          </cell>
          <cell r="B571">
            <v>0.54474500000000003</v>
          </cell>
          <cell r="C571">
            <v>23.95</v>
          </cell>
          <cell r="D571">
            <v>32.693755340000003</v>
          </cell>
        </row>
        <row r="572">
          <cell r="A572">
            <v>38870</v>
          </cell>
          <cell r="B572">
            <v>0.28543600000000002</v>
          </cell>
          <cell r="C572">
            <v>24.44</v>
          </cell>
          <cell r="D572">
            <v>32.68712781</v>
          </cell>
        </row>
        <row r="573">
          <cell r="A573">
            <v>38873</v>
          </cell>
          <cell r="B573">
            <v>0.29059600000000002</v>
          </cell>
          <cell r="C573">
            <v>23.66</v>
          </cell>
          <cell r="D573">
            <v>31.95382837</v>
          </cell>
        </row>
        <row r="574">
          <cell r="A574">
            <v>38874</v>
          </cell>
          <cell r="B574">
            <v>0.20780299999999999</v>
          </cell>
          <cell r="C574">
            <v>23.75</v>
          </cell>
          <cell r="D574">
            <v>31.853089910000001</v>
          </cell>
        </row>
        <row r="575">
          <cell r="A575">
            <v>38875</v>
          </cell>
          <cell r="B575">
            <v>0.275223</v>
          </cell>
          <cell r="C575">
            <v>23.11</v>
          </cell>
          <cell r="D575">
            <v>31.691378159999999</v>
          </cell>
        </row>
        <row r="576">
          <cell r="A576">
            <v>38876</v>
          </cell>
          <cell r="B576">
            <v>0.50606700000000004</v>
          </cell>
          <cell r="C576">
            <v>23.73</v>
          </cell>
          <cell r="D576">
            <v>31.595941719999999</v>
          </cell>
        </row>
        <row r="577">
          <cell r="A577">
            <v>38877</v>
          </cell>
          <cell r="B577">
            <v>0.29159800000000002</v>
          </cell>
          <cell r="C577">
            <v>23.36</v>
          </cell>
          <cell r="D577">
            <v>31.444834029999999</v>
          </cell>
        </row>
        <row r="578">
          <cell r="A578">
            <v>38880</v>
          </cell>
          <cell r="B578">
            <v>0.33863300000000002</v>
          </cell>
          <cell r="C578">
            <v>22.97</v>
          </cell>
          <cell r="D578">
            <v>30.800638060000001</v>
          </cell>
        </row>
        <row r="579">
          <cell r="A579">
            <v>38881</v>
          </cell>
          <cell r="B579">
            <v>1.139157</v>
          </cell>
          <cell r="C579">
            <v>21.97</v>
          </cell>
          <cell r="D579">
            <v>30.52301817</v>
          </cell>
        </row>
        <row r="580">
          <cell r="A580">
            <v>38882</v>
          </cell>
          <cell r="B580">
            <v>1.283147</v>
          </cell>
          <cell r="C580">
            <v>22.08</v>
          </cell>
          <cell r="D580">
            <v>30.722285920000001</v>
          </cell>
        </row>
        <row r="581">
          <cell r="A581">
            <v>38883</v>
          </cell>
          <cell r="B581">
            <v>0.44997599999999999</v>
          </cell>
          <cell r="C581">
            <v>22.46</v>
          </cell>
          <cell r="D581">
            <v>31.578710149999999</v>
          </cell>
        </row>
        <row r="582">
          <cell r="A582">
            <v>38884</v>
          </cell>
          <cell r="B582">
            <v>0.94320700000000002</v>
          </cell>
          <cell r="C582">
            <v>23.21</v>
          </cell>
          <cell r="D582">
            <v>31.369574740000001</v>
          </cell>
        </row>
        <row r="583">
          <cell r="A583">
            <v>38887</v>
          </cell>
          <cell r="B583">
            <v>0.337756</v>
          </cell>
          <cell r="C583">
            <v>22.91</v>
          </cell>
          <cell r="D583">
            <v>31.081939909999999</v>
          </cell>
        </row>
        <row r="584">
          <cell r="A584">
            <v>38888</v>
          </cell>
          <cell r="B584">
            <v>0.80112499999999998</v>
          </cell>
          <cell r="C584">
            <v>22.21</v>
          </cell>
          <cell r="D584">
            <v>31.032454349999998</v>
          </cell>
          <cell r="E584">
            <v>22.91</v>
          </cell>
        </row>
        <row r="585">
          <cell r="A585">
            <v>38889</v>
          </cell>
          <cell r="B585">
            <v>0.467582</v>
          </cell>
          <cell r="C585">
            <v>22.44</v>
          </cell>
          <cell r="D585">
            <v>31.535263</v>
          </cell>
        </row>
        <row r="586">
          <cell r="A586">
            <v>38890</v>
          </cell>
          <cell r="B586">
            <v>0.40724100000000002</v>
          </cell>
          <cell r="C586">
            <v>22.48</v>
          </cell>
          <cell r="D586">
            <v>31.26692165</v>
          </cell>
        </row>
        <row r="587">
          <cell r="A587">
            <v>38891</v>
          </cell>
          <cell r="B587">
            <v>0.317444</v>
          </cell>
          <cell r="C587">
            <v>22.43</v>
          </cell>
          <cell r="D587">
            <v>31.244682610000002</v>
          </cell>
        </row>
        <row r="588">
          <cell r="A588">
            <v>38894</v>
          </cell>
          <cell r="B588">
            <v>0.22563900000000001</v>
          </cell>
          <cell r="C588">
            <v>22.5</v>
          </cell>
          <cell r="D588">
            <v>31.42436232</v>
          </cell>
        </row>
        <row r="589">
          <cell r="A589">
            <v>38895</v>
          </cell>
          <cell r="B589">
            <v>0.55470799999999998</v>
          </cell>
          <cell r="C589">
            <v>22.25</v>
          </cell>
          <cell r="D589">
            <v>30.932157719999999</v>
          </cell>
        </row>
        <row r="590">
          <cell r="A590">
            <v>38896</v>
          </cell>
          <cell r="B590">
            <v>0.37247599999999997</v>
          </cell>
          <cell r="C590">
            <v>22.15</v>
          </cell>
          <cell r="D590">
            <v>31.102853450000001</v>
          </cell>
        </row>
        <row r="591">
          <cell r="A591">
            <v>38897</v>
          </cell>
          <cell r="B591">
            <v>0.26867099999999999</v>
          </cell>
          <cell r="C591">
            <v>22.93</v>
          </cell>
          <cell r="D591">
            <v>32.02393292</v>
          </cell>
        </row>
        <row r="592">
          <cell r="A592">
            <v>38898</v>
          </cell>
          <cell r="B592">
            <v>1.4235070000000001</v>
          </cell>
          <cell r="C592">
            <v>23.41</v>
          </cell>
          <cell r="D592">
            <v>31.990206149999999</v>
          </cell>
        </row>
        <row r="593">
          <cell r="A593">
            <v>38901</v>
          </cell>
          <cell r="B593">
            <v>0.10273699999999999</v>
          </cell>
          <cell r="C593">
            <v>23.45</v>
          </cell>
          <cell r="D593">
            <v>32.260314839999999</v>
          </cell>
        </row>
        <row r="594">
          <cell r="A594">
            <v>38903</v>
          </cell>
          <cell r="B594">
            <v>0.16980500000000001</v>
          </cell>
          <cell r="C594">
            <v>23.2</v>
          </cell>
          <cell r="D594">
            <v>31.714059049999999</v>
          </cell>
        </row>
        <row r="595">
          <cell r="A595">
            <v>38904</v>
          </cell>
          <cell r="B595">
            <v>0.20616200000000001</v>
          </cell>
          <cell r="C595">
            <v>22.92</v>
          </cell>
          <cell r="D595">
            <v>31.73983278</v>
          </cell>
        </row>
        <row r="596">
          <cell r="A596">
            <v>38905</v>
          </cell>
          <cell r="B596">
            <v>0.31983200000000001</v>
          </cell>
          <cell r="C596">
            <v>22.21</v>
          </cell>
          <cell r="D596">
            <v>31.371194800000001</v>
          </cell>
        </row>
        <row r="603">
          <cell r="A603" t="str">
            <v>Data Block for Radar Chart</v>
          </cell>
        </row>
        <row r="604">
          <cell r="A604" t="str">
            <v>X Values</v>
          </cell>
          <cell r="B604" t="str">
            <v>XY (Scatter) 1</v>
          </cell>
          <cell r="C604" t="str">
            <v>_r_Names</v>
          </cell>
        </row>
        <row r="605">
          <cell r="A605">
            <v>1</v>
          </cell>
          <cell r="B605">
            <v>0</v>
          </cell>
          <cell r="C605" t="str">
            <v>DJ</v>
          </cell>
        </row>
        <row r="606">
          <cell r="A606">
            <v>1</v>
          </cell>
          <cell r="B606">
            <v>2.2499999999999999E-2</v>
          </cell>
        </row>
        <row r="607">
          <cell r="A607">
            <v>2</v>
          </cell>
          <cell r="B607">
            <v>2.2499999999999999E-2</v>
          </cell>
          <cell r="C607" t="str">
            <v>SS</v>
          </cell>
        </row>
        <row r="608">
          <cell r="A608">
            <v>2</v>
          </cell>
          <cell r="B608">
            <v>2.75E-2</v>
          </cell>
        </row>
        <row r="609">
          <cell r="A609">
            <v>3</v>
          </cell>
          <cell r="B609">
            <v>2.75E-2</v>
          </cell>
          <cell r="C609" t="str">
            <v>PP</v>
          </cell>
        </row>
        <row r="610">
          <cell r="A610">
            <v>3</v>
          </cell>
          <cell r="B610">
            <v>3.2500000000000001E-2</v>
          </cell>
        </row>
        <row r="611">
          <cell r="A611">
            <v>4</v>
          </cell>
          <cell r="B611">
            <v>3.2500000000000001E-2</v>
          </cell>
          <cell r="C611" t="str">
            <v>QQ</v>
          </cell>
        </row>
        <row r="612">
          <cell r="A612">
            <v>4</v>
          </cell>
          <cell r="B612">
            <v>3.7499999999999999E-2</v>
          </cell>
        </row>
        <row r="613">
          <cell r="A613">
            <v>5</v>
          </cell>
          <cell r="B613">
            <v>3.7499999999999999E-2</v>
          </cell>
          <cell r="C613" t="str">
            <v>RR</v>
          </cell>
        </row>
        <row r="614">
          <cell r="A614">
            <v>5</v>
          </cell>
          <cell r="B614">
            <v>4.2500000000000003E-2</v>
          </cell>
        </row>
        <row r="615">
          <cell r="A615">
            <v>6</v>
          </cell>
          <cell r="B615">
            <v>4.2500000000000003E-2</v>
          </cell>
          <cell r="C615" t="str">
            <v>TT</v>
          </cell>
        </row>
        <row r="618">
          <cell r="A618" t="str">
            <v>Data Block for Radar Chart</v>
          </cell>
        </row>
        <row r="619">
          <cell r="B619" t="str">
            <v>Radar 1</v>
          </cell>
          <cell r="C619" t="str">
            <v>Radar 2</v>
          </cell>
        </row>
        <row r="620">
          <cell r="A620">
            <v>1990</v>
          </cell>
          <cell r="B620">
            <v>25</v>
          </cell>
          <cell r="C620">
            <v>8</v>
          </cell>
        </row>
        <row r="621">
          <cell r="A621">
            <v>1991</v>
          </cell>
          <cell r="B621">
            <v>20</v>
          </cell>
          <cell r="C621">
            <v>17</v>
          </cell>
        </row>
        <row r="622">
          <cell r="A622">
            <v>1992</v>
          </cell>
          <cell r="B622">
            <v>10</v>
          </cell>
          <cell r="C622">
            <v>22</v>
          </cell>
        </row>
        <row r="623">
          <cell r="A623">
            <v>1993</v>
          </cell>
          <cell r="B623">
            <v>17</v>
          </cell>
          <cell r="C623">
            <v>3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tas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 Area CC"/>
      <sheetName val="Cust Req"/>
      <sheetName val="GENERAL"/>
      <sheetName val="AKN"/>
      <sheetName val="BCS"/>
      <sheetName val="CJJ"/>
      <sheetName val="KD"/>
      <sheetName val="MJ"/>
      <sheetName val="MBJ"/>
      <sheetName val="SAT"/>
      <sheetName val="SJP"/>
      <sheetName val="SKN"/>
      <sheetName val="SPU"/>
      <sheetName val="TJ"/>
      <sheetName val="TRJ"/>
      <sheetName val="PT K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I"/>
      <sheetName val="Syntegra"/>
      <sheetName val="SSI"/>
      <sheetName val="PDCC"/>
      <sheetName val="UK"/>
      <sheetName val="SPI GMBH"/>
      <sheetName val="Exc. Rate"/>
      <sheetName val="FA sd APRIL 07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I"/>
      <sheetName val="FA sd APRIL 07"/>
      <sheetName val="PDCC"/>
      <sheetName val="SPI GMBH"/>
      <sheetName val="UK"/>
      <sheetName val="SSI"/>
      <sheetName val="Syntegra"/>
      <sheetName val="TB98,oct99&amp;sap99-WPL"/>
      <sheetName val="Neraca detail per book"/>
      <sheetName val="SD"/>
      <sheetName val="Cashflow Cons MTM-10-"/>
      <sheetName val="Interest Exp MTM-23-"/>
      <sheetName val="Forex Principal MTM -26-"/>
      <sheetName val="Forex Exp MTM -28-"/>
      <sheetName val="Sales &amp; GM-Cons-12-"/>
      <sheetName val="mapping2"/>
      <sheetName val="E-1-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COA"/>
      <sheetName val="TB Mapping"/>
      <sheetName val="Cover"/>
      <sheetName val="Content"/>
      <sheetName val="Reimbursement"/>
      <sheetName val="summary"/>
      <sheetName val="Ratio-1A-"/>
      <sheetName val="ROCE-1B- "/>
      <sheetName val="Summary-"/>
      <sheetName val="Summ OS Cons-3-"/>
      <sheetName val="Summ BS Cons-4- "/>
      <sheetName val="Summ RE Cons-5- "/>
      <sheetName val="OS By Comp-CM-6-"/>
      <sheetName val="OS By Overs Comp-CM-6A-"/>
      <sheetName val="OS By Comp-YTD-7-"/>
      <sheetName val="OS By Overs Comp-YTD-7A-"/>
      <sheetName val="BS By Comp-8-"/>
      <sheetName val="BS By Overs Comp-8A-"/>
      <sheetName val="RE By Comp-9-"/>
      <sheetName val="RE By Overs Comp-9A-"/>
      <sheetName val="Detail CF"/>
      <sheetName val="Cashflow Cons MTM-10-"/>
      <sheetName val="CF By Comp CM-11-"/>
      <sheetName val="Sales &amp; GM-Cons-12-"/>
      <sheetName val="Sales &amp; GM-By Comp CM-13-"/>
      <sheetName val="Sales &amp; GM-By Comp YTD-14-"/>
      <sheetName val="Summ Sell Exp-Cons-15-"/>
      <sheetName val="Sell Exp By Comp CM-16-"/>
      <sheetName val="Sell Exp By Comp YTD-17-"/>
      <sheetName val="Summ G&amp;A Exp Cons-18-"/>
      <sheetName val="G&amp;A Exp By Comp CM-19-"/>
      <sheetName val="G&amp;A Exp By Comp YTD-20-"/>
      <sheetName val="Interest Principle MTM-21-"/>
      <sheetName val="Interest Principle by Comp-22-"/>
      <sheetName val="Interest Exp MTM-23-"/>
      <sheetName val="Int Exp By Comp CM-24-"/>
      <sheetName val="Int Exp By Comp YTD-25-"/>
      <sheetName val="Forex Principal MTM -26-"/>
      <sheetName val="Forex Principal-By Comp-27-"/>
      <sheetName val="Forex Exp MTM -28-"/>
      <sheetName val="Forex Exp By Comp CM-29-"/>
      <sheetName val="Forex Exp By Comp YTD-30-"/>
      <sheetName val="Fixed Assets-31-"/>
      <sheetName val="SALES &amp; COGS Internal"/>
      <sheetName val="PURCHASE INTERCOMPANY"/>
      <sheetName val="Disposal"/>
      <sheetName val="Sheet2"/>
      <sheetName val="PVT TB"/>
      <sheetName val="TB-SPS"/>
      <sheetName val="IS-fs"/>
      <sheetName val="DBS"/>
      <sheetName val="BUDGET 2011"/>
      <sheetName val="BUDGET-OS 2012"/>
      <sheetName val="BUDGET-Sales Exp 2012"/>
      <sheetName val="BUDGET-GA Exp 20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3">
          <cell r="F3">
            <v>41029</v>
          </cell>
          <cell r="K3">
            <v>41182</v>
          </cell>
          <cell r="M3">
            <v>41243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</sheetNames>
    <sheetDataSet>
      <sheetData sheetId="0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総括"/>
      <sheetName val="方針"/>
      <sheetName val="分析 上期"/>
      <sheetName val="分析 下期"/>
      <sheetName val="分析 下期･前年比"/>
      <sheetName val="分析 年間･当初計画比(概況1の2)"/>
      <sheetName val="分析 年間･前年比(概況1の3)"/>
      <sheetName val="月別収支(概況2) (2)"/>
      <sheetName val="月別収支(概況2)"/>
      <sheetName val="ﾙｰﾄ別販売(概況3)"/>
      <sheetName val="人員推移(概況4)"/>
      <sheetName val="引当金(概況5)"/>
      <sheetName val="連結取引(概況6)"/>
      <sheetName val="設備投資(概況7)"/>
      <sheetName val="外貨建取引(概況8)"/>
      <sheetName val="生販在推移(集計01) "/>
      <sheetName val="生販計画(集計02) "/>
      <sheetName val="収支表(集計03) "/>
      <sheetName val="直労･販直･営業外(集計04) "/>
      <sheetName val="製造間接(集計05) "/>
      <sheetName val="一般管理(集計06) "/>
      <sheetName val="資金繰(集計07) "/>
      <sheetName val="回収支払(集計08) "/>
      <sheetName val="比較ＢＳ(集計09) "/>
      <sheetName val="借入･返済(集計10) "/>
      <sheetName val="収支表(販売Ｊ) (2)"/>
      <sheetName val="収支表(販売Ｊ)"/>
      <sheetName val="ルート別販売(販売Ｊ)"/>
      <sheetName val="商品別販売(販売Ｊ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2">
          <cell r="H32">
            <v>310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 ADMIN"/>
      <sheetName val="Ex_Rate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SPI"/>
      <sheetName val="LTLGroup-Trans"/>
      <sheetName val="TB-WP"/>
      <sheetName val="E-1-1"/>
      <sheetName val="DbKt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 ADMIN"/>
      <sheetName val="Ex_Rate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SPI"/>
      <sheetName val="LTLGroup-Trans"/>
      <sheetName val="TB-WP"/>
      <sheetName val="E-1-1"/>
      <sheetName val="DbKtr"/>
      <sheetName val="LTLGroup"/>
      <sheetName val="WBS1"/>
      <sheetName val="FA sd APRIL 07"/>
      <sheetName val="#REF"/>
      <sheetName val="BS final"/>
      <sheetName val="Checker"/>
      <sheetName val="Ekuitas"/>
      <sheetName val="Rates"/>
      <sheetName val="Sheet2"/>
      <sheetName val="HEADER"/>
      <sheetName val="N"/>
      <sheetName val="F1771-III"/>
      <sheetName val="3. Neraca dan RL"/>
      <sheetName val="TotalReqPM"/>
      <sheetName val="DATA WP"/>
      <sheetName val="NY_ADMIN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FA_sd_APRIL_07"/>
      <sheetName val="BS_final"/>
      <sheetName val="Income Statement"/>
      <sheetName val="BT"/>
      <sheetName val="BUDGET_1999"/>
      <sheetName val="GeneralInfo"/>
      <sheetName val="loan 1"/>
      <sheetName val="Summary"/>
      <sheetName val="Journal Template"/>
      <sheetName val="ME ADJ entries WI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12src2"/>
      <sheetName val="SELISIHKURSSOURCE"/>
      <sheetName val="412"/>
      <sheetName val="KLU"/>
      <sheetName val="Kon"/>
      <sheetName val="Sheet1"/>
      <sheetName val="DbKtr Br"/>
      <sheetName val="DbKantor"/>
      <sheetName val="DbTFPP"/>
      <sheetName val="DbPem"/>
      <sheetName val="Kriteria"/>
      <sheetName val="SPP"/>
      <sheetName val="DaKor"/>
      <sheetName val="Tarif"/>
      <sheetName val="Tarif SPT"/>
      <sheetName val="Indeks"/>
      <sheetName val="LPLPP"/>
      <sheetName val="Simbol"/>
      <sheetName val="Kop"/>
    </sheetNames>
    <sheetDataSet>
      <sheetData sheetId="0" refreshError="1">
        <row r="390">
          <cell r="B390" t="str">
            <v>a. Penjualan ( + )</v>
          </cell>
        </row>
        <row r="771">
          <cell r="B771" t="str">
            <v>b. Penjualan yang tidak dilaporkan</v>
          </cell>
        </row>
      </sheetData>
      <sheetData sheetId="1" refreshError="1">
        <row r="787">
          <cell r="D787" t="str">
            <v>Short Term Loan MBB II</v>
          </cell>
        </row>
        <row r="868">
          <cell r="D868" t="str">
            <v>Pencairan LTL From MBB 6409 to BOTM</v>
          </cell>
        </row>
        <row r="899">
          <cell r="D899" t="str">
            <v>Short Term Loan MBB I</v>
          </cell>
        </row>
        <row r="930">
          <cell r="D930" t="str">
            <v>LTL MBB $ 3.375.000</v>
          </cell>
        </row>
      </sheetData>
      <sheetData sheetId="2" refreshError="1">
        <row r="21">
          <cell r="J21">
            <v>884333984.65999997</v>
          </cell>
        </row>
        <row r="406">
          <cell r="J406">
            <v>3216925786.0086207</v>
          </cell>
        </row>
        <row r="410">
          <cell r="J410">
            <v>2267000000</v>
          </cell>
        </row>
        <row r="411">
          <cell r="J411">
            <v>7651125000</v>
          </cell>
        </row>
        <row r="418">
          <cell r="J418">
            <v>1211062500</v>
          </cell>
        </row>
        <row r="447">
          <cell r="J447">
            <v>5680428847.4690199</v>
          </cell>
        </row>
        <row r="525">
          <cell r="J525">
            <v>7932198330.3483706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-2"/>
      <sheetName val="rekap impor"/>
      <sheetName val="B-2.2"/>
      <sheetName val="Teliti"/>
      <sheetName val="Konf"/>
      <sheetName val="Danamon-Tng+Tgr Bdr"/>
      <sheetName val="Konf-Mandiri OK"/>
      <sheetName val="Konf-BNI Cargo OK"/>
      <sheetName val="Konf-Tokai OK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P"/>
      <sheetName val="Lamp"/>
      <sheetName val="Perst"/>
      <sheetName val="NH"/>
      <sheetName val="KOR"/>
      <sheetName val="UR"/>
      <sheetName val="US"/>
      <sheetName val="PK"/>
      <sheetName val="PPNT"/>
      <sheetName val="ANL"/>
      <sheetName val="PB"/>
      <sheetName val="INT"/>
      <sheetName val="A2"/>
      <sheetName val="A1"/>
      <sheetName val="Sheet14"/>
      <sheetName val="Sheet15"/>
      <sheetName val="Sheet16"/>
      <sheetName val="P-PPN"/>
      <sheetName val="rekap impor"/>
      <sheetName val="DbK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Garbage"/>
      <sheetName val="Rate"/>
      <sheetName val="Opening"/>
      <sheetName val="Account"/>
      <sheetName val="IDR"/>
      <sheetName val="USD"/>
      <sheetName val="P&amp;L"/>
      <sheetName val="P&amp;L short"/>
      <sheetName val="P&amp;L Sum"/>
      <sheetName val="BS"/>
      <sheetName val="BS short"/>
      <sheetName val="BS Sum"/>
    </sheetNames>
    <sheetDataSet>
      <sheetData sheetId="0"/>
      <sheetData sheetId="1"/>
      <sheetData sheetId="2"/>
      <sheetData sheetId="3"/>
      <sheetData sheetId="4">
        <row r="1">
          <cell r="A1" t="str">
            <v>ACCOUNT</v>
          </cell>
          <cell r="B1" t="str">
            <v>DESCRIPTION</v>
          </cell>
        </row>
        <row r="2">
          <cell r="A2" t="str">
            <v>0100-REV-01</v>
          </cell>
          <cell r="B2" t="str">
            <v>PRODUCT</v>
          </cell>
        </row>
        <row r="3">
          <cell r="A3" t="str">
            <v>0100-REV-02</v>
          </cell>
          <cell r="B3" t="str">
            <v>REPAIR &amp; SERVICES</v>
          </cell>
        </row>
        <row r="4">
          <cell r="A4" t="str">
            <v>0100-REV-03</v>
          </cell>
          <cell r="B4" t="str">
            <v>SPAREPARTS</v>
          </cell>
        </row>
        <row r="5">
          <cell r="A5" t="str">
            <v>0100-REV-04</v>
          </cell>
          <cell r="B5" t="str">
            <v>TRANSPORTATION CHARGES</v>
          </cell>
        </row>
        <row r="6">
          <cell r="A6" t="str">
            <v>0100-REV-99</v>
          </cell>
          <cell r="B6" t="str">
            <v>OTHERS</v>
          </cell>
        </row>
        <row r="7">
          <cell r="A7" t="str">
            <v>0200-CGS-01</v>
          </cell>
          <cell r="B7" t="str">
            <v>PRODUCTS</v>
          </cell>
        </row>
        <row r="8">
          <cell r="A8" t="str">
            <v>0200-CGS-02</v>
          </cell>
          <cell r="B8" t="str">
            <v>REPAIR &amp; SERVICES</v>
          </cell>
        </row>
        <row r="9">
          <cell r="A9" t="str">
            <v>0200-CGS-03</v>
          </cell>
          <cell r="B9" t="str">
            <v>SPAREPARTS</v>
          </cell>
        </row>
        <row r="10">
          <cell r="A10" t="str">
            <v>0200-CGS-04</v>
          </cell>
          <cell r="B10" t="str">
            <v>OTHERS</v>
          </cell>
        </row>
        <row r="11">
          <cell r="A11" t="str">
            <v>0200-CGS-05</v>
          </cell>
          <cell r="B11" t="str">
            <v>ROYALTY</v>
          </cell>
        </row>
        <row r="12">
          <cell r="A12" t="str">
            <v>0300-CGS-01</v>
          </cell>
          <cell r="B12" t="str">
            <v>SUBCONTRACTORS</v>
          </cell>
        </row>
        <row r="13">
          <cell r="A13" t="str">
            <v>0300-CGS-02</v>
          </cell>
          <cell r="B13" t="str">
            <v>TECHNOLOGY</v>
          </cell>
        </row>
        <row r="14">
          <cell r="A14" t="str">
            <v>0300-CGS-03</v>
          </cell>
          <cell r="B14" t="str">
            <v>TRANSPORTATIONS</v>
          </cell>
        </row>
        <row r="15">
          <cell r="A15" t="str">
            <v>0300-CGS-04</v>
          </cell>
          <cell r="B15" t="str">
            <v>INSURANCE</v>
          </cell>
        </row>
        <row r="16">
          <cell r="A16" t="str">
            <v>0300-CGS-05</v>
          </cell>
          <cell r="B16" t="str">
            <v>PROJECT FINANCING</v>
          </cell>
        </row>
        <row r="17">
          <cell r="A17" t="str">
            <v>0300-CGS-06</v>
          </cell>
          <cell r="B17" t="str">
            <v>ADMINISTRATIVE</v>
          </cell>
        </row>
        <row r="18">
          <cell r="A18" t="str">
            <v>0300-CGS-07</v>
          </cell>
          <cell r="B18" t="str">
            <v>OTHERS - LOCAL</v>
          </cell>
        </row>
        <row r="19">
          <cell r="A19" t="str">
            <v>0400-CNB-01</v>
          </cell>
          <cell r="B19" t="str">
            <v>SALARIES &amp; WAGES</v>
          </cell>
        </row>
        <row r="20">
          <cell r="A20" t="str">
            <v>0400-CNB-02</v>
          </cell>
          <cell r="B20" t="str">
            <v>OVERTIME</v>
          </cell>
        </row>
        <row r="21">
          <cell r="A21" t="str">
            <v>0400-CNB-03</v>
          </cell>
          <cell r="B21" t="str">
            <v>FRINGES - BONUSES</v>
          </cell>
        </row>
        <row r="22">
          <cell r="A22" t="str">
            <v>0400-CNB-04</v>
          </cell>
          <cell r="B22" t="str">
            <v>FEDERAL  INSURANCE CONTRIBUTION</v>
          </cell>
        </row>
        <row r="23">
          <cell r="A23" t="str">
            <v>0400-CNB-05</v>
          </cell>
          <cell r="B23" t="str">
            <v>MEDICAL ALLOWANCE</v>
          </cell>
        </row>
        <row r="24">
          <cell r="A24" t="str">
            <v>0400-CNB-06</v>
          </cell>
          <cell r="B24" t="str">
            <v>FRINGES - MEDICAL INSURANCE</v>
          </cell>
        </row>
        <row r="25">
          <cell r="A25" t="str">
            <v>0400-CNB-07</v>
          </cell>
          <cell r="B25" t="str">
            <v>TAX EXPENSES - PPH21</v>
          </cell>
        </row>
        <row r="26">
          <cell r="A26" t="str">
            <v>0400-CNB-08</v>
          </cell>
          <cell r="B26" t="str">
            <v>PENSION &amp; RETIREMENT</v>
          </cell>
        </row>
        <row r="27">
          <cell r="A27" t="str">
            <v>0400-CNB-99</v>
          </cell>
          <cell r="B27" t="str">
            <v>OTHER BENEFITS</v>
          </cell>
        </row>
        <row r="28">
          <cell r="A28" t="str">
            <v>0450-TNL-01</v>
          </cell>
          <cell r="B28" t="str">
            <v>TRANSPORTATION</v>
          </cell>
        </row>
        <row r="29">
          <cell r="A29" t="str">
            <v>0450-TNL-02</v>
          </cell>
          <cell r="B29" t="str">
            <v>HOTEL &amp; ACCOMODATION</v>
          </cell>
        </row>
        <row r="30">
          <cell r="A30" t="str">
            <v>0450-TNL-03</v>
          </cell>
          <cell r="B30" t="str">
            <v>MEALS &amp; BEVERAGES</v>
          </cell>
        </row>
        <row r="31">
          <cell r="A31" t="str">
            <v>0450-TNL-04</v>
          </cell>
          <cell r="B31" t="str">
            <v>COMMUNICATION</v>
          </cell>
        </row>
        <row r="32">
          <cell r="A32" t="str">
            <v>0450-TNL-99</v>
          </cell>
          <cell r="B32" t="str">
            <v>OTHERS</v>
          </cell>
        </row>
        <row r="33">
          <cell r="A33" t="str">
            <v>0500-MKT-01</v>
          </cell>
          <cell r="B33" t="str">
            <v>ADVERTISING &amp; PROMOTION</v>
          </cell>
        </row>
        <row r="34">
          <cell r="A34" t="str">
            <v>0500-MKT-02</v>
          </cell>
          <cell r="B34" t="str">
            <v>TRANSPORTATION</v>
          </cell>
        </row>
        <row r="35">
          <cell r="A35" t="str">
            <v>0500-MKT-03</v>
          </cell>
          <cell r="B35" t="str">
            <v>ENTERTAINMENT</v>
          </cell>
        </row>
        <row r="36">
          <cell r="A36" t="str">
            <v>0500-MKT-04</v>
          </cell>
          <cell r="B36" t="str">
            <v>HOTEL &amp; ACCOMODATION</v>
          </cell>
        </row>
        <row r="37">
          <cell r="A37" t="str">
            <v>0500-MKT-05</v>
          </cell>
          <cell r="B37" t="str">
            <v>MEALS &amp; BEVERAGES</v>
          </cell>
        </row>
        <row r="38">
          <cell r="A38" t="str">
            <v>0500-MKT-06</v>
          </cell>
          <cell r="B38" t="str">
            <v>COMMUNICATION</v>
          </cell>
        </row>
        <row r="39">
          <cell r="A39" t="str">
            <v>0500-MKT-07</v>
          </cell>
          <cell r="B39" t="str">
            <v>GIFT &amp; DONATION</v>
          </cell>
        </row>
        <row r="40">
          <cell r="A40" t="str">
            <v>0500-MKT-08</v>
          </cell>
          <cell r="B40" t="str">
            <v>CUSTOMER SERVICE</v>
          </cell>
        </row>
        <row r="41">
          <cell r="A41" t="str">
            <v>0500-MKT-99</v>
          </cell>
          <cell r="B41" t="str">
            <v>OTHERS</v>
          </cell>
        </row>
        <row r="42">
          <cell r="A42" t="str">
            <v>0550-HRD-01</v>
          </cell>
          <cell r="B42" t="str">
            <v>TRAINING FEE</v>
          </cell>
        </row>
        <row r="43">
          <cell r="A43" t="str">
            <v>0550-HRD-02</v>
          </cell>
          <cell r="B43" t="str">
            <v>TRAVEL &amp; LIVING</v>
          </cell>
        </row>
        <row r="44">
          <cell r="A44" t="str">
            <v>0550-HRD-03</v>
          </cell>
          <cell r="B44" t="str">
            <v>POTENTIAL CANDIDATE EXPENSES</v>
          </cell>
        </row>
        <row r="45">
          <cell r="A45" t="str">
            <v>0550-HRD-04</v>
          </cell>
          <cell r="B45" t="str">
            <v>TEMPORARY EMPLOYEE EXPENSES</v>
          </cell>
        </row>
        <row r="46">
          <cell r="A46" t="str">
            <v>0550-HRD-99</v>
          </cell>
          <cell r="B46" t="str">
            <v>OTHERS</v>
          </cell>
        </row>
        <row r="47">
          <cell r="A47" t="str">
            <v>0600-RNT-01</v>
          </cell>
          <cell r="B47" t="str">
            <v>OFFICE SPACE</v>
          </cell>
        </row>
        <row r="48">
          <cell r="A48" t="str">
            <v>0600-RNT-02</v>
          </cell>
          <cell r="B48" t="str">
            <v>VEHICLES</v>
          </cell>
        </row>
        <row r="49">
          <cell r="A49" t="str">
            <v>0600-RNT-03</v>
          </cell>
          <cell r="B49" t="str">
            <v>OFFICE EQUIPMENT</v>
          </cell>
        </row>
        <row r="50">
          <cell r="A50" t="str">
            <v>0600-RNT-99</v>
          </cell>
          <cell r="B50" t="str">
            <v>OTHERS</v>
          </cell>
        </row>
        <row r="51">
          <cell r="A51" t="str">
            <v>0650-UTI-01</v>
          </cell>
          <cell r="B51" t="str">
            <v>ELECTRICITY</v>
          </cell>
        </row>
        <row r="52">
          <cell r="A52" t="str">
            <v>0650-UTI-02</v>
          </cell>
          <cell r="B52" t="str">
            <v>TELEPHONE</v>
          </cell>
        </row>
        <row r="53">
          <cell r="A53" t="str">
            <v>0650-UTI-99</v>
          </cell>
          <cell r="B53" t="str">
            <v>OTHERS</v>
          </cell>
        </row>
        <row r="54">
          <cell r="A54" t="str">
            <v>0700-PRV-01</v>
          </cell>
          <cell r="B54" t="str">
            <v>EMPLOYMENT AGENCY</v>
          </cell>
        </row>
        <row r="55">
          <cell r="A55" t="str">
            <v>0700-PRV-02</v>
          </cell>
          <cell r="B55" t="str">
            <v>L E G A L</v>
          </cell>
        </row>
        <row r="56">
          <cell r="A56" t="str">
            <v>0700-PRV-03</v>
          </cell>
          <cell r="B56" t="str">
            <v>A U D I T</v>
          </cell>
        </row>
        <row r="57">
          <cell r="A57" t="str">
            <v>0700-PRV-99</v>
          </cell>
          <cell r="B57" t="str">
            <v>OTHERS</v>
          </cell>
        </row>
        <row r="58">
          <cell r="A58" t="str">
            <v>0750-ADM-01</v>
          </cell>
          <cell r="B58" t="str">
            <v>OFFICE EQUIPMENT</v>
          </cell>
        </row>
        <row r="59">
          <cell r="A59" t="str">
            <v>0750-ADM-02</v>
          </cell>
          <cell r="B59" t="str">
            <v>REPAIR &amp; SERVICE</v>
          </cell>
        </row>
        <row r="60">
          <cell r="A60" t="str">
            <v>0750-ADM-03</v>
          </cell>
          <cell r="B60" t="str">
            <v>OFFICE SUPPLIES</v>
          </cell>
        </row>
        <row r="61">
          <cell r="A61" t="str">
            <v>0750-ADM-04</v>
          </cell>
          <cell r="B61" t="str">
            <v>MAIL &amp; COURIER</v>
          </cell>
        </row>
        <row r="62">
          <cell r="A62" t="str">
            <v>0750-ADM-05</v>
          </cell>
          <cell r="B62" t="str">
            <v>DUTY STAMP</v>
          </cell>
        </row>
        <row r="63">
          <cell r="A63" t="str">
            <v>0750-ADM-06</v>
          </cell>
          <cell r="B63" t="str">
            <v>BANK ADMINISTRATIVE</v>
          </cell>
        </row>
        <row r="64">
          <cell r="A64" t="str">
            <v>0750-ADM-07</v>
          </cell>
          <cell r="B64" t="str">
            <v>ACCRUED EXPENSES</v>
          </cell>
        </row>
        <row r="65">
          <cell r="A65" t="str">
            <v>0750-ADM-08</v>
          </cell>
          <cell r="B65" t="str">
            <v>ADMINISTRATIVE COST - FSE</v>
          </cell>
        </row>
        <row r="66">
          <cell r="A66" t="str">
            <v>0750-ADM-09</v>
          </cell>
          <cell r="B66" t="str">
            <v>TRANSPORTATION EXPENSE</v>
          </cell>
        </row>
        <row r="67">
          <cell r="A67" t="str">
            <v>0750-ADM-10</v>
          </cell>
          <cell r="B67" t="str">
            <v>CAR EXPENSE</v>
          </cell>
        </row>
        <row r="68">
          <cell r="A68" t="str">
            <v>0750-ADM-11</v>
          </cell>
          <cell r="B68" t="str">
            <v>OVERTIME MEALS</v>
          </cell>
        </row>
        <row r="69">
          <cell r="A69" t="str">
            <v>0750-ADM-12</v>
          </cell>
          <cell r="B69" t="str">
            <v>ENTERTAINMENT</v>
          </cell>
        </row>
        <row r="70">
          <cell r="A70" t="str">
            <v>0750-ADM-13</v>
          </cell>
          <cell r="B70" t="str">
            <v>LEASEHOLD EXPENSE</v>
          </cell>
        </row>
        <row r="71">
          <cell r="A71" t="str">
            <v>0750-ADM-14</v>
          </cell>
          <cell r="B71" t="str">
            <v>REPAIR &amp; SERVICE OFFICE BLD</v>
          </cell>
        </row>
        <row r="72">
          <cell r="A72" t="str">
            <v>0750-ADM-15</v>
          </cell>
          <cell r="B72" t="str">
            <v>LIFE INSURANCE</v>
          </cell>
        </row>
        <row r="73">
          <cell r="A73" t="str">
            <v>0750-ADM-16</v>
          </cell>
          <cell r="B73" t="str">
            <v>MEDICAL INSURANCE</v>
          </cell>
        </row>
        <row r="74">
          <cell r="A74" t="str">
            <v>0750-ADM-17</v>
          </cell>
          <cell r="B74" t="str">
            <v>CAR INSURANCE</v>
          </cell>
        </row>
        <row r="75">
          <cell r="A75" t="str">
            <v>0750-ADM-18</v>
          </cell>
          <cell r="B75" t="str">
            <v>FIRE INSURANCE</v>
          </cell>
        </row>
        <row r="76">
          <cell r="A76" t="str">
            <v>0750-ADM-19</v>
          </cell>
          <cell r="B76" t="str">
            <v>LOCO TESTING EXPENSES</v>
          </cell>
        </row>
        <row r="77">
          <cell r="A77" t="str">
            <v>0750-ADM-20</v>
          </cell>
          <cell r="B77" t="str">
            <v>ROYALTY FEE</v>
          </cell>
        </row>
        <row r="78">
          <cell r="A78" t="str">
            <v>0750-ADM-21</v>
          </cell>
          <cell r="B78" t="str">
            <v>CAR EXPENSE</v>
          </cell>
        </row>
        <row r="79">
          <cell r="A79" t="str">
            <v>0750-ADM-22</v>
          </cell>
          <cell r="B79" t="str">
            <v>PERMIT &amp; LICENSE</v>
          </cell>
        </row>
        <row r="80">
          <cell r="A80" t="str">
            <v>0750-ADM-99</v>
          </cell>
          <cell r="B80" t="str">
            <v>OTHERS</v>
          </cell>
        </row>
        <row r="81">
          <cell r="A81" t="str">
            <v>0750-REV-99</v>
          </cell>
          <cell r="B81" t="str">
            <v>OTHER NON-OPS INCOME</v>
          </cell>
        </row>
        <row r="82">
          <cell r="A82" t="str">
            <v>0750-TAX-01</v>
          </cell>
          <cell r="B82" t="str">
            <v>ADMINISTRATIVE &amp; TAX FINALTY</v>
          </cell>
        </row>
        <row r="83">
          <cell r="A83" t="str">
            <v>0750-TAX-99</v>
          </cell>
          <cell r="B83" t="str">
            <v>OTHERS - NON-DEDUCTIBLE TAX</v>
          </cell>
        </row>
        <row r="84">
          <cell r="A84" t="str">
            <v>0800-AMR-99</v>
          </cell>
          <cell r="B84" t="str">
            <v>AMORTIZATION</v>
          </cell>
        </row>
        <row r="85">
          <cell r="A85" t="str">
            <v>0800-DEP-99</v>
          </cell>
          <cell r="B85" t="str">
            <v>DEPRECIATION</v>
          </cell>
        </row>
        <row r="86">
          <cell r="A86" t="str">
            <v>0850-INT-01</v>
          </cell>
          <cell r="B86" t="str">
            <v>INTEREST EXPENSE</v>
          </cell>
        </row>
        <row r="87">
          <cell r="A87" t="str">
            <v>0850-INT-02</v>
          </cell>
          <cell r="B87" t="str">
            <v>INTEREST INCOMES</v>
          </cell>
        </row>
        <row r="88">
          <cell r="A88" t="str">
            <v>0850-NOE-01</v>
          </cell>
          <cell r="B88" t="str">
            <v>BANK CHARGES - NOE</v>
          </cell>
        </row>
        <row r="89">
          <cell r="A89" t="str">
            <v>0850-NOE-02</v>
          </cell>
          <cell r="B89" t="str">
            <v>OTHER EXPENSES - NOE</v>
          </cell>
        </row>
        <row r="90">
          <cell r="A90" t="str">
            <v>0900-FXC-01</v>
          </cell>
          <cell r="B90" t="str">
            <v>UNREALIZED FX GAIN/LOSS</v>
          </cell>
        </row>
        <row r="91">
          <cell r="A91" t="str">
            <v>0900-FXC-02</v>
          </cell>
          <cell r="B91" t="str">
            <v>REALIZED FX GAIN/LOSS</v>
          </cell>
        </row>
        <row r="92">
          <cell r="A92" t="str">
            <v>1000-100-01</v>
          </cell>
          <cell r="B92" t="str">
            <v>CITIBANK - JAKARTA (IDR)</v>
          </cell>
        </row>
        <row r="93">
          <cell r="A93" t="str">
            <v>1000-100-02</v>
          </cell>
          <cell r="B93" t="str">
            <v>CITIBANK - JAKARTA (USD)</v>
          </cell>
        </row>
        <row r="94">
          <cell r="A94" t="str">
            <v>1000-100-03</v>
          </cell>
          <cell r="B94" t="str">
            <v>PETTY CASH - JAKARTA</v>
          </cell>
        </row>
        <row r="95">
          <cell r="A95" t="str">
            <v>1000-100-04</v>
          </cell>
          <cell r="B95" t="str">
            <v>PETTY CASH - MADIUN</v>
          </cell>
        </row>
        <row r="96">
          <cell r="A96" t="str">
            <v>1000-100-05</v>
          </cell>
          <cell r="B96" t="str">
            <v>BANK DANAMON - MADIUN (IDR)</v>
          </cell>
        </row>
        <row r="97">
          <cell r="A97" t="str">
            <v>1000-100-06</v>
          </cell>
          <cell r="B97" t="str">
            <v>SAKURA BANK - SINGAPORE (USD)</v>
          </cell>
        </row>
        <row r="99">
          <cell r="A99" t="str">
            <v>1000-100-07</v>
          </cell>
          <cell r="B99" t="str">
            <v>CASH IN TRANSIT</v>
          </cell>
        </row>
        <row r="100">
          <cell r="A100" t="str">
            <v>1100-100-01</v>
          </cell>
          <cell r="B100" t="str">
            <v>TRADE RECEIVABLES</v>
          </cell>
        </row>
        <row r="101">
          <cell r="A101" t="str">
            <v>1100-100-02</v>
          </cell>
          <cell r="B101" t="str">
            <v>OTHER RECEIVABLES</v>
          </cell>
        </row>
        <row r="102">
          <cell r="A102" t="str">
            <v>1100-100-03</v>
          </cell>
          <cell r="B102" t="str">
            <v>INTERCO RECEIVABLES</v>
          </cell>
        </row>
        <row r="103">
          <cell r="A103" t="str">
            <v>1100-100-04</v>
          </cell>
          <cell r="B103" t="str">
            <v>PROGRES COLLECTION</v>
          </cell>
        </row>
        <row r="104">
          <cell r="A104" t="str">
            <v>1100-100-99</v>
          </cell>
          <cell r="B104" t="str">
            <v>RECEIVABLE - SUSPENSE</v>
          </cell>
        </row>
        <row r="105">
          <cell r="A105" t="str">
            <v>1200-110-01</v>
          </cell>
          <cell r="B105" t="str">
            <v>INVENTORY - FINISHED PRODUCT</v>
          </cell>
        </row>
        <row r="106">
          <cell r="A106" t="str">
            <v>1200-110-02</v>
          </cell>
          <cell r="B106" t="str">
            <v>INVENTORY - PARTS &amp; COMPONENTS</v>
          </cell>
        </row>
        <row r="107">
          <cell r="A107" t="str">
            <v>1200-110-03</v>
          </cell>
          <cell r="B107" t="str">
            <v>INVENTORY - SUBCONTRACTORS</v>
          </cell>
        </row>
        <row r="108">
          <cell r="A108" t="str">
            <v>1200-110-04</v>
          </cell>
          <cell r="B108" t="str">
            <v>INVENTORY - FREIGHTS</v>
          </cell>
        </row>
        <row r="109">
          <cell r="A109" t="str">
            <v>1200-110-05</v>
          </cell>
          <cell r="B109" t="str">
            <v>INVENTORY - INSURANCE</v>
          </cell>
        </row>
        <row r="110">
          <cell r="A110" t="str">
            <v>1200-110-06</v>
          </cell>
          <cell r="B110" t="str">
            <v>INVENTORY - OVERHEAD</v>
          </cell>
        </row>
        <row r="111">
          <cell r="A111" t="str">
            <v>1200-110-07</v>
          </cell>
          <cell r="B111" t="str">
            <v>INVENTORY - CONSUMABLES</v>
          </cell>
        </row>
        <row r="112">
          <cell r="A112" t="str">
            <v>1200-110-08</v>
          </cell>
          <cell r="B112" t="str">
            <v>INVENTORY - WORK IN PROGRESS</v>
          </cell>
        </row>
        <row r="113">
          <cell r="A113" t="str">
            <v>1200-110-09</v>
          </cell>
          <cell r="B113" t="str">
            <v>INVENTORY - SPAREPARTS</v>
          </cell>
        </row>
        <row r="114">
          <cell r="A114" t="str">
            <v>1200-110-10</v>
          </cell>
          <cell r="B114" t="str">
            <v>INVENTORY - IMPORT DUTY</v>
          </cell>
        </row>
        <row r="115">
          <cell r="A115" t="str">
            <v>1200-110-11</v>
          </cell>
          <cell r="B115" t="str">
            <v>INVENTORY - JOINT OPERATION</v>
          </cell>
        </row>
        <row r="116">
          <cell r="A116" t="str">
            <v>1200-110-99</v>
          </cell>
          <cell r="B116" t="str">
            <v>INVENTORY - SUSPENSE</v>
          </cell>
        </row>
        <row r="117">
          <cell r="A117" t="str">
            <v>1300-120-01</v>
          </cell>
          <cell r="B117" t="str">
            <v>PREPAID RENTS</v>
          </cell>
        </row>
        <row r="118">
          <cell r="A118" t="str">
            <v>1300-120-02</v>
          </cell>
          <cell r="B118" t="str">
            <v>PREPAID INSURANCE</v>
          </cell>
        </row>
        <row r="119">
          <cell r="A119" t="str">
            <v>1300-120-03</v>
          </cell>
          <cell r="B119" t="str">
            <v>PREPAID EXPENSES</v>
          </cell>
        </row>
        <row r="120">
          <cell r="A120" t="str">
            <v>1300-120-04</v>
          </cell>
          <cell r="B120" t="str">
            <v>PREPAID TRANSACTION</v>
          </cell>
        </row>
        <row r="121">
          <cell r="A121" t="str">
            <v>1300-120-99</v>
          </cell>
          <cell r="B121" t="str">
            <v>PREPAID - SUSPENSE</v>
          </cell>
        </row>
        <row r="122">
          <cell r="A122" t="str">
            <v>1400-130-01</v>
          </cell>
          <cell r="B122" t="str">
            <v>VAT INPUT - IMPORT</v>
          </cell>
        </row>
        <row r="123">
          <cell r="A123" t="str">
            <v>1400-130-02</v>
          </cell>
          <cell r="B123" t="str">
            <v>VAT INPUT - LUXURY - IMPORT</v>
          </cell>
        </row>
        <row r="124">
          <cell r="A124" t="str">
            <v>1400-130-03</v>
          </cell>
          <cell r="B124" t="str">
            <v>VAT INPUT - LOCAL</v>
          </cell>
        </row>
        <row r="125">
          <cell r="A125" t="str">
            <v>1400-130-04</v>
          </cell>
          <cell r="B125" t="str">
            <v>PREPAID TAX - PPH Article 21</v>
          </cell>
        </row>
        <row r="126">
          <cell r="A126" t="str">
            <v>1400-130-05</v>
          </cell>
          <cell r="B126" t="str">
            <v>PREPAID TAX - PPH Article 22</v>
          </cell>
        </row>
        <row r="127">
          <cell r="A127" t="str">
            <v>1400-130-06</v>
          </cell>
          <cell r="B127" t="str">
            <v>PREPAID TAX - PPH Article 23</v>
          </cell>
        </row>
        <row r="128">
          <cell r="A128" t="str">
            <v>1400-130-07</v>
          </cell>
          <cell r="B128" t="str">
            <v>PREPAID TAX - PPH Article 24</v>
          </cell>
        </row>
        <row r="129">
          <cell r="A129" t="str">
            <v>1400-130-08</v>
          </cell>
          <cell r="B129" t="str">
            <v>PREPAID TAX - PPH Article 25</v>
          </cell>
        </row>
        <row r="130">
          <cell r="A130" t="str">
            <v>1400-130-09</v>
          </cell>
          <cell r="B130" t="str">
            <v>PREPAID TAX - PPH Article 26</v>
          </cell>
        </row>
        <row r="132">
          <cell r="A132" t="str">
            <v>1400-130-99</v>
          </cell>
          <cell r="B132" t="str">
            <v>PREPAID TAX - SUSPENSE</v>
          </cell>
        </row>
        <row r="133">
          <cell r="A133" t="str">
            <v>1500-150-01</v>
          </cell>
          <cell r="B133" t="str">
            <v>TEMPORARY - CASH ADVANCE</v>
          </cell>
        </row>
        <row r="134">
          <cell r="A134" t="str">
            <v>2000-200-01</v>
          </cell>
          <cell r="B134" t="str">
            <v>RECEIVABLES - EMPLOYEES</v>
          </cell>
        </row>
        <row r="135">
          <cell r="A135" t="str">
            <v>2000-200-02</v>
          </cell>
          <cell r="B135" t="str">
            <v>RECEIVABLES - OTHERS</v>
          </cell>
        </row>
        <row r="136">
          <cell r="A136" t="str">
            <v>2500-250-01</v>
          </cell>
          <cell r="B136" t="str">
            <v>FIXED ASSETS</v>
          </cell>
        </row>
        <row r="137">
          <cell r="A137" t="str">
            <v>2500-250-02</v>
          </cell>
          <cell r="B137" t="str">
            <v>INTANGIBLE ASSETS</v>
          </cell>
        </row>
        <row r="138">
          <cell r="A138" t="str">
            <v>2500-250-10</v>
          </cell>
          <cell r="B138" t="str">
            <v>ACCUMULATED DEPRECIATION</v>
          </cell>
        </row>
        <row r="139">
          <cell r="A139" t="str">
            <v>2500-250-11</v>
          </cell>
          <cell r="B139" t="str">
            <v>ACCUMULATED AMORTIZATION</v>
          </cell>
        </row>
        <row r="140">
          <cell r="A140" t="str">
            <v>2500-250-99</v>
          </cell>
          <cell r="B140" t="str">
            <v>FIXED ASSETS - OTHERS</v>
          </cell>
        </row>
        <row r="141">
          <cell r="A141" t="str">
            <v>3000-300-01</v>
          </cell>
          <cell r="B141" t="str">
            <v>LONG-TERM INVESTMENT</v>
          </cell>
        </row>
        <row r="142">
          <cell r="A142" t="str">
            <v>5000-500-01</v>
          </cell>
          <cell r="B142" t="str">
            <v>TRADE PAYABLES</v>
          </cell>
        </row>
        <row r="143">
          <cell r="A143" t="str">
            <v>5000-500-02</v>
          </cell>
          <cell r="B143" t="str">
            <v>PAYROLL PAYABLE</v>
          </cell>
        </row>
        <row r="144">
          <cell r="A144" t="str">
            <v>5000-500-03</v>
          </cell>
          <cell r="B144" t="str">
            <v>PAYROLL INSURANCE PAYABLE</v>
          </cell>
        </row>
        <row r="145">
          <cell r="A145" t="str">
            <v>5000-500-04</v>
          </cell>
          <cell r="B145" t="str">
            <v>ACCRUED PAYABLES</v>
          </cell>
        </row>
        <row r="146">
          <cell r="A146" t="str">
            <v>5000-500-05</v>
          </cell>
          <cell r="B146" t="str">
            <v>OTHER PAYABLES</v>
          </cell>
        </row>
        <row r="147">
          <cell r="A147" t="str">
            <v>5000-500-06</v>
          </cell>
          <cell r="B147" t="str">
            <v>DUE TO RELATED PARTIES</v>
          </cell>
        </row>
        <row r="148">
          <cell r="A148" t="str">
            <v>5000-500-10</v>
          </cell>
          <cell r="B148" t="str">
            <v>ACCRUED OTHERS</v>
          </cell>
        </row>
        <row r="149">
          <cell r="A149" t="str">
            <v>5000-500-99</v>
          </cell>
          <cell r="B149" t="str">
            <v>PAYABLE - SUSPENSE</v>
          </cell>
        </row>
        <row r="150">
          <cell r="A150" t="str">
            <v>5100-500-01</v>
          </cell>
          <cell r="B150" t="str">
            <v>BANK LOAN - SHORT TERM</v>
          </cell>
        </row>
        <row r="151">
          <cell r="A151" t="str">
            <v>5100-500-02</v>
          </cell>
          <cell r="B151" t="str">
            <v>INTEREST PAYABLES</v>
          </cell>
        </row>
        <row r="152">
          <cell r="A152" t="str">
            <v>5100-500-03</v>
          </cell>
          <cell r="B152" t="str">
            <v>DOWN PAYMENT</v>
          </cell>
        </row>
        <row r="153">
          <cell r="A153" t="str">
            <v>5100-500-04</v>
          </cell>
          <cell r="B153" t="str">
            <v>OTHER LOAN</v>
          </cell>
        </row>
        <row r="154">
          <cell r="A154" t="str">
            <v>5500-550-01</v>
          </cell>
          <cell r="B154" t="str">
            <v>TAX PAYABLE - IMPORT DUTY</v>
          </cell>
        </row>
        <row r="155">
          <cell r="A155" t="str">
            <v>5500-550-02</v>
          </cell>
          <cell r="B155" t="str">
            <v>TAX PAYABLE - VAT IMPORT</v>
          </cell>
        </row>
        <row r="156">
          <cell r="A156" t="str">
            <v>5500-550-03</v>
          </cell>
          <cell r="B156" t="str">
            <v>TAX PAYABLE - VAT LOCAL</v>
          </cell>
        </row>
        <row r="157">
          <cell r="A157" t="str">
            <v>5500-550-04</v>
          </cell>
          <cell r="B157" t="str">
            <v>TAX PAYABLE - PPH Article 21</v>
          </cell>
        </row>
        <row r="158">
          <cell r="A158" t="str">
            <v>5500-550-05</v>
          </cell>
          <cell r="B158" t="str">
            <v>TAX PAYABLE - PPH Article 22</v>
          </cell>
        </row>
        <row r="159">
          <cell r="A159" t="str">
            <v>5500-550-06</v>
          </cell>
          <cell r="B159" t="str">
            <v>TAX PAYABLE - PPH Article 23</v>
          </cell>
        </row>
        <row r="160">
          <cell r="A160" t="str">
            <v>5500-550-07</v>
          </cell>
          <cell r="B160" t="str">
            <v>TAX PAYABLE - PPH Article 24</v>
          </cell>
        </row>
        <row r="161">
          <cell r="A161" t="str">
            <v>5500-550-08</v>
          </cell>
          <cell r="B161" t="str">
            <v>TAX PAYABLE - PPH Article 25</v>
          </cell>
        </row>
        <row r="162">
          <cell r="A162" t="str">
            <v>5500-550-09</v>
          </cell>
          <cell r="B162" t="str">
            <v>TAX PAYABLE - PPH Article 26</v>
          </cell>
        </row>
        <row r="163">
          <cell r="A163" t="str">
            <v>5500-550-10</v>
          </cell>
          <cell r="B163" t="str">
            <v>TAX PAYABLE - PPH Article 29</v>
          </cell>
        </row>
        <row r="164">
          <cell r="A164" t="str">
            <v>5500-550-99</v>
          </cell>
          <cell r="B164" t="str">
            <v>TAX PAYABLE - SUSPENSE</v>
          </cell>
        </row>
        <row r="165">
          <cell r="A165" t="str">
            <v>6000-600-01</v>
          </cell>
          <cell r="B165" t="str">
            <v>LONG-TERM PAYABLES</v>
          </cell>
        </row>
        <row r="166">
          <cell r="A166" t="str">
            <v>6000-600-02</v>
          </cell>
          <cell r="B166" t="str">
            <v>LONG-TERM BANK LOAN</v>
          </cell>
        </row>
        <row r="167">
          <cell r="A167" t="str">
            <v>6500-650-01</v>
          </cell>
          <cell r="B167" t="str">
            <v>OTHER LONG TERM DEBT</v>
          </cell>
        </row>
        <row r="168">
          <cell r="A168" t="str">
            <v>9000-000-01</v>
          </cell>
          <cell r="B168" t="str">
            <v>PAID-IN-CAPITAL</v>
          </cell>
        </row>
        <row r="169">
          <cell r="A169" t="str">
            <v>9000-000-02</v>
          </cell>
          <cell r="B169" t="str">
            <v>RESERVED - PAID-IN-CAPITAL</v>
          </cell>
        </row>
        <row r="170">
          <cell r="A170" t="str">
            <v>9500-000-01</v>
          </cell>
          <cell r="B170" t="str">
            <v>RETAINED EARNINGS</v>
          </cell>
        </row>
        <row r="171">
          <cell r="A171" t="str">
            <v>9500-000-02</v>
          </cell>
          <cell r="B171" t="str">
            <v>CURRENT EARNINGS</v>
          </cell>
        </row>
        <row r="172">
          <cell r="A172" t="str">
            <v>9500-000-03</v>
          </cell>
          <cell r="B172" t="str">
            <v>RESERVED - DIVIDEND</v>
          </cell>
        </row>
        <row r="173">
          <cell r="A173" t="str">
            <v>9500-000-04</v>
          </cell>
          <cell r="B173" t="str">
            <v>RESERVED - CORPORATE TAXES</v>
          </cell>
        </row>
        <row r="174">
          <cell r="A174" t="str">
            <v>9500-000-99</v>
          </cell>
          <cell r="B174" t="str">
            <v>RESERVED - OTHERS</v>
          </cell>
        </row>
        <row r="175">
          <cell r="A175" t="str">
            <v>9500-999-99</v>
          </cell>
          <cell r="B175" t="str">
            <v>PRIOR PERIOD ADJUSTMENTS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MR"/>
      <sheetName val="IDR_Move(1)"/>
      <sheetName val="IDR_YTD(2)"/>
      <sheetName val="IDRt_FS(3)"/>
      <sheetName val="USDt_FS(4)"/>
      <sheetName val="RpBgt_Move(5)"/>
      <sheetName val="RpBgt_YTD(6)"/>
    </sheetNames>
    <sheetDataSet>
      <sheetData sheetId="0" refreshError="1">
        <row r="3">
          <cell r="A3">
            <v>1</v>
          </cell>
          <cell r="B3">
            <v>36892</v>
          </cell>
          <cell r="C3" t="str">
            <v>YTD0001</v>
          </cell>
          <cell r="D3">
            <v>36892</v>
          </cell>
        </row>
        <row r="4">
          <cell r="A4">
            <v>2</v>
          </cell>
          <cell r="B4">
            <v>36923</v>
          </cell>
          <cell r="C4" t="str">
            <v>YTD0002</v>
          </cell>
          <cell r="D4">
            <v>36923</v>
          </cell>
        </row>
        <row r="5">
          <cell r="A5">
            <v>3</v>
          </cell>
          <cell r="B5">
            <v>36951</v>
          </cell>
          <cell r="C5" t="str">
            <v>YTD0003</v>
          </cell>
          <cell r="D5">
            <v>36951</v>
          </cell>
        </row>
        <row r="6">
          <cell r="A6">
            <v>4</v>
          </cell>
          <cell r="B6">
            <v>36982</v>
          </cell>
          <cell r="C6" t="str">
            <v>YTD0004</v>
          </cell>
          <cell r="D6">
            <v>36982</v>
          </cell>
        </row>
        <row r="7">
          <cell r="A7">
            <v>5</v>
          </cell>
          <cell r="B7">
            <v>37012</v>
          </cell>
          <cell r="C7" t="str">
            <v>YTD0005</v>
          </cell>
          <cell r="D7">
            <v>37012</v>
          </cell>
        </row>
        <row r="8">
          <cell r="A8">
            <v>6</v>
          </cell>
          <cell r="B8">
            <v>37043</v>
          </cell>
          <cell r="C8" t="str">
            <v>YTD0006</v>
          </cell>
          <cell r="D8">
            <v>37043</v>
          </cell>
        </row>
        <row r="9">
          <cell r="A9">
            <v>7</v>
          </cell>
          <cell r="B9">
            <v>37073</v>
          </cell>
          <cell r="C9" t="str">
            <v>YTD0007</v>
          </cell>
          <cell r="D9">
            <v>37073</v>
          </cell>
        </row>
        <row r="10">
          <cell r="A10">
            <v>8</v>
          </cell>
          <cell r="B10">
            <v>37104</v>
          </cell>
          <cell r="C10" t="str">
            <v>YTD0008</v>
          </cell>
          <cell r="D10">
            <v>37104</v>
          </cell>
        </row>
        <row r="11">
          <cell r="A11">
            <v>9</v>
          </cell>
          <cell r="B11">
            <v>37135</v>
          </cell>
          <cell r="C11" t="str">
            <v>YTD0009</v>
          </cell>
          <cell r="D11">
            <v>37135</v>
          </cell>
        </row>
        <row r="12">
          <cell r="A12">
            <v>10</v>
          </cell>
          <cell r="B12">
            <v>37165</v>
          </cell>
          <cell r="C12" t="str">
            <v>YTD0010</v>
          </cell>
          <cell r="D12">
            <v>37165</v>
          </cell>
        </row>
        <row r="13">
          <cell r="A13">
            <v>11</v>
          </cell>
          <cell r="B13">
            <v>37196</v>
          </cell>
          <cell r="C13" t="str">
            <v>YTD0011</v>
          </cell>
          <cell r="D13">
            <v>37196</v>
          </cell>
        </row>
        <row r="14">
          <cell r="A14">
            <v>12</v>
          </cell>
          <cell r="B14">
            <v>37226</v>
          </cell>
          <cell r="C14" t="str">
            <v>YTD0012</v>
          </cell>
          <cell r="D14">
            <v>37226</v>
          </cell>
        </row>
      </sheetData>
      <sheetData sheetId="1"/>
      <sheetData sheetId="2"/>
      <sheetData sheetId="3"/>
      <sheetData sheetId="4"/>
      <sheetData sheetId="5" refreshError="1">
        <row r="40">
          <cell r="B40" t="str">
            <v>Profit &amp; Loss Year To Date</v>
          </cell>
          <cell r="D40" t="str">
            <v>OB-01</v>
          </cell>
          <cell r="E40">
            <v>36892</v>
          </cell>
          <cell r="F40">
            <v>36923</v>
          </cell>
          <cell r="G40">
            <v>36951</v>
          </cell>
          <cell r="H40">
            <v>36982</v>
          </cell>
          <cell r="I40">
            <v>37012</v>
          </cell>
          <cell r="J40">
            <v>37043</v>
          </cell>
          <cell r="K40">
            <v>37073</v>
          </cell>
          <cell r="L40">
            <v>37104</v>
          </cell>
          <cell r="M40">
            <v>37135</v>
          </cell>
          <cell r="N40">
            <v>37165</v>
          </cell>
          <cell r="O40">
            <v>37196</v>
          </cell>
          <cell r="P40">
            <v>37226</v>
          </cell>
          <cell r="S40">
            <v>36892</v>
          </cell>
          <cell r="T40">
            <v>36923</v>
          </cell>
          <cell r="U40">
            <v>36951</v>
          </cell>
          <cell r="V40">
            <v>36982</v>
          </cell>
          <cell r="W40">
            <v>37012</v>
          </cell>
          <cell r="X40">
            <v>37043</v>
          </cell>
          <cell r="Y40">
            <v>37073</v>
          </cell>
          <cell r="Z40">
            <v>37104</v>
          </cell>
          <cell r="AA40">
            <v>37135</v>
          </cell>
          <cell r="AB40">
            <v>37165</v>
          </cell>
          <cell r="AC40">
            <v>37196</v>
          </cell>
          <cell r="AD40">
            <v>37226</v>
          </cell>
        </row>
        <row r="41">
          <cell r="C41" t="str">
            <v>Sales Revenue:</v>
          </cell>
        </row>
        <row r="42">
          <cell r="B42" t="str">
            <v>PL01-01</v>
          </cell>
          <cell r="C42" t="str">
            <v>Sales Revenue-Interunit</v>
          </cell>
          <cell r="E42">
            <v>233.8473512275132</v>
          </cell>
          <cell r="F42">
            <v>634.64108985800419</v>
          </cell>
          <cell r="G42">
            <v>767.27674877273284</v>
          </cell>
          <cell r="H42">
            <v>899.91240768746161</v>
          </cell>
          <cell r="I42">
            <v>1032.5480666021904</v>
          </cell>
          <cell r="J42">
            <v>1165.1837255169191</v>
          </cell>
          <cell r="K42">
            <v>1297.8193844316479</v>
          </cell>
          <cell r="L42">
            <v>1430.4550433463767</v>
          </cell>
          <cell r="M42">
            <v>1563.0907022611054</v>
          </cell>
          <cell r="N42">
            <v>1695.7263611758342</v>
          </cell>
          <cell r="O42">
            <v>1828.3620200905627</v>
          </cell>
          <cell r="P42">
            <v>1960.9976790052915</v>
          </cell>
          <cell r="S42">
            <v>142.58333333333334</v>
          </cell>
          <cell r="T42">
            <v>285.16666666666669</v>
          </cell>
          <cell r="U42">
            <v>427.75</v>
          </cell>
          <cell r="V42">
            <v>570.33333333333337</v>
          </cell>
          <cell r="W42">
            <v>712.91666666666674</v>
          </cell>
          <cell r="X42">
            <v>855.50000000000011</v>
          </cell>
          <cell r="Y42">
            <v>998.08333333333348</v>
          </cell>
          <cell r="Z42">
            <v>1140.6666666666667</v>
          </cell>
          <cell r="AA42">
            <v>1283.25</v>
          </cell>
          <cell r="AB42">
            <v>1425.8333333333333</v>
          </cell>
          <cell r="AC42">
            <v>1568.4166666666665</v>
          </cell>
          <cell r="AD42">
            <v>1710.9999999999998</v>
          </cell>
        </row>
        <row r="43">
          <cell r="B43" t="str">
            <v>PL01-02</v>
          </cell>
          <cell r="C43" t="str">
            <v>Sales Revenue-Intercompany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B44" t="str">
            <v>PL01-03</v>
          </cell>
          <cell r="C44" t="str">
            <v>Sales Revenue-Appliate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B45" t="str">
            <v>PL01-04</v>
          </cell>
          <cell r="C45" t="str">
            <v>Sales Revenue-External (other)</v>
          </cell>
          <cell r="E45">
            <v>274.83075337142861</v>
          </cell>
          <cell r="F45">
            <v>582.438412011222</v>
          </cell>
          <cell r="G45">
            <v>748.92833449184218</v>
          </cell>
          <cell r="H45">
            <v>915.41825697246236</v>
          </cell>
          <cell r="I45">
            <v>1081.9081794530825</v>
          </cell>
          <cell r="J45">
            <v>1248.3981019337027</v>
          </cell>
          <cell r="K45">
            <v>1414.8880244143229</v>
          </cell>
          <cell r="L45">
            <v>1581.3779468949431</v>
          </cell>
          <cell r="M45">
            <v>1747.8678693755635</v>
          </cell>
          <cell r="N45">
            <v>1914.3577918561837</v>
          </cell>
          <cell r="O45">
            <v>2080.8477143368036</v>
          </cell>
          <cell r="P45">
            <v>2247.3376368174236</v>
          </cell>
          <cell r="S45">
            <v>178.97666666666666</v>
          </cell>
          <cell r="T45">
            <v>357.95333333333332</v>
          </cell>
          <cell r="U45">
            <v>536.92999999999995</v>
          </cell>
          <cell r="V45">
            <v>715.90666666666664</v>
          </cell>
          <cell r="W45">
            <v>894.88333333333333</v>
          </cell>
          <cell r="X45">
            <v>1073.8599999999999</v>
          </cell>
          <cell r="Y45">
            <v>1252.8366666666666</v>
          </cell>
          <cell r="Z45">
            <v>1431.8133333333333</v>
          </cell>
          <cell r="AA45">
            <v>1610.79</v>
          </cell>
          <cell r="AB45">
            <v>1789.7666666666667</v>
          </cell>
          <cell r="AC45">
            <v>1968.7433333333333</v>
          </cell>
          <cell r="AD45">
            <v>2147.7199999999998</v>
          </cell>
        </row>
        <row r="46">
          <cell r="C46" t="str">
            <v xml:space="preserve">Total Sales and Revenue </v>
          </cell>
          <cell r="E46">
            <v>508.67810459894179</v>
          </cell>
          <cell r="F46">
            <v>1217.0795018692261</v>
          </cell>
          <cell r="G46">
            <v>1516.205083264575</v>
          </cell>
          <cell r="H46">
            <v>1815.330664659924</v>
          </cell>
          <cell r="I46">
            <v>2114.4562460552729</v>
          </cell>
          <cell r="J46">
            <v>2413.5818274506219</v>
          </cell>
          <cell r="K46">
            <v>2712.7074088459708</v>
          </cell>
          <cell r="L46">
            <v>3011.8329902413197</v>
          </cell>
          <cell r="M46">
            <v>3310.9585716366691</v>
          </cell>
          <cell r="N46">
            <v>3610.0841530320176</v>
          </cell>
          <cell r="O46">
            <v>3909.2097344273661</v>
          </cell>
          <cell r="P46">
            <v>4208.3353158227146</v>
          </cell>
          <cell r="S46">
            <v>321.56</v>
          </cell>
          <cell r="T46">
            <v>643.12</v>
          </cell>
          <cell r="U46">
            <v>964.68</v>
          </cell>
          <cell r="V46">
            <v>1286.24</v>
          </cell>
          <cell r="W46">
            <v>1607.8000000000002</v>
          </cell>
          <cell r="X46">
            <v>1929.3600000000001</v>
          </cell>
          <cell r="Y46">
            <v>2250.92</v>
          </cell>
          <cell r="Z46">
            <v>2572.48</v>
          </cell>
          <cell r="AA46">
            <v>2894.04</v>
          </cell>
          <cell r="AB46">
            <v>3215.6</v>
          </cell>
          <cell r="AC46">
            <v>3537.16</v>
          </cell>
          <cell r="AD46">
            <v>3858.7199999999993</v>
          </cell>
        </row>
        <row r="47">
          <cell r="C47" t="str">
            <v>Cost of Goods Sold</v>
          </cell>
        </row>
        <row r="48">
          <cell r="B48" t="str">
            <v>PL02-01</v>
          </cell>
          <cell r="C48" t="str">
            <v>Cost of Goods - Inter Unit</v>
          </cell>
          <cell r="E48">
            <v>77.805102561904761</v>
          </cell>
          <cell r="F48">
            <v>334.3748723603544</v>
          </cell>
          <cell r="G48">
            <v>408.97125478929496</v>
          </cell>
          <cell r="H48">
            <v>483.56763721823552</v>
          </cell>
          <cell r="I48">
            <v>558.16401964717613</v>
          </cell>
          <cell r="J48">
            <v>632.76040207611675</v>
          </cell>
          <cell r="K48">
            <v>707.35678450505736</v>
          </cell>
          <cell r="L48">
            <v>781.95316693399798</v>
          </cell>
          <cell r="M48">
            <v>856.54954936293859</v>
          </cell>
          <cell r="N48">
            <v>931.14593179187932</v>
          </cell>
          <cell r="O48">
            <v>1005.7423142208199</v>
          </cell>
          <cell r="P48">
            <v>1080.3386966497605</v>
          </cell>
          <cell r="S48">
            <v>80.191111111111113</v>
          </cell>
          <cell r="T48">
            <v>160.38222222222223</v>
          </cell>
          <cell r="U48">
            <v>240.57333333333332</v>
          </cell>
          <cell r="V48">
            <v>320.76444444444445</v>
          </cell>
          <cell r="W48">
            <v>400.95555555555558</v>
          </cell>
          <cell r="X48">
            <v>481.1466666666667</v>
          </cell>
          <cell r="Y48">
            <v>561.33777777777777</v>
          </cell>
          <cell r="Z48">
            <v>641.5288888888889</v>
          </cell>
          <cell r="AA48">
            <v>721.72</v>
          </cell>
          <cell r="AB48">
            <v>801.91111111111115</v>
          </cell>
          <cell r="AC48">
            <v>882.10222222222228</v>
          </cell>
          <cell r="AD48">
            <v>962.29333333333341</v>
          </cell>
        </row>
        <row r="49">
          <cell r="B49" t="str">
            <v>PL02-02</v>
          </cell>
          <cell r="C49" t="str">
            <v>Cost of Goods - Intercompany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B50" t="str">
            <v>PL02-03</v>
          </cell>
          <cell r="C50" t="str">
            <v>Cost of Goods - Appliate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B51" t="str">
            <v>PL02-04</v>
          </cell>
          <cell r="C51" t="str">
            <v>Cost of Goods - External (Other)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B52" t="str">
            <v>PL02-05</v>
          </cell>
          <cell r="C52" t="str">
            <v>Cost of Goods Sold (Non department and Internal related)</v>
          </cell>
          <cell r="E52">
            <v>200.57527049206351</v>
          </cell>
          <cell r="F52">
            <v>589.83764743056486</v>
          </cell>
          <cell r="G52">
            <v>679.68260867087497</v>
          </cell>
          <cell r="H52">
            <v>769.52756991118508</v>
          </cell>
          <cell r="I52">
            <v>859.3725311514952</v>
          </cell>
          <cell r="J52">
            <v>949.21749239180519</v>
          </cell>
          <cell r="K52">
            <v>1039.0624536321152</v>
          </cell>
          <cell r="L52">
            <v>1128.9074148724253</v>
          </cell>
          <cell r="M52">
            <v>1218.7523761127354</v>
          </cell>
          <cell r="N52">
            <v>1308.5973373530455</v>
          </cell>
          <cell r="O52">
            <v>1398.4422985933556</v>
          </cell>
          <cell r="P52">
            <v>1512.3751151308234</v>
          </cell>
          <cell r="S52">
            <v>96.583333333333329</v>
          </cell>
          <cell r="T52">
            <v>193.16666666666666</v>
          </cell>
          <cell r="U52">
            <v>289.75</v>
          </cell>
          <cell r="V52">
            <v>386.33333333333331</v>
          </cell>
          <cell r="W52">
            <v>482.91666666666663</v>
          </cell>
          <cell r="X52">
            <v>579.5</v>
          </cell>
          <cell r="Y52">
            <v>676.08333333333337</v>
          </cell>
          <cell r="Z52">
            <v>772.66666666666674</v>
          </cell>
          <cell r="AA52">
            <v>869.25000000000011</v>
          </cell>
          <cell r="AB52">
            <v>965.83333333333348</v>
          </cell>
          <cell r="AC52">
            <v>1062.4166666666667</v>
          </cell>
          <cell r="AD52">
            <v>1184.8944444444446</v>
          </cell>
        </row>
        <row r="53">
          <cell r="B53" t="str">
            <v>PL02-06</v>
          </cell>
          <cell r="C53" t="str">
            <v>Cost of Goods - Depreciation (Operating)</v>
          </cell>
          <cell r="E53">
            <v>34.563605938624335</v>
          </cell>
          <cell r="F53">
            <v>69.72340708797833</v>
          </cell>
          <cell r="G53">
            <v>112.37663706213854</v>
          </cell>
          <cell r="H53">
            <v>155.02986703629875</v>
          </cell>
          <cell r="I53">
            <v>197.68309701045897</v>
          </cell>
          <cell r="J53">
            <v>240.33632698461915</v>
          </cell>
          <cell r="K53">
            <v>282.98955695877936</v>
          </cell>
          <cell r="L53">
            <v>325.64278693293954</v>
          </cell>
          <cell r="M53">
            <v>368.29601690709973</v>
          </cell>
          <cell r="N53">
            <v>410.94924688125991</v>
          </cell>
          <cell r="O53">
            <v>453.60247685542009</v>
          </cell>
          <cell r="P53">
            <v>496.25570682958028</v>
          </cell>
          <cell r="S53">
            <v>45.852222222222224</v>
          </cell>
          <cell r="T53">
            <v>91.704444444444448</v>
          </cell>
          <cell r="U53">
            <v>137.55666666666667</v>
          </cell>
          <cell r="V53">
            <v>183.4088888888889</v>
          </cell>
          <cell r="W53">
            <v>229.26111111111112</v>
          </cell>
          <cell r="X53">
            <v>275.11333333333334</v>
          </cell>
          <cell r="Y53">
            <v>320.96555555555557</v>
          </cell>
          <cell r="Z53">
            <v>366.81777777777779</v>
          </cell>
          <cell r="AA53">
            <v>412.67</v>
          </cell>
          <cell r="AB53">
            <v>458.52222222222224</v>
          </cell>
          <cell r="AC53">
            <v>504.37444444444446</v>
          </cell>
          <cell r="AD53">
            <v>550.22666666666669</v>
          </cell>
        </row>
        <row r="54">
          <cell r="C54" t="str">
            <v xml:space="preserve">Total Cost of Goods Sold </v>
          </cell>
          <cell r="E54">
            <v>312.94397899259258</v>
          </cell>
          <cell r="F54">
            <v>993.93592687889759</v>
          </cell>
          <cell r="G54">
            <v>1201.0305005223086</v>
          </cell>
          <cell r="H54">
            <v>1408.1250741657193</v>
          </cell>
          <cell r="I54">
            <v>1615.2196478091303</v>
          </cell>
          <cell r="J54">
            <v>1822.314221452541</v>
          </cell>
          <cell r="K54">
            <v>2029.408795095952</v>
          </cell>
          <cell r="L54">
            <v>2236.5033687393629</v>
          </cell>
          <cell r="M54">
            <v>2443.5979423827739</v>
          </cell>
          <cell r="N54">
            <v>2650.6925160261849</v>
          </cell>
          <cell r="O54">
            <v>2857.7870896695958</v>
          </cell>
          <cell r="P54">
            <v>3088.9695186101644</v>
          </cell>
          <cell r="S54">
            <v>222.62666666666667</v>
          </cell>
          <cell r="T54">
            <v>445.25333333333333</v>
          </cell>
          <cell r="U54">
            <v>667.87999999999988</v>
          </cell>
          <cell r="V54">
            <v>890.50666666666666</v>
          </cell>
          <cell r="W54">
            <v>1113.1333333333334</v>
          </cell>
          <cell r="X54">
            <v>1335.7600000000002</v>
          </cell>
          <cell r="Y54">
            <v>1558.3866666666668</v>
          </cell>
          <cell r="Z54">
            <v>1781.0133333333333</v>
          </cell>
          <cell r="AA54">
            <v>2003.6400000000003</v>
          </cell>
          <cell r="AB54">
            <v>2226.2666666666669</v>
          </cell>
          <cell r="AC54">
            <v>2448.8933333333334</v>
          </cell>
          <cell r="AD54">
            <v>2697.4144444444446</v>
          </cell>
        </row>
        <row r="55">
          <cell r="C55" t="str">
            <v>Gross Profit</v>
          </cell>
          <cell r="E55">
            <v>195.73412560634921</v>
          </cell>
          <cell r="F55">
            <v>223.14357499032849</v>
          </cell>
          <cell r="G55">
            <v>315.17458274226647</v>
          </cell>
          <cell r="H55">
            <v>407.20559049420467</v>
          </cell>
          <cell r="I55">
            <v>499.23659824614265</v>
          </cell>
          <cell r="J55">
            <v>591.26760599808085</v>
          </cell>
          <cell r="K55">
            <v>683.29861375001883</v>
          </cell>
          <cell r="L55">
            <v>775.32962150195681</v>
          </cell>
          <cell r="M55">
            <v>867.36062925389524</v>
          </cell>
          <cell r="N55">
            <v>959.39163700583276</v>
          </cell>
          <cell r="O55">
            <v>1051.4226447577703</v>
          </cell>
          <cell r="P55">
            <v>1119.3657972125502</v>
          </cell>
          <cell r="S55">
            <v>98.933333333333337</v>
          </cell>
          <cell r="T55">
            <v>197.86666666666667</v>
          </cell>
          <cell r="U55">
            <v>296.80000000000007</v>
          </cell>
          <cell r="V55">
            <v>395.73333333333335</v>
          </cell>
          <cell r="W55">
            <v>494.66666666666674</v>
          </cell>
          <cell r="X55">
            <v>593.59999999999991</v>
          </cell>
          <cell r="Y55">
            <v>692.5333333333333</v>
          </cell>
          <cell r="Z55">
            <v>791.4666666666667</v>
          </cell>
          <cell r="AA55">
            <v>890.39999999999964</v>
          </cell>
          <cell r="AB55">
            <v>989.33333333333303</v>
          </cell>
          <cell r="AC55">
            <v>1088.2666666666664</v>
          </cell>
          <cell r="AD55">
            <v>1161.3055555555547</v>
          </cell>
        </row>
        <row r="56">
          <cell r="C56" t="str">
            <v>Gross Profit/Sales %</v>
          </cell>
          <cell r="E56">
            <v>0.38478975964706069</v>
          </cell>
          <cell r="F56">
            <v>0.1833434665916385</v>
          </cell>
          <cell r="G56">
            <v>0.20787068070214951</v>
          </cell>
          <cell r="H56">
            <v>0.22431483058238802</v>
          </cell>
          <cell r="I56">
            <v>0.2361063744768982</v>
          </cell>
          <cell r="J56">
            <v>0.24497516482489229</v>
          </cell>
          <cell r="K56">
            <v>0.25188806264981783</v>
          </cell>
          <cell r="L56">
            <v>0.25742782684634663</v>
          </cell>
          <cell r="M56">
            <v>0.2619666209913169</v>
          </cell>
          <cell r="N56">
            <v>0.26575326123632442</v>
          </cell>
          <cell r="O56">
            <v>0.26896040790499726</v>
          </cell>
          <cell r="P56">
            <v>0.26598778690564445</v>
          </cell>
          <cell r="S56">
            <v>0.30766679106024797</v>
          </cell>
          <cell r="T56">
            <v>0.30766679106024797</v>
          </cell>
          <cell r="U56">
            <v>0.30766679106024802</v>
          </cell>
          <cell r="V56">
            <v>0.30766679106024797</v>
          </cell>
          <cell r="W56">
            <v>0.30766679106024797</v>
          </cell>
          <cell r="X56">
            <v>0.30766679106024791</v>
          </cell>
          <cell r="Y56">
            <v>0.30766679106024791</v>
          </cell>
          <cell r="Z56">
            <v>0.30766679106024797</v>
          </cell>
          <cell r="AA56">
            <v>0.30766679106024786</v>
          </cell>
          <cell r="AB56">
            <v>0.30766679106024786</v>
          </cell>
          <cell r="AC56">
            <v>0.30766679106024791</v>
          </cell>
          <cell r="AD56">
            <v>0.30095616047693402</v>
          </cell>
        </row>
        <row r="58">
          <cell r="C58" t="str">
            <v>Less : Operating Expenses</v>
          </cell>
        </row>
        <row r="59">
          <cell r="B59" t="str">
            <v>PL03-01</v>
          </cell>
          <cell r="C59" t="str">
            <v>G&amp;A Expenses (Excl. Depreciation)</v>
          </cell>
          <cell r="E59">
            <v>1.5220011597883598</v>
          </cell>
          <cell r="F59">
            <v>11.207113478134614</v>
          </cell>
          <cell r="G59">
            <v>11.207113478134614</v>
          </cell>
          <cell r="H59">
            <v>11.207113478134614</v>
          </cell>
          <cell r="I59">
            <v>11.207113478134614</v>
          </cell>
          <cell r="J59">
            <v>11.207113478134614</v>
          </cell>
          <cell r="K59">
            <v>11.207113478134614</v>
          </cell>
          <cell r="L59">
            <v>11.207113478134614</v>
          </cell>
          <cell r="M59">
            <v>11.207113478134614</v>
          </cell>
          <cell r="N59">
            <v>11.207113478134614</v>
          </cell>
          <cell r="O59">
            <v>11.207113478134614</v>
          </cell>
          <cell r="P59">
            <v>11.207113478134614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B60" t="str">
            <v>PL03-02</v>
          </cell>
          <cell r="C60" t="str">
            <v>Depreciation (G&amp;A)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2">
          <cell r="B62" t="str">
            <v>PL04</v>
          </cell>
          <cell r="C62" t="str">
            <v>Head Office expense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Total Operating Expenses</v>
          </cell>
          <cell r="E63">
            <v>1.5220011597883598</v>
          </cell>
          <cell r="F63">
            <v>11.207113478134614</v>
          </cell>
          <cell r="G63">
            <v>11.207113478134614</v>
          </cell>
          <cell r="H63">
            <v>11.207113478134614</v>
          </cell>
          <cell r="I63">
            <v>11.207113478134614</v>
          </cell>
          <cell r="J63">
            <v>11.207113478134614</v>
          </cell>
          <cell r="K63">
            <v>11.207113478134614</v>
          </cell>
          <cell r="L63">
            <v>11.207113478134614</v>
          </cell>
          <cell r="M63">
            <v>11.207113478134614</v>
          </cell>
          <cell r="N63">
            <v>11.207113478134614</v>
          </cell>
          <cell r="O63">
            <v>11.207113478134614</v>
          </cell>
          <cell r="P63">
            <v>11.207113478134614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C64" t="str">
            <v>Operating Income before Interest &amp; Tax</v>
          </cell>
          <cell r="E64">
            <v>194.21212444656084</v>
          </cell>
          <cell r="F64">
            <v>211.93646151219389</v>
          </cell>
          <cell r="G64">
            <v>303.96746926413186</v>
          </cell>
          <cell r="H64">
            <v>395.99847701607007</v>
          </cell>
          <cell r="I64">
            <v>488.02948476800805</v>
          </cell>
          <cell r="J64">
            <v>580.06049251994625</v>
          </cell>
          <cell r="K64">
            <v>672.09150027188423</v>
          </cell>
          <cell r="L64">
            <v>764.12250802382221</v>
          </cell>
          <cell r="M64">
            <v>856.15351577576064</v>
          </cell>
          <cell r="N64">
            <v>948.18452352769816</v>
          </cell>
          <cell r="O64">
            <v>1040.2155312796356</v>
          </cell>
          <cell r="P64">
            <v>1108.1586837344155</v>
          </cell>
          <cell r="S64">
            <v>98.933333333333337</v>
          </cell>
          <cell r="T64">
            <v>197.86666666666667</v>
          </cell>
          <cell r="U64">
            <v>296.80000000000007</v>
          </cell>
          <cell r="V64">
            <v>395.73333333333335</v>
          </cell>
          <cell r="W64">
            <v>494.66666666666674</v>
          </cell>
          <cell r="X64">
            <v>593.59999999999991</v>
          </cell>
          <cell r="Y64">
            <v>692.5333333333333</v>
          </cell>
          <cell r="Z64">
            <v>791.4666666666667</v>
          </cell>
          <cell r="AA64">
            <v>890.39999999999964</v>
          </cell>
          <cell r="AB64">
            <v>989.33333333333303</v>
          </cell>
          <cell r="AC64">
            <v>1088.2666666666664</v>
          </cell>
          <cell r="AD64">
            <v>1161.3055555555547</v>
          </cell>
        </row>
        <row r="66">
          <cell r="B66" t="str">
            <v>PL05</v>
          </cell>
          <cell r="C66" t="str">
            <v>Add: Other Income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8">
          <cell r="B68" t="str">
            <v>PL06</v>
          </cell>
          <cell r="C68" t="str">
            <v>Add: Share of JO's interest (Profit Distribution)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70">
          <cell r="C70" t="str">
            <v>EBIT (Eaning Before Interest &amp; Tax)</v>
          </cell>
          <cell r="E70">
            <v>194.21212444656084</v>
          </cell>
          <cell r="F70">
            <v>211.93646151219389</v>
          </cell>
          <cell r="G70">
            <v>303.96746926413186</v>
          </cell>
          <cell r="H70">
            <v>395.99847701607007</v>
          </cell>
          <cell r="I70">
            <v>488.02948476800805</v>
          </cell>
          <cell r="J70">
            <v>580.06049251994625</v>
          </cell>
          <cell r="K70">
            <v>672.09150027188423</v>
          </cell>
          <cell r="L70">
            <v>764.12250802382221</v>
          </cell>
          <cell r="M70">
            <v>856.15351577576064</v>
          </cell>
          <cell r="N70">
            <v>948.18452352769816</v>
          </cell>
          <cell r="O70">
            <v>1040.2155312796356</v>
          </cell>
          <cell r="P70">
            <v>1108.1586837344155</v>
          </cell>
          <cell r="S70">
            <v>98.933333333333337</v>
          </cell>
          <cell r="T70">
            <v>197.86666666666667</v>
          </cell>
          <cell r="U70">
            <v>296.80000000000007</v>
          </cell>
          <cell r="V70">
            <v>395.73333333333335</v>
          </cell>
          <cell r="W70">
            <v>494.66666666666674</v>
          </cell>
          <cell r="X70">
            <v>593.59999999999991</v>
          </cell>
          <cell r="Y70">
            <v>692.5333333333333</v>
          </cell>
          <cell r="Z70">
            <v>791.4666666666667</v>
          </cell>
          <cell r="AA70">
            <v>890.39999999999964</v>
          </cell>
          <cell r="AB70">
            <v>989.33333333333303</v>
          </cell>
          <cell r="AC70">
            <v>1088.2666666666664</v>
          </cell>
          <cell r="AD70">
            <v>1161.3055555555547</v>
          </cell>
        </row>
        <row r="72">
          <cell r="B72" t="str">
            <v>PL07</v>
          </cell>
          <cell r="C72" t="str">
            <v>Less:Financial Expense (net)</v>
          </cell>
          <cell r="E72">
            <v>1.8694217195767198</v>
          </cell>
          <cell r="F72">
            <v>3.4326802343054017</v>
          </cell>
          <cell r="G72">
            <v>7.9804838518764605</v>
          </cell>
          <cell r="H72">
            <v>12.52828746944752</v>
          </cell>
          <cell r="I72">
            <v>17.076091087018579</v>
          </cell>
          <cell r="J72">
            <v>21.623894704589638</v>
          </cell>
          <cell r="K72">
            <v>26.171698322160697</v>
          </cell>
          <cell r="L72">
            <v>30.719501939731753</v>
          </cell>
          <cell r="M72">
            <v>35.267305557302812</v>
          </cell>
          <cell r="N72">
            <v>39.815109174873868</v>
          </cell>
          <cell r="O72">
            <v>44.362912792444931</v>
          </cell>
          <cell r="P72">
            <v>48.910716410015993</v>
          </cell>
          <cell r="S72">
            <v>4.8888888888888893</v>
          </cell>
          <cell r="T72">
            <v>9.7777777777777786</v>
          </cell>
          <cell r="U72">
            <v>14.666666666666668</v>
          </cell>
          <cell r="V72">
            <v>19.555555555555557</v>
          </cell>
          <cell r="W72">
            <v>24.444444444444446</v>
          </cell>
          <cell r="X72">
            <v>29.333333333333336</v>
          </cell>
          <cell r="Y72">
            <v>34.222222222222229</v>
          </cell>
          <cell r="Z72">
            <v>39.111111111111114</v>
          </cell>
          <cell r="AA72">
            <v>44</v>
          </cell>
          <cell r="AB72">
            <v>48.888888888888886</v>
          </cell>
          <cell r="AC72">
            <v>53.777777777777771</v>
          </cell>
          <cell r="AD72">
            <v>58.666666666666657</v>
          </cell>
        </row>
        <row r="74">
          <cell r="B74" t="str">
            <v>PL08</v>
          </cell>
          <cell r="C74" t="str">
            <v>Less:Loss on forex exch</v>
          </cell>
          <cell r="E74">
            <v>5.3186305100529108</v>
          </cell>
          <cell r="F74">
            <v>10.54037507646118</v>
          </cell>
          <cell r="G74">
            <v>10.54037507646118</v>
          </cell>
          <cell r="H74">
            <v>10.54037507646118</v>
          </cell>
          <cell r="I74">
            <v>10.54037507646118</v>
          </cell>
          <cell r="J74">
            <v>10.54037507646118</v>
          </cell>
          <cell r="K74">
            <v>10.54037507646118</v>
          </cell>
          <cell r="L74">
            <v>10.54037507646118</v>
          </cell>
          <cell r="M74">
            <v>10.54037507646118</v>
          </cell>
          <cell r="N74">
            <v>10.54037507646118</v>
          </cell>
          <cell r="O74">
            <v>10.54037507646118</v>
          </cell>
          <cell r="P74">
            <v>10.54037507646118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6">
          <cell r="C76" t="str">
            <v>Profit Before Tax</v>
          </cell>
          <cell r="E76">
            <v>187.02407221693122</v>
          </cell>
          <cell r="F76">
            <v>197.96340620142732</v>
          </cell>
          <cell r="G76">
            <v>285.44661033579422</v>
          </cell>
          <cell r="H76">
            <v>372.92981447016138</v>
          </cell>
          <cell r="I76">
            <v>460.41301860452825</v>
          </cell>
          <cell r="J76">
            <v>547.89622273889552</v>
          </cell>
          <cell r="K76">
            <v>635.37942687326233</v>
          </cell>
          <cell r="L76">
            <v>722.86263100762926</v>
          </cell>
          <cell r="M76">
            <v>810.34583514199664</v>
          </cell>
          <cell r="N76">
            <v>897.82903927636312</v>
          </cell>
          <cell r="O76">
            <v>985.31224341072948</v>
          </cell>
          <cell r="P76">
            <v>1048.7075922479382</v>
          </cell>
          <cell r="S76">
            <v>94.044444444444451</v>
          </cell>
          <cell r="T76">
            <v>188.0888888888889</v>
          </cell>
          <cell r="U76">
            <v>282.13333333333338</v>
          </cell>
          <cell r="V76">
            <v>376.17777777777781</v>
          </cell>
          <cell r="W76">
            <v>470.22222222222229</v>
          </cell>
          <cell r="X76">
            <v>564.26666666666654</v>
          </cell>
          <cell r="Y76">
            <v>658.31111111111113</v>
          </cell>
          <cell r="Z76">
            <v>752.35555555555561</v>
          </cell>
          <cell r="AA76">
            <v>846.39999999999964</v>
          </cell>
          <cell r="AB76">
            <v>940.44444444444412</v>
          </cell>
          <cell r="AC76">
            <v>1034.4888888888886</v>
          </cell>
          <cell r="AD76">
            <v>1102.638888888888</v>
          </cell>
        </row>
        <row r="78">
          <cell r="B78" t="str">
            <v>PL09</v>
          </cell>
          <cell r="C78" t="str">
            <v>Less:Taxation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80">
          <cell r="C80" t="str">
            <v>Current Year Profit/(Loss) after tax</v>
          </cell>
          <cell r="E80">
            <v>187.02407221693122</v>
          </cell>
          <cell r="F80">
            <v>197.96340620142732</v>
          </cell>
          <cell r="G80">
            <v>285.44661033579422</v>
          </cell>
          <cell r="H80">
            <v>372.92981447016138</v>
          </cell>
          <cell r="I80">
            <v>460.41301860452825</v>
          </cell>
          <cell r="J80">
            <v>547.89622273889552</v>
          </cell>
          <cell r="K80">
            <v>635.37942687326233</v>
          </cell>
          <cell r="L80">
            <v>722.86263100762926</v>
          </cell>
          <cell r="M80">
            <v>810.34583514199664</v>
          </cell>
          <cell r="N80">
            <v>897.82903927636312</v>
          </cell>
          <cell r="O80">
            <v>985.31224341072948</v>
          </cell>
          <cell r="P80">
            <v>1048.7075922479382</v>
          </cell>
          <cell r="S80">
            <v>94.044444444444451</v>
          </cell>
          <cell r="T80">
            <v>188.0888888888889</v>
          </cell>
          <cell r="U80">
            <v>282.13333333333338</v>
          </cell>
          <cell r="V80">
            <v>376.17777777777781</v>
          </cell>
          <cell r="W80">
            <v>470.22222222222229</v>
          </cell>
          <cell r="X80">
            <v>564.26666666666654</v>
          </cell>
          <cell r="Y80">
            <v>658.31111111111113</v>
          </cell>
          <cell r="Z80">
            <v>752.35555555555561</v>
          </cell>
          <cell r="AA80">
            <v>846.39999999999964</v>
          </cell>
          <cell r="AB80">
            <v>940.44444444444412</v>
          </cell>
          <cell r="AC80">
            <v>1034.4888888888886</v>
          </cell>
          <cell r="AD80">
            <v>1102.638888888888</v>
          </cell>
        </row>
      </sheetData>
      <sheetData sheetId="6"/>
      <sheetData sheetId="7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721-A1 (2)"/>
      <sheetName val="TABEL"/>
      <sheetName val="DATA1"/>
      <sheetName val="DATA2"/>
      <sheetName val="DATA3"/>
      <sheetName val="add-npwp"/>
      <sheetName val="Master1"/>
      <sheetName val="Master2"/>
      <sheetName val="Master-last"/>
      <sheetName val="1721"/>
      <sheetName val="1721-A "/>
      <sheetName val="1721-A1"/>
      <sheetName val="1721-A2 "/>
      <sheetName val="1721-B "/>
      <sheetName val="1721-C "/>
    </sheetNames>
    <sheetDataSet>
      <sheetData sheetId="0"/>
      <sheetData sheetId="1"/>
      <sheetData sheetId="2"/>
      <sheetData sheetId="3"/>
      <sheetData sheetId="4"/>
      <sheetData sheetId="5">
        <row r="3">
          <cell r="B3">
            <v>182016</v>
          </cell>
          <cell r="C3" t="str">
            <v>Harry Santosa, Drs, M.Si, Apt.</v>
          </cell>
          <cell r="D3" t="str">
            <v>Rungkut Lor 2F/26, RT3/RW10, Kalirungkut, Rungkut, Surabaya 60293</v>
          </cell>
          <cell r="E3" t="str">
            <v>47.962.764.8-615.000</v>
          </cell>
        </row>
        <row r="4">
          <cell r="B4">
            <v>189005</v>
          </cell>
          <cell r="C4" t="str">
            <v>Farida Suhud, Dra, M.Si, Apt.</v>
          </cell>
          <cell r="D4" t="str">
            <v>Nginden Intan Timur IX-E1/5, RT2/RW9, Nginden Jkn, Sukolilo, Surabaya 60118</v>
          </cell>
          <cell r="E4" t="str">
            <v>47.962.773.9-606.000</v>
          </cell>
        </row>
        <row r="5">
          <cell r="B5">
            <v>191001</v>
          </cell>
          <cell r="C5" t="str">
            <v>J.M. Atik Krustiyati, S.H., M.S.</v>
          </cell>
          <cell r="D5" t="str">
            <v>Mulyosari Utara 7I/99, RT6/RW6, Kalisari, Mulyorejo, Surabaya 60112</v>
          </cell>
          <cell r="E5" t="str">
            <v>47.962.812.5-606.000</v>
          </cell>
        </row>
        <row r="6">
          <cell r="B6">
            <v>184015</v>
          </cell>
          <cell r="C6" t="str">
            <v>Kunasih, Dra</v>
          </cell>
          <cell r="D6" t="str">
            <v>Pandugo Baru 105 gg 1, RT4/RW4, Penjaringan Sari, Rungkut, Surabaya 60297</v>
          </cell>
          <cell r="E6" t="str">
            <v>47.962.796.0-615.000</v>
          </cell>
        </row>
        <row r="7">
          <cell r="B7">
            <v>171002</v>
          </cell>
          <cell r="C7" t="str">
            <v>H W Hany Natawidjana, Drs.ec</v>
          </cell>
          <cell r="D7" t="str">
            <v>Medokan Ayu I P/19-20, RT6/RW6, Medokan Ayu, Rungkut, Surabaya 60295</v>
          </cell>
          <cell r="E7" t="str">
            <v>47.962.781.2-615.000</v>
          </cell>
        </row>
        <row r="8">
          <cell r="B8">
            <v>178005</v>
          </cell>
          <cell r="C8" t="str">
            <v>Frits A. Martin Faah, Drs.ec, M.Si</v>
          </cell>
          <cell r="D8" t="str">
            <v>Kaliwaru I/31, RT1/RW8, Kalirungkut, Rungkut, Surabaya 60293</v>
          </cell>
          <cell r="E8" t="str">
            <v>47.962.813.3-615.000</v>
          </cell>
        </row>
        <row r="9">
          <cell r="B9">
            <v>193023</v>
          </cell>
          <cell r="C9" t="str">
            <v>Stevanus Hadi Darmadji, Drs.ec, MSA</v>
          </cell>
          <cell r="D9" t="str">
            <v>Jendangsari YKP O/16, RT1/RW2, Kendangsari, Tenggilismejoyo, Surabaya 60292</v>
          </cell>
          <cell r="E9" t="str">
            <v>47.962.815.8-615.000</v>
          </cell>
        </row>
        <row r="10">
          <cell r="B10">
            <v>195051</v>
          </cell>
          <cell r="C10" t="str">
            <v>Yohanes Joko Handayanto, Drs, M.S.</v>
          </cell>
          <cell r="D10" t="str">
            <v>Liman Mukti Raya 351, RT2/RW6, Pedurungan Kidul, Pedurungan, Semarang 50192</v>
          </cell>
          <cell r="E10" t="str">
            <v>47.962.778.8-504.000</v>
          </cell>
        </row>
        <row r="11">
          <cell r="B11">
            <v>196046</v>
          </cell>
          <cell r="C11" t="str">
            <v>Made Siti Sundari, Dra.ec, M.Si</v>
          </cell>
          <cell r="D11" t="str">
            <v>Kutisari 7/5, RT4/RW1, Kutisari, Tenggilismejoyo, Surabaya 60291</v>
          </cell>
          <cell r="E11" t="str">
            <v>47.962.785.3-615.000</v>
          </cell>
        </row>
        <row r="12">
          <cell r="B12">
            <v>200003</v>
          </cell>
          <cell r="C12" t="str">
            <v>Christina Rahardja H, S.E.</v>
          </cell>
          <cell r="D12" t="str">
            <v>Rungkut Asri Tengah 7/45, RT1/RW8, Rungkut Kidul, Rungkut, Surabaya 60293</v>
          </cell>
          <cell r="E12" t="str">
            <v>47.962.804.2-615.000</v>
          </cell>
        </row>
        <row r="13">
          <cell r="B13">
            <v>203025</v>
          </cell>
          <cell r="C13" t="str">
            <v>Dudi Anandya, S.T., M.Si.</v>
          </cell>
          <cell r="D13" t="str">
            <v>Ketintang Tengah 4/2, RT2/RW10, Ketintang, Gayungan, Surabaya 60231</v>
          </cell>
          <cell r="E13" t="str">
            <v>47.962.805.9-609.000</v>
          </cell>
        </row>
        <row r="14">
          <cell r="B14">
            <v>183011</v>
          </cell>
          <cell r="C14" t="str">
            <v>Sri Wahyuningsih, Dra, M.Kes.</v>
          </cell>
          <cell r="D14" t="str">
            <v>Klampis Harapan V/1, RT2/RW8, Klampis Ngasem, Sukolilo, Surabaya 60118</v>
          </cell>
          <cell r="E14" t="str">
            <v>47.962.786.1-606.000</v>
          </cell>
        </row>
        <row r="15">
          <cell r="B15">
            <v>184007</v>
          </cell>
          <cell r="C15" t="str">
            <v>Jatie K.Poedjibudojo, Dr, Dra, S.U.</v>
          </cell>
          <cell r="D15" t="str">
            <v>Rungkut Harapan Blok C/45, RT3/RW2, Kalirungkut, Rungkut, Surabaya 60293</v>
          </cell>
          <cell r="E15" t="str">
            <v>47.962.818.2-615.000</v>
          </cell>
        </row>
        <row r="16">
          <cell r="B16">
            <v>198021</v>
          </cell>
          <cell r="C16" t="str">
            <v>Monique Elizabeth S., S.Psi.</v>
          </cell>
          <cell r="D16" t="str">
            <v>Indragiri 50, RT13/RW6, Darmo, Wonokromo, Surabaya 60241</v>
          </cell>
          <cell r="E16" t="str">
            <v>47.962.872.9-609.000</v>
          </cell>
        </row>
        <row r="17">
          <cell r="B17">
            <v>195049</v>
          </cell>
          <cell r="C17" t="str">
            <v>Yohanna Natalia, S.Psi., M.Mus</v>
          </cell>
          <cell r="D17" t="str">
            <v>Pasar Besar 35, Sukoharjo, Klojen, Malang 65118</v>
          </cell>
          <cell r="E17" t="str">
            <v>47.962.762.2-623.000</v>
          </cell>
        </row>
        <row r="18">
          <cell r="B18">
            <v>200001</v>
          </cell>
          <cell r="C18" t="str">
            <v>Suryantini Rahayu, Dra, M.A.</v>
          </cell>
          <cell r="D18" t="str">
            <v>Gayungsari 10/38, RT1/RW5, Gayungan, Gayungan, Surabaya 60235</v>
          </cell>
          <cell r="E18" t="str">
            <v>47.962.809.1-609.000</v>
          </cell>
        </row>
        <row r="19">
          <cell r="B19">
            <v>200030</v>
          </cell>
          <cell r="C19" t="str">
            <v>Sony Karsono, S.Psi., M.A</v>
          </cell>
          <cell r="D19" t="str">
            <v>Dsn Kolak, RT2/RW4, Wonorejo, Ngadiluwih, Kediri 64171</v>
          </cell>
          <cell r="E19" t="str">
            <v>47.962.814.1-622.000</v>
          </cell>
        </row>
        <row r="20">
          <cell r="B20">
            <v>204022</v>
          </cell>
          <cell r="C20" t="str">
            <v>Sia Tjun Djing, S.Psi.</v>
          </cell>
          <cell r="D20" t="str">
            <v>Menur 83, RT4/RW1, Manyar Sabrangan, Mulyorejo, Surabaya 60116</v>
          </cell>
          <cell r="E20" t="str">
            <v>47.962.759.8-606.000</v>
          </cell>
        </row>
        <row r="21">
          <cell r="B21">
            <v>182006</v>
          </cell>
          <cell r="C21" t="str">
            <v>Arko Indramawan, S.Sos.</v>
          </cell>
          <cell r="D21" t="str">
            <v>Rungkut Kidul RK 5G/23, RT1/RW10, Rungkut Kidul, Rungkut, Surabaya 60293</v>
          </cell>
          <cell r="E21" t="str">
            <v>47.962.789.5-615.000</v>
          </cell>
        </row>
        <row r="22">
          <cell r="B22">
            <v>182008</v>
          </cell>
          <cell r="C22" t="str">
            <v>Lucia S Napitupulu, B.A.</v>
          </cell>
          <cell r="D22" t="str">
            <v>Wisma Kedung Asem Indah H-9, RT3/RW5, Kedung Baruk, Rungkut, Surabaya 60298</v>
          </cell>
          <cell r="E22" t="str">
            <v>47.962.771.3-615.000</v>
          </cell>
        </row>
        <row r="23">
          <cell r="B23">
            <v>184022</v>
          </cell>
          <cell r="C23" t="str">
            <v>Sunaniah Matrolin, Dra</v>
          </cell>
          <cell r="D23" t="str">
            <v>KMP Kejawan 18, RT2/RW6, Socah, Socah, Bangkalan</v>
          </cell>
          <cell r="E23" t="str">
            <v>47.962.763.0-608.000</v>
          </cell>
        </row>
        <row r="24">
          <cell r="B24">
            <v>198020</v>
          </cell>
          <cell r="C24" t="str">
            <v>Ivonne Edrika, S.Psi.</v>
          </cell>
          <cell r="D24" t="str">
            <v>Medayu Selatan 5/18, RT3/RW4, Medokan Ayu, Rungkut, Surabaya 60295</v>
          </cell>
          <cell r="E24" t="str">
            <v>47.962.807.5-615.000</v>
          </cell>
        </row>
        <row r="25">
          <cell r="B25">
            <v>195012</v>
          </cell>
          <cell r="C25" t="str">
            <v>Budi Hartanto, S.T., M.Sc.</v>
          </cell>
          <cell r="D25" t="str">
            <v>Wiguna Tengah IX/24 Surabaya</v>
          </cell>
          <cell r="E25" t="str">
            <v>47.962.765.5-615.000</v>
          </cell>
        </row>
        <row r="26">
          <cell r="B26">
            <v>195017</v>
          </cell>
          <cell r="C26" t="str">
            <v>Puguh Setyopratomo, Ir, M.T.</v>
          </cell>
          <cell r="D26" t="str">
            <v>Medokan Ayu MA III/E-13, RT8, Medokan Ayu, Rungkut, Surabaya 60295</v>
          </cell>
          <cell r="E26" t="str">
            <v>47.962.770.5-615.000</v>
          </cell>
        </row>
        <row r="27">
          <cell r="B27">
            <v>198034</v>
          </cell>
          <cell r="C27" t="str">
            <v>Lindawati, S.T., Ph.D.</v>
          </cell>
          <cell r="D27" t="str">
            <v>Lebak Arum VI/36, RT7/RW14, Gading, Tambaksari, Surabaya 60134</v>
          </cell>
          <cell r="E27" t="str">
            <v>47.962.767.1-606.000</v>
          </cell>
        </row>
        <row r="28">
          <cell r="B28">
            <v>194014</v>
          </cell>
          <cell r="C28" t="str">
            <v>Eko Setiawan, S.Sos</v>
          </cell>
          <cell r="D28" t="str">
            <v>Dukuh Bulak Banteng Timur IX/10, RT4/RW4, Bulak Banteng, Kenjeran, Surabaya 60127</v>
          </cell>
          <cell r="E28" t="str">
            <v>47.962.794.5-606.000</v>
          </cell>
        </row>
        <row r="29">
          <cell r="B29">
            <v>177012</v>
          </cell>
          <cell r="C29" t="str">
            <v>Sulistyowati Suwandi</v>
          </cell>
          <cell r="D29" t="str">
            <v>Nginden Permata II/17, RT11/RW4, Nginden Jkn, Sukolilo, Surabaya 60118</v>
          </cell>
          <cell r="E29" t="str">
            <v>47.962.774.7-606.000</v>
          </cell>
        </row>
        <row r="30">
          <cell r="B30">
            <v>186007</v>
          </cell>
          <cell r="C30" t="str">
            <v>Sutrisno M Yatim, Ir, M.M.</v>
          </cell>
          <cell r="D30" t="str">
            <v>Undaan Kulon 2/57, RT2/RW7, Peneleh, Genteng, Surabaya 60274</v>
          </cell>
          <cell r="E30" t="str">
            <v>47.962.787.9-616.000</v>
          </cell>
        </row>
        <row r="31">
          <cell r="B31">
            <v>178011</v>
          </cell>
          <cell r="C31" t="str">
            <v>Lilik Rohana</v>
          </cell>
          <cell r="D31" t="str">
            <v>Manukan Sari Blok 3A/9, RT8/RW4, Manukan Kulon, Tandes, Surabaya 60185</v>
          </cell>
          <cell r="E31" t="str">
            <v>47.962.754.9-604.000</v>
          </cell>
        </row>
        <row r="32">
          <cell r="B32">
            <v>178012</v>
          </cell>
          <cell r="C32" t="str">
            <v>Ninuk Manuwati</v>
          </cell>
          <cell r="D32" t="str">
            <v>Jagir Sidoresmo 6/19, RT4/RW1, Jagir, Wonokromo, Surabaya 60244</v>
          </cell>
          <cell r="E32" t="str">
            <v>47.962.753.1-609.000</v>
          </cell>
        </row>
        <row r="33">
          <cell r="B33">
            <v>181002</v>
          </cell>
          <cell r="C33" t="str">
            <v>Bambang Ermawan, S.Kom.</v>
          </cell>
          <cell r="D33" t="str">
            <v>Simorejo 27/7, RT7/RW2, Simomulyo, Sukomanunggal, Surabaya 60181</v>
          </cell>
          <cell r="E33" t="str">
            <v>47.962.761.4-604.000</v>
          </cell>
        </row>
        <row r="34">
          <cell r="B34">
            <v>182004</v>
          </cell>
          <cell r="C34" t="str">
            <v>Siti Syamsi Rochani, Bc.Kn.</v>
          </cell>
          <cell r="D34" t="str">
            <v>Husni Palila 20L Gulun, RT3/RW2, Kejuron, Taman, Madiun 63132</v>
          </cell>
          <cell r="E34" t="str">
            <v>47.962.769.7-621.000</v>
          </cell>
        </row>
        <row r="35">
          <cell r="B35">
            <v>184001</v>
          </cell>
          <cell r="C35" t="str">
            <v>R. Agus Sunaryo, S.E.</v>
          </cell>
          <cell r="D35" t="str">
            <v>Bogen II/33, RT5/RW4, Ploso, Tambaksari, Surabaya 60133</v>
          </cell>
          <cell r="E35" t="str">
            <v>47.962.775.4-606.000</v>
          </cell>
        </row>
        <row r="36">
          <cell r="B36">
            <v>184008</v>
          </cell>
          <cell r="C36" t="str">
            <v>Supriono, S.H., M.Hum.</v>
          </cell>
          <cell r="D36" t="str">
            <v>Ikan Nilam Prm.Tambak Rejo Blok M/2 A Sidoarjo</v>
          </cell>
          <cell r="E36" t="str">
            <v>47.962.750.7-617.000</v>
          </cell>
        </row>
        <row r="37">
          <cell r="B37">
            <v>186003</v>
          </cell>
          <cell r="C37" t="str">
            <v>Sri Wahyuni</v>
          </cell>
          <cell r="D37" t="str">
            <v>Krukah Utara 8-C/10, RT3/RW5, Ngagelrejo, Wonokromo, Surabaya 60245</v>
          </cell>
          <cell r="E37" t="str">
            <v>47.962.788.7-609.000</v>
          </cell>
        </row>
        <row r="38">
          <cell r="B38">
            <v>186004</v>
          </cell>
          <cell r="C38" t="str">
            <v>Suwadji, Drs.ec</v>
          </cell>
          <cell r="D38" t="str">
            <v>Ikan Arwana J-23, RT12/RW5, Tambakrejo, Waru, Sidoarjo 61256</v>
          </cell>
          <cell r="E38" t="str">
            <v>47.962.755.6-617.000</v>
          </cell>
        </row>
        <row r="39">
          <cell r="B39">
            <v>186010</v>
          </cell>
          <cell r="C39" t="str">
            <v>Bambang Widjanarko, S.Pd.</v>
          </cell>
          <cell r="D39" t="str">
            <v>Mojo 3D/6, RT3/RW5, Mojo, Gubeng, Surabaya 60285</v>
          </cell>
          <cell r="E39" t="str">
            <v>47.962.790.3-606.000</v>
          </cell>
        </row>
        <row r="40">
          <cell r="B40">
            <v>187010</v>
          </cell>
          <cell r="C40" t="str">
            <v>Moch. Ubaidi Waluyo, S.E.</v>
          </cell>
          <cell r="D40" t="str">
            <v>Wisma Tengger PIPA 21, RT2/RW3, Kandangan, Benowo, Surabaya 60199</v>
          </cell>
          <cell r="E40" t="str">
            <v>47.962.780.4-604.000</v>
          </cell>
        </row>
        <row r="41">
          <cell r="B41">
            <v>187033</v>
          </cell>
          <cell r="C41" t="str">
            <v>Susanto Hardjosuwito</v>
          </cell>
          <cell r="D41" t="str">
            <v>PanjangjiwoSDI/55, RT2/RW2, Panjangjiwo, Tenggilis Mejoyo, Surabaya 60299</v>
          </cell>
          <cell r="E41" t="str">
            <v>47.962.777.0-615.000</v>
          </cell>
        </row>
        <row r="42">
          <cell r="B42">
            <v>189001</v>
          </cell>
          <cell r="C42" t="str">
            <v>Dianawati, Dra</v>
          </cell>
          <cell r="D42" t="str">
            <v>Medayu Selatan 15/O-8, RT8/RW4, Medokan Ayu, Rungkut, Surabaya 60295</v>
          </cell>
          <cell r="E42" t="str">
            <v>47.962.760.6-615.000</v>
          </cell>
        </row>
        <row r="43">
          <cell r="B43">
            <v>191008</v>
          </cell>
          <cell r="C43" t="str">
            <v>Sukarmi</v>
          </cell>
          <cell r="D43" t="str">
            <v>Rungkut Lor RL 2/L-31, RT1/RW10, Kalirungkut, Rungkut, Surabaya 60293</v>
          </cell>
          <cell r="E43" t="str">
            <v>47.962.776.2-615.000</v>
          </cell>
        </row>
        <row r="44">
          <cell r="B44">
            <v>192001</v>
          </cell>
          <cell r="C44" t="str">
            <v>Ida Yuliastuti</v>
          </cell>
          <cell r="D44" t="str">
            <v>Gadukan Utara SD/45, RT1/RW5, Morokrembangan, Krembangan, Surabaya 60178</v>
          </cell>
          <cell r="E44" t="str">
            <v>47.962.779.6-605.000</v>
          </cell>
        </row>
        <row r="45">
          <cell r="B45">
            <v>192011</v>
          </cell>
          <cell r="C45" t="str">
            <v>I Gede Budiarta, S.Psi.</v>
          </cell>
          <cell r="D45" t="str">
            <v>Medayu Selatan 18/O-1, RT8/RW4, Medokan Ayu, Rungkut, Surabaya 60295</v>
          </cell>
          <cell r="E45" t="str">
            <v>47.962.766.3-615.000</v>
          </cell>
        </row>
        <row r="46">
          <cell r="B46">
            <v>198032</v>
          </cell>
          <cell r="C46" t="str">
            <v>Joko Siswantoro, S.Si., M.Si.</v>
          </cell>
          <cell r="D46" t="str">
            <v>Permata Siwalan Indah G1/4, RT22/RW4, Siwalanpanji, Buduran, Sidoarjo 61252</v>
          </cell>
          <cell r="E46" t="str">
            <v>47.962.772.1-609.000</v>
          </cell>
        </row>
        <row r="47">
          <cell r="B47">
            <v>199019</v>
          </cell>
          <cell r="C47" t="str">
            <v>Niken Ariestanti, S.Si.</v>
          </cell>
          <cell r="D47" t="str">
            <v>Rungkut Asri Timur 5/22 (RK 4-I/11), RT4/RW9, Rungkut Kidul, Rungkut, Surabaya 60293</v>
          </cell>
          <cell r="E47" t="str">
            <v>47.962.808.3-615.000</v>
          </cell>
        </row>
        <row r="48">
          <cell r="B48">
            <v>199020</v>
          </cell>
          <cell r="C48" t="str">
            <v>Fitri Dwi Kartikasari, S.Si.</v>
          </cell>
          <cell r="D48" t="str">
            <v>Badik II/42, RT7/RW3,Tebel, Gedangan, Sidoarjo 61254</v>
          </cell>
          <cell r="E48" t="str">
            <v>47.962.808.7-617.000</v>
          </cell>
        </row>
        <row r="49">
          <cell r="B49">
            <v>201007</v>
          </cell>
          <cell r="C49" t="str">
            <v>Endah Asmawati, S.Si.</v>
          </cell>
          <cell r="D49" t="str">
            <v>Bumiarjo 5/40, RT9/RW5, Sawunggaling, Wonokromo, Surabaya 60242</v>
          </cell>
          <cell r="E49" t="str">
            <v>47.962.811.7-609.000</v>
          </cell>
        </row>
        <row r="50">
          <cell r="B50">
            <v>202046</v>
          </cell>
          <cell r="C50" t="str">
            <v>Mochammad Arbi Hadiyat, S.Si.</v>
          </cell>
          <cell r="D50" t="str">
            <v>Tarakan 3/5 GKB, RT6/RW11, Suci, Manyar, Gresik 61151</v>
          </cell>
          <cell r="E50" t="str">
            <v>47.962.816.6-612.000</v>
          </cell>
        </row>
        <row r="51">
          <cell r="B51">
            <v>204005</v>
          </cell>
          <cell r="C51" t="str">
            <v>Arif Herlambang, S.Si.</v>
          </cell>
          <cell r="D51" t="str">
            <v>Rungkut Menanggal Harapan F-18, RT5/RW4, Rungkut Menanggal, Gununganyar, Surabaya 60293</v>
          </cell>
          <cell r="E51" t="str">
            <v>47.962.817.4-615.000</v>
          </cell>
        </row>
        <row r="52">
          <cell r="B52">
            <v>204006</v>
          </cell>
          <cell r="C52" t="str">
            <v>Fenny Irawati, S.Si.</v>
          </cell>
          <cell r="D52" t="str">
            <v>Perum Bumi Asri Sengkaling D/11, RT2/RW5, Mulyoagung, Dau, Malang</v>
          </cell>
          <cell r="E52" t="str">
            <v>47.962.810.9-628.000</v>
          </cell>
        </row>
        <row r="53">
          <cell r="B53">
            <v>205006</v>
          </cell>
          <cell r="C53" t="str">
            <v>Helen Hendaria K.T.W., S.S., M.M.</v>
          </cell>
          <cell r="D53" t="str">
            <v>Panjang Jiwo Permai Selatan 34, RT3/RW5, Panjang Jiwo, Tenggilismejoyo, Surabaya 60299</v>
          </cell>
          <cell r="E53" t="str">
            <v>47.962.797.8-615.000</v>
          </cell>
        </row>
        <row r="54">
          <cell r="B54">
            <v>205007</v>
          </cell>
          <cell r="C54" t="str">
            <v>Patrisius Istiarto Djiwandono, Dr</v>
          </cell>
          <cell r="D54" t="str">
            <v xml:space="preserve">Sulfat Agung Blok 10/11-A, RT7/RW21, Purwantoro, Blimbing, Malang </v>
          </cell>
          <cell r="E54" t="str">
            <v>07.466.293.3-623.033</v>
          </cell>
        </row>
        <row r="55">
          <cell r="B55">
            <v>206005</v>
          </cell>
          <cell r="C55" t="str">
            <v>Mario Christian Noertjahyanto,</v>
          </cell>
          <cell r="D55" t="str">
            <v>Blimbing I/20, RT1/RW4, Wadungasri, Waru, Sidoarjo 61256</v>
          </cell>
          <cell r="E55" t="str">
            <v>47.962.799.4-617.000</v>
          </cell>
        </row>
        <row r="56">
          <cell r="B56">
            <v>206014</v>
          </cell>
          <cell r="C56" t="str">
            <v>Yenny Hartanto, S.S., M.Pd.</v>
          </cell>
          <cell r="D56" t="str">
            <v>Gajah Mada 27/83, RT3/RW5, Kaliwates, Kaliwates, Jember 68133</v>
          </cell>
          <cell r="E56" t="str">
            <v>47.962.798.6-626.000</v>
          </cell>
        </row>
        <row r="57">
          <cell r="B57">
            <v>197048</v>
          </cell>
          <cell r="C57" t="str">
            <v>Rini Widiastuti, S.H.</v>
          </cell>
          <cell r="D57" t="str">
            <v>Perum. Kemiri Indah C3/17, RT17/RW5, Kemiri, Sidoarjo, Sidoarjo 61234</v>
          </cell>
          <cell r="E57" t="str">
            <v>47.962.784.6-617.000</v>
          </cell>
        </row>
        <row r="58">
          <cell r="B58">
            <v>197061</v>
          </cell>
          <cell r="C58" t="str">
            <v>Victoria Hambar Handayani, S.H</v>
          </cell>
          <cell r="D58" t="str">
            <v>KH Hasyim 1, RT9/RW2, Siwalanpanji, Buduran,Sidoarjo 61252</v>
          </cell>
          <cell r="E58" t="str">
            <v>47.962.783.8-617.000</v>
          </cell>
        </row>
        <row r="59">
          <cell r="B59">
            <v>191029</v>
          </cell>
          <cell r="C59" t="str">
            <v>Ernik Setyowati</v>
          </cell>
          <cell r="D59" t="str">
            <v>Gunungsari Indah Blok LL-2, Kedurus, Karangpilang, Surabaya 60223</v>
          </cell>
          <cell r="E59" t="str">
            <v>47.962.756.4-609.000</v>
          </cell>
        </row>
        <row r="60">
          <cell r="B60">
            <v>193031</v>
          </cell>
          <cell r="C60" t="str">
            <v>Lasi, S.Sos.</v>
          </cell>
          <cell r="D60" t="str">
            <v>Medayu Utara, RT09/RW09, Medokan Ayu, Rungkut, Surabaya 60295</v>
          </cell>
          <cell r="E60" t="str">
            <v>47.962.757.2-615.000</v>
          </cell>
        </row>
        <row r="61">
          <cell r="B61">
            <v>196039</v>
          </cell>
          <cell r="C61" t="str">
            <v>Ester Sri Wahyuni, A.Md.</v>
          </cell>
          <cell r="D61" t="str">
            <v>Ngagel Dadi 1-L/3-A, RT5/RW10, Ngagelrejo, Wonokromo, Surabaya 60245</v>
          </cell>
          <cell r="E61" t="str">
            <v>47.962.795.2-609.000</v>
          </cell>
        </row>
        <row r="62">
          <cell r="B62">
            <v>197005</v>
          </cell>
          <cell r="C62" t="str">
            <v>Yoke Estherindawati F., A.Md.</v>
          </cell>
          <cell r="D62" t="str">
            <v>Jemursari XV/B-28, RT2/RW6, Jemur Wonosari, Wonocolo, Surabaya 60237</v>
          </cell>
          <cell r="E62" t="str">
            <v>47.962.758.0-609.000</v>
          </cell>
        </row>
        <row r="63">
          <cell r="B63">
            <v>200036</v>
          </cell>
          <cell r="C63" t="str">
            <v>Dwiyana Pinatasari, S.Sos.</v>
          </cell>
          <cell r="D63" t="str">
            <v>Karangrejo Sawah I/39, RT4/RW3, Wonokromo, Wonokromo, Surabaya 60243</v>
          </cell>
          <cell r="E63" t="str">
            <v>47.962.748.1-609.000</v>
          </cell>
        </row>
        <row r="64">
          <cell r="B64">
            <v>200027</v>
          </cell>
          <cell r="C64" t="str">
            <v>Devi Rachmasari, S.S., M.M.</v>
          </cell>
          <cell r="D64" t="str">
            <v>Wiguna Selatan VI/41, RT1/RW5, Gn Anyar Tambak, Gununganyar, Surabaya 60294</v>
          </cell>
          <cell r="E64" t="str">
            <v>47.962.782.0-615.000</v>
          </cell>
        </row>
        <row r="65">
          <cell r="B65">
            <v>205014</v>
          </cell>
          <cell r="C65" t="str">
            <v>Utomo, SS</v>
          </cell>
          <cell r="D65" t="str">
            <v>Dsn Tanjungan, RT6/RW3, Tanjungan, Kemlagi, Mojokerto 61353</v>
          </cell>
          <cell r="E65" t="str">
            <v>47.962.800.0-602.000</v>
          </cell>
        </row>
        <row r="66">
          <cell r="B66">
            <v>184020</v>
          </cell>
          <cell r="C66" t="str">
            <v>Sri Wiludjeng, B.A.</v>
          </cell>
          <cell r="D66" t="str">
            <v>YKP Mejoyo Blok AF-14, RT4/RW4, Kalirungkut, Rungkut, Surabaya 60293</v>
          </cell>
          <cell r="E66" t="str">
            <v>47.962.751.5-615.000</v>
          </cell>
        </row>
        <row r="67">
          <cell r="B67">
            <v>196027</v>
          </cell>
          <cell r="C67" t="str">
            <v>Anastasia Innurtrisniyati, Dra, M.Si</v>
          </cell>
          <cell r="D67" t="str">
            <v>Rotowijayan 16-B YK, RT43/RW12, Kadipaten, Kraton, Yogyakarta 55132</v>
          </cell>
          <cell r="E67" t="str">
            <v>47.962.819.0-541.000</v>
          </cell>
        </row>
        <row r="68">
          <cell r="B68">
            <v>204023</v>
          </cell>
          <cell r="C68" t="str">
            <v>Go Lisanawati, S.H., M.Hum.</v>
          </cell>
          <cell r="D68" t="str">
            <v>Wiyung Indah I Blok A/43, RT1/RW7, Wiyung, Wiyung, Surabaya 60228</v>
          </cell>
          <cell r="E68" t="str">
            <v>47.962.820.8-609.000</v>
          </cell>
        </row>
        <row r="69">
          <cell r="B69">
            <v>195036</v>
          </cell>
          <cell r="C69" t="str">
            <v>Elsye Tandelilin, Dra, M.M.</v>
          </cell>
          <cell r="D69" t="str">
            <v xml:space="preserve">Bareng Tengah 5/784-A, RT10/RW3, Bareng, Klojen, Malang </v>
          </cell>
          <cell r="E69" t="str">
            <v>47.962.823.2-623.000</v>
          </cell>
        </row>
        <row r="70">
          <cell r="B70">
            <v>193028</v>
          </cell>
          <cell r="C70" t="str">
            <v>Ria Sandra Alimbudiono, Dra.ec</v>
          </cell>
          <cell r="D70" t="str">
            <v>Ploso Timur 4/69, RT2/RW9, Ploso, Tambaksari, Surabaya 60133</v>
          </cell>
          <cell r="E70" t="str">
            <v>47.962.824.0-606.000</v>
          </cell>
        </row>
        <row r="71">
          <cell r="B71">
            <v>188001</v>
          </cell>
          <cell r="C71" t="str">
            <v>Bibit Bidayati</v>
          </cell>
          <cell r="D71" t="str">
            <v>Dinoyo Sekolahan 3/1, RT4/RW3, Keputran, Tambaksari, Surabaya 60265</v>
          </cell>
          <cell r="E71" t="str">
            <v>47.962.821.6-607.000</v>
          </cell>
        </row>
        <row r="72">
          <cell r="B72">
            <v>197015</v>
          </cell>
          <cell r="C72" t="str">
            <v>Fitri Novika Widjaja, S.Si., M.MT</v>
          </cell>
          <cell r="D72" t="str">
            <v>Merak IA-09 Rewwin, RT1/RW9, Wedoro, Waru, Sidoarjo 61256</v>
          </cell>
          <cell r="E72" t="str">
            <v>47.962.822.4-617.000</v>
          </cell>
        </row>
        <row r="73">
          <cell r="B73">
            <v>177002</v>
          </cell>
          <cell r="C73" t="str">
            <v>Sudartik</v>
          </cell>
          <cell r="D73" t="str">
            <v>Kutisari Selatan 39D, RT7/RW3, Kutisari, Tenggilismejoyo, Surabaya 60291</v>
          </cell>
          <cell r="E73" t="str">
            <v>47.962.825.7-615.000</v>
          </cell>
        </row>
        <row r="74">
          <cell r="B74">
            <v>195034</v>
          </cell>
          <cell r="C74" t="str">
            <v>Frikson C. Sinambela, S.Psi, M.MT</v>
          </cell>
          <cell r="D74" t="str">
            <v>Kesatrian Baru 186, RT8/RW10, Sawunggaling, Wonokromo, Surabaya 60242</v>
          </cell>
          <cell r="E74" t="str">
            <v>47.962.827.3-609.000</v>
          </cell>
        </row>
        <row r="75">
          <cell r="B75">
            <v>205012</v>
          </cell>
          <cell r="C75" t="str">
            <v>Pei Yin, S.E.</v>
          </cell>
          <cell r="D75" t="str">
            <v>Kaliwaron 1/19, RT2/RW3, Mojo, Gubeng, Surabaya 60285</v>
          </cell>
          <cell r="E75" t="str">
            <v>47.962.828.1-606.000</v>
          </cell>
        </row>
        <row r="76">
          <cell r="B76">
            <v>184018</v>
          </cell>
          <cell r="C76" t="str">
            <v>Sadiyah, S.Sos.</v>
          </cell>
          <cell r="D76" t="str">
            <v>Kalijudan Taruna 2 Kav 15, RT4/RW3, Kalijudan, Mulyorejo, Surabaya 60114</v>
          </cell>
          <cell r="E76" t="str">
            <v>47.962.826.5-606.000</v>
          </cell>
        </row>
        <row r="77">
          <cell r="B77">
            <v>173001</v>
          </cell>
          <cell r="C77" t="str">
            <v>Waluyo</v>
          </cell>
          <cell r="D77" t="str">
            <v>Karanggayam Teratai 2/5-A, RT2/RW4, Pacarkeling, Tambaksari, Surabaya 60131</v>
          </cell>
          <cell r="E77" t="str">
            <v>47.962.831.5-606.000</v>
          </cell>
        </row>
        <row r="78">
          <cell r="B78">
            <v>198011</v>
          </cell>
          <cell r="C78" t="str">
            <v>Jerry Agus Arlianto, S.T., M.T</v>
          </cell>
          <cell r="D78" t="str">
            <v>Kupang Indah 7/22, RT2/RW5, Dukuh Kupang, Dukuh Pakis, Surabaya 60225</v>
          </cell>
          <cell r="E78" t="str">
            <v>47.962.830.7-614.000</v>
          </cell>
        </row>
        <row r="79">
          <cell r="B79">
            <v>194023</v>
          </cell>
          <cell r="C79" t="str">
            <v>Dina Natalia Prayogo, S.T., M.Sc.</v>
          </cell>
          <cell r="D79" t="str">
            <v>Donokerto 7/7, RT2/RW2, Kapasan, Simokerto, Surabaya 60141</v>
          </cell>
          <cell r="E79" t="str">
            <v>47.962.833.1-616.000</v>
          </cell>
        </row>
        <row r="80">
          <cell r="B80">
            <v>198005</v>
          </cell>
          <cell r="C80" t="str">
            <v>Anantasari, S.Si., M.T.</v>
          </cell>
          <cell r="D80" t="str">
            <v>Pakis Tirtosari 6/47-49, RT7/RW5, Pakis, Sawahan, Surabaya 60256</v>
          </cell>
          <cell r="E80" t="str">
            <v>47.962.832.3-614.000</v>
          </cell>
        </row>
        <row r="81">
          <cell r="B81">
            <v>202011</v>
          </cell>
          <cell r="C81" t="str">
            <v>Denny Aryo, S.T., M.M.</v>
          </cell>
          <cell r="D81" t="str">
            <v>Manyar Tirtoyoso Utara 4/24, RT4/RW7, Klampis Ngasem, Sukolilo, Surabaya 60117</v>
          </cell>
          <cell r="E81" t="str">
            <v>47.962.834.9-606.000</v>
          </cell>
        </row>
        <row r="82">
          <cell r="B82">
            <v>203034</v>
          </cell>
          <cell r="C82" t="str">
            <v>Zulaicha Parastuty, S.T., M.Sc</v>
          </cell>
          <cell r="D82" t="str">
            <v>Medokan Asri Tengah V/S-33, RT1/RW7, Medokan Ayu, Rungkut, Surabaya 60295</v>
          </cell>
          <cell r="E82" t="str">
            <v>47.962.835.6-615.000</v>
          </cell>
        </row>
        <row r="83">
          <cell r="B83">
            <v>192018</v>
          </cell>
          <cell r="C83" t="str">
            <v>Agus Susilo, S.E., M.M., MBA, Ak</v>
          </cell>
          <cell r="D83" t="str">
            <v>Bendul Merisi 2/8, RT3/RW1, Bendulmerisi, Wonocolo, Surabaya 60239</v>
          </cell>
          <cell r="E83" t="str">
            <v>47.962.829.9-609.000</v>
          </cell>
        </row>
        <row r="84">
          <cell r="B84">
            <v>175004</v>
          </cell>
          <cell r="C84" t="str">
            <v>Rochayani</v>
          </cell>
          <cell r="D84" t="str">
            <v>Karang Klumprik Barat 18/27, RT10/RW6, Balas Klumprik, Wiyung, Surabaya 60222</v>
          </cell>
          <cell r="E84" t="str">
            <v>47.962.851.3-609.000</v>
          </cell>
        </row>
        <row r="85">
          <cell r="B85">
            <v>197025</v>
          </cell>
          <cell r="C85" t="str">
            <v>Marianus Yohanes Gaharpung, S.H., M.S.</v>
          </cell>
          <cell r="D85" t="str">
            <v>Taman Pondok Jati Blok BA/16, RT30/RW6, Geluran, Taman, Sidoarjo 61257</v>
          </cell>
          <cell r="E85" t="str">
            <v>47.962.853.9-603.000</v>
          </cell>
        </row>
        <row r="86">
          <cell r="B86">
            <v>183006</v>
          </cell>
          <cell r="C86" t="str">
            <v>Pudji Sanyoto</v>
          </cell>
          <cell r="D86" t="str">
            <v xml:space="preserve">Bluru Permai A-1, RT6/RW9, Bluru Kidul, Sidoarjo, Sidoarjo </v>
          </cell>
          <cell r="E86" t="str">
            <v>47.962.852.1-617.000</v>
          </cell>
        </row>
        <row r="87">
          <cell r="B87">
            <v>187023</v>
          </cell>
          <cell r="C87" t="str">
            <v>Indrawati Kusuma Edy</v>
          </cell>
          <cell r="D87" t="str">
            <v>Gubeng Kertajaya 9B/2, RT5/RW5, Airlangga, Gubeng, Surabaya 60286</v>
          </cell>
          <cell r="E87" t="str">
            <v>47.962.850.5-606.000</v>
          </cell>
        </row>
        <row r="88">
          <cell r="B88">
            <v>184005</v>
          </cell>
          <cell r="C88" t="str">
            <v>Tumino</v>
          </cell>
          <cell r="D88" t="str">
            <v>Penjaringan Timur 3, RT4/RW2, Penjaringan Sari, Rungkut, Surabaya 60297</v>
          </cell>
          <cell r="E88" t="str">
            <v>47.962.848.9-615.000</v>
          </cell>
        </row>
        <row r="89">
          <cell r="B89">
            <v>193029</v>
          </cell>
          <cell r="C89" t="str">
            <v>Siti Kusnul Khotimah</v>
          </cell>
          <cell r="D89" t="str">
            <v>Gununganyar Mas R/3, RT7/RW4, Gn Anyar Tambak, Gununganyar, Surabaya 60294</v>
          </cell>
          <cell r="E89" t="str">
            <v>47.962.849.7-615.000</v>
          </cell>
        </row>
        <row r="90">
          <cell r="B90">
            <v>186001</v>
          </cell>
          <cell r="C90" t="str">
            <v>Kuswati</v>
          </cell>
          <cell r="D90" t="str">
            <v>Perum YKP PS 2 Blok L/3, RT3/RW11, Penjaringan Sari, Rungkut, Surabaya 60297</v>
          </cell>
          <cell r="E90" t="str">
            <v>47.962.847.1-615.000</v>
          </cell>
        </row>
        <row r="91">
          <cell r="B91">
            <v>182018</v>
          </cell>
          <cell r="C91" t="str">
            <v>Ryanto Budiono, Drs, M.Si.</v>
          </cell>
          <cell r="D91" t="str">
            <v>Tembok Lor 2/33, RT2/RW3, Bubutan, Bubutan, Surabaya 60174</v>
          </cell>
          <cell r="E91" t="str">
            <v>47.962.845.5-611.000</v>
          </cell>
        </row>
        <row r="92">
          <cell r="B92">
            <v>169003</v>
          </cell>
          <cell r="C92" t="str">
            <v>Elisawati Wonohadi, Dra, M.Si, Apt</v>
          </cell>
          <cell r="D92" t="str">
            <v>YKP Mejoyo Blok KI/3, RT3/RW12, Kalirungkut, Rungkut, Surabaya 60293</v>
          </cell>
          <cell r="E92" t="str">
            <v>47.962.846.3-615.000</v>
          </cell>
        </row>
        <row r="93">
          <cell r="B93">
            <v>194019</v>
          </cell>
          <cell r="C93" t="str">
            <v>Rina Surjani Purwadipura, Dra, M.Si</v>
          </cell>
          <cell r="D93" t="str">
            <v>Pasar Besar 97, RT3/RW3, Sukohardjo, Klojen, Malang 65118</v>
          </cell>
          <cell r="E93" t="str">
            <v>47.962.844.8-623.000</v>
          </cell>
        </row>
        <row r="94">
          <cell r="B94">
            <v>201014</v>
          </cell>
          <cell r="C94" t="str">
            <v>Akbarningrum Fatmawati, S.T., M.T.</v>
          </cell>
          <cell r="D94" t="str">
            <v>Siwalankerto Timur 2/19-A, RT3/RW5, Siwalankerto, Wonocolo, Surabaya 60236</v>
          </cell>
          <cell r="E94" t="str">
            <v>47.962.842.2-609.000</v>
          </cell>
        </row>
        <row r="95">
          <cell r="B95">
            <v>187016</v>
          </cell>
          <cell r="C95" t="str">
            <v>Endang Srihari, Ir, M.Sc</v>
          </cell>
          <cell r="D95" t="str">
            <v>YKP Rungkut Lor RL VE/20, RT2/RW13, Kalirungkut, Rungkut, Surabaya 60293</v>
          </cell>
          <cell r="E95" t="str">
            <v>47.962.843.0-615.000</v>
          </cell>
        </row>
        <row r="96">
          <cell r="B96">
            <v>195023</v>
          </cell>
          <cell r="C96" t="str">
            <v>Popy Hartatie Hardjo, Ir, M.Si</v>
          </cell>
          <cell r="D96" t="str">
            <v>Gayung Kebonsari 6/14, RT1/RW5, Ketintang, Gayungan, Surabaya 60231</v>
          </cell>
          <cell r="E96" t="str">
            <v>47.962.840.6-609.000</v>
          </cell>
        </row>
        <row r="97">
          <cell r="B97">
            <v>184004</v>
          </cell>
          <cell r="C97" t="str">
            <v xml:space="preserve">Sulistyowati </v>
          </cell>
          <cell r="D97" t="str">
            <v>Sidokapasan I Buntu 1, RT1/RW1, Sidodadi, Simokerto, Surabaya 60145</v>
          </cell>
          <cell r="E97" t="str">
            <v>47.962.841.4-616.000</v>
          </cell>
        </row>
        <row r="98">
          <cell r="B98">
            <v>186017</v>
          </cell>
          <cell r="C98" t="str">
            <v>Elly Hernawati, S.H., M.Hum.</v>
          </cell>
          <cell r="D98" t="str">
            <v>Margorejo 131, RT1/RW7, Margorejo, Wonocolo, Surabaya 60238</v>
          </cell>
          <cell r="E98" t="str">
            <v>47.962.838.0-609.000</v>
          </cell>
        </row>
        <row r="99">
          <cell r="B99">
            <v>184002</v>
          </cell>
          <cell r="C99" t="str">
            <v>Endang Purwaningtyas</v>
          </cell>
          <cell r="D99" t="str">
            <v>Ngagel Mulyo 5/14, RT4/RW4, Ngagelrejo, Wonokromo, Surabaya 60245</v>
          </cell>
          <cell r="E99" t="str">
            <v>47.962.839.8-609.000</v>
          </cell>
        </row>
        <row r="100">
          <cell r="B100">
            <v>197023</v>
          </cell>
          <cell r="C100" t="str">
            <v>Shinta Oktaviani, S.Psi.</v>
          </cell>
          <cell r="D100" t="str">
            <v>Baruk Barat 5B-45, RT4/RW8, Kedung Baruk, rungkut, Surabaya 60298</v>
          </cell>
          <cell r="E100" t="str">
            <v>47.962.836.4-615.000</v>
          </cell>
        </row>
        <row r="101">
          <cell r="B101">
            <v>195007</v>
          </cell>
          <cell r="C101" t="str">
            <v>Sandrawati, Dra</v>
          </cell>
          <cell r="D101" t="str">
            <v>Rangkah 2/6-8, RT4/RW4, Rangkah, Tambaksari, Surabaya 60135</v>
          </cell>
          <cell r="E101" t="str">
            <v>47.962.837.2-606.000</v>
          </cell>
        </row>
        <row r="102">
          <cell r="B102">
            <v>178009</v>
          </cell>
          <cell r="C102" t="str">
            <v>H Didik Widitrismiharto, S.H., M.Hum</v>
          </cell>
          <cell r="D102" t="str">
            <v>Tenggilis Mejoyo Blok KY-11, RT10/RW4, Kalirungkut, Rungkut, Surabaya 60293</v>
          </cell>
          <cell r="E102" t="str">
            <v>47.962.856.2-615.000</v>
          </cell>
        </row>
        <row r="103">
          <cell r="B103">
            <v>199016</v>
          </cell>
          <cell r="C103" t="str">
            <v>Bobby Wijanarko, S.E., S.H., M.Hum</v>
          </cell>
          <cell r="D103" t="str">
            <v>Rungkut Asri Tengah 2/25, RT4/RW6, Rungkut Kidul, Rungkut, Surabaya 60293</v>
          </cell>
          <cell r="E103" t="str">
            <v>47.962.855.4-615.000</v>
          </cell>
        </row>
        <row r="104">
          <cell r="B104">
            <v>199002</v>
          </cell>
          <cell r="C104" t="str">
            <v>Maria Goretti Marianti Purwanto, S.Si, M.Sc, Ph.D</v>
          </cell>
          <cell r="D104" t="str">
            <v>Kutisari Indah Selatan I/37, RT6/RW5, Kutisari, Tenggilismejoyo, Surabaya 60291</v>
          </cell>
          <cell r="E104" t="str">
            <v>47.962.857.0-615.000</v>
          </cell>
        </row>
        <row r="105">
          <cell r="B105">
            <v>186021</v>
          </cell>
          <cell r="C105" t="str">
            <v>Nining Isnindarwati, S.H.</v>
          </cell>
          <cell r="D105" t="str">
            <v>Baruk Barat 3/B-427, RT6/RW8, Kedung Baruk, Rungkut, Surabaya 60298</v>
          </cell>
          <cell r="E105" t="str">
            <v>47.962.859.6-615.000</v>
          </cell>
        </row>
        <row r="106">
          <cell r="B106">
            <v>195009</v>
          </cell>
          <cell r="C106" t="str">
            <v>Melani, Dra, M.Biotech</v>
          </cell>
          <cell r="D106" t="str">
            <v>Citra Harmoni D1/9, RT32/RW1, Sidodadi, Taman, Sidoarjo 61257</v>
          </cell>
          <cell r="E106" t="str">
            <v>47.962.860.4-603.000</v>
          </cell>
        </row>
        <row r="107">
          <cell r="B107">
            <v>205601</v>
          </cell>
          <cell r="C107" t="str">
            <v>Tjandra Pantjajani, DR, Dra, M.S</v>
          </cell>
          <cell r="D107" t="str">
            <v>Raya Wonorejo Permai CC-570, RT4/RW6, Wonorejo, Rungkut, Surabaya 60296</v>
          </cell>
          <cell r="E107" t="str">
            <v>47.962.861.2-615.000</v>
          </cell>
        </row>
        <row r="108">
          <cell r="B108">
            <v>201022</v>
          </cell>
          <cell r="C108" t="str">
            <v>Sulistyo Emantoko Dwi Putra, S.Si., M.Si</v>
          </cell>
          <cell r="D108" t="str">
            <v>Banyu Urip Kidul 9/23, RT6/RW4, Banyu Urip, Sawahan, Surabaya 60254</v>
          </cell>
          <cell r="E108" t="str">
            <v>47.962.862.0-614.000</v>
          </cell>
        </row>
        <row r="109">
          <cell r="B109">
            <v>204014</v>
          </cell>
          <cell r="C109" t="str">
            <v>Lucia Kusumawati, S.Si., M.Sc.</v>
          </cell>
          <cell r="D109" t="str">
            <v>Mojoklanggru Wetan 2/22, RT9/RW5, Mojo, Gubeng, Surabaya 60285</v>
          </cell>
          <cell r="E109" t="str">
            <v>47.962.863.8-606.000</v>
          </cell>
        </row>
        <row r="110">
          <cell r="B110">
            <v>206016</v>
          </cell>
          <cell r="C110" t="str">
            <v>Imanuel Goestaman, SE, Ak</v>
          </cell>
          <cell r="D110" t="str">
            <v>Sepanjang Town House E-5, RT23/RW7, Wonocolo, Taman, Sidoarjo 61257</v>
          </cell>
          <cell r="E110" t="str">
            <v>47.962.858.8-603.000</v>
          </cell>
        </row>
        <row r="111">
          <cell r="B111">
            <v>202025</v>
          </cell>
          <cell r="C111" t="str">
            <v>Claudius Bona, S.S.</v>
          </cell>
          <cell r="D111" t="str">
            <v>Sutorejo Selatan 8/38, RT6/RW8, Dukuh Sutorejo, Mulyorejo, Surabaya 60113</v>
          </cell>
          <cell r="E111" t="str">
            <v>47.962.864.6-606.000</v>
          </cell>
        </row>
        <row r="112">
          <cell r="B112">
            <v>205001</v>
          </cell>
          <cell r="C112" t="str">
            <v>Yohanes Kurniawan, S.Psi.</v>
          </cell>
          <cell r="D112" t="str">
            <v xml:space="preserve">Pepaya 15, RT9/RW1, Pisangcandi, Sukun, Malang </v>
          </cell>
          <cell r="E112" t="str">
            <v>47.962.865.3-623.000</v>
          </cell>
        </row>
        <row r="113">
          <cell r="B113">
            <v>202024</v>
          </cell>
          <cell r="C113" t="str">
            <v>Constantinus Wahju Prijonggo, S.Psi, M.M.</v>
          </cell>
          <cell r="D113" t="str">
            <v>Manyar Jaya 9/12, RT1/RW8, Menur Pumpungan, Sukolilo, Surabaya 60118</v>
          </cell>
          <cell r="E113" t="str">
            <v>47.962.866.1-606.000</v>
          </cell>
        </row>
        <row r="114">
          <cell r="B114">
            <v>176008</v>
          </cell>
          <cell r="C114" t="str">
            <v>Typoek Koen Karnasih</v>
          </cell>
          <cell r="D114" t="str">
            <v>Medokan Ayu MA I-E/28, RT1/RW5, Medokan Ayu, Rungkut, Surabaya 60295</v>
          </cell>
          <cell r="E114" t="str">
            <v>47.962.871.1-615.000</v>
          </cell>
        </row>
        <row r="115">
          <cell r="B115">
            <v>191023</v>
          </cell>
          <cell r="C115" t="str">
            <v>Singgih Widodo L, Drs, S.Pd, M.Pd</v>
          </cell>
          <cell r="D115" t="str">
            <v>Krukah Utara 56, RT2/RW5, Ngagelrejo, Wonokromo, Surabaya 60245</v>
          </cell>
          <cell r="E115" t="str">
            <v>47.962.868.7-609.000</v>
          </cell>
        </row>
        <row r="116">
          <cell r="B116">
            <v>201028</v>
          </cell>
          <cell r="C116" t="str">
            <v>Novie Prasetyaning Marhaeni, S.AB</v>
          </cell>
          <cell r="D116" t="str">
            <v>Tunggulsari Indah Blok O-1, RT3/RW3, Tunggulsari, Kedungwaru, Tulungagung 66222</v>
          </cell>
          <cell r="E116" t="str">
            <v>47.962.869.5-629.000</v>
          </cell>
        </row>
        <row r="117">
          <cell r="B117">
            <v>204029</v>
          </cell>
          <cell r="C117" t="str">
            <v>Yerly Arnold Datu, S.Pd.</v>
          </cell>
          <cell r="D117" t="str">
            <v>Wiguna Tengah 6/26, RT3/RW3, Gn Anyar Tambak, Gununganyar, Surabaya 60294</v>
          </cell>
          <cell r="E117" t="str">
            <v>47.962.870.3-615.000</v>
          </cell>
        </row>
        <row r="118">
          <cell r="B118">
            <v>179008</v>
          </cell>
          <cell r="C118" t="str">
            <v>Nuryanto, Drs.ec, M.M.</v>
          </cell>
          <cell r="D118" t="str">
            <v>Wisma Kedung Asem Indah M/19, RT5/RW5, Kedung Baruk, Rungkut, Surabaya 60298</v>
          </cell>
          <cell r="E118" t="str">
            <v>47.962.867.9-615.000</v>
          </cell>
        </row>
        <row r="119">
          <cell r="B119">
            <v>201024</v>
          </cell>
          <cell r="C119" t="str">
            <v>Andi Irawan, S.Si., MPP.</v>
          </cell>
          <cell r="D119" t="str">
            <v>Rungkut Mejoyo Selatan 4/32, RT4/RW1, Kalirungkut, Rungkut, Surabaya 60293</v>
          </cell>
          <cell r="E119" t="str">
            <v>47.962.873.7-615.000</v>
          </cell>
        </row>
        <row r="120">
          <cell r="B120">
            <v>206023</v>
          </cell>
          <cell r="C120" t="str">
            <v>Eko Setiawan, S.Farm, Apt</v>
          </cell>
          <cell r="D120" t="str">
            <v>Dsn Sawahan, RT9/RW3, Gentengkulon, Genteng, Banyuwangi 68465</v>
          </cell>
          <cell r="E120" t="str">
            <v>47.962.803.4.627.000</v>
          </cell>
        </row>
        <row r="121">
          <cell r="B121">
            <v>196013</v>
          </cell>
          <cell r="C121" t="str">
            <v>Hari Hananto, S.E.</v>
          </cell>
          <cell r="D121" t="str">
            <v>Klampis Sacharosa 38, Klampis Ngasem, Sukolilo, Surabaya 60117</v>
          </cell>
          <cell r="E121" t="str">
            <v>18.740.536.0-606.000</v>
          </cell>
        </row>
        <row r="122">
          <cell r="B122">
            <v>197045</v>
          </cell>
          <cell r="C122" t="str">
            <v>Hendro Margono, S.Sos.</v>
          </cell>
          <cell r="D122" t="str">
            <v>Pondok Wage Permai Blok B/4 Waru Sidoarjo</v>
          </cell>
          <cell r="E122" t="str">
            <v>47.962.752.3-606.000</v>
          </cell>
        </row>
        <row r="123">
          <cell r="B123">
            <v>197052</v>
          </cell>
          <cell r="C123" t="str">
            <v>Like Rahmawati, Dra</v>
          </cell>
          <cell r="D123" t="str">
            <v>Pondok Wage Permai Blok B/4 Waru Sidoarjo</v>
          </cell>
          <cell r="E123" t="str">
            <v>47.962.752.3-606.000</v>
          </cell>
        </row>
        <row r="124">
          <cell r="B124">
            <v>195038</v>
          </cell>
          <cell r="C124" t="str">
            <v>Siti Rahayu, S.E., M.M.</v>
          </cell>
          <cell r="D124" t="str">
            <v>Wisma Medokan YKP WMF/5, RT5/RW8, Medokan Ayu, Rungkut, Surabaya 60295</v>
          </cell>
          <cell r="E124" t="str">
            <v>47.962.854.7-615.000</v>
          </cell>
        </row>
        <row r="125">
          <cell r="B125">
            <v>170001</v>
          </cell>
          <cell r="C125" t="str">
            <v>Anna Pranachita Rijanto, Dra, M.S.</v>
          </cell>
          <cell r="D125" t="str">
            <v>Ketintang Tengah IV/2, RT2/RW10, Ketintang, Gayungan, Surabaya 60231</v>
          </cell>
          <cell r="E125" t="str">
            <v>05.242.657.4-609.000</v>
          </cell>
        </row>
        <row r="126">
          <cell r="B126">
            <v>170005</v>
          </cell>
          <cell r="C126" t="str">
            <v>Sri Ariani, Dra</v>
          </cell>
          <cell r="D126" t="str">
            <v>Residen Sudirman 24, RT3/RW5, Pacar Keling, Tambaksari, Surabaya 60131</v>
          </cell>
          <cell r="E126" t="str">
            <v>19.430.754.2-606.000</v>
          </cell>
        </row>
        <row r="127">
          <cell r="B127">
            <v>179009</v>
          </cell>
          <cell r="C127" t="str">
            <v>Indrajati Kohar, Dra, Ph.D.</v>
          </cell>
          <cell r="D127" t="str">
            <v>Rungkut Asri Utara IX/18 (RLII-G/9), RT2/RW10, Kalirungkut, Rungkut, Surabaya 60293</v>
          </cell>
          <cell r="E127" t="str">
            <v>09.748.242.6-615.000</v>
          </cell>
        </row>
        <row r="128">
          <cell r="B128">
            <v>181007</v>
          </cell>
          <cell r="C128" t="str">
            <v>Soedjito, Drs, Apt.</v>
          </cell>
          <cell r="D128" t="str">
            <v>Pucang Anom 7/49, RT10/RW10, Pucangsewu, Gubeng, Surabaya 60283</v>
          </cell>
          <cell r="E128" t="str">
            <v>05.404.758.4-606.000</v>
          </cell>
        </row>
        <row r="129">
          <cell r="B129">
            <v>182014</v>
          </cell>
          <cell r="C129" t="str">
            <v>Hj Endang Wahyuningsih, Dra, M.S.</v>
          </cell>
          <cell r="D129" t="str">
            <v>Rungkut Permai I/B-27, RT3/RW6, Rungkut Tengah, Gununganyar, Surabaya 60293</v>
          </cell>
          <cell r="E129" t="str">
            <v>05.405.201.4-609.000</v>
          </cell>
        </row>
        <row r="130">
          <cell r="B130">
            <v>187024</v>
          </cell>
          <cell r="C130" t="str">
            <v>Hestiwi Pritasari</v>
          </cell>
          <cell r="D130" t="str">
            <v>Rungkut Menanggal Harapan Z/9A, RT9/RW4, Rungkut Menanggal, Gununganyar, Surabaya 60293</v>
          </cell>
          <cell r="E130" t="str">
            <v>17.143.940.9-615.000</v>
          </cell>
        </row>
        <row r="131">
          <cell r="B131" t="str">
            <v>174001</v>
          </cell>
          <cell r="C131" t="str">
            <v>Anton Prijatno, S.H.</v>
          </cell>
          <cell r="D131" t="str">
            <v>Rungkut Mejoyo Selatan IV 22-24, RT4/RW1, Surabaya</v>
          </cell>
          <cell r="E131" t="str">
            <v>05.129.017.9-615.000</v>
          </cell>
        </row>
        <row r="132">
          <cell r="B132">
            <v>176004</v>
          </cell>
          <cell r="C132" t="str">
            <v>H. Ismail Zarkasi, S.H.</v>
          </cell>
          <cell r="D132" t="str">
            <v>Kedungsari 22, RT2/RW1, Kedungdoro, Tegalsari, Surabaya 60261</v>
          </cell>
          <cell r="E132" t="str">
            <v>06.138.980.5-607.000</v>
          </cell>
        </row>
        <row r="133">
          <cell r="B133">
            <v>179016</v>
          </cell>
          <cell r="C133" t="str">
            <v>Soetrisno, S.H., M.Hum.</v>
          </cell>
          <cell r="D133" t="str">
            <v>Kemuning 4 Wisma Tropodo Waru Sidoarjo</v>
          </cell>
          <cell r="E133" t="str">
            <v>19.521.164.4-617.000</v>
          </cell>
        </row>
        <row r="134">
          <cell r="B134">
            <v>180001</v>
          </cell>
          <cell r="C134" t="str">
            <v>Soedarsono, S.H., M.S.</v>
          </cell>
          <cell r="D134" t="str">
            <v>Rungkut Mejoyo Utara 9-7(KY-9), RT10/RW4, Kalirungkut, Rungkut, Surabaya 60293</v>
          </cell>
          <cell r="E134" t="str">
            <v>05.211.386.7-615.000</v>
          </cell>
        </row>
        <row r="135">
          <cell r="B135">
            <v>182002</v>
          </cell>
          <cell r="C135" t="str">
            <v>Ida Sampit Karo Karo, S.H., CN, M.H.</v>
          </cell>
          <cell r="D135" t="str">
            <v>Tunjung Sari 223, RT3/RW2, Kebonanom, Gedangan, Sidoarjo 61254</v>
          </cell>
          <cell r="E135" t="str">
            <v>19.521.490.3-617.000</v>
          </cell>
        </row>
        <row r="136">
          <cell r="B136">
            <v>186018</v>
          </cell>
          <cell r="C136" t="str">
            <v>Suhariwanto, S.H., M.Hum.</v>
          </cell>
          <cell r="D136" t="str">
            <v>Griyo Mapan Santosa AB-44, RT43/RW5, Tropodo, Waru, Sidoarjo 61256</v>
          </cell>
          <cell r="E136" t="str">
            <v>19.521.300.4-617.000</v>
          </cell>
        </row>
        <row r="137">
          <cell r="B137">
            <v>175006</v>
          </cell>
          <cell r="C137" t="str">
            <v>Salepan</v>
          </cell>
          <cell r="D137" t="str">
            <v>Siwalankerto Utara 48B, RT4/RW3, Siwalankerto, Wonocolo, Surabaya 60236</v>
          </cell>
          <cell r="E137" t="str">
            <v>18.446.619.1-619.000</v>
          </cell>
        </row>
        <row r="138">
          <cell r="B138">
            <v>177014</v>
          </cell>
          <cell r="C138" t="str">
            <v>Anton Prahidis Loar</v>
          </cell>
          <cell r="D138" t="str">
            <v>Semampir Tengah VA/25, RT2/RW7, Medokan Semampir, Sukolilo, Surabaya 60119</v>
          </cell>
          <cell r="E138" t="str">
            <v>18.745.414.5-606.000</v>
          </cell>
        </row>
        <row r="139">
          <cell r="B139">
            <v>179014</v>
          </cell>
          <cell r="C139" t="str">
            <v>Sridadi Soerodjo, Dra.ec, M.M.</v>
          </cell>
          <cell r="D139" t="str">
            <v>Klampis Ngagsem 84, RT2/RW1, Klampis Ngasem, Sukolilo, Surabaya 60117</v>
          </cell>
          <cell r="E139" t="str">
            <v>05.242.477.7-606.000</v>
          </cell>
        </row>
        <row r="140">
          <cell r="B140">
            <v>179017</v>
          </cell>
          <cell r="C140" t="str">
            <v>Wibisono Hardjopranoto, Drs.ec, M.S.</v>
          </cell>
          <cell r="D140" t="str">
            <v>Mojoarum I/2, Mojo, Gubeng, Surabaya</v>
          </cell>
          <cell r="E140" t="str">
            <v>04.221.580.6-606.000</v>
          </cell>
        </row>
        <row r="141">
          <cell r="B141">
            <v>194009</v>
          </cell>
          <cell r="C141" t="str">
            <v>Sujoko Efferin (Lie Tjong Yen), Drs.ec, M.Com, Ph.D</v>
          </cell>
          <cell r="D141" t="str">
            <v xml:space="preserve">Puri Mas E7/5, RT7/RW7, Gununganyar, Gununganyar, Surabaya 60294 </v>
          </cell>
          <cell r="E141" t="str">
            <v>19.432.554.4-615.000</v>
          </cell>
        </row>
        <row r="142">
          <cell r="B142">
            <v>195045</v>
          </cell>
          <cell r="C142" t="str">
            <v>Noviaty Kresna D, S.Psi, M.Si</v>
          </cell>
          <cell r="D142" t="str">
            <v xml:space="preserve">Jl. Klampis Semolo Barat X 21/L-63 </v>
          </cell>
          <cell r="E142" t="str">
            <v>18.741.965.6-606.000</v>
          </cell>
        </row>
        <row r="143">
          <cell r="B143">
            <v>200056</v>
          </cell>
          <cell r="C143" t="str">
            <v>Ventje Jansen, Drs.ec, Ak.</v>
          </cell>
          <cell r="D143" t="str">
            <v>Kertajaya Indah Timur 8/15, RT5/RW10, Manyar Sabrangan, Mulyorejo, Surabaya 60116</v>
          </cell>
          <cell r="E143" t="str">
            <v>05.009.219.6-606.000</v>
          </cell>
        </row>
        <row r="144">
          <cell r="B144">
            <v>200057</v>
          </cell>
          <cell r="C144" t="str">
            <v>Budi Setioraharjo, Drs.ec, Ak.</v>
          </cell>
          <cell r="D144" t="str">
            <v>Manyar Kertoarjo III/20 Surabaya</v>
          </cell>
          <cell r="E144" t="str">
            <v>05.046.336.3-606.000</v>
          </cell>
        </row>
        <row r="145">
          <cell r="B145">
            <v>203001</v>
          </cell>
          <cell r="C145" t="str">
            <v>Werner Ria Murhadi, S.E., M.M.</v>
          </cell>
          <cell r="D145" t="str">
            <v>Manggis 8/644, RT5/RW7, Tambakrejo, Waru, Sidoarjo 61256</v>
          </cell>
          <cell r="E145" t="str">
            <v>19.521.313.7-617.000</v>
          </cell>
        </row>
        <row r="146">
          <cell r="B146">
            <v>201033</v>
          </cell>
          <cell r="C146" t="str">
            <v>Norbertus Poernomolastu, Drs, M.M., Ak</v>
          </cell>
          <cell r="D146" t="str">
            <v>Jl. Jemur Andayani IX/1-3 Surabaya</v>
          </cell>
          <cell r="E146" t="str">
            <v>18.447.702.4-609.000</v>
          </cell>
        </row>
        <row r="147">
          <cell r="B147">
            <v>170003</v>
          </cell>
          <cell r="C147" t="str">
            <v>Hari K. Lasmono, Prof, Dr, dr, M.S.</v>
          </cell>
          <cell r="D147" t="str">
            <v>Rungkut Mejoyo Utara KK/10, RT10/RW4, Kalirungkut, Rungkut, Surabaya 60293</v>
          </cell>
          <cell r="E147" t="str">
            <v>05.014.311.4-611.000</v>
          </cell>
        </row>
        <row r="148">
          <cell r="B148">
            <v>190020</v>
          </cell>
          <cell r="C148" t="str">
            <v>Yusti Probowati R, Dr</v>
          </cell>
          <cell r="D148" t="str">
            <v>Jemursari 3/3, RT3/RW10, Jemur Wonosari, Wonocolo, Surabaya 60237</v>
          </cell>
          <cell r="E148" t="str">
            <v>08.627.973.4-609.000</v>
          </cell>
        </row>
        <row r="149">
          <cell r="B149">
            <v>191002</v>
          </cell>
          <cell r="C149" t="str">
            <v>Setiasih, Dra, M.Kes.</v>
          </cell>
          <cell r="D149" t="str">
            <v>Rungkut Mapan Tengah 2/CB-11, RT2/RW7, Rungkut Tengah, Gununganyar, Surabaya 60293</v>
          </cell>
          <cell r="E149" t="str">
            <v>09.745.557.0-615.000</v>
          </cell>
        </row>
        <row r="150">
          <cell r="B150">
            <v>192010</v>
          </cell>
          <cell r="C150" t="str">
            <v>Srisiuni Sugoto, Dra, M.Si.</v>
          </cell>
          <cell r="D150" t="str">
            <v>Manyar Jaya 12-B/132-A, Menur Pumpungan, Sukolilo, Surabaya</v>
          </cell>
          <cell r="E150" t="str">
            <v>06-803.685.4-609.000</v>
          </cell>
        </row>
        <row r="151">
          <cell r="B151">
            <v>195050</v>
          </cell>
          <cell r="C151" t="str">
            <v>Andrian Pramadi, Drs, M.Si.</v>
          </cell>
          <cell r="D151" t="str">
            <v>Gayung Kebonsari Besar 12-14, RT1/RW5, Ketintang, Gayungan, Surabaya 60231</v>
          </cell>
          <cell r="E151" t="str">
            <v>19.425.484.3-609.000</v>
          </cell>
        </row>
        <row r="152">
          <cell r="B152">
            <v>193003</v>
          </cell>
          <cell r="C152" t="str">
            <v>Thomas Sixtus Iswahyudi HW, S.Sos.</v>
          </cell>
          <cell r="D152" t="str">
            <v>Asem Bagus II/41, Tembok Dukuh, Bubutan,  Surabaya 60173</v>
          </cell>
          <cell r="E152" t="str">
            <v>18.593.122.7-611.000</v>
          </cell>
        </row>
        <row r="153">
          <cell r="B153">
            <v>193032</v>
          </cell>
          <cell r="C153" t="str">
            <v>Muhammad Rosiawan, Drs, M.T.</v>
          </cell>
          <cell r="D153" t="str">
            <v>Manyar Dukuh 124, RT9/RW10, Kertajaya, Gubeng, Surabaya 60282</v>
          </cell>
          <cell r="E153" t="str">
            <v>19.431.193.2-606.000</v>
          </cell>
        </row>
        <row r="154">
          <cell r="B154">
            <v>196035</v>
          </cell>
          <cell r="C154" t="str">
            <v>Eric Wibisono, S.T., M.Eng.</v>
          </cell>
          <cell r="D154" t="str">
            <v>Galaxi Bumi Permai L3/16, RT5/RW5, Medokan Semampir, Sukolilo, Surabaya 60119</v>
          </cell>
          <cell r="E154" t="str">
            <v>19.431.372.2-606.000</v>
          </cell>
        </row>
        <row r="155">
          <cell r="B155">
            <v>197027</v>
          </cell>
          <cell r="C155" t="str">
            <v>Stephanus Eko Wahyudi, S.T.</v>
          </cell>
          <cell r="D155" t="str">
            <v>International Village II, Blok H5 No. 11 Surabaya</v>
          </cell>
          <cell r="E155" t="str">
            <v>19.427.962.6-604.000</v>
          </cell>
        </row>
        <row r="156">
          <cell r="B156">
            <v>199013</v>
          </cell>
          <cell r="C156" t="str">
            <v>Lisana, M.Inf.Tech.</v>
          </cell>
          <cell r="D156" t="str">
            <v>Panjang Jiwo Permai 11/30, RT1/RW5, Panjang Jiwo, Tenggilismejoyo, Surabaya 60299</v>
          </cell>
          <cell r="E156" t="str">
            <v>18.499.483.8-611.000</v>
          </cell>
        </row>
        <row r="157">
          <cell r="B157">
            <v>201034</v>
          </cell>
          <cell r="C157" t="str">
            <v>Bagus Santoso, S.T.</v>
          </cell>
          <cell r="D157" t="str">
            <v>Taman Pondok Indah BLK NN-8, Jajar Tunggal, Wiyung, Surabaya 60229</v>
          </cell>
          <cell r="E157" t="str">
            <v>18.561.495.5-609.000</v>
          </cell>
        </row>
        <row r="158">
          <cell r="B158">
            <v>202010</v>
          </cell>
          <cell r="C158" t="str">
            <v>Markus Hartono, S.T.</v>
          </cell>
          <cell r="D158" t="str">
            <v>Wisma Indah Baru F-30, Ledokkulon, Bojonegoro, Bojonegoro</v>
          </cell>
          <cell r="E158" t="str">
            <v>07.847.600.9-601.000</v>
          </cell>
        </row>
        <row r="159">
          <cell r="B159">
            <v>203008</v>
          </cell>
          <cell r="C159" t="str">
            <v>Winoto, S.T.</v>
          </cell>
          <cell r="D159" t="str">
            <v>DSB Delta Kencana 48, RT23/RW6, Ngingas, Waru, Sidoarjo 61256</v>
          </cell>
          <cell r="E159" t="str">
            <v>07.021.445.7-629.000</v>
          </cell>
        </row>
        <row r="160">
          <cell r="B160">
            <v>203009</v>
          </cell>
          <cell r="C160" t="str">
            <v>Indri Hapsari, S.T.</v>
          </cell>
          <cell r="D160" t="str">
            <v>DSB Delta Puspa 160, Ngingas, Waru, Sidoarjo 61256</v>
          </cell>
          <cell r="E160" t="str">
            <v>07.898.659.3-626.000</v>
          </cell>
        </row>
        <row r="161">
          <cell r="B161">
            <v>173003</v>
          </cell>
          <cell r="C161" t="str">
            <v>Endang Watik</v>
          </cell>
          <cell r="D161" t="str">
            <v>Manyar Sambongan 75-F, RT5/RW10, Kertajaya, Gubeng, Surabaya 60282</v>
          </cell>
          <cell r="E161" t="str">
            <v>18.645.860.0-606.000</v>
          </cell>
        </row>
        <row r="162">
          <cell r="B162">
            <v>183007</v>
          </cell>
          <cell r="C162" t="str">
            <v>H Sri Mince Endramawan, Drs.ec, S.H., M.M.</v>
          </cell>
          <cell r="D162" t="str">
            <v>YKP Pandugo PN-13, RT3/RW8, Penjaringan Sari, Rungkut, Surabaya 60297</v>
          </cell>
          <cell r="E162" t="str">
            <v>09.746.915.9-615.000</v>
          </cell>
        </row>
        <row r="163">
          <cell r="B163">
            <v>192003</v>
          </cell>
          <cell r="C163" t="str">
            <v>Dewi Wahyuni</v>
          </cell>
          <cell r="D163" t="str">
            <v>Gubeng Jertajaya 8-B Dalam 14 Surabaya 60282</v>
          </cell>
          <cell r="E163" t="str">
            <v>19.379.268.6-606.000</v>
          </cell>
        </row>
        <row r="164">
          <cell r="B164">
            <v>200006</v>
          </cell>
          <cell r="C164" t="str">
            <v>Hazrul Iswadi, S.Si., M.Si.</v>
          </cell>
          <cell r="D164" t="str">
            <v>Wahyu Taman Sarirogo AG-33, Sumput, Sidoarjo</v>
          </cell>
          <cell r="E164" t="str">
            <v>19.416.967.8-617.000</v>
          </cell>
        </row>
        <row r="165">
          <cell r="B165">
            <v>195027</v>
          </cell>
          <cell r="C165" t="str">
            <v>Amirul Ulum, S.Sos.</v>
          </cell>
          <cell r="D165" t="str">
            <v>Lebak Rejo 112-A, RT3/RW1,Gading, Tambaksari, Surabaya 60134</v>
          </cell>
          <cell r="E165" t="str">
            <v>18.816.616.9-606.000</v>
          </cell>
        </row>
        <row r="166">
          <cell r="B166">
            <v>196041</v>
          </cell>
          <cell r="C166" t="str">
            <v>Perta Kartikawati, A.Md.</v>
          </cell>
          <cell r="D166" t="str">
            <v>Ngagel Dadi I E/20, RT3/RW10, Ngagelrejo, Wonokromo, Surabaya 60245</v>
          </cell>
          <cell r="E166" t="str">
            <v>18.471.464.0-609.000</v>
          </cell>
        </row>
        <row r="167">
          <cell r="B167">
            <v>186015</v>
          </cell>
          <cell r="C167" t="str">
            <v>Anton Muljono, Dipl-Phys.</v>
          </cell>
          <cell r="D167" t="str">
            <v>Lidah Harapan Blok V-6-7 A, RT3/RW5, Lidah Wetan, Lakarsantri, Surabaya 60213</v>
          </cell>
          <cell r="E167" t="str">
            <v>19.427.915.4-604.000</v>
          </cell>
        </row>
        <row r="168">
          <cell r="B168">
            <v>195055</v>
          </cell>
          <cell r="C168" t="str">
            <v>Benny Santoso, S.T., M.Com.</v>
          </cell>
          <cell r="D168" t="str">
            <v xml:space="preserve">A Yani 137 B, RT4/RW9, Kepolorejo, Magetan, Magetan </v>
          </cell>
          <cell r="E168" t="str">
            <v>24.018.967.0-621.000</v>
          </cell>
        </row>
        <row r="169">
          <cell r="B169">
            <v>197030</v>
          </cell>
          <cell r="C169" t="str">
            <v>Susana Limanto, ST (Liem Sioe Hong)</v>
          </cell>
          <cell r="D169" t="str">
            <v>Kutisari Indah Utara 5/26, RT2/RW6, Kutisari, Tenggilismejoyo, Surabaya 60291</v>
          </cell>
          <cell r="E169" t="str">
            <v>17.135.201.6-615.000</v>
          </cell>
        </row>
        <row r="170">
          <cell r="B170">
            <v>186014</v>
          </cell>
          <cell r="C170" t="str">
            <v>M.C. Ryanto Lukman, Ir</v>
          </cell>
          <cell r="D170" t="str">
            <v>Manyar Kerta Adi V/17, RT3/RW11, Manyar Sabrangan, Mulyorejo, Surabaya 60116</v>
          </cell>
          <cell r="E170" t="str">
            <v>06.258.522.9-606.000</v>
          </cell>
        </row>
        <row r="171">
          <cell r="B171">
            <v>205002</v>
          </cell>
          <cell r="C171" t="str">
            <v>Henry Hermawan, S.T.</v>
          </cell>
          <cell r="D171" t="str">
            <v>Gayungsari 3/20, RT3/RW4, Gayungan, Gayungan, Surabaya 60235</v>
          </cell>
          <cell r="E171" t="str">
            <v>18.769.531.7-609.000</v>
          </cell>
        </row>
        <row r="172">
          <cell r="B172">
            <v>186011</v>
          </cell>
          <cell r="C172" t="str">
            <v>Haryanto, Drs</v>
          </cell>
          <cell r="D172" t="str">
            <v>Baruk Barat 3/6, RT6/RW8, Kedung Baruk, Rungkut, Surabaya 60298</v>
          </cell>
          <cell r="E172" t="str">
            <v>06.711.557.6-615.000</v>
          </cell>
        </row>
        <row r="173">
          <cell r="B173">
            <v>199024</v>
          </cell>
          <cell r="C173" t="str">
            <v>Restu Kartiko Widi, S.Si., M.Si</v>
          </cell>
          <cell r="D173" t="str">
            <v>Menanggal Utara 44, RT7/RW4, Menanggal, Gayungan, Surabaya 60234</v>
          </cell>
          <cell r="E173" t="str">
            <v>18.457.556.1-609.000</v>
          </cell>
        </row>
        <row r="174">
          <cell r="B174">
            <v>202004</v>
          </cell>
          <cell r="C174" t="str">
            <v>Dedhy Sulistyawan, S.E., Ak.</v>
          </cell>
          <cell r="D174" t="str">
            <v>Medayu Selatan 6/34, RT3/RW4, Medokan Ayu, Rungkut, Surabaya 60295</v>
          </cell>
          <cell r="E174" t="str">
            <v>08.858.928.8-508.000</v>
          </cell>
        </row>
        <row r="175">
          <cell r="B175">
            <v>184091</v>
          </cell>
          <cell r="C175" t="str">
            <v>Daniel Djoko Tarliman, S.H., M.S</v>
          </cell>
          <cell r="D175" t="str">
            <v>Raya Gubeng 9, RT1/RW6, Gubeng, Gubeng, Surabaya 60281</v>
          </cell>
          <cell r="E175" t="str">
            <v>04.212.010.5-606.000</v>
          </cell>
        </row>
        <row r="176">
          <cell r="B176">
            <v>186002</v>
          </cell>
          <cell r="C176" t="str">
            <v>Widji Lestari</v>
          </cell>
          <cell r="D176" t="str">
            <v>Bratang Gede VI F/61, RT3/RW12, Ngagelrejo, Wonokromo, Surabaya 60245</v>
          </cell>
          <cell r="E176" t="str">
            <v>19.372.197.4-609.000</v>
          </cell>
        </row>
        <row r="177">
          <cell r="B177">
            <v>184021</v>
          </cell>
          <cell r="C177" t="str">
            <v>Yetni Pudiriyanto</v>
          </cell>
          <cell r="D177" t="str">
            <v>Pakis Gunung II/27, RT6/RW4, Pakis, Sawahan, Surabaya 60256</v>
          </cell>
          <cell r="E177" t="str">
            <v>1.0030977.33-06</v>
          </cell>
        </row>
        <row r="178">
          <cell r="B178">
            <v>206001</v>
          </cell>
          <cell r="C178" t="str">
            <v>Sholeh Hadi Setyawan, S.T., M.T</v>
          </cell>
          <cell r="D178" t="str">
            <v>Perum. ITS Jl Fisika C-12, RT1/RW4, Keputih, Sukolilo, Surabaya 60111</v>
          </cell>
          <cell r="E178" t="str">
            <v>18.745.551.4-606.000</v>
          </cell>
        </row>
        <row r="179">
          <cell r="B179">
            <v>197010</v>
          </cell>
          <cell r="C179" t="str">
            <v>Budi Santoso Goutama, S.T., M.T.</v>
          </cell>
          <cell r="D179" t="str">
            <v>Manyar Tirtoyoso Selatan 9/25, RT6/RW5, Manyar Sabrangan, Mulyorejo, Surabaya 60116</v>
          </cell>
          <cell r="E179" t="str">
            <v>19.435.284.5-606.000</v>
          </cell>
        </row>
        <row r="180">
          <cell r="B180">
            <v>194003</v>
          </cell>
          <cell r="C180" t="str">
            <v>Jenny Lukito S, Dra, MA, Ph.D.</v>
          </cell>
          <cell r="D180" t="str">
            <v>Raya Arjuna 156, RT1/RW3, Sawahan, Sawahan, Surabaya 60251</v>
          </cell>
          <cell r="E180" t="str">
            <v>09.748.311.9-615.000</v>
          </cell>
        </row>
        <row r="181">
          <cell r="B181">
            <v>197026</v>
          </cell>
          <cell r="C181" t="str">
            <v>Aniva Kartika, S.Psi., MA.</v>
          </cell>
          <cell r="D181" t="str">
            <v>Puri Indah V-25, RT29/RW8, Suko, Sidoarjo, Sidoarjo 61224</v>
          </cell>
          <cell r="E181" t="str">
            <v>19.427.492.4-611.000</v>
          </cell>
        </row>
        <row r="182">
          <cell r="B182">
            <v>179015</v>
          </cell>
          <cell r="C182" t="str">
            <v>Soelistiani Soegiono, Dra.ec, M.M.</v>
          </cell>
          <cell r="D182" t="str">
            <v>Perum ITS, Jl. T. Geodesi Blok P-2, RT1/RW7, Keputih, Sukolilo, Surabaya 60111</v>
          </cell>
          <cell r="E182" t="str">
            <v>05.404.775.8-606.000</v>
          </cell>
        </row>
        <row r="183">
          <cell r="B183">
            <v>192012</v>
          </cell>
          <cell r="C183" t="str">
            <v>R. Soetojo Prawirohamidjojo, Prof, MR, Dr</v>
          </cell>
          <cell r="D183" t="str">
            <v>Dharmawangsa Dalam 3, RT10/RW2, Airlangga, Gubeng, Surabaya 60286</v>
          </cell>
          <cell r="E183" t="str">
            <v>05.009.346.7-606.000</v>
          </cell>
        </row>
        <row r="184">
          <cell r="B184">
            <v>195042</v>
          </cell>
          <cell r="C184" t="str">
            <v>Lanny Kusumawati, Dr, Dra, S.H., M.Hum</v>
          </cell>
          <cell r="D184" t="str">
            <v>Kertajaya Indah V/36(F-335), RT1/RW1, Manyarsabrangan, Mulyorejo, Surabaya 60116</v>
          </cell>
          <cell r="E184" t="str">
            <v>07.096.453.1-606.000</v>
          </cell>
        </row>
        <row r="185">
          <cell r="B185">
            <v>195013</v>
          </cell>
          <cell r="C185" t="str">
            <v>Theresia Amelia Pawitra, S.T., MSc</v>
          </cell>
          <cell r="D185" t="str">
            <v>Manyar Tirtoyoso Selatan 1/27, RT5/RW5, Manyar Sabrangan, Mulyorejo, Surabaya 60116</v>
          </cell>
          <cell r="E185" t="str">
            <v>19.509.914.8-606.000</v>
          </cell>
        </row>
        <row r="186">
          <cell r="B186">
            <v>196010</v>
          </cell>
          <cell r="C186" t="str">
            <v>Johanes Jenu Widjaja Tandjung, S.E., M.M.</v>
          </cell>
          <cell r="D186" t="str">
            <v xml:space="preserve">Lebak Arum 5/6, RT6/RW14, Gading, Tambaksari, Surabaya 60134 </v>
          </cell>
          <cell r="E186" t="str">
            <v>18.675.795.1-619.000</v>
          </cell>
        </row>
        <row r="187">
          <cell r="B187">
            <v>191025</v>
          </cell>
          <cell r="C187" t="str">
            <v>Henrycus Winarto Santoso, Drs.ec, M.Si</v>
          </cell>
          <cell r="D187" t="str">
            <v>Juanda Harapan Permai J/39, RT3/RW4, Wedi, Gedangan, Sidoarjo 61254</v>
          </cell>
          <cell r="E187" t="str">
            <v>19.521.464.8-617.000</v>
          </cell>
        </row>
        <row r="188">
          <cell r="B188">
            <v>201006</v>
          </cell>
          <cell r="C188" t="str">
            <v>Etty Satrespati Pudjipangesti, S.E.</v>
          </cell>
          <cell r="D188" t="str">
            <v>Semolowaru Bahari 2/14, RT2/RW5, Semolowaru, Sukolilo, Surabaya 60119</v>
          </cell>
          <cell r="E188" t="str">
            <v>18.740.040.3-605.000</v>
          </cell>
        </row>
        <row r="189">
          <cell r="B189">
            <v>206004</v>
          </cell>
          <cell r="C189" t="str">
            <v>Erna Andajani, S.T., M.M.</v>
          </cell>
          <cell r="D189" t="str">
            <v>Kertajaya Indah 3F/29, RT2/RW10, Manyar Sabrangan, Mulyorejo, Surabaya 60116</v>
          </cell>
          <cell r="E189" t="str">
            <v>18.478.391.8-606.000</v>
          </cell>
        </row>
        <row r="190">
          <cell r="B190">
            <v>181001</v>
          </cell>
          <cell r="C190" t="str">
            <v>Sari Mandiana, S.H., M.S.</v>
          </cell>
          <cell r="D190" t="str">
            <v>Ngagel Timur 3/6, RT3/RW6, Pucang Sewu, Gubeng, Surabaya 60283</v>
          </cell>
          <cell r="E190" t="str">
            <v>06.239.245.1-606.000</v>
          </cell>
        </row>
        <row r="191">
          <cell r="B191">
            <v>182015</v>
          </cell>
          <cell r="C191" t="str">
            <v>Gunadi Atmadji, S.Psi., M.Kes.</v>
          </cell>
          <cell r="D191" t="str">
            <v>Klampis Anom VI/18, Klampisngasem, Sukolilo, Surabaya</v>
          </cell>
          <cell r="E191" t="str">
            <v>06.480.705.0-606.000</v>
          </cell>
        </row>
        <row r="192">
          <cell r="B192">
            <v>187020</v>
          </cell>
          <cell r="C192" t="str">
            <v>Antonius Adji Prayitno, Drs, M.S., Apt</v>
          </cell>
          <cell r="D192" t="str">
            <v xml:space="preserve">Petemon Sidomulyo I/18-A, Petemon, Sawahan, Surabaya </v>
          </cell>
          <cell r="E192" t="str">
            <v>05.845.578.3-607.000</v>
          </cell>
        </row>
        <row r="193">
          <cell r="B193">
            <v>190018</v>
          </cell>
          <cell r="C193" t="str">
            <v>Y.S.D. Natha Utama, Drs</v>
          </cell>
          <cell r="D193" t="str">
            <v>Dinoyo Alun-Alun 2/16, RT1/RW5, Keputran, Tegalsari, Surabaya 60265</v>
          </cell>
          <cell r="E193" t="str">
            <v>18.522.789.9-607.000</v>
          </cell>
        </row>
        <row r="194">
          <cell r="B194">
            <v>200044</v>
          </cell>
          <cell r="C194" t="str">
            <v>The, Jaya Suteja, S.T., M.Sc</v>
          </cell>
          <cell r="D194" t="str">
            <v>Delta Sari Baru Utara X/21, RT16/RW6, Ngingas, Waru, Sidoarjo 61256</v>
          </cell>
          <cell r="E194" t="str">
            <v>19.521.165.9-617.000</v>
          </cell>
        </row>
        <row r="195">
          <cell r="B195">
            <v>198036</v>
          </cell>
          <cell r="C195" t="str">
            <v>Djuwari, S.T., Ph.D</v>
          </cell>
          <cell r="D195" t="str">
            <v>Puri Mas Jl. Ubud F-11/03, RT6/RW7, Gununganyar, Gununganyar, Surabaya 60294</v>
          </cell>
          <cell r="E195" t="str">
            <v>09.748.655.9-615.000</v>
          </cell>
        </row>
        <row r="196">
          <cell r="B196">
            <v>195040</v>
          </cell>
          <cell r="C196" t="str">
            <v>Nemuel Daniel Pah, S.T., M.Eng, Ph.D</v>
          </cell>
          <cell r="D196" t="str">
            <v>Humaniora B/7 Perum ITS, RT1/RW4, Keputih, Sukolilo, Surabaya 60111</v>
          </cell>
          <cell r="E196" t="str">
            <v>08.611.022.8-606.000</v>
          </cell>
        </row>
        <row r="197">
          <cell r="B197">
            <v>188005</v>
          </cell>
          <cell r="C197" t="str">
            <v>Laurentia Verina Halim, Dra, M.M.</v>
          </cell>
          <cell r="D197" t="str">
            <v>Margorejo Indah XI/52 C-328, RT3/RW8, Margorejo, Wonocolo, Surabaya 60238</v>
          </cell>
          <cell r="E197" t="str">
            <v>07.886.752.0-612.000</v>
          </cell>
        </row>
        <row r="198">
          <cell r="B198">
            <v>186005</v>
          </cell>
          <cell r="C198" t="str">
            <v>Edna Sri Redjeki, Dra</v>
          </cell>
          <cell r="D198" t="str">
            <v>Bendulmerisi Selatan 4/16, RT4/RW10, Bendulmerisi, Wonocolo, Surabaya 60239</v>
          </cell>
          <cell r="E198" t="str">
            <v>05.212.170.4-609.000</v>
          </cell>
        </row>
        <row r="199">
          <cell r="B199">
            <v>191028</v>
          </cell>
          <cell r="C199" t="str">
            <v>Joniarto Parung, Ir, MMBAT., Ph.D</v>
          </cell>
          <cell r="D199" t="str">
            <v>Taman Raden Intan 525, RT4/RW4, Arjosari, Blimbing, Malang</v>
          </cell>
          <cell r="E199" t="str">
            <v>08.726.000.6-623.000</v>
          </cell>
        </row>
        <row r="200">
          <cell r="B200">
            <v>194013</v>
          </cell>
          <cell r="C200" t="str">
            <v>Mintarti Ariani, Dra.ec, M.Si</v>
          </cell>
          <cell r="D200" t="str">
            <v xml:space="preserve">Mojoklanggru Lor 59C, RT9/RW4, Mojo, Gubeng, Surabaya 60285 </v>
          </cell>
          <cell r="E200" t="str">
            <v>19.127.152.7-606.000</v>
          </cell>
        </row>
        <row r="201">
          <cell r="B201">
            <v>195011</v>
          </cell>
          <cell r="C201" t="str">
            <v>Lie Hwa, S.T., M.T</v>
          </cell>
          <cell r="D201" t="str">
            <v>Rungkut Lor RL 3E/13, RT4/RW9, Kalirungkut, Rungkut, Surabaya 60293</v>
          </cell>
          <cell r="E201" t="str">
            <v>47.138.886.8-615.000</v>
          </cell>
        </row>
        <row r="202">
          <cell r="B202">
            <v>187015</v>
          </cell>
          <cell r="C202" t="str">
            <v>Natalia Suseno, Ir, M.Si.</v>
          </cell>
          <cell r="D202" t="str">
            <v>Taman Bendulmerisi Selatan B 3/20, RT7/RW10, Bendulmerisi, Wonocolo, Surabaya 60239</v>
          </cell>
          <cell r="E202" t="str">
            <v>06.610.603.0-609.000</v>
          </cell>
        </row>
        <row r="203">
          <cell r="B203">
            <v>202029</v>
          </cell>
          <cell r="C203" t="str">
            <v>Sis Soesetijo, S.T.</v>
          </cell>
          <cell r="D203" t="str">
            <v>Darmawangsa 2/26, RT1/RW1, Airlangga, Gubeng, Surabaya 60286</v>
          </cell>
          <cell r="E203" t="str">
            <v>18.713.454.9-606.000</v>
          </cell>
        </row>
        <row r="204">
          <cell r="B204">
            <v>204037</v>
          </cell>
          <cell r="C204" t="str">
            <v>Agung Prayitno, S.T.</v>
          </cell>
          <cell r="D204" t="str">
            <v>Perum Surya Asri B10-02, RT14/RW3, Sidokepung, Buduran, Sidoarjo 61252</v>
          </cell>
          <cell r="E204" t="str">
            <v>24.228.292.9-617.000</v>
          </cell>
        </row>
        <row r="205">
          <cell r="B205">
            <v>194024</v>
          </cell>
          <cell r="C205" t="str">
            <v>Rosita Meitha Surjani, Ir, M.T</v>
          </cell>
          <cell r="D205" t="str">
            <v>Wonorejo Permai Timur 3/10, RT4/RW4, Wonorejo, Rungkut, Surabaya 60960</v>
          </cell>
          <cell r="E205" t="str">
            <v>09.745.687.5-615.000</v>
          </cell>
        </row>
        <row r="206">
          <cell r="B206">
            <v>201037</v>
          </cell>
          <cell r="C206" t="str">
            <v>Rika Yulia, S.Si., Apt. Sp.FRS</v>
          </cell>
          <cell r="D206" t="str">
            <v xml:space="preserve">Karang Indah BG-38, RT4/RW5, Karang, Semanding, Tuban </v>
          </cell>
          <cell r="E206" t="str">
            <v>07.128.293.3-601.000</v>
          </cell>
        </row>
        <row r="207">
          <cell r="B207">
            <v>178003</v>
          </cell>
          <cell r="C207" t="str">
            <v>Asih Darni</v>
          </cell>
          <cell r="D207" t="str">
            <v xml:space="preserve">Rungkut Lor RL2-K/16, RT1/RW10, Kalirungkut, Rungkut, Surabaya 60298 </v>
          </cell>
          <cell r="E207" t="str">
            <v>09.748.632.8-615.000</v>
          </cell>
        </row>
        <row r="208">
          <cell r="B208">
            <v>180005</v>
          </cell>
          <cell r="C208" t="str">
            <v>Sri Soejani, Ir</v>
          </cell>
          <cell r="D208" t="str">
            <v>Baruk Utara V/B102, RT3/RW6, Kedung Baruk, Rungkut, Surabaya 60298</v>
          </cell>
          <cell r="E208" t="str">
            <v>05.212.381.7-609.000</v>
          </cell>
        </row>
        <row r="209">
          <cell r="B209">
            <v>182011</v>
          </cell>
          <cell r="C209" t="str">
            <v>R. Soediatmoko Soediman, Drs</v>
          </cell>
          <cell r="D209" t="str">
            <v>Gayungsari Barat 3/122, RT4/RW5, Gayungan, Gayungan, Surabaya 60235</v>
          </cell>
          <cell r="E209" t="str">
            <v>06.610.874.7-609.000</v>
          </cell>
        </row>
        <row r="210">
          <cell r="B210">
            <v>199015</v>
          </cell>
          <cell r="C210" t="str">
            <v>Aguslina Kirtishanti, S.Si., M.Si.</v>
          </cell>
          <cell r="D210" t="str">
            <v>Taman Pinang Indah F-2/121, RT35/RW6, Lemahputro, Sidoarjo, Sidoarjo 61213</v>
          </cell>
          <cell r="E210" t="str">
            <v>07.167.459.2-603.000</v>
          </cell>
        </row>
        <row r="211">
          <cell r="B211">
            <v>202019</v>
          </cell>
          <cell r="C211" t="str">
            <v>Bayu Airlangga, S.E., M.M.</v>
          </cell>
          <cell r="D211" t="str">
            <v>Kalikepiting UTS 55/46, RT3/RW5, Pacarkembang, Tambaksari, Surabaya 60132</v>
          </cell>
          <cell r="E211" t="str">
            <v>18.632.193.1-609.000</v>
          </cell>
        </row>
        <row r="212">
          <cell r="B212">
            <v>205009</v>
          </cell>
          <cell r="C212" t="str">
            <v>Fidelis Arastyo Andono, S.E.,</v>
          </cell>
          <cell r="D212" t="str">
            <v>Karanglo Indah I/8, RT4/RW4, Balearjosari, Blimbing, Malang 65326</v>
          </cell>
          <cell r="E212" t="str">
            <v>08.725.293.8-623.000</v>
          </cell>
        </row>
        <row r="213">
          <cell r="B213">
            <v>185002</v>
          </cell>
          <cell r="C213" t="str">
            <v>Sayekti Palupi, Dra, M.Si., Apt</v>
          </cell>
          <cell r="D213" t="str">
            <v>Palem Selatan III-MC 46-47, RT7/RW8, Wadungasri, Waru, Sidoarjo 61256</v>
          </cell>
          <cell r="E213" t="str">
            <v>19.406.531.4-617.000</v>
          </cell>
        </row>
        <row r="214">
          <cell r="B214">
            <v>203007</v>
          </cell>
          <cell r="C214" t="str">
            <v>Kartini, S.Si., Apt.</v>
          </cell>
          <cell r="D214" t="str">
            <v>Dsn Pengendingan, RT1/RW1, Tapen, Kudu, Jombang 61454</v>
          </cell>
          <cell r="E214" t="str">
            <v>24.111.995.7-602.000</v>
          </cell>
        </row>
        <row r="215">
          <cell r="B215">
            <v>200605</v>
          </cell>
          <cell r="C215" t="str">
            <v>II Panigoro, Drs, Apt</v>
          </cell>
          <cell r="D215" t="str">
            <v>Dharmawangsa Dalam Selatan 8, RT10/RW2, Airlangga, Gubeng, Surabaya 60286</v>
          </cell>
          <cell r="E215" t="str">
            <v>05.211.679.5-606.000</v>
          </cell>
        </row>
        <row r="216">
          <cell r="B216">
            <v>179013</v>
          </cell>
          <cell r="C216" t="str">
            <v>Henry Soegeng, S.H., M.Hum.</v>
          </cell>
          <cell r="D216" t="str">
            <v>Manyar Jaya 7/15, RT2/RW8, Menur Pumpungan, Sukolilo, Surabaya 60118</v>
          </cell>
          <cell r="E216" t="str">
            <v>06.256.250.9-606.000</v>
          </cell>
        </row>
        <row r="217">
          <cell r="B217">
            <v>207002</v>
          </cell>
          <cell r="C217" t="str">
            <v>Audia Ratnasari, S.Psi, M.M.</v>
          </cell>
          <cell r="D217" t="str">
            <v>Pandugo Baru 10/35, RT8/RW4, Penjaringan Sari, Rungkut, Surabaya 60297</v>
          </cell>
          <cell r="E217" t="str">
            <v>06.852.342.2-609.000</v>
          </cell>
        </row>
        <row r="218">
          <cell r="B218">
            <v>196048</v>
          </cell>
          <cell r="C218" t="str">
            <v>Firman Rosiadi Djoemadi, S.E., M.Si.</v>
          </cell>
          <cell r="D218" t="str">
            <v>Rungkut Menanggal Selatan 13/D-26, RT3/RW4, Rungkut Menanggal, Gununganyar, Surabaya 60293</v>
          </cell>
          <cell r="E218" t="str">
            <v>09.747.588.3-615.000</v>
          </cell>
        </row>
        <row r="219">
          <cell r="B219">
            <v>198025</v>
          </cell>
          <cell r="C219" t="str">
            <v>Susila Candra, Ir, M.T.</v>
          </cell>
          <cell r="D219" t="str">
            <v>Dukuh Kupang 22/21-23, RT3/RW2, Dukuh Kupang, Dukuh Pakis, Surabaya 60225</v>
          </cell>
          <cell r="E219" t="str">
            <v>09.752.429.2-614.000</v>
          </cell>
        </row>
        <row r="220">
          <cell r="B220">
            <v>189009</v>
          </cell>
          <cell r="C220" t="str">
            <v>Bambang Herwanto, Drs.ec</v>
          </cell>
          <cell r="D220" t="str">
            <v xml:space="preserve">YKP Mejoyo Blok AF-43, RT3/RW4, Kalirungkut, Rungkut, Surabaya 60293 </v>
          </cell>
          <cell r="E220" t="str">
            <v>06.355.315.0-615.000</v>
          </cell>
        </row>
        <row r="221">
          <cell r="B221">
            <v>200047</v>
          </cell>
          <cell r="C221" t="str">
            <v>Susilo Wibowo, S.T.</v>
          </cell>
          <cell r="D221" t="str">
            <v>Tambak Segaran Wetan 2/49, RT7/RW8, Rangkah, Tambaksari, Surabaya 60135</v>
          </cell>
          <cell r="E221" t="str">
            <v>18.667.311.7-606.000</v>
          </cell>
        </row>
        <row r="222">
          <cell r="B222">
            <v>194010</v>
          </cell>
          <cell r="C222" t="str">
            <v>Jimmy Sutjipto, Drs.ec</v>
          </cell>
          <cell r="D222" t="str">
            <v>Jemur Andayani VIII/7 Surabaya</v>
          </cell>
          <cell r="E222" t="str">
            <v>06.547.240.9-609.000</v>
          </cell>
        </row>
        <row r="223">
          <cell r="B223">
            <v>203011</v>
          </cell>
          <cell r="C223" t="str">
            <v>Barnad, Drs, M.T.</v>
          </cell>
          <cell r="D223" t="str">
            <v xml:space="preserve">Manyar Kartika 3/11, RT3/RW7, Menur Pumpungan, Sukolilo, Surabaya </v>
          </cell>
          <cell r="E223" t="str">
            <v>07.867.168.2-606.000</v>
          </cell>
        </row>
        <row r="224">
          <cell r="B224">
            <v>175002</v>
          </cell>
          <cell r="C224" t="str">
            <v>H Eko Sugitario, Prof, Dr, S.H., C.N.</v>
          </cell>
          <cell r="D224" t="str">
            <v xml:space="preserve">Ngagel Wasana 9/2-6, Baratajaya, Gubeng, Surabaya, </v>
          </cell>
          <cell r="E224" t="str">
            <v>05.300.387.7-606.000</v>
          </cell>
        </row>
        <row r="225">
          <cell r="B225">
            <v>180004</v>
          </cell>
          <cell r="C225" t="str">
            <v>Darmo Handojo, Drs, Apt.</v>
          </cell>
          <cell r="D225" t="str">
            <v>Kendangsari Tenggilis Blok L-16,  Kendangsari, Rungkut, Surabaya</v>
          </cell>
          <cell r="E225" t="str">
            <v>06.239.536.3-609.000</v>
          </cell>
        </row>
        <row r="226">
          <cell r="B226">
            <v>187036</v>
          </cell>
          <cell r="C226" t="str">
            <v>Yusrambono, S.H., M.Si.</v>
          </cell>
          <cell r="D226" t="str">
            <v>Ngagel Jaya Tengah 3/17, Pucang Sewu, Gubeng, Surabaya</v>
          </cell>
          <cell r="E226" t="str">
            <v>19.431.470.4-606.000</v>
          </cell>
        </row>
        <row r="227">
          <cell r="B227">
            <v>182013</v>
          </cell>
          <cell r="C227" t="str">
            <v>Johar Pribadi</v>
          </cell>
          <cell r="D227" t="str">
            <v>Semampir Selatan 2-A Apel 3, Medokan Semampir, Sukolilo, Surabaya</v>
          </cell>
          <cell r="E227" t="str">
            <v>18.737.505.0-606.000</v>
          </cell>
        </row>
        <row r="228">
          <cell r="B228">
            <v>187008</v>
          </cell>
          <cell r="C228" t="str">
            <v>Eko Pudjolaksono, Drs, Ak.</v>
          </cell>
          <cell r="D228" t="str">
            <v>Palem Utara 2/MD-3, RT1/RW8, Wadungasri, Waru, Sidoarjo 61256</v>
          </cell>
          <cell r="E228" t="str">
            <v>09.763.317.6-617.000</v>
          </cell>
        </row>
        <row r="229">
          <cell r="B229">
            <v>180006</v>
          </cell>
          <cell r="C229" t="str">
            <v>Soedarjanto Prijo Soebroto, Drs.ec, M.S.</v>
          </cell>
          <cell r="D229" t="str">
            <v>Mejoyo YKP Blok KI-7, Kalirungkut, Rungkut, Surabaya 60293</v>
          </cell>
          <cell r="E229" t="str">
            <v>05.242.498.3-615.000</v>
          </cell>
        </row>
        <row r="230">
          <cell r="B230">
            <v>201027</v>
          </cell>
          <cell r="C230" t="str">
            <v>Mieke Firmansyah, S.Kom.</v>
          </cell>
          <cell r="D230" t="str">
            <v>Rungkut Asri Tengah XVI/7 Surabaya</v>
          </cell>
          <cell r="E230" t="str">
            <v>08.629.464.2-609.000</v>
          </cell>
        </row>
        <row r="231">
          <cell r="B231">
            <v>179003</v>
          </cell>
          <cell r="C231" t="str">
            <v>Ahmad Zafrullah Tayibnapis, Drs.ec, M.S.</v>
          </cell>
          <cell r="D231" t="str">
            <v>Rungkut Mejoyo Utara 9/AB-9, RT10/RW4, Kalirungkut, Rungkut, Surabaya 60293</v>
          </cell>
          <cell r="E231" t="str">
            <v>19.432.092.5-615.000</v>
          </cell>
        </row>
        <row r="232">
          <cell r="B232">
            <v>182017</v>
          </cell>
          <cell r="C232" t="str">
            <v>Lucia Endang Wahyuningsih, Dra, M.Si., Apt</v>
          </cell>
          <cell r="D232" t="str">
            <v>Rungkut Mejoyo Utara 9/AB-9, RT10/RW4, Kalirungkut, Rungkut, Surabaya 60293</v>
          </cell>
          <cell r="E232" t="str">
            <v>05.404.826.9-615.000</v>
          </cell>
        </row>
        <row r="233">
          <cell r="B233">
            <v>187014</v>
          </cell>
          <cell r="C233" t="str">
            <v>Yohanes Gunawan Yusuf, Ir</v>
          </cell>
          <cell r="D233" t="str">
            <v>Kedung Anyar 3/6, RT5/RW13, Sawahan, Sawahan, Surabaya 60251</v>
          </cell>
          <cell r="E233" t="str">
            <v>24.139.939.3-614.000</v>
          </cell>
        </row>
        <row r="234">
          <cell r="B234">
            <v>187012</v>
          </cell>
          <cell r="C234" t="str">
            <v>Evy Herowati, Dra.ec, Ir, M.T.</v>
          </cell>
          <cell r="D234" t="str">
            <v>Simpang Darmo Permai Utara IX/8 Surabaya</v>
          </cell>
          <cell r="E234" t="str">
            <v>24.139.939.3-614.000</v>
          </cell>
        </row>
        <row r="235">
          <cell r="B235">
            <v>196047</v>
          </cell>
          <cell r="C235" t="str">
            <v>Stefanus Budy Widjaja, S.T., M.T.</v>
          </cell>
          <cell r="D235" t="str">
            <v>Ngagel Wasono 1/31, RT2/RW2, Barata Jaya, Gubeng, Surabaya 60284</v>
          </cell>
          <cell r="E235" t="str">
            <v>19.430.877.1-606.000</v>
          </cell>
        </row>
        <row r="236">
          <cell r="B236">
            <v>197007</v>
          </cell>
          <cell r="C236" t="str">
            <v>Yie Ke Feliana, S.E.</v>
          </cell>
          <cell r="D236" t="str">
            <v>Ngagel Wasono 1/31, RT2/RW2, Barata Jaya, Gubeng, Surabaya 60284</v>
          </cell>
          <cell r="E236" t="str">
            <v>19.430.877.1-606.000</v>
          </cell>
        </row>
        <row r="237">
          <cell r="B237">
            <v>181006</v>
          </cell>
          <cell r="C237" t="str">
            <v>Tri Windono, Drs, M.S., Apt.</v>
          </cell>
          <cell r="D237" t="str">
            <v>Blimbing I/50, RT8/RW4, Wadungasri, Waru, Sidoarjo 61256</v>
          </cell>
          <cell r="E237" t="str">
            <v>05.242.760.6-611.000</v>
          </cell>
        </row>
        <row r="238">
          <cell r="B238">
            <v>182009</v>
          </cell>
          <cell r="C238" t="str">
            <v>Nani Parfati, Dra, M.S., Apt.</v>
          </cell>
          <cell r="D238" t="str">
            <v>Blimbing I/50, RT8/RW4, Wadungasri, Waru, Sidoarjo 61256</v>
          </cell>
          <cell r="E238" t="str">
            <v>05.242.698.8-611.000</v>
          </cell>
        </row>
        <row r="239">
          <cell r="B239">
            <v>193007</v>
          </cell>
          <cell r="C239" t="str">
            <v>Matius Triono Mardi Subagijo</v>
          </cell>
          <cell r="D239" t="str">
            <v>Sidotopo Wetan Baru 2/28, RT2/RW6, Sidotopo Wetan, Kenjeran, Surabaya 60128</v>
          </cell>
          <cell r="E239" t="str">
            <v>07.865.244.3-606.000</v>
          </cell>
        </row>
        <row r="240">
          <cell r="B240">
            <v>201042</v>
          </cell>
          <cell r="C240" t="str">
            <v>Donny Irnawan, S.Kom</v>
          </cell>
          <cell r="D240" t="str">
            <v>Jl. Sadewa I/53, RT2/RW4, Pindrikan Kidul, Semarang Tengah, Semarang 50131</v>
          </cell>
          <cell r="E240" t="str">
            <v>07.033.565.8-504.000</v>
          </cell>
        </row>
        <row r="241">
          <cell r="B241">
            <v>195052</v>
          </cell>
          <cell r="C241" t="str">
            <v>Supriyo</v>
          </cell>
          <cell r="D241" t="str">
            <v>Krembangan Jaya Utara 10/33, RT12/RW5, Kemayoran, Krembangan, Surabaya 60176</v>
          </cell>
          <cell r="E241" t="str">
            <v>18.816.072.5-605.000</v>
          </cell>
        </row>
        <row r="242">
          <cell r="B242">
            <v>187031</v>
          </cell>
          <cell r="C242" t="str">
            <v>Sukono</v>
          </cell>
          <cell r="D242" t="str">
            <v>Kr Klumprik Brt 18/57, RT10/RW6, Balas Klumprik, Wiyung, Surabaya 60222</v>
          </cell>
          <cell r="E242" t="str">
            <v>18.437.642.4-609.000</v>
          </cell>
        </row>
        <row r="243">
          <cell r="B243">
            <v>194031</v>
          </cell>
          <cell r="C243" t="str">
            <v>Yusuf Mulus Riptianto, S.E.</v>
          </cell>
          <cell r="D243" t="str">
            <v>Dinoyo Alun-Alun 2/22B, RT1/RW5, Keputran, Tegalsari, Surabaya 60265</v>
          </cell>
          <cell r="E243" t="str">
            <v>18.523.742.7-607.000</v>
          </cell>
        </row>
        <row r="244">
          <cell r="B244">
            <v>196031</v>
          </cell>
          <cell r="C244" t="str">
            <v>Suyono</v>
          </cell>
          <cell r="D244" t="str">
            <v>Ngagel Timur 5/54, RT11/RW6, Pucang Sewu, Gubeng, Surabaya 60283</v>
          </cell>
          <cell r="E244" t="str">
            <v>18.697.687.4-606.000</v>
          </cell>
        </row>
        <row r="245">
          <cell r="B245">
            <v>197011</v>
          </cell>
          <cell r="C245" t="str">
            <v>Moch Ali Syamsudin</v>
          </cell>
          <cell r="D245" t="str">
            <v>Gubernur Soerjo 11, RT2/RW2, Embong Kaliasin, Genteng, Surabaya 60271</v>
          </cell>
          <cell r="E245" t="str">
            <v>18.493.208.5-611.000</v>
          </cell>
        </row>
        <row r="246">
          <cell r="B246">
            <v>202005</v>
          </cell>
          <cell r="C246" t="str">
            <v>Solekan Nurali (Norali S)</v>
          </cell>
          <cell r="D246" t="str">
            <v>Penanggungan 71, RT3/RW5, Petemon, Sawahan, Surabaya 60252</v>
          </cell>
          <cell r="E246" t="str">
            <v>09.752.762.6-614.000</v>
          </cell>
        </row>
        <row r="247">
          <cell r="B247">
            <v>204016</v>
          </cell>
          <cell r="C247" t="str">
            <v>Lilis Sulistriana I, S.H.</v>
          </cell>
          <cell r="D247" t="str">
            <v>Rambutan VIII/HE, RT3/RW5, Wadungasri, Waru Sidoarjo 61256</v>
          </cell>
          <cell r="E247" t="str">
            <v>19.338.544.0-617.000</v>
          </cell>
        </row>
        <row r="248">
          <cell r="B248">
            <v>194004</v>
          </cell>
          <cell r="C248" t="str">
            <v>Prajoga, S.E.</v>
          </cell>
          <cell r="D248" t="str">
            <v>Jagir Sidoresmo 6-G/3-A, RT11/RW3,Jagir, Wonokromo, Surabaya 60244</v>
          </cell>
          <cell r="E248" t="str">
            <v>18.648.593.4-609.000</v>
          </cell>
        </row>
        <row r="249">
          <cell r="B249">
            <v>201008</v>
          </cell>
          <cell r="C249" t="str">
            <v>Moch Ridwan</v>
          </cell>
          <cell r="D249" t="str">
            <v>Nginden Permata 2/31, RT11/RW4, Nginden Jkn, Sukolilo, Surabaya 60118</v>
          </cell>
          <cell r="E249" t="str">
            <v>18.636.197.8-606.000</v>
          </cell>
        </row>
        <row r="250">
          <cell r="B250">
            <v>200013</v>
          </cell>
          <cell r="C250" t="str">
            <v>Muchammad Shodiq</v>
          </cell>
          <cell r="D250" t="str">
            <v>Raya Kalirungkut 101, RT4/RW5, Kalirungkut, Rungkut, Surabaya 60293</v>
          </cell>
          <cell r="E250" t="str">
            <v>18.724.895.0-615.000</v>
          </cell>
        </row>
        <row r="251">
          <cell r="B251">
            <v>202044</v>
          </cell>
          <cell r="C251" t="str">
            <v>Dwi Epatarini, S.Sos</v>
          </cell>
          <cell r="D251" t="str">
            <v>Perum Mutiara Citra Graha H2/5, RT15/RW7, Bligo, Candi, Sidoarjo 61271</v>
          </cell>
          <cell r="E251" t="str">
            <v>18.636.805.6-609.000</v>
          </cell>
        </row>
        <row r="252">
          <cell r="B252">
            <v>189006</v>
          </cell>
          <cell r="C252" t="str">
            <v>Budi Santoso</v>
          </cell>
          <cell r="D252" t="str">
            <v>Rungkut Kidul I/23, RT1/RW1, Rungkut Kidul, Rungkut, Surabaya 60293</v>
          </cell>
          <cell r="E252" t="str">
            <v>09.747.699.8-615.000</v>
          </cell>
        </row>
        <row r="253">
          <cell r="B253">
            <v>206013</v>
          </cell>
          <cell r="C253" t="str">
            <v>Mudianita Ambasuli, S.Psi</v>
          </cell>
          <cell r="D253" t="str">
            <v>Gayungsari Barat 3/114-116, RT4/RW5, Gayungan, Gayungan, Surabaya 60235</v>
          </cell>
          <cell r="E253" t="str">
            <v>19.128.813.3-606.000</v>
          </cell>
        </row>
        <row r="254">
          <cell r="B254">
            <v>206011</v>
          </cell>
          <cell r="C254" t="str">
            <v>Edith Primadiana, S.Pd</v>
          </cell>
          <cell r="D254" t="str">
            <v>Petemon Sidomulyo I/25, RT3/RW18, Petemon, Sawahan, Surabaya</v>
          </cell>
          <cell r="E254" t="str">
            <v>47.679.013.4-614.000</v>
          </cell>
        </row>
        <row r="255">
          <cell r="B255">
            <v>195028</v>
          </cell>
          <cell r="C255" t="str">
            <v>Susanto</v>
          </cell>
          <cell r="D255" t="str">
            <v>Ciliwung 9A, RT12/RW5, Darmo, Wonokromo, Surabaya 60241</v>
          </cell>
          <cell r="E255" t="str">
            <v>18.739.526.4-609.000</v>
          </cell>
        </row>
        <row r="256">
          <cell r="B256">
            <v>196043</v>
          </cell>
          <cell r="C256" t="str">
            <v>Melik Nawangsari</v>
          </cell>
          <cell r="D256" t="str">
            <v>Ciliwung 9A, RT12/RW5, Darmo, Wonokromo, Surabaya 60241</v>
          </cell>
          <cell r="E256" t="str">
            <v>18.739.526.4-609.000</v>
          </cell>
        </row>
        <row r="257">
          <cell r="B257">
            <v>201009</v>
          </cell>
          <cell r="C257" t="str">
            <v>Theodora Fauna Herawati, S.Si., Apt.</v>
          </cell>
          <cell r="D257" t="str">
            <v>Sidotopo Wetan 62, RT3/RW15, Simokerto, Simokerto, Surabaya 60143</v>
          </cell>
          <cell r="E257" t="str">
            <v>17.135.342.8-615.000</v>
          </cell>
        </row>
        <row r="258">
          <cell r="B258">
            <v>207018</v>
          </cell>
          <cell r="C258" t="str">
            <v>Arum Soesanti</v>
          </cell>
          <cell r="D258" t="str">
            <v>Praban Wetan VI/1, RT6/RW10, Alun-Alun Contong, Bubutan, Surabaya 60175</v>
          </cell>
          <cell r="E258" t="str">
            <v>07.879.915.2-611.000</v>
          </cell>
        </row>
        <row r="259">
          <cell r="B259">
            <v>200005</v>
          </cell>
          <cell r="C259" t="str">
            <v>Silvia Margaretha, S.E., M.M.</v>
          </cell>
          <cell r="D259" t="str">
            <v>Jeruk 8/J-469, RT2/RW10, Tambakrejo, Waru, Sidoarjo 61256</v>
          </cell>
          <cell r="E259" t="str">
            <v>47.646.690.9-614.000</v>
          </cell>
        </row>
        <row r="260">
          <cell r="C260" t="str">
            <v>Sutarjadi, Prof, DR, Apt</v>
          </cell>
          <cell r="D260" t="str">
            <v>Dharmawangsa 31, RT10/RW2, Airlangga, Gubeng, Surabaya 60286</v>
          </cell>
          <cell r="E260" t="str">
            <v>05.008.883.0-606.000</v>
          </cell>
        </row>
        <row r="261">
          <cell r="C261" t="str">
            <v>JE Sahetapy, Prof, DR</v>
          </cell>
          <cell r="D261" t="str">
            <v xml:space="preserve">Dharmahusada 3/8, RT2/RW1, Pacar Kembang, Tambaksari, Surabaya </v>
          </cell>
          <cell r="E261" t="str">
            <v>05.046.415.5-606.000</v>
          </cell>
        </row>
        <row r="262">
          <cell r="B262">
            <v>206020</v>
          </cell>
          <cell r="C262" t="str">
            <v>Liliana, S.T.</v>
          </cell>
          <cell r="D262" t="str">
            <v>Dharmahusada Indah Utara XIV-56/U-428, RT5/RW8, Mulyorejo, Mulyorejo, Surabaya</v>
          </cell>
          <cell r="E262" t="str">
            <v>24.282.100.7-606.000</v>
          </cell>
        </row>
        <row r="263">
          <cell r="B263">
            <v>196001</v>
          </cell>
          <cell r="C263" t="str">
            <v>Evy Tjahjono, S.Psi., MGE.</v>
          </cell>
          <cell r="D263" t="str">
            <v>Rungkut Mapan Tengah 5/CE-8, RT5/RW7, Rungkut Tengah, Gununganyar, Surabaya 60293</v>
          </cell>
          <cell r="E263" t="str">
            <v>49.913.481.7-615.000</v>
          </cell>
        </row>
        <row r="264">
          <cell r="B264">
            <v>204034</v>
          </cell>
          <cell r="C264" t="str">
            <v>Adhicipta Raharja Wirawan, S.E.</v>
          </cell>
          <cell r="D264" t="str">
            <v>Rungkut Asri Timur 64 (RK.4-H/12), RT2/RW9, Rungkut Kidul, Rungkut, Surabaya 60293</v>
          </cell>
          <cell r="E264" t="str">
            <v>49.913.482.5-615.000</v>
          </cell>
        </row>
        <row r="265">
          <cell r="B265">
            <v>185001</v>
          </cell>
          <cell r="C265" t="str">
            <v>Soeharsono, Drs</v>
          </cell>
          <cell r="D265" t="str">
            <v>Prima Kebraon 3/18, RT2/RW8, Kebraon, Karangpilang, Surabaya 60222</v>
          </cell>
          <cell r="E265" t="str">
            <v>49.913.483.3-618.000</v>
          </cell>
        </row>
        <row r="266">
          <cell r="B266">
            <v>207007</v>
          </cell>
          <cell r="C266" t="str">
            <v>Irene Syafridda</v>
          </cell>
          <cell r="D266" t="str">
            <v>Baratajaya 20/50, RT7/RW3, Barata Jaya, Gubeng, Surabaya 60284</v>
          </cell>
          <cell r="E266" t="str">
            <v>49.913.484.1-606.000</v>
          </cell>
        </row>
        <row r="267">
          <cell r="B267">
            <v>187022</v>
          </cell>
          <cell r="C267" t="str">
            <v>H Martono, S.H., M.Si.</v>
          </cell>
          <cell r="D267" t="str">
            <v>YKP Medokan Ayu BLK MA IIIH-22, RT1/RW8, Medokan Ayu, Rungkut, Surabaya 60295</v>
          </cell>
          <cell r="E267" t="str">
            <v>49.913.485.8-615.000</v>
          </cell>
        </row>
        <row r="268">
          <cell r="B268">
            <v>200042</v>
          </cell>
          <cell r="C268" t="str">
            <v>Putu Doddy Sutrisna, S.T.</v>
          </cell>
          <cell r="D268" t="str">
            <v xml:space="preserve">Kenyeri gg Kemoning 1, Sumerta Kaja, Denpasar Timur, Denpasar </v>
          </cell>
          <cell r="E268" t="str">
            <v>49.913.486.6-903.000</v>
          </cell>
        </row>
        <row r="269">
          <cell r="B269">
            <v>206006</v>
          </cell>
          <cell r="C269" t="str">
            <v>Teguh Wijaya Mulya, S.Psi.</v>
          </cell>
          <cell r="D269" t="str">
            <v>Jl. Duku VIII/CE-14 Pondok Candra Indah</v>
          </cell>
          <cell r="E269" t="str">
            <v>24.322.435.9-643.000</v>
          </cell>
        </row>
        <row r="270">
          <cell r="B270">
            <v>198016</v>
          </cell>
          <cell r="C270" t="str">
            <v>Gunawan, S.Si., M.B.A.</v>
          </cell>
          <cell r="D270" t="str">
            <v>Wiguna Tengah 18/10, RT6/RW3, Gunung Anyar Tambak, Gunung Anyar, Surabaya 60294</v>
          </cell>
          <cell r="E270" t="str">
            <v>09.745.845.9-615.000</v>
          </cell>
        </row>
        <row r="271">
          <cell r="B271">
            <v>178010</v>
          </cell>
          <cell r="C271" t="str">
            <v>Imam Poerbokoesoemo, Drs.ec, M.Com, MBA</v>
          </cell>
          <cell r="D271" t="str">
            <v>Jl. Kendangsari Blok H-44 Surabaya</v>
          </cell>
          <cell r="E271" t="str">
            <v>17.135.960.7-609.000</v>
          </cell>
        </row>
        <row r="272">
          <cell r="B272">
            <v>188007</v>
          </cell>
          <cell r="C272" t="str">
            <v>Antonius Budhiman Setyawan, Drs.ec, MSSE</v>
          </cell>
          <cell r="D272" t="str">
            <v>Wiyung Indah 10/M-10-C, RT1/RW6, Jajartunggal, Wiyung, Surabaya</v>
          </cell>
          <cell r="E272" t="str">
            <v>14.394.401.5-618.000</v>
          </cell>
        </row>
        <row r="275">
          <cell r="B275">
            <v>206012</v>
          </cell>
          <cell r="C275" t="str">
            <v>BERTHA SILVIA SUTEJO, S.E., M.S.</v>
          </cell>
        </row>
        <row r="276">
          <cell r="B276">
            <v>177006</v>
          </cell>
          <cell r="C276" t="str">
            <v>PARDJONO</v>
          </cell>
        </row>
        <row r="277">
          <cell r="B277">
            <v>178002</v>
          </cell>
          <cell r="C277" t="str">
            <v>RUDI LASANUDIN, Drs.ec, M.M.</v>
          </cell>
        </row>
        <row r="278">
          <cell r="B278">
            <v>195048</v>
          </cell>
          <cell r="C278" t="str">
            <v>JUDITH ENDAH DWIJANTI, S.Psi, M.Psi</v>
          </cell>
          <cell r="D278" t="str">
            <v>Rungkut Mejoyo Selatan 4/3 (P-43), RT4/RW1, Kalirungkut, Rungkut, Surabaya 60293</v>
          </cell>
        </row>
        <row r="279">
          <cell r="B279">
            <v>199026</v>
          </cell>
          <cell r="C279" t="str">
            <v>MARIA PRIHARDIJANTI, DR.rer.nat, S.T.</v>
          </cell>
        </row>
        <row r="280">
          <cell r="B280">
            <v>206003</v>
          </cell>
          <cell r="C280" t="str">
            <v>FENITA ROSARIA, M.Env.Man</v>
          </cell>
        </row>
        <row r="281">
          <cell r="B281">
            <v>199601</v>
          </cell>
          <cell r="C281" t="str">
            <v>HAMIDAH SHAHAB, Dra, Apt</v>
          </cell>
        </row>
        <row r="282">
          <cell r="B282">
            <v>205702</v>
          </cell>
          <cell r="C282" t="str">
            <v>SADONO, Drs, M.Si, Apt</v>
          </cell>
        </row>
        <row r="283">
          <cell r="B283">
            <v>205730</v>
          </cell>
          <cell r="C283" t="str">
            <v>DODDY DE QUELJOE, Drs, M.S., Apt</v>
          </cell>
        </row>
        <row r="284">
          <cell r="B284">
            <v>207703</v>
          </cell>
          <cell r="C284" t="str">
            <v>SOEMADI, Prof, Drs, Apt</v>
          </cell>
        </row>
        <row r="285">
          <cell r="B285">
            <v>207704</v>
          </cell>
          <cell r="C285" t="str">
            <v>SRI SULIHTYOWATI SOEBAGYO, Prof, DR, Apt</v>
          </cell>
        </row>
        <row r="286">
          <cell r="B286">
            <v>207705</v>
          </cell>
          <cell r="C286" t="str">
            <v>R JUWONO, Prof, Dr, SpPD, KPTI</v>
          </cell>
        </row>
        <row r="287">
          <cell r="B287">
            <v>205732</v>
          </cell>
          <cell r="C287" t="str">
            <v>SOETANDYO WIGNJOSOEBROTO, Prof, MPA</v>
          </cell>
        </row>
        <row r="288">
          <cell r="B288">
            <v>205747</v>
          </cell>
          <cell r="C288" t="str">
            <v>J. HENDY TEDJONAGORO, DR, S.H.</v>
          </cell>
        </row>
        <row r="289">
          <cell r="B289">
            <v>205735</v>
          </cell>
          <cell r="C289" t="str">
            <v>NANIEK  MARIANDARI, Dra, M.M</v>
          </cell>
        </row>
        <row r="290">
          <cell r="B290">
            <v>198601</v>
          </cell>
          <cell r="C290" t="str">
            <v>HARRY SOSROHADISEWOJO, DR, Ir</v>
          </cell>
        </row>
        <row r="291">
          <cell r="B291">
            <v>200603</v>
          </cell>
          <cell r="C291" t="str">
            <v>OEI BAN LIANG, Prof, DR</v>
          </cell>
        </row>
        <row r="292">
          <cell r="B292">
            <v>205705</v>
          </cell>
          <cell r="C292" t="str">
            <v>BUDINURYANTO YOHANES, Drs, M.Pd</v>
          </cell>
        </row>
        <row r="293">
          <cell r="B293">
            <v>205706</v>
          </cell>
          <cell r="C293" t="str">
            <v>TOKOK ADIARTO, Drs, M.Sc</v>
          </cell>
        </row>
        <row r="294">
          <cell r="B294">
            <v>205710</v>
          </cell>
          <cell r="C294" t="str">
            <v>FX MARDI HARTANTO, Prof, DR</v>
          </cell>
        </row>
        <row r="295">
          <cell r="B295">
            <v>205711</v>
          </cell>
          <cell r="C295" t="str">
            <v>MOSES LAKSONO S, DR, M.Sc</v>
          </cell>
        </row>
        <row r="296">
          <cell r="B296">
            <v>205712</v>
          </cell>
          <cell r="C296" t="str">
            <v>ARIE KISMANTO, Ir, M.Sc</v>
          </cell>
        </row>
        <row r="297">
          <cell r="B297">
            <v>205714</v>
          </cell>
          <cell r="C297" t="str">
            <v>IRMA WINDRA SYAHRIAL, Dra, M.M.</v>
          </cell>
        </row>
        <row r="298">
          <cell r="B298">
            <v>205715</v>
          </cell>
          <cell r="C298" t="str">
            <v>ADYANA MANUABA, Prof, DR</v>
          </cell>
        </row>
        <row r="299">
          <cell r="B299">
            <v>205716</v>
          </cell>
          <cell r="C299" t="str">
            <v>MATHIAS AROEF, Prof, DR</v>
          </cell>
        </row>
        <row r="300">
          <cell r="B300">
            <v>205717</v>
          </cell>
          <cell r="C300" t="str">
            <v>SRITOMO WIGNJOSOEBROTO, Ir, M.Sc</v>
          </cell>
        </row>
        <row r="301">
          <cell r="B301">
            <v>205720</v>
          </cell>
          <cell r="C301" t="str">
            <v>NUR IRIAWAN, Prof, Drs, M.Kom, Ph.D</v>
          </cell>
        </row>
        <row r="302">
          <cell r="B302">
            <v>205721</v>
          </cell>
          <cell r="C302" t="str">
            <v>INU LAKSITO WIBOWO, Drs, M.Sc</v>
          </cell>
        </row>
        <row r="303">
          <cell r="B303">
            <v>205722</v>
          </cell>
          <cell r="C303" t="str">
            <v>ARIF DJUNAEDI, Prof, Ir, M.Sc, Ph.D</v>
          </cell>
        </row>
        <row r="304">
          <cell r="B304">
            <v>205723</v>
          </cell>
          <cell r="C304" t="str">
            <v>SUPENO DJANALI, Prof, Ir, M.Sc, Ph.D</v>
          </cell>
        </row>
        <row r="305">
          <cell r="B305">
            <v>205724</v>
          </cell>
          <cell r="C305" t="str">
            <v>HANDAYANI TJ, Prof, Ir, M.Sc, Ph.D</v>
          </cell>
        </row>
        <row r="306">
          <cell r="B306">
            <v>205725</v>
          </cell>
          <cell r="C306" t="str">
            <v>WITANTYO, Ir, M.Eng.Sc</v>
          </cell>
        </row>
        <row r="307">
          <cell r="B307">
            <v>205726</v>
          </cell>
          <cell r="C307" t="str">
            <v>I MADE LONDEN BATAN, DR.Ing, M.Eng</v>
          </cell>
        </row>
        <row r="308">
          <cell r="B308">
            <v>205733</v>
          </cell>
          <cell r="C308" t="str">
            <v>FARID SRI LINGGANINGRUM, Spt, M.Si</v>
          </cell>
        </row>
        <row r="309">
          <cell r="B309">
            <v>205750</v>
          </cell>
          <cell r="C309" t="str">
            <v>LANNY SOEWONO, Ph.D</v>
          </cell>
        </row>
        <row r="310">
          <cell r="B310">
            <v>205727</v>
          </cell>
          <cell r="C310" t="str">
            <v>DEDE OETOMO, DR</v>
          </cell>
        </row>
        <row r="311">
          <cell r="B311">
            <v>205728</v>
          </cell>
          <cell r="C311" t="str">
            <v>RUDHI PRASETYA, Prof, DR, S.H.</v>
          </cell>
        </row>
        <row r="312">
          <cell r="B312">
            <v>205729</v>
          </cell>
          <cell r="C312" t="str">
            <v>DANIEL T SPARINGGA, DR, M.A.</v>
          </cell>
        </row>
        <row r="313">
          <cell r="B313">
            <v>207701</v>
          </cell>
          <cell r="C313" t="str">
            <v>HERLIEN BUDIONO, DR, S.H.</v>
          </cell>
        </row>
        <row r="314">
          <cell r="B314">
            <v>203601</v>
          </cell>
          <cell r="C314" t="str">
            <v>LEA PRASETIO, Dra, M.Sc</v>
          </cell>
        </row>
        <row r="315">
          <cell r="B315">
            <v>206701</v>
          </cell>
          <cell r="C315" t="str">
            <v>HARYADI, Drs, M.Si</v>
          </cell>
          <cell r="D315" t="str">
            <v>Sidosermo PDK 3-A Kav 162, RT3/RW5, Sidosermo, Wonocolo, Surabaya 60239</v>
          </cell>
          <cell r="E315" t="str">
            <v>07.877.575.6-609.000</v>
          </cell>
        </row>
        <row r="316">
          <cell r="B316">
            <v>206702</v>
          </cell>
          <cell r="C316" t="str">
            <v>WISNU PRAMUTANTO P, Drs, M.Si</v>
          </cell>
        </row>
        <row r="317">
          <cell r="B317">
            <v>200701</v>
          </cell>
          <cell r="C317" t="str">
            <v>NANIZAR JAMAN, Prof, Pharm.D</v>
          </cell>
        </row>
        <row r="318">
          <cell r="B318">
            <v>200702</v>
          </cell>
          <cell r="C318" t="str">
            <v>SUTARJADI, Prof, DR, Apt</v>
          </cell>
        </row>
        <row r="319">
          <cell r="B319">
            <v>202703</v>
          </cell>
          <cell r="C319" t="str">
            <v>A AZIZ HUBEIS, Prof, DR, Apt</v>
          </cell>
        </row>
        <row r="320">
          <cell r="B320">
            <v>199010</v>
          </cell>
          <cell r="C320" t="str">
            <v>JE SAHETAPY, Prof, DR</v>
          </cell>
        </row>
        <row r="321">
          <cell r="B321">
            <v>192008</v>
          </cell>
          <cell r="C321" t="str">
            <v>BAMBANG TJITRO SAMUDRO, Ir, M.Sc</v>
          </cell>
        </row>
        <row r="322">
          <cell r="B322">
            <v>207011</v>
          </cell>
          <cell r="C322" t="str">
            <v>OEKE YUNITA, S.Si, M.Si., Apt</v>
          </cell>
        </row>
        <row r="323">
          <cell r="B323">
            <v>195037</v>
          </cell>
          <cell r="C323" t="str">
            <v>SUGENG HARIADI, S.E., M.Si</v>
          </cell>
          <cell r="D323" t="str">
            <v>Wisma Medokan YKP WMF/5, RT5/RW8, Medokan Ayu, Rungkut, Surabaya 60295</v>
          </cell>
        </row>
        <row r="324">
          <cell r="B324">
            <v>201019</v>
          </cell>
          <cell r="C324" t="str">
            <v>Sylvia Janisriwati, S.H., M.Hum</v>
          </cell>
          <cell r="D324" t="str">
            <v>Manggis Tengah 10, RT2/RW11, Tambakrejo, Waru, Sidoarjo 61256</v>
          </cell>
        </row>
        <row r="325">
          <cell r="B325">
            <v>181004</v>
          </cell>
          <cell r="C325" t="str">
            <v>Ririn Sumiyani, Dra, M.S., Apt</v>
          </cell>
          <cell r="D325" t="str">
            <v>Mojoklangru Kidul B 35-36 Surabaya</v>
          </cell>
        </row>
        <row r="326">
          <cell r="B326">
            <v>190023</v>
          </cell>
          <cell r="C326" t="str">
            <v>Mariana Wahyudi, Dra, M.Si.</v>
          </cell>
          <cell r="D326" t="str">
            <v>Perum Juanda Harapan Permai Blok H-33 Sidoarjo</v>
          </cell>
        </row>
        <row r="327">
          <cell r="B327">
            <v>199014</v>
          </cell>
          <cell r="C327" t="str">
            <v>Rr Christina Avanti, Dra, M.Si,</v>
          </cell>
          <cell r="D327" t="str">
            <v xml:space="preserve">Kertomenanggal X/47 Surabaya  </v>
          </cell>
        </row>
        <row r="328">
          <cell r="B328">
            <v>200031</v>
          </cell>
          <cell r="C328" t="str">
            <v>Ni Luh Dewi Aryani, S.Si., Apt</v>
          </cell>
          <cell r="D328" t="str">
            <v>Jl.Bratang Gede VI-F No. 55 Surabaya</v>
          </cell>
        </row>
        <row r="329">
          <cell r="B329">
            <v>200032</v>
          </cell>
          <cell r="C329" t="str">
            <v>Alasen Sembiring Milala, S.Si, Apt</v>
          </cell>
          <cell r="D329" t="str">
            <v>Wiguna Timur 17/33 Surabaya</v>
          </cell>
        </row>
        <row r="330">
          <cell r="B330">
            <v>201010</v>
          </cell>
          <cell r="C330" t="str">
            <v>Dini Kesuma, S.Si., Apt.</v>
          </cell>
          <cell r="D330" t="str">
            <v>Jl. Rungkut Mapan Timur VII/EF-10 Surabaya</v>
          </cell>
        </row>
        <row r="331">
          <cell r="B331">
            <v>202027</v>
          </cell>
          <cell r="C331" t="str">
            <v>Agnes Nuniek Winantari, S.Si.</v>
          </cell>
          <cell r="D331" t="str">
            <v>Jl. Ngagel Jaya Indah III/11 Surabaya</v>
          </cell>
        </row>
        <row r="332">
          <cell r="B332">
            <v>203006</v>
          </cell>
          <cell r="C332" t="str">
            <v>Kusuma Hendrajaya, S.Si., Apt.</v>
          </cell>
          <cell r="D332" t="str">
            <v>Jl. Tenggilis Utara VIII/4 Surabaya</v>
          </cell>
        </row>
        <row r="333">
          <cell r="B333">
            <v>204031</v>
          </cell>
          <cell r="C333" t="str">
            <v>Azminah, Dra, M.Si.</v>
          </cell>
          <cell r="D333" t="str">
            <v>Jl. Manyar Kartika III/11 Surabaya</v>
          </cell>
        </row>
        <row r="334">
          <cell r="B334">
            <v>179006</v>
          </cell>
          <cell r="C334" t="str">
            <v>H.Heru Susanto, S.H., M.Hum.</v>
          </cell>
          <cell r="D334" t="str">
            <v>Swadaya 103 Bangah Gedangan Sidoarjo</v>
          </cell>
        </row>
        <row r="335">
          <cell r="B335">
            <v>181005</v>
          </cell>
          <cell r="C335" t="str">
            <v>Sudiman Sidabukke, Dr, S.H., CN, M.Hum</v>
          </cell>
          <cell r="D335" t="str">
            <v>Rungkut Lor Rl IIIA/14 Perum YKP Surabaya</v>
          </cell>
        </row>
        <row r="336">
          <cell r="B336">
            <v>182003</v>
          </cell>
          <cell r="C336" t="str">
            <v>Irta Windra Syahrial, S.H., M.S.</v>
          </cell>
          <cell r="D336" t="str">
            <v xml:space="preserve">Tenggilis Mejoyo Blok KI-6 Surabaya, </v>
          </cell>
        </row>
        <row r="337">
          <cell r="B337">
            <v>184012</v>
          </cell>
          <cell r="C337" t="str">
            <v>J. Bambang Soenarjo, S.H., M.H.</v>
          </cell>
          <cell r="D337" t="str">
            <v>Barata Jaya XIII/30 Surabaya</v>
          </cell>
        </row>
        <row r="338">
          <cell r="B338">
            <v>184013</v>
          </cell>
          <cell r="C338" t="str">
            <v>Siti Zuraida, S.H., M.Hum.</v>
          </cell>
          <cell r="D338" t="str">
            <v>Mulyosari Utara III/18 Surabaya</v>
          </cell>
        </row>
        <row r="339">
          <cell r="B339">
            <v>188003</v>
          </cell>
          <cell r="C339" t="str">
            <v>Tjondro Tirtamulia, S.H.</v>
          </cell>
          <cell r="D339" t="str">
            <v>YKP Rungkut Lor Rl IF/5 Surabaya</v>
          </cell>
        </row>
        <row r="340">
          <cell r="B340">
            <v>189002</v>
          </cell>
          <cell r="C340" t="str">
            <v>Hesti Armiwulan, S.H., M.Hum.</v>
          </cell>
          <cell r="D340" t="str">
            <v>Rungkut Lor Rl I-I/10 Surabaya</v>
          </cell>
        </row>
        <row r="341">
          <cell r="B341">
            <v>189019</v>
          </cell>
          <cell r="C341" t="str">
            <v>Sriwati, S.H., Notaris, M.Hum.</v>
          </cell>
          <cell r="D341" t="str">
            <v>Ikan Arwana No.52 I-19 Perum Tambakrejo Indah Sidoarjo</v>
          </cell>
        </row>
        <row r="342">
          <cell r="B342">
            <v>195006</v>
          </cell>
          <cell r="C342" t="str">
            <v>Elfina Lebrine Sahetapy, S.H., LLM</v>
          </cell>
          <cell r="D342" t="str">
            <v>Dharmahusada III/8 Surabaya</v>
          </cell>
        </row>
        <row r="343">
          <cell r="B343">
            <v>196008</v>
          </cell>
          <cell r="C343" t="str">
            <v>Yoan Nursari Simanjuntak, Dr, S.H, M.Hum</v>
          </cell>
          <cell r="D343" t="str">
            <v>Perum Juanda Harapan Permai AH/23 Surabaya</v>
          </cell>
        </row>
        <row r="344">
          <cell r="B344">
            <v>197002</v>
          </cell>
          <cell r="C344" t="str">
            <v>Taufik Imam Santoso, S.H., M.Hum</v>
          </cell>
          <cell r="D344" t="str">
            <v>Gayung Sari Barat III/5 Surabaya</v>
          </cell>
        </row>
        <row r="345">
          <cell r="B345">
            <v>200059</v>
          </cell>
          <cell r="C345" t="str">
            <v>Wisnu Aryo Dewanto, S.H., LLM.</v>
          </cell>
          <cell r="D345" t="str">
            <v>Ready Kota Damai Jl.Dadap I/5 Kedamean Gresik</v>
          </cell>
        </row>
        <row r="346">
          <cell r="B346">
            <v>201040</v>
          </cell>
          <cell r="C346" t="str">
            <v>Sonya Claudia Siwu, S.H., M.H.</v>
          </cell>
          <cell r="D346" t="str">
            <v>Jl. Pandugo II Blok P-II Q/6 (Perum YKP) Surabaya</v>
          </cell>
        </row>
        <row r="347">
          <cell r="B347">
            <v>203015</v>
          </cell>
          <cell r="C347" t="str">
            <v>Suhartati, S.H., M.Hum.</v>
          </cell>
          <cell r="D347" t="str">
            <v>Jl. Blauran III/41 Surabaya</v>
          </cell>
        </row>
        <row r="348">
          <cell r="B348">
            <v>178004</v>
          </cell>
          <cell r="C348" t="str">
            <v>Muthalip, Drs.ec, M.S.</v>
          </cell>
          <cell r="D348" t="str">
            <v>Jl. Manyar Indah VII/7 60118 Surabaya</v>
          </cell>
        </row>
        <row r="349">
          <cell r="B349">
            <v>179004</v>
          </cell>
          <cell r="C349" t="str">
            <v>Eko Waluyo Suwardyono, Drs.ec, M.M.</v>
          </cell>
          <cell r="D349" t="str">
            <v>Jl. Rungkut Asri Tengah III/12 Surabaya</v>
          </cell>
        </row>
        <row r="350">
          <cell r="B350">
            <v>179005</v>
          </cell>
          <cell r="C350" t="str">
            <v>Endang Ernawati, Dra.ec, M.Si.</v>
          </cell>
          <cell r="D350" t="str">
            <v>Semolowaru Elok Blok A-6 Surabaya 60129</v>
          </cell>
        </row>
        <row r="351">
          <cell r="B351">
            <v>179007</v>
          </cell>
          <cell r="C351" t="str">
            <v>Mudji Utami, Dra.ec, M.Si.</v>
          </cell>
          <cell r="D351" t="str">
            <v>Semolowaru Selatan XI/16 Surabaya 60129</v>
          </cell>
        </row>
        <row r="352">
          <cell r="B352">
            <v>186016</v>
          </cell>
          <cell r="C352" t="str">
            <v>Wiyono Pontjo Haryo, Drs, M.M, Ak</v>
          </cell>
          <cell r="D352" t="str">
            <v>Panjang Jiwo Permai Gg.IV/19 Surabaya</v>
          </cell>
        </row>
        <row r="353">
          <cell r="B353">
            <v>187004</v>
          </cell>
          <cell r="C353" t="str">
            <v>Ferry Suswandi Julius, Drs, M.M</v>
          </cell>
          <cell r="D353" t="str">
            <v>Jl. Manyar Tirto Asri Gg.8/56 Surabaya</v>
          </cell>
        </row>
        <row r="354">
          <cell r="B354">
            <v>187005</v>
          </cell>
          <cell r="C354" t="str">
            <v>J.L. Eko Nugroho, Drs.ec, M.Si</v>
          </cell>
          <cell r="D354" t="str">
            <v>Wisma Penjaringan Sari L-11 Jl. Pandugo Baru III Surabaya</v>
          </cell>
        </row>
        <row r="355">
          <cell r="B355">
            <v>187006</v>
          </cell>
          <cell r="C355" t="str">
            <v>Indarini, Dra.ec, M.M.</v>
          </cell>
          <cell r="D355" t="str">
            <v>Perum Kosagrha Jl. Medayu Selatan XVIII Q/17 Surabaya</v>
          </cell>
        </row>
        <row r="357">
          <cell r="B357">
            <v>188021</v>
          </cell>
          <cell r="C357" t="str">
            <v>Johny Rusdiyanto, Drs, M.M.</v>
          </cell>
          <cell r="D357" t="str">
            <v>Rungkut Mapan Tengah IX/DH-15 Surabaya 61256</v>
          </cell>
        </row>
        <row r="358">
          <cell r="B358">
            <v>190028</v>
          </cell>
          <cell r="C358" t="str">
            <v>Liliana Inggrit Wijaya, Dra.ec, M.M.</v>
          </cell>
          <cell r="D358" t="str">
            <v>Jl. Tenggilis Timur II/36 Surabaya 60292</v>
          </cell>
        </row>
        <row r="359">
          <cell r="B359">
            <v>191019</v>
          </cell>
          <cell r="C359" t="str">
            <v>T. Soemarman, Drs, M.S.Ed.</v>
          </cell>
          <cell r="D359" t="str">
            <v>Wiguna Tengah 18/6 Gunung Anyar Tambak Sby</v>
          </cell>
        </row>
        <row r="360">
          <cell r="B360">
            <v>194006</v>
          </cell>
          <cell r="C360" t="str">
            <v>Irzameingindra Putri R, Dra.ec, M.Si</v>
          </cell>
          <cell r="D360" t="str">
            <v>Jl. Bhaskara Tengah D-33 Surabaya 60112</v>
          </cell>
        </row>
        <row r="361">
          <cell r="B361">
            <v>194007</v>
          </cell>
          <cell r="C361" t="str">
            <v>Heru Suprihhadi, S.E., M.S.</v>
          </cell>
          <cell r="D361" t="str">
            <v>Klampis Harapan V/3 Surabaya 60129</v>
          </cell>
        </row>
        <row r="362">
          <cell r="B362">
            <v>194018</v>
          </cell>
          <cell r="C362" t="str">
            <v>Bambang Budiarto, Drs.ec, M.Si</v>
          </cell>
          <cell r="D362" t="str">
            <v>Mega Asri Blok E/64 Sidoarjo 61253</v>
          </cell>
        </row>
        <row r="363">
          <cell r="B363">
            <v>194025</v>
          </cell>
          <cell r="C363" t="str">
            <v>Juliani Dyah Tresnawati, S.Si.</v>
          </cell>
          <cell r="D363" t="str">
            <v>Jl. Manyar Dukuh 124 Surabaya 60282</v>
          </cell>
        </row>
        <row r="364">
          <cell r="B364">
            <v>195030</v>
          </cell>
          <cell r="C364" t="str">
            <v>Yuliawati Tan, S.E.</v>
          </cell>
          <cell r="D364" t="str">
            <v>Nirwana Eksekutif EE 129 Surabaya 60242</v>
          </cell>
        </row>
        <row r="365">
          <cell r="B365">
            <v>195054</v>
          </cell>
          <cell r="C365" t="str">
            <v>Gregorius Rudy Antonio, S.E., M.Sc, Ak.</v>
          </cell>
          <cell r="D365" t="str">
            <v>Jl. Rangkah III/18 60135 Surabaya</v>
          </cell>
        </row>
        <row r="366">
          <cell r="B366">
            <v>196009</v>
          </cell>
          <cell r="C366" t="str">
            <v>M.E. Lanny Kusuma Widjaja, S.E</v>
          </cell>
          <cell r="D366" t="str">
            <v>Pucang Jajar No.7 Surabaya 60282</v>
          </cell>
        </row>
        <row r="367">
          <cell r="B367">
            <v>199012</v>
          </cell>
          <cell r="C367" t="str">
            <v>Johannes Malonda, Dr, Drs, Ak.</v>
          </cell>
          <cell r="D367" t="str">
            <v>Manyar Kertoarjo III/38 Surabaya</v>
          </cell>
        </row>
        <row r="368">
          <cell r="B368">
            <v>199017</v>
          </cell>
          <cell r="C368" t="str">
            <v>Suyanto, S.E., M.Ec.Dev.</v>
          </cell>
          <cell r="D368" t="str">
            <v>Sendowo C No. 63 Yogyakarta</v>
          </cell>
        </row>
        <row r="369">
          <cell r="B369">
            <v>199025</v>
          </cell>
          <cell r="C369" t="str">
            <v>Ribkah Christiana SR, S.E., M.Si</v>
          </cell>
          <cell r="D369" t="str">
            <v xml:space="preserve">Jl. Kalidami III/33 Surabaya  </v>
          </cell>
        </row>
        <row r="370">
          <cell r="B370">
            <v>200026</v>
          </cell>
          <cell r="C370" t="str">
            <v>Riesanti Edie Wijaya, S.E., Ak</v>
          </cell>
          <cell r="D370" t="str">
            <v>Simo Kuagean No. 10A Surabaya</v>
          </cell>
        </row>
        <row r="371">
          <cell r="B371">
            <v>200039</v>
          </cell>
          <cell r="C371" t="str">
            <v>Aluisius Hery Pratono, S.E., MDM</v>
          </cell>
          <cell r="D371" t="str">
            <v>Jl. Rungkut Mejoyo Utara X Blok KK / 9 Surabaya</v>
          </cell>
        </row>
        <row r="372">
          <cell r="B372">
            <v>201005</v>
          </cell>
          <cell r="C372" t="str">
            <v>Veny Megawati, S.T.</v>
          </cell>
          <cell r="D372" t="str">
            <v>Jl. Tenggilis Mejoyo AL-14 Surabaya</v>
          </cell>
        </row>
        <row r="373">
          <cell r="B373">
            <v>202003</v>
          </cell>
          <cell r="C373" t="str">
            <v>Yenny Sugiarti, S.E.</v>
          </cell>
          <cell r="D373" t="str">
            <v>Jl. Tenggilis Mejoyo AN/11 Surabaya</v>
          </cell>
        </row>
        <row r="374">
          <cell r="B374">
            <v>202045</v>
          </cell>
          <cell r="C374" t="str">
            <v>Maria Eugenia Hastuti, S.E., MSD</v>
          </cell>
          <cell r="D374" t="str">
            <v>Jl. Sidosermo Indah V/12 Surabaya</v>
          </cell>
        </row>
        <row r="375">
          <cell r="B375">
            <v>203017</v>
          </cell>
          <cell r="C375" t="str">
            <v>Bonnie Suherman, S.E.</v>
          </cell>
          <cell r="D375" t="str">
            <v>Raya Tenggilis 96 (AA9) Surabaya</v>
          </cell>
        </row>
        <row r="376">
          <cell r="B376">
            <v>203032</v>
          </cell>
          <cell r="C376" t="str">
            <v>Hariati G Hamzens, Dra.ec, Ak</v>
          </cell>
        </row>
        <row r="377">
          <cell r="B377">
            <v>204003</v>
          </cell>
          <cell r="C377" t="str">
            <v>Anika Widiana, S.E.</v>
          </cell>
          <cell r="D377" t="str">
            <v>Jl. Barata Jaya XI/9-11 Surabaya</v>
          </cell>
        </row>
        <row r="378">
          <cell r="B378">
            <v>204039</v>
          </cell>
          <cell r="C378" t="str">
            <v>Felizia Arni Rudiawarni, S.E.</v>
          </cell>
          <cell r="D378" t="str">
            <v>Petemon Barat 225 Surabaya</v>
          </cell>
        </row>
        <row r="379">
          <cell r="B379">
            <v>205005</v>
          </cell>
          <cell r="C379" t="str">
            <v>Theresia Niken Woelandari, Ir, M.M.</v>
          </cell>
          <cell r="D379" t="str">
            <v>Mess Pertamina UPMS V Jl.Darmokali No.40-42 Surabaya</v>
          </cell>
        </row>
        <row r="380">
          <cell r="B380">
            <v>206009</v>
          </cell>
          <cell r="C380" t="str">
            <v>Dianne Frisko K., S.E., M.Ak.</v>
          </cell>
          <cell r="D380" t="str">
            <v>Jl. Krembangan Bhakti XI/43 A Surabaya</v>
          </cell>
        </row>
        <row r="381">
          <cell r="B381">
            <v>206025</v>
          </cell>
          <cell r="C381" t="str">
            <v>Putu Anom Mahadwartha, Dr, S.E., M.M.</v>
          </cell>
          <cell r="D381" t="str">
            <v>Jl. Banteng Perkasa 37 KM 8 Kaliurang Yogyakarta</v>
          </cell>
        </row>
        <row r="382">
          <cell r="B382">
            <v>177026</v>
          </cell>
          <cell r="C382" t="str">
            <v>Supriyadi</v>
          </cell>
          <cell r="D382" t="str">
            <v>Jl. Semampir Gg. Masjid 29 Sukolilo Sby 60119</v>
          </cell>
        </row>
        <row r="383">
          <cell r="B383">
            <v>183003</v>
          </cell>
          <cell r="C383" t="str">
            <v>Widiyono</v>
          </cell>
          <cell r="D383" t="str">
            <v>Semampir Gg.Masjid No.27 Sukolilo Surabaya 60119</v>
          </cell>
        </row>
        <row r="384">
          <cell r="B384">
            <v>185006</v>
          </cell>
          <cell r="C384" t="str">
            <v>Riyati Trihartini</v>
          </cell>
          <cell r="D384" t="str">
            <v>Griyo Mapan CA-25 Waru Sidoarjo</v>
          </cell>
        </row>
        <row r="385">
          <cell r="B385">
            <v>185008</v>
          </cell>
          <cell r="C385" t="str">
            <v>Supardi, S.E.</v>
          </cell>
          <cell r="D385" t="str">
            <v>Medayu Utara Rt 09 Rw 09 Medokan Ayu Surabaya</v>
          </cell>
        </row>
        <row r="386">
          <cell r="B386">
            <v>186019</v>
          </cell>
          <cell r="C386" t="str">
            <v>Ratnawati Hari Prayitno, Dra.ec, M.S., Ak</v>
          </cell>
          <cell r="D386" t="str">
            <v>Wisma Mukti Blok F 103 Surabaya 60129</v>
          </cell>
        </row>
        <row r="387">
          <cell r="B387">
            <v>191022</v>
          </cell>
          <cell r="C387" t="str">
            <v>Leonardi Lucky K, Drs, M.M.</v>
          </cell>
          <cell r="D387" t="str">
            <v>Simolawang Baru III/19 Surabaya</v>
          </cell>
        </row>
        <row r="388">
          <cell r="B388">
            <v>195001</v>
          </cell>
          <cell r="C388" t="str">
            <v>Setiadi Alim, Ir, Drs, Ak.</v>
          </cell>
          <cell r="D388" t="str">
            <v>Nginden Intan Barat C.5/6 Surabaya</v>
          </cell>
        </row>
        <row r="389">
          <cell r="B389">
            <v>196014</v>
          </cell>
          <cell r="C389" t="str">
            <v>Agus Wijaya, Drs, S.Pd.</v>
          </cell>
          <cell r="D389" t="str">
            <v>Griya Candramas FA-10 Sidoarjo</v>
          </cell>
        </row>
        <row r="390">
          <cell r="B390">
            <v>201029</v>
          </cell>
          <cell r="C390" t="str">
            <v>Agung Sri Wardani, S.E.</v>
          </cell>
          <cell r="D390" t="str">
            <v>Perum.Migas Nglajo No. 17 Cepu Jateng</v>
          </cell>
        </row>
        <row r="391">
          <cell r="B391">
            <v>203023</v>
          </cell>
          <cell r="C391" t="str">
            <v>Rr. F. Reina A. Hadikusumo, S.E</v>
          </cell>
          <cell r="D391" t="str">
            <v>Ngagel Madya 58-60 Surabaya</v>
          </cell>
        </row>
        <row r="392">
          <cell r="B392">
            <v>204036</v>
          </cell>
          <cell r="C392" t="str">
            <v>Melinda Christanti Kwan, S.E., M.M.</v>
          </cell>
          <cell r="D392" t="str">
            <v>Jl, Kutisari Indah Barat I/92 Surabaya</v>
          </cell>
        </row>
        <row r="393">
          <cell r="B393">
            <v>187039</v>
          </cell>
          <cell r="C393" t="str">
            <v>Hartanti, Dra, M.Si.</v>
          </cell>
          <cell r="D393" t="str">
            <v>YKP Rungkut Lor Rl-IA No. 3 Surabaya</v>
          </cell>
        </row>
        <row r="394">
          <cell r="B394">
            <v>188008</v>
          </cell>
          <cell r="C394" t="str">
            <v>Tjahjoanggoro AJ, Drs, M.Si.</v>
          </cell>
          <cell r="D394" t="str">
            <v>Wisma Tropodo EL-18 Waru-Sidoarjo</v>
          </cell>
        </row>
        <row r="395">
          <cell r="B395">
            <v>190022</v>
          </cell>
          <cell r="C395" t="str">
            <v>V. Heru Hariyanto, Drs, M.Si.</v>
          </cell>
          <cell r="D395" t="str">
            <v>Rungkut Mapan IX BH/19 Surabaya</v>
          </cell>
        </row>
        <row r="396">
          <cell r="B396">
            <v>191027</v>
          </cell>
          <cell r="C396" t="str">
            <v>FX. Sutyas Prihanto, Drs, M.Psi</v>
          </cell>
          <cell r="D396" t="str">
            <v>Penjaringan Sari Blok-A/4 Surabaya</v>
          </cell>
        </row>
        <row r="397">
          <cell r="B397">
            <v>192009</v>
          </cell>
          <cell r="C397" t="str">
            <v>Lena Nessyana Pandjaitan, Dra, M.SEd</v>
          </cell>
          <cell r="D397" t="str">
            <v>Jl. Penjaringan Sari Blok-A/4 Surabaya</v>
          </cell>
        </row>
        <row r="398">
          <cell r="C398" t="str">
            <v>Christina Ririn Diah Ratna, Dra, M.Si</v>
          </cell>
          <cell r="D398" t="str">
            <v>Margorejo Indah A-601 Surabaya</v>
          </cell>
        </row>
        <row r="399">
          <cell r="B399">
            <v>194021</v>
          </cell>
          <cell r="C399" t="str">
            <v>Artiawati Mawardi, Dra, M.App.</v>
          </cell>
          <cell r="D399" t="str">
            <v xml:space="preserve">Wiguna Timur XI/34 Surabaya </v>
          </cell>
        </row>
        <row r="400">
          <cell r="B400">
            <v>195004</v>
          </cell>
          <cell r="C400" t="str">
            <v>Alexander Cahyo Suryanto, Drs</v>
          </cell>
          <cell r="D400" t="str">
            <v>Pondok Candra Indah Gg.Nanas III/347 Sidoarjo</v>
          </cell>
        </row>
        <row r="401">
          <cell r="B401">
            <v>197024</v>
          </cell>
          <cell r="C401" t="str">
            <v>NK Endah Triwijati, Dra, M.A</v>
          </cell>
          <cell r="D401" t="str">
            <v>Rungkut Barata UA-3 Surabaya</v>
          </cell>
        </row>
        <row r="402">
          <cell r="B402">
            <v>197029</v>
          </cell>
          <cell r="C402" t="str">
            <v>Evi Lina Soetrisno, S.Psi., M.Kes</v>
          </cell>
          <cell r="D402" t="str">
            <v>Baratajaya 8 A Surabaya-60284</v>
          </cell>
        </row>
        <row r="403">
          <cell r="B403">
            <v>198022</v>
          </cell>
          <cell r="C403" t="str">
            <v>Harijanto Tjahjono, S.Psi., M.Si</v>
          </cell>
          <cell r="D403" t="str">
            <v>Nirwana Eksekutif Blok AA/100 Surabaya</v>
          </cell>
        </row>
        <row r="404">
          <cell r="B404">
            <v>200002</v>
          </cell>
          <cell r="C404" t="str">
            <v>Elly Yuliandari Gunatirin, Dra, M.S.</v>
          </cell>
          <cell r="D404" t="str">
            <v>Jl. Rungkut Asri Barat V No. 20, Surabaya</v>
          </cell>
        </row>
        <row r="405">
          <cell r="B405">
            <v>203022</v>
          </cell>
          <cell r="C405" t="str">
            <v>Nanik, S.Psi., M.Si.</v>
          </cell>
          <cell r="D405" t="str">
            <v>Taman Potroagung 2-1, Rangkah, Tambaksari, Surabaya</v>
          </cell>
        </row>
        <row r="406">
          <cell r="B406">
            <v>204013</v>
          </cell>
          <cell r="C406" t="str">
            <v>Ananta Yudiarso, S.Sos., M.Si.</v>
          </cell>
          <cell r="D406" t="str">
            <v>MT. Haryono 68 Ngawi</v>
          </cell>
        </row>
        <row r="407">
          <cell r="B407">
            <v>186012</v>
          </cell>
          <cell r="C407" t="str">
            <v>Hadiatni Rita P, Ir, M.Sc.</v>
          </cell>
          <cell r="D407" t="str">
            <v>Nginden Intan Timur IX/3 Blok E-1/2 Surabaya</v>
          </cell>
        </row>
        <row r="408">
          <cell r="B408">
            <v>187018</v>
          </cell>
          <cell r="C408" t="str">
            <v>Bambang Prijambodo, Ir</v>
          </cell>
          <cell r="D408" t="str">
            <v>Rungkut Asri Barat IV/6 Surabaya</v>
          </cell>
        </row>
        <row r="409">
          <cell r="B409">
            <v>187019</v>
          </cell>
          <cell r="C409" t="str">
            <v>Andreas Alfianto, Ir, M.Sc.</v>
          </cell>
          <cell r="D409" t="str">
            <v>Semolowaru Elok AN/4 Surabaya</v>
          </cell>
        </row>
        <row r="410">
          <cell r="B410">
            <v>188019</v>
          </cell>
          <cell r="C410" t="str">
            <v>Lieke Riadi, Ir, Ph.D.</v>
          </cell>
          <cell r="D410" t="str">
            <v>Bendul Merisi Selatan No. 67 Surabaya</v>
          </cell>
        </row>
        <row r="411">
          <cell r="B411">
            <v>189017</v>
          </cell>
          <cell r="C411" t="str">
            <v>Oenardi Lawanto, M.S.E.E.</v>
          </cell>
          <cell r="D411" t="str">
            <v>Simpang Darmo Permai Selatan XI/63 Sby</v>
          </cell>
        </row>
        <row r="412">
          <cell r="B412">
            <v>193015</v>
          </cell>
          <cell r="C412" t="str">
            <v>Amelia, Dra, M.T.</v>
          </cell>
          <cell r="D412" t="str">
            <v>Karang Empat 206 Surabaya</v>
          </cell>
        </row>
        <row r="413">
          <cell r="B413">
            <v>194005</v>
          </cell>
          <cell r="C413" t="str">
            <v>Benny Lianto ES, Ir, MMBA</v>
          </cell>
          <cell r="D413" t="str">
            <v>Rungkut Mapan Timur EB/10 Surabaya</v>
          </cell>
        </row>
        <row r="414">
          <cell r="B414">
            <v>194008</v>
          </cell>
          <cell r="C414" t="str">
            <v>Hudiyo Firmanto, Ir, M.Sc.</v>
          </cell>
          <cell r="D414" t="str">
            <v>Ketintang 133 E Surabaya</v>
          </cell>
        </row>
        <row r="415">
          <cell r="B415">
            <v>194029</v>
          </cell>
          <cell r="C415" t="str">
            <v>Veronica Indrawati, Ir, M.T.</v>
          </cell>
          <cell r="D415" t="str">
            <v>Kertajaya Indah V/F-419 Surabaya</v>
          </cell>
        </row>
        <row r="416">
          <cell r="B416">
            <v>195003</v>
          </cell>
          <cell r="C416" t="str">
            <v>Yon Haryono, Ir, M.T.</v>
          </cell>
          <cell r="D416" t="str">
            <v>Griyo Pabean J-8 Sedati Sidoarjo</v>
          </cell>
        </row>
        <row r="417">
          <cell r="B417">
            <v>195035</v>
          </cell>
          <cell r="C417" t="str">
            <v>Marcellia Regina Lisa M, S.T., M.T.</v>
          </cell>
          <cell r="D417" t="str">
            <v>Baruk Utara IX/10 Blok BB-06 Surabaya</v>
          </cell>
        </row>
        <row r="418">
          <cell r="B418">
            <v>196034</v>
          </cell>
          <cell r="C418" t="str">
            <v>Stefanus Soegiharto, S.T., M.S</v>
          </cell>
          <cell r="D418" t="str">
            <v>Manyar Tirtoyoso 45 Surabaya</v>
          </cell>
        </row>
        <row r="419">
          <cell r="B419">
            <v>199005</v>
          </cell>
          <cell r="C419" t="str">
            <v>Rudy Agustriyanto, S.T., M.Sc.</v>
          </cell>
          <cell r="D419" t="str">
            <v>Delta Marina 97 Delta Sari Baru Waru Sidoarjo</v>
          </cell>
        </row>
        <row r="420">
          <cell r="B420">
            <v>200008</v>
          </cell>
          <cell r="C420" t="str">
            <v>Yalun Arifin, S.T., M.Sc.</v>
          </cell>
          <cell r="D420" t="str">
            <v>Gubeng Kertajaya XID-12 Surabaya</v>
          </cell>
        </row>
        <row r="421">
          <cell r="B421">
            <v>200046</v>
          </cell>
          <cell r="C421" t="str">
            <v>Melissa Angga, S.T.</v>
          </cell>
          <cell r="D421" t="str">
            <v>Jl. Genteng Candirejo No. 28 Surabaya</v>
          </cell>
        </row>
        <row r="422">
          <cell r="B422">
            <v>200055</v>
          </cell>
          <cell r="C422" t="str">
            <v>Yunus Fransiscus, S.T.</v>
          </cell>
          <cell r="D422" t="str">
            <v>Jl. Sutorejo Timur XII No. 1 Surabaya</v>
          </cell>
        </row>
        <row r="423">
          <cell r="B423">
            <v>201026</v>
          </cell>
          <cell r="C423" t="str">
            <v>Njoto Benarkah, S.T.</v>
          </cell>
          <cell r="D423" t="str">
            <v>KH Wachid Hasyim 159, Kebonsari, Purworejo, Pasuruan</v>
          </cell>
        </row>
        <row r="424">
          <cell r="C424" t="str">
            <v>Juniawati, S.T.</v>
          </cell>
          <cell r="D424" t="str">
            <v>D Husada Indah 3/36 (C-203), Mulyorejo, Surabaya</v>
          </cell>
        </row>
        <row r="425">
          <cell r="B425">
            <v>202007</v>
          </cell>
          <cell r="C425" t="str">
            <v>Ekawahyu Susilo, S.T.</v>
          </cell>
          <cell r="D425" t="str">
            <v>Jl. Raya Tenggilis 77 Surabaya</v>
          </cell>
        </row>
        <row r="426">
          <cell r="B426">
            <v>202017</v>
          </cell>
          <cell r="C426" t="str">
            <v>Dhiani Tresna Absari, S.T.</v>
          </cell>
          <cell r="D426" t="str">
            <v>Jl. Kutisari Indah Barat V/43 Surabaya</v>
          </cell>
        </row>
        <row r="427">
          <cell r="B427">
            <v>202033</v>
          </cell>
          <cell r="C427" t="str">
            <v>Yuwono Budi Pratiknyo, S.T.</v>
          </cell>
          <cell r="D427" t="str">
            <v>Jl. Serayu Blok BH-03 Wisma Tropodo Waru Sidoarjo</v>
          </cell>
        </row>
        <row r="428">
          <cell r="B428">
            <v>202034</v>
          </cell>
          <cell r="C428" t="str">
            <v>Emma Savitri, S.T., M.Sc</v>
          </cell>
          <cell r="D428" t="str">
            <v>Taman Puspa Anggaswangi J2-8B, Sokodono, Sidoarjo</v>
          </cell>
        </row>
        <row r="429">
          <cell r="B429">
            <v>202049</v>
          </cell>
          <cell r="C429" t="str">
            <v>Linda Herawati G., S.T., MT.</v>
          </cell>
          <cell r="D429" t="str">
            <v>Jl.Kencana Sari Timur  III/D-9 Surabaya</v>
          </cell>
        </row>
        <row r="430">
          <cell r="B430">
            <v>203010</v>
          </cell>
          <cell r="C430" t="str">
            <v>Puspo Utomo, S.T.</v>
          </cell>
          <cell r="D430" t="str">
            <v>Jl. Rungkut Lor III F-19 Surabaya</v>
          </cell>
        </row>
        <row r="431">
          <cell r="B431">
            <v>203013</v>
          </cell>
          <cell r="C431" t="str">
            <v>Aloysius Yuli Widianto, S.T.</v>
          </cell>
          <cell r="D431" t="str">
            <v>Jl. Roda gang Mawar No.8 Surabaya</v>
          </cell>
        </row>
        <row r="432">
          <cell r="B432">
            <v>203014</v>
          </cell>
          <cell r="C432" t="str">
            <v>Ellysa Tjandra, S.T.</v>
          </cell>
          <cell r="D432" t="str">
            <v>Dukuh Kupang Barat XIX/35 Surabaya</v>
          </cell>
        </row>
        <row r="433">
          <cell r="B433">
            <v>203016</v>
          </cell>
          <cell r="C433" t="str">
            <v>Daniel Hary Prasetyo, S.Kom.</v>
          </cell>
          <cell r="D433" t="str">
            <v>Jl. Mulyosari I/64, Magersari, Magersari, Mojokerto</v>
          </cell>
        </row>
        <row r="434">
          <cell r="B434">
            <v>203031</v>
          </cell>
          <cell r="C434" t="str">
            <v>Edy Purwanto, S.T.</v>
          </cell>
          <cell r="D434" t="str">
            <v>Dsn. Krajan RT1/RW1, Klanting, Sukodono, Lumajang</v>
          </cell>
        </row>
        <row r="435">
          <cell r="B435">
            <v>203038</v>
          </cell>
          <cell r="C435" t="str">
            <v>Yenny Sari, S.T.</v>
          </cell>
          <cell r="D435" t="str">
            <v>Jl. Tenggilis Mejoyo Selatan II/8 Surabaya</v>
          </cell>
        </row>
        <row r="436">
          <cell r="B436">
            <v>204027</v>
          </cell>
          <cell r="C436" t="str">
            <v>Monica Widiasri, S.Kom.</v>
          </cell>
          <cell r="D436" t="str">
            <v>Kalisari Dharma 6/3, Kalisari, Mulyorejo, Surabaya</v>
          </cell>
        </row>
        <row r="437">
          <cell r="B437">
            <v>204033</v>
          </cell>
          <cell r="C437" t="str">
            <v>Sunardi Tjandra, S.T.</v>
          </cell>
        </row>
        <row r="438">
          <cell r="B438">
            <v>206002</v>
          </cell>
          <cell r="C438" t="str">
            <v>Jimmy, S.T.</v>
          </cell>
          <cell r="D438" t="str">
            <v>Karang Asem 16/34 Surabaya</v>
          </cell>
        </row>
        <row r="439">
          <cell r="B439">
            <v>176003</v>
          </cell>
          <cell r="C439" t="str">
            <v>Muljani Putri, Dra</v>
          </cell>
          <cell r="D439" t="str">
            <v>Jl. Juwingan 125 Surabaya</v>
          </cell>
        </row>
        <row r="440">
          <cell r="B440">
            <v>185007</v>
          </cell>
          <cell r="C440" t="str">
            <v>Sri Winarti</v>
          </cell>
          <cell r="D440" t="str">
            <v>Perum Griyo Pabean I Jl. Anggrek I-30 Sedati Sidoarjo</v>
          </cell>
        </row>
        <row r="441">
          <cell r="B441">
            <v>189004</v>
          </cell>
          <cell r="C441" t="str">
            <v>Sugiyanto</v>
          </cell>
          <cell r="D441" t="str">
            <v>Jl. Brebek IE/8A, Waru Balongsari VII/7 Sidoarjo</v>
          </cell>
        </row>
        <row r="442">
          <cell r="B442">
            <v>191030</v>
          </cell>
          <cell r="C442" t="str">
            <v>Muntianah</v>
          </cell>
          <cell r="D442" t="str">
            <v>Jl. Rungkut Kidul Gg. II No. 70 A Surabaya</v>
          </cell>
        </row>
        <row r="443">
          <cell r="B443">
            <v>177030</v>
          </cell>
          <cell r="C443" t="str">
            <v>Rosalia Anna Yayuk Widi Pradjuri, Dra.ec</v>
          </cell>
          <cell r="D443" t="str">
            <v>Jl. Raya Tenggilis Blok E-1 Surabaya</v>
          </cell>
        </row>
        <row r="444">
          <cell r="C444" t="str">
            <v>Simon Tupen, B.A.</v>
          </cell>
          <cell r="D444" t="str">
            <v>Jl. Kapuas Blok FL/3 Wisma Tropodo</v>
          </cell>
        </row>
        <row r="445">
          <cell r="B445">
            <v>177009</v>
          </cell>
          <cell r="C445" t="str">
            <v>Agustinus Ngatno Supraba</v>
          </cell>
          <cell r="D445" t="str">
            <v>Jl. Jagir Sidoresmo Buntu No.2 Surabaya</v>
          </cell>
        </row>
        <row r="446">
          <cell r="B446">
            <v>177013</v>
          </cell>
          <cell r="C446" t="str">
            <v>Sri Widiono</v>
          </cell>
          <cell r="D446" t="str">
            <v>Karang Klumprik Barat XVI/8(TT-4) Pondok Maritim</v>
          </cell>
        </row>
        <row r="447">
          <cell r="B447">
            <v>177020</v>
          </cell>
          <cell r="C447" t="str">
            <v>Riyadi, S.E.</v>
          </cell>
          <cell r="D447" t="str">
            <v>Jl. Wiguna I/55 Gunung Anyar Surabaya</v>
          </cell>
        </row>
        <row r="448">
          <cell r="B448">
            <v>177021</v>
          </cell>
          <cell r="C448" t="str">
            <v>Soewandi</v>
          </cell>
          <cell r="D448" t="str">
            <v>Jl. Nginden Makam II/17 Surabaya</v>
          </cell>
        </row>
        <row r="449">
          <cell r="B449">
            <v>177022</v>
          </cell>
          <cell r="C449" t="str">
            <v>Sunarto</v>
          </cell>
          <cell r="D449" t="str">
            <v>Pondok Surya Indah Blok V/37 Waru Sidoarjo</v>
          </cell>
        </row>
        <row r="450">
          <cell r="B450">
            <v>177025</v>
          </cell>
          <cell r="C450" t="str">
            <v>Sunardi</v>
          </cell>
          <cell r="D450" t="str">
            <v>Jl. Bendul Merisi Gg.Besar Selatan 75 E Surabaya</v>
          </cell>
        </row>
        <row r="451">
          <cell r="B451">
            <v>177028</v>
          </cell>
          <cell r="C451" t="str">
            <v>A. Royan</v>
          </cell>
          <cell r="D451" t="str">
            <v>Medokan Wonoayu Rt 03 Rw IX (Kav. C.15) Surabaya</v>
          </cell>
        </row>
        <row r="452">
          <cell r="B452">
            <v>183009</v>
          </cell>
          <cell r="C452" t="str">
            <v>Santoso, S.H.</v>
          </cell>
          <cell r="D452" t="str">
            <v>Bratang Binangun II/41 Surabaya</v>
          </cell>
        </row>
        <row r="453">
          <cell r="B453">
            <v>184003</v>
          </cell>
          <cell r="C453" t="str">
            <v>Suparwati, Dra.ec</v>
          </cell>
          <cell r="D453" t="str">
            <v>Jl. Kalibokor I/41 Surabaya</v>
          </cell>
        </row>
        <row r="454">
          <cell r="B454">
            <v>184009</v>
          </cell>
          <cell r="C454" t="str">
            <v>Alim Ismono Noersari</v>
          </cell>
          <cell r="D454" t="str">
            <v>Jl. Krukah Selatan No.116 Surabaya 60245</v>
          </cell>
        </row>
        <row r="455">
          <cell r="B455">
            <v>185005</v>
          </cell>
          <cell r="C455" t="str">
            <v>Adnan Djoko Priono</v>
          </cell>
          <cell r="D455" t="str">
            <v>Jl. Sidotopo Sekolahan III/26 Surabaya</v>
          </cell>
        </row>
        <row r="456">
          <cell r="B456">
            <v>186006</v>
          </cell>
          <cell r="C456" t="str">
            <v>Januarto</v>
          </cell>
          <cell r="D456" t="str">
            <v>Bratang Gede VI H/51A Surabaya</v>
          </cell>
        </row>
        <row r="457">
          <cell r="B457">
            <v>187021</v>
          </cell>
          <cell r="C457" t="str">
            <v>Jusuf, S.E.</v>
          </cell>
          <cell r="D457" t="str">
            <v>Griyo Wage Asri B/19, Taman Sidoarjo</v>
          </cell>
        </row>
        <row r="458">
          <cell r="B458">
            <v>187030</v>
          </cell>
          <cell r="C458" t="str">
            <v>Didik Suko Edy</v>
          </cell>
          <cell r="D458" t="str">
            <v>Medayu Utara XII Rt 03 Rw IX Medayu Rungkut</v>
          </cell>
        </row>
        <row r="459">
          <cell r="B459">
            <v>189014</v>
          </cell>
          <cell r="C459" t="str">
            <v>Agus Suryanto Suryodipoero</v>
          </cell>
          <cell r="D459" t="str">
            <v>Perum Griya Permata Hijau J-23 Sidoarjo</v>
          </cell>
        </row>
        <row r="460">
          <cell r="B460">
            <v>192005</v>
          </cell>
          <cell r="C460" t="str">
            <v>Sujarmiasih</v>
          </cell>
          <cell r="D460" t="str">
            <v>Ketapang IV/A36 P.Bumi Koperasi Sda</v>
          </cell>
        </row>
        <row r="461">
          <cell r="B461">
            <v>197054</v>
          </cell>
          <cell r="C461" t="str">
            <v>Hengki Irawan, S.E., Ak.</v>
          </cell>
          <cell r="D461" t="str">
            <v xml:space="preserve">Perum Gading Fajar II Blok B-VIII No. 10 </v>
          </cell>
        </row>
        <row r="462">
          <cell r="B462">
            <v>198027</v>
          </cell>
          <cell r="C462" t="str">
            <v>Hermin Sri Ayu Anggraeni, S.H.</v>
          </cell>
          <cell r="D462" t="str">
            <v>YKP.RK.IV C No. 13 Rungkut Kidul Surabaya</v>
          </cell>
        </row>
        <row r="463">
          <cell r="B463">
            <v>199006</v>
          </cell>
          <cell r="C463" t="str">
            <v>Sujiati</v>
          </cell>
          <cell r="D463" t="str">
            <v>Raya Banjar Kemuning No. 251 Sedati Sidoarjo</v>
          </cell>
        </row>
        <row r="464">
          <cell r="B464">
            <v>202001</v>
          </cell>
          <cell r="C464" t="str">
            <v>Fonny Sidik</v>
          </cell>
          <cell r="D464" t="str">
            <v>Perum Puri Mas Blok C4 No.19 Surabaya</v>
          </cell>
        </row>
        <row r="465">
          <cell r="B465">
            <v>204028</v>
          </cell>
          <cell r="C465" t="str">
            <v>Margaretha Wahyuni D.S., S.H.</v>
          </cell>
          <cell r="D465" t="str">
            <v>Jl. Rungkut Lor III/87 Surabaya</v>
          </cell>
        </row>
        <row r="466">
          <cell r="B466">
            <v>192014</v>
          </cell>
          <cell r="C466" t="str">
            <v>Heru Arwoko, Drs</v>
          </cell>
          <cell r="D466" t="str">
            <v>Jl. Haji Sukur V Rt 25/Rw 11 No. 75C Sedati Gede Sidoarjo</v>
          </cell>
        </row>
        <row r="467">
          <cell r="B467">
            <v>195039</v>
          </cell>
          <cell r="C467" t="str">
            <v>Tjie Kok, S.Si., Apt.</v>
          </cell>
          <cell r="D467" t="str">
            <v>Petemon Kuburan 66 A Surabaya</v>
          </cell>
        </row>
        <row r="468">
          <cell r="B468">
            <v>198031</v>
          </cell>
          <cell r="C468" t="str">
            <v>Idfi Setyaningrum, S.Si., M.Si</v>
          </cell>
          <cell r="D468" t="str">
            <v>Pandugo Baru 2/10.D5, Penjaringan Sari, Rungkut, Surabaya</v>
          </cell>
        </row>
        <row r="469">
          <cell r="B469">
            <v>198033</v>
          </cell>
          <cell r="C469" t="str">
            <v>Joice Ruth Juliana, S.Si.</v>
          </cell>
          <cell r="D469" t="str">
            <v>Bangka No.9 Surabaya</v>
          </cell>
        </row>
        <row r="470">
          <cell r="B470">
            <v>199018</v>
          </cell>
          <cell r="C470" t="str">
            <v>Elieser Tarigan, S.Si., M.Eng.</v>
          </cell>
          <cell r="D470" t="str">
            <v>Rungkut Menanggal Harapan Blok V-17 Surabaya</v>
          </cell>
        </row>
        <row r="471">
          <cell r="B471">
            <v>203036</v>
          </cell>
          <cell r="C471" t="str">
            <v>Arief Budhyantoro, S.Si., M.Si</v>
          </cell>
          <cell r="D471" t="str">
            <v>Sendowo F-119 Yogyakarta</v>
          </cell>
        </row>
        <row r="472">
          <cell r="B472">
            <v>204032</v>
          </cell>
          <cell r="C472" t="str">
            <v>Kestrilia Rega Prilianti, S.Si</v>
          </cell>
          <cell r="D472" t="str">
            <v>Danau Limboto Timur A5M-14, Sawojajar, Kedungkandang, Malang</v>
          </cell>
        </row>
        <row r="473">
          <cell r="B473">
            <v>200048</v>
          </cell>
          <cell r="C473" t="str">
            <v>Deddy Marciano, S.E., M.M.</v>
          </cell>
          <cell r="D473" t="str">
            <v>Jl. Dukuh Kupang Timur XI/20 Surabaya</v>
          </cell>
        </row>
        <row r="474">
          <cell r="B474">
            <v>201017</v>
          </cell>
          <cell r="C474" t="str">
            <v>Dian Noeswantari, S.Psi.</v>
          </cell>
          <cell r="D474" t="str">
            <v>Argopuro 42 A Surabaya</v>
          </cell>
        </row>
        <row r="475">
          <cell r="B475">
            <v>201020</v>
          </cell>
          <cell r="C475" t="str">
            <v>Mangihot Tua Gultom, Drs, M.Sc</v>
          </cell>
          <cell r="D475" t="str">
            <v>Jl. Kaliwaru I/17 Surabaya</v>
          </cell>
        </row>
        <row r="476">
          <cell r="B476">
            <v>202026</v>
          </cell>
          <cell r="C476" t="str">
            <v>Yosi Irawati Wibowo, S.Si., Apt</v>
          </cell>
          <cell r="D476" t="str">
            <v>Kertajaya Indah Timur XVII/33 Surabaya</v>
          </cell>
        </row>
        <row r="477">
          <cell r="B477">
            <v>202048</v>
          </cell>
          <cell r="C477" t="str">
            <v>Inge Christanti, S.S.</v>
          </cell>
          <cell r="D477" t="str">
            <v>Jl. Siwalankerto Timur II/C3 Surabaya</v>
          </cell>
        </row>
        <row r="478">
          <cell r="B478">
            <v>202050</v>
          </cell>
          <cell r="C478" t="str">
            <v>Aloysia Vira Herawati, SS</v>
          </cell>
        </row>
        <row r="479">
          <cell r="B479">
            <v>197028</v>
          </cell>
          <cell r="C479" t="str">
            <v>Doddy Setiawan, S.H.</v>
          </cell>
          <cell r="D479" t="str">
            <v>Simo Magerejo III/18 Surabaya</v>
          </cell>
        </row>
        <row r="480">
          <cell r="B480">
            <v>198040</v>
          </cell>
          <cell r="C480" t="str">
            <v>Aloysius Jondar, Drs, M.Si.</v>
          </cell>
          <cell r="D480" t="str">
            <v>Perum.Wisma Indah II/K6/No.5 Surabaya</v>
          </cell>
        </row>
        <row r="481">
          <cell r="B481">
            <v>204024</v>
          </cell>
          <cell r="C481" t="str">
            <v>Bobby Meidrie Levianto, S.H.</v>
          </cell>
          <cell r="D481" t="str">
            <v>Jl. Medayu Selatan III No.12 Surabaya</v>
          </cell>
        </row>
        <row r="484">
          <cell r="B484">
            <v>190014</v>
          </cell>
          <cell r="C484" t="str">
            <v>SUYATMAN</v>
          </cell>
          <cell r="D484" t="str">
            <v>Pranti Blok AV-14A, RT3/RW1, Pranti, Sedati, Sidoarjo 61253</v>
          </cell>
          <cell r="E484" t="str">
            <v>1.0285825.52.01</v>
          </cell>
        </row>
        <row r="485">
          <cell r="B485">
            <v>193007</v>
          </cell>
          <cell r="C485" t="str">
            <v>MATIUS TRIONO Mardi Subagijo</v>
          </cell>
          <cell r="D485" t="str">
            <v>Sidotopo Wetan Baru 2/28, RT2/RW6, Sidotopo Wetan, Kenjeran, Surabaya 60128</v>
          </cell>
          <cell r="E485" t="str">
            <v>07.865.244.3-606.000</v>
          </cell>
        </row>
        <row r="486">
          <cell r="B486">
            <v>201042</v>
          </cell>
          <cell r="C486" t="str">
            <v>DONNY IRNAWAN, S.Kom</v>
          </cell>
          <cell r="D486" t="str">
            <v>Jl. Sadewa I/53, RT2/RW4, Pindrikan Kidul, Semarang Tengah, Semarang 50131</v>
          </cell>
          <cell r="E486" t="str">
            <v>07.033.565.8-504.000</v>
          </cell>
        </row>
        <row r="487">
          <cell r="B487">
            <v>195052</v>
          </cell>
          <cell r="C487" t="str">
            <v>SUPRIYO</v>
          </cell>
          <cell r="D487" t="str">
            <v>Krembangan Jaya Utara 10/33, RT12/RW5, Kemayoran, Krembangan, Surabaya 60176</v>
          </cell>
          <cell r="E487" t="str">
            <v>18.816.072.5-605.000</v>
          </cell>
        </row>
        <row r="488">
          <cell r="B488">
            <v>187031</v>
          </cell>
          <cell r="C488" t="str">
            <v>SUKONO</v>
          </cell>
          <cell r="D488" t="str">
            <v>Kr Klumprik Brt 18/57, RT10/RW6, Balas Klumprik, Wiyung, Surabaya 60222</v>
          </cell>
          <cell r="E488" t="str">
            <v>18.437.642.4-609.000</v>
          </cell>
        </row>
        <row r="489">
          <cell r="B489">
            <v>194031</v>
          </cell>
          <cell r="C489" t="str">
            <v>YUSUF MULUS RIPTIANTO, SE</v>
          </cell>
          <cell r="D489" t="str">
            <v>Dinoyo Alun-Alun 2/22B, RT1/RW5, Keputran, Tegalsari, Surabaya 60265</v>
          </cell>
          <cell r="E489" t="str">
            <v>18.523.742.7-607.000</v>
          </cell>
        </row>
        <row r="490">
          <cell r="B490">
            <v>196031</v>
          </cell>
          <cell r="C490" t="str">
            <v>SUYONO</v>
          </cell>
          <cell r="D490" t="str">
            <v>Ngagel Timur 5/54, RT11/RW6, Pucang Sewu, Gubeng, Surabaya 60283</v>
          </cell>
          <cell r="E490" t="str">
            <v>18.697.687.4-606.000</v>
          </cell>
        </row>
        <row r="491">
          <cell r="B491">
            <v>197011</v>
          </cell>
          <cell r="C491" t="str">
            <v>MOCH ALI SYAMSUDIN</v>
          </cell>
          <cell r="D491" t="str">
            <v>Gubernur Soerjo 11, RT2/RW2, Embong Kaliasin, Genteng, Surabaya 60271</v>
          </cell>
          <cell r="E491" t="str">
            <v>18.493.208.5-611.000</v>
          </cell>
        </row>
        <row r="492">
          <cell r="B492">
            <v>202005</v>
          </cell>
          <cell r="C492" t="str">
            <v>SOLEKAN NURALI (NORALI S)</v>
          </cell>
          <cell r="D492" t="str">
            <v>Penanggungan 71, RT3/RW5, Petemon, Sawahan, Surabaya 60252</v>
          </cell>
          <cell r="E492" t="str">
            <v>09.752.762.6-614.000</v>
          </cell>
        </row>
        <row r="493">
          <cell r="B493">
            <v>204016</v>
          </cell>
          <cell r="C493" t="str">
            <v>LILIS SULISTRIANA T, SH</v>
          </cell>
          <cell r="D493" t="str">
            <v>Rambutan VIII/HE, RT3/RW5, Wadungasri, Waru Sidoarjo 61256</v>
          </cell>
          <cell r="E493" t="str">
            <v>19.338.544.0-617.000</v>
          </cell>
        </row>
        <row r="494">
          <cell r="B494">
            <v>194004</v>
          </cell>
          <cell r="C494" t="str">
            <v>PRAJOGA</v>
          </cell>
          <cell r="D494" t="str">
            <v>Jagir Sidoresmo 6-G/3-A, RT11/RW3,Jagir, Wonokromo, Surabaya 60244</v>
          </cell>
          <cell r="E494" t="str">
            <v>18.648.593.4-609.000</v>
          </cell>
        </row>
        <row r="495">
          <cell r="B495">
            <v>191003</v>
          </cell>
          <cell r="C495" t="str">
            <v>SUGENG WARAS, SH</v>
          </cell>
          <cell r="D495" t="str">
            <v>Pagesangan Timur 21 B, RT2/RW1, Pagesangan, Jambangan, Surabaya 60233</v>
          </cell>
          <cell r="E495" t="str">
            <v>1.0270916.36-03</v>
          </cell>
        </row>
        <row r="496">
          <cell r="B496">
            <v>201008</v>
          </cell>
          <cell r="C496" t="str">
            <v>MOCH RIDWAN</v>
          </cell>
          <cell r="D496" t="str">
            <v>Nginden Permata 2/31, RT11/RW4, Nginden Jkn, Sukolilo, Surabaya 60118</v>
          </cell>
          <cell r="E496" t="str">
            <v>18.636.197.8-606.000</v>
          </cell>
        </row>
        <row r="497">
          <cell r="B497">
            <v>200013</v>
          </cell>
          <cell r="C497" t="str">
            <v>MUCHAMMAD SHODIQ</v>
          </cell>
          <cell r="D497" t="str">
            <v>Raya Kalirungkut 101, RT4/RW5, Kalirungkut, Rungkut, Surabaya 60293</v>
          </cell>
          <cell r="E497" t="str">
            <v>18.724.895.0-615.000</v>
          </cell>
        </row>
        <row r="498">
          <cell r="B498">
            <v>202044</v>
          </cell>
          <cell r="C498" t="str">
            <v>DWI EPATARINI, S.Sos</v>
          </cell>
          <cell r="D498" t="str">
            <v>Perum Mutiara Citra Graha H2/5, RT15/RW7, Bligo, Candi, Sidoarjo 61271</v>
          </cell>
          <cell r="E498" t="str">
            <v>18.636.805.6-609.000</v>
          </cell>
        </row>
        <row r="499">
          <cell r="B499">
            <v>189006</v>
          </cell>
          <cell r="C499" t="str">
            <v>BUDI SANTOSO</v>
          </cell>
          <cell r="D499" t="str">
            <v>Rungkut Kidul I/23, RT1/RW1, Rungkut Kidul, Rungkut, Surabaya 60293</v>
          </cell>
          <cell r="E499" t="str">
            <v>09.747.699.8-615.000</v>
          </cell>
        </row>
        <row r="500">
          <cell r="B500">
            <v>206013</v>
          </cell>
          <cell r="C500" t="str">
            <v>MUDIANITA AMBASULI, S.Psi</v>
          </cell>
          <cell r="D500" t="str">
            <v>Gayungsari Barat 3/114-116, RT4/RW5, Gayungan, Gayungan, Surabaya 60235</v>
          </cell>
          <cell r="E500" t="str">
            <v>19.128.813.3-606.000</v>
          </cell>
        </row>
        <row r="501">
          <cell r="B501">
            <v>206011</v>
          </cell>
          <cell r="C501" t="str">
            <v>EDITH PRIMADIANA, S.Pd</v>
          </cell>
          <cell r="D501" t="str">
            <v>Petemon Sidomulyo I/25, RT3/RW18, Petemon, Sawahan, Surabaya</v>
          </cell>
          <cell r="E501" t="str">
            <v>47.679.013.4-614.000</v>
          </cell>
        </row>
        <row r="502">
          <cell r="B502">
            <v>195028</v>
          </cell>
          <cell r="C502" t="str">
            <v>SUSANTO</v>
          </cell>
          <cell r="D502" t="str">
            <v>Ciliwung 9A, RT12/RW5, Darmo, Wonokromo, Surabaya 60241</v>
          </cell>
          <cell r="E502" t="str">
            <v>18.739.526.4-609.000</v>
          </cell>
        </row>
        <row r="503">
          <cell r="B503">
            <v>196043</v>
          </cell>
          <cell r="C503" t="str">
            <v>MELIK NAWANGSARI</v>
          </cell>
          <cell r="D503" t="str">
            <v>Ciliwung 9A, RT12/RW5, Darmo, Wonokromo, Surabaya 60241</v>
          </cell>
          <cell r="E503" t="str">
            <v>18.739.526.4-609.000</v>
          </cell>
        </row>
        <row r="504">
          <cell r="B504">
            <v>200019</v>
          </cell>
          <cell r="C504" t="str">
            <v>SUPRIYONO</v>
          </cell>
          <cell r="D504" t="str">
            <v>Morangan, RT3/RW5, Sindumartani, Ngemplak, Sleman 55584</v>
          </cell>
        </row>
        <row r="505">
          <cell r="B505">
            <v>202036</v>
          </cell>
          <cell r="C505" t="str">
            <v>DINNY ARIANTI</v>
          </cell>
          <cell r="D505" t="str">
            <v>Mojoklanggru Kidul E/31, RT9/RW5, Mojo, Gubeng, Surabaya 60285</v>
          </cell>
        </row>
        <row r="506">
          <cell r="B506">
            <v>188010</v>
          </cell>
          <cell r="C506" t="str">
            <v>SABARIANTO</v>
          </cell>
          <cell r="D506" t="str">
            <v>Jl. Kedung Baruk 9/8, RT2/RW3, Kedung Baruk, Rungkut, Surabaya 60298</v>
          </cell>
        </row>
        <row r="507">
          <cell r="B507">
            <v>191005</v>
          </cell>
          <cell r="C507" t="str">
            <v>SUMARSONO</v>
          </cell>
          <cell r="D507" t="str">
            <v>Pucang Arjo 6/15, RT6/RW5, Kertajaya, Gubeng, Surabaya 60282</v>
          </cell>
        </row>
        <row r="508">
          <cell r="B508">
            <v>193012</v>
          </cell>
          <cell r="C508" t="str">
            <v>CHUSNUL</v>
          </cell>
          <cell r="D508" t="str">
            <v>Rungkut Lor 7/61A, RT2/RW6, Kalirungkut, Rungkut, Surabaya 60293</v>
          </cell>
        </row>
        <row r="509">
          <cell r="B509">
            <v>195026</v>
          </cell>
          <cell r="C509" t="str">
            <v>FX NARPATI WULANDORO, Drs</v>
          </cell>
          <cell r="D509" t="str">
            <v>Rungkut Asri Barat 9/15, RT7/RW7, Rungkut Kidul, Rungkut, Surabaya 60293</v>
          </cell>
        </row>
        <row r="510">
          <cell r="B510">
            <v>195046</v>
          </cell>
          <cell r="C510" t="str">
            <v>TRI LINA ROSITA</v>
          </cell>
          <cell r="D510" t="str">
            <v>Gununganyar Emas S-5, RT3/RW8, Gn Anyar Tambak, Gununganyar, Surabaya 60294</v>
          </cell>
        </row>
        <row r="511">
          <cell r="B511">
            <v>198014</v>
          </cell>
          <cell r="C511" t="str">
            <v>RIWAHYONO</v>
          </cell>
          <cell r="D511" t="str">
            <v>Tambakrejo, RT3/RW1, Tambakrejo, Waru, Sidoarjo 61256</v>
          </cell>
        </row>
        <row r="512">
          <cell r="B512">
            <v>198030</v>
          </cell>
          <cell r="C512" t="str">
            <v>HARI TRI WAHYUDI</v>
          </cell>
          <cell r="D512" t="str">
            <v>Pandugo, RT2/RW1, Penjaringansari, Rungkut, Surabaya 60297</v>
          </cell>
        </row>
        <row r="513">
          <cell r="B513">
            <v>198004</v>
          </cell>
          <cell r="C513" t="str">
            <v>MARIONO</v>
          </cell>
          <cell r="D513" t="str">
            <v>Karang Gayam Teratai 17-19, RT1/RW4, Pacarkeling, Tambaksari, Surabaya 60131</v>
          </cell>
        </row>
        <row r="514">
          <cell r="B514">
            <v>187029</v>
          </cell>
          <cell r="C514" t="str">
            <v>ABDUL MUKHID MOTADHO, S.Sos</v>
          </cell>
          <cell r="D514" t="str">
            <v>Modong, RT1/RW4, Modong, Tulangan, Sidoarjo 61273</v>
          </cell>
        </row>
        <row r="515">
          <cell r="B515">
            <v>196026</v>
          </cell>
          <cell r="C515" t="str">
            <v>ARIES EKO PRIYANTO</v>
          </cell>
          <cell r="D515" t="str">
            <v>Jl. Plemahan VI No. 14 Surabaya</v>
          </cell>
        </row>
        <row r="516">
          <cell r="B516">
            <v>200022</v>
          </cell>
          <cell r="C516" t="str">
            <v>M AROZIK</v>
          </cell>
          <cell r="D516" t="str">
            <v>Rungkut Tengah Gg Sawah 6, RT3/RW1, Rungkut Tengah, Gununganyar, Surabaya 60293</v>
          </cell>
        </row>
        <row r="517">
          <cell r="B517">
            <v>200023</v>
          </cell>
          <cell r="C517" t="str">
            <v>MOCH SUEB</v>
          </cell>
          <cell r="D517" t="str">
            <v>Mejoyo 2/4, RT4/RW7, Kalirungkut, Rungkut, Surabaya 60293</v>
          </cell>
        </row>
        <row r="518">
          <cell r="B518">
            <v>183010</v>
          </cell>
          <cell r="C518" t="str">
            <v>TARI</v>
          </cell>
          <cell r="D518" t="str">
            <v>Medayu Utara, RT8/Rw9, Medokan Ayu, Rungkut, Surabaya 60295</v>
          </cell>
        </row>
        <row r="519">
          <cell r="B519">
            <v>187034</v>
          </cell>
          <cell r="C519" t="str">
            <v>SOEGIONO</v>
          </cell>
          <cell r="D519" t="str">
            <v>Medokan Ayu Utara 32/7, RT9/RW9, Medokan Ayu, Rungkut, Surabaya 60295</v>
          </cell>
        </row>
        <row r="520">
          <cell r="B520">
            <v>187035</v>
          </cell>
          <cell r="C520" t="str">
            <v>EKO BUDIONO, S.Pd</v>
          </cell>
          <cell r="D520" t="str">
            <v xml:space="preserve">Sidotopo Kulon III/17, RT3/RW4, Sidotopo, Semampir, Surabaya </v>
          </cell>
        </row>
        <row r="521">
          <cell r="B521">
            <v>190006</v>
          </cell>
          <cell r="C521" t="str">
            <v>MOCH JAHID</v>
          </cell>
          <cell r="D521" t="str">
            <v>Perum Pondok Dadapan Permai Y/14, RT6/RW2, Segorotambak, Sedati, Sidoarjo 61253</v>
          </cell>
        </row>
        <row r="522">
          <cell r="B522">
            <v>194015</v>
          </cell>
          <cell r="C522" t="str">
            <v>JOANNA SRI UNTARTI</v>
          </cell>
          <cell r="D522" t="str">
            <v>Gubeng Airlangga 4/6C, RT6/RW2, Airlangga, Gubeng, Surabaya 60286</v>
          </cell>
        </row>
        <row r="523">
          <cell r="B523">
            <v>190009</v>
          </cell>
          <cell r="C523" t="str">
            <v>MULJONO</v>
          </cell>
          <cell r="D523" t="str">
            <v>Griya Kencana I BB/30, Mojosarirejo, Driyorejo, Gresik</v>
          </cell>
        </row>
        <row r="524">
          <cell r="B524">
            <v>191009</v>
          </cell>
          <cell r="C524" t="str">
            <v>UDOKO, SE</v>
          </cell>
          <cell r="D524" t="str">
            <v>Mangkurejo 41A, RT1/RW1, Kwangsan, Sedati, Sidoarjo 61253</v>
          </cell>
        </row>
        <row r="525">
          <cell r="B525">
            <v>191012</v>
          </cell>
          <cell r="C525" t="str">
            <v>TUGIMIN</v>
          </cell>
          <cell r="D525" t="str">
            <v>Medayu Utara, RT9/RW9, Medokan Ayu, Rungkut, Surabaya 60295</v>
          </cell>
        </row>
        <row r="526">
          <cell r="B526">
            <v>191014</v>
          </cell>
          <cell r="C526" t="str">
            <v>SUHARTO</v>
          </cell>
          <cell r="D526" t="str">
            <v>Sidosermo 4 Gg 15/8C, RT5/RW3, Sidosermo, Wonocolo, Surabaya 60239</v>
          </cell>
        </row>
        <row r="527">
          <cell r="B527">
            <v>191024</v>
          </cell>
          <cell r="C527" t="str">
            <v>BUDIONO</v>
          </cell>
          <cell r="D527" t="str">
            <v xml:space="preserve">Dsn Pohgurih, RT1/RW4, Sumolawang, Puri, Mojokerto </v>
          </cell>
        </row>
        <row r="528">
          <cell r="B528">
            <v>192004</v>
          </cell>
          <cell r="C528" t="str">
            <v>MOCH SOLEH</v>
          </cell>
          <cell r="D528" t="str">
            <v>Rinjani 35, RT2/RW3, Pare, Pare, Kediri 64211</v>
          </cell>
        </row>
        <row r="529">
          <cell r="B529">
            <v>193011</v>
          </cell>
          <cell r="C529" t="str">
            <v>SUGIARTO</v>
          </cell>
          <cell r="D529" t="str">
            <v>Griya Permata Hijau S-51, RT1/RW3, Wedoroklurak, Candi, Sidoarjo 61271</v>
          </cell>
        </row>
        <row r="530">
          <cell r="B530">
            <v>194027</v>
          </cell>
          <cell r="C530" t="str">
            <v>GUNTOYO</v>
          </cell>
          <cell r="D530" t="str">
            <v>Semampir Masjid 27, RT1/RW4, Surabaya</v>
          </cell>
        </row>
        <row r="531">
          <cell r="B531">
            <v>195018</v>
          </cell>
          <cell r="C531" t="str">
            <v>ARIFIN</v>
          </cell>
          <cell r="D531" t="str">
            <v>Tebon, RT2/RW7, Kayangan, Diwek, Jombang 61471</v>
          </cell>
        </row>
        <row r="532">
          <cell r="B532">
            <v>195019</v>
          </cell>
          <cell r="C532" t="str">
            <v>HERMAN AL HANAFI</v>
          </cell>
          <cell r="D532" t="str">
            <v>Kedung Anyar 2/7A, RT3/RW12, Sawahan, Sawahan, Surabaya 60251</v>
          </cell>
        </row>
        <row r="533">
          <cell r="B533">
            <v>196002</v>
          </cell>
          <cell r="C533" t="str">
            <v>ANTONIUS TEGUH SUNARSO</v>
          </cell>
          <cell r="D533" t="str">
            <v>Ngagel Tirto V/25, RT8/RW3, Ngagelrejo, Wonokromo, Surabaya 60245</v>
          </cell>
        </row>
        <row r="534">
          <cell r="B534">
            <v>196011</v>
          </cell>
          <cell r="C534" t="str">
            <v>LUCIA DIAH SAWITRI</v>
          </cell>
          <cell r="D534" t="str">
            <v>Perum.Bluru Permai EF/10, RT9/RW11, Bluru Kidul, Sidoarjo, Sidoarjo 61233</v>
          </cell>
        </row>
        <row r="535">
          <cell r="B535">
            <v>196022</v>
          </cell>
          <cell r="C535" t="str">
            <v>KARYONO</v>
          </cell>
          <cell r="D535" t="str">
            <v>Bendul Merisi  I Selatan 42, RT2/RW4, Bendul Merisi, Wonocolo, Surabaya 60239</v>
          </cell>
        </row>
        <row r="536">
          <cell r="B536">
            <v>196025</v>
          </cell>
          <cell r="C536" t="str">
            <v>MUHAMMAD</v>
          </cell>
          <cell r="D536" t="str">
            <v>Wisma Beringin (Kedung Baruk) No. 74 Surabaya</v>
          </cell>
        </row>
        <row r="537">
          <cell r="B537">
            <v>196033</v>
          </cell>
          <cell r="C537" t="str">
            <v>SUPRIYATIN</v>
          </cell>
          <cell r="D537" t="str">
            <v>Semolowaru Buntu 17, RT6/RW2, Semolowaru, Sukolilo, Surabaya 60119</v>
          </cell>
        </row>
        <row r="538">
          <cell r="B538">
            <v>197009</v>
          </cell>
          <cell r="C538" t="str">
            <v>INTISARI</v>
          </cell>
          <cell r="D538" t="str">
            <v>Rungkut Lor 3A/42A, RT2/RW6, Kalirungkut, Rungkut, Surabaya 60293</v>
          </cell>
        </row>
        <row r="539">
          <cell r="B539">
            <v>197012</v>
          </cell>
          <cell r="C539" t="str">
            <v>JUMAGI</v>
          </cell>
          <cell r="D539" t="str">
            <v>Panduk 2 A/9, RT3/RW4, Panjang Jiwo, Tenggilismejoyo, Surabaya 60299</v>
          </cell>
        </row>
        <row r="540">
          <cell r="B540">
            <v>197013</v>
          </cell>
          <cell r="C540" t="str">
            <v>EKO WAHYUDI</v>
          </cell>
          <cell r="D540" t="str">
            <v xml:space="preserve">Tuwuhrejo, RT4/RW3, Kesamben, Kesamben, Blitar </v>
          </cell>
        </row>
        <row r="541">
          <cell r="B541">
            <v>197014</v>
          </cell>
          <cell r="C541" t="str">
            <v>PAMUDJIONO</v>
          </cell>
          <cell r="D541" t="str">
            <v>Kersan, RT1/RW8, Mojogedang, Karanganyar</v>
          </cell>
        </row>
        <row r="542">
          <cell r="B542">
            <v>197018</v>
          </cell>
          <cell r="C542" t="str">
            <v>DADIK</v>
          </cell>
          <cell r="D542" t="str">
            <v>Ampel Dento, RT2/RW1, Bagorejo, Gumuk Mas, Jember 68165</v>
          </cell>
        </row>
        <row r="543">
          <cell r="B543">
            <v>197044</v>
          </cell>
          <cell r="C543" t="str">
            <v>BENDOT KASNADIANTO, S.Pd</v>
          </cell>
          <cell r="D543" t="str">
            <v xml:space="preserve">Dsn Dadapan, RT22/RW6/, Tlogorejo, Pagak, Malang </v>
          </cell>
        </row>
        <row r="544">
          <cell r="B544">
            <v>197046</v>
          </cell>
          <cell r="C544" t="str">
            <v>PARLAN</v>
          </cell>
          <cell r="D544" t="str">
            <v>Karang Gayam Teratai 3/1, RT1/RW4, Surabaya</v>
          </cell>
        </row>
        <row r="545">
          <cell r="B545">
            <v>197050</v>
          </cell>
          <cell r="C545" t="str">
            <v>ARIF MASHUDI</v>
          </cell>
          <cell r="D545" t="str">
            <v>Gubeng Airlangga 4/6C, RT6/RW2, Airlangga, Gubeng, Surabaya 60286</v>
          </cell>
        </row>
        <row r="546">
          <cell r="B546">
            <v>197053</v>
          </cell>
          <cell r="C546" t="str">
            <v>SRI MINARNI PUJI ASTUTI</v>
          </cell>
          <cell r="D546" t="str">
            <v>Lebak Rejo 112 A, RT3/RW1, Gading, Tambaksari, Surabaya 60134</v>
          </cell>
        </row>
        <row r="547">
          <cell r="B547">
            <v>198029</v>
          </cell>
          <cell r="C547" t="str">
            <v>GATOT WASONO</v>
          </cell>
          <cell r="D547" t="str">
            <v>Perum Pondok Dadapan Permai D/15, RT1/RW1, Segorotambak, Sedati, Sidoarjo 61253</v>
          </cell>
        </row>
        <row r="548">
          <cell r="B548">
            <v>200012</v>
          </cell>
          <cell r="C548" t="str">
            <v>SUKIJAN</v>
          </cell>
          <cell r="D548" t="str">
            <v>Medokan Kampung RT5/RW2, Medokan Ayu, Rungkut, Surabaya 60295</v>
          </cell>
        </row>
        <row r="549">
          <cell r="B549">
            <v>200014</v>
          </cell>
          <cell r="C549" t="str">
            <v>USIK SUSENO</v>
          </cell>
          <cell r="D549" t="str">
            <v>Griyo Kebonagung E-12B, RT32/RW8, Kebonagung, Sukodono, Sidoarjo 61258</v>
          </cell>
        </row>
        <row r="550">
          <cell r="B550">
            <v>200054</v>
          </cell>
          <cell r="C550" t="str">
            <v>SHINTA PERDHANA DEWI, A.Md</v>
          </cell>
          <cell r="D550" t="str">
            <v xml:space="preserve">Griya Permata Gedangan B4/16, RT9/RW6, Keboansikep, Gedangan, Sidoarjo 61254 </v>
          </cell>
        </row>
        <row r="551">
          <cell r="B551">
            <v>201012</v>
          </cell>
          <cell r="C551" t="str">
            <v>SUYANTO</v>
          </cell>
          <cell r="D551" t="str">
            <v>Dsn Gajah, RT2/RW1, Ngembeh, Dlanggu, Mojokerto 61371</v>
          </cell>
        </row>
        <row r="552">
          <cell r="B552">
            <v>201031</v>
          </cell>
          <cell r="C552" t="str">
            <v>HARI SUBAGIJO, A.Md</v>
          </cell>
          <cell r="D552" t="str">
            <v>Kembang Kuning Kramat 2/16, RT14/RW6, Pakis, Sawahan, Surabaya 60256</v>
          </cell>
        </row>
        <row r="553">
          <cell r="B553">
            <v>201032</v>
          </cell>
          <cell r="C553" t="str">
            <v>RADYANTI PRATIWI, A.Md</v>
          </cell>
          <cell r="D553" t="str">
            <v>Darmawangsa 4/21, RT5/RW1, Airlangga, Gubeng, Surabaya 60286</v>
          </cell>
        </row>
        <row r="554">
          <cell r="B554">
            <v>201039</v>
          </cell>
          <cell r="C554" t="str">
            <v>OKTONI SAPUTRA</v>
          </cell>
          <cell r="D554" t="str">
            <v>Karanggayam Teratai 1-D, RT2/RW4, Pacarkeling, Tambaksari, Surabaya 60131</v>
          </cell>
        </row>
        <row r="555">
          <cell r="B555">
            <v>202002</v>
          </cell>
          <cell r="C555" t="str">
            <v>HADI KRISBIYANTO</v>
          </cell>
          <cell r="D555" t="str">
            <v>Jl. Kinibalu Barat No. 5 Surabaya</v>
          </cell>
        </row>
        <row r="556">
          <cell r="B556">
            <v>202013</v>
          </cell>
          <cell r="C556" t="str">
            <v>AGUNG SUPRAYITNO</v>
          </cell>
          <cell r="D556" t="str">
            <v>Kapten Dulasim 7-D1, RT6/RW2, Kramatinggil, Gresik , Gresik 611112</v>
          </cell>
        </row>
        <row r="557">
          <cell r="B557">
            <v>202014</v>
          </cell>
          <cell r="C557" t="str">
            <v>SUMARNO</v>
          </cell>
          <cell r="D557" t="str">
            <v>Raya Rungkut Tengah No.45 Surabaya</v>
          </cell>
        </row>
        <row r="558">
          <cell r="B558">
            <v>197008</v>
          </cell>
          <cell r="C558" t="str">
            <v>KISWO BUDIONO, SE</v>
          </cell>
          <cell r="D558" t="str">
            <v>Jl. Wonoayu I/153, RT4/RW3, Medokan Ayu, Rungkut, Surabaya 60295</v>
          </cell>
        </row>
        <row r="559">
          <cell r="B559">
            <v>198038</v>
          </cell>
          <cell r="C559" t="str">
            <v>SUJONO HARYANTO</v>
          </cell>
          <cell r="D559" t="str">
            <v>Ngagel Wasono Kalimir 6/1, RT6/RW2, Barata Jaya, Gubeng, Surabaya 60284</v>
          </cell>
        </row>
        <row r="560">
          <cell r="B560">
            <v>202051</v>
          </cell>
          <cell r="C560" t="str">
            <v>DODIK IRAWAN</v>
          </cell>
          <cell r="D560" t="str">
            <v>Juwingan 122, RT2/RW11, Kertajaya, Gubeng, Surabaya 60282</v>
          </cell>
        </row>
        <row r="561">
          <cell r="B561">
            <v>203012</v>
          </cell>
          <cell r="C561" t="str">
            <v>TANG HAMIDY, A.Md</v>
          </cell>
          <cell r="D561" t="str">
            <v>Griya Pesona Asri E/3, RT2/RW10, Medokan ayu, Rungkut, Surabaya 60295</v>
          </cell>
        </row>
        <row r="562">
          <cell r="B562">
            <v>203028</v>
          </cell>
          <cell r="C562" t="str">
            <v>NUGROHO NUKI</v>
          </cell>
          <cell r="D562" t="str">
            <v>Gadukan Utara SD/45, RT1/RW5, Morokrembangan, Krembangan, Surabaya 60178</v>
          </cell>
        </row>
        <row r="563">
          <cell r="B563">
            <v>203041</v>
          </cell>
          <cell r="C563" t="str">
            <v>MASRUCHAN</v>
          </cell>
          <cell r="D563" t="str">
            <v>Dsn. Sumberjo, RT1/RW1, Sumberbendo, Pare, Kediri 64228</v>
          </cell>
        </row>
        <row r="564">
          <cell r="B564">
            <v>204001</v>
          </cell>
          <cell r="C564" t="str">
            <v>VERONICA YULIA KURNIATI, A.Md</v>
          </cell>
          <cell r="D564" t="str">
            <v xml:space="preserve">Bukit Melati VII/E54, RT3/RW22, Sendangmulyo, Tembalang, Semarang </v>
          </cell>
        </row>
        <row r="565">
          <cell r="B565">
            <v>204002</v>
          </cell>
          <cell r="C565" t="str">
            <v>DJOKO DJAROT WIBISONO</v>
          </cell>
          <cell r="D565" t="str">
            <v>Tempel Sukorejo I/91B, RT7/RW7, Wonorejo, Tegalsari, Surabaya 60263</v>
          </cell>
        </row>
        <row r="566">
          <cell r="B566">
            <v>204007</v>
          </cell>
          <cell r="C566" t="str">
            <v>EKO SUWITNYO</v>
          </cell>
          <cell r="D566" t="str">
            <v>Dsn Gesing, RT1/RW1, Banjarsari, Buduran, Sidoarjo 61252</v>
          </cell>
        </row>
        <row r="567">
          <cell r="B567">
            <v>204011</v>
          </cell>
          <cell r="C567" t="str">
            <v>WINDU WIBOWO WASONO P</v>
          </cell>
          <cell r="D567" t="str">
            <v>Alam Pesona EB 2/1, RT65/RW11, Sidorejo, Krian, Sidoarjo, 61262</v>
          </cell>
        </row>
        <row r="568">
          <cell r="B568">
            <v>206019</v>
          </cell>
          <cell r="C568" t="str">
            <v>YULIANA DEWI, SS</v>
          </cell>
          <cell r="D568" t="str">
            <v>Dsn Gudang, RT4/RW2, Segaran, Tiris, Probolinggo</v>
          </cell>
        </row>
        <row r="569">
          <cell r="B569">
            <v>192006</v>
          </cell>
          <cell r="C569" t="str">
            <v>SLAMET POEDJO SEMEDI, S.Sos</v>
          </cell>
          <cell r="D569" t="str">
            <v>Sarirejo 5/70, RT12/RW3, Sarirejo, Mojosari, Mojokerto 61382</v>
          </cell>
        </row>
        <row r="570">
          <cell r="B570">
            <v>196040</v>
          </cell>
          <cell r="C570" t="str">
            <v>ENDAH RISWANTI, A.Md</v>
          </cell>
          <cell r="D570" t="str">
            <v>Rungkut arapan J/42, RT10/RW2, Kalirungkut, Rungkut, Surabaya 60293</v>
          </cell>
        </row>
        <row r="571">
          <cell r="B571">
            <v>197004</v>
          </cell>
          <cell r="C571" t="str">
            <v>SINGGIH SUGIARTO, A.Md</v>
          </cell>
          <cell r="D571" t="str">
            <v>Margorukun 7/7, RT1/RW7, Gundih, Bubutan, Surabaya 60172</v>
          </cell>
        </row>
        <row r="572">
          <cell r="B572">
            <v>201035</v>
          </cell>
          <cell r="C572" t="str">
            <v>OKY WIDYANARKO, A.Md</v>
          </cell>
          <cell r="D572" t="str">
            <v>Semolowaru Elok AJ-16, RT3/RW5, Semolowaru, Sukolilo, Surabaya 60119</v>
          </cell>
        </row>
        <row r="573">
          <cell r="B573">
            <v>199003</v>
          </cell>
          <cell r="C573" t="str">
            <v>FRANCISCUS CAHYO KRISTIANTO, S.Si, Apt</v>
          </cell>
          <cell r="D573" t="str">
            <v>Rungkut Mapan Timur 7/EG22, RT3/RW9, Rungkut Tengah, Gununganyar, Surabaya 60293</v>
          </cell>
        </row>
        <row r="574">
          <cell r="B574">
            <v>201016</v>
          </cell>
          <cell r="C574" t="str">
            <v>ADJI WINARNO, SE</v>
          </cell>
          <cell r="D574" t="str">
            <v>Gubeng Jaya 2-KA/8-G, RT3/RW2, Gubeng, Gubeng, Surabaya 60281</v>
          </cell>
        </row>
        <row r="575">
          <cell r="B575">
            <v>195031</v>
          </cell>
          <cell r="C575" t="str">
            <v>MISRIANTI</v>
          </cell>
          <cell r="D575" t="str">
            <v>Pogot Baru 5/19, RT7/RW6, Kalikedinding, Kenjeran, Surabaya 60129</v>
          </cell>
        </row>
        <row r="576">
          <cell r="B576">
            <v>202023</v>
          </cell>
          <cell r="C576" t="str">
            <v>SUGIANTO</v>
          </cell>
          <cell r="D576" t="str">
            <v>Dsn Kanigoro 13, RT1/RW3, Puton, Diwek, Jombang 61471</v>
          </cell>
        </row>
        <row r="577">
          <cell r="B577">
            <v>193026</v>
          </cell>
          <cell r="C577" t="str">
            <v>FRANCISCUS REDE</v>
          </cell>
          <cell r="D577" t="str">
            <v>Pakis Gunung 3-A/25, RT15/RW4, Pakis, Sawahan, Surabaya 60256</v>
          </cell>
        </row>
        <row r="578">
          <cell r="B578">
            <v>200017</v>
          </cell>
          <cell r="C578" t="str">
            <v>SUKARSANTO</v>
          </cell>
          <cell r="D578" t="str">
            <v>P Sudirman 11, RT8/RW1, Ploso, Ploso, Jombang 61453</v>
          </cell>
        </row>
        <row r="579">
          <cell r="B579">
            <v>203029</v>
          </cell>
          <cell r="C579" t="str">
            <v>Rr ELEONORA MARIA FARIANI, SH</v>
          </cell>
          <cell r="D579" t="str">
            <v>Medayu Selatan 11/1, RT7/RW4,  Medokan Ayu, Rungkut, Surabaya 60295</v>
          </cell>
        </row>
        <row r="580">
          <cell r="B580">
            <v>193017</v>
          </cell>
          <cell r="C580" t="str">
            <v>MUHAMAT ARIFIN</v>
          </cell>
          <cell r="D580" t="str">
            <v>Mejoyo gg 3/2C, RT3/RW2, Kalirungkut, Rungkut, Surabaya 60293</v>
          </cell>
        </row>
        <row r="581">
          <cell r="B581">
            <v>202030</v>
          </cell>
          <cell r="C581" t="str">
            <v>SURYADINI IRAWATININGSIH, A.Md</v>
          </cell>
          <cell r="D581" t="str">
            <v>Piere Tendean 34, RT2/RW1, Ronggomulyo, Tuban, Tuban 62313</v>
          </cell>
        </row>
        <row r="582">
          <cell r="B582">
            <v>202038</v>
          </cell>
          <cell r="C582" t="str">
            <v>WAHYU JATMIKO, SE</v>
          </cell>
          <cell r="D582" t="str">
            <v xml:space="preserve">Tosaren, RT14/RW5, Tosaren, Pesantren, Kediri </v>
          </cell>
        </row>
        <row r="583">
          <cell r="B583">
            <v>202041</v>
          </cell>
          <cell r="C583" t="str">
            <v>TEGUH SANTOSO, SE</v>
          </cell>
          <cell r="D583" t="str">
            <v xml:space="preserve">LA Sucipto 183, RT3/RW2, Blimbing, Blimbing, Malang 65125 </v>
          </cell>
        </row>
        <row r="584">
          <cell r="B584">
            <v>202037</v>
          </cell>
          <cell r="C584" t="str">
            <v>ITA MEGASARI, SE</v>
          </cell>
          <cell r="D584" t="str">
            <v>Rungkut Mejoyo Selatan 2/41, RT2/RW1, Kalirungkut, Rungkut, Surabaya 60293</v>
          </cell>
        </row>
        <row r="585">
          <cell r="B585">
            <v>202039</v>
          </cell>
          <cell r="C585" t="str">
            <v>NIKEN WIDYASTUTI, SE</v>
          </cell>
          <cell r="D585" t="str">
            <v xml:space="preserve">Tinalan II Baru 17, RT1/RW7, Tinalan, Pesantren, Kediri </v>
          </cell>
        </row>
        <row r="586">
          <cell r="B586">
            <v>202040</v>
          </cell>
          <cell r="C586" t="str">
            <v>ANIK WINARSIH, SE</v>
          </cell>
          <cell r="D586" t="str">
            <v>Manyar Sabrangan 168A, RT5/RW3, Manyar Sabrangan, Mulyosari, Surabaya 60116</v>
          </cell>
        </row>
        <row r="587">
          <cell r="B587">
            <v>187011</v>
          </cell>
          <cell r="C587" t="str">
            <v>TRI HARTONO</v>
          </cell>
          <cell r="D587" t="str">
            <v xml:space="preserve">Raya 155, RT7/RW7, Pagentan, Singosari, Malang </v>
          </cell>
        </row>
        <row r="588">
          <cell r="B588">
            <v>198041</v>
          </cell>
          <cell r="C588" t="str">
            <v>ATI SUKMAWATI, A.Md, AK</v>
          </cell>
          <cell r="D588" t="str">
            <v xml:space="preserve">Bandulan 1E/27, RT3/RW4, Bandulan, Sukun, Malang </v>
          </cell>
        </row>
        <row r="589">
          <cell r="B589">
            <v>203033</v>
          </cell>
          <cell r="C589" t="str">
            <v>DANU PRASETYA, A.Md</v>
          </cell>
          <cell r="D589" t="str">
            <v>Wirengan, RT1/RW5, Baluwarti, Pasarkliwon, Surakarta 57114</v>
          </cell>
        </row>
        <row r="590">
          <cell r="B590">
            <v>202006</v>
          </cell>
          <cell r="C590" t="str">
            <v>SYARIF RAHMAN, A.Md</v>
          </cell>
          <cell r="D590" t="str">
            <v>Jahri Saleh 51, RT3, Surgi Mufti, Banjarmasin Utara, Banjarmasin 70122</v>
          </cell>
        </row>
        <row r="591">
          <cell r="B591">
            <v>198002</v>
          </cell>
          <cell r="C591" t="str">
            <v>YUSUF MUSTAKIM</v>
          </cell>
          <cell r="D591" t="str">
            <v>Keboansikep, RT7/RW4, Keboansikep, Gedangan, Sidoarjo 61254</v>
          </cell>
        </row>
        <row r="592">
          <cell r="B592">
            <v>204015</v>
          </cell>
          <cell r="C592" t="str">
            <v>IMAM SUHADAK</v>
          </cell>
          <cell r="D592" t="str">
            <v>Wonoayu 127, RT3/RW3, Medokan Ayu, Rungkut, Surabaya 60295</v>
          </cell>
        </row>
        <row r="593">
          <cell r="B593">
            <v>207009</v>
          </cell>
          <cell r="C593" t="str">
            <v>WINA AFRILIANINGRUM, ST</v>
          </cell>
          <cell r="D593" t="str">
            <v xml:space="preserve">Sidomukti, RT1/RW2, Ngadilangkung, Kepanjen, Malang </v>
          </cell>
        </row>
        <row r="594">
          <cell r="B594">
            <v>183012</v>
          </cell>
          <cell r="C594" t="str">
            <v>FATKHUR</v>
          </cell>
          <cell r="D594" t="str">
            <v>Dusun Butoh, RT7/RW1, Tulungagung, Baureno, Bojonegoro 62192</v>
          </cell>
        </row>
        <row r="595">
          <cell r="B595">
            <v>188011</v>
          </cell>
          <cell r="C595" t="str">
            <v>ZAINI</v>
          </cell>
          <cell r="D595" t="str">
            <v>Jagir Sidoresmo 7/41, RT3/RW1, Jagir, Wonokromo, Surabaya 60244</v>
          </cell>
        </row>
        <row r="596">
          <cell r="B596">
            <v>190012</v>
          </cell>
          <cell r="C596" t="str">
            <v>SUPARNO</v>
          </cell>
          <cell r="D596" t="str">
            <v>Medayu Utara, RT9/RW3, Medokan Ayu, Rungkut, Surabaya 60295</v>
          </cell>
        </row>
        <row r="597">
          <cell r="B597">
            <v>190013</v>
          </cell>
          <cell r="C597" t="str">
            <v>MARDJOKO</v>
          </cell>
          <cell r="D597" t="str">
            <v>Banyu Urip 280, RT4/RW1, Kupang Krajan, Sawahan, Surabaya 60253</v>
          </cell>
        </row>
        <row r="598">
          <cell r="B598">
            <v>191021</v>
          </cell>
          <cell r="C598" t="str">
            <v>SUGENG WINDOKO</v>
          </cell>
          <cell r="D598" t="str">
            <v>Rungkut Lor 10/115D, RT1/RW15, Kalirungkut, Rungkut, Surabaya 60293</v>
          </cell>
        </row>
        <row r="599">
          <cell r="B599">
            <v>197056</v>
          </cell>
          <cell r="C599" t="str">
            <v>MUHAMAD FAUZI</v>
          </cell>
          <cell r="D599" t="str">
            <v>Tambak Sumur 43, RT1/RW1, Tambaksumur, Waru, Sidoarjo 61256</v>
          </cell>
        </row>
        <row r="600">
          <cell r="B600">
            <v>198037</v>
          </cell>
          <cell r="C600" t="str">
            <v>AHMAD ROFIQ</v>
          </cell>
          <cell r="D600" t="str">
            <v>Karanggayam Teratai 1D, RT2/RW4, Pacarkeling, Tambaksari, Surabaya 60131</v>
          </cell>
        </row>
        <row r="601">
          <cell r="B601">
            <v>200020</v>
          </cell>
          <cell r="C601" t="str">
            <v>ANDIK</v>
          </cell>
          <cell r="D601" t="str">
            <v>Wisma Beringin Ked Baruk 84, RT3/RW4, Kedung Baruk, Rungkut, Surabaya 60298</v>
          </cell>
        </row>
        <row r="602">
          <cell r="B602">
            <v>201004</v>
          </cell>
          <cell r="C602" t="str">
            <v>SRI ANDRIYANI</v>
          </cell>
          <cell r="D602" t="str">
            <v xml:space="preserve">Kertanegara 122, RT4/RW1, Girimoyo, Karangploso, Malang </v>
          </cell>
        </row>
        <row r="603">
          <cell r="B603">
            <v>207008</v>
          </cell>
          <cell r="C603" t="str">
            <v>DYAH PUSPITA</v>
          </cell>
          <cell r="D603" t="str">
            <v>Lingkungan Satriyan, RT1/RW2, Satriyan, Kanigoro, Blitar</v>
          </cell>
        </row>
        <row r="604">
          <cell r="B604">
            <v>206017</v>
          </cell>
          <cell r="C604" t="str">
            <v>NINIEK TRIPUSPITASARI, S.Si</v>
          </cell>
          <cell r="D604" t="str">
            <v>Siwalankerto Utara 48B, RT4/RW3, Siwalankerto, Wonocolo, Surabaya 60236</v>
          </cell>
        </row>
        <row r="605">
          <cell r="B605">
            <v>202015</v>
          </cell>
          <cell r="C605" t="str">
            <v>SOEHARTATIK, A.Md</v>
          </cell>
          <cell r="D605" t="str">
            <v>Cipunegara 40A, RT10/RW6, Darmo, Wonokromo, Surabaya 60241</v>
          </cell>
        </row>
        <row r="606">
          <cell r="B606">
            <v>191004</v>
          </cell>
          <cell r="C606" t="str">
            <v>EFENDI</v>
          </cell>
          <cell r="D606" t="str">
            <v>Krukah Utara 5/16, RT1/RW5, Ngagelrejo, Wonokromo, Surabaya 60245</v>
          </cell>
        </row>
        <row r="607">
          <cell r="B607">
            <v>199023</v>
          </cell>
          <cell r="C607" t="str">
            <v>FADJAR EFENDY RASYID, A.Md</v>
          </cell>
          <cell r="D607" t="str">
            <v>Gunungsari Indah Blok LL-2, RT5/RW8, Kedurus, Karangpilang, Surabaya 60223</v>
          </cell>
        </row>
        <row r="608">
          <cell r="B608">
            <v>204038</v>
          </cell>
          <cell r="C608" t="str">
            <v>SUGENG</v>
          </cell>
          <cell r="D608" t="str">
            <v>Dsn Dumplengan, DT1/RW1, Dumplengan, Pitu, Ngawi 63252</v>
          </cell>
        </row>
        <row r="609">
          <cell r="B609">
            <v>195047</v>
          </cell>
          <cell r="C609" t="str">
            <v>MONIKA MULYANINGSIH</v>
          </cell>
          <cell r="D609" t="str">
            <v>Gununganyar Mas Q/17, RT7/RW4, Gn Anyar Tambak, Gununganyar, Surabaya 60294</v>
          </cell>
        </row>
        <row r="610">
          <cell r="B610">
            <v>199007</v>
          </cell>
          <cell r="C610" t="str">
            <v>JANNY PURWANTI, A.Md</v>
          </cell>
          <cell r="D610" t="str">
            <v>Rungkut Asri Tengah 2/25, RT4/RW8, Rungkut Kidul, Rungkut, Surabaya 60293</v>
          </cell>
        </row>
        <row r="611">
          <cell r="B611">
            <v>200035</v>
          </cell>
          <cell r="C611" t="str">
            <v>MOCHAMMAD RUSDI, A.Md</v>
          </cell>
          <cell r="D611" t="str">
            <v>Perum Puri Sejahtera H-9, RT35/RW3, Sidokepung, Buburan, Sidoarjo 61252</v>
          </cell>
        </row>
        <row r="612">
          <cell r="B612">
            <v>196012</v>
          </cell>
          <cell r="C612" t="str">
            <v>HANI'ATUN NADJICHAH, A.Md</v>
          </cell>
          <cell r="D612" t="str">
            <v>Wilis 2/15, RT4/RW1, Kramat, Nganjuk, Nganjuk 64419</v>
          </cell>
        </row>
        <row r="613">
          <cell r="B613">
            <v>207006</v>
          </cell>
          <cell r="C613" t="str">
            <v>AKHMAD SUBHKAN, S.TP</v>
          </cell>
          <cell r="D613" t="str">
            <v>Diponegoro 208C, RT9/RW2, Lebo, Sidoarjo, Sidoarjo 61223</v>
          </cell>
        </row>
        <row r="614">
          <cell r="B614">
            <v>196020</v>
          </cell>
          <cell r="C614" t="str">
            <v>WAKHID</v>
          </cell>
          <cell r="D614" t="str">
            <v xml:space="preserve">Wonokerso, RT6/RW2, Wonokerso, Pakisaji, Malang </v>
          </cell>
        </row>
        <row r="615">
          <cell r="B615">
            <v>200016</v>
          </cell>
          <cell r="C615" t="str">
            <v>MIFTA ADY WIDJAJA, S.H.</v>
          </cell>
          <cell r="D615" t="str">
            <v>Raden Patah 37, RT5/RW6, Kepanjen, Jombang, Jombang 61411</v>
          </cell>
        </row>
        <row r="616">
          <cell r="B616">
            <v>193014</v>
          </cell>
          <cell r="C616" t="str">
            <v>IMAM TAUHID</v>
          </cell>
          <cell r="D616" t="str">
            <v>Sarip, RT7/RW2, Tambakoso, Waru, Sidoarjo 61256</v>
          </cell>
        </row>
        <row r="617">
          <cell r="B617">
            <v>198023</v>
          </cell>
          <cell r="C617" t="str">
            <v>EKO PURNOMO</v>
          </cell>
          <cell r="D617" t="str">
            <v>Dsn Krajan Barat, RT3/RW5, Mlokorejo, Puger, Jember 68164</v>
          </cell>
        </row>
        <row r="618">
          <cell r="B618">
            <v>204017</v>
          </cell>
          <cell r="C618" t="str">
            <v>IWAN ZUHRIYANTO, A.Md</v>
          </cell>
          <cell r="D618" t="str">
            <v xml:space="preserve">Kyai Ghozali 5/76, RT1/RW4, Rogotrunan, Lumajang, Lumajang </v>
          </cell>
        </row>
        <row r="619">
          <cell r="B619">
            <v>201011</v>
          </cell>
          <cell r="C619" t="str">
            <v>HARY APRIATI RESTIA</v>
          </cell>
          <cell r="D619" t="str">
            <v>Krukah Selatan 78, RT9/RW5, Ngagelrejo, Wonokromo, Surabaya 60245</v>
          </cell>
        </row>
        <row r="620">
          <cell r="B620">
            <v>204008</v>
          </cell>
          <cell r="C620" t="str">
            <v>NURDIN RASYID TOKAN</v>
          </cell>
          <cell r="D620" t="str">
            <v>Dsn Ngudirejo, RT4/RW1, Ngudirejo, Diwek, Jombang</v>
          </cell>
        </row>
        <row r="621">
          <cell r="B621">
            <v>191018</v>
          </cell>
          <cell r="C621" t="str">
            <v>SIGIT UTOMO</v>
          </cell>
          <cell r="D621" t="str">
            <v>Dns Blimbing, RT1/RW2, Banjaranyar, Tanjunganom, Nganjuk 64483</v>
          </cell>
        </row>
        <row r="622">
          <cell r="B622">
            <v>193001</v>
          </cell>
          <cell r="C622" t="str">
            <v>DWI WAHYU WINARLIN</v>
          </cell>
          <cell r="D622" t="str">
            <v>Jl. Ngagel Wasana 9/35, RT8/RW2, Barata Jaya, Gubeng, Surabaya 60284</v>
          </cell>
        </row>
        <row r="623">
          <cell r="B623">
            <v>188013</v>
          </cell>
          <cell r="C623" t="str">
            <v xml:space="preserve">SUPRIYANTO </v>
          </cell>
          <cell r="D623" t="str">
            <v>Perum Griya Kencana I CC/32, RT6/RW7, Mojosarirejo, Driyorejo, Gresik 61177</v>
          </cell>
        </row>
        <row r="624">
          <cell r="B624">
            <v>190015</v>
          </cell>
          <cell r="C624" t="str">
            <v>HARIYANTO</v>
          </cell>
          <cell r="D624" t="str">
            <v>Perum Griya Kencana I CC/19, RT6/RW7, Mojosarirejo, Driyorejo, Gresik 61177</v>
          </cell>
        </row>
        <row r="625">
          <cell r="B625">
            <v>202008</v>
          </cell>
          <cell r="C625" t="str">
            <v>JUM'ATI, SE</v>
          </cell>
          <cell r="D625" t="str">
            <v>Kedung Baruk 143, RT5/RW3, Kedungbaruk, Rungkut, Surabaya 60298</v>
          </cell>
        </row>
        <row r="626">
          <cell r="B626">
            <v>195033</v>
          </cell>
          <cell r="C626" t="str">
            <v>KATIRAN</v>
          </cell>
          <cell r="D626" t="str">
            <v>Rungkut Lor 3D/20, RT4/RW6, Kalirungkut, Rungkut, Surabaya 60293</v>
          </cell>
        </row>
        <row r="627">
          <cell r="B627">
            <v>198006</v>
          </cell>
          <cell r="C627" t="str">
            <v>SUDARMAN</v>
          </cell>
          <cell r="D627" t="str">
            <v>Ngagel Dadi 1-H/2, RT5/RW10, Ngagelrejo, Wonokromo, Surabaya 60245</v>
          </cell>
        </row>
        <row r="628">
          <cell r="B628">
            <v>202022</v>
          </cell>
          <cell r="C628" t="str">
            <v>IRAWAN</v>
          </cell>
          <cell r="D628" t="str">
            <v>Ngetrep, RT1/RW3, Tutup, Tunjungan, Blora</v>
          </cell>
        </row>
        <row r="629">
          <cell r="B629">
            <v>203020</v>
          </cell>
          <cell r="C629" t="str">
            <v>IIK KUKUHING TYAS, A.Md</v>
          </cell>
          <cell r="D629" t="str">
            <v>Dsn Tanon Selatan, RT6/RW1, Tanon, Papar, Kediri 64153</v>
          </cell>
        </row>
        <row r="630">
          <cell r="B630">
            <v>195043</v>
          </cell>
          <cell r="C630" t="str">
            <v>DENNY PAULO</v>
          </cell>
          <cell r="D630" t="str">
            <v>Tambaksari 4/5, RT7/RW1, Ploso, Tambaksari, Surabaya 60133</v>
          </cell>
        </row>
        <row r="631">
          <cell r="B631">
            <v>197001</v>
          </cell>
          <cell r="C631" t="str">
            <v>AINUR IZA</v>
          </cell>
          <cell r="D631" t="str">
            <v>Tambaksari 4/5, RT7/RW1, Ploso, Tambaksari, Surabaya 60133</v>
          </cell>
        </row>
        <row r="632">
          <cell r="B632">
            <v>197062</v>
          </cell>
          <cell r="C632" t="str">
            <v>SUPRANTO</v>
          </cell>
          <cell r="D632" t="str">
            <v>Raya Kalirungkut 113-C, RT5/RW5, Kalirungkut, Rungkut, Surabaya 60293</v>
          </cell>
        </row>
        <row r="633">
          <cell r="B633">
            <v>195053</v>
          </cell>
          <cell r="C633" t="str">
            <v>SRI RAHAYU YULIATI</v>
          </cell>
          <cell r="D633" t="str">
            <v>Raya Kalirungkut 113-C, RT5/RW5, Kalirungkut, Rungkut, Surabaya 60293</v>
          </cell>
        </row>
        <row r="634">
          <cell r="B634">
            <v>197017</v>
          </cell>
          <cell r="C634" t="str">
            <v>MISTARI, Ir</v>
          </cell>
          <cell r="D634" t="str">
            <v>Puri Kalitengah T-3/RT5/RW5, Kalitengah, Tanggulangin, Sidoarjo 61272</v>
          </cell>
        </row>
        <row r="635">
          <cell r="B635">
            <v>197003</v>
          </cell>
          <cell r="C635" t="str">
            <v>MAHRIFATUSANIAH, Dra.ec</v>
          </cell>
          <cell r="D635" t="str">
            <v>Puri Kalitengah T-3/RT5/RW5, Kalitengah, Tanggulangin, Sidoarjo 61272</v>
          </cell>
        </row>
        <row r="636">
          <cell r="B636">
            <v>196005</v>
          </cell>
          <cell r="C636" t="str">
            <v>ERY DWI PURWANTO, SE</v>
          </cell>
          <cell r="D636" t="str">
            <v>Jagir Sidoresmo VIII/37, RT3/RW1, Jagir, Wonokromo, Surabaya 60244</v>
          </cell>
        </row>
        <row r="637">
          <cell r="B637">
            <v>198024</v>
          </cell>
          <cell r="C637" t="str">
            <v>CANDRA NURITA WIDARNINGSIH</v>
          </cell>
          <cell r="D637" t="str">
            <v xml:space="preserve">Pecindilan IV/22 Surabaya </v>
          </cell>
        </row>
        <row r="638">
          <cell r="C638" t="str">
            <v>ELLYANA LINDEN , S.Si, M.Sc.Ap</v>
          </cell>
          <cell r="D638" t="str">
            <v>Nginden Intan Barat I/14 Blok C5-29 Surabaya</v>
          </cell>
        </row>
        <row r="639">
          <cell r="B639">
            <v>206015</v>
          </cell>
          <cell r="C639" t="str">
            <v>ARIEF GUNAWAN DARMANTO, S.Si, M.Si</v>
          </cell>
          <cell r="D639" t="str">
            <v>Jl. Darmo Park I Blok IIIA/1 Surabaya</v>
          </cell>
        </row>
        <row r="640">
          <cell r="C640" t="str">
            <v>SATIMAN</v>
          </cell>
          <cell r="D640" t="str">
            <v>JL. Banyu Urip Kidul Molin II B/46A Rt 8 Rw 4 Surabaya</v>
          </cell>
        </row>
        <row r="641">
          <cell r="B641">
            <v>183008</v>
          </cell>
          <cell r="C641" t="str">
            <v>MOCH WIYONO</v>
          </cell>
          <cell r="D641" t="str">
            <v>Tropodo I Gg. Masjid No.16B Sidoarjo</v>
          </cell>
        </row>
        <row r="642">
          <cell r="B642">
            <v>197038</v>
          </cell>
          <cell r="C642" t="str">
            <v>CHOLIP</v>
          </cell>
          <cell r="D642" t="str">
            <v>Dinoyo Sekolahan V/5A Surabaya</v>
          </cell>
        </row>
        <row r="643">
          <cell r="B643">
            <v>198013</v>
          </cell>
          <cell r="C643" t="str">
            <v>DJIANTO</v>
          </cell>
          <cell r="D643" t="str">
            <v>Bratang Wetan IVB/25 Surabaya</v>
          </cell>
        </row>
        <row r="644">
          <cell r="B644">
            <v>195032</v>
          </cell>
          <cell r="C644" t="str">
            <v>AGUS SETIONO</v>
          </cell>
          <cell r="D644" t="str">
            <v>Bendul Merisi IV/28 Surabaya 60239</v>
          </cell>
        </row>
        <row r="645">
          <cell r="B645">
            <v>198010</v>
          </cell>
          <cell r="C645" t="str">
            <v>EKO SANYOTO</v>
          </cell>
          <cell r="D645" t="str">
            <v>Rungkut Lor Gg. III/59 G Surabaya 60293</v>
          </cell>
        </row>
        <row r="646">
          <cell r="B646">
            <v>198012</v>
          </cell>
          <cell r="C646" t="str">
            <v>SARDJONO</v>
          </cell>
          <cell r="D646" t="str">
            <v>Rungkut Lor III/59 G Surabaya 60293</v>
          </cell>
        </row>
        <row r="647">
          <cell r="B647">
            <v>206008</v>
          </cell>
          <cell r="C647" t="str">
            <v>SETIO TRIWIDODO, S.E.</v>
          </cell>
        </row>
        <row r="648">
          <cell r="B648">
            <v>205003</v>
          </cell>
          <cell r="C648" t="str">
            <v>ANINDITO ADITOMO, S.Psi</v>
          </cell>
          <cell r="D648" t="str">
            <v>Perum. Pondok Jati CS No. 5 Sidoarjo</v>
          </cell>
        </row>
        <row r="649">
          <cell r="B649">
            <v>206020</v>
          </cell>
          <cell r="C649" t="str">
            <v>LILIANA, ST</v>
          </cell>
          <cell r="D649" t="str">
            <v>Fakultas Teknik</v>
          </cell>
        </row>
        <row r="650">
          <cell r="B650">
            <v>187038</v>
          </cell>
          <cell r="C650" t="str">
            <v>SURATMAN</v>
          </cell>
          <cell r="D650" t="str">
            <v>Griya Kencana I. BB-29 Ds.Mojosarirejo Driyorejo</v>
          </cell>
        </row>
        <row r="651">
          <cell r="B651">
            <v>190008</v>
          </cell>
          <cell r="C651" t="str">
            <v>AL DJUHAENI</v>
          </cell>
          <cell r="D651" t="str">
            <v>Jl. Raya Medokan Semampir Indah No. 39 Surabaya</v>
          </cell>
        </row>
        <row r="652">
          <cell r="B652">
            <v>190016</v>
          </cell>
          <cell r="C652" t="str">
            <v>MISERI</v>
          </cell>
          <cell r="D652" t="str">
            <v>Griya Kencana Ds Mojosari Rejo I CC 28 Gresik</v>
          </cell>
        </row>
        <row r="653">
          <cell r="B653">
            <v>192015</v>
          </cell>
          <cell r="C653" t="str">
            <v>MULYADI</v>
          </cell>
          <cell r="D653" t="str">
            <v>Kompleks Rewwin Jl. Rajawali Utara V/ I-128 Sidoarjo</v>
          </cell>
        </row>
        <row r="654">
          <cell r="B654">
            <v>197022</v>
          </cell>
          <cell r="C654" t="str">
            <v>ACHMAD MULYADIN</v>
          </cell>
          <cell r="D654" t="str">
            <v>Rungkut Lor III/59 G Surabaya</v>
          </cell>
        </row>
        <row r="655">
          <cell r="B655">
            <v>197036</v>
          </cell>
          <cell r="C655" t="str">
            <v>ACHMAD CHOLIL</v>
          </cell>
          <cell r="D655" t="str">
            <v>Mejoyo Gg. Buntu 8 A Kalirungkut Surabaya</v>
          </cell>
        </row>
        <row r="656">
          <cell r="B656">
            <v>198001</v>
          </cell>
          <cell r="C656" t="str">
            <v>ERSAT</v>
          </cell>
          <cell r="D656" t="str">
            <v>Pacar Kembang XI/19 Surabaya 60132</v>
          </cell>
        </row>
        <row r="657">
          <cell r="B657">
            <v>198009</v>
          </cell>
          <cell r="C657" t="str">
            <v>HARYO WICAKSONO</v>
          </cell>
          <cell r="D657" t="str">
            <v>Jl. Ketintang Madya III/18-20 Surabaya</v>
          </cell>
        </row>
        <row r="658">
          <cell r="B658">
            <v>200033</v>
          </cell>
          <cell r="C658" t="str">
            <v>LIES ANDALINA, A.Md</v>
          </cell>
          <cell r="D658" t="str">
            <v>Sidokapasan Gg. V/42 Surabaya</v>
          </cell>
        </row>
        <row r="659">
          <cell r="C659" t="str">
            <v>HENDRAS ALDIANTO</v>
          </cell>
          <cell r="D659" t="str">
            <v>Jl. Petemon Barat No. 109 A Surabaya</v>
          </cell>
        </row>
        <row r="660">
          <cell r="B660">
            <v>202018</v>
          </cell>
          <cell r="C660" t="str">
            <v>DULADI</v>
          </cell>
          <cell r="D660" t="str">
            <v>Jl. Rungkut Lor gg.III/c No.7 Surabaya</v>
          </cell>
        </row>
        <row r="661">
          <cell r="B661">
            <v>202047</v>
          </cell>
          <cell r="C661" t="str">
            <v>EVI VALENCIA EKA HARDINI, A.Md</v>
          </cell>
          <cell r="D661" t="str">
            <v>Pondok Benowo Indah Blok L14 Surabaya</v>
          </cell>
        </row>
        <row r="662">
          <cell r="B662">
            <v>187027</v>
          </cell>
          <cell r="C662" t="str">
            <v>TUKINO HADI</v>
          </cell>
          <cell r="D662" t="str">
            <v>Griya Kencana Blok I BB 39 Mojosarirejo Driyorejo Gresik</v>
          </cell>
        </row>
        <row r="663">
          <cell r="B663">
            <v>192016</v>
          </cell>
          <cell r="C663" t="str">
            <v>BAGUS KURNIA WIJAYA</v>
          </cell>
          <cell r="D663" t="str">
            <v>Jl. Bratang Wetan II/19 Surabaya 60245</v>
          </cell>
        </row>
        <row r="664">
          <cell r="B664">
            <v>193018</v>
          </cell>
          <cell r="C664" t="str">
            <v>PRIHARTONO</v>
          </cell>
          <cell r="D664" t="str">
            <v>Griya Bhayangkara Blok D5/No. 9 Sidoarjo</v>
          </cell>
        </row>
        <row r="665">
          <cell r="B665">
            <v>193020</v>
          </cell>
          <cell r="C665" t="str">
            <v>MISDI</v>
          </cell>
          <cell r="D665" t="str">
            <v>Wisma Kedungasem Indah Blok N/7 Surabaya</v>
          </cell>
        </row>
        <row r="666">
          <cell r="B666">
            <v>193021</v>
          </cell>
          <cell r="C666" t="str">
            <v>THOMAS WIDYADMOKO</v>
          </cell>
          <cell r="D666" t="str">
            <v>Griya Bhayangkara Blok F5/No. 17 Sukodono Sidoarjo</v>
          </cell>
        </row>
        <row r="667">
          <cell r="B667">
            <v>195044</v>
          </cell>
          <cell r="C667" t="str">
            <v>IGNATIUS SAMUEL UNTUNG, A.Md</v>
          </cell>
          <cell r="D667" t="str">
            <v>Perum Griyo Pabean Blok H/3 Waru Sidoarjo</v>
          </cell>
        </row>
        <row r="668">
          <cell r="B668">
            <v>198015</v>
          </cell>
          <cell r="C668" t="str">
            <v>LUBING SUBIANTORO</v>
          </cell>
          <cell r="D668" t="str">
            <v>Bayangkara D5/17 Masangan Kulon Sukodono</v>
          </cell>
        </row>
        <row r="669">
          <cell r="C669" t="str">
            <v>DEWI ANNA SITEPU, A.Md, AK</v>
          </cell>
          <cell r="D669" t="str">
            <v>Jl. Mulyosari Utara XI No. 83 Surabaya</v>
          </cell>
        </row>
        <row r="670">
          <cell r="B670">
            <v>201041</v>
          </cell>
          <cell r="C670" t="str">
            <v>ANANG WAHYUDI, A.Md</v>
          </cell>
          <cell r="D670" t="str">
            <v>Jl. Bulak Rukem Timur II D/23 Surabaya</v>
          </cell>
        </row>
        <row r="671">
          <cell r="B671">
            <v>202031</v>
          </cell>
          <cell r="C671" t="str">
            <v>AZIZ QODRI, ST</v>
          </cell>
          <cell r="D671" t="str">
            <v>Jl. Tenggilis Mejoyo B-33 Surabaya</v>
          </cell>
        </row>
        <row r="672">
          <cell r="B672">
            <v>177018</v>
          </cell>
          <cell r="C672" t="str">
            <v>MUGI SUGENG WIJONO</v>
          </cell>
          <cell r="D672" t="str">
            <v>Jl. Sidosermo XV/RT 3 RW 5 No.8A Surabaya</v>
          </cell>
        </row>
        <row r="673">
          <cell r="B673">
            <v>181003</v>
          </cell>
          <cell r="C673" t="str">
            <v>SUHERI</v>
          </cell>
          <cell r="D673" t="str">
            <v>Jl. Gresik Kalianak Barat No.4 B Surabaya 60183</v>
          </cell>
        </row>
        <row r="674">
          <cell r="B674">
            <v>183004</v>
          </cell>
          <cell r="C674" t="str">
            <v>ACHMAD RIFAI</v>
          </cell>
          <cell r="D674" t="str">
            <v>Griya Kencana Blk.II L/82 Mojosari Driyorejo Gresik</v>
          </cell>
        </row>
        <row r="675">
          <cell r="B675">
            <v>183013</v>
          </cell>
          <cell r="C675" t="str">
            <v>STEFANUS REDE</v>
          </cell>
          <cell r="D675" t="str">
            <v>Jl. Dinoyo Baru No. 57-A Surabaya</v>
          </cell>
        </row>
        <row r="676">
          <cell r="B676">
            <v>184017</v>
          </cell>
          <cell r="C676" t="str">
            <v>PAIMAN</v>
          </cell>
          <cell r="D676" t="str">
            <v>Jl. Nginden Kota II/64 Surabaya</v>
          </cell>
        </row>
        <row r="677">
          <cell r="B677">
            <v>187001</v>
          </cell>
          <cell r="C677" t="str">
            <v>DJIADI</v>
          </cell>
          <cell r="D677" t="str">
            <v>Medayu Utara Kav. 20 E Rt 09 Rw 09 Rungkut Surabaya</v>
          </cell>
        </row>
        <row r="678">
          <cell r="B678">
            <v>187025</v>
          </cell>
          <cell r="C678" t="str">
            <v>SURADI</v>
          </cell>
          <cell r="D678" t="str">
            <v>Jl. Lebak Rejo IV/71 Surabaya</v>
          </cell>
        </row>
        <row r="679">
          <cell r="B679">
            <v>187026</v>
          </cell>
          <cell r="C679" t="str">
            <v>YOYOK SATRIO TEGUH PAMBUDI</v>
          </cell>
          <cell r="D679" t="str">
            <v>Rungkut Mejoyo Gg.III/3 Surabaya - 60292</v>
          </cell>
        </row>
        <row r="680">
          <cell r="B680">
            <v>187028</v>
          </cell>
          <cell r="C680" t="str">
            <v>SUHARDI</v>
          </cell>
          <cell r="D680" t="str">
            <v>Jl. Semampir Selatan Gg. I/67 Surabaya</v>
          </cell>
        </row>
        <row r="681">
          <cell r="B681">
            <v>187032</v>
          </cell>
          <cell r="C681" t="str">
            <v>SULIKAN, S.Pd</v>
          </cell>
          <cell r="D681" t="str">
            <v>Jl. Pandugo I No. 34/44 Rungkut Surabaya</v>
          </cell>
        </row>
        <row r="682">
          <cell r="B682">
            <v>187037</v>
          </cell>
          <cell r="C682" t="str">
            <v>I GUSTI MADE SARJANA, SH</v>
          </cell>
          <cell r="D682" t="str">
            <v>Jl. Kedung Tarukan Baru Gg.IV B/17 Surabaya</v>
          </cell>
        </row>
        <row r="683">
          <cell r="B683">
            <v>188006</v>
          </cell>
          <cell r="C683" t="str">
            <v>DJAMHARI</v>
          </cell>
          <cell r="D683" t="str">
            <v>Sidosermo Rt 2 Rw 3 Kec.Wonocolo Surabaya</v>
          </cell>
        </row>
        <row r="684">
          <cell r="B684">
            <v>188014</v>
          </cell>
          <cell r="C684" t="str">
            <v>SUBANI</v>
          </cell>
          <cell r="D684" t="str">
            <v>Mejoyo Gg. Masjid No.9 Rungkut Surabaya</v>
          </cell>
        </row>
        <row r="685">
          <cell r="B685">
            <v>188016</v>
          </cell>
          <cell r="C685" t="str">
            <v>SOEDARMOEDJI</v>
          </cell>
          <cell r="D685" t="str">
            <v>Dinoyo Gg 9/17A Surabaya</v>
          </cell>
        </row>
        <row r="686">
          <cell r="B686">
            <v>190004</v>
          </cell>
          <cell r="C686" t="str">
            <v>SUKRIM</v>
          </cell>
          <cell r="D686" t="str">
            <v>Klampis Ngasem Gg. III/55 B Surabaya 60122</v>
          </cell>
        </row>
        <row r="687">
          <cell r="B687">
            <v>190007</v>
          </cell>
          <cell r="C687" t="str">
            <v>SUKAMTO</v>
          </cell>
          <cell r="D687" t="str">
            <v>Jl. Gunung Anyar Sawah Rt 5 Rw 4 Sby 60294</v>
          </cell>
        </row>
        <row r="688">
          <cell r="B688">
            <v>190010</v>
          </cell>
          <cell r="C688" t="str">
            <v>SULAIMAN</v>
          </cell>
          <cell r="D688" t="str">
            <v>Sidosermo 4 Gg. 15/8D Surabaya</v>
          </cell>
        </row>
        <row r="689">
          <cell r="B689">
            <v>190019</v>
          </cell>
          <cell r="C689" t="str">
            <v>SUPRIYANTO (B)</v>
          </cell>
          <cell r="D689" t="str">
            <v>Jl. Griya Kencana Blok I BB/23 Gresik</v>
          </cell>
        </row>
        <row r="690">
          <cell r="B690">
            <v>191015</v>
          </cell>
          <cell r="C690" t="str">
            <v>SUWARNO</v>
          </cell>
        </row>
        <row r="691">
          <cell r="B691">
            <v>191016</v>
          </cell>
          <cell r="C691" t="str">
            <v>NGATEMAN</v>
          </cell>
          <cell r="D691" t="str">
            <v>Kaliwaru Gg I No. 19 Rungkut Surabaya</v>
          </cell>
        </row>
        <row r="692">
          <cell r="B692">
            <v>191017</v>
          </cell>
          <cell r="C692" t="str">
            <v>KUSNO</v>
          </cell>
          <cell r="D692" t="str">
            <v>Driyorejo Kencana I BB/8 Gresik</v>
          </cell>
        </row>
        <row r="693">
          <cell r="B693">
            <v>192017</v>
          </cell>
          <cell r="C693" t="str">
            <v>SUJATMIKO</v>
          </cell>
          <cell r="D693" t="str">
            <v>Jl.Bratang Perintis II/18 Surabaya 60245</v>
          </cell>
        </row>
        <row r="694">
          <cell r="B694">
            <v>193009</v>
          </cell>
          <cell r="C694" t="str">
            <v>SUWARDI, SE</v>
          </cell>
          <cell r="D694" t="str">
            <v>Jl. Bratang Binangun II/44 Surabaya</v>
          </cell>
        </row>
        <row r="695">
          <cell r="B695">
            <v>193013</v>
          </cell>
          <cell r="C695" t="str">
            <v>HENDRY WAHYUDIONO</v>
          </cell>
          <cell r="D695" t="str">
            <v>Rungkut Lor GG. IV A/28  Surabaya</v>
          </cell>
        </row>
        <row r="696">
          <cell r="B696">
            <v>193025</v>
          </cell>
          <cell r="C696" t="str">
            <v>AFFANDI</v>
          </cell>
          <cell r="D696" t="str">
            <v>Jl. Sukolilo Lor I/16 Kenjeran Surabaya</v>
          </cell>
        </row>
        <row r="697">
          <cell r="B697">
            <v>193030</v>
          </cell>
          <cell r="C697" t="str">
            <v>DEWIANA</v>
          </cell>
          <cell r="D697" t="str">
            <v>Perum.Griya Karya Sedati Permai K/8 Sedati Sidoarjo</v>
          </cell>
        </row>
        <row r="698">
          <cell r="B698">
            <v>194026</v>
          </cell>
          <cell r="C698" t="str">
            <v>IMAM KUSNANI</v>
          </cell>
          <cell r="D698" t="str">
            <v>Lebo Agung I/27 Surabaya</v>
          </cell>
        </row>
        <row r="699">
          <cell r="B699">
            <v>194028</v>
          </cell>
          <cell r="C699" t="str">
            <v>TAMBAR</v>
          </cell>
          <cell r="D699" t="str">
            <v>Semampir Selatan IIA Gg. Salak No. 14 Surabaya</v>
          </cell>
        </row>
        <row r="700">
          <cell r="B700">
            <v>195010</v>
          </cell>
          <cell r="C700" t="str">
            <v>RATNA KURNIASIH M</v>
          </cell>
          <cell r="D700" t="str">
            <v>Jl. Dharmahusada 18 Surabaya</v>
          </cell>
        </row>
        <row r="701">
          <cell r="B701">
            <v>196003</v>
          </cell>
          <cell r="C701" t="str">
            <v>TOTOK SUPRAYITNO</v>
          </cell>
          <cell r="D701" t="str">
            <v>Jl. Bratang Gede VI-H/73 Surabaya</v>
          </cell>
        </row>
        <row r="702">
          <cell r="B702">
            <v>196007</v>
          </cell>
          <cell r="C702" t="str">
            <v>MIS'AN</v>
          </cell>
          <cell r="D702" t="str">
            <v>Jl. Bratang Gede VI D/19 Surabaya</v>
          </cell>
        </row>
        <row r="703">
          <cell r="B703">
            <v>196023</v>
          </cell>
          <cell r="C703" t="str">
            <v>MOCHAMMAD MARDIANTO</v>
          </cell>
          <cell r="D703" t="str">
            <v>Jl. Ngagel Mulyo XVI/7 Surabaya</v>
          </cell>
        </row>
        <row r="704">
          <cell r="B704">
            <v>196024</v>
          </cell>
          <cell r="C704" t="str">
            <v>KOKOH BUDIONO</v>
          </cell>
          <cell r="D704" t="str">
            <v>Jl. Banyu Urip Lor Gg I/2A Surabaya</v>
          </cell>
        </row>
        <row r="705">
          <cell r="B705">
            <v>196028</v>
          </cell>
          <cell r="C705" t="str">
            <v>SUMEILIYA, SS</v>
          </cell>
          <cell r="D705" t="str">
            <v>Ngagel Jaya Tengah No. 94 Surabaya</v>
          </cell>
        </row>
        <row r="706">
          <cell r="B706">
            <v>196032</v>
          </cell>
          <cell r="C706" t="str">
            <v>UNTUNG WASIYO</v>
          </cell>
          <cell r="D706" t="str">
            <v>Jl. Karang Gayam Teratai No.15 Surabaya</v>
          </cell>
        </row>
        <row r="707">
          <cell r="B707">
            <v>197016</v>
          </cell>
          <cell r="C707" t="str">
            <v>WASONO</v>
          </cell>
          <cell r="D707" t="str">
            <v>Jl. Gunung Anyar Lor I/57 Surabaya</v>
          </cell>
        </row>
        <row r="708">
          <cell r="B708">
            <v>197019</v>
          </cell>
          <cell r="C708" t="str">
            <v>SUDARMANINGSIH</v>
          </cell>
          <cell r="D708" t="str">
            <v>Jl. Panjang Jiwo SDI No. 18 Surabaya 60299</v>
          </cell>
        </row>
        <row r="709">
          <cell r="B709">
            <v>197020</v>
          </cell>
          <cell r="C709" t="str">
            <v>KRISTOFORUS HIDAYAT ABADI</v>
          </cell>
          <cell r="D709" t="str">
            <v>Manyar Tirtoyoso Selatan II/37 Surabaya</v>
          </cell>
        </row>
        <row r="710">
          <cell r="B710">
            <v>197021</v>
          </cell>
          <cell r="C710" t="str">
            <v>KOKO WAHYU WIJAYA</v>
          </cell>
          <cell r="D710" t="str">
            <v>Perum.Griyo Mapan Santosa EA-IV/16 Waru Sidoarjo</v>
          </cell>
        </row>
        <row r="711">
          <cell r="C711" t="str">
            <v>SAFI`I</v>
          </cell>
          <cell r="D711" t="str">
            <v>Gunung Anyar Jaya II/15 Surabaya</v>
          </cell>
        </row>
        <row r="712">
          <cell r="B712">
            <v>197034</v>
          </cell>
          <cell r="C712" t="str">
            <v>MURADJI</v>
          </cell>
          <cell r="D712" t="str">
            <v>Jl. Diponegoro IV/270 Kidul Dalem Bangil Pasuruan</v>
          </cell>
        </row>
        <row r="713">
          <cell r="B713">
            <v>197035</v>
          </cell>
          <cell r="C713" t="str">
            <v>LAMBERTUS LABA OLA</v>
          </cell>
          <cell r="D713" t="str">
            <v>Mejoyo II/11 Surabaya 60293</v>
          </cell>
        </row>
        <row r="714">
          <cell r="B714">
            <v>197037</v>
          </cell>
          <cell r="C714" t="str">
            <v>SURADI</v>
          </cell>
          <cell r="D714" t="str">
            <v>Putat Jaya Barat VIII B/15 A Surabaya</v>
          </cell>
        </row>
        <row r="715">
          <cell r="B715">
            <v>197039</v>
          </cell>
          <cell r="C715" t="str">
            <v>SUPOMO</v>
          </cell>
          <cell r="D715" t="str">
            <v>Rungkut Lor Gg. III/59G Surabaya 60293</v>
          </cell>
        </row>
        <row r="716">
          <cell r="B716">
            <v>197041</v>
          </cell>
          <cell r="C716" t="str">
            <v>RAHWONO HARSANI</v>
          </cell>
          <cell r="D716" t="str">
            <v>Jl. Putat Jaya Barat VI B 44 Surabaya</v>
          </cell>
        </row>
        <row r="717">
          <cell r="B717">
            <v>197049</v>
          </cell>
          <cell r="C717" t="str">
            <v>AGUSTINUS HARIYONO, S.Pd</v>
          </cell>
          <cell r="D717" t="str">
            <v>Jl. Pulo Wonokromo 255 A Surabaya</v>
          </cell>
        </row>
        <row r="718">
          <cell r="B718">
            <v>197051</v>
          </cell>
          <cell r="C718" t="str">
            <v>YOSEPH GANIFIANTO</v>
          </cell>
          <cell r="D718" t="str">
            <v>Dinoyo Baru 57 A Surabaya</v>
          </cell>
        </row>
        <row r="719">
          <cell r="B719">
            <v>197055</v>
          </cell>
          <cell r="C719" t="str">
            <v>MUSTAMLIKO</v>
          </cell>
          <cell r="D719" t="str">
            <v>Jl. Kedung Asem No. 20 RT I RW II Surabaya</v>
          </cell>
        </row>
        <row r="720">
          <cell r="B720">
            <v>197063</v>
          </cell>
          <cell r="C720" t="str">
            <v>SUMADI</v>
          </cell>
          <cell r="D720" t="str">
            <v>Jl. Gunung Anyar Sawah No.34 B Surabaya</v>
          </cell>
        </row>
        <row r="721">
          <cell r="B721">
            <v>197064</v>
          </cell>
          <cell r="C721" t="str">
            <v>KUSTIONO</v>
          </cell>
          <cell r="D721" t="str">
            <v>Jl. Putat Jaya VIB No. 34 Surabaya</v>
          </cell>
        </row>
        <row r="722">
          <cell r="B722">
            <v>197067</v>
          </cell>
          <cell r="C722" t="str">
            <v>JOKO SULISTIYO</v>
          </cell>
          <cell r="D722" t="str">
            <v>Rungkut Lor Gg. III/59 G Surabaya 60293</v>
          </cell>
        </row>
        <row r="723">
          <cell r="B723">
            <v>197068</v>
          </cell>
          <cell r="C723" t="str">
            <v>ABDUL ROCHIM</v>
          </cell>
          <cell r="D723" t="str">
            <v>Jl. Kel. Pepelegi Jl. Jatisari Gg. Rezeki</v>
          </cell>
        </row>
        <row r="724">
          <cell r="B724">
            <v>198018</v>
          </cell>
          <cell r="C724" t="str">
            <v>INDAH SETYO RAHAYU</v>
          </cell>
          <cell r="D724" t="str">
            <v>Gunung Anyar Mas D-2 Surabaya</v>
          </cell>
        </row>
        <row r="725">
          <cell r="B725">
            <v>198028</v>
          </cell>
          <cell r="C725" t="str">
            <v>BERTI ALBERTUS NARA</v>
          </cell>
          <cell r="D725" t="str">
            <v>Jl. Dinoyo Sekolahan V/5A Surabaya</v>
          </cell>
        </row>
        <row r="726">
          <cell r="B726">
            <v>198035</v>
          </cell>
          <cell r="C726" t="str">
            <v>KUSAINI</v>
          </cell>
          <cell r="D726" t="str">
            <v>Bendul Merisi V/11 B Surabaya</v>
          </cell>
        </row>
        <row r="727">
          <cell r="B727">
            <v>198039</v>
          </cell>
          <cell r="C727" t="str">
            <v>M GUFRON</v>
          </cell>
          <cell r="D727" t="str">
            <v>Jl. Manyar Sabrangan IX M/49 E Surabaya</v>
          </cell>
        </row>
        <row r="728">
          <cell r="B728">
            <v>200010</v>
          </cell>
          <cell r="C728" t="str">
            <v>RIAWAN, S.Sos</v>
          </cell>
          <cell r="D728" t="str">
            <v>Jl. Leboagung III/74 Surabaya</v>
          </cell>
        </row>
        <row r="729">
          <cell r="B729">
            <v>200011</v>
          </cell>
          <cell r="C729" t="str">
            <v>TUTUS DJOKO SUPRAPTO</v>
          </cell>
          <cell r="D729" t="str">
            <v>Jl. Krukah Timur Gg. Tengah No. 8 Surabaya</v>
          </cell>
        </row>
        <row r="730">
          <cell r="B730">
            <v>200018</v>
          </cell>
          <cell r="C730" t="str">
            <v>KHAMALUDIN GIRI BOGI</v>
          </cell>
          <cell r="D730" t="str">
            <v>Jl. Bagong Ginayan VI A No. 11 Surabaya</v>
          </cell>
        </row>
        <row r="731">
          <cell r="B731">
            <v>200041</v>
          </cell>
          <cell r="C731" t="str">
            <v>MASHUDI</v>
          </cell>
          <cell r="D731" t="str">
            <v>Jl. Rungkut Tengah Gang III Langgar No.1 Surabaya</v>
          </cell>
        </row>
        <row r="732">
          <cell r="B732">
            <v>200024</v>
          </cell>
          <cell r="C732" t="str">
            <v>HIGINUS T JAMPUNG</v>
          </cell>
          <cell r="D732" t="str">
            <v>Semolowaru Utara I/126 C Surabaya</v>
          </cell>
        </row>
        <row r="733">
          <cell r="B733">
            <v>200025</v>
          </cell>
          <cell r="C733" t="str">
            <v>SUNARKO</v>
          </cell>
          <cell r="D733" t="str">
            <v>Jl. Karang Gayam Teratai II-6 Surabaya</v>
          </cell>
        </row>
        <row r="734">
          <cell r="B734">
            <v>200028</v>
          </cell>
          <cell r="C734" t="str">
            <v>HENI SETIAWATI</v>
          </cell>
          <cell r="D734" t="str">
            <v>Gunung Sari 3 Gg. I No. 27 Surabaya</v>
          </cell>
        </row>
        <row r="735">
          <cell r="B735">
            <v>200029</v>
          </cell>
          <cell r="C735" t="str">
            <v>DEWI TJIPTOWAHYUNI, ST</v>
          </cell>
          <cell r="D735" t="str">
            <v>Jl. Baratajaya II/10 Surabaya</v>
          </cell>
        </row>
        <row r="736">
          <cell r="B736">
            <v>200050</v>
          </cell>
          <cell r="C736" t="str">
            <v>ARIADI</v>
          </cell>
          <cell r="D736" t="str">
            <v>Rungkut Mejoyo Gg. II No. 4C Surabaya</v>
          </cell>
        </row>
        <row r="737">
          <cell r="B737">
            <v>200051</v>
          </cell>
          <cell r="C737" t="str">
            <v>EKO SASMITO BUDI LAKSONO</v>
          </cell>
          <cell r="D737" t="str">
            <v>Jl. Pacar Kembang XII/18 Surabaya</v>
          </cell>
        </row>
        <row r="738">
          <cell r="B738">
            <v>200052</v>
          </cell>
          <cell r="C738" t="str">
            <v>SUWANDI</v>
          </cell>
          <cell r="D738" t="str">
            <v>Semampir Medokan Tengah Gg IV/36 Surabaya</v>
          </cell>
        </row>
        <row r="739">
          <cell r="B739">
            <v>201003</v>
          </cell>
          <cell r="C739" t="str">
            <v>M SOLEH</v>
          </cell>
          <cell r="D739" t="str">
            <v>Jl. Bendul Merisi I Selatan No. 11 Surabaya</v>
          </cell>
        </row>
        <row r="740">
          <cell r="B740">
            <v>201013</v>
          </cell>
          <cell r="C740" t="str">
            <v>SUTOMO</v>
          </cell>
          <cell r="D740" t="str">
            <v>Kalibokor Timur 122 A</v>
          </cell>
        </row>
        <row r="741">
          <cell r="B741">
            <v>202012</v>
          </cell>
          <cell r="C741" t="str">
            <v>ANSELMUS YOSEPH RADJA</v>
          </cell>
          <cell r="D741" t="str">
            <v>Jl. Dinoyo Sekolahan V/5A Surabaya</v>
          </cell>
        </row>
        <row r="742">
          <cell r="B742">
            <v>202020</v>
          </cell>
          <cell r="C742" t="str">
            <v>RIANTO</v>
          </cell>
          <cell r="D742" t="str">
            <v>Jl. Gunung Anyar Lor I No. 59 Surabaya</v>
          </cell>
        </row>
        <row r="743">
          <cell r="B743">
            <v>202028</v>
          </cell>
          <cell r="C743" t="str">
            <v>JULIA RENO PRIHASTUTI, SE</v>
          </cell>
          <cell r="D743" t="str">
            <v>Jl. Medokan Asri Utara VII (MA 3H) No.17 Surabaya</v>
          </cell>
        </row>
        <row r="744">
          <cell r="B744">
            <v>202032</v>
          </cell>
          <cell r="C744" t="str">
            <v>BUDIONO</v>
          </cell>
          <cell r="D744" t="str">
            <v>Jl. Karang Gayam Teratai II 5A Surabaya</v>
          </cell>
        </row>
        <row r="745">
          <cell r="B745">
            <v>203002</v>
          </cell>
          <cell r="C745" t="str">
            <v>EKA SRI WIYANTI, A.Md</v>
          </cell>
          <cell r="D745" t="str">
            <v>Jl. Pesarean No.7 Kasri Pandaan 67156</v>
          </cell>
        </row>
        <row r="746">
          <cell r="B746">
            <v>203003</v>
          </cell>
          <cell r="C746" t="str">
            <v>TOTOK SAPTONO, A.Md</v>
          </cell>
          <cell r="D746" t="str">
            <v>Jl. Kaliwaru I No.22 Rungkut Surabaya</v>
          </cell>
        </row>
        <row r="747">
          <cell r="B747">
            <v>203005</v>
          </cell>
          <cell r="C747" t="str">
            <v>SUWINTO</v>
          </cell>
          <cell r="D747" t="str">
            <v>Jl. Ngagel Klebam III/34 Surabaya</v>
          </cell>
        </row>
        <row r="748">
          <cell r="B748">
            <v>203018</v>
          </cell>
          <cell r="C748" t="str">
            <v>RIRIN TEGUH SETYOWATI</v>
          </cell>
          <cell r="D748" t="str">
            <v>Jl. Randu Agung I/7 Surabaya</v>
          </cell>
        </row>
        <row r="749">
          <cell r="B749">
            <v>203019</v>
          </cell>
          <cell r="C749" t="str">
            <v>ARIEF YULIANTO</v>
          </cell>
          <cell r="D749" t="str">
            <v>Gunung Anyar Lor III/3 Rungkut Surabaya</v>
          </cell>
        </row>
        <row r="750">
          <cell r="B750">
            <v>203024</v>
          </cell>
          <cell r="C750" t="str">
            <v>CAHYA SUTEJA, SE</v>
          </cell>
          <cell r="D750" t="str">
            <v>Jl. Karangrejo Sawah XII/2 Surabaya</v>
          </cell>
        </row>
        <row r="751">
          <cell r="B751">
            <v>203027</v>
          </cell>
          <cell r="C751" t="str">
            <v>MOCHAMAD SOLEH</v>
          </cell>
          <cell r="D751" t="str">
            <v>Jl. Brigjen Katamso III/27 Waru Sidoarjo</v>
          </cell>
        </row>
        <row r="752">
          <cell r="B752">
            <v>203039</v>
          </cell>
          <cell r="C752" t="str">
            <v>AKHMAD ZAHRON</v>
          </cell>
          <cell r="D752" t="str">
            <v>Jl. Kali Waru  I/18 B Surabaya</v>
          </cell>
        </row>
        <row r="753">
          <cell r="B753">
            <v>204012</v>
          </cell>
          <cell r="C753" t="str">
            <v>MOCHAMAD ALI</v>
          </cell>
          <cell r="D753" t="str">
            <v>Jl. Pengampon IX/41 Surabaya</v>
          </cell>
        </row>
        <row r="754">
          <cell r="B754">
            <v>204018</v>
          </cell>
          <cell r="C754" t="str">
            <v>NURSAI</v>
          </cell>
          <cell r="D754" t="str">
            <v>Desa Tamiajeng RT 23 RW 9 No. 515 Trawas Mojokerto</v>
          </cell>
        </row>
        <row r="755">
          <cell r="B755">
            <v>204019</v>
          </cell>
          <cell r="C755" t="str">
            <v>AHMAD FAUZI</v>
          </cell>
          <cell r="D755" t="str">
            <v>Jl. Bungur IX/6 Jember</v>
          </cell>
        </row>
        <row r="756">
          <cell r="B756">
            <v>204020</v>
          </cell>
          <cell r="C756" t="str">
            <v>MAMIK SANTOSO</v>
          </cell>
          <cell r="D756" t="str">
            <v>Soka, RT 08 RW VII Sidorejo Lor Salatiga Jateng</v>
          </cell>
        </row>
        <row r="757">
          <cell r="B757">
            <v>204021</v>
          </cell>
          <cell r="C757" t="str">
            <v>ANTONIUS DANURWEDA, S.Si</v>
          </cell>
          <cell r="D757" t="str">
            <v>Jl. Kalisombo Gg.II No. 25 Salatiga</v>
          </cell>
        </row>
        <row r="758">
          <cell r="B758">
            <v>204035</v>
          </cell>
          <cell r="C758" t="str">
            <v>JUNANIK IDAYANI, A.Md</v>
          </cell>
          <cell r="D758" t="str">
            <v>Bendul Merisi Gg.Besar Timur 14 Surabaya</v>
          </cell>
        </row>
        <row r="759">
          <cell r="B759">
            <v>205008</v>
          </cell>
          <cell r="C759" t="str">
            <v>KHOIRUL ANAM</v>
          </cell>
          <cell r="D759" t="str">
            <v>Jl. Tengah No.16 Tamiajeng Mojokerto</v>
          </cell>
        </row>
        <row r="760">
          <cell r="B760">
            <v>206007</v>
          </cell>
          <cell r="C760" t="str">
            <v>KHOMARUL ALKARIMAH, A.Md</v>
          </cell>
        </row>
        <row r="761">
          <cell r="B761">
            <v>206018</v>
          </cell>
          <cell r="C761" t="str">
            <v>ADI TEDJA KUSUMA, B.Bus, M.Com</v>
          </cell>
          <cell r="D761" t="str">
            <v>Jl. Margorejo Indah C-711 Surabaya</v>
          </cell>
        </row>
        <row r="762">
          <cell r="B762">
            <v>207020</v>
          </cell>
          <cell r="C762" t="str">
            <v>ADI EFENDY WIJAYA, S.E.</v>
          </cell>
        </row>
        <row r="763">
          <cell r="B763">
            <v>189016</v>
          </cell>
          <cell r="C763" t="str">
            <v>M NURUL ROMDONI</v>
          </cell>
          <cell r="D763" t="str">
            <v>Jl. Hayam Wuruk H-43 Surabaya</v>
          </cell>
        </row>
        <row r="764">
          <cell r="B764">
            <v>193008</v>
          </cell>
          <cell r="C764" t="str">
            <v>KOEKOEH POERWANTO</v>
          </cell>
          <cell r="D764" t="str">
            <v>Jl. Semampir Selatan IIIA - 55 Surabaya</v>
          </cell>
        </row>
        <row r="765">
          <cell r="B765">
            <v>193006</v>
          </cell>
          <cell r="C765" t="str">
            <v>MUHAMMAD GUFRON, A.Md</v>
          </cell>
          <cell r="D765" t="str">
            <v>Jl. Sidosermo IV Gg.IA/11 Surabaya 60239</v>
          </cell>
        </row>
        <row r="766">
          <cell r="B766">
            <v>205013</v>
          </cell>
          <cell r="C766" t="str">
            <v>GDE BAGUS ARYANA, ST</v>
          </cell>
          <cell r="D766" t="str">
            <v>Jl. Kutisari Indah Utara II/41Surabaya</v>
          </cell>
        </row>
        <row r="767">
          <cell r="B767">
            <v>196042</v>
          </cell>
          <cell r="C767" t="str">
            <v>MASYUR, A.Md, ST</v>
          </cell>
          <cell r="D767" t="str">
            <v>Jl. Sidosermo II Blok D/7 Surabaya</v>
          </cell>
        </row>
        <row r="768">
          <cell r="B768">
            <v>200061</v>
          </cell>
          <cell r="C768" t="str">
            <v>ACHMAD BASORI, A.Md</v>
          </cell>
          <cell r="D768" t="str">
            <v>Jl. Juwingan No. 134 Surabaya</v>
          </cell>
        </row>
        <row r="769">
          <cell r="B769">
            <v>196030</v>
          </cell>
          <cell r="C769" t="str">
            <v>JUMADI</v>
          </cell>
        </row>
        <row r="770">
          <cell r="B770">
            <v>207003</v>
          </cell>
          <cell r="C770" t="str">
            <v>NURWANTO, A.Md</v>
          </cell>
        </row>
        <row r="771">
          <cell r="B771">
            <v>207013</v>
          </cell>
          <cell r="C771" t="str">
            <v>MARLINA, S.H., M.Hum</v>
          </cell>
        </row>
        <row r="772">
          <cell r="B772">
            <v>207021</v>
          </cell>
          <cell r="C772" t="str">
            <v>UMA YUSUF</v>
          </cell>
        </row>
        <row r="773">
          <cell r="B773">
            <v>206021</v>
          </cell>
          <cell r="C773" t="str">
            <v>LINA SOETANTO, S.E.</v>
          </cell>
        </row>
        <row r="774">
          <cell r="B774">
            <v>207014</v>
          </cell>
          <cell r="C774" t="str">
            <v>VIVI SETIONO, S.Psi, M.Psi</v>
          </cell>
        </row>
        <row r="775">
          <cell r="B775">
            <v>207017</v>
          </cell>
          <cell r="C775" t="str">
            <v>MARSELIUS SAMPE TONDOK, S.S., M.Si</v>
          </cell>
        </row>
        <row r="776">
          <cell r="B776">
            <v>194002</v>
          </cell>
          <cell r="C776" t="str">
            <v>CHRISTINA RIRIN DIAH R, Dra, M.Si</v>
          </cell>
        </row>
        <row r="777">
          <cell r="B777">
            <v>207004</v>
          </cell>
          <cell r="C777" t="str">
            <v>IDA BAGUS MADE ARTADANA, S.Si</v>
          </cell>
        </row>
        <row r="778">
          <cell r="B778">
            <v>207005</v>
          </cell>
          <cell r="C778" t="str">
            <v>MAGDALENA KRISTIAWAN, DR, S.T., M.Sc</v>
          </cell>
        </row>
        <row r="779">
          <cell r="B779">
            <v>207010</v>
          </cell>
          <cell r="C779" t="str">
            <v>SILKY PERDANAWATI, S.T., M.M.</v>
          </cell>
        </row>
        <row r="780">
          <cell r="B780">
            <v>207022</v>
          </cell>
          <cell r="C780" t="str">
            <v>ICO TJIPTO SUSANTO, S.Sn</v>
          </cell>
        </row>
        <row r="781">
          <cell r="B781">
            <v>205915</v>
          </cell>
          <cell r="C781" t="str">
            <v>AKHMAD SUBHKAN, S.TP</v>
          </cell>
        </row>
        <row r="782">
          <cell r="B782">
            <v>201043</v>
          </cell>
          <cell r="C782" t="str">
            <v>JUNIAWATI, S.T.</v>
          </cell>
        </row>
        <row r="783">
          <cell r="B783">
            <v>201021</v>
          </cell>
          <cell r="C783" t="str">
            <v>HENDRAS ALDIANTO</v>
          </cell>
        </row>
        <row r="784">
          <cell r="B784">
            <v>206022</v>
          </cell>
          <cell r="C784" t="str">
            <v>CECILIA BRATA, S.Si, M.Pharm.</v>
          </cell>
        </row>
        <row r="785">
          <cell r="B785">
            <v>207001</v>
          </cell>
          <cell r="C785" t="str">
            <v>MELANI KUSUMA, S.Si, Apt</v>
          </cell>
        </row>
        <row r="786">
          <cell r="B786">
            <v>207015</v>
          </cell>
          <cell r="C786" t="str">
            <v>DEWI YANANINGDYAH, S.T.</v>
          </cell>
        </row>
        <row r="787">
          <cell r="B787">
            <v>203030</v>
          </cell>
          <cell r="C787" t="str">
            <v>DWI HARI PRAYITNO, S.E., Ak</v>
          </cell>
        </row>
        <row r="788">
          <cell r="B788">
            <v>200021</v>
          </cell>
          <cell r="C788" t="str">
            <v>MASHUDI</v>
          </cell>
        </row>
        <row r="789">
          <cell r="B789">
            <v>207012</v>
          </cell>
          <cell r="C789" t="str">
            <v>WISHNU HARBOWO SAKTI</v>
          </cell>
        </row>
        <row r="790">
          <cell r="B790">
            <v>207019</v>
          </cell>
          <cell r="C790" t="str">
            <v>GONDO ARIBOWO WIDI, S.Psi</v>
          </cell>
        </row>
        <row r="791">
          <cell r="B791">
            <v>182012</v>
          </cell>
          <cell r="C791" t="str">
            <v>ACHMADI</v>
          </cell>
        </row>
        <row r="792">
          <cell r="B792">
            <v>197033</v>
          </cell>
          <cell r="C792" t="str">
            <v>SAFI`I</v>
          </cell>
        </row>
        <row r="793">
          <cell r="B793">
            <v>206026</v>
          </cell>
          <cell r="C793" t="str">
            <v>NICO KHOMEINI HARYANTO, S.E.</v>
          </cell>
        </row>
        <row r="794">
          <cell r="B794">
            <v>205701</v>
          </cell>
          <cell r="C794" t="str">
            <v>H. MA'MUR, Drs, Apt</v>
          </cell>
        </row>
        <row r="795">
          <cell r="B795">
            <v>205703</v>
          </cell>
          <cell r="C795" t="str">
            <v>EMMA SUNDRAWATI, Dra, M.S, Apt</v>
          </cell>
        </row>
        <row r="796">
          <cell r="B796">
            <v>206703</v>
          </cell>
          <cell r="C796" t="str">
            <v>ANITA P RAHMAN, S.Si, Apt</v>
          </cell>
        </row>
        <row r="797">
          <cell r="B797">
            <v>201601</v>
          </cell>
          <cell r="C797" t="str">
            <v>MAS AGUNG HENDRO KOESOEMO, SE, MM</v>
          </cell>
        </row>
        <row r="798">
          <cell r="B798">
            <v>205736</v>
          </cell>
          <cell r="C798" t="str">
            <v>FERRY PAWITRA, Drs.ec, Ak</v>
          </cell>
        </row>
        <row r="799">
          <cell r="B799">
            <v>205740</v>
          </cell>
          <cell r="C799" t="str">
            <v>ROSSY, Dra.ec</v>
          </cell>
        </row>
        <row r="800">
          <cell r="B800">
            <v>205742</v>
          </cell>
          <cell r="C800" t="str">
            <v>LAKSMANA PATMOSISWOJO, S.H.</v>
          </cell>
        </row>
        <row r="801">
          <cell r="B801">
            <v>205743</v>
          </cell>
          <cell r="C801" t="str">
            <v>B.E. MANULANG, S.H.</v>
          </cell>
        </row>
        <row r="802">
          <cell r="B802">
            <v>205744</v>
          </cell>
          <cell r="C802" t="str">
            <v>HARTOJO, Drs</v>
          </cell>
        </row>
        <row r="803">
          <cell r="B803">
            <v>205746</v>
          </cell>
          <cell r="C803" t="str">
            <v>PRADONO, Drs, Ak</v>
          </cell>
        </row>
        <row r="804">
          <cell r="B804">
            <v>205748</v>
          </cell>
          <cell r="C804" t="str">
            <v>NIKEN RAHMADANI, S.E.</v>
          </cell>
        </row>
        <row r="805">
          <cell r="B805">
            <v>205749</v>
          </cell>
          <cell r="C805" t="str">
            <v>EDDY SUHARTO, Drs.ec, M.M.</v>
          </cell>
        </row>
        <row r="806">
          <cell r="B806">
            <v>207706</v>
          </cell>
          <cell r="C806" t="str">
            <v>ENDANG PRAMUWATI, Dra, Ak</v>
          </cell>
        </row>
        <row r="807">
          <cell r="B807">
            <v>205704</v>
          </cell>
          <cell r="C807" t="str">
            <v>TEDJO SUHERMAN YUWONO, Ir</v>
          </cell>
        </row>
        <row r="808">
          <cell r="B808">
            <v>205707</v>
          </cell>
          <cell r="C808" t="str">
            <v>BASUKI WIDODO, M.Sc, Ph.D.</v>
          </cell>
        </row>
        <row r="809">
          <cell r="B809">
            <v>205708</v>
          </cell>
          <cell r="C809" t="str">
            <v>GUNAWAN PRASETIO, Ir</v>
          </cell>
        </row>
        <row r="810">
          <cell r="B810">
            <v>205709</v>
          </cell>
          <cell r="C810" t="str">
            <v>SUJANTO WIDJAJA, Ir, MSBA</v>
          </cell>
        </row>
        <row r="811">
          <cell r="B811">
            <v>205713</v>
          </cell>
          <cell r="C811" t="str">
            <v>GUNAWAN SANTOSO, Ir, M.Sc</v>
          </cell>
        </row>
        <row r="812">
          <cell r="B812">
            <v>205718</v>
          </cell>
          <cell r="C812" t="str">
            <v>FUAD ACHMADI, DR</v>
          </cell>
        </row>
        <row r="813">
          <cell r="B813">
            <v>205719</v>
          </cell>
          <cell r="C813" t="str">
            <v>SUHARTONO, M.Sc</v>
          </cell>
        </row>
        <row r="814">
          <cell r="B814">
            <v>205734</v>
          </cell>
          <cell r="C814" t="str">
            <v>NICODEMUS HAPSIANTO, Drs, M.M</v>
          </cell>
        </row>
        <row r="815">
          <cell r="B815">
            <v>200602</v>
          </cell>
          <cell r="C815" t="str">
            <v>PRIYATMOKO, Drs, M.A</v>
          </cell>
        </row>
        <row r="816">
          <cell r="B816">
            <v>207702</v>
          </cell>
          <cell r="C816" t="str">
            <v>Soetrisno, Ir, M.Sc., Ph.D.</v>
          </cell>
          <cell r="D816" t="str">
            <v>Jl. Sidosermo 2 PDK-IA/Kav 262 Surabaya</v>
          </cell>
          <cell r="E816" t="str">
            <v>19.425.187.2-609.000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V"/>
      <sheetName val="PLaft"/>
      <sheetName val="ACCOUNT CODE"/>
      <sheetName val="WAREHOUSE"/>
      <sheetName val="PURCHASING CODE"/>
      <sheetName val="Sheet2"/>
      <sheetName val="DATA WP"/>
      <sheetName val="FKT_PJK"/>
      <sheetName val="Seri_bahan"/>
      <sheetName val="Account"/>
      <sheetName val="Rincia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ivers"/>
      <sheetName val="Truck"/>
      <sheetName val="Route"/>
      <sheetName val="Table"/>
      <sheetName val="Premi Profesi"/>
      <sheetName val="01.Dispatch"/>
      <sheetName val="02.Debrief"/>
      <sheetName val="LampKomisi"/>
      <sheetName val="SlipKomisi"/>
    </sheetNames>
    <sheetDataSet>
      <sheetData sheetId="0"/>
      <sheetData sheetId="1" refreshError="1">
        <row r="6">
          <cell r="B6" t="str">
            <v>B 9392 WW</v>
          </cell>
        </row>
        <row r="7">
          <cell r="B7" t="str">
            <v>B 9393 WW</v>
          </cell>
        </row>
        <row r="8">
          <cell r="B8" t="str">
            <v>B 9380 VW</v>
          </cell>
        </row>
        <row r="9">
          <cell r="B9" t="str">
            <v>B 9390 WW</v>
          </cell>
        </row>
        <row r="10">
          <cell r="B10" t="str">
            <v>B 9443 WW</v>
          </cell>
        </row>
        <row r="11">
          <cell r="B11" t="str">
            <v>B 9645 EP</v>
          </cell>
        </row>
        <row r="12">
          <cell r="B12" t="str">
            <v>B 9244 ES</v>
          </cell>
        </row>
        <row r="13">
          <cell r="B13" t="str">
            <v>B 9594 VW</v>
          </cell>
        </row>
        <row r="14">
          <cell r="B14" t="str">
            <v>B 9611 VL</v>
          </cell>
        </row>
        <row r="15">
          <cell r="B15" t="str">
            <v>B 9054 JK</v>
          </cell>
        </row>
        <row r="16">
          <cell r="B16" t="str">
            <v>B 9891 JA</v>
          </cell>
        </row>
        <row r="17">
          <cell r="B17" t="str">
            <v>B 9113 FJ</v>
          </cell>
        </row>
        <row r="18">
          <cell r="B18" t="str">
            <v>B 9225 RJ</v>
          </cell>
        </row>
        <row r="19">
          <cell r="B19" t="str">
            <v>B 9175 FH</v>
          </cell>
        </row>
        <row r="20">
          <cell r="B20" t="str">
            <v>B 9883 RJ</v>
          </cell>
        </row>
        <row r="21">
          <cell r="B21" t="str">
            <v>B 9892 JA</v>
          </cell>
        </row>
        <row r="22">
          <cell r="B22" t="str">
            <v>B 9202 RJ</v>
          </cell>
        </row>
        <row r="23">
          <cell r="B23" t="str">
            <v>B 9220 RJ</v>
          </cell>
        </row>
        <row r="24">
          <cell r="B24" t="str">
            <v>B 9044 JK</v>
          </cell>
        </row>
        <row r="25">
          <cell r="B25" t="str">
            <v>B 9045 JK</v>
          </cell>
        </row>
        <row r="26">
          <cell r="B26" t="str">
            <v>B 9885 RJ</v>
          </cell>
        </row>
        <row r="27">
          <cell r="B27" t="str">
            <v>B 9413 UEH</v>
          </cell>
        </row>
        <row r="28">
          <cell r="B28" t="str">
            <v>B 9112 FJ</v>
          </cell>
        </row>
        <row r="29">
          <cell r="B29" t="str">
            <v>B 9219 RJ</v>
          </cell>
        </row>
        <row r="30">
          <cell r="B30" t="str">
            <v>B 9015 JK</v>
          </cell>
        </row>
        <row r="31">
          <cell r="B31" t="str">
            <v>B 9584 WV</v>
          </cell>
        </row>
        <row r="32">
          <cell r="B32" t="str">
            <v>B 9112 FJ</v>
          </cell>
        </row>
        <row r="33">
          <cell r="B33" t="str">
            <v>B 9219 RJ</v>
          </cell>
        </row>
      </sheetData>
      <sheetData sheetId="2" refreshError="1">
        <row r="5">
          <cell r="A5" t="str">
            <v>CK-01</v>
          </cell>
        </row>
      </sheetData>
      <sheetData sheetId="3" refreshError="1">
        <row r="2">
          <cell r="A2" t="str">
            <v>MOTOR JATUH</v>
          </cell>
          <cell r="B2" t="str">
            <v>COVER HANDLE UPPER</v>
          </cell>
          <cell r="D2" t="str">
            <v>REVSON</v>
          </cell>
          <cell r="G2" t="str">
            <v>YIMM</v>
          </cell>
          <cell r="K2" t="str">
            <v>Cakung, DKI JAKARTA</v>
          </cell>
          <cell r="P2" t="str">
            <v>L</v>
          </cell>
        </row>
        <row r="3">
          <cell r="A3" t="str">
            <v>TRAVELLING</v>
          </cell>
          <cell r="B3" t="str">
            <v>COVER SIDE 1</v>
          </cell>
          <cell r="D3" t="str">
            <v>RENY</v>
          </cell>
          <cell r="G3" t="str">
            <v>YMMWJ</v>
          </cell>
          <cell r="K3" t="str">
            <v>Nagrak, DKI JAKARTA</v>
          </cell>
          <cell r="P3" t="str">
            <v>R</v>
          </cell>
        </row>
        <row r="4">
          <cell r="B4" t="str">
            <v>COVER SIDE 2</v>
          </cell>
          <cell r="D4" t="str">
            <v>AYU</v>
          </cell>
          <cell r="G4" t="str">
            <v>YMMSMG</v>
          </cell>
          <cell r="K4" t="str">
            <v>Semarang, JATENG</v>
          </cell>
        </row>
        <row r="5">
          <cell r="B5" t="str">
            <v>COVER SIDE 3</v>
          </cell>
          <cell r="D5" t="str">
            <v>AGUS Y.</v>
          </cell>
          <cell r="G5" t="str">
            <v>YMMBDG</v>
          </cell>
          <cell r="K5" t="str">
            <v>Surabaya, JATIM</v>
          </cell>
        </row>
        <row r="6">
          <cell r="B6" t="str">
            <v>COVER SIDE 4</v>
          </cell>
          <cell r="K6" t="str">
            <v>Cilegon, BANTEN</v>
          </cell>
        </row>
        <row r="7">
          <cell r="B7" t="str">
            <v>COVER SPEEDOMETER</v>
          </cell>
          <cell r="K7" t="str">
            <v>Pekayon, JABAR</v>
          </cell>
        </row>
        <row r="8">
          <cell r="B8" t="str">
            <v>FRONT FENDER</v>
          </cell>
        </row>
        <row r="9">
          <cell r="B9" t="str">
            <v>FRONT PANEL</v>
          </cell>
        </row>
        <row r="10">
          <cell r="B10" t="str">
            <v xml:space="preserve">FUEL TANK </v>
          </cell>
        </row>
        <row r="11">
          <cell r="B11" t="str">
            <v>HANDLE SEAT</v>
          </cell>
        </row>
        <row r="12">
          <cell r="B12" t="str">
            <v>KEY DOUBLE SEAT</v>
          </cell>
        </row>
        <row r="13">
          <cell r="B13" t="str">
            <v>LEG SHIELD 1</v>
          </cell>
          <cell r="D13" t="str">
            <v>Syntia</v>
          </cell>
        </row>
        <row r="14">
          <cell r="B14" t="str">
            <v>LEG SHIELD 2</v>
          </cell>
        </row>
        <row r="15">
          <cell r="B15" t="str">
            <v>LEG SHIELD 3</v>
          </cell>
        </row>
        <row r="16">
          <cell r="B16" t="str">
            <v>MUFFLER PROTECTOR</v>
          </cell>
        </row>
        <row r="17">
          <cell r="B17" t="str">
            <v>RUBBER FOOT REST II</v>
          </cell>
        </row>
        <row r="18">
          <cell r="B18" t="str">
            <v>TROMOL DEPAN</v>
          </cell>
        </row>
        <row r="19">
          <cell r="B19" t="str">
            <v>UNIT</v>
          </cell>
        </row>
      </sheetData>
      <sheetData sheetId="4" refreshError="1"/>
      <sheetData sheetId="5" refreshError="1">
        <row r="1">
          <cell r="C1">
            <v>1</v>
          </cell>
        </row>
        <row r="2">
          <cell r="C2" t="str">
            <v>TRUCK DISPATCH REPORT</v>
          </cell>
        </row>
        <row r="3">
          <cell r="C3" t="str">
            <v>PERIOD:</v>
          </cell>
        </row>
        <row r="4">
          <cell r="C4" t="str">
            <v>POOL:</v>
          </cell>
        </row>
        <row r="5">
          <cell r="C5" t="str">
            <v>Document (SPK) Number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KKP I"/>
      <sheetName val="B"/>
      <sheetName val="B.1"/>
      <sheetName val="B.1.1"/>
      <sheetName val="B.1.2"/>
      <sheetName val="B.1.3"/>
      <sheetName val="B.1.4"/>
      <sheetName val="B.1.5"/>
      <sheetName val="B.1.6"/>
      <sheetName val="B.1.6 (2)"/>
      <sheetName val="B.1.6 (3)"/>
      <sheetName val="B.2"/>
      <sheetName val="B.2.1"/>
      <sheetName val="B.2.1.1"/>
      <sheetName val="B.2.1.2"/>
      <sheetName val="B.2.1.3 "/>
      <sheetName val="B.2.1.4"/>
      <sheetName val="B.2.1.5"/>
      <sheetName val="B.2.1.6"/>
      <sheetName val="B.2.1.7"/>
      <sheetName val="B.2.1.8"/>
      <sheetName val="B.2.1.9"/>
      <sheetName val="B.2.1.10"/>
      <sheetName val="B.2.1.11"/>
      <sheetName val="B.2.1.12"/>
      <sheetName val="B.2.1.13"/>
      <sheetName val="B.2.1.14"/>
      <sheetName val="B.2.1.15"/>
      <sheetName val="B.2.1.16"/>
      <sheetName val="B.2.1.17"/>
      <sheetName val="B.2.2"/>
      <sheetName val="B.2.2 1"/>
      <sheetName val="B.2.3"/>
      <sheetName val="B.3"/>
      <sheetName val="B.3.1"/>
      <sheetName val="B.3.2"/>
      <sheetName val="B.4"/>
      <sheetName val="B.4.1"/>
      <sheetName val="B.4.2"/>
      <sheetName val="B.4.2.1 "/>
      <sheetName val="B.4.2.2"/>
      <sheetName val="B.4.2.3"/>
      <sheetName val="B.4.2.4 "/>
      <sheetName val="B.4.2.5"/>
      <sheetName val="B.4.2.6"/>
      <sheetName val="B.4.2.7"/>
      <sheetName val="B.4.2.8"/>
      <sheetName val="B.4.3"/>
      <sheetName val="B.4.3.1"/>
      <sheetName val="B.4.3.2"/>
      <sheetName val="B.4.3.3"/>
      <sheetName val="B.4.3.4"/>
      <sheetName val="B.4.3.5"/>
      <sheetName val="B.4.3.6"/>
      <sheetName val="B.4.3.7 "/>
      <sheetName val="B.4.3.8 "/>
      <sheetName val="B.4.3.9"/>
      <sheetName val="B.4.3.10"/>
      <sheetName val="B.4.3.11"/>
      <sheetName val="B.4.3.12"/>
      <sheetName val="B.4.3.13"/>
      <sheetName val="B.4.3.14"/>
      <sheetName val="B.4.3.15"/>
      <sheetName val="B.4.3.16"/>
      <sheetName val="B.4.3.18"/>
      <sheetName val="E.1"/>
      <sheetName val="E.1.1"/>
      <sheetName val="E.1.3 (2)"/>
      <sheetName val="E.3"/>
      <sheetName val="E.3.1"/>
      <sheetName val="E.3.2"/>
      <sheetName val="E.3.3"/>
      <sheetName val="E.5"/>
      <sheetName val="E.5.1"/>
      <sheetName val="E.5.2"/>
      <sheetName val="E.6"/>
      <sheetName val="E.8.4 (2)"/>
      <sheetName val="E.8"/>
      <sheetName val="E.8.1"/>
      <sheetName val="E.8.4"/>
      <sheetName val="B.1.6 (4)"/>
      <sheetName val="B.1.6 (5)"/>
    </sheetNames>
    <sheetDataSet>
      <sheetData sheetId="0" refreshError="1">
        <row r="5">
          <cell r="E5" t="str">
            <v>:  1.071.364.2-052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LIST"/>
      <sheetName val="cop"/>
      <sheetName val="Sheet2"/>
      <sheetName val="actual sep"/>
      <sheetName val="IS PROJECTION 2018 (FINAL)-LTL"/>
      <sheetName val="IS PROJECTION 2018 (FINAL VALU)"/>
      <sheetName val="IS PROJECTION 2018 (FINAL)"/>
      <sheetName val="IS PROJECTION 2018 (ok)"/>
      <sheetName val="IS PROJECTION 2018"/>
      <sheetName val="Summ OS-4- (2)"/>
      <sheetName val="OPEX NASIONAL"/>
      <sheetName val="Report By Site Horizontal"/>
      <sheetName val="Report By Site Vertikal"/>
      <sheetName val="Report By Site Vertikal (2)"/>
      <sheetName val="BUDGET BY SITE BY CUST 2019"/>
      <sheetName val="BUDGET R&amp;M"/>
      <sheetName val="BUDGET REVENUE"/>
      <sheetName val="BUDGET REVENUE(TARI 16112018)"/>
      <sheetName val="REVENUE CUST"/>
      <sheetName val="data revenue sept"/>
      <sheetName val="unit"/>
      <sheetName val="POSISI KENDARAAN PER OCT'18"/>
      <sheetName val="Sheet1"/>
      <sheetName val="DATA KENDARAAN RENTAL"/>
      <sheetName val="estimasi jual 2019"/>
      <sheetName val="estimasi jual sept sd dec 2018"/>
      <sheetName val="Sheet6"/>
      <sheetName val="Aktiva Komersial"/>
      <sheetName val="PIVOT1"/>
      <sheetName val="PIVOT2"/>
      <sheetName val="PIVOT3"/>
      <sheetName val="Summ OS-4-"/>
      <sheetName val="BY CUSTOMER VS PROJECTION"/>
      <sheetName val="SUM RE-BUDGET (tari20180717)"/>
      <sheetName val="List Penjualan Aset 1-10 2018"/>
      <sheetName val="ZCOR"/>
      <sheetName val="Budget bp (SALARY)"/>
      <sheetName val="TRUCK"/>
      <sheetName val="TEMPLATE BUDGET"/>
      <sheetName val="KOORDINASI"/>
      <sheetName val="BAA DRIVER"/>
      <sheetName val="DRV CML ADAMAS"/>
      <sheetName val="DRV KARAWANG"/>
      <sheetName val="MESS DRIVER"/>
      <sheetName val="BPJS DRIVER"/>
      <sheetName val="DETAIL SGA DIRECT"/>
      <sheetName val="rev CUST 2016-2017"/>
      <sheetName val="Ytd-Cu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">
          <cell r="B1" t="str">
            <v>nopol(upload)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DataKKP Surya Siam 02"/>
    </sheetNames>
    <sheetDataSet>
      <sheetData sheetId="0" refreshError="1">
        <row r="18">
          <cell r="E18" t="str">
            <v>1.000.241.8-411</v>
          </cell>
        </row>
        <row r="19">
          <cell r="E19" t="str">
            <v>Blok 405 sektor VIII BSD</v>
          </cell>
        </row>
        <row r="21">
          <cell r="E21" t="str">
            <v>KPP Serpong</v>
          </cell>
        </row>
        <row r="22">
          <cell r="E22">
            <v>13</v>
          </cell>
        </row>
      </sheetData>
      <sheetData sheetId="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p (2)"/>
      <sheetName val="Cov1 (2)"/>
      <sheetName val="Cov1"/>
      <sheetName val="DHKP"/>
      <sheetName val="lamphp"/>
      <sheetName val="lemhit"/>
      <sheetName val="nothit (2)"/>
      <sheetName val="alket"/>
      <sheetName val="LHP"/>
      <sheetName val="Induk Akhir"/>
      <sheetName val="peredaran"/>
      <sheetName val="Sheet1"/>
      <sheetName val="Impor"/>
      <sheetName val="Sheet2"/>
      <sheetName val="Sheet3"/>
      <sheetName val="lokal"/>
      <sheetName val="pembelian bahan baku"/>
      <sheetName val="piutang"/>
      <sheetName val="Pered-bank"/>
      <sheetName val="HPP"/>
      <sheetName val="KKP HPP (2)"/>
      <sheetName val="PPb Akhir "/>
      <sheetName val="KKP PPb"/>
      <sheetName val="KKP PBB1"/>
      <sheetName val="susut"/>
      <sheetName val="rekap-22"/>
      <sheetName val="kkp E-ps 22"/>
      <sheetName val="Fiskal"/>
      <sheetName val="KKP-E"/>
      <sheetName val="Rekap 23"/>
      <sheetName val="KKP F.3"/>
      <sheetName val="Rincian"/>
      <sheetName val="NY ADMI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Ex_Rate"/>
      <sheetName val="TB-WP"/>
      <sheetName val="LTLGroup"/>
      <sheetName val="A"/>
    </sheetNames>
    <sheetDataSet>
      <sheetData sheetId="0"/>
      <sheetData sheetId="1"/>
      <sheetData sheetId="2"/>
      <sheetData sheetId="3"/>
      <sheetData sheetId="4" refreshError="1">
        <row r="1">
          <cell r="B1" t="str">
            <v>DEPARTEMEN KEUANGAN REPUBLIK INDONESIA</v>
          </cell>
          <cell r="G1" t="str">
            <v xml:space="preserve">                 Lampiran  Surat  Pemberitahuan</v>
          </cell>
          <cell r="L1" t="str">
            <v>SURAT  PERNYATAAN  PERSETUJUAN</v>
          </cell>
        </row>
        <row r="2">
          <cell r="B2" t="str">
            <v>DIREKTORAT  JENDERAL  PAJAK</v>
          </cell>
          <cell r="G2" t="str">
            <v xml:space="preserve">                 Hasil  Pemeriksaan</v>
          </cell>
          <cell r="L2" t="str">
            <v>ATAS HASIL PEMERIKSAAN PAJAK TAHUN 1999</v>
          </cell>
        </row>
        <row r="3">
          <cell r="B3" t="str">
            <v>KANTOR  PELAYANAN  PAJAK</v>
          </cell>
          <cell r="G3" t="str">
            <v xml:space="preserve">                 No :  PHP -             /WPJ.06/KP.0204/2000</v>
          </cell>
        </row>
        <row r="4">
          <cell r="B4" t="str">
            <v>PENANAMAN  MODAL  ASING I</v>
          </cell>
          <cell r="G4" t="str">
            <v xml:space="preserve">                 Tanggal :</v>
          </cell>
        </row>
        <row r="5">
          <cell r="M5" t="str">
            <v>Sehubungan dengan Pemberitahuan Hasil Pemeriksaan Nomor : PHP-    /WPJ.06/KP.0204/2000</v>
          </cell>
        </row>
        <row r="6">
          <cell r="L6" t="str">
            <v>tanggal                               ,  saya  :</v>
          </cell>
        </row>
        <row r="7">
          <cell r="B7" t="str">
            <v>Nama Wajib Pajak</v>
          </cell>
          <cell r="D7" t="str">
            <v>: PT. Aska Perkasa</v>
          </cell>
        </row>
        <row r="8">
          <cell r="B8" t="str">
            <v>NPWP</v>
          </cell>
          <cell r="D8" t="str">
            <v>: 1.061.894-0-052</v>
          </cell>
          <cell r="M8" t="str">
            <v>N a m a</v>
          </cell>
          <cell r="N8" t="str">
            <v xml:space="preserve">:  </v>
          </cell>
        </row>
        <row r="9">
          <cell r="B9" t="str">
            <v>Tahun Pajak</v>
          </cell>
          <cell r="D9" t="str">
            <v>: 1999</v>
          </cell>
          <cell r="M9" t="str">
            <v>Jabatan</v>
          </cell>
          <cell r="N9" t="str">
            <v xml:space="preserve">:  </v>
          </cell>
        </row>
        <row r="10">
          <cell r="B10" t="str">
            <v>Alamat</v>
          </cell>
          <cell r="D10" t="str">
            <v>: Jalan Raya Gadobangkong No.81 Padalarang Bandung.</v>
          </cell>
          <cell r="M10" t="str">
            <v>Alamat</v>
          </cell>
          <cell r="N10" t="str">
            <v xml:space="preserve">:  </v>
          </cell>
        </row>
        <row r="13">
          <cell r="B13" t="str">
            <v>Penghitungan  Pajak Terutang  dan  Pos-Pos  yang  Dikoreksi  Serta  Penjelasannya</v>
          </cell>
          <cell r="L13" t="str">
            <v>dalam hal ini bertindak selaku</v>
          </cell>
          <cell r="Q13" t="str">
            <v>diri sendiri</v>
          </cell>
          <cell r="T13" t="str">
            <v>wakil</v>
          </cell>
          <cell r="W13" t="str">
            <v>kuasa dari Wajib Pajak</v>
          </cell>
        </row>
        <row r="14">
          <cell r="B14" t="str">
            <v>I.  Penghitungan  Pajak  Terutang</v>
          </cell>
        </row>
        <row r="15">
          <cell r="M15" t="str">
            <v>N a m a</v>
          </cell>
          <cell r="N15" t="str">
            <v>: PT. Aska Perkasa</v>
          </cell>
        </row>
        <row r="16">
          <cell r="C16" t="str">
            <v>Penghasilan Kena Pajak</v>
          </cell>
          <cell r="E16" t="str">
            <v>Kredit Pajak</v>
          </cell>
          <cell r="G16" t="str">
            <v>Pajak Terutang</v>
          </cell>
          <cell r="M16" t="str">
            <v>N P W P</v>
          </cell>
          <cell r="N16" t="str">
            <v>: 1.061.894-0-052</v>
          </cell>
        </row>
        <row r="17">
          <cell r="B17" t="str">
            <v>Nomor</v>
          </cell>
          <cell r="C17" t="str">
            <v xml:space="preserve"> </v>
          </cell>
          <cell r="E17" t="str">
            <v xml:space="preserve"> </v>
          </cell>
          <cell r="I17" t="str">
            <v>Keterangan</v>
          </cell>
          <cell r="M17" t="str">
            <v>Alamat</v>
          </cell>
          <cell r="N17" t="str">
            <v>: Jalan Raya Gadobangkong No.81 Padalarang Bandung.</v>
          </cell>
        </row>
        <row r="18">
          <cell r="B18" t="str">
            <v>Urut</v>
          </cell>
          <cell r="C18" t="str">
            <v>Menurut</v>
          </cell>
          <cell r="D18" t="str">
            <v>Menurut</v>
          </cell>
          <cell r="E18" t="str">
            <v>Menurut</v>
          </cell>
          <cell r="F18" t="str">
            <v>Menurut</v>
          </cell>
          <cell r="G18" t="str">
            <v>Menurut</v>
          </cell>
          <cell r="H18" t="str">
            <v>Menurut</v>
          </cell>
          <cell r="N18" t="str">
            <v xml:space="preserve"> </v>
          </cell>
        </row>
        <row r="19">
          <cell r="C19" t="str">
            <v>SPT/WP</v>
          </cell>
          <cell r="D19" t="str">
            <v>Pemeriksa</v>
          </cell>
          <cell r="E19" t="str">
            <v>SPT/WP</v>
          </cell>
          <cell r="F19" t="str">
            <v>Pemeriksa</v>
          </cell>
          <cell r="G19" t="str">
            <v>SPT/WP</v>
          </cell>
          <cell r="H19" t="str">
            <v>Pemeriksa</v>
          </cell>
        </row>
        <row r="21">
          <cell r="B21" t="str">
            <v>1.</v>
          </cell>
          <cell r="C21">
            <v>495029921</v>
          </cell>
          <cell r="D21">
            <v>667285000</v>
          </cell>
          <cell r="E21">
            <v>373953649</v>
          </cell>
          <cell r="F21">
            <v>373953649</v>
          </cell>
          <cell r="G21">
            <v>86740900</v>
          </cell>
          <cell r="H21">
            <v>3244489487.8996787</v>
          </cell>
          <cell r="I21" t="str">
            <v>SKPLB</v>
          </cell>
          <cell r="L21" t="str">
            <v>dengan ini   menyatakan  dengan  sebenarnya,  bahwa  saya  menyetujui  seluruh  Hasil  Pemeriksaan</v>
          </cell>
        </row>
        <row r="22">
          <cell r="L22" t="str">
            <v>seluruh  koreksi  dan  jumlah  pajak  terutang  yang  menjadi  kewajiban  saya  sebagaimana terlampir</v>
          </cell>
        </row>
        <row r="23">
          <cell r="L23" t="str">
            <v>pada  Surat  Pemberitahuan  Hasil  L3Pemeriksaan  tersebut.</v>
          </cell>
        </row>
        <row r="24">
          <cell r="B24" t="str">
            <v>II.  Pos-pos Yang Dikoreksi dan Penjelasannya</v>
          </cell>
          <cell r="L24" t="str">
            <v xml:space="preserve">           Demikian  Surat  Pernyataan  Persetujuan  mengenai  Hasil  Pemeriksaan  Pajak  ini  saya buat</v>
          </cell>
        </row>
        <row r="25">
          <cell r="L25" t="str">
            <v>dan  saya  tanda  tangani  untuk  dipergunakan  sebagaimana  mestinya.</v>
          </cell>
        </row>
        <row r="26">
          <cell r="B26" t="str">
            <v>No.</v>
          </cell>
          <cell r="C26" t="str">
            <v>Pos-pos SPT/Laporan Keuangan</v>
          </cell>
          <cell r="F26" t="str">
            <v>Koreksi Positif/(Negatif)</v>
          </cell>
          <cell r="H26" t="str">
            <v>Penjelasan</v>
          </cell>
        </row>
        <row r="28">
          <cell r="B28" t="str">
            <v>1</v>
          </cell>
          <cell r="C28" t="str">
            <v xml:space="preserve"> Peredaran Usaha</v>
          </cell>
          <cell r="G28">
            <v>151755516</v>
          </cell>
          <cell r="H28" t="str">
            <v>Uji Arus Piutang</v>
          </cell>
        </row>
        <row r="29">
          <cell r="G29" t="str">
            <v xml:space="preserve"> </v>
          </cell>
        </row>
        <row r="30">
          <cell r="G30" t="str">
            <v xml:space="preserve"> </v>
          </cell>
        </row>
        <row r="31">
          <cell r="B31" t="str">
            <v>2</v>
          </cell>
          <cell r="C31" t="str">
            <v xml:space="preserve"> Harga Pokok Penjualan</v>
          </cell>
        </row>
        <row r="32">
          <cell r="C32" t="str">
            <v>Penyusutan</v>
          </cell>
          <cell r="G32">
            <v>59867033</v>
          </cell>
          <cell r="H32" t="str">
            <v>Sesuai SE- 44/PJ.4/1995</v>
          </cell>
        </row>
        <row r="33">
          <cell r="C33" t="str">
            <v>FOH</v>
          </cell>
          <cell r="G33">
            <v>6290433</v>
          </cell>
          <cell r="H33" t="str">
            <v>Terlalu besar membebankan</v>
          </cell>
        </row>
        <row r="35">
          <cell r="B35" t="str">
            <v>3</v>
          </cell>
          <cell r="C35" t="str">
            <v>Pengurtang Penghasilan Bruto</v>
          </cell>
          <cell r="S35" t="str">
            <v>Meterai</v>
          </cell>
        </row>
        <row r="36">
          <cell r="C36" t="str">
            <v>Penyusutan</v>
          </cell>
          <cell r="G36" t="e">
            <v>#REF!</v>
          </cell>
          <cell r="H36" t="str">
            <v>Sesuai SE- 44/PJ.4/1995</v>
          </cell>
        </row>
        <row r="37">
          <cell r="C37" t="str">
            <v>Bunga, Sewa, Imbalan Jasa,</v>
          </cell>
          <cell r="G37" t="e">
            <v>#REF!</v>
          </cell>
          <cell r="H37" t="str">
            <v>Non deductable (PPh)</v>
          </cell>
        </row>
        <row r="38">
          <cell r="C38" t="str">
            <v>Lain-Lain</v>
          </cell>
          <cell r="G38" t="e">
            <v>#REF!</v>
          </cell>
          <cell r="H38" t="str">
            <v>Natura, Non deductable</v>
          </cell>
          <cell r="S38" t="str">
            <v>Rp. 2.000,-</v>
          </cell>
        </row>
        <row r="40">
          <cell r="B40" t="str">
            <v>4</v>
          </cell>
          <cell r="C40" t="str">
            <v>Penghasilan luar Usaha</v>
          </cell>
          <cell r="G40">
            <v>0</v>
          </cell>
          <cell r="H40" t="str">
            <v>Atas bunga telah dikenakan PPh Final</v>
          </cell>
        </row>
        <row r="42">
          <cell r="R42" t="str">
            <v>(  . . . . . . . . . . . . . . . . . . .  )</v>
          </cell>
        </row>
        <row r="43">
          <cell r="R43" t="str">
            <v>Nama/Jabatan</v>
          </cell>
        </row>
        <row r="44">
          <cell r="G44" t="e">
            <v>#REF!</v>
          </cell>
        </row>
        <row r="46">
          <cell r="B46" t="str">
            <v>III. Ketetapan yang akan diterbitkan :</v>
          </cell>
        </row>
        <row r="48">
          <cell r="B48" t="str">
            <v>1</v>
          </cell>
          <cell r="C48" t="str">
            <v>SKPLB PPh Badan tahun 1999 sebesar        Rp.</v>
          </cell>
          <cell r="F48">
            <v>2870535838.8996787</v>
          </cell>
        </row>
        <row r="51">
          <cell r="G51" t="str">
            <v xml:space="preserve">    Jakarta,  </v>
          </cell>
        </row>
        <row r="52">
          <cell r="L52" t="str">
            <v>KP.RIK.PS.1.23</v>
          </cell>
        </row>
        <row r="53">
          <cell r="F53" t="str">
            <v>KEPALA SEKSI PPh BADAN</v>
          </cell>
        </row>
        <row r="54">
          <cell r="F54" t="str">
            <v>KANTOR PELAYANAN PAJAK</v>
          </cell>
        </row>
        <row r="55">
          <cell r="F55" t="str">
            <v>PENANAMAN  MODAL  ASING I</v>
          </cell>
        </row>
        <row r="59">
          <cell r="F59" t="str">
            <v>Drs. ZULKARNAIN A.S</v>
          </cell>
        </row>
        <row r="60">
          <cell r="F60" t="str">
            <v>NIP.  060041804</v>
          </cell>
        </row>
        <row r="61">
          <cell r="B61" t="str">
            <v>KP.RIK.PS.1.22</v>
          </cell>
          <cell r="L61" t="str">
            <v>KP.RIK.PS.1.23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p (2)"/>
      <sheetName val="Cov1 (2)"/>
      <sheetName val="Cov1"/>
      <sheetName val="DHKP"/>
      <sheetName val="lamphp"/>
      <sheetName val="lemhit"/>
      <sheetName val="nothit (2)"/>
      <sheetName val="alket"/>
      <sheetName val="LHP"/>
      <sheetName val="Induk Akhir"/>
      <sheetName val="peredaran"/>
      <sheetName val="Sheet1"/>
      <sheetName val="Impor"/>
      <sheetName val="Sheet2"/>
      <sheetName val="Sheet3"/>
      <sheetName val="lokal"/>
      <sheetName val="pembelian bahan baku"/>
      <sheetName val="piutang"/>
      <sheetName val="Pered-bank"/>
      <sheetName val="HPP"/>
      <sheetName val="KKP HPP (2)"/>
      <sheetName val="PPb Akhir "/>
      <sheetName val="KKP PPb"/>
      <sheetName val="KKP PBB1"/>
      <sheetName val="susut"/>
      <sheetName val="rekap-22"/>
      <sheetName val="kkp E-ps 22"/>
      <sheetName val="Fiskal"/>
      <sheetName val="KKP-E"/>
      <sheetName val="Rekap 23"/>
      <sheetName val="KKP F.3"/>
      <sheetName val="Rincian"/>
      <sheetName val="NY ADMI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Ex_Rate"/>
      <sheetName val="TB-WP"/>
      <sheetName val="LTLGroup"/>
      <sheetName val="A"/>
    </sheetNames>
    <sheetDataSet>
      <sheetData sheetId="0"/>
      <sheetData sheetId="1"/>
      <sheetData sheetId="2"/>
      <sheetData sheetId="3"/>
      <sheetData sheetId="4" refreshError="1">
        <row r="1">
          <cell r="B1" t="str">
            <v>DEPARTEMEN KEUANGAN REPUBLIK INDONESIA</v>
          </cell>
          <cell r="G1" t="str">
            <v xml:space="preserve">                 Lampiran  Surat  Pemberitahuan</v>
          </cell>
          <cell r="L1" t="str">
            <v>SURAT  PERNYATAAN  PERSETUJUAN</v>
          </cell>
        </row>
        <row r="2">
          <cell r="B2" t="str">
            <v>DIREKTORAT  JENDERAL  PAJAK</v>
          </cell>
          <cell r="G2" t="str">
            <v xml:space="preserve">                 Hasil  Pemeriksaan</v>
          </cell>
          <cell r="L2" t="str">
            <v>ATAS HASIL PEMERIKSAAN PAJAK TAHUN 1999</v>
          </cell>
        </row>
        <row r="3">
          <cell r="B3" t="str">
            <v>KANTOR  PELAYANAN  PAJAK</v>
          </cell>
          <cell r="G3" t="str">
            <v xml:space="preserve">                 No :  PHP -             /WPJ.06/KP.0204/2000</v>
          </cell>
        </row>
        <row r="4">
          <cell r="B4" t="str">
            <v>PENANAMAN  MODAL  ASING I</v>
          </cell>
          <cell r="G4" t="str">
            <v xml:space="preserve">                 Tanggal :</v>
          </cell>
        </row>
        <row r="5">
          <cell r="M5" t="str">
            <v>Sehubungan dengan Pemberitahuan Hasil Pemeriksaan Nomor : PHP-    /WPJ.06/KP.0204/2000</v>
          </cell>
        </row>
        <row r="6">
          <cell r="L6" t="str">
            <v>tanggal                               ,  saya  :</v>
          </cell>
        </row>
        <row r="7">
          <cell r="B7" t="str">
            <v>Nama Wajib Pajak</v>
          </cell>
          <cell r="D7" t="str">
            <v>: PT. Aska Perkasa</v>
          </cell>
        </row>
        <row r="8">
          <cell r="B8" t="str">
            <v>NPWP</v>
          </cell>
          <cell r="D8" t="str">
            <v>: 1.061.894-0-052</v>
          </cell>
          <cell r="M8" t="str">
            <v>N a m a</v>
          </cell>
          <cell r="N8" t="str">
            <v xml:space="preserve">:  </v>
          </cell>
        </row>
        <row r="9">
          <cell r="B9" t="str">
            <v>Tahun Pajak</v>
          </cell>
          <cell r="D9" t="str">
            <v>: 1999</v>
          </cell>
          <cell r="M9" t="str">
            <v>Jabatan</v>
          </cell>
          <cell r="N9" t="str">
            <v xml:space="preserve">:  </v>
          </cell>
        </row>
        <row r="10">
          <cell r="B10" t="str">
            <v>Alamat</v>
          </cell>
          <cell r="D10" t="str">
            <v>: Jalan Raya Gadobangkong No.81 Padalarang Bandung.</v>
          </cell>
          <cell r="M10" t="str">
            <v>Alamat</v>
          </cell>
          <cell r="N10" t="str">
            <v xml:space="preserve">:  </v>
          </cell>
        </row>
        <row r="13">
          <cell r="B13" t="str">
            <v>Penghitungan  Pajak Terutang  dan  Pos-Pos  yang  Dikoreksi  Serta  Penjelasannya</v>
          </cell>
          <cell r="L13" t="str">
            <v>dalam hal ini bertindak selaku</v>
          </cell>
          <cell r="Q13" t="str">
            <v>diri sendiri</v>
          </cell>
          <cell r="T13" t="str">
            <v>wakil</v>
          </cell>
          <cell r="W13" t="str">
            <v>kuasa dari Wajib Pajak</v>
          </cell>
        </row>
        <row r="14">
          <cell r="B14" t="str">
            <v>I.  Penghitungan  Pajak  Terutang</v>
          </cell>
        </row>
        <row r="15">
          <cell r="M15" t="str">
            <v>N a m a</v>
          </cell>
          <cell r="N15" t="str">
            <v>: PT. Aska Perkasa</v>
          </cell>
        </row>
        <row r="16">
          <cell r="C16" t="str">
            <v>Penghasilan Kena Pajak</v>
          </cell>
          <cell r="E16" t="str">
            <v>Kredit Pajak</v>
          </cell>
          <cell r="G16" t="str">
            <v>Pajak Terutang</v>
          </cell>
          <cell r="M16" t="str">
            <v>N P W P</v>
          </cell>
          <cell r="N16" t="str">
            <v>: 1.061.894-0-052</v>
          </cell>
        </row>
        <row r="17">
          <cell r="B17" t="str">
            <v>Nomor</v>
          </cell>
          <cell r="C17" t="str">
            <v/>
          </cell>
          <cell r="E17" t="str">
            <v/>
          </cell>
          <cell r="I17" t="str">
            <v>Keterangan</v>
          </cell>
          <cell r="M17" t="str">
            <v>Alamat</v>
          </cell>
          <cell r="N17" t="str">
            <v>: Jalan Raya Gadobangkong No.81 Padalarang Bandung.</v>
          </cell>
        </row>
        <row r="18">
          <cell r="B18" t="str">
            <v>Urut</v>
          </cell>
          <cell r="C18" t="str">
            <v>Menurut</v>
          </cell>
          <cell r="D18" t="str">
            <v>Menurut</v>
          </cell>
          <cell r="E18" t="str">
            <v>Menurut</v>
          </cell>
          <cell r="F18" t="str">
            <v>Menurut</v>
          </cell>
          <cell r="G18" t="str">
            <v>Menurut</v>
          </cell>
          <cell r="H18" t="str">
            <v>Menurut</v>
          </cell>
          <cell r="N18" t="str">
            <v/>
          </cell>
        </row>
        <row r="19">
          <cell r="C19" t="str">
            <v>SPT/WP</v>
          </cell>
          <cell r="D19" t="str">
            <v>Pemeriksa</v>
          </cell>
          <cell r="E19" t="str">
            <v>SPT/WP</v>
          </cell>
          <cell r="F19" t="str">
            <v>Pemeriksa</v>
          </cell>
          <cell r="G19" t="str">
            <v>SPT/WP</v>
          </cell>
          <cell r="H19" t="str">
            <v>Pemeriksa</v>
          </cell>
        </row>
        <row r="21">
          <cell r="B21" t="str">
            <v>1.</v>
          </cell>
          <cell r="C21">
            <v>495029921</v>
          </cell>
          <cell r="D21">
            <v>667285000</v>
          </cell>
          <cell r="E21">
            <v>373953649</v>
          </cell>
          <cell r="F21">
            <v>373953649</v>
          </cell>
          <cell r="G21">
            <v>86740900</v>
          </cell>
          <cell r="H21">
            <v>3244489487.8996787</v>
          </cell>
          <cell r="I21" t="str">
            <v>SKPLB</v>
          </cell>
          <cell r="L21" t="str">
            <v>dengan ini   menyatakan  dengan  sebenarnya,  bahwa  saya  menyetujui  seluruh  Hasil  Pemeriksaan</v>
          </cell>
        </row>
        <row r="22">
          <cell r="L22" t="str">
            <v>seluruh  koreksi  dan  jumlah  pajak  terutang  yang  menjadi  kewajiban  saya  sebagaimana terlampir</v>
          </cell>
        </row>
        <row r="23">
          <cell r="L23" t="str">
            <v>pada  Surat  Pemberitahuan  Hasil  L3Pemeriksaan  tersebut.</v>
          </cell>
        </row>
        <row r="24">
          <cell r="B24" t="str">
            <v>II.  Pos-pos Yang Dikoreksi dan Penjelasannya</v>
          </cell>
          <cell r="L24" t="str">
            <v xml:space="preserve">           Demikian  Surat  Pernyataan  Persetujuan  mengenai  Hasil  Pemeriksaan  Pajak  ini  saya buat</v>
          </cell>
        </row>
        <row r="25">
          <cell r="L25" t="str">
            <v>dan  saya  tanda  tangani  untuk  dipergunakan  sebagaimana  mestinya.</v>
          </cell>
        </row>
        <row r="26">
          <cell r="B26" t="str">
            <v>No.</v>
          </cell>
          <cell r="C26" t="str">
            <v>Pos-pos SPT/Laporan Keuangan</v>
          </cell>
          <cell r="F26" t="str">
            <v>Koreksi Positif/(Negatif)</v>
          </cell>
          <cell r="H26" t="str">
            <v>Penjelasan</v>
          </cell>
        </row>
        <row r="28">
          <cell r="B28" t="str">
            <v>1</v>
          </cell>
          <cell r="C28" t="str">
            <v xml:space="preserve"> Peredaran Usaha</v>
          </cell>
          <cell r="G28">
            <v>151755516</v>
          </cell>
          <cell r="H28" t="str">
            <v>Uji Arus Piutang</v>
          </cell>
        </row>
        <row r="29">
          <cell r="G29" t="str">
            <v/>
          </cell>
        </row>
        <row r="30">
          <cell r="G30" t="str">
            <v/>
          </cell>
        </row>
        <row r="31">
          <cell r="B31" t="str">
            <v>2</v>
          </cell>
          <cell r="C31" t="str">
            <v xml:space="preserve"> Harga Pokok Penjualan</v>
          </cell>
        </row>
        <row r="32">
          <cell r="C32" t="str">
            <v>Penyusutan</v>
          </cell>
          <cell r="G32">
            <v>59867033</v>
          </cell>
          <cell r="H32" t="str">
            <v>Sesuai SE- 44/PJ.4/1995</v>
          </cell>
        </row>
        <row r="33">
          <cell r="C33" t="str">
            <v>FOH</v>
          </cell>
          <cell r="G33">
            <v>6290433</v>
          </cell>
          <cell r="H33" t="str">
            <v>Terlalu besar membebankan</v>
          </cell>
        </row>
        <row r="35">
          <cell r="B35" t="str">
            <v>3</v>
          </cell>
          <cell r="C35" t="str">
            <v>Pengurtang Penghasilan Bruto</v>
          </cell>
          <cell r="S35" t="str">
            <v>Meterai</v>
          </cell>
        </row>
        <row r="36">
          <cell r="C36" t="str">
            <v>Penyusutan</v>
          </cell>
          <cell r="G36" t="e">
            <v>#REF!</v>
          </cell>
          <cell r="H36" t="str">
            <v>Sesuai SE- 44/PJ.4/1995</v>
          </cell>
        </row>
        <row r="37">
          <cell r="C37" t="str">
            <v>Bunga, Sewa, Imbalan Jasa,</v>
          </cell>
          <cell r="G37" t="e">
            <v>#REF!</v>
          </cell>
          <cell r="H37" t="str">
            <v>Non deductable (PPh)</v>
          </cell>
        </row>
        <row r="38">
          <cell r="C38" t="str">
            <v>Lain-Lain</v>
          </cell>
          <cell r="G38" t="e">
            <v>#REF!</v>
          </cell>
          <cell r="H38" t="str">
            <v>Natura, Non deductable</v>
          </cell>
          <cell r="S38" t="str">
            <v>Rp. 2.000,-</v>
          </cell>
        </row>
        <row r="40">
          <cell r="B40" t="str">
            <v>4</v>
          </cell>
          <cell r="C40" t="str">
            <v>Penghasilan luar Usaha</v>
          </cell>
          <cell r="G40">
            <v>0</v>
          </cell>
          <cell r="H40" t="str">
            <v>Atas bunga telah dikenakan PPh Final</v>
          </cell>
        </row>
        <row r="42">
          <cell r="R42" t="str">
            <v>(  . . . . . . . . . . . . . . . . . . .  )</v>
          </cell>
        </row>
        <row r="43">
          <cell r="R43" t="str">
            <v>Nama/Jabatan</v>
          </cell>
        </row>
        <row r="44">
          <cell r="G44" t="e">
            <v>#REF!</v>
          </cell>
        </row>
        <row r="46">
          <cell r="B46" t="str">
            <v>III. Ketetapan yang akan diterbitkan :</v>
          </cell>
        </row>
        <row r="48">
          <cell r="B48" t="str">
            <v>1</v>
          </cell>
          <cell r="C48" t="str">
            <v>SKPLB PPh Badan tahun 1999 sebesar        Rp.</v>
          </cell>
          <cell r="F48">
            <v>2870535838.8996787</v>
          </cell>
        </row>
        <row r="51">
          <cell r="G51" t="str">
            <v xml:space="preserve">    Jakarta,  </v>
          </cell>
        </row>
        <row r="52">
          <cell r="L52" t="str">
            <v>KP.RIK.PS.1.23</v>
          </cell>
        </row>
        <row r="53">
          <cell r="F53" t="str">
            <v>KEPALA SEKSI PPh BADAN</v>
          </cell>
        </row>
        <row r="54">
          <cell r="F54" t="str">
            <v>KANTOR PELAYANAN PAJAK</v>
          </cell>
        </row>
        <row r="55">
          <cell r="F55" t="str">
            <v>PENANAMAN  MODAL  ASING I</v>
          </cell>
        </row>
        <row r="59">
          <cell r="F59" t="str">
            <v>Drs. ZULKARNAIN A.S</v>
          </cell>
        </row>
        <row r="60">
          <cell r="F60" t="str">
            <v>NIP.  060041804</v>
          </cell>
        </row>
        <row r="61">
          <cell r="B61" t="str">
            <v>KP.RIK.PS.1.22</v>
          </cell>
          <cell r="L61" t="str">
            <v>KP.RIK.PS.1.23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BS _2_salah"/>
      <sheetName val="cover anak"/>
      <sheetName val="Cover"/>
      <sheetName val="Daft. isi"/>
      <sheetName val="opini anak"/>
      <sheetName val="opini 1"/>
      <sheetName val="PJtangguhan00"/>
      <sheetName val="NRC"/>
      <sheetName val="RL"/>
      <sheetName val="Arkas"/>
      <sheetName val="BOP"/>
      <sheetName val="PD"/>
      <sheetName val="HD"/>
      <sheetName val="BPjl"/>
      <sheetName val="bEBAN opERASI"/>
      <sheetName val="Ctt"/>
      <sheetName val="HPP"/>
      <sheetName val="RIncian B. Prod (2)"/>
      <sheetName val="Piut-JTP"/>
      <sheetName val="keliru1"/>
      <sheetName val="keliru2"/>
      <sheetName val="B. Prod Okt"/>
      <sheetName val="B.OPERASI Oktober "/>
      <sheetName val="wbs-coba"/>
      <sheetName val="Lap.Keu"/>
      <sheetName val="laba saham"/>
      <sheetName val="Catatan (2)"/>
      <sheetName val="Adjusment"/>
      <sheetName val="Ekuitas"/>
      <sheetName val="Sheet3"/>
      <sheetName val="WBS (2)benar"/>
      <sheetName val="Psh-Anak"/>
      <sheetName val="catatan2anak"/>
      <sheetName val="Sheet1"/>
      <sheetName val="balanceshet '01"/>
      <sheetName val="Sheet2"/>
      <sheetName val="piutang"/>
      <sheetName val="LAP-KEU anak"/>
      <sheetName val="WBS (2)salah"/>
      <sheetName val="Sheet2 (2)"/>
      <sheetName val="piut-jas"/>
      <sheetName val="00-99-98"/>
      <sheetName val="Hut. Bank (PJ)"/>
      <sheetName val="Hut.bank (PD)"/>
      <sheetName val="kurs"/>
      <sheetName val="ass-jas"/>
      <sheetName val="agustus"/>
      <sheetName val="Notes"/>
      <sheetName val="AT"/>
      <sheetName val="Reklas"/>
      <sheetName val="percobaan"/>
      <sheetName val="lamphp"/>
      <sheetName val="Rincian"/>
      <sheetName val="LABARUGI"/>
      <sheetName val="NERACA"/>
      <sheetName val="CRITERIA1"/>
      <sheetName val="NY ADMIN"/>
      <sheetName val="LTLGroup-Trans"/>
      <sheetName val="SPI"/>
      <sheetName val="TB-WP"/>
      <sheetName val="AUDIT"/>
      <sheetName val="Ex-Rate"/>
      <sheetName val="GeneralInfo"/>
      <sheetName val="asset"/>
      <sheetName val="Reconciliation"/>
      <sheetName val="Menu"/>
      <sheetName val="POMALAA"/>
      <sheetName val="at02"/>
      <sheetName val="Accounts Payable (AA)"/>
      <sheetName val="10-1-1"/>
      <sheetName val="WBS__2_salah"/>
      <sheetName val="cover_anak"/>
      <sheetName val="Daft__isi"/>
      <sheetName val="opini_anak"/>
      <sheetName val="opini_1"/>
      <sheetName val="bEBAN_opERASI"/>
      <sheetName val="RIncian_B__Prod_(2)"/>
      <sheetName val="B__Prod_Okt"/>
      <sheetName val="B_OPERASI_Oktober_"/>
      <sheetName val="Lap_Keu"/>
      <sheetName val="laba_saham"/>
      <sheetName val="Catatan_(2)"/>
      <sheetName val="WBS_(2)benar"/>
      <sheetName val="balanceshet_'01"/>
      <sheetName val="LAP-KEU_anak"/>
      <sheetName val="WBS_(2)salah"/>
      <sheetName val="Sheet2_(2)"/>
      <sheetName val="Hut__Bank_(PJ)"/>
      <sheetName val="Hut_bank_(PD)"/>
      <sheetName val="NY_ADMIN"/>
      <sheetName val="Accounts_Payable_(AA)"/>
      <sheetName val="WBS__2_salah1"/>
      <sheetName val="cover_anak1"/>
      <sheetName val="Daft__isi1"/>
      <sheetName val="opini_anak1"/>
      <sheetName val="opini_11"/>
      <sheetName val="bEBAN_opERASI1"/>
      <sheetName val="RIncian_B__Prod_(2)1"/>
      <sheetName val="B__Prod_Okt1"/>
      <sheetName val="B_OPERASI_Oktober_1"/>
      <sheetName val="Lap_Keu1"/>
      <sheetName val="laba_saham1"/>
      <sheetName val="Catatan_(2)1"/>
      <sheetName val="WBS_(2)benar1"/>
      <sheetName val="balanceshet_'011"/>
      <sheetName val="LAP-KEU_anak1"/>
      <sheetName val="WBS_(2)salah1"/>
      <sheetName val="Sheet2_(2)1"/>
      <sheetName val="Hut__Bank_(PJ)1"/>
      <sheetName val="Hut_bank_(PD)1"/>
      <sheetName val="NY_ADMIN1"/>
      <sheetName val="Accounts_Payable_(AA)1"/>
      <sheetName val="Sept"/>
      <sheetName val="Listes de Sélection"/>
      <sheetName val="WBS__2_salah2"/>
      <sheetName val="cover_anak2"/>
      <sheetName val="Daft__isi2"/>
      <sheetName val="opini_anak2"/>
      <sheetName val="opini_12"/>
      <sheetName val="bEBAN_opERASI2"/>
      <sheetName val="RIncian_B__Prod_(2)2"/>
      <sheetName val="B__Prod_Okt2"/>
      <sheetName val="B_OPERASI_Oktober_2"/>
      <sheetName val="Lap_Keu2"/>
      <sheetName val="laba_saham2"/>
      <sheetName val="Catatan_(2)2"/>
      <sheetName val="WBS_(2)benar2"/>
      <sheetName val="balanceshet_'012"/>
      <sheetName val="LAP-KEU_anak2"/>
      <sheetName val="WBS_(2)salah2"/>
      <sheetName val="Sheet2_(2)2"/>
      <sheetName val="Hut__Bank_(PJ)2"/>
      <sheetName val="Hut_bank_(PD)2"/>
      <sheetName val="NY_ADMIN2"/>
      <sheetName val="Accounts_Payable_(AA)2"/>
      <sheetName val="Test Depre."/>
      <sheetName val="Mutation"/>
      <sheetName val="Piutang Normal Psrt"/>
      <sheetName val="BBM-03"/>
      <sheetName val="Sst02BBng&lt;95 (Dep123)"/>
      <sheetName val="Sst02&gt;=95 (Dep123)"/>
      <sheetName val="ANLKL"/>
      <sheetName val="Worksheet-03"/>
      <sheetName val="Belmera"/>
      <sheetName val="Cawang Tomang Cengkareng"/>
      <sheetName val="Checker"/>
      <sheetName val="Jakarta Cikampek"/>
      <sheetName val="Citarum"/>
      <sheetName val="April"/>
      <sheetName val="BS-PL Komersil and Fiskal"/>
      <sheetName val="Jagorawi"/>
      <sheetName val="budget per type"/>
      <sheetName val="A1_ Income Statement Projection"/>
      <sheetName val="Jakarta Merak"/>
      <sheetName val="Padalarang Cileunyi"/>
      <sheetName val="Palikanci"/>
      <sheetName val="Rates"/>
      <sheetName val="Semarang"/>
      <sheetName val="Surabaya Gempol Mojokerto"/>
      <sheetName val="Data WP"/>
      <sheetName val="WBS__2_salah3"/>
      <sheetName val="cover_anak3"/>
      <sheetName val="Daft__isi3"/>
      <sheetName val="opini_anak3"/>
      <sheetName val="opini_13"/>
      <sheetName val="bEBAN_opERASI3"/>
      <sheetName val="RIncian_B__Prod_(2)3"/>
      <sheetName val="B__Prod_Okt3"/>
      <sheetName val="B_OPERASI_Oktober_3"/>
      <sheetName val="Lap_Keu3"/>
      <sheetName val="laba_saham3"/>
      <sheetName val="Catatan_(2)3"/>
      <sheetName val="WBS_(2)benar3"/>
      <sheetName val="balanceshet_'013"/>
      <sheetName val="LAP-KEU_anak3"/>
      <sheetName val="WBS_(2)salah3"/>
      <sheetName val="Sheet2_(2)3"/>
      <sheetName val="Hut__Bank_(PJ)3"/>
      <sheetName val="Hut_bank_(PD)3"/>
      <sheetName val="NY_ADMIN3"/>
      <sheetName val="Accounts_Payable_(AA)3"/>
      <sheetName val="Listes_de_Sélection"/>
      <sheetName val="Test_Depre_"/>
      <sheetName val="ALL_KD"/>
      <sheetName val="BS"/>
      <sheetName val="CF"/>
      <sheetName val="SC_"/>
      <sheetName val="FA2006"/>
      <sheetName val="INVES"/>
      <sheetName val="A.4.3"/>
      <sheetName val="A.4.2"/>
      <sheetName val="DAF.INVEN U.O"/>
      <sheetName val="Data"/>
      <sheetName val="Gmd3"/>
      <sheetName val="Parameter"/>
      <sheetName val="PREV"/>
      <sheetName val="G&amp;A"/>
      <sheetName val="ASSETS"/>
      <sheetName val="Lapse LR GOE"/>
      <sheetName val="Base"/>
      <sheetName val="Marshal"/>
      <sheetName val="Permanent info"/>
      <sheetName val="HARGA ALAT"/>
      <sheetName val="NTB"/>
      <sheetName val="CP"/>
      <sheetName val="TB"/>
      <sheetName val="L&amp;D S"/>
      <sheetName val="DV"/>
      <sheetName val="DETANAL-AUG"/>
      <sheetName val="YRACCT"/>
      <sheetName val="PAJE"/>
      <sheetName val="PC_1"/>
      <sheetName val="PC_2"/>
      <sheetName val="Rate"/>
      <sheetName val="Tanah"/>
      <sheetName val="Rekap Per Cab"/>
      <sheetName val="Notes 08"/>
      <sheetName val="CA-sort"/>
      <sheetName val="Harga Satuan"/>
      <sheetName val="har-sat"/>
      <sheetName val="UPH,BHN,ALT"/>
      <sheetName val="Analis harga"/>
      <sheetName val="spesifikasi"/>
      <sheetName val="sudut"/>
      <sheetName val="BAHAN"/>
      <sheetName val="SE-C"/>
      <sheetName val="%tase"/>
      <sheetName val="PBR"/>
      <sheetName val="PB"/>
      <sheetName val="RP-BAL"/>
      <sheetName val="USD-BAL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CPC"/>
      <sheetName val="ACTUAL 2001"/>
      <sheetName val="PT. Jasuindo. coba-coba"/>
      <sheetName val="KODE AKU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 refreshError="1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>
        <row r="2">
          <cell r="L2">
            <v>66291790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asRP"/>
      <sheetName val="BSliRp"/>
      <sheetName val="RE"/>
      <sheetName val="BSasRP+Asia"/>
      <sheetName val="BSliRp+Asia"/>
      <sheetName val="RE+Asia"/>
      <sheetName val="PLnew"/>
      <sheetName val="PLcumNew"/>
      <sheetName val="EngCld"/>
      <sheetName val="CGS"/>
      <sheetName val="CGScum"/>
      <sheetName val="RMCONS"/>
      <sheetName val="RMcum"/>
      <sheetName val="NONME"/>
      <sheetName val="NONME (2)"/>
      <sheetName val="MEcurr"/>
      <sheetName val="MEytd"/>
      <sheetName val="SPprd"/>
      <sheetName val="WVprd"/>
      <sheetName val="GMprd"/>
      <sheetName val="Data WP"/>
      <sheetName val="WBS _2_sal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1"/>
    </sheetNames>
    <sheetDataSet>
      <sheetData sheetId="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WBS _2_salah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LAPORAN"/>
      <sheetName val="lap.keg"/>
      <sheetName val="abstrak"/>
      <sheetName val="php"/>
      <sheetName val="pos"/>
      <sheetName val="data"/>
      <sheetName val="penjualan"/>
      <sheetName val="hpp"/>
      <sheetName val="hpp (2)"/>
      <sheetName val="beli"/>
      <sheetName val="biaya"/>
      <sheetName val="bilain"/>
      <sheetName val="penyusutan"/>
      <sheetName val="pghluarusah"/>
      <sheetName val="pph 4(2)"/>
      <sheetName val="by-21"/>
      <sheetName val="pph21"/>
      <sheetName val="BRUTO"/>
      <sheetName val="kompar"/>
      <sheetName val="PM"/>
      <sheetName val="kredit"/>
      <sheetName val="ppn"/>
      <sheetName val="KKPPPN"/>
      <sheetName val="pbb"/>
      <sheetName val="rinc-ss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E5" t="str">
            <v>Ak/-</v>
          </cell>
          <cell r="F5">
            <v>2880000</v>
          </cell>
          <cell r="G5">
            <v>0</v>
          </cell>
          <cell r="H5">
            <v>0</v>
          </cell>
          <cell r="I5">
            <v>2880000</v>
          </cell>
          <cell r="K5" t="str">
            <v>Ak/-</v>
          </cell>
          <cell r="L5">
            <v>1728000</v>
          </cell>
          <cell r="M5">
            <v>0</v>
          </cell>
          <cell r="N5">
            <v>0</v>
          </cell>
          <cell r="O5">
            <v>1728000</v>
          </cell>
        </row>
        <row r="6">
          <cell r="E6" t="str">
            <v>K/-</v>
          </cell>
          <cell r="F6">
            <v>2880000</v>
          </cell>
          <cell r="G6">
            <v>1440000</v>
          </cell>
          <cell r="H6">
            <v>0</v>
          </cell>
          <cell r="I6">
            <v>4320000</v>
          </cell>
          <cell r="K6" t="str">
            <v>K/-</v>
          </cell>
          <cell r="L6">
            <v>1728000</v>
          </cell>
          <cell r="M6">
            <v>864000</v>
          </cell>
          <cell r="N6">
            <v>0</v>
          </cell>
          <cell r="O6">
            <v>2592000</v>
          </cell>
        </row>
        <row r="7">
          <cell r="E7" t="str">
            <v>K/1</v>
          </cell>
          <cell r="F7">
            <v>2880000</v>
          </cell>
          <cell r="G7">
            <v>1440000</v>
          </cell>
          <cell r="H7">
            <v>1440000</v>
          </cell>
          <cell r="I7">
            <v>5760000</v>
          </cell>
          <cell r="K7" t="str">
            <v>K/1</v>
          </cell>
          <cell r="L7">
            <v>1728000</v>
          </cell>
          <cell r="M7">
            <v>864000</v>
          </cell>
          <cell r="N7">
            <v>864000</v>
          </cell>
          <cell r="O7">
            <v>3456000</v>
          </cell>
        </row>
        <row r="8">
          <cell r="E8" t="str">
            <v>K/2</v>
          </cell>
          <cell r="F8">
            <v>2880000</v>
          </cell>
          <cell r="G8">
            <v>1440000</v>
          </cell>
          <cell r="H8">
            <v>2880000</v>
          </cell>
          <cell r="I8">
            <v>7200000</v>
          </cell>
          <cell r="K8" t="str">
            <v>K/2</v>
          </cell>
          <cell r="L8">
            <v>1728000</v>
          </cell>
          <cell r="M8">
            <v>864000</v>
          </cell>
          <cell r="N8">
            <v>1728000</v>
          </cell>
          <cell r="O8">
            <v>4320000</v>
          </cell>
        </row>
        <row r="9">
          <cell r="E9" t="str">
            <v>K/3</v>
          </cell>
          <cell r="F9">
            <v>2880000</v>
          </cell>
          <cell r="G9">
            <v>1440000</v>
          </cell>
          <cell r="H9">
            <v>4320000</v>
          </cell>
          <cell r="I9">
            <v>8640000</v>
          </cell>
          <cell r="K9" t="str">
            <v>K/3</v>
          </cell>
          <cell r="L9">
            <v>1728000</v>
          </cell>
          <cell r="M9">
            <v>864000</v>
          </cell>
          <cell r="N9">
            <v>2592000</v>
          </cell>
          <cell r="O9">
            <v>5184000</v>
          </cell>
        </row>
        <row r="10">
          <cell r="E10" t="str">
            <v>Tk/-</v>
          </cell>
          <cell r="F10">
            <v>2880000</v>
          </cell>
          <cell r="G10">
            <v>0</v>
          </cell>
          <cell r="H10">
            <v>0</v>
          </cell>
          <cell r="I10">
            <v>2880000</v>
          </cell>
          <cell r="K10" t="str">
            <v>Tk/-</v>
          </cell>
          <cell r="L10">
            <v>1728000</v>
          </cell>
          <cell r="M10">
            <v>0</v>
          </cell>
          <cell r="N10">
            <v>0</v>
          </cell>
          <cell r="O10">
            <v>1728000</v>
          </cell>
        </row>
        <row r="11">
          <cell r="E11" t="str">
            <v>Tk/1</v>
          </cell>
          <cell r="F11">
            <v>2880000</v>
          </cell>
          <cell r="G11">
            <v>0</v>
          </cell>
          <cell r="H11">
            <v>1440000</v>
          </cell>
          <cell r="I11">
            <v>4320000</v>
          </cell>
          <cell r="K11" t="str">
            <v>Tk/1</v>
          </cell>
          <cell r="L11">
            <v>1728000</v>
          </cell>
          <cell r="M11">
            <v>0</v>
          </cell>
          <cell r="N11">
            <v>864000</v>
          </cell>
          <cell r="O11">
            <v>2592000</v>
          </cell>
        </row>
        <row r="12">
          <cell r="E12" t="str">
            <v>Tk/2</v>
          </cell>
          <cell r="F12">
            <v>2880000</v>
          </cell>
          <cell r="G12">
            <v>0</v>
          </cell>
          <cell r="H12">
            <v>2880000</v>
          </cell>
          <cell r="I12">
            <v>5760000</v>
          </cell>
          <cell r="K12" t="str">
            <v>Tk/2</v>
          </cell>
          <cell r="L12">
            <v>1728000</v>
          </cell>
          <cell r="M12">
            <v>0</v>
          </cell>
          <cell r="N12">
            <v>1728000</v>
          </cell>
          <cell r="O12">
            <v>3456000</v>
          </cell>
        </row>
        <row r="13">
          <cell r="E13" t="str">
            <v>Tk/3</v>
          </cell>
          <cell r="F13">
            <v>2880000</v>
          </cell>
          <cell r="G13">
            <v>0</v>
          </cell>
          <cell r="H13">
            <v>4320000</v>
          </cell>
          <cell r="I13">
            <v>7200000</v>
          </cell>
          <cell r="K13" t="str">
            <v>Tk/3</v>
          </cell>
          <cell r="L13">
            <v>1728000</v>
          </cell>
          <cell r="M13">
            <v>0</v>
          </cell>
          <cell r="N13">
            <v>2592000</v>
          </cell>
          <cell r="O13">
            <v>4320000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 PENGISIAN"/>
      <sheetName val="Main Menu"/>
      <sheetName val="Uang Jalan"/>
      <sheetName val="Price"/>
      <sheetName val="Volum Order"/>
      <sheetName val="Cycle Time"/>
      <sheetName val="Operation Internal Plan"/>
      <sheetName val="Summary Plan"/>
      <sheetName val="Performance Summary"/>
      <sheetName val="P &amp; L Summary"/>
      <sheetName val="SUMMARY TRUCK"/>
      <sheetName val="Data unit DPI &amp; IRON"/>
      <sheetName val="Sheet1"/>
    </sheetNames>
    <sheetDataSet>
      <sheetData sheetId="0"/>
      <sheetData sheetId="1"/>
      <sheetData sheetId="2">
        <row r="2">
          <cell r="AG2" t="str">
            <v>Mixer</v>
          </cell>
        </row>
        <row r="3">
          <cell r="AG3" t="str">
            <v>Trailer 40ft</v>
          </cell>
        </row>
        <row r="4">
          <cell r="AG4" t="str">
            <v>Motor Carrier Engkel</v>
          </cell>
        </row>
        <row r="5">
          <cell r="AG5" t="str">
            <v>Wing Box</v>
          </cell>
        </row>
        <row r="6">
          <cell r="AG6" t="str">
            <v>Milkrun</v>
          </cell>
        </row>
        <row r="7">
          <cell r="AG7" t="str">
            <v>Trailer 20ft</v>
          </cell>
        </row>
        <row r="8">
          <cell r="AG8" t="str">
            <v>Car Carrier</v>
          </cell>
        </row>
        <row r="9">
          <cell r="AG9" t="str">
            <v>Towing</v>
          </cell>
        </row>
        <row r="10">
          <cell r="AG10" t="str">
            <v>CDE</v>
          </cell>
        </row>
        <row r="11">
          <cell r="AG11" t="str">
            <v>Tansya Car Carrier</v>
          </cell>
        </row>
        <row r="12">
          <cell r="AG12" t="str">
            <v>Motor Carrier Trailer</v>
          </cell>
        </row>
        <row r="13">
          <cell r="AG13" t="str">
            <v>Tronton</v>
          </cell>
        </row>
        <row r="14">
          <cell r="AG14" t="str">
            <v>CDD</v>
          </cell>
        </row>
        <row r="15">
          <cell r="AG15" t="str">
            <v>Box Engkel</v>
          </cell>
        </row>
        <row r="16">
          <cell r="AG16" t="str">
            <v>Engkel</v>
          </cell>
        </row>
        <row r="17">
          <cell r="AG17">
            <v>0</v>
          </cell>
        </row>
        <row r="18">
          <cell r="AG18">
            <v>0</v>
          </cell>
        </row>
        <row r="19">
          <cell r="AG19">
            <v>0</v>
          </cell>
        </row>
        <row r="20">
          <cell r="AG20">
            <v>0</v>
          </cell>
        </row>
        <row r="21">
          <cell r="AG21">
            <v>0</v>
          </cell>
        </row>
        <row r="22">
          <cell r="AG22">
            <v>0</v>
          </cell>
        </row>
        <row r="23">
          <cell r="AG23">
            <v>0</v>
          </cell>
        </row>
        <row r="24">
          <cell r="AG24">
            <v>0</v>
          </cell>
        </row>
        <row r="25">
          <cell r="AG25">
            <v>0</v>
          </cell>
        </row>
        <row r="26">
          <cell r="AG26">
            <v>0</v>
          </cell>
        </row>
        <row r="27">
          <cell r="AG27">
            <v>0</v>
          </cell>
        </row>
        <row r="28">
          <cell r="AG28">
            <v>0</v>
          </cell>
        </row>
        <row r="29">
          <cell r="AG29">
            <v>0</v>
          </cell>
        </row>
      </sheetData>
      <sheetData sheetId="3"/>
      <sheetData sheetId="4"/>
      <sheetData sheetId="5"/>
      <sheetData sheetId="6"/>
      <sheetData sheetId="7">
        <row r="811">
          <cell r="C811" t="str">
            <v>BUILD UP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atio"/>
      <sheetName val="FS"/>
      <sheetName val="AJE"/>
      <sheetName val="RJE"/>
      <sheetName val="CF"/>
      <sheetName val="NTA"/>
      <sheetName val="audited BS"/>
      <sheetName val="audited CF"/>
      <sheetName val="audited PL"/>
      <sheetName val="audited detailPL"/>
      <sheetName val="ClientTB"/>
      <sheetName val="ClientBS"/>
      <sheetName val="ClientPL"/>
      <sheetName val="procedure"/>
    </sheetNames>
    <sheetDataSet>
      <sheetData sheetId="0"/>
      <sheetData sheetId="1"/>
      <sheetData sheetId="2" refreshError="1">
        <row r="1">
          <cell r="B1" t="str">
            <v>Client  : BDP ASIA PACIFIC (AUSTRALIA) PTY  LTD</v>
          </cell>
        </row>
        <row r="2">
          <cell r="B2" t="str">
            <v>(Incorporated in the AUSTRALIA</v>
          </cell>
        </row>
        <row r="4">
          <cell r="B4" t="str">
            <v>INCOME STATEMENT FOR THE FINANCIAL YEAR ENDED 31 DECEMBER 2005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  <cell r="O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  <cell r="M7" t="str">
            <v>audited</v>
          </cell>
          <cell r="O7" t="str">
            <v>audited</v>
          </cell>
        </row>
        <row r="8">
          <cell r="D8" t="str">
            <v>WP REF</v>
          </cell>
          <cell r="F8" t="str">
            <v>31.12.2005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 t="str">
            <v>31.12.2005</v>
          </cell>
          <cell r="M8" t="str">
            <v>31.12.2005</v>
          </cell>
          <cell r="O8" t="str">
            <v>31.12.2004</v>
          </cell>
        </row>
        <row r="9">
          <cell r="F9" t="str">
            <v>AUD</v>
          </cell>
          <cell r="G9" t="str">
            <v>AUD</v>
          </cell>
          <cell r="H9" t="str">
            <v>AUD</v>
          </cell>
          <cell r="I9" t="str">
            <v>AUD</v>
          </cell>
          <cell r="J9" t="str">
            <v>AUD</v>
          </cell>
          <cell r="K9" t="str">
            <v>AUD</v>
          </cell>
          <cell r="M9" t="str">
            <v>S$</v>
          </cell>
          <cell r="O9" t="str">
            <v>AUD</v>
          </cell>
        </row>
        <row r="11">
          <cell r="A11" t="str">
            <v>Sales</v>
          </cell>
          <cell r="B11" t="str">
            <v>Turnover</v>
          </cell>
          <cell r="F11">
            <v>7951669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7951669</v>
          </cell>
          <cell r="L11" t="str">
            <v>ok</v>
          </cell>
          <cell r="M11">
            <v>10094484.762119999</v>
          </cell>
          <cell r="N11" t="str">
            <v>ok</v>
          </cell>
          <cell r="O11">
            <v>6511298</v>
          </cell>
        </row>
        <row r="12">
          <cell r="M12" t="str">
            <v xml:space="preserve"> </v>
          </cell>
        </row>
        <row r="13">
          <cell r="A13" t="str">
            <v>COS</v>
          </cell>
          <cell r="B13" t="str">
            <v>Cost of sales</v>
          </cell>
          <cell r="F13">
            <v>-5962065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-5962065</v>
          </cell>
          <cell r="L13" t="str">
            <v>ok</v>
          </cell>
          <cell r="M13">
            <v>-7568722.2761999993</v>
          </cell>
          <cell r="N13" t="str">
            <v>ok</v>
          </cell>
          <cell r="O13">
            <v>-5049811</v>
          </cell>
        </row>
        <row r="14">
          <cell r="M14" t="str">
            <v xml:space="preserve"> </v>
          </cell>
        </row>
        <row r="15">
          <cell r="A15" t="str">
            <v>GP</v>
          </cell>
          <cell r="B15" t="str">
            <v>Gross profit</v>
          </cell>
          <cell r="F15">
            <v>1989604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1989604</v>
          </cell>
          <cell r="L15" t="str">
            <v>ok</v>
          </cell>
          <cell r="M15">
            <v>2525763.4859199999</v>
          </cell>
          <cell r="N15" t="str">
            <v>ok</v>
          </cell>
          <cell r="O15">
            <v>1461487</v>
          </cell>
        </row>
        <row r="16">
          <cell r="M16" t="str">
            <v xml:space="preserve"> </v>
          </cell>
        </row>
        <row r="17">
          <cell r="A17">
            <v>30000</v>
          </cell>
          <cell r="B17" t="str">
            <v>Other income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M17" t="str">
            <v xml:space="preserve"> </v>
          </cell>
          <cell r="O17">
            <v>0</v>
          </cell>
        </row>
        <row r="18">
          <cell r="K18">
            <v>0</v>
          </cell>
          <cell r="M18" t="str">
            <v xml:space="preserve"> </v>
          </cell>
        </row>
        <row r="19">
          <cell r="A19" t="str">
            <v>SC</v>
          </cell>
          <cell r="B19" t="str">
            <v>Staff costs</v>
          </cell>
          <cell r="F19">
            <v>-1526986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-1526986</v>
          </cell>
          <cell r="L19" t="str">
            <v>ok</v>
          </cell>
          <cell r="M19">
            <v>-1938478.18728</v>
          </cell>
          <cell r="N19" t="str">
            <v>ok</v>
          </cell>
          <cell r="O19">
            <v>-1175109</v>
          </cell>
        </row>
        <row r="20">
          <cell r="K20">
            <v>0</v>
          </cell>
          <cell r="M20" t="str">
            <v xml:space="preserve"> </v>
          </cell>
        </row>
        <row r="21">
          <cell r="A21" t="str">
            <v>RE</v>
          </cell>
          <cell r="B21" t="str">
            <v>Rental expenses</v>
          </cell>
          <cell r="F21">
            <v>-158767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-158767</v>
          </cell>
          <cell r="L21" t="str">
            <v>ok</v>
          </cell>
          <cell r="M21">
            <v>-201551.53115999998</v>
          </cell>
          <cell r="N21" t="str">
            <v>ok</v>
          </cell>
          <cell r="O21">
            <v>-103637</v>
          </cell>
        </row>
        <row r="22">
          <cell r="K22">
            <v>0</v>
          </cell>
          <cell r="M22" t="str">
            <v xml:space="preserve"> </v>
          </cell>
        </row>
        <row r="23">
          <cell r="A23" t="str">
            <v>DEP</v>
          </cell>
          <cell r="B23" t="str">
            <v>Depreciation and amortisation</v>
          </cell>
          <cell r="F23">
            <v>-54737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-54737</v>
          </cell>
          <cell r="L23" t="str">
            <v>ok</v>
          </cell>
          <cell r="M23">
            <v>-69486.526759999993</v>
          </cell>
          <cell r="N23" t="str">
            <v>ok</v>
          </cell>
          <cell r="O23">
            <v>-54359</v>
          </cell>
        </row>
        <row r="24">
          <cell r="K24">
            <v>0</v>
          </cell>
          <cell r="M24" t="str">
            <v xml:space="preserve"> </v>
          </cell>
        </row>
        <row r="25">
          <cell r="A25" t="str">
            <v>OOE</v>
          </cell>
          <cell r="B25" t="str">
            <v>Other operating expenses</v>
          </cell>
          <cell r="F25">
            <v>-515027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-515027</v>
          </cell>
          <cell r="L25" t="str">
            <v>ok</v>
          </cell>
          <cell r="M25">
            <v>-653818.47595999995</v>
          </cell>
          <cell r="N25" t="str">
            <v>ok</v>
          </cell>
          <cell r="O25">
            <v>-386218</v>
          </cell>
        </row>
        <row r="26">
          <cell r="K26">
            <v>0</v>
          </cell>
          <cell r="M26" t="str">
            <v xml:space="preserve"> </v>
          </cell>
        </row>
        <row r="27">
          <cell r="A27" t="str">
            <v>FI</v>
          </cell>
          <cell r="B27" t="str">
            <v>Finance income</v>
          </cell>
          <cell r="F27">
            <v>7491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7491</v>
          </cell>
          <cell r="L27" t="str">
            <v>ok</v>
          </cell>
          <cell r="M27">
            <v>9510.6746800000001</v>
          </cell>
          <cell r="N27" t="str">
            <v>ok</v>
          </cell>
          <cell r="O27">
            <v>96122</v>
          </cell>
        </row>
        <row r="28">
          <cell r="K28">
            <v>0</v>
          </cell>
          <cell r="M28" t="str">
            <v xml:space="preserve"> </v>
          </cell>
        </row>
        <row r="29">
          <cell r="A29" t="str">
            <v>fincost</v>
          </cell>
          <cell r="B29" t="str">
            <v>Finance costs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 t="str">
            <v xml:space="preserve"> </v>
          </cell>
          <cell r="O29">
            <v>0</v>
          </cell>
        </row>
        <row r="30">
          <cell r="M30" t="str">
            <v xml:space="preserve"> </v>
          </cell>
        </row>
        <row r="31">
          <cell r="A31" t="str">
            <v>PBT</v>
          </cell>
          <cell r="B31" t="str">
            <v xml:space="preserve">Profit for the year before share of results of </v>
          </cell>
          <cell r="F31">
            <v>-258422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-258422</v>
          </cell>
          <cell r="L31" t="str">
            <v>ok</v>
          </cell>
          <cell r="M31">
            <v>-328061.56056000001</v>
          </cell>
          <cell r="N31" t="str">
            <v>ok</v>
          </cell>
          <cell r="O31">
            <v>-161714</v>
          </cell>
        </row>
        <row r="32">
          <cell r="B32" t="str">
            <v>joint ventures and subsidiary</v>
          </cell>
          <cell r="M32" t="str">
            <v xml:space="preserve"> </v>
          </cell>
        </row>
        <row r="33">
          <cell r="M33" t="str">
            <v xml:space="preserve"> </v>
          </cell>
        </row>
        <row r="34">
          <cell r="B34" t="str">
            <v>Share of results of an unconsolidated subsidiary</v>
          </cell>
          <cell r="M34" t="str">
            <v xml:space="preserve"> </v>
          </cell>
          <cell r="O34">
            <v>0</v>
          </cell>
        </row>
        <row r="35">
          <cell r="B35" t="str">
            <v>Share of results of joint ventures</v>
          </cell>
          <cell r="M35" t="str">
            <v xml:space="preserve"> </v>
          </cell>
          <cell r="O35">
            <v>0</v>
          </cell>
        </row>
        <row r="36">
          <cell r="M36" t="str">
            <v xml:space="preserve"> </v>
          </cell>
        </row>
        <row r="37">
          <cell r="B37" t="str">
            <v>Profit for the year before taxation</v>
          </cell>
          <cell r="F37">
            <v>-258422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-258422</v>
          </cell>
          <cell r="L37" t="str">
            <v>ok</v>
          </cell>
          <cell r="M37">
            <v>-328061.56056000001</v>
          </cell>
          <cell r="N37" t="str">
            <v>ok</v>
          </cell>
          <cell r="O37">
            <v>-161714</v>
          </cell>
        </row>
        <row r="38">
          <cell r="A38">
            <v>70000</v>
          </cell>
          <cell r="B38" t="str">
            <v>Taxation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 t="str">
            <v xml:space="preserve"> </v>
          </cell>
          <cell r="O38">
            <v>0</v>
          </cell>
        </row>
        <row r="39">
          <cell r="M39" t="str">
            <v xml:space="preserve"> </v>
          </cell>
        </row>
        <row r="40">
          <cell r="A40" t="str">
            <v>PAT</v>
          </cell>
          <cell r="B40" t="str">
            <v>Profit for the year after taxation before MI</v>
          </cell>
          <cell r="F40">
            <v>-258422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-258422</v>
          </cell>
          <cell r="L40" t="str">
            <v>ok</v>
          </cell>
          <cell r="M40">
            <v>-328061.56056000001</v>
          </cell>
          <cell r="N40" t="str">
            <v>ok</v>
          </cell>
          <cell r="O40">
            <v>-161714</v>
          </cell>
        </row>
        <row r="41">
          <cell r="A41">
            <v>80000</v>
          </cell>
          <cell r="B41" t="str">
            <v>Minority Interest</v>
          </cell>
          <cell r="M41" t="str">
            <v xml:space="preserve"> </v>
          </cell>
        </row>
        <row r="42">
          <cell r="M42" t="str">
            <v xml:space="preserve"> </v>
          </cell>
        </row>
        <row r="43">
          <cell r="B43" t="str">
            <v>Profit attributable to shareholders</v>
          </cell>
          <cell r="F43">
            <v>-258422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-258422</v>
          </cell>
          <cell r="L43" t="str">
            <v>ok</v>
          </cell>
          <cell r="M43">
            <v>-328061.56056000001</v>
          </cell>
          <cell r="N43" t="str">
            <v>ok</v>
          </cell>
          <cell r="O43">
            <v>-161714</v>
          </cell>
        </row>
        <row r="44">
          <cell r="M44" t="str">
            <v xml:space="preserve"> </v>
          </cell>
        </row>
        <row r="45">
          <cell r="G45" t="str">
            <v>total AJE in Dr</v>
          </cell>
          <cell r="H45" t="str">
            <v>total AJE in Cr</v>
          </cell>
          <cell r="I45" t="str">
            <v>total RJE in Dr</v>
          </cell>
          <cell r="J45" t="str">
            <v>total RJE in Cr</v>
          </cell>
          <cell r="K45">
            <v>0</v>
          </cell>
        </row>
        <row r="49">
          <cell r="B49" t="str">
            <v>Client  : BDP ASIA PACIFIC (AUSTRALIA) PTY  LTD</v>
          </cell>
        </row>
        <row r="50">
          <cell r="B50" t="str">
            <v>(Incorporated in the AUSTRALIA</v>
          </cell>
        </row>
        <row r="52">
          <cell r="B52" t="str">
            <v>BALANCE SHEET AS AT 31 DECEMBER 2005</v>
          </cell>
        </row>
        <row r="53">
          <cell r="F53" t="str">
            <v>unaudited</v>
          </cell>
          <cell r="G53" t="str">
            <v>Audit Adjustment (AJE)</v>
          </cell>
          <cell r="I53" t="str">
            <v>Reclassification (RJE)</v>
          </cell>
          <cell r="K53" t="str">
            <v>audited</v>
          </cell>
          <cell r="M53" t="str">
            <v>audited</v>
          </cell>
          <cell r="O53" t="str">
            <v>audited</v>
          </cell>
        </row>
        <row r="54">
          <cell r="D54" t="str">
            <v>WP REF</v>
          </cell>
          <cell r="F54" t="str">
            <v>31.12.2005</v>
          </cell>
          <cell r="G54" t="str">
            <v>DR</v>
          </cell>
          <cell r="H54" t="str">
            <v>CR</v>
          </cell>
          <cell r="I54" t="str">
            <v>DR</v>
          </cell>
          <cell r="J54" t="str">
            <v>CR</v>
          </cell>
          <cell r="K54" t="str">
            <v>31.12.2005</v>
          </cell>
          <cell r="M54" t="str">
            <v>31.12.2005</v>
          </cell>
          <cell r="O54" t="str">
            <v>31.12.2004</v>
          </cell>
        </row>
        <row r="55">
          <cell r="F55" t="str">
            <v>AUD</v>
          </cell>
          <cell r="G55" t="str">
            <v>AUD</v>
          </cell>
          <cell r="H55" t="str">
            <v>AUD</v>
          </cell>
          <cell r="I55" t="str">
            <v>AUD</v>
          </cell>
          <cell r="J55" t="str">
            <v>AUD</v>
          </cell>
          <cell r="K55" t="str">
            <v>AUD</v>
          </cell>
          <cell r="M55" t="str">
            <v>S$</v>
          </cell>
          <cell r="O55" t="str">
            <v>AUD</v>
          </cell>
        </row>
        <row r="56">
          <cell r="B56" t="str">
            <v>ASSETS</v>
          </cell>
        </row>
        <row r="57">
          <cell r="B57" t="str">
            <v>Non-current assets</v>
          </cell>
          <cell r="K57">
            <v>0</v>
          </cell>
        </row>
        <row r="58">
          <cell r="A58">
            <v>1000</v>
          </cell>
          <cell r="B58" t="str">
            <v xml:space="preserve">    Property, plant and equipment </v>
          </cell>
          <cell r="F58">
            <v>218378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218378</v>
          </cell>
          <cell r="L58" t="str">
            <v>ok</v>
          </cell>
          <cell r="M58">
            <v>265591.3236</v>
          </cell>
          <cell r="N58" t="str">
            <v>ok</v>
          </cell>
          <cell r="O58">
            <v>163367</v>
          </cell>
        </row>
        <row r="59">
          <cell r="A59">
            <v>1200</v>
          </cell>
          <cell r="B59" t="str">
            <v xml:space="preserve">    Investment in subsidiary companies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</row>
        <row r="60">
          <cell r="A60">
            <v>1300</v>
          </cell>
          <cell r="B60" t="str">
            <v xml:space="preserve">    Investment in joint ventures</v>
          </cell>
          <cell r="F60">
            <v>0</v>
          </cell>
          <cell r="M60">
            <v>0</v>
          </cell>
          <cell r="O60">
            <v>0</v>
          </cell>
        </row>
        <row r="61">
          <cell r="A61">
            <v>1400</v>
          </cell>
          <cell r="B61" t="str">
            <v xml:space="preserve">    Deferred tax assets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</row>
        <row r="62"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Current assets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2100</v>
          </cell>
          <cell r="B64" t="str">
            <v xml:space="preserve">    Trade debtors</v>
          </cell>
          <cell r="F64">
            <v>711702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711702</v>
          </cell>
          <cell r="L64" t="str">
            <v>ok</v>
          </cell>
          <cell r="M64">
            <v>865571.97239999997</v>
          </cell>
          <cell r="N64" t="str">
            <v>ok</v>
          </cell>
          <cell r="O64">
            <v>813233</v>
          </cell>
        </row>
        <row r="65">
          <cell r="A65">
            <v>2200</v>
          </cell>
          <cell r="B65" t="str">
            <v xml:space="preserve">    Other debtors, deposit and prepayments </v>
          </cell>
          <cell r="F65">
            <v>149982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149982</v>
          </cell>
          <cell r="L65" t="str">
            <v>ok</v>
          </cell>
          <cell r="M65">
            <v>182408.1084</v>
          </cell>
          <cell r="N65" t="str">
            <v>ok</v>
          </cell>
          <cell r="O65">
            <v>151983</v>
          </cell>
        </row>
        <row r="66">
          <cell r="A66">
            <v>5001</v>
          </cell>
          <cell r="B66" t="str">
            <v xml:space="preserve">    Amount due from ultimate holding company</v>
          </cell>
          <cell r="F66">
            <v>156198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156198</v>
          </cell>
          <cell r="L66" t="str">
            <v>ok</v>
          </cell>
          <cell r="M66">
            <v>189968.00759999998</v>
          </cell>
          <cell r="N66" t="str">
            <v>ok</v>
          </cell>
          <cell r="O66">
            <v>181273</v>
          </cell>
        </row>
        <row r="67">
          <cell r="A67">
            <v>5201</v>
          </cell>
          <cell r="B67" t="str">
            <v xml:space="preserve">    Amount due from immediate holding company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</row>
        <row r="68">
          <cell r="A68">
            <v>5301</v>
          </cell>
          <cell r="B68" t="str">
            <v xml:space="preserve">    Amount due from BDP Singapore</v>
          </cell>
          <cell r="F68">
            <v>4349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4349</v>
          </cell>
          <cell r="L68" t="str">
            <v>ok</v>
          </cell>
          <cell r="M68">
            <v>5289.2537999999995</v>
          </cell>
          <cell r="N68" t="str">
            <v>ok</v>
          </cell>
          <cell r="O68">
            <v>95169</v>
          </cell>
        </row>
        <row r="69">
          <cell r="A69">
            <v>5302</v>
          </cell>
          <cell r="B69" t="str">
            <v xml:space="preserve">    Amount due from BDP Malaysia</v>
          </cell>
          <cell r="F69">
            <v>0</v>
          </cell>
          <cell r="G69">
            <v>0</v>
          </cell>
          <cell r="H69">
            <v>2105.5500000000002</v>
          </cell>
          <cell r="I69">
            <v>2083</v>
          </cell>
          <cell r="J69">
            <v>0</v>
          </cell>
          <cell r="K69">
            <v>-22.55</v>
          </cell>
          <cell r="M69">
            <v>-27.42531</v>
          </cell>
          <cell r="O69">
            <v>0</v>
          </cell>
        </row>
        <row r="70">
          <cell r="A70">
            <v>5303</v>
          </cell>
          <cell r="B70" t="str">
            <v xml:space="preserve">    Amount due from BDP Thai</v>
          </cell>
          <cell r="F70">
            <v>0</v>
          </cell>
          <cell r="G70">
            <v>0</v>
          </cell>
          <cell r="H70">
            <v>0</v>
          </cell>
          <cell r="I70">
            <v>9533</v>
          </cell>
          <cell r="J70">
            <v>0</v>
          </cell>
          <cell r="K70">
            <v>9533</v>
          </cell>
          <cell r="M70">
            <v>11594.034599999999</v>
          </cell>
          <cell r="O70">
            <v>0</v>
          </cell>
        </row>
        <row r="71">
          <cell r="A71">
            <v>5304</v>
          </cell>
          <cell r="B71" t="str">
            <v xml:space="preserve">    Amount due from BDP Aus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</row>
        <row r="72">
          <cell r="A72">
            <v>5305</v>
          </cell>
          <cell r="B72" t="str">
            <v xml:space="preserve">    Amount due from BDP Shanghai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</row>
        <row r="73">
          <cell r="A73">
            <v>5306</v>
          </cell>
          <cell r="B73" t="str">
            <v xml:space="preserve">    Amount due from Taiwan Branch</v>
          </cell>
          <cell r="F73">
            <v>0</v>
          </cell>
          <cell r="G73">
            <v>0</v>
          </cell>
          <cell r="H73">
            <v>0</v>
          </cell>
          <cell r="I73">
            <v>474</v>
          </cell>
          <cell r="J73">
            <v>0</v>
          </cell>
          <cell r="K73">
            <v>474</v>
          </cell>
          <cell r="M73">
            <v>576.47879999999998</v>
          </cell>
          <cell r="O73">
            <v>0</v>
          </cell>
        </row>
        <row r="74">
          <cell r="A74">
            <v>5307</v>
          </cell>
          <cell r="B74" t="str">
            <v xml:space="preserve">    Amount due from BDP FRD Mal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</row>
        <row r="75">
          <cell r="A75">
            <v>5501</v>
          </cell>
          <cell r="B75" t="str">
            <v xml:space="preserve">    Amount due from related companies</v>
          </cell>
          <cell r="F75">
            <v>28215</v>
          </cell>
          <cell r="G75">
            <v>0</v>
          </cell>
          <cell r="H75">
            <v>0</v>
          </cell>
          <cell r="I75">
            <v>0</v>
          </cell>
          <cell r="J75">
            <v>12090</v>
          </cell>
          <cell r="K75">
            <v>16125</v>
          </cell>
          <cell r="L75" t="str">
            <v>ok</v>
          </cell>
          <cell r="M75">
            <v>19612.224999999999</v>
          </cell>
          <cell r="N75" t="str">
            <v>ok</v>
          </cell>
          <cell r="O75">
            <v>149335</v>
          </cell>
        </row>
        <row r="76">
          <cell r="A76">
            <v>2401</v>
          </cell>
          <cell r="B76" t="str">
            <v xml:space="preserve">    Fixed deposit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M76">
            <v>0</v>
          </cell>
          <cell r="O76">
            <v>0</v>
          </cell>
        </row>
        <row r="77">
          <cell r="A77">
            <v>2400</v>
          </cell>
          <cell r="B77" t="str">
            <v xml:space="preserve">    Cash at bank</v>
          </cell>
          <cell r="F77">
            <v>192732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192732</v>
          </cell>
          <cell r="L77" t="str">
            <v>ok</v>
          </cell>
          <cell r="M77">
            <v>234400.65839999999</v>
          </cell>
          <cell r="N77" t="str">
            <v>ok</v>
          </cell>
          <cell r="O77">
            <v>44392</v>
          </cell>
        </row>
        <row r="78">
          <cell r="K78">
            <v>0</v>
          </cell>
        </row>
        <row r="79">
          <cell r="A79" t="str">
            <v>CA</v>
          </cell>
          <cell r="F79">
            <v>1243178</v>
          </cell>
          <cell r="G79">
            <v>0</v>
          </cell>
          <cell r="H79">
            <v>2105.5500000000002</v>
          </cell>
          <cell r="I79">
            <v>12090</v>
          </cell>
          <cell r="J79">
            <v>12090</v>
          </cell>
          <cell r="K79">
            <v>1241072.45</v>
          </cell>
          <cell r="L79" t="str">
            <v xml:space="preserve"> </v>
          </cell>
          <cell r="M79">
            <v>1509392.31369</v>
          </cell>
          <cell r="O79">
            <v>1435385</v>
          </cell>
        </row>
        <row r="80">
          <cell r="K80">
            <v>0</v>
          </cell>
        </row>
        <row r="81">
          <cell r="A81" t="str">
            <v>TA</v>
          </cell>
          <cell r="B81" t="str">
            <v>TOTAL ASSETS</v>
          </cell>
          <cell r="F81">
            <v>1461556</v>
          </cell>
          <cell r="G81">
            <v>0</v>
          </cell>
          <cell r="H81">
            <v>2105.5500000000002</v>
          </cell>
          <cell r="I81">
            <v>12090</v>
          </cell>
          <cell r="J81">
            <v>12090</v>
          </cell>
          <cell r="K81">
            <v>1459450.45</v>
          </cell>
          <cell r="L81" t="str">
            <v>ok</v>
          </cell>
          <cell r="M81">
            <v>1774983.63729</v>
          </cell>
          <cell r="N81" t="str">
            <v>ok</v>
          </cell>
          <cell r="O81">
            <v>1598752</v>
          </cell>
        </row>
        <row r="82">
          <cell r="K82">
            <v>0</v>
          </cell>
        </row>
        <row r="83">
          <cell r="B83" t="str">
            <v>EQUITY AND LIABILITIES</v>
          </cell>
          <cell r="K83">
            <v>0</v>
          </cell>
        </row>
        <row r="84">
          <cell r="B84" t="str">
            <v>Capital and reserves</v>
          </cell>
          <cell r="K84">
            <v>0</v>
          </cell>
        </row>
        <row r="85">
          <cell r="A85">
            <v>6000</v>
          </cell>
          <cell r="B85" t="str">
            <v xml:space="preserve">    Share capital</v>
          </cell>
          <cell r="F85">
            <v>300000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300000</v>
          </cell>
          <cell r="L85" t="str">
            <v>ok</v>
          </cell>
          <cell r="M85">
            <v>277050</v>
          </cell>
          <cell r="N85" t="str">
            <v>ok</v>
          </cell>
          <cell r="O85">
            <v>300000</v>
          </cell>
        </row>
        <row r="86">
          <cell r="A86">
            <v>6100</v>
          </cell>
          <cell r="B86" t="str">
            <v xml:space="preserve">     Reserves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 t="str">
            <v xml:space="preserve"> </v>
          </cell>
          <cell r="O86">
            <v>0</v>
          </cell>
        </row>
        <row r="87">
          <cell r="A87">
            <v>6101</v>
          </cell>
          <cell r="C87" t="str">
            <v>RETAINED EARNINGS</v>
          </cell>
          <cell r="F87">
            <v>-446531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-446531</v>
          </cell>
          <cell r="L87" t="str">
            <v>ok</v>
          </cell>
          <cell r="M87">
            <v>-459609</v>
          </cell>
          <cell r="N87" t="str">
            <v>ok</v>
          </cell>
          <cell r="O87">
            <v>-306897</v>
          </cell>
        </row>
        <row r="88">
          <cell r="A88">
            <v>6103</v>
          </cell>
          <cell r="C88" t="str">
            <v>PROPOSED DIVIDEND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O88">
            <v>0</v>
          </cell>
        </row>
        <row r="89">
          <cell r="A89">
            <v>6102</v>
          </cell>
          <cell r="C89" t="str">
            <v>PROFIT (LOSS) FOR PERIOD</v>
          </cell>
          <cell r="F89">
            <v>-258421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-258421</v>
          </cell>
          <cell r="L89" t="str">
            <v>ok</v>
          </cell>
          <cell r="M89">
            <v>-328061.56056000001</v>
          </cell>
          <cell r="N89" t="str">
            <v>ok</v>
          </cell>
          <cell r="O89">
            <v>-139634</v>
          </cell>
        </row>
        <row r="90">
          <cell r="A90">
            <v>6200</v>
          </cell>
          <cell r="B90" t="str">
            <v xml:space="preserve">    Retained earnings</v>
          </cell>
          <cell r="F90">
            <v>-704952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-704952</v>
          </cell>
          <cell r="M90">
            <v>-787670.56056000001</v>
          </cell>
          <cell r="O90">
            <v>-446531</v>
          </cell>
        </row>
        <row r="91">
          <cell r="A91">
            <v>6300</v>
          </cell>
          <cell r="B91" t="str">
            <v xml:space="preserve">    Translation reserves</v>
          </cell>
          <cell r="M91">
            <v>18117</v>
          </cell>
          <cell r="N91" t="str">
            <v>ok</v>
          </cell>
          <cell r="O91">
            <v>0</v>
          </cell>
          <cell r="Q91" t="str">
            <v>Check = 994807 *0.2065-202393</v>
          </cell>
        </row>
        <row r="93">
          <cell r="A93" t="str">
            <v>TEQ</v>
          </cell>
          <cell r="F93">
            <v>-404952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-404952</v>
          </cell>
          <cell r="M93">
            <v>-492503.56056000001</v>
          </cell>
          <cell r="O93">
            <v>-146531</v>
          </cell>
        </row>
        <row r="94">
          <cell r="B94" t="str">
            <v>Non-current liabilities</v>
          </cell>
          <cell r="K94">
            <v>0</v>
          </cell>
        </row>
        <row r="95">
          <cell r="A95">
            <v>4301</v>
          </cell>
          <cell r="B95" t="str">
            <v xml:space="preserve">    Hire purchase creditors (after 12 months)</v>
          </cell>
          <cell r="F95">
            <v>22562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22562</v>
          </cell>
          <cell r="L95" t="str">
            <v>ok</v>
          </cell>
          <cell r="M95">
            <v>27439.904399999999</v>
          </cell>
          <cell r="N95" t="str">
            <v>ok</v>
          </cell>
          <cell r="O95">
            <v>11609</v>
          </cell>
        </row>
        <row r="96">
          <cell r="A96">
            <v>4302</v>
          </cell>
          <cell r="B96" t="str">
            <v xml:space="preserve">    Deferred taxation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</row>
        <row r="97">
          <cell r="A97" t="str">
            <v>LTL</v>
          </cell>
          <cell r="F97">
            <v>22562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22562</v>
          </cell>
          <cell r="M97">
            <v>27439.904399999999</v>
          </cell>
          <cell r="O97">
            <v>11609</v>
          </cell>
        </row>
        <row r="98">
          <cell r="B98" t="str">
            <v>Current liabilities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 t="str">
            <v xml:space="preserve"> </v>
          </cell>
        </row>
        <row r="99">
          <cell r="A99">
            <v>3002</v>
          </cell>
          <cell r="B99" t="str">
            <v xml:space="preserve">    Trade creditors </v>
          </cell>
          <cell r="F99">
            <v>369422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369422</v>
          </cell>
          <cell r="L99" t="str">
            <v>ok</v>
          </cell>
          <cell r="M99">
            <v>449291.03639999998</v>
          </cell>
          <cell r="N99" t="str">
            <v>ok</v>
          </cell>
          <cell r="O99">
            <v>187390</v>
          </cell>
        </row>
        <row r="100">
          <cell r="A100">
            <v>3101</v>
          </cell>
          <cell r="B100" t="str">
            <v xml:space="preserve">    Other creditors and accruals</v>
          </cell>
          <cell r="F100">
            <v>304042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304042</v>
          </cell>
          <cell r="L100" t="str">
            <v>ok</v>
          </cell>
          <cell r="M100">
            <v>369775.88039999997</v>
          </cell>
          <cell r="N100" t="str">
            <v>ok</v>
          </cell>
          <cell r="O100">
            <v>539550</v>
          </cell>
        </row>
        <row r="101">
          <cell r="A101">
            <v>5002</v>
          </cell>
          <cell r="B101" t="str">
            <v xml:space="preserve">    Amount due to ultimate holding company</v>
          </cell>
          <cell r="F101">
            <v>29397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29397</v>
          </cell>
          <cell r="L101" t="str">
            <v>ok</v>
          </cell>
          <cell r="M101">
            <v>35752.631399999998</v>
          </cell>
          <cell r="N101" t="str">
            <v>ok</v>
          </cell>
          <cell r="O101">
            <v>49955</v>
          </cell>
        </row>
        <row r="102">
          <cell r="A102">
            <v>5202</v>
          </cell>
          <cell r="B102" t="str">
            <v xml:space="preserve">    Amount due to immediate holding company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</row>
        <row r="103">
          <cell r="A103">
            <v>5308</v>
          </cell>
          <cell r="B103" t="str">
            <v xml:space="preserve">    Amount due to BDP Singapore</v>
          </cell>
          <cell r="F103">
            <v>1003674</v>
          </cell>
          <cell r="G103">
            <v>0</v>
          </cell>
          <cell r="H103">
            <v>90736.01</v>
          </cell>
          <cell r="I103">
            <v>0</v>
          </cell>
          <cell r="J103">
            <v>0</v>
          </cell>
          <cell r="K103">
            <v>1094410.01</v>
          </cell>
          <cell r="L103" t="str">
            <v>ok</v>
          </cell>
          <cell r="M103">
            <v>1331021.454162</v>
          </cell>
          <cell r="N103" t="str">
            <v>ok</v>
          </cell>
          <cell r="O103">
            <v>872330</v>
          </cell>
        </row>
        <row r="104">
          <cell r="A104">
            <v>5309</v>
          </cell>
          <cell r="B104" t="str">
            <v xml:space="preserve">    Amount due to BDP Malaysia</v>
          </cell>
          <cell r="F104">
            <v>0</v>
          </cell>
          <cell r="G104">
            <v>92841.56</v>
          </cell>
          <cell r="H104">
            <v>0</v>
          </cell>
          <cell r="I104">
            <v>0</v>
          </cell>
          <cell r="J104">
            <v>92459</v>
          </cell>
          <cell r="K104">
            <v>-382.56</v>
          </cell>
          <cell r="M104">
            <v>-465.26947200000001</v>
          </cell>
          <cell r="O104">
            <v>0</v>
          </cell>
        </row>
        <row r="105">
          <cell r="A105">
            <v>5310</v>
          </cell>
          <cell r="B105" t="str">
            <v xml:space="preserve">    Amount due to BDP Thai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2132</v>
          </cell>
          <cell r="K105">
            <v>2132</v>
          </cell>
          <cell r="M105">
            <v>2592.9384</v>
          </cell>
          <cell r="O105">
            <v>0</v>
          </cell>
        </row>
        <row r="106">
          <cell r="A106">
            <v>5311</v>
          </cell>
          <cell r="B106" t="str">
            <v xml:space="preserve">    Amount due to BDP Aus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</row>
        <row r="107">
          <cell r="A107">
            <v>5312</v>
          </cell>
          <cell r="B107" t="str">
            <v xml:space="preserve">    Amount due to BDP Shanghai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</row>
        <row r="108">
          <cell r="A108">
            <v>5313</v>
          </cell>
          <cell r="B108" t="str">
            <v xml:space="preserve">    Amount due to Taiwan Branch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619</v>
          </cell>
          <cell r="K108">
            <v>619</v>
          </cell>
          <cell r="M108">
            <v>752.82779999999991</v>
          </cell>
          <cell r="O108">
            <v>0</v>
          </cell>
        </row>
        <row r="109">
          <cell r="A109">
            <v>5314</v>
          </cell>
          <cell r="B109" t="str">
            <v xml:space="preserve">    Amount due to BDP FRD Mal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</row>
        <row r="110">
          <cell r="A110">
            <v>5502</v>
          </cell>
          <cell r="B110" t="str">
            <v xml:space="preserve">    Amount due to related companies</v>
          </cell>
          <cell r="F110">
            <v>129911</v>
          </cell>
          <cell r="G110">
            <v>0</v>
          </cell>
          <cell r="H110">
            <v>0</v>
          </cell>
          <cell r="I110">
            <v>95210</v>
          </cell>
          <cell r="J110">
            <v>0</v>
          </cell>
          <cell r="K110">
            <v>34701</v>
          </cell>
          <cell r="L110" t="str">
            <v>ok</v>
          </cell>
          <cell r="M110">
            <v>42203.356199999995</v>
          </cell>
          <cell r="N110" t="str">
            <v>ok</v>
          </cell>
          <cell r="O110">
            <v>80606</v>
          </cell>
        </row>
        <row r="111">
          <cell r="A111">
            <v>5602</v>
          </cell>
          <cell r="B111" t="str">
            <v xml:space="preserve">    Amount due to directors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</row>
        <row r="112">
          <cell r="A112" t="str">
            <v>4301A</v>
          </cell>
          <cell r="B112" t="str">
            <v xml:space="preserve">    Hire purchase creditors (within 12 months)</v>
          </cell>
          <cell r="F112">
            <v>7500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7500</v>
          </cell>
          <cell r="L112" t="str">
            <v>ok</v>
          </cell>
          <cell r="M112">
            <v>9121.5</v>
          </cell>
          <cell r="N112" t="str">
            <v>ok</v>
          </cell>
          <cell r="O112">
            <v>3843</v>
          </cell>
        </row>
        <row r="113">
          <cell r="A113">
            <v>4400</v>
          </cell>
          <cell r="B113" t="str">
            <v xml:space="preserve">    Bank overdraft (Secured)</v>
          </cell>
          <cell r="F113">
            <v>0</v>
          </cell>
          <cell r="M113">
            <v>0</v>
          </cell>
          <cell r="O113">
            <v>0</v>
          </cell>
        </row>
        <row r="114">
          <cell r="A114">
            <v>4450</v>
          </cell>
          <cell r="B114" t="str">
            <v xml:space="preserve">    Short term loan (Secured)</v>
          </cell>
          <cell r="F114">
            <v>0</v>
          </cell>
          <cell r="M114">
            <v>0</v>
          </cell>
          <cell r="O114">
            <v>0</v>
          </cell>
        </row>
        <row r="115">
          <cell r="A115">
            <v>4460</v>
          </cell>
          <cell r="B115" t="str">
            <v xml:space="preserve">    Proposed dividends</v>
          </cell>
          <cell r="F115">
            <v>0</v>
          </cell>
          <cell r="M115">
            <v>0</v>
          </cell>
          <cell r="O115">
            <v>0</v>
          </cell>
        </row>
        <row r="116">
          <cell r="A116">
            <v>3201</v>
          </cell>
          <cell r="B116" t="str">
            <v xml:space="preserve">    Provision for taxation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O116">
            <v>0</v>
          </cell>
        </row>
        <row r="117">
          <cell r="K117">
            <v>0</v>
          </cell>
        </row>
        <row r="118">
          <cell r="A118" t="str">
            <v>CL</v>
          </cell>
          <cell r="F118">
            <v>1843946</v>
          </cell>
          <cell r="G118">
            <v>92841.56</v>
          </cell>
          <cell r="H118">
            <v>90736.01</v>
          </cell>
          <cell r="I118">
            <v>95210</v>
          </cell>
          <cell r="J118">
            <v>95210</v>
          </cell>
          <cell r="K118">
            <v>1841840.45</v>
          </cell>
          <cell r="M118">
            <v>2240047.3552899994</v>
          </cell>
          <cell r="O118">
            <v>1733674</v>
          </cell>
        </row>
        <row r="120">
          <cell r="B120" t="str">
            <v>TOTAL EQUITY AND LIABILITIES</v>
          </cell>
          <cell r="F120">
            <v>1461556</v>
          </cell>
          <cell r="G120">
            <v>92841.56</v>
          </cell>
          <cell r="H120">
            <v>90736.01</v>
          </cell>
          <cell r="I120">
            <v>95210</v>
          </cell>
          <cell r="J120">
            <v>95210</v>
          </cell>
          <cell r="K120">
            <v>1459450.45</v>
          </cell>
          <cell r="L120" t="str">
            <v>ok</v>
          </cell>
          <cell r="M120">
            <v>1774983.6991299991</v>
          </cell>
          <cell r="N120" t="str">
            <v>ok</v>
          </cell>
          <cell r="O120">
            <v>1598752</v>
          </cell>
        </row>
        <row r="121">
          <cell r="C121" t="str">
            <v>Test check</v>
          </cell>
          <cell r="F121">
            <v>0</v>
          </cell>
          <cell r="H121">
            <v>0</v>
          </cell>
          <cell r="J121">
            <v>0</v>
          </cell>
          <cell r="K121">
            <v>0</v>
          </cell>
          <cell r="O121">
            <v>0</v>
          </cell>
        </row>
        <row r="123">
          <cell r="C123" t="str">
            <v>Client  : BDP ASIA PACIFIC (AUSTRALIA) PTY  LTD</v>
          </cell>
        </row>
        <row r="124">
          <cell r="C124" t="str">
            <v>(Incorporated in the AUSTRALIA</v>
          </cell>
        </row>
        <row r="126">
          <cell r="Q126" t="str">
            <v xml:space="preserve"> </v>
          </cell>
        </row>
        <row r="127">
          <cell r="C127" t="str">
            <v>DETAILED TRADING, PROFIT &amp; LOSS ACCOUNT FOR THE FINANCIAL YEAR ENDED 31 DECEMBER 2005</v>
          </cell>
          <cell r="Q127" t="str">
            <v xml:space="preserve"> </v>
          </cell>
        </row>
        <row r="128">
          <cell r="F128" t="str">
            <v>unaudited</v>
          </cell>
          <cell r="G128" t="str">
            <v>Audit Adjustment (AJE)</v>
          </cell>
          <cell r="I128" t="str">
            <v>Reclassification (RJE)</v>
          </cell>
          <cell r="K128" t="str">
            <v>audited</v>
          </cell>
          <cell r="M128" t="str">
            <v>audited</v>
          </cell>
          <cell r="O128" t="str">
            <v>audited</v>
          </cell>
        </row>
        <row r="129">
          <cell r="D129" t="str">
            <v>WP REF</v>
          </cell>
          <cell r="F129" t="str">
            <v>31.12.2005</v>
          </cell>
          <cell r="G129" t="str">
            <v>DR</v>
          </cell>
          <cell r="H129" t="str">
            <v>CR</v>
          </cell>
          <cell r="I129" t="str">
            <v>DR</v>
          </cell>
          <cell r="J129" t="str">
            <v>CR</v>
          </cell>
          <cell r="K129" t="str">
            <v>31.12.2005</v>
          </cell>
          <cell r="M129" t="str">
            <v>31.12.2005</v>
          </cell>
          <cell r="O129" t="str">
            <v>31.12.2004</v>
          </cell>
        </row>
        <row r="130">
          <cell r="F130" t="str">
            <v>AUD</v>
          </cell>
          <cell r="G130" t="str">
            <v>AUD</v>
          </cell>
          <cell r="H130" t="str">
            <v>AUD</v>
          </cell>
          <cell r="I130" t="str">
            <v>AUD</v>
          </cell>
          <cell r="J130" t="str">
            <v>AUD</v>
          </cell>
          <cell r="K130" t="str">
            <v>AUD</v>
          </cell>
          <cell r="M130" t="str">
            <v>S$</v>
          </cell>
          <cell r="O130" t="str">
            <v>AUD</v>
          </cell>
        </row>
        <row r="131">
          <cell r="A131" t="str">
            <v>Sales</v>
          </cell>
          <cell r="B131" t="str">
            <v>SALES</v>
          </cell>
          <cell r="F131">
            <v>7951669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7951669</v>
          </cell>
          <cell r="L131" t="str">
            <v>ok</v>
          </cell>
          <cell r="M131">
            <v>10094484.762119999</v>
          </cell>
          <cell r="N131" t="str">
            <v>ok</v>
          </cell>
          <cell r="O131">
            <v>6511298</v>
          </cell>
          <cell r="Q131">
            <v>0.18114071398092652</v>
          </cell>
        </row>
        <row r="132">
          <cell r="A132" t="str">
            <v>COS</v>
          </cell>
          <cell r="B132" t="str">
            <v>COST OF SALES</v>
          </cell>
          <cell r="F132">
            <v>-5962065</v>
          </cell>
          <cell r="K132">
            <v>-5962065</v>
          </cell>
          <cell r="L132" t="str">
            <v>ok</v>
          </cell>
          <cell r="M132">
            <v>-7568722.2761999993</v>
          </cell>
          <cell r="N132" t="str">
            <v>ok</v>
          </cell>
          <cell r="O132">
            <v>-5049811</v>
          </cell>
          <cell r="Q132">
            <v>0.15300973739803239</v>
          </cell>
        </row>
        <row r="133">
          <cell r="F133">
            <v>1989604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1989604</v>
          </cell>
          <cell r="M133">
            <v>2525763.4859199999</v>
          </cell>
          <cell r="O133">
            <v>1461487</v>
          </cell>
        </row>
        <row r="134">
          <cell r="A134" t="str">
            <v>GP</v>
          </cell>
          <cell r="B134" t="str">
            <v>GROSS PROFIT</v>
          </cell>
        </row>
        <row r="136">
          <cell r="A136" t="str">
            <v>OI</v>
          </cell>
          <cell r="B136" t="str">
            <v>OTHER INCOME</v>
          </cell>
          <cell r="K136">
            <v>0</v>
          </cell>
          <cell r="Q136" t="str">
            <v xml:space="preserve"> </v>
          </cell>
        </row>
        <row r="137">
          <cell r="A137">
            <v>30001</v>
          </cell>
          <cell r="B137" t="str">
            <v xml:space="preserve">    Dividend income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Q137" t="str">
            <v xml:space="preserve"> </v>
          </cell>
        </row>
        <row r="138">
          <cell r="A138">
            <v>30002</v>
          </cell>
          <cell r="B138" t="str">
            <v xml:space="preserve">    Regional cost allocation</v>
          </cell>
          <cell r="F138">
            <v>0</v>
          </cell>
          <cell r="K138">
            <v>0</v>
          </cell>
          <cell r="M138">
            <v>0</v>
          </cell>
          <cell r="O138">
            <v>0</v>
          </cell>
        </row>
        <row r="139">
          <cell r="A139">
            <v>30003</v>
          </cell>
          <cell r="B139" t="str">
            <v xml:space="preserve">    Other income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Q139" t="str">
            <v xml:space="preserve"> 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Q140" t="str">
            <v xml:space="preserve"> </v>
          </cell>
        </row>
        <row r="142">
          <cell r="A142" t="str">
            <v>SC</v>
          </cell>
          <cell r="B142" t="str">
            <v>STAFF COSTS</v>
          </cell>
          <cell r="Q142" t="str">
            <v xml:space="preserve"> </v>
          </cell>
        </row>
        <row r="143">
          <cell r="A143">
            <v>40001</v>
          </cell>
          <cell r="B143" t="str">
            <v xml:space="preserve">   Directors' remuneration</v>
          </cell>
          <cell r="K143">
            <v>0</v>
          </cell>
          <cell r="M143">
            <v>0</v>
          </cell>
          <cell r="O143">
            <v>0</v>
          </cell>
        </row>
        <row r="144">
          <cell r="A144">
            <v>40002</v>
          </cell>
          <cell r="B144" t="str">
            <v xml:space="preserve">   Payroll taxes and fringes</v>
          </cell>
          <cell r="F144">
            <v>79506</v>
          </cell>
          <cell r="K144">
            <v>79506</v>
          </cell>
          <cell r="L144" t="str">
            <v>ok</v>
          </cell>
          <cell r="M144">
            <v>100931.27687999999</v>
          </cell>
          <cell r="N144" t="str">
            <v>ok</v>
          </cell>
          <cell r="O144">
            <v>68148</v>
          </cell>
        </row>
        <row r="145">
          <cell r="A145">
            <v>40003</v>
          </cell>
          <cell r="B145" t="str">
            <v xml:space="preserve">   Salaries and wages</v>
          </cell>
          <cell r="F145">
            <v>1447480</v>
          </cell>
          <cell r="K145">
            <v>1447480</v>
          </cell>
          <cell r="L145" t="str">
            <v>ok</v>
          </cell>
          <cell r="M145">
            <v>1837546.9103999999</v>
          </cell>
          <cell r="N145" t="str">
            <v>ok</v>
          </cell>
          <cell r="O145">
            <v>1106961</v>
          </cell>
        </row>
        <row r="146">
          <cell r="A146" t="str">
            <v xml:space="preserve"> </v>
          </cell>
          <cell r="F146">
            <v>-1526986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-1526986</v>
          </cell>
          <cell r="M146">
            <v>-1938478.18728</v>
          </cell>
          <cell r="O146">
            <v>-1175109</v>
          </cell>
        </row>
        <row r="147">
          <cell r="A147" t="str">
            <v xml:space="preserve"> </v>
          </cell>
        </row>
        <row r="148">
          <cell r="A148" t="str">
            <v>RE</v>
          </cell>
          <cell r="B148" t="str">
            <v>RENTAL EXPENSES</v>
          </cell>
        </row>
        <row r="149">
          <cell r="A149">
            <v>40004</v>
          </cell>
          <cell r="B149" t="str">
            <v xml:space="preserve">     Electricity</v>
          </cell>
          <cell r="F149">
            <v>18474</v>
          </cell>
          <cell r="K149">
            <v>18474</v>
          </cell>
          <cell r="L149" t="str">
            <v>ok</v>
          </cell>
          <cell r="M149">
            <v>23452.373519999997</v>
          </cell>
          <cell r="N149" t="str">
            <v>ok</v>
          </cell>
          <cell r="O149">
            <v>11268</v>
          </cell>
        </row>
        <row r="150">
          <cell r="A150">
            <v>40005</v>
          </cell>
          <cell r="B150" t="str">
            <v xml:space="preserve">     Janitorial </v>
          </cell>
          <cell r="F150">
            <v>18702</v>
          </cell>
          <cell r="K150">
            <v>18702</v>
          </cell>
          <cell r="L150" t="str">
            <v>ok</v>
          </cell>
          <cell r="M150">
            <v>23741.81496</v>
          </cell>
          <cell r="N150" t="str">
            <v>ok</v>
          </cell>
          <cell r="O150">
            <v>0</v>
          </cell>
        </row>
        <row r="151">
          <cell r="A151">
            <v>40006</v>
          </cell>
          <cell r="B151" t="str">
            <v xml:space="preserve">     Office facilities</v>
          </cell>
          <cell r="F151">
            <v>0</v>
          </cell>
          <cell r="K151">
            <v>0</v>
          </cell>
          <cell r="M151">
            <v>0</v>
          </cell>
          <cell r="O151">
            <v>0</v>
          </cell>
        </row>
        <row r="152">
          <cell r="A152">
            <v>40007</v>
          </cell>
          <cell r="B152" t="str">
            <v xml:space="preserve">     Office lease payment</v>
          </cell>
          <cell r="F152">
            <v>93850</v>
          </cell>
          <cell r="K152">
            <v>93850</v>
          </cell>
          <cell r="L152" t="str">
            <v>ok</v>
          </cell>
          <cell r="M152">
            <v>119140.69799999999</v>
          </cell>
          <cell r="N152" t="str">
            <v>ok</v>
          </cell>
          <cell r="O152">
            <v>78315</v>
          </cell>
        </row>
        <row r="153">
          <cell r="A153">
            <v>40008</v>
          </cell>
          <cell r="B153" t="str">
            <v xml:space="preserve">     Other occupancy costs</v>
          </cell>
          <cell r="F153">
            <v>27741</v>
          </cell>
          <cell r="K153">
            <v>27741</v>
          </cell>
          <cell r="L153" t="str">
            <v>ok</v>
          </cell>
          <cell r="M153">
            <v>35216.644679999998</v>
          </cell>
          <cell r="N153" t="str">
            <v>ok</v>
          </cell>
          <cell r="O153">
            <v>14054</v>
          </cell>
        </row>
        <row r="154">
          <cell r="F154">
            <v>-158767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-158767</v>
          </cell>
          <cell r="M154">
            <v>-201551.53115999998</v>
          </cell>
          <cell r="O154">
            <v>-103637</v>
          </cell>
        </row>
        <row r="155">
          <cell r="A155" t="str">
            <v>DEP</v>
          </cell>
          <cell r="B155" t="str">
            <v>DEPRECIATION AND AMORTISATION</v>
          </cell>
        </row>
        <row r="156">
          <cell r="A156">
            <v>40009</v>
          </cell>
          <cell r="B156" t="str">
            <v xml:space="preserve">     Amortisation</v>
          </cell>
          <cell r="K156">
            <v>0</v>
          </cell>
          <cell r="O156">
            <v>0</v>
          </cell>
        </row>
        <row r="157">
          <cell r="A157">
            <v>40030</v>
          </cell>
          <cell r="B157" t="str">
            <v xml:space="preserve">     Depreciation</v>
          </cell>
          <cell r="F157">
            <v>54737</v>
          </cell>
          <cell r="K157">
            <v>54737</v>
          </cell>
          <cell r="L157" t="str">
            <v>ok</v>
          </cell>
          <cell r="M157">
            <v>69486.526759999993</v>
          </cell>
          <cell r="N157" t="str">
            <v>ok</v>
          </cell>
          <cell r="O157">
            <v>54359</v>
          </cell>
        </row>
        <row r="158">
          <cell r="F158">
            <v>-54737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-54737</v>
          </cell>
          <cell r="L158" t="str">
            <v xml:space="preserve"> </v>
          </cell>
          <cell r="M158">
            <v>-69486.526759999993</v>
          </cell>
          <cell r="O158">
            <v>-54359</v>
          </cell>
        </row>
        <row r="160">
          <cell r="A160" t="str">
            <v>OOE</v>
          </cell>
          <cell r="B160" t="str">
            <v>OTHER OPERATING EXPENSES</v>
          </cell>
        </row>
        <row r="161">
          <cell r="A161">
            <v>40010</v>
          </cell>
          <cell r="B161" t="str">
            <v xml:space="preserve">    Auditors' remuneration</v>
          </cell>
          <cell r="F161">
            <v>10990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10990</v>
          </cell>
          <cell r="L161" t="str">
            <v>ok</v>
          </cell>
          <cell r="M161">
            <v>13951.5852</v>
          </cell>
          <cell r="N161" t="str">
            <v>ok</v>
          </cell>
          <cell r="O161">
            <v>11000</v>
          </cell>
          <cell r="Q161">
            <v>-9.099181073703367E-4</v>
          </cell>
        </row>
        <row r="162">
          <cell r="A162">
            <v>40031</v>
          </cell>
          <cell r="B162" t="str">
            <v xml:space="preserve">    Allocated administration expenses</v>
          </cell>
          <cell r="F162">
            <v>132055</v>
          </cell>
          <cell r="K162">
            <v>132055</v>
          </cell>
          <cell r="L162" t="str">
            <v>ok</v>
          </cell>
          <cell r="M162">
            <v>167641.1814</v>
          </cell>
          <cell r="N162" t="str">
            <v>ok</v>
          </cell>
          <cell r="O162">
            <v>103372</v>
          </cell>
        </row>
        <row r="163">
          <cell r="A163">
            <v>40011</v>
          </cell>
          <cell r="B163" t="str">
            <v xml:space="preserve">    Bad debts written off (trade)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O163">
            <v>967</v>
          </cell>
          <cell r="Q163" t="e">
            <v>#DIV/0!</v>
          </cell>
        </row>
        <row r="164">
          <cell r="A164">
            <v>40012</v>
          </cell>
          <cell r="B164" t="str">
            <v xml:space="preserve">    Bad debts written off (non-trade)</v>
          </cell>
          <cell r="F164">
            <v>0</v>
          </cell>
          <cell r="K164">
            <v>0</v>
          </cell>
          <cell r="M164">
            <v>0</v>
          </cell>
          <cell r="O164">
            <v>0</v>
          </cell>
        </row>
        <row r="165">
          <cell r="A165">
            <v>40013</v>
          </cell>
          <cell r="B165" t="str">
            <v xml:space="preserve">    Bank charges</v>
          </cell>
          <cell r="F165">
            <v>7818</v>
          </cell>
          <cell r="K165">
            <v>7818</v>
          </cell>
          <cell r="L165" t="str">
            <v>ok</v>
          </cell>
          <cell r="M165">
            <v>9924.7946400000001</v>
          </cell>
          <cell r="N165" t="str">
            <v>ok</v>
          </cell>
          <cell r="O165">
            <v>9851</v>
          </cell>
        </row>
        <row r="166">
          <cell r="A166">
            <v>40014</v>
          </cell>
          <cell r="B166" t="str">
            <v xml:space="preserve">    Communication expenses</v>
          </cell>
          <cell r="F166">
            <v>80823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80823</v>
          </cell>
          <cell r="L166" t="str">
            <v>ok</v>
          </cell>
          <cell r="M166">
            <v>102603.18204</v>
          </cell>
          <cell r="N166" t="str">
            <v>ok</v>
          </cell>
          <cell r="O166">
            <v>54325</v>
          </cell>
          <cell r="Q166">
            <v>0.3278522202838301</v>
          </cell>
        </row>
        <row r="167">
          <cell r="A167">
            <v>40015</v>
          </cell>
          <cell r="B167" t="str">
            <v xml:space="preserve">    Commission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M167">
            <v>0</v>
          </cell>
          <cell r="O167">
            <v>0</v>
          </cell>
          <cell r="Q167" t="str">
            <v xml:space="preserve"> </v>
          </cell>
        </row>
        <row r="168">
          <cell r="A168">
            <v>40016</v>
          </cell>
          <cell r="B168" t="str">
            <v xml:space="preserve">    Customs compound and customer claims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O168">
            <v>0</v>
          </cell>
          <cell r="Q168" t="str">
            <v xml:space="preserve"> </v>
          </cell>
        </row>
        <row r="169">
          <cell r="A169">
            <v>40017</v>
          </cell>
          <cell r="B169" t="str">
            <v xml:space="preserve">     Entertainment</v>
          </cell>
          <cell r="F169">
            <v>12173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12173</v>
          </cell>
          <cell r="L169" t="str">
            <v>ok</v>
          </cell>
          <cell r="M169">
            <v>15454.38004</v>
          </cell>
          <cell r="N169" t="str">
            <v>ok</v>
          </cell>
          <cell r="O169">
            <v>36414</v>
          </cell>
          <cell r="Q169">
            <v>-1.9913743530764807</v>
          </cell>
        </row>
        <row r="170">
          <cell r="A170">
            <v>40018</v>
          </cell>
          <cell r="B170" t="str">
            <v xml:space="preserve">     Exchange difference</v>
          </cell>
          <cell r="F170">
            <v>28319</v>
          </cell>
          <cell r="K170">
            <v>28319</v>
          </cell>
          <cell r="L170" t="str">
            <v>ok</v>
          </cell>
          <cell r="M170">
            <v>35950.404119999999</v>
          </cell>
          <cell r="N170" t="str">
            <v>ok</v>
          </cell>
          <cell r="O170">
            <v>0</v>
          </cell>
        </row>
        <row r="171">
          <cell r="A171">
            <v>40019</v>
          </cell>
          <cell r="B171" t="str">
            <v xml:space="preserve">     Insurance</v>
          </cell>
          <cell r="F171">
            <v>14350</v>
          </cell>
          <cell r="K171">
            <v>14350</v>
          </cell>
          <cell r="L171" t="str">
            <v>ok</v>
          </cell>
          <cell r="M171">
            <v>18217.038</v>
          </cell>
          <cell r="N171" t="str">
            <v>ok</v>
          </cell>
          <cell r="O171">
            <v>13370</v>
          </cell>
        </row>
        <row r="172">
          <cell r="A172">
            <v>40020</v>
          </cell>
          <cell r="B172" t="str">
            <v xml:space="preserve">     Legal and professional fees</v>
          </cell>
          <cell r="F172">
            <v>27147</v>
          </cell>
          <cell r="K172">
            <v>27147</v>
          </cell>
          <cell r="L172" t="str">
            <v>ok</v>
          </cell>
          <cell r="M172">
            <v>34462.573559999997</v>
          </cell>
          <cell r="N172" t="str">
            <v>ok</v>
          </cell>
          <cell r="O172">
            <v>51936</v>
          </cell>
        </row>
        <row r="173">
          <cell r="A173">
            <v>40021</v>
          </cell>
          <cell r="B173" t="str">
            <v xml:space="preserve">     Plant and equipment written off</v>
          </cell>
          <cell r="F173">
            <v>0</v>
          </cell>
          <cell r="K173">
            <v>0</v>
          </cell>
          <cell r="M173">
            <v>0</v>
          </cell>
          <cell r="O173">
            <v>0</v>
          </cell>
        </row>
        <row r="174">
          <cell r="A174">
            <v>40022</v>
          </cell>
          <cell r="B174" t="str">
            <v xml:space="preserve">     Maintenance expenses</v>
          </cell>
          <cell r="F174">
            <v>0</v>
          </cell>
          <cell r="K174">
            <v>0</v>
          </cell>
          <cell r="M174">
            <v>0</v>
          </cell>
          <cell r="O174">
            <v>0</v>
          </cell>
        </row>
        <row r="175">
          <cell r="A175">
            <v>40023</v>
          </cell>
          <cell r="B175" t="str">
            <v xml:space="preserve">     Management fees</v>
          </cell>
          <cell r="F175">
            <v>0</v>
          </cell>
          <cell r="K175">
            <v>0</v>
          </cell>
          <cell r="M175">
            <v>0</v>
          </cell>
          <cell r="O175">
            <v>0</v>
          </cell>
        </row>
        <row r="176">
          <cell r="A176">
            <v>40024</v>
          </cell>
          <cell r="B176" t="str">
            <v xml:space="preserve">     Operating supplies</v>
          </cell>
          <cell r="F176">
            <v>38600</v>
          </cell>
          <cell r="K176">
            <v>38600</v>
          </cell>
          <cell r="L176" t="str">
            <v>ok</v>
          </cell>
          <cell r="M176">
            <v>49001.928</v>
          </cell>
          <cell r="N176" t="str">
            <v>ok</v>
          </cell>
          <cell r="O176">
            <v>29451</v>
          </cell>
        </row>
        <row r="177">
          <cell r="A177">
            <v>40025</v>
          </cell>
          <cell r="B177" t="str">
            <v xml:space="preserve">     Other expenses</v>
          </cell>
          <cell r="F177">
            <v>36732</v>
          </cell>
          <cell r="K177">
            <v>36732</v>
          </cell>
          <cell r="L177" t="str">
            <v>ok</v>
          </cell>
          <cell r="M177">
            <v>46630.539359999995</v>
          </cell>
          <cell r="N177" t="str">
            <v>ok</v>
          </cell>
          <cell r="O177">
            <v>31372</v>
          </cell>
        </row>
        <row r="178">
          <cell r="A178">
            <v>40026</v>
          </cell>
          <cell r="B178" t="str">
            <v xml:space="preserve">     Outside services </v>
          </cell>
          <cell r="F178">
            <v>44484</v>
          </cell>
          <cell r="K178">
            <v>44484</v>
          </cell>
          <cell r="L178" t="str">
            <v>ok</v>
          </cell>
          <cell r="M178">
            <v>56471.548319999994</v>
          </cell>
          <cell r="N178" t="str">
            <v>ok</v>
          </cell>
          <cell r="O178">
            <v>0</v>
          </cell>
        </row>
        <row r="179">
          <cell r="A179">
            <v>40027</v>
          </cell>
          <cell r="B179" t="str">
            <v xml:space="preserve">     Provision for doubtful debts</v>
          </cell>
          <cell r="F179">
            <v>11000</v>
          </cell>
          <cell r="K179">
            <v>11000</v>
          </cell>
          <cell r="L179" t="str">
            <v>ok</v>
          </cell>
          <cell r="M179">
            <v>13964.279999999999</v>
          </cell>
          <cell r="N179" t="str">
            <v>ok</v>
          </cell>
          <cell r="O179">
            <v>22080</v>
          </cell>
        </row>
        <row r="180">
          <cell r="A180">
            <v>40028</v>
          </cell>
          <cell r="B180" t="str">
            <v xml:space="preserve">     Dividend paid</v>
          </cell>
          <cell r="K180">
            <v>0</v>
          </cell>
          <cell r="M180">
            <v>0</v>
          </cell>
          <cell r="O180">
            <v>22080</v>
          </cell>
        </row>
        <row r="181">
          <cell r="A181">
            <v>40029</v>
          </cell>
          <cell r="B181" t="str">
            <v xml:space="preserve">     Travel and transportation</v>
          </cell>
          <cell r="F181">
            <v>70536</v>
          </cell>
          <cell r="K181">
            <v>70536</v>
          </cell>
          <cell r="L181" t="str">
            <v>ok</v>
          </cell>
          <cell r="M181">
            <v>89544.04127999999</v>
          </cell>
          <cell r="N181" t="str">
            <v>ok</v>
          </cell>
          <cell r="O181">
            <v>0</v>
          </cell>
        </row>
        <row r="182">
          <cell r="F182">
            <v>-515027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-515027</v>
          </cell>
          <cell r="L182" t="str">
            <v>ok</v>
          </cell>
          <cell r="M182">
            <v>-653818.47595999995</v>
          </cell>
          <cell r="N182" t="str">
            <v>ok</v>
          </cell>
          <cell r="O182">
            <v>-386218</v>
          </cell>
        </row>
        <row r="184">
          <cell r="A184" t="str">
            <v>FI</v>
          </cell>
          <cell r="B184" t="str">
            <v>FINANCE INCOME</v>
          </cell>
          <cell r="K184">
            <v>0</v>
          </cell>
          <cell r="Q184" t="str">
            <v xml:space="preserve"> </v>
          </cell>
        </row>
        <row r="185">
          <cell r="A185">
            <v>50001</v>
          </cell>
          <cell r="B185" t="str">
            <v xml:space="preserve">    Interest income</v>
          </cell>
          <cell r="F185">
            <v>7491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7491</v>
          </cell>
          <cell r="L185" t="str">
            <v>ok</v>
          </cell>
          <cell r="M185">
            <v>9509.6746800000001</v>
          </cell>
          <cell r="N185" t="str">
            <v>ok</v>
          </cell>
          <cell r="O185">
            <v>6109</v>
          </cell>
          <cell r="Q185">
            <v>0.18448805232946203</v>
          </cell>
        </row>
        <row r="186">
          <cell r="A186">
            <v>50002</v>
          </cell>
          <cell r="B186" t="str">
            <v xml:space="preserve">    Foreign exchange gain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 t="str">
            <v>ok</v>
          </cell>
          <cell r="M186">
            <v>0</v>
          </cell>
          <cell r="N186" t="str">
            <v>ok</v>
          </cell>
          <cell r="O186">
            <v>79886</v>
          </cell>
        </row>
        <row r="187">
          <cell r="A187">
            <v>50003</v>
          </cell>
          <cell r="B187" t="str">
            <v xml:space="preserve">   Profit on disposal of assets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O187">
            <v>10127</v>
          </cell>
          <cell r="Q187" t="e">
            <v>#DIV/0!</v>
          </cell>
        </row>
        <row r="188">
          <cell r="F188">
            <v>7491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7491</v>
          </cell>
          <cell r="L188" t="str">
            <v>ok</v>
          </cell>
          <cell r="M188">
            <v>9509.6746800000001</v>
          </cell>
          <cell r="N188" t="str">
            <v>ok</v>
          </cell>
          <cell r="O188">
            <v>96122</v>
          </cell>
          <cell r="Q188">
            <v>-11.831664664263783</v>
          </cell>
        </row>
        <row r="189">
          <cell r="A189" t="str">
            <v>fincost</v>
          </cell>
          <cell r="B189" t="str">
            <v>FINANCE COSTS</v>
          </cell>
          <cell r="F189" t="str">
            <v xml:space="preserve"> </v>
          </cell>
          <cell r="J189" t="str">
            <v xml:space="preserve"> </v>
          </cell>
          <cell r="K189" t="str">
            <v xml:space="preserve"> </v>
          </cell>
          <cell r="Q189" t="str">
            <v xml:space="preserve"> </v>
          </cell>
        </row>
        <row r="190">
          <cell r="A190">
            <v>60001</v>
          </cell>
          <cell r="B190" t="str">
            <v xml:space="preserve">     Bank overdraft and interest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O190">
            <v>0</v>
          </cell>
          <cell r="Q190" t="str">
            <v xml:space="preserve"> </v>
          </cell>
        </row>
        <row r="191">
          <cell r="A191">
            <v>60002</v>
          </cell>
          <cell r="B191" t="str">
            <v xml:space="preserve">     Short term loan interest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M191">
            <v>0</v>
          </cell>
          <cell r="O191">
            <v>0</v>
          </cell>
          <cell r="Q191" t="str">
            <v xml:space="preserve"> </v>
          </cell>
        </row>
        <row r="192">
          <cell r="A192">
            <v>60003</v>
          </cell>
          <cell r="B192" t="str">
            <v xml:space="preserve">     Interest on hire purchase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O192">
            <v>0</v>
          </cell>
          <cell r="Q192" t="str">
            <v xml:space="preserve"> </v>
          </cell>
        </row>
        <row r="193"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O193">
            <v>0</v>
          </cell>
          <cell r="Q193" t="str">
            <v xml:space="preserve"> </v>
          </cell>
        </row>
        <row r="194">
          <cell r="B194" t="str">
            <v>(LOSS)/ PROFIT for the year before taxation</v>
          </cell>
          <cell r="F194">
            <v>-258422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-258422</v>
          </cell>
          <cell r="L194" t="str">
            <v>ok</v>
          </cell>
          <cell r="M194">
            <v>-328061.56056000001</v>
          </cell>
          <cell r="N194" t="str">
            <v>ok</v>
          </cell>
          <cell r="O194">
            <v>-161714</v>
          </cell>
          <cell r="Q194">
            <v>0.3742251046737507</v>
          </cell>
        </row>
        <row r="195">
          <cell r="A195">
            <v>70001</v>
          </cell>
          <cell r="B195" t="str">
            <v xml:space="preserve">   Taxation- current year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O195">
            <v>0</v>
          </cell>
          <cell r="Q195" t="str">
            <v xml:space="preserve"> </v>
          </cell>
        </row>
        <row r="196">
          <cell r="A196">
            <v>70002</v>
          </cell>
          <cell r="B196" t="str">
            <v xml:space="preserve">   Taxation-over/under PY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M196">
            <v>0</v>
          </cell>
          <cell r="Q196" t="str">
            <v xml:space="preserve"> </v>
          </cell>
        </row>
        <row r="197">
          <cell r="A197">
            <v>70003</v>
          </cell>
          <cell r="B197" t="str">
            <v xml:space="preserve">   Taxation-Def tax transfer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Q197" t="str">
            <v xml:space="preserve"> </v>
          </cell>
        </row>
        <row r="198">
          <cell r="A198">
            <v>70000</v>
          </cell>
          <cell r="B198" t="str">
            <v>Taxation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 t="str">
            <v xml:space="preserve"> </v>
          </cell>
          <cell r="O198">
            <v>0</v>
          </cell>
          <cell r="Q198" t="str">
            <v xml:space="preserve"> </v>
          </cell>
        </row>
        <row r="199">
          <cell r="B199" t="str">
            <v>PROFIT for the year after taxation</v>
          </cell>
          <cell r="F199">
            <v>-258422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-258422</v>
          </cell>
          <cell r="L199" t="str">
            <v>ok</v>
          </cell>
          <cell r="M199">
            <v>-328061.56056000001</v>
          </cell>
          <cell r="N199" t="str">
            <v>ok</v>
          </cell>
          <cell r="O199">
            <v>-161714</v>
          </cell>
          <cell r="Q199">
            <v>0.3742251046737507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DP-Consol"/>
      <sheetName val="CF-Group"/>
      <sheetName val="Group Fixed Assets"/>
      <sheetName val="Consol adj"/>
      <sheetName val="InterC0"/>
      <sheetName val="BDP-ms'ia"/>
      <sheetName val="BDP-Thailand"/>
      <sheetName val="BDP-ShanghaiROC"/>
      <sheetName val="BDP-Australia"/>
      <sheetName val="BDP-India"/>
      <sheetName val="BDP-S'pore"/>
      <sheetName val="Spore detailed PL"/>
      <sheetName val="Worksheet"/>
      <sheetName val="Gp Structure"/>
      <sheetName val="Inter transac"/>
      <sheetName val="Schs- Notes to accs"/>
      <sheetName val="Taxation "/>
      <sheetName val="Invest in JV"/>
      <sheetName val="Content"/>
      <sheetName val="Translation diff - 2001 to 2003"/>
      <sheetName val="Ex rate - Ave"/>
    </sheetNames>
    <sheetDataSet>
      <sheetData sheetId="0" refreshError="1">
        <row r="21">
          <cell r="F21" t="str">
            <v>RM</v>
          </cell>
          <cell r="N21">
            <v>0.44040000000000001</v>
          </cell>
          <cell r="P21">
            <v>0.43979000000000001</v>
          </cell>
        </row>
        <row r="23">
          <cell r="N23">
            <v>4.0680000000000001E-2</v>
          </cell>
          <cell r="P23">
            <v>4.1419999999999998E-2</v>
          </cell>
        </row>
        <row r="25">
          <cell r="F25" t="str">
            <v>RMB</v>
          </cell>
          <cell r="N25">
            <v>0.20649999999999999</v>
          </cell>
          <cell r="P25">
            <v>0.20344999999999999</v>
          </cell>
        </row>
        <row r="27">
          <cell r="F27" t="str">
            <v>A$</v>
          </cell>
          <cell r="N27">
            <v>1.2161999999999999</v>
          </cell>
          <cell r="P27">
            <v>1.2694799999999999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t"/>
      <sheetName val="Hit1"/>
      <sheetName val="Hit2"/>
      <sheetName val="Jurnal"/>
      <sheetName val="212100012"/>
      <sheetName val="Yudha5"/>
      <sheetName val="Wahakarya5"/>
      <sheetName val="Jala Emas5"/>
      <sheetName val="CML"/>
      <sheetName val="thr"/>
      <sheetName val="21"/>
      <sheetName val="23"/>
      <sheetName val="Astek"/>
      <sheetName val="Medan"/>
      <sheetName val="Yudha"/>
      <sheetName val="Jala"/>
      <sheetName val="Silkargo"/>
      <sheetName val="WBK"/>
      <sheetName val="Forek oCT"/>
      <sheetName val="9"/>
      <sheetName val="8"/>
      <sheetName val="7"/>
      <sheetName val="6"/>
      <sheetName val="5"/>
      <sheetName val="4"/>
      <sheetName val="3"/>
      <sheetName val="2"/>
      <sheetName val="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"/>
      <sheetName val="INTRA"/>
      <sheetName val="Konfirmasi"/>
      <sheetName val="B1"/>
      <sheetName val="B2"/>
      <sheetName val="407"/>
      <sheetName val="intranet"/>
      <sheetName val="KURS"/>
      <sheetName val="PPh 29"/>
      <sheetName val="penjualan"/>
      <sheetName val="kon fp bl"/>
      <sheetName val="ekspor (B.1.1)"/>
      <sheetName val="dpp &amp; pk (b.1.3)"/>
      <sheetName val="kkp b1"/>
      <sheetName val="KP. RIK. PS. 1.18 F"/>
      <sheetName val="KP. RIK. PS.1.18 G"/>
      <sheetName val="KP. RIK. PS.1.18 H"/>
      <sheetName val="KP.RIK.PS 1.18I"/>
      <sheetName val="LAPORAN"/>
      <sheetName val="TB98,oct99&amp;sap99-WPL"/>
      <sheetName val="PL98"/>
      <sheetName val="Marshal"/>
      <sheetName val="WBS _2_salah"/>
      <sheetName val="TB-WP"/>
      <sheetName val="lamphp"/>
      <sheetName val="KOMP"/>
      <sheetName val="COVER"/>
    </sheetNames>
    <sheetDataSet>
      <sheetData sheetId="0"/>
      <sheetData sheetId="1"/>
      <sheetData sheetId="2"/>
      <sheetData sheetId="3"/>
      <sheetData sheetId="4" refreshError="1">
        <row r="7">
          <cell r="A7">
            <v>7653</v>
          </cell>
          <cell r="B7">
            <v>10016616426</v>
          </cell>
          <cell r="C7" t="str">
            <v>TJIPTA NIAGA</v>
          </cell>
          <cell r="D7" t="str">
            <v>CEZTL</v>
          </cell>
          <cell r="E7" t="str">
            <v>426</v>
          </cell>
          <cell r="F7">
            <v>7653</v>
          </cell>
          <cell r="G7">
            <v>36703</v>
          </cell>
          <cell r="H7">
            <v>21553431</v>
          </cell>
          <cell r="I7">
            <v>21553431</v>
          </cell>
        </row>
        <row r="8">
          <cell r="A8">
            <v>3929</v>
          </cell>
          <cell r="B8">
            <v>13358080402</v>
          </cell>
          <cell r="C8" t="str">
            <v xml:space="preserve">PT. ALFA RETAILINDO </v>
          </cell>
          <cell r="D8" t="str">
            <v>CYABG</v>
          </cell>
          <cell r="E8" t="str">
            <v>402</v>
          </cell>
          <cell r="F8">
            <v>3929</v>
          </cell>
          <cell r="G8">
            <v>36682</v>
          </cell>
          <cell r="H8">
            <v>1165909</v>
          </cell>
          <cell r="I8">
            <v>1165909</v>
          </cell>
        </row>
        <row r="9">
          <cell r="A9">
            <v>4046</v>
          </cell>
          <cell r="B9">
            <v>13358080402</v>
          </cell>
          <cell r="C9" t="str">
            <v xml:space="preserve">PT. ALFA RETAILINDO </v>
          </cell>
          <cell r="D9" t="str">
            <v>CYABG</v>
          </cell>
          <cell r="E9" t="str">
            <v>402</v>
          </cell>
          <cell r="F9">
            <v>4046</v>
          </cell>
          <cell r="G9">
            <v>36691</v>
          </cell>
          <cell r="H9">
            <v>1727273</v>
          </cell>
          <cell r="I9">
            <v>1727273</v>
          </cell>
        </row>
        <row r="10">
          <cell r="A10">
            <v>4103</v>
          </cell>
          <cell r="B10">
            <v>13358080402</v>
          </cell>
          <cell r="C10" t="str">
            <v xml:space="preserve">PT. ALFA RETAILINDO </v>
          </cell>
          <cell r="D10" t="str">
            <v>CYABG</v>
          </cell>
          <cell r="E10" t="str">
            <v>402</v>
          </cell>
          <cell r="F10">
            <v>4103</v>
          </cell>
          <cell r="G10">
            <v>36704</v>
          </cell>
          <cell r="H10">
            <v>7977273</v>
          </cell>
          <cell r="I10">
            <v>7977273</v>
          </cell>
        </row>
        <row r="11">
          <cell r="A11">
            <v>4187</v>
          </cell>
          <cell r="B11">
            <v>13358080402</v>
          </cell>
          <cell r="C11" t="str">
            <v xml:space="preserve">PT. ALFA RETAILINDO </v>
          </cell>
          <cell r="D11" t="str">
            <v>CYABG</v>
          </cell>
          <cell r="E11" t="str">
            <v>402</v>
          </cell>
          <cell r="F11">
            <v>4187</v>
          </cell>
          <cell r="G11">
            <v>36706</v>
          </cell>
          <cell r="H11">
            <v>13538182</v>
          </cell>
          <cell r="I11">
            <v>13538182</v>
          </cell>
        </row>
        <row r="12">
          <cell r="A12">
            <v>3603</v>
          </cell>
          <cell r="B12">
            <v>13460001042</v>
          </cell>
          <cell r="C12" t="str">
            <v>PT. BETA SETIA MEGA</v>
          </cell>
          <cell r="D12" t="str">
            <v>CYPDG</v>
          </cell>
          <cell r="E12" t="str">
            <v>042</v>
          </cell>
          <cell r="F12">
            <v>3603</v>
          </cell>
          <cell r="G12">
            <v>36685</v>
          </cell>
          <cell r="H12">
            <v>11175854</v>
          </cell>
          <cell r="I12">
            <v>11175854</v>
          </cell>
        </row>
        <row r="13">
          <cell r="A13">
            <v>3629</v>
          </cell>
          <cell r="B13">
            <v>13460001042</v>
          </cell>
          <cell r="C13" t="str">
            <v>PT. BETA SETIA MEGA</v>
          </cell>
          <cell r="D13" t="str">
            <v>CYPDG</v>
          </cell>
          <cell r="E13" t="str">
            <v>042</v>
          </cell>
          <cell r="F13">
            <v>3629</v>
          </cell>
          <cell r="G13">
            <v>36691</v>
          </cell>
          <cell r="H13">
            <v>2394826</v>
          </cell>
          <cell r="I13">
            <v>2394826</v>
          </cell>
        </row>
        <row r="14">
          <cell r="A14">
            <v>3634</v>
          </cell>
          <cell r="B14">
            <v>13460001042</v>
          </cell>
          <cell r="C14" t="str">
            <v>PT. BETA SETIA MEGA</v>
          </cell>
          <cell r="D14" t="str">
            <v>CYPDG</v>
          </cell>
          <cell r="E14" t="str">
            <v>042</v>
          </cell>
          <cell r="F14">
            <v>3634</v>
          </cell>
          <cell r="G14">
            <v>36693</v>
          </cell>
          <cell r="H14">
            <v>7982753</v>
          </cell>
          <cell r="I14">
            <v>7982753</v>
          </cell>
        </row>
        <row r="15">
          <cell r="A15">
            <v>3659</v>
          </cell>
          <cell r="B15">
            <v>13460001042</v>
          </cell>
          <cell r="C15" t="str">
            <v>PT. BETA SETIA MEGA</v>
          </cell>
          <cell r="D15" t="str">
            <v>CYPDG</v>
          </cell>
          <cell r="E15" t="str">
            <v>042</v>
          </cell>
          <cell r="F15">
            <v>3659</v>
          </cell>
          <cell r="G15">
            <v>36697</v>
          </cell>
          <cell r="H15">
            <v>4789652</v>
          </cell>
          <cell r="I15">
            <v>4789652</v>
          </cell>
        </row>
        <row r="16">
          <cell r="A16">
            <v>3660</v>
          </cell>
          <cell r="B16">
            <v>13460001042</v>
          </cell>
          <cell r="C16" t="str">
            <v>PT. BETA SETIA MEGA</v>
          </cell>
          <cell r="D16" t="str">
            <v>CYPDG</v>
          </cell>
          <cell r="E16" t="str">
            <v>042</v>
          </cell>
          <cell r="F16">
            <v>3660</v>
          </cell>
          <cell r="G16">
            <v>36697</v>
          </cell>
          <cell r="H16">
            <v>6386202</v>
          </cell>
          <cell r="I16">
            <v>6386202</v>
          </cell>
        </row>
        <row r="17">
          <cell r="A17">
            <v>3670</v>
          </cell>
          <cell r="B17">
            <v>13460001042</v>
          </cell>
          <cell r="C17" t="str">
            <v>PT. BETA SETIA MEGA</v>
          </cell>
          <cell r="D17" t="str">
            <v>CYPDG</v>
          </cell>
          <cell r="E17" t="str">
            <v>042</v>
          </cell>
          <cell r="F17">
            <v>3670</v>
          </cell>
          <cell r="G17">
            <v>36698</v>
          </cell>
          <cell r="H17">
            <v>3991376</v>
          </cell>
          <cell r="I17">
            <v>3991376</v>
          </cell>
        </row>
        <row r="18">
          <cell r="A18">
            <v>3674</v>
          </cell>
          <cell r="B18">
            <v>13460001042</v>
          </cell>
          <cell r="C18" t="str">
            <v>PT. BETA SETIA MEGA</v>
          </cell>
          <cell r="D18" t="str">
            <v>CYPDG</v>
          </cell>
          <cell r="E18" t="str">
            <v>042</v>
          </cell>
          <cell r="F18">
            <v>3674</v>
          </cell>
          <cell r="G18">
            <v>36699</v>
          </cell>
          <cell r="H18">
            <v>3193101</v>
          </cell>
          <cell r="I18">
            <v>3193101</v>
          </cell>
        </row>
        <row r="19">
          <cell r="A19">
            <v>45577</v>
          </cell>
          <cell r="B19">
            <v>15620248056</v>
          </cell>
          <cell r="C19" t="str">
            <v xml:space="preserve">PT.MAKRO IND. MAKRO </v>
          </cell>
          <cell r="D19" t="str">
            <v>DKWRW</v>
          </cell>
          <cell r="E19" t="str">
            <v>056</v>
          </cell>
          <cell r="F19">
            <v>45577</v>
          </cell>
          <cell r="G19">
            <v>36680</v>
          </cell>
          <cell r="H19">
            <v>434160</v>
          </cell>
          <cell r="I19">
            <v>434160</v>
          </cell>
        </row>
        <row r="20">
          <cell r="A20">
            <v>45662</v>
          </cell>
          <cell r="B20">
            <v>15620248056</v>
          </cell>
          <cell r="C20" t="str">
            <v xml:space="preserve">PT.MAKRO IND. MAKRO </v>
          </cell>
          <cell r="D20" t="str">
            <v>DKWRW</v>
          </cell>
          <cell r="E20" t="str">
            <v>056</v>
          </cell>
          <cell r="F20">
            <v>45662</v>
          </cell>
          <cell r="G20">
            <v>36694</v>
          </cell>
          <cell r="H20">
            <v>782280</v>
          </cell>
          <cell r="I20">
            <v>782280</v>
          </cell>
        </row>
        <row r="21">
          <cell r="A21">
            <v>80453</v>
          </cell>
          <cell r="B21">
            <v>15620248056</v>
          </cell>
          <cell r="C21" t="str">
            <v xml:space="preserve">PT.MAKRO IND. MAKRO </v>
          </cell>
          <cell r="D21" t="str">
            <v>DKWRW</v>
          </cell>
          <cell r="E21" t="str">
            <v>056</v>
          </cell>
          <cell r="F21">
            <v>80453</v>
          </cell>
          <cell r="G21">
            <v>36704</v>
          </cell>
          <cell r="H21">
            <v>1121064</v>
          </cell>
          <cell r="I21">
            <v>1121064</v>
          </cell>
        </row>
        <row r="22">
          <cell r="A22">
            <v>168303</v>
          </cell>
          <cell r="B22">
            <v>15620248056</v>
          </cell>
          <cell r="C22" t="str">
            <v xml:space="preserve">PT.MAKRO IND. MAKRO </v>
          </cell>
          <cell r="D22" t="str">
            <v>DKWRW</v>
          </cell>
          <cell r="E22" t="str">
            <v>056</v>
          </cell>
          <cell r="F22">
            <v>168303</v>
          </cell>
          <cell r="G22">
            <v>36701</v>
          </cell>
          <cell r="H22">
            <v>477180</v>
          </cell>
          <cell r="I22">
            <v>2976</v>
          </cell>
        </row>
        <row r="23">
          <cell r="A23">
            <v>138798</v>
          </cell>
          <cell r="B23">
            <v>15620248407</v>
          </cell>
          <cell r="C23" t="str">
            <v xml:space="preserve">PT. MAKRO INDONESIA </v>
          </cell>
          <cell r="D23" t="str">
            <v>DKWRW</v>
          </cell>
          <cell r="E23" t="str">
            <v>407</v>
          </cell>
          <cell r="F23">
            <v>138798</v>
          </cell>
          <cell r="G23">
            <v>36684</v>
          </cell>
          <cell r="H23">
            <v>1631250</v>
          </cell>
          <cell r="I23">
            <v>1631250</v>
          </cell>
        </row>
        <row r="24">
          <cell r="A24">
            <v>138820</v>
          </cell>
          <cell r="B24">
            <v>15620248407</v>
          </cell>
          <cell r="C24" t="str">
            <v xml:space="preserve">PT. MAKRO INDONESIA </v>
          </cell>
          <cell r="D24" t="str">
            <v>DKWRW</v>
          </cell>
          <cell r="E24" t="str">
            <v>407</v>
          </cell>
          <cell r="F24">
            <v>138820</v>
          </cell>
          <cell r="G24">
            <v>36686</v>
          </cell>
          <cell r="H24">
            <v>347520</v>
          </cell>
          <cell r="I24">
            <v>347520</v>
          </cell>
        </row>
        <row r="25">
          <cell r="A25">
            <v>138798</v>
          </cell>
          <cell r="B25">
            <v>15620248407</v>
          </cell>
          <cell r="C25" t="str">
            <v xml:space="preserve">PT. MAKRO INDONESIA </v>
          </cell>
          <cell r="D25" t="str">
            <v>DKWRW</v>
          </cell>
          <cell r="E25" t="str">
            <v>407</v>
          </cell>
          <cell r="F25">
            <v>138899</v>
          </cell>
          <cell r="G25">
            <v>36694</v>
          </cell>
          <cell r="H25">
            <v>348000</v>
          </cell>
          <cell r="I25">
            <v>348000</v>
          </cell>
        </row>
        <row r="26">
          <cell r="A26">
            <v>460527</v>
          </cell>
          <cell r="B26">
            <v>15620248411</v>
          </cell>
          <cell r="C26" t="str">
            <v>PT. MAKRO IND. MAKRO</v>
          </cell>
          <cell r="D26" t="str">
            <v>DKWRW</v>
          </cell>
          <cell r="E26" t="str">
            <v>411</v>
          </cell>
          <cell r="F26">
            <v>460527</v>
          </cell>
          <cell r="G26">
            <v>36687</v>
          </cell>
          <cell r="H26">
            <v>747132</v>
          </cell>
          <cell r="I26">
            <v>747132</v>
          </cell>
        </row>
        <row r="27">
          <cell r="A27">
            <v>460573</v>
          </cell>
          <cell r="B27">
            <v>15620248411</v>
          </cell>
          <cell r="C27" t="str">
            <v>PT. MAKRO IND. MAKRO</v>
          </cell>
          <cell r="D27" t="str">
            <v>DKWRW</v>
          </cell>
          <cell r="E27" t="str">
            <v>411</v>
          </cell>
          <cell r="F27">
            <v>460573</v>
          </cell>
          <cell r="G27">
            <v>36697</v>
          </cell>
          <cell r="H27">
            <v>435000</v>
          </cell>
          <cell r="I27">
            <v>435000</v>
          </cell>
        </row>
        <row r="28">
          <cell r="A28">
            <v>460574</v>
          </cell>
          <cell r="B28">
            <v>15620248411</v>
          </cell>
          <cell r="C28" t="str">
            <v>PT. MAKRO IND. MAKRO</v>
          </cell>
          <cell r="D28" t="str">
            <v>DKWRW</v>
          </cell>
          <cell r="E28" t="str">
            <v>411</v>
          </cell>
          <cell r="F28">
            <v>460574</v>
          </cell>
          <cell r="G28">
            <v>36697</v>
          </cell>
          <cell r="H28">
            <v>1752000</v>
          </cell>
          <cell r="I28">
            <v>1752000</v>
          </cell>
        </row>
        <row r="29">
          <cell r="A29">
            <v>1990876</v>
          </cell>
          <cell r="B29">
            <v>15620248444</v>
          </cell>
          <cell r="C29" t="str">
            <v>PT. MAKRO IND BANDUNG</v>
          </cell>
          <cell r="D29" t="str">
            <v>DKWRW</v>
          </cell>
          <cell r="E29" t="str">
            <v>444</v>
          </cell>
          <cell r="F29">
            <v>1990876</v>
          </cell>
          <cell r="G29">
            <v>36680</v>
          </cell>
          <cell r="H29">
            <v>783000</v>
          </cell>
          <cell r="I29">
            <v>783000</v>
          </cell>
        </row>
        <row r="30">
          <cell r="A30">
            <v>11606</v>
          </cell>
          <cell r="B30">
            <v>15935034407</v>
          </cell>
          <cell r="C30" t="str">
            <v>PT.NIRMALA PANGAN SE</v>
          </cell>
          <cell r="D30" t="str">
            <v>DMRGP</v>
          </cell>
          <cell r="E30" t="str">
            <v>407</v>
          </cell>
          <cell r="F30">
            <v>11606</v>
          </cell>
          <cell r="G30">
            <v>36707</v>
          </cell>
          <cell r="H30">
            <v>7841286</v>
          </cell>
          <cell r="I30">
            <v>7841286</v>
          </cell>
        </row>
        <row r="31">
          <cell r="A31">
            <v>11607</v>
          </cell>
          <cell r="B31">
            <v>15935034407</v>
          </cell>
          <cell r="C31" t="str">
            <v>PT. NIRMALA PANGAN S</v>
          </cell>
          <cell r="D31" t="str">
            <v>DMRGP</v>
          </cell>
          <cell r="E31" t="str">
            <v>407</v>
          </cell>
          <cell r="F31">
            <v>11607</v>
          </cell>
          <cell r="G31">
            <v>36707</v>
          </cell>
          <cell r="H31">
            <v>3136514</v>
          </cell>
          <cell r="I31">
            <v>3136514</v>
          </cell>
        </row>
        <row r="32">
          <cell r="A32">
            <v>11612</v>
          </cell>
          <cell r="B32">
            <v>15935034407</v>
          </cell>
          <cell r="C32" t="str">
            <v>PT. NIRMALA PANGAN S</v>
          </cell>
          <cell r="D32" t="str">
            <v>DMRGP</v>
          </cell>
          <cell r="E32" t="str">
            <v>407</v>
          </cell>
          <cell r="F32">
            <v>11612</v>
          </cell>
          <cell r="G32">
            <v>36707</v>
          </cell>
          <cell r="H32">
            <v>7093535</v>
          </cell>
          <cell r="I32">
            <v>7093535</v>
          </cell>
        </row>
        <row r="33">
          <cell r="A33">
            <v>367</v>
          </cell>
          <cell r="B33">
            <v>17371600034</v>
          </cell>
          <cell r="C33" t="str">
            <v>PT. UNI GEMILANG SEN</v>
          </cell>
          <cell r="D33" t="str">
            <v>DUVTW</v>
          </cell>
          <cell r="E33" t="str">
            <v>034</v>
          </cell>
          <cell r="F33">
            <v>367</v>
          </cell>
          <cell r="G33">
            <v>36684</v>
          </cell>
          <cell r="H33">
            <v>9649147</v>
          </cell>
          <cell r="I33">
            <v>9649147</v>
          </cell>
        </row>
        <row r="34">
          <cell r="A34">
            <v>368</v>
          </cell>
          <cell r="B34">
            <v>17371600034</v>
          </cell>
          <cell r="C34" t="str">
            <v>PT. UNI GEMILANG SEN</v>
          </cell>
          <cell r="D34" t="str">
            <v>DUVTW</v>
          </cell>
          <cell r="E34" t="str">
            <v>034</v>
          </cell>
          <cell r="F34">
            <v>368</v>
          </cell>
          <cell r="G34">
            <v>36684</v>
          </cell>
          <cell r="H34">
            <v>7922124</v>
          </cell>
          <cell r="I34">
            <v>7922124</v>
          </cell>
        </row>
        <row r="35">
          <cell r="A35">
            <v>209941</v>
          </cell>
          <cell r="B35">
            <v>17662941042</v>
          </cell>
          <cell r="C35" t="str">
            <v>PT. TRIWAHANA JAYA</v>
          </cell>
          <cell r="D35" t="str">
            <v>DWMWK</v>
          </cell>
          <cell r="E35" t="str">
            <v>042</v>
          </cell>
          <cell r="F35">
            <v>209941</v>
          </cell>
          <cell r="G35">
            <v>36706</v>
          </cell>
          <cell r="H35">
            <v>4036608</v>
          </cell>
          <cell r="I35">
            <v>4036608</v>
          </cell>
        </row>
        <row r="36">
          <cell r="A36">
            <v>421</v>
          </cell>
          <cell r="B36">
            <v>17812140609</v>
          </cell>
          <cell r="C36" t="str">
            <v>INTI CAKRAWALA COPRO</v>
          </cell>
          <cell r="D36" t="str">
            <v>DXIYG</v>
          </cell>
          <cell r="E36" t="str">
            <v>609</v>
          </cell>
          <cell r="F36">
            <v>421</v>
          </cell>
          <cell r="G36">
            <v>36691</v>
          </cell>
          <cell r="H36">
            <v>650023</v>
          </cell>
          <cell r="I36">
            <v>650023</v>
          </cell>
        </row>
        <row r="37">
          <cell r="A37">
            <v>422</v>
          </cell>
          <cell r="B37">
            <v>17812140609</v>
          </cell>
          <cell r="C37" t="str">
            <v>PT. INTI CAKRAWALA C</v>
          </cell>
          <cell r="D37" t="str">
            <v>DXIYG</v>
          </cell>
          <cell r="E37" t="str">
            <v>609</v>
          </cell>
          <cell r="F37">
            <v>422</v>
          </cell>
          <cell r="G37">
            <v>36691</v>
          </cell>
          <cell r="H37">
            <v>1607161</v>
          </cell>
          <cell r="I37">
            <v>1607161</v>
          </cell>
        </row>
        <row r="38">
          <cell r="A38">
            <v>180</v>
          </cell>
          <cell r="B38">
            <v>19622984402</v>
          </cell>
          <cell r="C38" t="str">
            <v>PT.TRI MEGAH GEMILAN</v>
          </cell>
          <cell r="D38" t="str">
            <v>EHQVA</v>
          </cell>
          <cell r="E38" t="str">
            <v>402</v>
          </cell>
          <cell r="F38">
            <v>180</v>
          </cell>
          <cell r="G38">
            <v>36684</v>
          </cell>
          <cell r="H38">
            <v>3818464</v>
          </cell>
          <cell r="I38">
            <v>3818464</v>
          </cell>
        </row>
        <row r="39">
          <cell r="A39">
            <v>3229</v>
          </cell>
          <cell r="B39">
            <v>60638533042</v>
          </cell>
          <cell r="C39" t="str">
            <v>ALI SUDJONO</v>
          </cell>
          <cell r="D39" t="str">
            <v>NHAFD</v>
          </cell>
          <cell r="E39" t="str">
            <v>042</v>
          </cell>
          <cell r="F39">
            <v>3229</v>
          </cell>
          <cell r="G39">
            <v>36700</v>
          </cell>
          <cell r="H39">
            <v>11175715</v>
          </cell>
          <cell r="I39">
            <v>11175715</v>
          </cell>
        </row>
        <row r="40">
          <cell r="A40">
            <v>2136</v>
          </cell>
          <cell r="B40">
            <v>62821137015</v>
          </cell>
          <cell r="C40" t="str">
            <v>PD. MEGAH LESTARI</v>
          </cell>
          <cell r="D40" t="str">
            <v>NTLBT</v>
          </cell>
          <cell r="E40" t="str">
            <v>015</v>
          </cell>
          <cell r="F40">
            <v>2136</v>
          </cell>
          <cell r="G40">
            <v>36685</v>
          </cell>
          <cell r="H40">
            <v>2364517</v>
          </cell>
          <cell r="I40">
            <v>2364517</v>
          </cell>
        </row>
        <row r="41">
          <cell r="A41">
            <v>2140</v>
          </cell>
          <cell r="B41">
            <v>62821137015</v>
          </cell>
          <cell r="C41" t="str">
            <v>PD. MEGAH LESTARI</v>
          </cell>
          <cell r="D41" t="str">
            <v>NTLBT</v>
          </cell>
          <cell r="E41" t="str">
            <v>015</v>
          </cell>
          <cell r="F41">
            <v>2140</v>
          </cell>
          <cell r="G41">
            <v>36691</v>
          </cell>
          <cell r="H41">
            <v>7881723</v>
          </cell>
          <cell r="I41">
            <v>7881723</v>
          </cell>
        </row>
        <row r="42">
          <cell r="A42">
            <v>2147</v>
          </cell>
          <cell r="B42">
            <v>62821137015</v>
          </cell>
          <cell r="C42" t="str">
            <v>PD. MEGAH LESTARI</v>
          </cell>
          <cell r="D42" t="str">
            <v>NTLBT</v>
          </cell>
          <cell r="E42" t="str">
            <v>015</v>
          </cell>
          <cell r="F42">
            <v>2147</v>
          </cell>
          <cell r="G42">
            <v>36697</v>
          </cell>
          <cell r="H42">
            <v>6337568</v>
          </cell>
          <cell r="I42">
            <v>6337568</v>
          </cell>
        </row>
        <row r="43">
          <cell r="H43">
            <v>168248803</v>
          </cell>
          <cell r="I43">
            <v>167774599</v>
          </cell>
        </row>
        <row r="45">
          <cell r="A45">
            <v>9089</v>
          </cell>
          <cell r="B45">
            <v>13297411003</v>
          </cell>
          <cell r="C45" t="str">
            <v>PT.INDOTRACOSAKTI SE</v>
          </cell>
          <cell r="D45" t="str">
            <v>CXRBX</v>
          </cell>
          <cell r="E45" t="str">
            <v>003</v>
          </cell>
          <cell r="F45">
            <v>9089</v>
          </cell>
          <cell r="G45">
            <v>36707</v>
          </cell>
          <cell r="H45">
            <v>432000</v>
          </cell>
          <cell r="I45">
            <v>432000</v>
          </cell>
        </row>
        <row r="46">
          <cell r="A46">
            <v>9147</v>
          </cell>
          <cell r="B46">
            <v>13297411003</v>
          </cell>
          <cell r="C46" t="str">
            <v>PT.INDOTRACOSAKTI SE</v>
          </cell>
          <cell r="D46" t="str">
            <v>CXRBX</v>
          </cell>
          <cell r="E46" t="str">
            <v>003</v>
          </cell>
          <cell r="F46">
            <v>9147</v>
          </cell>
          <cell r="G46">
            <v>36715</v>
          </cell>
          <cell r="H46">
            <v>864000</v>
          </cell>
          <cell r="I46">
            <v>864000</v>
          </cell>
        </row>
        <row r="47">
          <cell r="A47">
            <v>26204</v>
          </cell>
          <cell r="B47">
            <v>13358080054</v>
          </cell>
          <cell r="C47" t="str">
            <v>PT.ALFA RETAILINDO</v>
          </cell>
          <cell r="D47" t="str">
            <v>CYABG</v>
          </cell>
          <cell r="E47" t="str">
            <v>054</v>
          </cell>
          <cell r="F47">
            <v>26204</v>
          </cell>
          <cell r="G47">
            <v>36710</v>
          </cell>
          <cell r="H47">
            <v>2026364</v>
          </cell>
          <cell r="I47">
            <v>2026364</v>
          </cell>
        </row>
        <row r="48">
          <cell r="A48">
            <v>26205</v>
          </cell>
          <cell r="B48">
            <v>13358080054</v>
          </cell>
          <cell r="C48" t="str">
            <v>PT.ALFA RETAILINDO</v>
          </cell>
          <cell r="D48" t="str">
            <v>CYABG</v>
          </cell>
          <cell r="E48" t="str">
            <v>054</v>
          </cell>
          <cell r="F48">
            <v>26205</v>
          </cell>
          <cell r="G48">
            <v>36710</v>
          </cell>
          <cell r="H48">
            <v>218182</v>
          </cell>
          <cell r="I48">
            <v>218182</v>
          </cell>
        </row>
        <row r="49">
          <cell r="A49">
            <v>26281</v>
          </cell>
          <cell r="B49">
            <v>13358080054</v>
          </cell>
          <cell r="C49" t="str">
            <v>PT.ALFA RETAILINDO</v>
          </cell>
          <cell r="D49" t="str">
            <v>CYABG</v>
          </cell>
          <cell r="E49" t="str">
            <v>054</v>
          </cell>
          <cell r="F49">
            <v>26281</v>
          </cell>
          <cell r="G49">
            <v>36717</v>
          </cell>
          <cell r="H49">
            <v>654545</v>
          </cell>
          <cell r="I49">
            <v>654545</v>
          </cell>
        </row>
        <row r="50">
          <cell r="A50">
            <v>26351</v>
          </cell>
          <cell r="B50">
            <v>13358080054</v>
          </cell>
          <cell r="C50" t="str">
            <v>PT.ALFA RETAILINDO</v>
          </cell>
          <cell r="D50" t="str">
            <v>CYABG</v>
          </cell>
          <cell r="E50" t="str">
            <v>054</v>
          </cell>
          <cell r="F50">
            <v>26351</v>
          </cell>
          <cell r="G50">
            <v>36721</v>
          </cell>
          <cell r="H50">
            <v>523636</v>
          </cell>
          <cell r="I50">
            <v>523636</v>
          </cell>
        </row>
        <row r="51">
          <cell r="A51">
            <v>26422</v>
          </cell>
          <cell r="B51">
            <v>13358080054</v>
          </cell>
          <cell r="C51" t="str">
            <v>PT.ALFA RETAILINDO</v>
          </cell>
          <cell r="D51" t="str">
            <v>CYABG</v>
          </cell>
          <cell r="E51" t="str">
            <v>054</v>
          </cell>
          <cell r="F51">
            <v>26422</v>
          </cell>
          <cell r="G51">
            <v>36725</v>
          </cell>
          <cell r="H51">
            <v>916364</v>
          </cell>
          <cell r="I51">
            <v>916364</v>
          </cell>
        </row>
        <row r="52">
          <cell r="A52">
            <v>26512</v>
          </cell>
          <cell r="B52">
            <v>13358080054</v>
          </cell>
          <cell r="C52" t="str">
            <v>PT.ALFA RETAILINDO</v>
          </cell>
          <cell r="D52" t="str">
            <v>CYABG</v>
          </cell>
          <cell r="E52" t="str">
            <v>054</v>
          </cell>
          <cell r="F52">
            <v>26512</v>
          </cell>
          <cell r="G52">
            <v>36727</v>
          </cell>
          <cell r="H52">
            <v>480000</v>
          </cell>
          <cell r="I52">
            <v>480000</v>
          </cell>
        </row>
        <row r="53">
          <cell r="A53">
            <v>26514</v>
          </cell>
          <cell r="B53">
            <v>13358080054</v>
          </cell>
          <cell r="C53" t="str">
            <v>PT.ALFA RETAILINDO</v>
          </cell>
          <cell r="D53" t="str">
            <v>CYABG</v>
          </cell>
          <cell r="E53" t="str">
            <v>054</v>
          </cell>
          <cell r="F53">
            <v>26514</v>
          </cell>
          <cell r="G53">
            <v>36727</v>
          </cell>
          <cell r="H53">
            <v>1745455</v>
          </cell>
          <cell r="I53">
            <v>1745455</v>
          </cell>
        </row>
        <row r="54">
          <cell r="A54">
            <v>26529</v>
          </cell>
          <cell r="B54">
            <v>13358080054</v>
          </cell>
          <cell r="C54" t="str">
            <v>PT.ALFA RETAILINDO</v>
          </cell>
          <cell r="D54" t="str">
            <v>CYABG</v>
          </cell>
          <cell r="E54" t="str">
            <v>054</v>
          </cell>
          <cell r="F54">
            <v>26529</v>
          </cell>
          <cell r="G54">
            <v>36728</v>
          </cell>
          <cell r="H54">
            <v>327273</v>
          </cell>
          <cell r="I54">
            <v>327273</v>
          </cell>
        </row>
        <row r="55">
          <cell r="A55">
            <v>4264</v>
          </cell>
          <cell r="B55">
            <v>13358080402</v>
          </cell>
          <cell r="C55" t="str">
            <v>PT.ALFA RETAILINDO</v>
          </cell>
          <cell r="D55" t="str">
            <v>CYABG</v>
          </cell>
          <cell r="E55" t="str">
            <v>402</v>
          </cell>
          <cell r="F55">
            <v>4264</v>
          </cell>
          <cell r="G55">
            <v>36713</v>
          </cell>
          <cell r="H55">
            <v>436364</v>
          </cell>
          <cell r="I55">
            <v>436364</v>
          </cell>
        </row>
        <row r="56">
          <cell r="A56">
            <v>4373</v>
          </cell>
          <cell r="B56">
            <v>13358080402</v>
          </cell>
          <cell r="C56" t="str">
            <v>PT.ALFA RETAILINDO</v>
          </cell>
          <cell r="D56" t="str">
            <v>CYABG</v>
          </cell>
          <cell r="E56" t="str">
            <v>402</v>
          </cell>
          <cell r="F56">
            <v>4373</v>
          </cell>
          <cell r="G56">
            <v>36726</v>
          </cell>
          <cell r="H56">
            <v>480000</v>
          </cell>
          <cell r="I56">
            <v>480000</v>
          </cell>
        </row>
        <row r="57">
          <cell r="A57">
            <v>4397</v>
          </cell>
          <cell r="B57">
            <v>13358080402</v>
          </cell>
          <cell r="C57" t="str">
            <v>PT.ALFA RETAILINDO</v>
          </cell>
          <cell r="D57" t="str">
            <v>CYABG</v>
          </cell>
          <cell r="E57" t="str">
            <v>402</v>
          </cell>
          <cell r="F57">
            <v>4397</v>
          </cell>
          <cell r="G57">
            <v>36713</v>
          </cell>
          <cell r="H57">
            <v>6370909</v>
          </cell>
          <cell r="I57">
            <v>6370909</v>
          </cell>
        </row>
        <row r="58">
          <cell r="A58">
            <v>3740</v>
          </cell>
          <cell r="B58">
            <v>13460001042</v>
          </cell>
          <cell r="C58" t="str">
            <v>PT.BETA SETIA MEGA</v>
          </cell>
          <cell r="D58" t="str">
            <v>CYPDG</v>
          </cell>
          <cell r="E58" t="str">
            <v>042</v>
          </cell>
          <cell r="F58">
            <v>3740</v>
          </cell>
          <cell r="G58">
            <v>36714</v>
          </cell>
          <cell r="H58">
            <v>798275</v>
          </cell>
          <cell r="I58">
            <v>798275</v>
          </cell>
        </row>
        <row r="59">
          <cell r="A59">
            <v>3747</v>
          </cell>
          <cell r="B59">
            <v>13460001042</v>
          </cell>
          <cell r="C59" t="str">
            <v>PT.BETA SETIA MEGA</v>
          </cell>
          <cell r="D59" t="str">
            <v>CYPDG</v>
          </cell>
          <cell r="E59" t="str">
            <v>042</v>
          </cell>
          <cell r="F59">
            <v>3747</v>
          </cell>
          <cell r="G59">
            <v>36714</v>
          </cell>
          <cell r="H59">
            <v>6386202</v>
          </cell>
          <cell r="I59">
            <v>6386202</v>
          </cell>
        </row>
        <row r="60">
          <cell r="A60">
            <v>3748</v>
          </cell>
          <cell r="B60">
            <v>13460001042</v>
          </cell>
          <cell r="C60" t="str">
            <v>PT.BETA SETIA MEGA</v>
          </cell>
          <cell r="D60" t="str">
            <v>CYPDG</v>
          </cell>
          <cell r="E60" t="str">
            <v>042</v>
          </cell>
          <cell r="F60">
            <v>3748</v>
          </cell>
          <cell r="G60">
            <v>36714</v>
          </cell>
          <cell r="H60">
            <v>3193101</v>
          </cell>
          <cell r="I60">
            <v>3193101</v>
          </cell>
        </row>
        <row r="61">
          <cell r="A61">
            <v>3838</v>
          </cell>
          <cell r="B61">
            <v>13460001042</v>
          </cell>
          <cell r="C61" t="str">
            <v>PT.BETA SETIA MEGA</v>
          </cell>
          <cell r="D61" t="str">
            <v>CYPDG</v>
          </cell>
          <cell r="E61" t="str">
            <v>042</v>
          </cell>
          <cell r="F61">
            <v>3838</v>
          </cell>
          <cell r="G61">
            <v>36733</v>
          </cell>
          <cell r="H61">
            <v>7078361</v>
          </cell>
          <cell r="I61">
            <v>7078361</v>
          </cell>
        </row>
        <row r="62">
          <cell r="A62">
            <v>5970</v>
          </cell>
          <cell r="B62">
            <v>15130164408</v>
          </cell>
          <cell r="C62" t="str">
            <v>PT.GRAHA PANGAN LEST</v>
          </cell>
          <cell r="D62" t="str">
            <v>DICEY</v>
          </cell>
          <cell r="E62" t="str">
            <v>408</v>
          </cell>
          <cell r="F62">
            <v>5970</v>
          </cell>
          <cell r="G62">
            <v>36726</v>
          </cell>
          <cell r="H62">
            <v>3060720</v>
          </cell>
          <cell r="I62">
            <v>3060720</v>
          </cell>
        </row>
        <row r="63">
          <cell r="A63">
            <v>5976</v>
          </cell>
          <cell r="B63">
            <v>15130164408</v>
          </cell>
          <cell r="C63" t="str">
            <v>PT.GRAHA PANGAN LEST</v>
          </cell>
          <cell r="D63" t="str">
            <v>DICEY</v>
          </cell>
          <cell r="E63" t="str">
            <v>408</v>
          </cell>
          <cell r="F63">
            <v>5976</v>
          </cell>
          <cell r="G63">
            <v>36736</v>
          </cell>
          <cell r="H63">
            <v>5070703</v>
          </cell>
          <cell r="I63">
            <v>5070703</v>
          </cell>
        </row>
        <row r="64">
          <cell r="A64">
            <v>126162</v>
          </cell>
          <cell r="B64">
            <v>15620248056</v>
          </cell>
          <cell r="C64" t="str">
            <v xml:space="preserve">PT.MAKRO INDO.MAKRO </v>
          </cell>
          <cell r="D64" t="str">
            <v>DKWRW</v>
          </cell>
          <cell r="E64" t="str">
            <v>056</v>
          </cell>
          <cell r="F64">
            <v>126162</v>
          </cell>
          <cell r="G64">
            <v>36717</v>
          </cell>
          <cell r="H64">
            <v>867600</v>
          </cell>
          <cell r="I64">
            <v>867600</v>
          </cell>
        </row>
        <row r="65">
          <cell r="A65">
            <v>2237365</v>
          </cell>
          <cell r="B65">
            <v>15620248056</v>
          </cell>
          <cell r="C65" t="str">
            <v xml:space="preserve">PT.MAKRO INDO.MAKRO </v>
          </cell>
          <cell r="D65" t="str">
            <v>DKWRW</v>
          </cell>
          <cell r="E65" t="str">
            <v>056</v>
          </cell>
          <cell r="F65">
            <v>2237365</v>
          </cell>
          <cell r="G65">
            <v>36734</v>
          </cell>
          <cell r="H65">
            <v>319680</v>
          </cell>
          <cell r="I65">
            <v>319680</v>
          </cell>
        </row>
        <row r="66">
          <cell r="A66">
            <v>2268272</v>
          </cell>
          <cell r="B66">
            <v>15620248056</v>
          </cell>
          <cell r="C66" t="str">
            <v xml:space="preserve">PT.MAKRO INDO.MAKRO </v>
          </cell>
          <cell r="D66" t="str">
            <v>DKWRW</v>
          </cell>
          <cell r="E66" t="str">
            <v>056</v>
          </cell>
          <cell r="F66">
            <v>2268272</v>
          </cell>
          <cell r="G66">
            <v>36719</v>
          </cell>
          <cell r="H66">
            <v>3577752</v>
          </cell>
          <cell r="I66">
            <v>3577752</v>
          </cell>
        </row>
        <row r="67">
          <cell r="A67">
            <v>4217461</v>
          </cell>
          <cell r="B67">
            <v>15620248056</v>
          </cell>
          <cell r="C67" t="str">
            <v xml:space="preserve">PT.MAKRO INDO.MAKRO </v>
          </cell>
          <cell r="D67" t="str">
            <v>DKWRW</v>
          </cell>
          <cell r="E67" t="str">
            <v>056</v>
          </cell>
          <cell r="F67">
            <v>4217461</v>
          </cell>
          <cell r="G67">
            <v>36734</v>
          </cell>
          <cell r="H67">
            <v>1328400</v>
          </cell>
          <cell r="I67">
            <v>1328400</v>
          </cell>
        </row>
        <row r="68">
          <cell r="A68">
            <v>139144</v>
          </cell>
          <cell r="B68">
            <v>15620248407</v>
          </cell>
          <cell r="C68" t="str">
            <v>PT.MAKRO INDO.MM2100</v>
          </cell>
          <cell r="D68" t="str">
            <v>DKWRW</v>
          </cell>
          <cell r="E68" t="str">
            <v>407</v>
          </cell>
          <cell r="F68">
            <v>139144</v>
          </cell>
          <cell r="G68">
            <v>36714</v>
          </cell>
          <cell r="H68">
            <v>1314000</v>
          </cell>
          <cell r="I68">
            <v>1314000</v>
          </cell>
        </row>
        <row r="69">
          <cell r="A69">
            <v>139195</v>
          </cell>
          <cell r="B69">
            <v>15620248407</v>
          </cell>
          <cell r="C69" t="str">
            <v>PT.MAKRO INDO.MM2100</v>
          </cell>
          <cell r="D69" t="str">
            <v>DKWRW</v>
          </cell>
          <cell r="E69" t="str">
            <v>407</v>
          </cell>
          <cell r="F69">
            <v>139195</v>
          </cell>
          <cell r="G69">
            <v>36719</v>
          </cell>
          <cell r="H69">
            <v>2255976</v>
          </cell>
          <cell r="I69">
            <v>1675800</v>
          </cell>
        </row>
        <row r="70">
          <cell r="A70">
            <v>460692</v>
          </cell>
          <cell r="B70">
            <v>15620248411</v>
          </cell>
          <cell r="C70" t="str">
            <v xml:space="preserve">PT.MAKRO INDO.MAKRO </v>
          </cell>
          <cell r="D70" t="str">
            <v>DKWRW</v>
          </cell>
          <cell r="E70" t="str">
            <v>411</v>
          </cell>
          <cell r="F70">
            <v>460692</v>
          </cell>
          <cell r="G70">
            <v>36715</v>
          </cell>
          <cell r="H70">
            <v>2184100</v>
          </cell>
          <cell r="I70">
            <v>2184100</v>
          </cell>
        </row>
        <row r="71">
          <cell r="A71">
            <v>460694</v>
          </cell>
          <cell r="B71">
            <v>15620248411</v>
          </cell>
          <cell r="C71" t="str">
            <v xml:space="preserve">PT.MAKRO INDO.MAKRO </v>
          </cell>
          <cell r="D71" t="str">
            <v>DKWRW</v>
          </cell>
          <cell r="E71" t="str">
            <v>411</v>
          </cell>
          <cell r="F71">
            <v>460694</v>
          </cell>
          <cell r="G71">
            <v>36715</v>
          </cell>
          <cell r="H71">
            <v>2187000</v>
          </cell>
          <cell r="I71">
            <v>2187000</v>
          </cell>
        </row>
        <row r="72">
          <cell r="A72">
            <v>460704</v>
          </cell>
          <cell r="B72">
            <v>15620248411</v>
          </cell>
          <cell r="C72" t="str">
            <v xml:space="preserve">PT.MAKRO INDO.MAKRO </v>
          </cell>
          <cell r="D72" t="str">
            <v>DKWRW</v>
          </cell>
          <cell r="E72" t="str">
            <v>411</v>
          </cell>
          <cell r="F72">
            <v>460704</v>
          </cell>
          <cell r="G72">
            <v>36715</v>
          </cell>
          <cell r="H72">
            <v>3352128</v>
          </cell>
          <cell r="I72">
            <v>3352128</v>
          </cell>
        </row>
        <row r="73">
          <cell r="A73">
            <v>460748</v>
          </cell>
          <cell r="B73">
            <v>15620248411</v>
          </cell>
          <cell r="C73" t="str">
            <v xml:space="preserve">PT.MAKRO INDO.MAKRO </v>
          </cell>
          <cell r="D73" t="str">
            <v>DKWRW</v>
          </cell>
          <cell r="E73" t="str">
            <v>411</v>
          </cell>
          <cell r="F73">
            <v>460748</v>
          </cell>
          <cell r="G73">
            <v>36721</v>
          </cell>
          <cell r="H73">
            <v>870000</v>
          </cell>
          <cell r="I73">
            <v>870000</v>
          </cell>
        </row>
        <row r="74">
          <cell r="A74">
            <v>460760</v>
          </cell>
          <cell r="B74">
            <v>15620248411</v>
          </cell>
          <cell r="C74" t="str">
            <v xml:space="preserve">PT.MAKRO INDO.MAKRO </v>
          </cell>
          <cell r="D74" t="str">
            <v>DKWRW</v>
          </cell>
          <cell r="E74" t="str">
            <v>411</v>
          </cell>
          <cell r="F74">
            <v>460760</v>
          </cell>
          <cell r="G74">
            <v>36724</v>
          </cell>
          <cell r="H74">
            <v>870000</v>
          </cell>
          <cell r="I74">
            <v>870000</v>
          </cell>
        </row>
        <row r="75">
          <cell r="A75">
            <v>460785</v>
          </cell>
          <cell r="B75">
            <v>15620248411</v>
          </cell>
          <cell r="C75" t="str">
            <v xml:space="preserve">PT.MAKRO INDO.MAKRO </v>
          </cell>
          <cell r="D75" t="str">
            <v>DKWRW</v>
          </cell>
          <cell r="E75" t="str">
            <v>411</v>
          </cell>
          <cell r="F75">
            <v>460785</v>
          </cell>
          <cell r="G75">
            <v>36728</v>
          </cell>
          <cell r="H75">
            <v>269700</v>
          </cell>
          <cell r="I75">
            <v>269700</v>
          </cell>
        </row>
        <row r="76">
          <cell r="A76">
            <v>11616</v>
          </cell>
          <cell r="B76">
            <v>15935034407</v>
          </cell>
          <cell r="C76" t="str">
            <v>NIRMALA PANGAN SEJAH</v>
          </cell>
          <cell r="D76" t="str">
            <v>DMRGP</v>
          </cell>
          <cell r="E76" t="str">
            <v>407</v>
          </cell>
          <cell r="F76">
            <v>11616</v>
          </cell>
          <cell r="G76">
            <v>36738</v>
          </cell>
          <cell r="H76">
            <v>5517194</v>
          </cell>
          <cell r="I76">
            <v>5517194</v>
          </cell>
        </row>
        <row r="77">
          <cell r="A77">
            <v>11626</v>
          </cell>
          <cell r="B77">
            <v>15935034407</v>
          </cell>
          <cell r="C77" t="str">
            <v>NIRMALA PANGAN SEJAH</v>
          </cell>
          <cell r="D77" t="str">
            <v>DMRGP</v>
          </cell>
          <cell r="E77" t="str">
            <v>407</v>
          </cell>
          <cell r="F77">
            <v>11626</v>
          </cell>
          <cell r="G77">
            <v>36738</v>
          </cell>
          <cell r="H77">
            <v>7989696</v>
          </cell>
          <cell r="I77">
            <v>7043890</v>
          </cell>
        </row>
        <row r="78">
          <cell r="A78">
            <v>11631</v>
          </cell>
          <cell r="B78">
            <v>15935034407</v>
          </cell>
          <cell r="C78" t="str">
            <v>PT.NIRMALA PNGAN SEJ</v>
          </cell>
          <cell r="D78" t="str">
            <v>DMRGP</v>
          </cell>
          <cell r="E78" t="str">
            <v>407</v>
          </cell>
          <cell r="F78">
            <v>11631</v>
          </cell>
          <cell r="G78">
            <v>36736</v>
          </cell>
          <cell r="H78">
            <v>5937468</v>
          </cell>
          <cell r="I78">
            <v>5937468</v>
          </cell>
        </row>
        <row r="79">
          <cell r="A79">
            <v>11632</v>
          </cell>
          <cell r="B79">
            <v>15935034407</v>
          </cell>
          <cell r="C79" t="str">
            <v>NIRMALA PANGAN SEJAH</v>
          </cell>
          <cell r="D79" t="str">
            <v>DMRGP</v>
          </cell>
          <cell r="E79" t="str">
            <v>407</v>
          </cell>
          <cell r="F79">
            <v>11632</v>
          </cell>
          <cell r="G79">
            <v>36738</v>
          </cell>
          <cell r="H79">
            <v>6799948</v>
          </cell>
          <cell r="I79">
            <v>6799948</v>
          </cell>
        </row>
        <row r="80">
          <cell r="A80">
            <v>467</v>
          </cell>
          <cell r="B80">
            <v>17371600034</v>
          </cell>
          <cell r="C80" t="str">
            <v>PT.UNIGEMILANG SENTO</v>
          </cell>
          <cell r="D80" t="str">
            <v>DUVTW</v>
          </cell>
          <cell r="E80" t="str">
            <v>034</v>
          </cell>
          <cell r="F80">
            <v>467</v>
          </cell>
          <cell r="G80">
            <v>36727</v>
          </cell>
          <cell r="H80">
            <v>998175</v>
          </cell>
          <cell r="I80">
            <v>998175</v>
          </cell>
        </row>
        <row r="81">
          <cell r="A81">
            <v>729</v>
          </cell>
          <cell r="B81">
            <v>17725250422</v>
          </cell>
          <cell r="C81" t="str">
            <v>SATRIA PRIMAJAYA LES</v>
          </cell>
          <cell r="D81" t="str">
            <v>DWWCB</v>
          </cell>
          <cell r="E81" t="str">
            <v>422</v>
          </cell>
          <cell r="F81">
            <v>729</v>
          </cell>
          <cell r="G81">
            <v>36704</v>
          </cell>
          <cell r="H81">
            <v>3367200</v>
          </cell>
          <cell r="I81">
            <v>378210</v>
          </cell>
        </row>
        <row r="82">
          <cell r="A82">
            <v>739</v>
          </cell>
          <cell r="B82">
            <v>17725250422</v>
          </cell>
          <cell r="C82" t="str">
            <v xml:space="preserve">PT.SATRIA PRIMAJAYA </v>
          </cell>
          <cell r="D82" t="str">
            <v>DWWCB</v>
          </cell>
          <cell r="E82" t="str">
            <v>422</v>
          </cell>
          <cell r="F82">
            <v>739</v>
          </cell>
          <cell r="G82">
            <v>36708</v>
          </cell>
          <cell r="H82">
            <v>6734400</v>
          </cell>
          <cell r="I82">
            <v>6734400</v>
          </cell>
        </row>
        <row r="83">
          <cell r="A83">
            <v>790</v>
          </cell>
          <cell r="B83">
            <v>17725250422</v>
          </cell>
          <cell r="C83" t="str">
            <v xml:space="preserve">PT.SATRIA PRIMAJAYA </v>
          </cell>
          <cell r="D83" t="str">
            <v>DWWCB</v>
          </cell>
          <cell r="E83" t="str">
            <v>422</v>
          </cell>
          <cell r="F83">
            <v>790</v>
          </cell>
          <cell r="G83">
            <v>36717</v>
          </cell>
          <cell r="H83">
            <v>6313500</v>
          </cell>
          <cell r="I83">
            <v>6313500</v>
          </cell>
        </row>
        <row r="84">
          <cell r="A84">
            <v>800</v>
          </cell>
          <cell r="B84">
            <v>17725250422</v>
          </cell>
          <cell r="C84" t="str">
            <v xml:space="preserve">PT.SATRIA PRIMAJAYA </v>
          </cell>
          <cell r="D84" t="str">
            <v>DWWCB</v>
          </cell>
          <cell r="E84" t="str">
            <v>422</v>
          </cell>
          <cell r="F84">
            <v>800</v>
          </cell>
          <cell r="G84">
            <v>36720</v>
          </cell>
          <cell r="H84">
            <v>21722715</v>
          </cell>
          <cell r="I84">
            <v>21722715</v>
          </cell>
        </row>
        <row r="85">
          <cell r="A85">
            <v>801</v>
          </cell>
          <cell r="B85">
            <v>17725250422</v>
          </cell>
          <cell r="C85" t="str">
            <v xml:space="preserve">PT.SATRIA PRIMAJAYA </v>
          </cell>
          <cell r="D85" t="str">
            <v>DWWCB</v>
          </cell>
          <cell r="E85" t="str">
            <v>422</v>
          </cell>
          <cell r="F85">
            <v>801</v>
          </cell>
          <cell r="G85">
            <v>36720</v>
          </cell>
          <cell r="H85">
            <v>433630</v>
          </cell>
          <cell r="I85">
            <v>433630</v>
          </cell>
        </row>
        <row r="86">
          <cell r="A86">
            <v>802</v>
          </cell>
          <cell r="B86">
            <v>17725250422</v>
          </cell>
          <cell r="C86" t="str">
            <v xml:space="preserve">PT.SATRIA PRIMAJAYA </v>
          </cell>
          <cell r="D86" t="str">
            <v>DWWCB</v>
          </cell>
          <cell r="E86" t="str">
            <v>422</v>
          </cell>
          <cell r="F86">
            <v>802</v>
          </cell>
          <cell r="G86">
            <v>36720</v>
          </cell>
          <cell r="H86">
            <v>547091</v>
          </cell>
          <cell r="I86">
            <v>547091</v>
          </cell>
        </row>
        <row r="87">
          <cell r="A87">
            <v>865</v>
          </cell>
          <cell r="D87" t="str">
            <v>DWWCB</v>
          </cell>
          <cell r="E87" t="str">
            <v>422</v>
          </cell>
          <cell r="F87">
            <v>865</v>
          </cell>
          <cell r="G87">
            <v>36735</v>
          </cell>
          <cell r="H87">
            <v>96545</v>
          </cell>
          <cell r="I87">
            <v>96545</v>
          </cell>
        </row>
        <row r="88">
          <cell r="A88">
            <v>2735</v>
          </cell>
          <cell r="B88">
            <v>17812140609</v>
          </cell>
          <cell r="C88" t="str">
            <v>PT.INTI CAKRAWALA CO</v>
          </cell>
          <cell r="D88" t="str">
            <v>DXIYG</v>
          </cell>
          <cell r="E88" t="str">
            <v>609</v>
          </cell>
          <cell r="F88">
            <v>2735</v>
          </cell>
          <cell r="G88">
            <v>36704</v>
          </cell>
          <cell r="H88">
            <v>216000</v>
          </cell>
          <cell r="I88">
            <v>216000</v>
          </cell>
        </row>
        <row r="89">
          <cell r="A89">
            <v>2801</v>
          </cell>
          <cell r="B89">
            <v>17812140609</v>
          </cell>
          <cell r="C89" t="str">
            <v>PT.INTI CAKRAWALA CO</v>
          </cell>
          <cell r="D89" t="str">
            <v>DXIYG</v>
          </cell>
          <cell r="E89" t="str">
            <v>609</v>
          </cell>
          <cell r="F89">
            <v>2801</v>
          </cell>
          <cell r="G89">
            <v>36717</v>
          </cell>
          <cell r="H89">
            <v>561600</v>
          </cell>
          <cell r="I89">
            <v>561600</v>
          </cell>
        </row>
        <row r="90">
          <cell r="A90">
            <v>2840</v>
          </cell>
          <cell r="B90">
            <v>17812140609</v>
          </cell>
          <cell r="C90" t="str">
            <v>PT.INTI CAKRAWALA CO</v>
          </cell>
          <cell r="D90" t="str">
            <v>DXIYG</v>
          </cell>
          <cell r="E90" t="str">
            <v>609</v>
          </cell>
          <cell r="F90">
            <v>2840</v>
          </cell>
          <cell r="G90">
            <v>36726</v>
          </cell>
          <cell r="H90">
            <v>864000</v>
          </cell>
          <cell r="I90">
            <v>864000</v>
          </cell>
        </row>
        <row r="91">
          <cell r="A91">
            <v>437</v>
          </cell>
          <cell r="B91">
            <v>17812140609</v>
          </cell>
          <cell r="C91" t="str">
            <v>PT.INTI CAKRAWALA CO</v>
          </cell>
          <cell r="D91" t="str">
            <v>DXIYG</v>
          </cell>
          <cell r="E91" t="str">
            <v>609</v>
          </cell>
          <cell r="F91">
            <v>437</v>
          </cell>
          <cell r="G91">
            <v>36707</v>
          </cell>
          <cell r="H91">
            <v>6466909</v>
          </cell>
          <cell r="I91">
            <v>6466909</v>
          </cell>
        </row>
        <row r="92">
          <cell r="A92">
            <v>438</v>
          </cell>
          <cell r="B92">
            <v>17812140609</v>
          </cell>
          <cell r="C92" t="str">
            <v>PT.INTI CAKRAWALA CO</v>
          </cell>
          <cell r="D92" t="str">
            <v>DXIYG</v>
          </cell>
          <cell r="E92" t="str">
            <v>609</v>
          </cell>
          <cell r="F92">
            <v>438</v>
          </cell>
          <cell r="G92">
            <v>36707</v>
          </cell>
          <cell r="H92">
            <v>646691</v>
          </cell>
          <cell r="I92">
            <v>646691</v>
          </cell>
        </row>
        <row r="93">
          <cell r="A93">
            <v>443</v>
          </cell>
          <cell r="B93">
            <v>17812140609</v>
          </cell>
          <cell r="C93" t="str">
            <v>INTI CAKRAWALA COPRO</v>
          </cell>
          <cell r="D93" t="str">
            <v>DXIYG</v>
          </cell>
          <cell r="E93" t="str">
            <v>609</v>
          </cell>
          <cell r="F93">
            <v>443</v>
          </cell>
          <cell r="G93">
            <v>36712</v>
          </cell>
          <cell r="H93">
            <v>856865</v>
          </cell>
          <cell r="I93">
            <v>856865</v>
          </cell>
        </row>
        <row r="94">
          <cell r="A94">
            <v>444</v>
          </cell>
          <cell r="B94">
            <v>17812140609</v>
          </cell>
          <cell r="C94" t="str">
            <v>PT.INTI CAKRAWALA CO</v>
          </cell>
          <cell r="D94" t="str">
            <v>DXIYG</v>
          </cell>
          <cell r="E94" t="str">
            <v>609</v>
          </cell>
          <cell r="F94">
            <v>444</v>
          </cell>
          <cell r="G94">
            <v>36712</v>
          </cell>
          <cell r="H94">
            <v>117262</v>
          </cell>
          <cell r="I94">
            <v>117262</v>
          </cell>
        </row>
        <row r="95">
          <cell r="A95">
            <v>3294</v>
          </cell>
          <cell r="B95">
            <v>60638533042</v>
          </cell>
          <cell r="C95" t="str">
            <v>ALI SUDJONO</v>
          </cell>
          <cell r="D95" t="str">
            <v>NHAFD</v>
          </cell>
          <cell r="E95" t="str">
            <v>042</v>
          </cell>
          <cell r="F95">
            <v>3294</v>
          </cell>
          <cell r="G95">
            <v>36738</v>
          </cell>
          <cell r="H95">
            <v>2699667</v>
          </cell>
          <cell r="I95">
            <v>2699667</v>
          </cell>
        </row>
        <row r="96">
          <cell r="A96">
            <v>2172</v>
          </cell>
          <cell r="B96">
            <v>62821137015</v>
          </cell>
          <cell r="C96" t="str">
            <v>PD.MEGAH LESTARI</v>
          </cell>
          <cell r="D96" t="str">
            <v>NTLBT</v>
          </cell>
          <cell r="E96" t="str">
            <v>015</v>
          </cell>
          <cell r="F96">
            <v>2172</v>
          </cell>
          <cell r="G96">
            <v>36718</v>
          </cell>
          <cell r="H96">
            <v>798277</v>
          </cell>
          <cell r="I96">
            <v>798277</v>
          </cell>
        </row>
        <row r="97">
          <cell r="A97">
            <v>2185</v>
          </cell>
          <cell r="B97">
            <v>62821137015</v>
          </cell>
          <cell r="C97" t="str">
            <v>PD.MEGAH LESTARI</v>
          </cell>
          <cell r="D97" t="str">
            <v>NTLBT</v>
          </cell>
          <cell r="E97" t="str">
            <v>015</v>
          </cell>
          <cell r="F97">
            <v>2185</v>
          </cell>
          <cell r="G97">
            <v>36728</v>
          </cell>
          <cell r="H97">
            <v>2619882</v>
          </cell>
          <cell r="I97">
            <v>2619882</v>
          </cell>
        </row>
        <row r="98">
          <cell r="H98">
            <v>142763505</v>
          </cell>
          <cell r="I98">
            <v>138248533</v>
          </cell>
        </row>
        <row r="101">
          <cell r="A101">
            <v>8166</v>
          </cell>
          <cell r="B101">
            <v>10016616426</v>
          </cell>
          <cell r="C101" t="str">
            <v>PT. CIPTA NIAGA</v>
          </cell>
          <cell r="D101" t="str">
            <v>CEZTL</v>
          </cell>
          <cell r="E101" t="str">
            <v>426</v>
          </cell>
          <cell r="F101">
            <v>8166</v>
          </cell>
          <cell r="G101">
            <v>36740</v>
          </cell>
          <cell r="H101">
            <v>18360331</v>
          </cell>
          <cell r="I101">
            <v>18360331</v>
          </cell>
        </row>
        <row r="102">
          <cell r="A102">
            <v>9525</v>
          </cell>
          <cell r="B102">
            <v>13297411003</v>
          </cell>
          <cell r="C102" t="str">
            <v>PT. INDOTRACOSAKTI</v>
          </cell>
          <cell r="D102" t="str">
            <v>CXRBX</v>
          </cell>
          <cell r="E102" t="str">
            <v>003</v>
          </cell>
          <cell r="F102">
            <v>9525</v>
          </cell>
          <cell r="G102">
            <v>36742</v>
          </cell>
          <cell r="H102">
            <v>216000</v>
          </cell>
          <cell r="I102">
            <v>216000</v>
          </cell>
        </row>
        <row r="103">
          <cell r="A103">
            <v>9666</v>
          </cell>
          <cell r="B103">
            <v>13297411003</v>
          </cell>
          <cell r="C103" t="str">
            <v>PT. INDOTRACOSAKTI</v>
          </cell>
          <cell r="D103" t="str">
            <v>CXRBX</v>
          </cell>
          <cell r="E103" t="str">
            <v>003</v>
          </cell>
          <cell r="F103">
            <v>9666</v>
          </cell>
          <cell r="G103">
            <v>36750</v>
          </cell>
          <cell r="H103">
            <v>216000</v>
          </cell>
          <cell r="I103">
            <v>216000</v>
          </cell>
        </row>
        <row r="104">
          <cell r="A104">
            <v>26244</v>
          </cell>
          <cell r="B104">
            <v>13358083354</v>
          </cell>
          <cell r="C104" t="str">
            <v>PT. ALFA RETALINDO</v>
          </cell>
          <cell r="D104" t="str">
            <v>CYABG</v>
          </cell>
          <cell r="E104" t="str">
            <v>354</v>
          </cell>
          <cell r="F104">
            <v>26244</v>
          </cell>
          <cell r="G104">
            <v>36714</v>
          </cell>
          <cell r="H104">
            <v>1709091</v>
          </cell>
          <cell r="I104">
            <v>1709091</v>
          </cell>
        </row>
        <row r="105">
          <cell r="A105">
            <v>26609</v>
          </cell>
          <cell r="B105">
            <v>13358080054</v>
          </cell>
          <cell r="C105" t="str">
            <v>ALFA RETAILINDO TBK.</v>
          </cell>
          <cell r="D105" t="str">
            <v>CYABG</v>
          </cell>
          <cell r="E105" t="str">
            <v>054</v>
          </cell>
          <cell r="F105">
            <v>26609</v>
          </cell>
          <cell r="G105">
            <v>36732</v>
          </cell>
          <cell r="H105">
            <v>427273</v>
          </cell>
          <cell r="I105">
            <v>427273</v>
          </cell>
        </row>
        <row r="106">
          <cell r="A106">
            <v>26612</v>
          </cell>
          <cell r="B106">
            <v>13358080054</v>
          </cell>
          <cell r="C106" t="str">
            <v>PT. ALFA RETALINDO</v>
          </cell>
          <cell r="D106" t="str">
            <v>CYABG</v>
          </cell>
          <cell r="E106" t="str">
            <v>054</v>
          </cell>
          <cell r="F106">
            <v>26612</v>
          </cell>
          <cell r="G106">
            <v>36733</v>
          </cell>
          <cell r="H106">
            <v>218182</v>
          </cell>
          <cell r="I106">
            <v>218182</v>
          </cell>
        </row>
        <row r="107">
          <cell r="A107">
            <v>26613</v>
          </cell>
          <cell r="B107">
            <v>13358080054</v>
          </cell>
          <cell r="C107" t="str">
            <v>ALFA RETAILINDO TBK.</v>
          </cell>
          <cell r="D107" t="str">
            <v>CYABG</v>
          </cell>
          <cell r="E107" t="str">
            <v>054</v>
          </cell>
          <cell r="F107">
            <v>26613</v>
          </cell>
          <cell r="G107">
            <v>36733</v>
          </cell>
          <cell r="H107">
            <v>1290909</v>
          </cell>
          <cell r="I107">
            <v>1290909</v>
          </cell>
        </row>
        <row r="108">
          <cell r="A108">
            <v>26761</v>
          </cell>
          <cell r="B108">
            <v>13358080054</v>
          </cell>
          <cell r="C108" t="str">
            <v>PT. ALFA RETALINDO</v>
          </cell>
          <cell r="D108" t="str">
            <v>CYABG</v>
          </cell>
          <cell r="E108" t="str">
            <v>054</v>
          </cell>
          <cell r="F108">
            <v>26761</v>
          </cell>
          <cell r="G108">
            <v>36735</v>
          </cell>
          <cell r="H108">
            <v>87273</v>
          </cell>
          <cell r="I108">
            <v>87273</v>
          </cell>
        </row>
        <row r="109">
          <cell r="A109">
            <v>26762</v>
          </cell>
          <cell r="B109">
            <v>13358080054</v>
          </cell>
          <cell r="C109" t="str">
            <v>PT. ALFA RETALINDO</v>
          </cell>
          <cell r="D109" t="str">
            <v>CYABG</v>
          </cell>
          <cell r="E109" t="str">
            <v>054</v>
          </cell>
          <cell r="F109">
            <v>26762</v>
          </cell>
          <cell r="G109">
            <v>36736</v>
          </cell>
          <cell r="H109">
            <v>109091</v>
          </cell>
          <cell r="I109">
            <v>109091</v>
          </cell>
        </row>
        <row r="110">
          <cell r="A110">
            <v>26825</v>
          </cell>
          <cell r="B110">
            <v>13358080054</v>
          </cell>
          <cell r="C110" t="str">
            <v>PT. ALFA RETALINDO</v>
          </cell>
          <cell r="D110" t="str">
            <v>CYABG</v>
          </cell>
          <cell r="E110" t="str">
            <v>054</v>
          </cell>
          <cell r="F110">
            <v>26825</v>
          </cell>
          <cell r="G110">
            <v>36740</v>
          </cell>
          <cell r="H110">
            <v>130909</v>
          </cell>
          <cell r="I110">
            <v>130909</v>
          </cell>
        </row>
        <row r="111">
          <cell r="A111">
            <v>26963</v>
          </cell>
          <cell r="B111">
            <v>13358083354</v>
          </cell>
          <cell r="C111" t="str">
            <v>PT. ALFA RETALINDO</v>
          </cell>
          <cell r="D111" t="str">
            <v>CYABG</v>
          </cell>
          <cell r="E111" t="str">
            <v>354</v>
          </cell>
          <cell r="F111">
            <v>26963</v>
          </cell>
          <cell r="G111">
            <v>36748</v>
          </cell>
          <cell r="H111">
            <v>436364</v>
          </cell>
          <cell r="I111">
            <v>436364</v>
          </cell>
        </row>
        <row r="112">
          <cell r="A112">
            <v>27010</v>
          </cell>
          <cell r="B112">
            <v>13358080054</v>
          </cell>
          <cell r="C112" t="str">
            <v>PT. ALFA RETALINDO</v>
          </cell>
          <cell r="D112" t="str">
            <v>CYABG</v>
          </cell>
          <cell r="E112" t="str">
            <v>054</v>
          </cell>
          <cell r="F112">
            <v>27010</v>
          </cell>
          <cell r="G112">
            <v>36748</v>
          </cell>
          <cell r="H112">
            <v>130909</v>
          </cell>
          <cell r="I112">
            <v>130909</v>
          </cell>
        </row>
        <row r="113">
          <cell r="A113">
            <v>4322</v>
          </cell>
          <cell r="B113">
            <v>13358083354</v>
          </cell>
          <cell r="C113" t="str">
            <v>PT. ALFA RETALINDO</v>
          </cell>
          <cell r="D113" t="str">
            <v>CYABG</v>
          </cell>
          <cell r="E113" t="str">
            <v>354</v>
          </cell>
          <cell r="F113">
            <v>4322</v>
          </cell>
          <cell r="G113">
            <v>36720</v>
          </cell>
          <cell r="H113">
            <v>758409</v>
          </cell>
          <cell r="I113">
            <v>758409</v>
          </cell>
        </row>
        <row r="114">
          <cell r="A114">
            <v>4504</v>
          </cell>
          <cell r="B114">
            <v>13358083354</v>
          </cell>
          <cell r="C114" t="str">
            <v>PT. ALFA RETALINDO</v>
          </cell>
          <cell r="D114" t="str">
            <v>CYABG</v>
          </cell>
          <cell r="E114" t="str">
            <v>354</v>
          </cell>
          <cell r="F114">
            <v>4504</v>
          </cell>
          <cell r="G114">
            <v>36741</v>
          </cell>
          <cell r="H114">
            <v>414545</v>
          </cell>
          <cell r="I114">
            <v>414545</v>
          </cell>
        </row>
        <row r="115">
          <cell r="A115">
            <v>4512</v>
          </cell>
          <cell r="B115">
            <v>13358083354</v>
          </cell>
          <cell r="C115" t="str">
            <v>PT. ALFA RETALINDO</v>
          </cell>
          <cell r="D115" t="str">
            <v>CYABG</v>
          </cell>
          <cell r="E115" t="str">
            <v>354</v>
          </cell>
          <cell r="F115">
            <v>4512</v>
          </cell>
          <cell r="G115">
            <v>36749</v>
          </cell>
          <cell r="H115">
            <v>349091</v>
          </cell>
          <cell r="I115">
            <v>349091</v>
          </cell>
        </row>
        <row r="116">
          <cell r="A116">
            <v>750</v>
          </cell>
          <cell r="B116">
            <v>13358080407</v>
          </cell>
          <cell r="C116" t="str">
            <v>PT. ALFA RATELINDO</v>
          </cell>
          <cell r="D116" t="str">
            <v>CYABG</v>
          </cell>
          <cell r="E116" t="str">
            <v>407</v>
          </cell>
          <cell r="F116">
            <v>750</v>
          </cell>
          <cell r="G116">
            <v>36741</v>
          </cell>
          <cell r="H116">
            <v>916364</v>
          </cell>
          <cell r="I116">
            <v>916364</v>
          </cell>
        </row>
        <row r="117">
          <cell r="A117">
            <v>751</v>
          </cell>
          <cell r="B117">
            <v>13358080407</v>
          </cell>
          <cell r="C117" t="str">
            <v>PT. ALFA RATELINDO</v>
          </cell>
          <cell r="D117" t="str">
            <v>CYABG</v>
          </cell>
          <cell r="E117" t="str">
            <v>407</v>
          </cell>
          <cell r="F117">
            <v>751</v>
          </cell>
          <cell r="G117">
            <v>36742</v>
          </cell>
          <cell r="H117">
            <v>881455</v>
          </cell>
          <cell r="I117">
            <v>881455</v>
          </cell>
        </row>
        <row r="118">
          <cell r="A118">
            <v>811</v>
          </cell>
          <cell r="B118">
            <v>13358080407</v>
          </cell>
          <cell r="C118" t="str">
            <v>PT. ALFA RATELINDO</v>
          </cell>
          <cell r="D118" t="str">
            <v>CYABG</v>
          </cell>
          <cell r="E118" t="str">
            <v>407</v>
          </cell>
          <cell r="F118">
            <v>811</v>
          </cell>
          <cell r="G118">
            <v>36760</v>
          </cell>
          <cell r="H118">
            <v>916364</v>
          </cell>
          <cell r="I118">
            <v>916364</v>
          </cell>
        </row>
        <row r="119">
          <cell r="A119">
            <v>196216</v>
          </cell>
          <cell r="B119">
            <v>13682331041</v>
          </cell>
          <cell r="C119" t="str">
            <v>PT. MULTI HUSADA FAR</v>
          </cell>
          <cell r="D119" t="str">
            <v>CZWAJ</v>
          </cell>
          <cell r="E119" t="str">
            <v>041</v>
          </cell>
          <cell r="F119">
            <v>196216</v>
          </cell>
          <cell r="G119">
            <v>36752</v>
          </cell>
          <cell r="H119">
            <v>18001526</v>
          </cell>
          <cell r="I119">
            <v>18001526</v>
          </cell>
        </row>
        <row r="120">
          <cell r="A120">
            <v>207880</v>
          </cell>
          <cell r="B120">
            <v>15620248056</v>
          </cell>
          <cell r="C120" t="str">
            <v>MAKRO INDONESIA</v>
          </cell>
          <cell r="D120" t="str">
            <v>DKWRW</v>
          </cell>
          <cell r="E120" t="str">
            <v>056</v>
          </cell>
          <cell r="F120">
            <v>207880</v>
          </cell>
          <cell r="G120">
            <v>36732</v>
          </cell>
          <cell r="H120">
            <v>433944</v>
          </cell>
          <cell r="I120">
            <v>433944</v>
          </cell>
        </row>
        <row r="121">
          <cell r="A121">
            <v>460786</v>
          </cell>
          <cell r="B121">
            <v>15620248411</v>
          </cell>
          <cell r="C121" t="str">
            <v>MAKRO INDONESIA</v>
          </cell>
          <cell r="D121" t="str">
            <v>DKWRW</v>
          </cell>
          <cell r="E121" t="str">
            <v>411</v>
          </cell>
          <cell r="F121">
            <v>460786</v>
          </cell>
          <cell r="G121">
            <v>36728</v>
          </cell>
          <cell r="H121">
            <v>169650</v>
          </cell>
          <cell r="I121">
            <v>169650</v>
          </cell>
        </row>
        <row r="122">
          <cell r="A122">
            <v>460864</v>
          </cell>
          <cell r="B122">
            <v>15620248411</v>
          </cell>
          <cell r="C122" t="str">
            <v>MAKRO INDONESIA</v>
          </cell>
          <cell r="D122" t="str">
            <v>DKWRW</v>
          </cell>
          <cell r="E122" t="str">
            <v>411</v>
          </cell>
          <cell r="F122">
            <v>460864</v>
          </cell>
          <cell r="G122">
            <v>36742</v>
          </cell>
          <cell r="H122">
            <v>217500</v>
          </cell>
          <cell r="I122">
            <v>217500</v>
          </cell>
        </row>
        <row r="123">
          <cell r="A123">
            <v>1991671</v>
          </cell>
          <cell r="B123">
            <v>15620248424</v>
          </cell>
          <cell r="C123" t="str">
            <v>PT.MAKRO INDO.MAKRO-</v>
          </cell>
          <cell r="D123" t="str">
            <v>DKWRW</v>
          </cell>
          <cell r="E123" t="str">
            <v>424</v>
          </cell>
          <cell r="F123">
            <v>1991671</v>
          </cell>
          <cell r="G123">
            <v>36726</v>
          </cell>
          <cell r="H123">
            <v>435000</v>
          </cell>
          <cell r="I123">
            <v>435000</v>
          </cell>
        </row>
        <row r="124">
          <cell r="A124">
            <v>1991750</v>
          </cell>
          <cell r="B124">
            <v>15620248603</v>
          </cell>
          <cell r="C124" t="str">
            <v>PT. MAKRO INDONESIA</v>
          </cell>
          <cell r="D124" t="str">
            <v>DKWRW</v>
          </cell>
          <cell r="E124" t="str">
            <v>603</v>
          </cell>
          <cell r="F124">
            <v>1991750</v>
          </cell>
          <cell r="G124">
            <v>36731</v>
          </cell>
          <cell r="H124">
            <v>1740000</v>
          </cell>
          <cell r="I124">
            <v>1740000</v>
          </cell>
        </row>
        <row r="125">
          <cell r="A125">
            <v>1991900</v>
          </cell>
          <cell r="B125">
            <v>15620248603</v>
          </cell>
          <cell r="C125" t="str">
            <v>PT. MAKRO INDONESIA</v>
          </cell>
          <cell r="D125" t="str">
            <v>DKWRW</v>
          </cell>
          <cell r="E125" t="str">
            <v>603</v>
          </cell>
          <cell r="F125">
            <v>1991900</v>
          </cell>
          <cell r="G125">
            <v>36740</v>
          </cell>
          <cell r="H125">
            <v>1300650</v>
          </cell>
          <cell r="I125">
            <v>1300650</v>
          </cell>
        </row>
        <row r="126">
          <cell r="A126">
            <v>3196478</v>
          </cell>
          <cell r="B126">
            <v>15620248603</v>
          </cell>
          <cell r="C126" t="str">
            <v>PT. MAKRO INDONESIA</v>
          </cell>
          <cell r="D126" t="str">
            <v>DKWRW</v>
          </cell>
          <cell r="E126" t="str">
            <v>603</v>
          </cell>
          <cell r="F126">
            <v>3196478</v>
          </cell>
          <cell r="G126">
            <v>36762</v>
          </cell>
          <cell r="H126">
            <v>9352500</v>
          </cell>
          <cell r="I126">
            <v>9352500</v>
          </cell>
        </row>
        <row r="127">
          <cell r="A127">
            <v>2893</v>
          </cell>
          <cell r="B127">
            <v>17812140609</v>
          </cell>
          <cell r="C127" t="str">
            <v>PT.INTI CAKRAWALA CO</v>
          </cell>
          <cell r="D127" t="str">
            <v>DXIYG</v>
          </cell>
          <cell r="E127" t="str">
            <v>609</v>
          </cell>
          <cell r="F127">
            <v>2893</v>
          </cell>
          <cell r="G127">
            <v>36731</v>
          </cell>
          <cell r="H127">
            <v>1291182</v>
          </cell>
          <cell r="I127">
            <v>432000</v>
          </cell>
        </row>
        <row r="128">
          <cell r="A128">
            <v>2964</v>
          </cell>
          <cell r="B128">
            <v>17812140041</v>
          </cell>
          <cell r="C128" t="str">
            <v>PT. INTI CAKRAWALA C</v>
          </cell>
          <cell r="D128" t="str">
            <v>DXIYG</v>
          </cell>
          <cell r="E128" t="str">
            <v>041</v>
          </cell>
          <cell r="F128">
            <v>2964</v>
          </cell>
          <cell r="G128">
            <v>36733</v>
          </cell>
          <cell r="H128">
            <v>345600</v>
          </cell>
          <cell r="I128">
            <v>345600</v>
          </cell>
        </row>
        <row r="129">
          <cell r="A129">
            <v>3106</v>
          </cell>
          <cell r="B129">
            <v>17812140041</v>
          </cell>
          <cell r="C129" t="str">
            <v>PT. INTI CAKRAWALA C</v>
          </cell>
          <cell r="D129" t="str">
            <v>DXIYG</v>
          </cell>
          <cell r="E129" t="str">
            <v>041</v>
          </cell>
          <cell r="F129">
            <v>3106</v>
          </cell>
          <cell r="G129">
            <v>36742</v>
          </cell>
          <cell r="H129">
            <v>216000</v>
          </cell>
          <cell r="I129">
            <v>216000</v>
          </cell>
        </row>
        <row r="130">
          <cell r="A130">
            <v>3347</v>
          </cell>
          <cell r="D130" t="str">
            <v>DXIYG</v>
          </cell>
          <cell r="E130" t="str">
            <v>041</v>
          </cell>
          <cell r="F130">
            <v>3347</v>
          </cell>
          <cell r="G130">
            <v>36749</v>
          </cell>
          <cell r="H130">
            <v>324000</v>
          </cell>
          <cell r="I130">
            <v>86530</v>
          </cell>
        </row>
        <row r="131">
          <cell r="I131">
            <v>60299460</v>
          </cell>
        </row>
        <row r="132">
          <cell r="A132">
            <v>198696</v>
          </cell>
          <cell r="B132">
            <v>13688233101</v>
          </cell>
          <cell r="C132" t="str">
            <v>PT.MULTI HUSADA FARM</v>
          </cell>
          <cell r="D132" t="str">
            <v>CZWXB</v>
          </cell>
          <cell r="E132" t="str">
            <v>101</v>
          </cell>
          <cell r="F132">
            <v>198696</v>
          </cell>
          <cell r="G132">
            <v>36770</v>
          </cell>
          <cell r="H132">
            <v>18001526</v>
          </cell>
          <cell r="I132">
            <v>18001526</v>
          </cell>
        </row>
        <row r="133">
          <cell r="A133">
            <v>199646</v>
          </cell>
          <cell r="B133">
            <v>13688233101</v>
          </cell>
          <cell r="C133" t="str">
            <v>PT.MULTI HUSADA FARM</v>
          </cell>
          <cell r="D133" t="str">
            <v>CZWXB</v>
          </cell>
          <cell r="E133" t="str">
            <v>101</v>
          </cell>
          <cell r="F133">
            <v>199646</v>
          </cell>
          <cell r="G133">
            <v>36778</v>
          </cell>
          <cell r="H133">
            <v>18001526</v>
          </cell>
          <cell r="I133">
            <v>18001526</v>
          </cell>
        </row>
        <row r="134">
          <cell r="A134">
            <v>199654</v>
          </cell>
          <cell r="B134">
            <v>13688233101</v>
          </cell>
          <cell r="C134" t="str">
            <v>PT.MULTI HUSADA FARM</v>
          </cell>
          <cell r="D134" t="str">
            <v>CZWXB</v>
          </cell>
          <cell r="E134" t="str">
            <v>101</v>
          </cell>
          <cell r="F134">
            <v>199654</v>
          </cell>
          <cell r="G134">
            <v>36785</v>
          </cell>
          <cell r="H134">
            <v>18001526</v>
          </cell>
          <cell r="I134">
            <v>18001526</v>
          </cell>
        </row>
        <row r="135">
          <cell r="A135">
            <v>3197219</v>
          </cell>
          <cell r="B135">
            <v>15620249603</v>
          </cell>
          <cell r="C135" t="str">
            <v xml:space="preserve">PT.MAKRO INDONESIOA </v>
          </cell>
          <cell r="D135" t="str">
            <v>DKWRW</v>
          </cell>
          <cell r="E135" t="str">
            <v>603</v>
          </cell>
          <cell r="F135">
            <v>3197219</v>
          </cell>
          <cell r="G135">
            <v>36787</v>
          </cell>
          <cell r="H135">
            <v>9352500</v>
          </cell>
          <cell r="I135">
            <v>9352500</v>
          </cell>
        </row>
        <row r="136">
          <cell r="A136">
            <v>3197455</v>
          </cell>
          <cell r="B136">
            <v>15620249603</v>
          </cell>
          <cell r="C136" t="str">
            <v xml:space="preserve">PT.MAKRO INDONESIOA </v>
          </cell>
          <cell r="D136" t="str">
            <v>DKWRW</v>
          </cell>
          <cell r="E136" t="str">
            <v>603</v>
          </cell>
          <cell r="F136">
            <v>3197455</v>
          </cell>
          <cell r="G136">
            <v>36794</v>
          </cell>
          <cell r="H136">
            <v>9391200</v>
          </cell>
          <cell r="I136">
            <v>9391200</v>
          </cell>
        </row>
        <row r="137">
          <cell r="A137">
            <v>1023</v>
          </cell>
          <cell r="B137">
            <v>17725250422</v>
          </cell>
          <cell r="C137" t="str">
            <v xml:space="preserve">PT.SATRIA PRIMAJAYA </v>
          </cell>
          <cell r="D137" t="str">
            <v>DWWCB</v>
          </cell>
          <cell r="E137" t="str">
            <v>422</v>
          </cell>
          <cell r="F137">
            <v>1023</v>
          </cell>
          <cell r="G137">
            <v>36775</v>
          </cell>
          <cell r="H137">
            <v>3080000</v>
          </cell>
          <cell r="I137">
            <v>1199345</v>
          </cell>
        </row>
        <row r="138">
          <cell r="A138">
            <v>1024</v>
          </cell>
          <cell r="B138">
            <v>17725250422</v>
          </cell>
          <cell r="C138" t="str">
            <v xml:space="preserve">PT.SATRIA PRIMAJAYA </v>
          </cell>
          <cell r="D138" t="str">
            <v>DWWCB</v>
          </cell>
          <cell r="E138" t="str">
            <v>422</v>
          </cell>
          <cell r="F138">
            <v>1024</v>
          </cell>
          <cell r="G138">
            <v>36775</v>
          </cell>
          <cell r="H138">
            <v>8580000</v>
          </cell>
          <cell r="I138">
            <v>8580000</v>
          </cell>
        </row>
        <row r="139">
          <cell r="H139">
            <v>84408278</v>
          </cell>
        </row>
        <row r="141">
          <cell r="A141">
            <v>202818</v>
          </cell>
          <cell r="B141">
            <v>13682331041</v>
          </cell>
          <cell r="C141" t="str">
            <v>MULTI HUSADA FARMA</v>
          </cell>
          <cell r="D141" t="str">
            <v>CZWAJ</v>
          </cell>
          <cell r="E141" t="str">
            <v>041</v>
          </cell>
          <cell r="F141">
            <v>202818</v>
          </cell>
          <cell r="G141">
            <v>36830</v>
          </cell>
          <cell r="H141">
            <v>27410400</v>
          </cell>
          <cell r="I141">
            <v>4618285</v>
          </cell>
        </row>
        <row r="142">
          <cell r="A142">
            <v>2520</v>
          </cell>
          <cell r="B142">
            <v>13706999403</v>
          </cell>
          <cell r="C142" t="str">
            <v>MITRA SARANA PURNAMA</v>
          </cell>
          <cell r="D142" t="str">
            <v>CZZRF</v>
          </cell>
          <cell r="E142" t="str">
            <v>403</v>
          </cell>
          <cell r="F142">
            <v>2520</v>
          </cell>
          <cell r="G142">
            <v>36801</v>
          </cell>
          <cell r="H142">
            <v>4288757</v>
          </cell>
          <cell r="I142">
            <v>4288757</v>
          </cell>
        </row>
        <row r="143">
          <cell r="A143">
            <v>2844</v>
          </cell>
          <cell r="B143">
            <v>13706999403</v>
          </cell>
          <cell r="C143" t="str">
            <v>MITRA SARANA PURNAMA</v>
          </cell>
          <cell r="D143" t="str">
            <v>CZZRF</v>
          </cell>
          <cell r="E143" t="str">
            <v>403</v>
          </cell>
          <cell r="F143">
            <v>2844</v>
          </cell>
          <cell r="G143">
            <v>36801</v>
          </cell>
          <cell r="H143">
            <v>6873</v>
          </cell>
          <cell r="I143">
            <v>6873</v>
          </cell>
        </row>
        <row r="144">
          <cell r="A144">
            <v>126704</v>
          </cell>
          <cell r="B144">
            <v>15620248056</v>
          </cell>
          <cell r="C144" t="str">
            <v>MAKRO INDONESIA PASA</v>
          </cell>
          <cell r="D144" t="str">
            <v>DKWRW</v>
          </cell>
          <cell r="E144" t="str">
            <v>056</v>
          </cell>
          <cell r="F144">
            <v>126704</v>
          </cell>
          <cell r="G144">
            <v>36798</v>
          </cell>
          <cell r="H144">
            <v>3653820</v>
          </cell>
          <cell r="I144">
            <v>3653820</v>
          </cell>
        </row>
        <row r="145">
          <cell r="A145">
            <v>126705</v>
          </cell>
          <cell r="B145">
            <v>15620248056</v>
          </cell>
          <cell r="C145" t="str">
            <v>MAKRO INDONESIA PASA</v>
          </cell>
          <cell r="D145" t="str">
            <v>DKWRW</v>
          </cell>
          <cell r="E145" t="str">
            <v>056</v>
          </cell>
          <cell r="F145">
            <v>126705</v>
          </cell>
          <cell r="G145">
            <v>36798</v>
          </cell>
          <cell r="H145">
            <v>1554780</v>
          </cell>
          <cell r="I145">
            <v>1554780</v>
          </cell>
        </row>
        <row r="146">
          <cell r="A146">
            <v>126707</v>
          </cell>
          <cell r="B146">
            <v>15620248056</v>
          </cell>
          <cell r="C146" t="str">
            <v>MAKRO INDONESIA PASA</v>
          </cell>
          <cell r="D146" t="str">
            <v>DKWRW</v>
          </cell>
          <cell r="E146" t="str">
            <v>056</v>
          </cell>
          <cell r="F146">
            <v>126707</v>
          </cell>
          <cell r="G146">
            <v>36798</v>
          </cell>
          <cell r="H146">
            <v>45810</v>
          </cell>
          <cell r="I146">
            <v>45810</v>
          </cell>
        </row>
        <row r="147">
          <cell r="A147">
            <v>217566</v>
          </cell>
          <cell r="B147">
            <v>15620248056</v>
          </cell>
          <cell r="C147" t="str">
            <v>MAKRO INDONESIA PASA</v>
          </cell>
          <cell r="D147" t="str">
            <v>DKWRW</v>
          </cell>
          <cell r="E147" t="str">
            <v>056</v>
          </cell>
          <cell r="F147">
            <v>217566</v>
          </cell>
          <cell r="G147">
            <v>36826</v>
          </cell>
          <cell r="H147">
            <v>10277385</v>
          </cell>
          <cell r="I147">
            <v>10277385</v>
          </cell>
        </row>
        <row r="148">
          <cell r="A148">
            <v>4218168</v>
          </cell>
          <cell r="B148">
            <v>15620248056</v>
          </cell>
          <cell r="C148" t="str">
            <v>MAKRO INDONESIA MERU</v>
          </cell>
          <cell r="D148" t="str">
            <v>DKWRW</v>
          </cell>
          <cell r="E148" t="str">
            <v>056</v>
          </cell>
          <cell r="F148">
            <v>4218168</v>
          </cell>
          <cell r="G148">
            <v>36802</v>
          </cell>
          <cell r="H148">
            <v>3109560</v>
          </cell>
          <cell r="I148">
            <v>3109560</v>
          </cell>
        </row>
        <row r="149">
          <cell r="A149">
            <v>4218169</v>
          </cell>
          <cell r="B149">
            <v>15620248056</v>
          </cell>
          <cell r="C149" t="str">
            <v>MAKRO INDONESIA MERU</v>
          </cell>
          <cell r="D149" t="str">
            <v>DKWRW</v>
          </cell>
          <cell r="E149" t="str">
            <v>056</v>
          </cell>
          <cell r="F149">
            <v>4218169</v>
          </cell>
          <cell r="G149">
            <v>36802</v>
          </cell>
          <cell r="H149">
            <v>1217940</v>
          </cell>
          <cell r="I149">
            <v>1217940</v>
          </cell>
        </row>
        <row r="150">
          <cell r="A150">
            <v>4218291</v>
          </cell>
          <cell r="B150">
            <v>15620248056</v>
          </cell>
          <cell r="C150" t="str">
            <v>MAKRO INDONESIA MERU</v>
          </cell>
          <cell r="D150" t="str">
            <v>DKWRW</v>
          </cell>
          <cell r="E150" t="str">
            <v>056</v>
          </cell>
          <cell r="F150">
            <v>4218291</v>
          </cell>
          <cell r="G150">
            <v>36811</v>
          </cell>
          <cell r="H150">
            <v>793020</v>
          </cell>
          <cell r="I150">
            <v>793020</v>
          </cell>
        </row>
        <row r="151">
          <cell r="A151">
            <v>139527</v>
          </cell>
          <cell r="B151">
            <v>15620248407</v>
          </cell>
          <cell r="C151" t="str">
            <v>MAKRO INDONESIA CIBI</v>
          </cell>
          <cell r="D151" t="str">
            <v>DKWRW</v>
          </cell>
          <cell r="E151" t="str">
            <v>407</v>
          </cell>
          <cell r="F151">
            <v>139527</v>
          </cell>
          <cell r="G151">
            <v>36796</v>
          </cell>
          <cell r="H151">
            <v>3044850</v>
          </cell>
          <cell r="I151">
            <v>3044850</v>
          </cell>
        </row>
        <row r="152">
          <cell r="A152">
            <v>139528</v>
          </cell>
          <cell r="B152">
            <v>15620248407</v>
          </cell>
          <cell r="C152" t="str">
            <v>MAKRO INDONESIA CIBI</v>
          </cell>
          <cell r="D152" t="str">
            <v>DKWRW</v>
          </cell>
          <cell r="E152" t="str">
            <v>407</v>
          </cell>
          <cell r="F152">
            <v>139528</v>
          </cell>
          <cell r="G152">
            <v>36796</v>
          </cell>
          <cell r="H152">
            <v>3886950</v>
          </cell>
          <cell r="I152">
            <v>3886950</v>
          </cell>
        </row>
        <row r="153">
          <cell r="A153">
            <v>139573</v>
          </cell>
          <cell r="B153">
            <v>15620248407</v>
          </cell>
          <cell r="C153" t="str">
            <v>MAKRO INDONESIA CIBI</v>
          </cell>
          <cell r="D153" t="str">
            <v>DKWRW</v>
          </cell>
          <cell r="E153" t="str">
            <v>407</v>
          </cell>
          <cell r="F153">
            <v>139573</v>
          </cell>
          <cell r="G153">
            <v>36804</v>
          </cell>
          <cell r="H153">
            <v>1189530</v>
          </cell>
          <cell r="I153">
            <v>1189530</v>
          </cell>
        </row>
        <row r="154">
          <cell r="A154">
            <v>399337</v>
          </cell>
          <cell r="B154">
            <v>15620248407</v>
          </cell>
          <cell r="C154" t="str">
            <v>MAKRO INDONESIA CIBI</v>
          </cell>
          <cell r="D154" t="str">
            <v>DKWRW</v>
          </cell>
          <cell r="E154" t="str">
            <v>407</v>
          </cell>
          <cell r="F154">
            <v>399337</v>
          </cell>
          <cell r="G154">
            <v>36798</v>
          </cell>
          <cell r="H154">
            <v>3653820</v>
          </cell>
          <cell r="I154">
            <v>3653820</v>
          </cell>
        </row>
        <row r="155">
          <cell r="A155">
            <v>399338</v>
          </cell>
          <cell r="B155">
            <v>15620248407</v>
          </cell>
          <cell r="C155" t="str">
            <v>MAKRO INDONESIA CIBI</v>
          </cell>
          <cell r="D155" t="str">
            <v>DKWRW</v>
          </cell>
          <cell r="E155" t="str">
            <v>407</v>
          </cell>
          <cell r="F155">
            <v>399338</v>
          </cell>
          <cell r="G155">
            <v>36798</v>
          </cell>
          <cell r="H155">
            <v>1088346</v>
          </cell>
          <cell r="I155">
            <v>1088346</v>
          </cell>
        </row>
        <row r="156">
          <cell r="A156">
            <v>399339</v>
          </cell>
          <cell r="B156">
            <v>15620248407</v>
          </cell>
          <cell r="C156" t="str">
            <v>MAKRO INDONESIA CIBI</v>
          </cell>
          <cell r="D156" t="str">
            <v>DKWRW</v>
          </cell>
          <cell r="E156" t="str">
            <v>407</v>
          </cell>
          <cell r="F156">
            <v>399339</v>
          </cell>
          <cell r="G156">
            <v>36798</v>
          </cell>
          <cell r="H156">
            <v>793020</v>
          </cell>
          <cell r="I156">
            <v>452021</v>
          </cell>
        </row>
        <row r="157">
          <cell r="A157">
            <v>399385</v>
          </cell>
          <cell r="B157">
            <v>15620248407</v>
          </cell>
          <cell r="C157" t="str">
            <v>MAKRO INDONESIA CIBI</v>
          </cell>
          <cell r="D157" t="str">
            <v>DKWRW</v>
          </cell>
          <cell r="E157" t="str">
            <v>407</v>
          </cell>
          <cell r="F157">
            <v>399385</v>
          </cell>
          <cell r="G157">
            <v>36802</v>
          </cell>
          <cell r="H157">
            <v>474997</v>
          </cell>
          <cell r="I157">
            <v>474997</v>
          </cell>
        </row>
        <row r="158">
          <cell r="A158">
            <v>399386</v>
          </cell>
          <cell r="B158">
            <v>15620248407</v>
          </cell>
          <cell r="C158" t="str">
            <v>MAKRO INDONESIA CIBI</v>
          </cell>
          <cell r="D158" t="str">
            <v>DKWRW</v>
          </cell>
          <cell r="E158" t="str">
            <v>407</v>
          </cell>
          <cell r="F158">
            <v>399386</v>
          </cell>
          <cell r="G158">
            <v>36802</v>
          </cell>
          <cell r="H158">
            <v>466434</v>
          </cell>
          <cell r="I158">
            <v>466434</v>
          </cell>
        </row>
        <row r="159">
          <cell r="A159">
            <v>5076046</v>
          </cell>
          <cell r="B159">
            <v>15620248411</v>
          </cell>
          <cell r="C159" t="str">
            <v>MAKRO INDONESIA</v>
          </cell>
          <cell r="D159" t="str">
            <v>DKWRW</v>
          </cell>
          <cell r="E159" t="str">
            <v>411</v>
          </cell>
          <cell r="F159">
            <v>5076046</v>
          </cell>
          <cell r="G159">
            <v>36823</v>
          </cell>
          <cell r="H159">
            <v>11199796</v>
          </cell>
          <cell r="I159">
            <v>11199796</v>
          </cell>
        </row>
        <row r="160">
          <cell r="A160">
            <v>1178267</v>
          </cell>
          <cell r="B160">
            <v>15620248424</v>
          </cell>
          <cell r="C160" t="str">
            <v>MAKRO INDONESIA BAND</v>
          </cell>
          <cell r="D160" t="str">
            <v>DKWRW</v>
          </cell>
          <cell r="E160" t="str">
            <v>424</v>
          </cell>
          <cell r="F160">
            <v>1178267</v>
          </cell>
          <cell r="G160">
            <v>36804</v>
          </cell>
          <cell r="H160">
            <v>1957500</v>
          </cell>
          <cell r="I160">
            <v>1957500</v>
          </cell>
        </row>
        <row r="161">
          <cell r="A161">
            <v>1178293</v>
          </cell>
          <cell r="B161">
            <v>15620248424</v>
          </cell>
          <cell r="C161" t="str">
            <v>MAKRO INDONESIA BAND</v>
          </cell>
          <cell r="D161" t="str">
            <v>DKWRW</v>
          </cell>
          <cell r="E161" t="str">
            <v>424</v>
          </cell>
          <cell r="F161">
            <v>1178293</v>
          </cell>
          <cell r="G161">
            <v>36806</v>
          </cell>
          <cell r="H161">
            <v>451152</v>
          </cell>
          <cell r="I161">
            <v>451152</v>
          </cell>
        </row>
        <row r="162">
          <cell r="A162">
            <v>1178614</v>
          </cell>
          <cell r="B162">
            <v>15620248424</v>
          </cell>
          <cell r="C162" t="str">
            <v>MAKRO INDONESIA BAND</v>
          </cell>
          <cell r="D162" t="str">
            <v>DKWRW</v>
          </cell>
          <cell r="E162" t="str">
            <v>424</v>
          </cell>
          <cell r="F162">
            <v>1178614</v>
          </cell>
          <cell r="G162">
            <v>36825</v>
          </cell>
          <cell r="H162">
            <v>1957500</v>
          </cell>
          <cell r="I162">
            <v>1957500</v>
          </cell>
        </row>
        <row r="163">
          <cell r="A163">
            <v>1978201</v>
          </cell>
          <cell r="B163">
            <v>15620248424</v>
          </cell>
          <cell r="C163" t="str">
            <v>MAKRO INDONESIA BAND</v>
          </cell>
          <cell r="D163" t="str">
            <v>DKWRW</v>
          </cell>
          <cell r="E163" t="str">
            <v>424</v>
          </cell>
          <cell r="F163">
            <v>1978201</v>
          </cell>
          <cell r="G163">
            <v>36802</v>
          </cell>
          <cell r="H163">
            <v>2070600</v>
          </cell>
          <cell r="I163">
            <v>2070600</v>
          </cell>
        </row>
        <row r="164">
          <cell r="A164">
            <v>1992965</v>
          </cell>
          <cell r="B164">
            <v>15620248424</v>
          </cell>
          <cell r="C164" t="str">
            <v>MAKRO INDONESIA BAND</v>
          </cell>
          <cell r="D164" t="str">
            <v>DKWRW</v>
          </cell>
          <cell r="E164" t="str">
            <v>424</v>
          </cell>
          <cell r="F164">
            <v>1992965</v>
          </cell>
          <cell r="G164">
            <v>36798</v>
          </cell>
          <cell r="H164">
            <v>3045000</v>
          </cell>
          <cell r="I164">
            <v>3045000</v>
          </cell>
        </row>
        <row r="165">
          <cell r="A165">
            <v>1993233</v>
          </cell>
          <cell r="B165">
            <v>15620248424</v>
          </cell>
          <cell r="C165" t="str">
            <v>MAKRO INDONESIA BAND</v>
          </cell>
          <cell r="D165" t="str">
            <v>DKWRW</v>
          </cell>
          <cell r="E165" t="str">
            <v>424</v>
          </cell>
          <cell r="F165">
            <v>1993233</v>
          </cell>
          <cell r="G165">
            <v>36811</v>
          </cell>
          <cell r="H165">
            <v>3045000</v>
          </cell>
          <cell r="I165">
            <v>3045000</v>
          </cell>
        </row>
        <row r="166">
          <cell r="A166">
            <v>1993340</v>
          </cell>
          <cell r="B166">
            <v>15620248424</v>
          </cell>
          <cell r="C166" t="str">
            <v>MAKRO INDONESIA BAND</v>
          </cell>
          <cell r="D166" t="str">
            <v>DKWRW</v>
          </cell>
          <cell r="E166" t="str">
            <v>424</v>
          </cell>
          <cell r="F166">
            <v>1993340</v>
          </cell>
          <cell r="G166">
            <v>36815</v>
          </cell>
          <cell r="H166">
            <v>4132500</v>
          </cell>
          <cell r="I166">
            <v>4132500</v>
          </cell>
        </row>
        <row r="167">
          <cell r="A167">
            <v>1993414</v>
          </cell>
          <cell r="B167">
            <v>15620248424</v>
          </cell>
          <cell r="C167" t="str">
            <v>MAKRO INDONESIA BAND</v>
          </cell>
          <cell r="D167" t="str">
            <v>DKWRW</v>
          </cell>
          <cell r="E167" t="str">
            <v>424</v>
          </cell>
          <cell r="F167">
            <v>1993414</v>
          </cell>
          <cell r="G167">
            <v>36819</v>
          </cell>
          <cell r="H167">
            <v>4350000</v>
          </cell>
          <cell r="I167">
            <v>4350000</v>
          </cell>
        </row>
        <row r="168">
          <cell r="A168">
            <v>3198084</v>
          </cell>
          <cell r="B168">
            <v>15620248603</v>
          </cell>
          <cell r="C168" t="str">
            <v>MAKRO INDONESIA SIDO</v>
          </cell>
          <cell r="D168" t="str">
            <v>DKWRW</v>
          </cell>
          <cell r="E168" t="str">
            <v>603</v>
          </cell>
          <cell r="F168">
            <v>3198084</v>
          </cell>
          <cell r="G168">
            <v>36815</v>
          </cell>
          <cell r="H168">
            <v>1965600</v>
          </cell>
          <cell r="I168">
            <v>1965600</v>
          </cell>
        </row>
        <row r="169">
          <cell r="A169">
            <v>3198191</v>
          </cell>
          <cell r="B169">
            <v>15620248603</v>
          </cell>
          <cell r="C169" t="str">
            <v>MAKRO INDONESIA SIDO</v>
          </cell>
          <cell r="D169" t="str">
            <v>DKWRW</v>
          </cell>
          <cell r="E169" t="str">
            <v>603</v>
          </cell>
          <cell r="F169">
            <v>3198191</v>
          </cell>
          <cell r="G169">
            <v>36819</v>
          </cell>
          <cell r="H169">
            <v>1522500</v>
          </cell>
          <cell r="I169">
            <v>1522500</v>
          </cell>
        </row>
        <row r="170">
          <cell r="A170">
            <v>3198301</v>
          </cell>
          <cell r="B170">
            <v>15620248603</v>
          </cell>
          <cell r="C170" t="str">
            <v>MAKRO INDONESIA SIDO</v>
          </cell>
          <cell r="D170" t="str">
            <v>DKWRW</v>
          </cell>
          <cell r="E170" t="str">
            <v>603</v>
          </cell>
          <cell r="F170">
            <v>3198301</v>
          </cell>
          <cell r="G170">
            <v>36823</v>
          </cell>
          <cell r="H170">
            <v>2827500</v>
          </cell>
          <cell r="I170">
            <v>2827500</v>
          </cell>
        </row>
        <row r="171">
          <cell r="A171">
            <v>232194</v>
          </cell>
          <cell r="B171">
            <v>17662941042</v>
          </cell>
          <cell r="C171" t="str">
            <v>TRIWAHANA JAYA LESTA</v>
          </cell>
          <cell r="D171" t="str">
            <v>DWMWK</v>
          </cell>
          <cell r="E171" t="str">
            <v>042</v>
          </cell>
          <cell r="F171">
            <v>232194</v>
          </cell>
          <cell r="G171">
            <v>36808</v>
          </cell>
          <cell r="H171">
            <v>7850880</v>
          </cell>
          <cell r="I171">
            <v>7850880</v>
          </cell>
        </row>
        <row r="172">
          <cell r="A172">
            <v>1156</v>
          </cell>
          <cell r="B172">
            <v>17725250422</v>
          </cell>
          <cell r="C172" t="str">
            <v xml:space="preserve">PT.SATRIA PRIMAJAYA </v>
          </cell>
          <cell r="D172" t="str">
            <v>DWWCB</v>
          </cell>
          <cell r="E172" t="str">
            <v>422</v>
          </cell>
          <cell r="F172">
            <v>1156</v>
          </cell>
          <cell r="G172">
            <v>36804</v>
          </cell>
          <cell r="H172">
            <v>954000</v>
          </cell>
          <cell r="I172">
            <v>954000</v>
          </cell>
        </row>
        <row r="173">
          <cell r="A173">
            <v>1287</v>
          </cell>
          <cell r="B173">
            <v>17725250422</v>
          </cell>
          <cell r="C173" t="str">
            <v xml:space="preserve">PT.SATRIA PRIMAJAYA </v>
          </cell>
          <cell r="D173" t="str">
            <v>DWWCB</v>
          </cell>
          <cell r="E173" t="str">
            <v>422</v>
          </cell>
          <cell r="F173">
            <v>1287</v>
          </cell>
          <cell r="G173">
            <v>36826</v>
          </cell>
          <cell r="H173">
            <v>433636</v>
          </cell>
          <cell r="I173">
            <v>433636</v>
          </cell>
        </row>
        <row r="174">
          <cell r="A174">
            <v>3623</v>
          </cell>
          <cell r="B174">
            <v>17812144424</v>
          </cell>
          <cell r="C174" t="str">
            <v>INTI CAKRAWALA</v>
          </cell>
          <cell r="D174" t="str">
            <v>DXIYG</v>
          </cell>
          <cell r="E174" t="str">
            <v>424</v>
          </cell>
          <cell r="F174">
            <v>3623</v>
          </cell>
          <cell r="G174">
            <v>36798</v>
          </cell>
          <cell r="H174">
            <v>196300</v>
          </cell>
          <cell r="I174">
            <v>196300</v>
          </cell>
        </row>
        <row r="175">
          <cell r="A175">
            <v>164</v>
          </cell>
          <cell r="B175">
            <v>17812144424</v>
          </cell>
          <cell r="C175" t="str">
            <v>INTI CAKRAWALA</v>
          </cell>
          <cell r="D175" t="str">
            <v>DXIYG</v>
          </cell>
          <cell r="E175" t="str">
            <v>424</v>
          </cell>
          <cell r="F175">
            <v>164</v>
          </cell>
          <cell r="G175">
            <v>36805</v>
          </cell>
          <cell r="H175">
            <v>852273</v>
          </cell>
          <cell r="I175">
            <v>852273</v>
          </cell>
        </row>
        <row r="176">
          <cell r="A176">
            <v>166</v>
          </cell>
          <cell r="B176">
            <v>17812144424</v>
          </cell>
          <cell r="C176" t="str">
            <v>INTI CAKRAWALA</v>
          </cell>
          <cell r="D176" t="str">
            <v>DXIYG</v>
          </cell>
          <cell r="E176" t="str">
            <v>424</v>
          </cell>
          <cell r="F176">
            <v>166</v>
          </cell>
          <cell r="G176">
            <v>36810</v>
          </cell>
          <cell r="H176">
            <v>1278409</v>
          </cell>
          <cell r="I176">
            <v>1278409</v>
          </cell>
        </row>
        <row r="177">
          <cell r="A177">
            <v>174</v>
          </cell>
          <cell r="B177">
            <v>17812144424</v>
          </cell>
          <cell r="C177" t="str">
            <v>INTI CAKRAWALA</v>
          </cell>
          <cell r="D177" t="str">
            <v>DXIYG</v>
          </cell>
          <cell r="E177" t="str">
            <v>424</v>
          </cell>
          <cell r="F177">
            <v>174</v>
          </cell>
          <cell r="G177">
            <v>36816</v>
          </cell>
          <cell r="H177">
            <v>2556818</v>
          </cell>
          <cell r="I177">
            <v>2556818</v>
          </cell>
        </row>
        <row r="178">
          <cell r="A178">
            <v>721</v>
          </cell>
          <cell r="B178">
            <v>17812140609</v>
          </cell>
          <cell r="C178" t="str">
            <v>INTI CAKRAWALA COPRO</v>
          </cell>
          <cell r="D178" t="str">
            <v>DXIYG</v>
          </cell>
          <cell r="E178" t="str">
            <v>609</v>
          </cell>
          <cell r="F178">
            <v>721</v>
          </cell>
          <cell r="G178">
            <v>36819</v>
          </cell>
          <cell r="H178">
            <v>870545</v>
          </cell>
          <cell r="I178">
            <v>870545</v>
          </cell>
        </row>
        <row r="179">
          <cell r="A179">
            <v>722</v>
          </cell>
          <cell r="B179">
            <v>17812144424</v>
          </cell>
          <cell r="C179" t="str">
            <v>INTI CAKRAWALA</v>
          </cell>
          <cell r="D179" t="str">
            <v>DXIYG</v>
          </cell>
          <cell r="E179" t="str">
            <v>424</v>
          </cell>
          <cell r="F179">
            <v>722</v>
          </cell>
          <cell r="G179">
            <v>36819</v>
          </cell>
          <cell r="H179">
            <v>1305818</v>
          </cell>
          <cell r="I179">
            <v>1305818</v>
          </cell>
        </row>
        <row r="180">
          <cell r="A180">
            <v>731</v>
          </cell>
          <cell r="B180">
            <v>17812140609</v>
          </cell>
          <cell r="C180" t="str">
            <v>INTI CAKRAWALA COPRO</v>
          </cell>
          <cell r="D180" t="str">
            <v>DXIYG</v>
          </cell>
          <cell r="E180" t="str">
            <v>609</v>
          </cell>
          <cell r="F180">
            <v>731</v>
          </cell>
          <cell r="G180">
            <v>36822</v>
          </cell>
          <cell r="H180">
            <v>870545</v>
          </cell>
          <cell r="I180">
            <v>870545</v>
          </cell>
        </row>
        <row r="181">
          <cell r="A181">
            <v>3035492</v>
          </cell>
          <cell r="B181">
            <v>18618835056</v>
          </cell>
          <cell r="C181" t="str">
            <v>NESTLE DISTRIBUTION</v>
          </cell>
          <cell r="D181" t="str">
            <v>EBYGX</v>
          </cell>
          <cell r="E181" t="str">
            <v>056</v>
          </cell>
          <cell r="F181">
            <v>3035492</v>
          </cell>
          <cell r="G181">
            <v>36797</v>
          </cell>
          <cell r="H181">
            <v>6368300</v>
          </cell>
          <cell r="I181">
            <v>6368300</v>
          </cell>
        </row>
        <row r="182">
          <cell r="H182">
            <v>129018464</v>
          </cell>
          <cell r="I182">
            <v>105885350</v>
          </cell>
        </row>
        <row r="184">
          <cell r="A184">
            <v>29067</v>
          </cell>
          <cell r="B184">
            <v>13358080054</v>
          </cell>
          <cell r="C184" t="str">
            <v>ALFA RETAILINDO JAKUT</v>
          </cell>
          <cell r="D184" t="str">
            <v>CYABG</v>
          </cell>
          <cell r="E184" t="str">
            <v>054</v>
          </cell>
          <cell r="F184">
            <v>29067</v>
          </cell>
          <cell r="G184">
            <v>36847</v>
          </cell>
          <cell r="H184">
            <v>31636</v>
          </cell>
          <cell r="I184">
            <v>31636</v>
          </cell>
        </row>
        <row r="185">
          <cell r="A185">
            <v>5377</v>
          </cell>
          <cell r="B185">
            <v>13358080402</v>
          </cell>
          <cell r="C185" t="str">
            <v>ALFA RETAILINDO TANG</v>
          </cell>
          <cell r="D185" t="str">
            <v>CYABG</v>
          </cell>
          <cell r="E185" t="str">
            <v>402</v>
          </cell>
          <cell r="F185">
            <v>5377</v>
          </cell>
          <cell r="G185">
            <v>36838</v>
          </cell>
          <cell r="H185">
            <v>2845455</v>
          </cell>
          <cell r="I185">
            <v>2845455</v>
          </cell>
        </row>
        <row r="186">
          <cell r="A186">
            <v>5380</v>
          </cell>
          <cell r="B186">
            <v>13358080402</v>
          </cell>
          <cell r="C186" t="str">
            <v>ALFA RETAILINDO TANG</v>
          </cell>
          <cell r="D186" t="str">
            <v>CYABG</v>
          </cell>
          <cell r="E186" t="str">
            <v>402</v>
          </cell>
          <cell r="F186">
            <v>5380</v>
          </cell>
          <cell r="G186">
            <v>36846</v>
          </cell>
          <cell r="H186">
            <v>316364</v>
          </cell>
          <cell r="I186">
            <v>316364</v>
          </cell>
        </row>
        <row r="187">
          <cell r="A187">
            <v>5381</v>
          </cell>
          <cell r="B187">
            <v>13358080402</v>
          </cell>
          <cell r="C187" t="str">
            <v>ALFA RETAILINDO TANG</v>
          </cell>
          <cell r="D187" t="str">
            <v>CYABG</v>
          </cell>
          <cell r="E187" t="str">
            <v>402</v>
          </cell>
          <cell r="F187">
            <v>5381</v>
          </cell>
          <cell r="G187">
            <v>36838</v>
          </cell>
          <cell r="H187">
            <v>261818</v>
          </cell>
          <cell r="I187">
            <v>261818</v>
          </cell>
        </row>
        <row r="188">
          <cell r="A188">
            <v>1095</v>
          </cell>
          <cell r="B188">
            <v>13358080407</v>
          </cell>
          <cell r="C188" t="str">
            <v>ALFA RETAILINDO BEKA</v>
          </cell>
          <cell r="D188" t="str">
            <v>CYABG</v>
          </cell>
          <cell r="E188" t="str">
            <v>407</v>
          </cell>
          <cell r="F188">
            <v>1095</v>
          </cell>
          <cell r="G188">
            <v>36832</v>
          </cell>
          <cell r="H188">
            <v>916364</v>
          </cell>
          <cell r="I188">
            <v>916364</v>
          </cell>
        </row>
        <row r="189">
          <cell r="A189">
            <v>1100</v>
          </cell>
          <cell r="B189">
            <v>13358080407</v>
          </cell>
          <cell r="C189" t="str">
            <v>ALFA RETAILINDO BEKA</v>
          </cell>
          <cell r="D189" t="str">
            <v>CYABG</v>
          </cell>
          <cell r="E189" t="str">
            <v>407</v>
          </cell>
          <cell r="F189">
            <v>1100</v>
          </cell>
          <cell r="G189">
            <v>36836</v>
          </cell>
          <cell r="H189">
            <v>152727</v>
          </cell>
          <cell r="I189">
            <v>152727</v>
          </cell>
        </row>
        <row r="190">
          <cell r="A190">
            <v>1101</v>
          </cell>
          <cell r="B190">
            <v>13358080407</v>
          </cell>
          <cell r="C190" t="str">
            <v>ALFA RETAILINDO BEKA</v>
          </cell>
          <cell r="D190" t="str">
            <v>CYABG</v>
          </cell>
          <cell r="E190" t="str">
            <v>407</v>
          </cell>
          <cell r="F190">
            <v>1101</v>
          </cell>
          <cell r="G190">
            <v>36836</v>
          </cell>
          <cell r="H190">
            <v>327273</v>
          </cell>
          <cell r="I190">
            <v>327273</v>
          </cell>
        </row>
        <row r="191">
          <cell r="A191">
            <v>1141</v>
          </cell>
          <cell r="B191">
            <v>13358080407</v>
          </cell>
          <cell r="C191" t="str">
            <v>ALFA RETAILINDO BEKA</v>
          </cell>
          <cell r="D191" t="str">
            <v>CYABG</v>
          </cell>
          <cell r="E191" t="str">
            <v>407</v>
          </cell>
          <cell r="F191">
            <v>1141</v>
          </cell>
          <cell r="G191">
            <v>36847</v>
          </cell>
          <cell r="H191">
            <v>240436</v>
          </cell>
          <cell r="I191">
            <v>240436</v>
          </cell>
        </row>
        <row r="192">
          <cell r="A192">
            <v>4277</v>
          </cell>
          <cell r="B192">
            <v>13460001042</v>
          </cell>
          <cell r="C192" t="str">
            <v>BETA SETIA MEGA</v>
          </cell>
          <cell r="D192" t="str">
            <v>CYPDG</v>
          </cell>
          <cell r="E192" t="str">
            <v>042</v>
          </cell>
          <cell r="F192">
            <v>4277</v>
          </cell>
          <cell r="G192">
            <v>36836</v>
          </cell>
          <cell r="H192">
            <v>1178530</v>
          </cell>
          <cell r="I192">
            <v>1178530</v>
          </cell>
        </row>
        <row r="193">
          <cell r="A193">
            <v>4289</v>
          </cell>
          <cell r="B193">
            <v>13460001042</v>
          </cell>
          <cell r="C193" t="str">
            <v>BETA SETIA MEGA</v>
          </cell>
          <cell r="D193" t="str">
            <v>CYPDG</v>
          </cell>
          <cell r="E193" t="str">
            <v>042</v>
          </cell>
          <cell r="F193">
            <v>4289</v>
          </cell>
          <cell r="G193">
            <v>36839</v>
          </cell>
          <cell r="H193">
            <v>5278583</v>
          </cell>
          <cell r="I193">
            <v>5278583</v>
          </cell>
        </row>
        <row r="194">
          <cell r="A194">
            <v>127104</v>
          </cell>
          <cell r="B194">
            <v>15620248056</v>
          </cell>
          <cell r="C194" t="str">
            <v>MAKRO INDO. MAKRO PA</v>
          </cell>
          <cell r="D194" t="str">
            <v>DKWRW</v>
          </cell>
          <cell r="E194" t="str">
            <v>056</v>
          </cell>
          <cell r="F194">
            <v>127104</v>
          </cell>
          <cell r="G194">
            <v>36845</v>
          </cell>
          <cell r="H194">
            <v>5262015</v>
          </cell>
          <cell r="I194">
            <v>5262015</v>
          </cell>
        </row>
        <row r="195">
          <cell r="A195">
            <v>217732</v>
          </cell>
          <cell r="B195">
            <v>15620248056</v>
          </cell>
          <cell r="C195" t="str">
            <v>MAKRO PASAR REBO</v>
          </cell>
          <cell r="D195" t="str">
            <v>DKWRW</v>
          </cell>
          <cell r="E195" t="str">
            <v>056</v>
          </cell>
          <cell r="F195">
            <v>217732</v>
          </cell>
          <cell r="G195">
            <v>36845</v>
          </cell>
          <cell r="H195">
            <v>975030</v>
          </cell>
          <cell r="I195">
            <v>975030</v>
          </cell>
        </row>
        <row r="196">
          <cell r="A196">
            <v>2251716</v>
          </cell>
          <cell r="B196">
            <v>15620248056</v>
          </cell>
          <cell r="C196" t="str">
            <v>MAKRO INDONESIA MAKR</v>
          </cell>
          <cell r="D196" t="str">
            <v>DKWRW</v>
          </cell>
          <cell r="E196" t="str">
            <v>056</v>
          </cell>
          <cell r="F196">
            <v>2251716</v>
          </cell>
          <cell r="G196">
            <v>36837</v>
          </cell>
          <cell r="H196">
            <v>1183812</v>
          </cell>
          <cell r="I196">
            <v>1183812</v>
          </cell>
        </row>
        <row r="197">
          <cell r="A197">
            <v>2251718</v>
          </cell>
          <cell r="B197">
            <v>15620248056</v>
          </cell>
          <cell r="C197" t="str">
            <v>MAKRO INDONESIA MAKR</v>
          </cell>
          <cell r="D197" t="str">
            <v>DKWRW</v>
          </cell>
          <cell r="E197" t="str">
            <v>056</v>
          </cell>
          <cell r="F197">
            <v>2251718</v>
          </cell>
          <cell r="G197">
            <v>36837</v>
          </cell>
          <cell r="H197">
            <v>1368000</v>
          </cell>
          <cell r="I197">
            <v>1368000</v>
          </cell>
        </row>
        <row r="198">
          <cell r="A198">
            <v>4218625</v>
          </cell>
          <cell r="B198">
            <v>15620248056</v>
          </cell>
          <cell r="C198" t="str">
            <v>MAKRO INDO. MAKRO ME</v>
          </cell>
          <cell r="D198" t="str">
            <v>DKWRW</v>
          </cell>
          <cell r="E198" t="str">
            <v>056</v>
          </cell>
          <cell r="F198">
            <v>4218625</v>
          </cell>
          <cell r="G198">
            <v>36846</v>
          </cell>
          <cell r="H198">
            <v>2041934</v>
          </cell>
          <cell r="I198">
            <v>2041934</v>
          </cell>
        </row>
        <row r="199">
          <cell r="A199">
            <v>4218626</v>
          </cell>
          <cell r="B199">
            <v>15620248056</v>
          </cell>
          <cell r="C199" t="str">
            <v>MAKRO MERUYA</v>
          </cell>
          <cell r="D199" t="str">
            <v>DKWRW</v>
          </cell>
          <cell r="E199" t="str">
            <v>056</v>
          </cell>
          <cell r="F199">
            <v>4218626</v>
          </cell>
          <cell r="G199">
            <v>36846</v>
          </cell>
          <cell r="H199">
            <v>233100</v>
          </cell>
          <cell r="I199">
            <v>233100</v>
          </cell>
        </row>
        <row r="200">
          <cell r="A200">
            <v>139659</v>
          </cell>
          <cell r="B200">
            <v>15620248407</v>
          </cell>
          <cell r="C200" t="str">
            <v>MAKRO MM2100 CIBITUN</v>
          </cell>
          <cell r="D200" t="str">
            <v>DKWRW</v>
          </cell>
          <cell r="E200" t="str">
            <v>407</v>
          </cell>
          <cell r="F200">
            <v>139659</v>
          </cell>
          <cell r="G200">
            <v>36825</v>
          </cell>
          <cell r="H200">
            <v>261616</v>
          </cell>
          <cell r="I200">
            <v>252895</v>
          </cell>
        </row>
        <row r="201">
          <cell r="A201">
            <v>399339</v>
          </cell>
          <cell r="B201">
            <v>15620248407</v>
          </cell>
          <cell r="C201" t="str">
            <v>MAKRO INDONESIA CIBI</v>
          </cell>
          <cell r="D201" t="str">
            <v>DKWRW</v>
          </cell>
          <cell r="E201" t="str">
            <v>407</v>
          </cell>
          <cell r="F201">
            <v>399339</v>
          </cell>
          <cell r="G201">
            <v>36798</v>
          </cell>
          <cell r="H201">
            <v>793020</v>
          </cell>
          <cell r="I201">
            <v>340999</v>
          </cell>
        </row>
        <row r="202">
          <cell r="A202">
            <v>399771</v>
          </cell>
          <cell r="B202">
            <v>15620248407</v>
          </cell>
          <cell r="C202" t="str">
            <v>MAKRO INDONESIA MM21</v>
          </cell>
          <cell r="D202" t="str">
            <v>DKWRW</v>
          </cell>
          <cell r="E202" t="str">
            <v>407</v>
          </cell>
          <cell r="F202">
            <v>399771</v>
          </cell>
          <cell r="G202">
            <v>36838</v>
          </cell>
          <cell r="H202">
            <v>7653841</v>
          </cell>
          <cell r="I202">
            <v>7653841</v>
          </cell>
        </row>
        <row r="203">
          <cell r="A203">
            <v>399772</v>
          </cell>
          <cell r="B203">
            <v>15620248407</v>
          </cell>
          <cell r="C203" t="str">
            <v>MAKRO MM2100 CIBITUN</v>
          </cell>
          <cell r="D203" t="str">
            <v>DKWRW</v>
          </cell>
          <cell r="E203" t="str">
            <v>407</v>
          </cell>
          <cell r="F203">
            <v>399772</v>
          </cell>
          <cell r="G203">
            <v>36838</v>
          </cell>
          <cell r="H203">
            <v>766080</v>
          </cell>
          <cell r="I203">
            <v>766080</v>
          </cell>
        </row>
        <row r="204">
          <cell r="A204">
            <v>399788</v>
          </cell>
          <cell r="B204">
            <v>15620248407</v>
          </cell>
          <cell r="C204" t="str">
            <v>MAKRO INDONESIA MM21</v>
          </cell>
          <cell r="D204" t="str">
            <v>DKWRW</v>
          </cell>
          <cell r="E204" t="str">
            <v>407</v>
          </cell>
          <cell r="F204">
            <v>399788</v>
          </cell>
          <cell r="G204">
            <v>36840</v>
          </cell>
          <cell r="H204">
            <v>1486800</v>
          </cell>
          <cell r="I204">
            <v>1486800</v>
          </cell>
        </row>
        <row r="205">
          <cell r="A205">
            <v>399789</v>
          </cell>
          <cell r="B205">
            <v>15620248407</v>
          </cell>
          <cell r="C205" t="str">
            <v>MAKRO MM2100 CIBITUN</v>
          </cell>
          <cell r="D205" t="str">
            <v>DKWRW</v>
          </cell>
          <cell r="E205" t="str">
            <v>407</v>
          </cell>
          <cell r="F205">
            <v>399789</v>
          </cell>
          <cell r="G205">
            <v>36840</v>
          </cell>
          <cell r="H205">
            <v>266400</v>
          </cell>
          <cell r="I205">
            <v>266400</v>
          </cell>
        </row>
        <row r="206">
          <cell r="A206">
            <v>399796</v>
          </cell>
          <cell r="B206">
            <v>15620248407</v>
          </cell>
          <cell r="C206" t="str">
            <v>MAKRO INDONESIA MM21</v>
          </cell>
          <cell r="D206" t="str">
            <v>DKWRW</v>
          </cell>
          <cell r="E206" t="str">
            <v>407</v>
          </cell>
          <cell r="F206">
            <v>399796</v>
          </cell>
          <cell r="G206">
            <v>36840</v>
          </cell>
          <cell r="H206">
            <v>1302500</v>
          </cell>
          <cell r="I206">
            <v>1302500</v>
          </cell>
        </row>
        <row r="207">
          <cell r="A207">
            <v>399845</v>
          </cell>
          <cell r="B207">
            <v>15620248407</v>
          </cell>
          <cell r="C207" t="str">
            <v>MAKRO MM2100 CIBITUN</v>
          </cell>
          <cell r="D207" t="str">
            <v>DKWRW</v>
          </cell>
          <cell r="E207" t="str">
            <v>407</v>
          </cell>
          <cell r="F207">
            <v>399845</v>
          </cell>
          <cell r="G207">
            <v>36846</v>
          </cell>
          <cell r="H207">
            <v>637821</v>
          </cell>
          <cell r="I207">
            <v>637821</v>
          </cell>
        </row>
        <row r="208">
          <cell r="A208">
            <v>399846</v>
          </cell>
          <cell r="B208">
            <v>15620248407</v>
          </cell>
          <cell r="C208" t="str">
            <v>MAKRO INDONESIA MM21</v>
          </cell>
          <cell r="D208" t="str">
            <v>DKWRW</v>
          </cell>
          <cell r="E208" t="str">
            <v>407</v>
          </cell>
          <cell r="F208">
            <v>399846</v>
          </cell>
          <cell r="G208">
            <v>36846</v>
          </cell>
          <cell r="H208">
            <v>1612000</v>
          </cell>
          <cell r="I208">
            <v>1612000</v>
          </cell>
        </row>
        <row r="209">
          <cell r="A209">
            <v>3198528</v>
          </cell>
          <cell r="B209">
            <v>15620248603</v>
          </cell>
          <cell r="C209" t="str">
            <v>MAKRO INDO. MAKRO SI</v>
          </cell>
          <cell r="D209" t="str">
            <v>DKWRW</v>
          </cell>
          <cell r="E209" t="str">
            <v>603</v>
          </cell>
          <cell r="F209">
            <v>3198528</v>
          </cell>
          <cell r="G209">
            <v>36831</v>
          </cell>
          <cell r="H209">
            <v>3045000</v>
          </cell>
          <cell r="I209">
            <v>3045000</v>
          </cell>
        </row>
        <row r="210">
          <cell r="A210">
            <v>3198759</v>
          </cell>
          <cell r="B210">
            <v>15620248603</v>
          </cell>
          <cell r="C210" t="str">
            <v>MAKRO INDO. MAKRO SI</v>
          </cell>
          <cell r="D210" t="str">
            <v>DKWRW</v>
          </cell>
          <cell r="E210" t="str">
            <v>603</v>
          </cell>
          <cell r="F210">
            <v>3198759</v>
          </cell>
          <cell r="G210">
            <v>36838</v>
          </cell>
          <cell r="H210">
            <v>8917500</v>
          </cell>
          <cell r="I210">
            <v>8917500</v>
          </cell>
        </row>
        <row r="211">
          <cell r="A211">
            <v>185449</v>
          </cell>
          <cell r="B211">
            <v>16353831043</v>
          </cell>
          <cell r="C211" t="str">
            <v>GORO BATARA SAKTI GA</v>
          </cell>
          <cell r="D211" t="str">
            <v>DPBFJ</v>
          </cell>
          <cell r="E211" t="str">
            <v>043</v>
          </cell>
          <cell r="F211">
            <v>185449</v>
          </cell>
          <cell r="G211">
            <v>36845</v>
          </cell>
          <cell r="H211">
            <v>777515</v>
          </cell>
          <cell r="I211">
            <v>777515</v>
          </cell>
        </row>
        <row r="212">
          <cell r="A212">
            <v>237058</v>
          </cell>
          <cell r="B212">
            <v>17662941042</v>
          </cell>
          <cell r="C212" t="str">
            <v>TRIWAHANA JAYA</v>
          </cell>
          <cell r="D212" t="str">
            <v>DWMWK</v>
          </cell>
          <cell r="E212" t="str">
            <v>042</v>
          </cell>
          <cell r="F212">
            <v>237058</v>
          </cell>
          <cell r="G212">
            <v>36833</v>
          </cell>
          <cell r="H212">
            <v>25381209</v>
          </cell>
          <cell r="I212">
            <v>9983134</v>
          </cell>
        </row>
        <row r="213">
          <cell r="A213">
            <v>237068</v>
          </cell>
          <cell r="B213">
            <v>17662941042</v>
          </cell>
          <cell r="C213" t="str">
            <v>TRIWAHANA JAYA</v>
          </cell>
          <cell r="D213" t="str">
            <v>DWMWK</v>
          </cell>
          <cell r="E213" t="str">
            <v>042</v>
          </cell>
          <cell r="F213">
            <v>237068</v>
          </cell>
          <cell r="G213">
            <v>36833</v>
          </cell>
          <cell r="H213">
            <v>919062</v>
          </cell>
          <cell r="I213">
            <v>919062</v>
          </cell>
        </row>
        <row r="214">
          <cell r="A214">
            <v>240429</v>
          </cell>
          <cell r="B214">
            <v>17662941042</v>
          </cell>
          <cell r="C214" t="str">
            <v>TRIWAHANA JAYA</v>
          </cell>
          <cell r="D214" t="str">
            <v>DWMWK</v>
          </cell>
          <cell r="E214" t="str">
            <v>042</v>
          </cell>
          <cell r="F214">
            <v>240429</v>
          </cell>
          <cell r="G214">
            <v>36851</v>
          </cell>
          <cell r="H214">
            <v>9907810</v>
          </cell>
          <cell r="I214">
            <v>9907810</v>
          </cell>
        </row>
        <row r="215">
          <cell r="A215">
            <v>240431</v>
          </cell>
          <cell r="B215">
            <v>17662941042</v>
          </cell>
          <cell r="C215" t="str">
            <v>TRIWAHANA JAYA</v>
          </cell>
          <cell r="D215" t="str">
            <v>DWMWK</v>
          </cell>
          <cell r="E215" t="str">
            <v>042</v>
          </cell>
          <cell r="F215">
            <v>240431</v>
          </cell>
          <cell r="G215">
            <v>36851</v>
          </cell>
          <cell r="H215">
            <v>15701</v>
          </cell>
          <cell r="I215">
            <v>15701</v>
          </cell>
        </row>
        <row r="216">
          <cell r="A216">
            <v>739</v>
          </cell>
          <cell r="B216">
            <v>17725250422</v>
          </cell>
          <cell r="C216" t="str">
            <v xml:space="preserve">PT.SATRIA PRIMAJAYA </v>
          </cell>
          <cell r="D216" t="str">
            <v>DWWCB</v>
          </cell>
          <cell r="E216" t="str">
            <v>422</v>
          </cell>
          <cell r="F216">
            <v>739</v>
          </cell>
          <cell r="G216">
            <v>36708</v>
          </cell>
          <cell r="H216">
            <v>6734400</v>
          </cell>
          <cell r="I216">
            <v>1741091</v>
          </cell>
        </row>
        <row r="217">
          <cell r="A217">
            <v>744</v>
          </cell>
          <cell r="B217">
            <v>17812140609</v>
          </cell>
          <cell r="C217" t="str">
            <v>INTI CAKRAWALA COPRO</v>
          </cell>
          <cell r="D217" t="str">
            <v>DXIYG</v>
          </cell>
          <cell r="E217" t="str">
            <v>609</v>
          </cell>
          <cell r="F217">
            <v>744</v>
          </cell>
          <cell r="G217">
            <v>36829</v>
          </cell>
          <cell r="H217">
            <v>652909</v>
          </cell>
          <cell r="I217">
            <v>652909</v>
          </cell>
        </row>
        <row r="218">
          <cell r="A218">
            <v>745</v>
          </cell>
          <cell r="B218">
            <v>17812140609</v>
          </cell>
          <cell r="C218" t="str">
            <v>INTI CAKRAWALA CORPO</v>
          </cell>
          <cell r="D218" t="str">
            <v>DXIYG</v>
          </cell>
          <cell r="E218" t="str">
            <v>609</v>
          </cell>
          <cell r="F218">
            <v>745</v>
          </cell>
          <cell r="G218">
            <v>36829</v>
          </cell>
          <cell r="H218">
            <v>2176364</v>
          </cell>
          <cell r="I218">
            <v>2176364</v>
          </cell>
        </row>
        <row r="219">
          <cell r="A219">
            <v>757</v>
          </cell>
          <cell r="B219">
            <v>17812140609</v>
          </cell>
          <cell r="C219" t="str">
            <v>INTI CAKRAWALA CORPO</v>
          </cell>
          <cell r="D219" t="str">
            <v>DXIYG</v>
          </cell>
          <cell r="E219" t="str">
            <v>609</v>
          </cell>
          <cell r="F219">
            <v>757</v>
          </cell>
          <cell r="G219">
            <v>36839</v>
          </cell>
          <cell r="H219">
            <v>2176364</v>
          </cell>
          <cell r="I219">
            <v>2176364</v>
          </cell>
        </row>
        <row r="220">
          <cell r="A220">
            <v>3511</v>
          </cell>
          <cell r="B220">
            <v>60638533042</v>
          </cell>
          <cell r="C220" t="str">
            <v>ALI SUDJONO</v>
          </cell>
          <cell r="D220" t="str">
            <v>NHAFD</v>
          </cell>
          <cell r="E220" t="str">
            <v>042</v>
          </cell>
          <cell r="F220">
            <v>3511</v>
          </cell>
          <cell r="G220">
            <v>36837</v>
          </cell>
          <cell r="H220">
            <v>1461857</v>
          </cell>
          <cell r="I220">
            <v>1461857</v>
          </cell>
        </row>
        <row r="221">
          <cell r="A221">
            <v>2302</v>
          </cell>
          <cell r="B221">
            <v>62821137015</v>
          </cell>
          <cell r="C221" t="str">
            <v>MEGA LESTARI</v>
          </cell>
          <cell r="D221" t="str">
            <v>NTLBT</v>
          </cell>
          <cell r="E221" t="str">
            <v>015</v>
          </cell>
          <cell r="F221">
            <v>2302</v>
          </cell>
          <cell r="G221">
            <v>36839</v>
          </cell>
          <cell r="H221">
            <v>4173704</v>
          </cell>
          <cell r="I221">
            <v>4173704</v>
          </cell>
        </row>
        <row r="222">
          <cell r="A222">
            <v>2303</v>
          </cell>
          <cell r="B222">
            <v>62821137015</v>
          </cell>
          <cell r="C222" t="str">
            <v>MEGA LESTARI</v>
          </cell>
          <cell r="D222" t="str">
            <v>NTLBT</v>
          </cell>
          <cell r="E222" t="str">
            <v>015</v>
          </cell>
          <cell r="F222">
            <v>2303</v>
          </cell>
          <cell r="G222">
            <v>36839</v>
          </cell>
          <cell r="H222">
            <v>1584428</v>
          </cell>
          <cell r="I222">
            <v>1584428</v>
          </cell>
        </row>
        <row r="223">
          <cell r="A223">
            <v>2304</v>
          </cell>
          <cell r="B223">
            <v>62821137015</v>
          </cell>
          <cell r="C223" t="str">
            <v>MEGA LESTARI</v>
          </cell>
          <cell r="D223" t="str">
            <v>NTLBT</v>
          </cell>
          <cell r="E223" t="str">
            <v>015</v>
          </cell>
          <cell r="F223">
            <v>2304</v>
          </cell>
          <cell r="G223">
            <v>36839</v>
          </cell>
          <cell r="H223">
            <v>1290660</v>
          </cell>
          <cell r="I223">
            <v>1290660</v>
          </cell>
        </row>
        <row r="224">
          <cell r="A224">
            <v>2305</v>
          </cell>
          <cell r="B224">
            <v>62821137015</v>
          </cell>
          <cell r="C224" t="str">
            <v>MEGA LESTARI</v>
          </cell>
          <cell r="D224" t="str">
            <v>NTLBT</v>
          </cell>
          <cell r="E224" t="str">
            <v>015</v>
          </cell>
          <cell r="F224">
            <v>2305</v>
          </cell>
          <cell r="G224">
            <v>36839</v>
          </cell>
          <cell r="H224">
            <v>1290660</v>
          </cell>
          <cell r="I224">
            <v>1290660</v>
          </cell>
        </row>
        <row r="225">
          <cell r="H225">
            <v>107898298</v>
          </cell>
          <cell r="I225">
            <v>87046172</v>
          </cell>
        </row>
        <row r="227">
          <cell r="A227">
            <v>29340</v>
          </cell>
          <cell r="B227">
            <v>13358080054</v>
          </cell>
          <cell r="C227" t="str">
            <v>ALFA RETAILINDO</v>
          </cell>
          <cell r="D227" t="str">
            <v>CYABG</v>
          </cell>
          <cell r="E227" t="str">
            <v>054</v>
          </cell>
          <cell r="F227">
            <v>29340</v>
          </cell>
          <cell r="G227">
            <v>36865</v>
          </cell>
          <cell r="H227">
            <v>523636</v>
          </cell>
          <cell r="I227">
            <v>523636</v>
          </cell>
        </row>
        <row r="228">
          <cell r="A228">
            <v>29434</v>
          </cell>
          <cell r="B228">
            <v>13358080054</v>
          </cell>
          <cell r="C228" t="str">
            <v>ALFA RETAILINDO</v>
          </cell>
          <cell r="D228" t="str">
            <v>CYABG</v>
          </cell>
          <cell r="E228" t="str">
            <v>054</v>
          </cell>
          <cell r="F228">
            <v>29434</v>
          </cell>
          <cell r="G228">
            <v>36867</v>
          </cell>
          <cell r="H228">
            <v>170182</v>
          </cell>
          <cell r="I228">
            <v>170182</v>
          </cell>
        </row>
        <row r="229">
          <cell r="A229">
            <v>29435</v>
          </cell>
          <cell r="B229">
            <v>13358080054</v>
          </cell>
          <cell r="C229" t="str">
            <v>ALFA RETAILINDO</v>
          </cell>
          <cell r="D229" t="str">
            <v>CYABG</v>
          </cell>
          <cell r="E229" t="str">
            <v>054</v>
          </cell>
          <cell r="F229">
            <v>29435</v>
          </cell>
          <cell r="G229">
            <v>36867</v>
          </cell>
          <cell r="H229">
            <v>261818</v>
          </cell>
          <cell r="I229">
            <v>261818</v>
          </cell>
        </row>
        <row r="230">
          <cell r="A230">
            <v>5727</v>
          </cell>
          <cell r="B230">
            <v>13358080402</v>
          </cell>
          <cell r="C230" t="str">
            <v>ALFA RETAILINDO</v>
          </cell>
          <cell r="D230" t="str">
            <v>CYABG</v>
          </cell>
          <cell r="E230" t="str">
            <v>402</v>
          </cell>
          <cell r="F230">
            <v>5727</v>
          </cell>
          <cell r="G230">
            <v>36864</v>
          </cell>
          <cell r="H230">
            <v>567273</v>
          </cell>
          <cell r="I230">
            <v>567273</v>
          </cell>
        </row>
        <row r="231">
          <cell r="A231">
            <v>1098</v>
          </cell>
          <cell r="B231">
            <v>13358080407</v>
          </cell>
          <cell r="C231" t="str">
            <v>ALFA RETAILINDO</v>
          </cell>
          <cell r="D231" t="str">
            <v>CYABG</v>
          </cell>
          <cell r="E231" t="str">
            <v>407</v>
          </cell>
          <cell r="F231">
            <v>1098</v>
          </cell>
          <cell r="G231">
            <v>36866</v>
          </cell>
          <cell r="H231">
            <v>602182</v>
          </cell>
          <cell r="I231">
            <v>602182</v>
          </cell>
        </row>
        <row r="232">
          <cell r="A232">
            <v>1099</v>
          </cell>
          <cell r="B232">
            <v>13358080407</v>
          </cell>
          <cell r="C232" t="str">
            <v>ALFA RETAILINDO</v>
          </cell>
          <cell r="D232" t="str">
            <v>CYABG</v>
          </cell>
          <cell r="E232" t="str">
            <v>407</v>
          </cell>
          <cell r="F232">
            <v>1099</v>
          </cell>
          <cell r="G232">
            <v>36836</v>
          </cell>
          <cell r="H232">
            <v>807273</v>
          </cell>
          <cell r="I232">
            <v>807273</v>
          </cell>
        </row>
        <row r="233">
          <cell r="A233">
            <v>1188</v>
          </cell>
          <cell r="B233">
            <v>13358080407</v>
          </cell>
          <cell r="C233" t="str">
            <v>ALFA RETAILINDO</v>
          </cell>
          <cell r="D233" t="str">
            <v>CYABG</v>
          </cell>
          <cell r="E233" t="str">
            <v>407</v>
          </cell>
          <cell r="F233">
            <v>1188</v>
          </cell>
          <cell r="G233">
            <v>36867</v>
          </cell>
          <cell r="H233">
            <v>872727</v>
          </cell>
          <cell r="I233">
            <v>872727</v>
          </cell>
        </row>
        <row r="234">
          <cell r="A234">
            <v>209335</v>
          </cell>
          <cell r="B234">
            <v>13682331041</v>
          </cell>
          <cell r="C234" t="str">
            <v>PT MULTI HUSADA</v>
          </cell>
          <cell r="D234" t="str">
            <v>CZWAJ</v>
          </cell>
          <cell r="E234" t="str">
            <v>041</v>
          </cell>
          <cell r="F234">
            <v>209335</v>
          </cell>
          <cell r="G234">
            <v>36869</v>
          </cell>
          <cell r="H234">
            <v>2301120</v>
          </cell>
          <cell r="I234">
            <v>2301120</v>
          </cell>
        </row>
        <row r="235">
          <cell r="A235">
            <v>5582</v>
          </cell>
          <cell r="B235">
            <v>13706999403</v>
          </cell>
          <cell r="C235" t="str">
            <v>MITRA SARANA PURNAMA</v>
          </cell>
          <cell r="D235" t="str">
            <v>CZZRF</v>
          </cell>
          <cell r="E235" t="str">
            <v>403</v>
          </cell>
          <cell r="F235">
            <v>5582</v>
          </cell>
          <cell r="G235">
            <v>36886</v>
          </cell>
          <cell r="H235">
            <v>307669</v>
          </cell>
          <cell r="I235">
            <v>307669</v>
          </cell>
        </row>
        <row r="236">
          <cell r="A236">
            <v>5583</v>
          </cell>
          <cell r="B236">
            <v>13706999403</v>
          </cell>
          <cell r="C236" t="str">
            <v>MITRA SARANA PURNAMA</v>
          </cell>
          <cell r="D236" t="str">
            <v>CZZRF</v>
          </cell>
          <cell r="E236" t="str">
            <v>403</v>
          </cell>
          <cell r="F236">
            <v>5583</v>
          </cell>
          <cell r="G236">
            <v>36886</v>
          </cell>
          <cell r="H236">
            <v>802122</v>
          </cell>
          <cell r="I236">
            <v>802122</v>
          </cell>
        </row>
        <row r="237">
          <cell r="A237">
            <v>6064</v>
          </cell>
          <cell r="B237">
            <v>13706999403</v>
          </cell>
          <cell r="C237" t="str">
            <v>MITRA SARANA PURNAMA</v>
          </cell>
          <cell r="D237" t="str">
            <v>CZZRF</v>
          </cell>
          <cell r="E237" t="str">
            <v>403</v>
          </cell>
          <cell r="F237">
            <v>6064</v>
          </cell>
          <cell r="G237">
            <v>36886</v>
          </cell>
          <cell r="H237">
            <v>516088</v>
          </cell>
          <cell r="I237">
            <v>516088</v>
          </cell>
        </row>
        <row r="238">
          <cell r="A238">
            <v>6065</v>
          </cell>
          <cell r="B238">
            <v>13706999403</v>
          </cell>
          <cell r="C238" t="str">
            <v>MITRA SARANA PURNAMA</v>
          </cell>
          <cell r="D238" t="str">
            <v>CZZRF</v>
          </cell>
          <cell r="E238" t="str">
            <v>403</v>
          </cell>
          <cell r="F238">
            <v>6065</v>
          </cell>
          <cell r="G238">
            <v>36886</v>
          </cell>
          <cell r="H238">
            <v>339542</v>
          </cell>
          <cell r="I238">
            <v>339542</v>
          </cell>
        </row>
        <row r="239">
          <cell r="A239">
            <v>4218825</v>
          </cell>
          <cell r="B239">
            <v>15620248056</v>
          </cell>
          <cell r="C239" t="str">
            <v>PT MAKRO IND-MERUYA</v>
          </cell>
          <cell r="D239" t="str">
            <v>DKWRW</v>
          </cell>
          <cell r="E239" t="str">
            <v>056</v>
          </cell>
          <cell r="F239">
            <v>4218825</v>
          </cell>
          <cell r="G239">
            <v>36866</v>
          </cell>
          <cell r="H239">
            <v>1966360</v>
          </cell>
          <cell r="I239">
            <v>1966360</v>
          </cell>
        </row>
        <row r="240">
          <cell r="A240">
            <v>505047</v>
          </cell>
          <cell r="B240">
            <v>15620248407</v>
          </cell>
          <cell r="C240" t="str">
            <v>MAKRO INDONESIA CIBI</v>
          </cell>
          <cell r="D240" t="str">
            <v>DKWRW</v>
          </cell>
          <cell r="E240" t="str">
            <v>407</v>
          </cell>
          <cell r="F240">
            <v>505047</v>
          </cell>
          <cell r="G240">
            <v>36866</v>
          </cell>
          <cell r="H240">
            <v>436800</v>
          </cell>
          <cell r="I240">
            <v>436800</v>
          </cell>
        </row>
        <row r="241">
          <cell r="A241">
            <v>5076047</v>
          </cell>
          <cell r="B241">
            <v>15620248411</v>
          </cell>
          <cell r="C241" t="str">
            <v>MAKRO INDONESIA CIBI</v>
          </cell>
          <cell r="D241" t="str">
            <v>DKWRW</v>
          </cell>
          <cell r="E241" t="str">
            <v>411</v>
          </cell>
          <cell r="F241">
            <v>5076047</v>
          </cell>
          <cell r="G241">
            <v>36823</v>
          </cell>
          <cell r="H241">
            <v>872240</v>
          </cell>
          <cell r="I241">
            <v>872240</v>
          </cell>
        </row>
        <row r="242">
          <cell r="A242">
            <v>3199673</v>
          </cell>
          <cell r="B242">
            <v>15620248603</v>
          </cell>
          <cell r="C242" t="str">
            <v>PT MAKRO IND-SIDOARJ</v>
          </cell>
          <cell r="D242" t="str">
            <v>DKWRW</v>
          </cell>
          <cell r="E242" t="str">
            <v>603</v>
          </cell>
          <cell r="F242">
            <v>3199673</v>
          </cell>
          <cell r="G242">
            <v>36867</v>
          </cell>
          <cell r="H242">
            <v>9352500</v>
          </cell>
          <cell r="I242">
            <v>9352500</v>
          </cell>
        </row>
        <row r="243">
          <cell r="A243">
            <v>3199674</v>
          </cell>
          <cell r="B243">
            <v>15620248603</v>
          </cell>
          <cell r="C243" t="str">
            <v>PT MAKRO IND-SIDOARJ</v>
          </cell>
          <cell r="D243" t="str">
            <v>DKWRW</v>
          </cell>
          <cell r="E243" t="str">
            <v>603</v>
          </cell>
          <cell r="F243">
            <v>3199674</v>
          </cell>
          <cell r="G243">
            <v>36867</v>
          </cell>
          <cell r="H243">
            <v>9352500</v>
          </cell>
          <cell r="I243">
            <v>4791874</v>
          </cell>
        </row>
        <row r="244">
          <cell r="A244">
            <v>3199850</v>
          </cell>
          <cell r="B244">
            <v>15620248603</v>
          </cell>
          <cell r="C244" t="str">
            <v>PT MAKRO IND-SIDOARJ</v>
          </cell>
          <cell r="D244" t="str">
            <v>DKWRW</v>
          </cell>
          <cell r="E244" t="str">
            <v>603</v>
          </cell>
          <cell r="F244">
            <v>3199850</v>
          </cell>
          <cell r="G244">
            <v>36874</v>
          </cell>
          <cell r="H244">
            <v>9352500</v>
          </cell>
          <cell r="I244">
            <v>9352500</v>
          </cell>
        </row>
        <row r="245">
          <cell r="A245">
            <v>185734</v>
          </cell>
          <cell r="B245">
            <v>16353831043</v>
          </cell>
          <cell r="C245" t="str">
            <v>PT GORO BATARA SAKTI</v>
          </cell>
          <cell r="D245" t="str">
            <v>DPBFJ</v>
          </cell>
          <cell r="E245" t="str">
            <v>043</v>
          </cell>
          <cell r="F245">
            <v>185734</v>
          </cell>
          <cell r="G245">
            <v>36799</v>
          </cell>
          <cell r="H245">
            <v>867940</v>
          </cell>
          <cell r="I245">
            <v>867940</v>
          </cell>
        </row>
        <row r="246">
          <cell r="A246">
            <v>4157</v>
          </cell>
          <cell r="B246">
            <v>17812140041</v>
          </cell>
          <cell r="C246" t="str">
            <v>INTI CAKRAWALA CORPO</v>
          </cell>
          <cell r="D246" t="str">
            <v>DXIYG</v>
          </cell>
          <cell r="E246" t="str">
            <v>041</v>
          </cell>
          <cell r="F246">
            <v>4157</v>
          </cell>
          <cell r="G246">
            <v>36866</v>
          </cell>
          <cell r="H246">
            <v>431136</v>
          </cell>
          <cell r="I246">
            <v>431136</v>
          </cell>
        </row>
        <row r="247">
          <cell r="A247">
            <v>195</v>
          </cell>
          <cell r="B247">
            <v>17812140041</v>
          </cell>
          <cell r="C247" t="str">
            <v>INTI CAKRAWALA CORPO</v>
          </cell>
          <cell r="D247" t="str">
            <v>DXIYG</v>
          </cell>
          <cell r="E247" t="str">
            <v>041</v>
          </cell>
          <cell r="F247">
            <v>195</v>
          </cell>
          <cell r="G247">
            <v>36864</v>
          </cell>
          <cell r="H247">
            <v>646705</v>
          </cell>
          <cell r="I247">
            <v>646705</v>
          </cell>
        </row>
        <row r="248">
          <cell r="A248">
            <v>3090151</v>
          </cell>
          <cell r="B248">
            <v>18618835056</v>
          </cell>
          <cell r="C248" t="str">
            <v xml:space="preserve">NESTLE DISTRIBUTION </v>
          </cell>
          <cell r="D248" t="str">
            <v>EBYGX</v>
          </cell>
          <cell r="E248" t="str">
            <v>056</v>
          </cell>
          <cell r="F248">
            <v>3090151</v>
          </cell>
          <cell r="G248">
            <v>36872</v>
          </cell>
          <cell r="H248">
            <v>758110</v>
          </cell>
          <cell r="I248">
            <v>758110</v>
          </cell>
        </row>
        <row r="249">
          <cell r="A249">
            <v>23776</v>
          </cell>
          <cell r="B249">
            <v>40416588422</v>
          </cell>
          <cell r="C249" t="str">
            <v>YASIN HARYANTO</v>
          </cell>
          <cell r="D249" t="str">
            <v>IVYUK</v>
          </cell>
          <cell r="E249" t="str">
            <v>422</v>
          </cell>
          <cell r="F249">
            <v>23776</v>
          </cell>
          <cell r="G249">
            <v>36869</v>
          </cell>
          <cell r="H249">
            <v>461465</v>
          </cell>
          <cell r="I249">
            <v>461465</v>
          </cell>
        </row>
        <row r="250">
          <cell r="A250">
            <v>23777</v>
          </cell>
          <cell r="B250">
            <v>40416588422</v>
          </cell>
          <cell r="C250" t="str">
            <v>YASIN HARYANTO</v>
          </cell>
          <cell r="D250" t="str">
            <v>IVYUK</v>
          </cell>
          <cell r="E250" t="str">
            <v>422</v>
          </cell>
          <cell r="F250">
            <v>23777</v>
          </cell>
          <cell r="G250">
            <v>36869</v>
          </cell>
          <cell r="H250">
            <v>196690</v>
          </cell>
          <cell r="I250">
            <v>196690</v>
          </cell>
        </row>
        <row r="251">
          <cell r="A251">
            <v>23779</v>
          </cell>
          <cell r="B251">
            <v>40416588422</v>
          </cell>
          <cell r="C251" t="str">
            <v>YASIN HARYANTO</v>
          </cell>
          <cell r="D251" t="str">
            <v>IVYUK</v>
          </cell>
          <cell r="E251" t="str">
            <v>422</v>
          </cell>
          <cell r="F251">
            <v>23779</v>
          </cell>
          <cell r="G251">
            <v>36869</v>
          </cell>
          <cell r="H251">
            <v>743061</v>
          </cell>
          <cell r="I251">
            <v>743061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olor_Legend"/>
      <sheetName val="^Revision_Log"/>
      <sheetName val="^Freeform"/>
      <sheetName val="^Base_Data_Gen"/>
      <sheetName val="^Base_Data_HR"/>
      <sheetName val="^Wages_&amp;_OnCosts"/>
      <sheetName val="^Assumptions"/>
      <sheetName val="Assump_Sum"/>
      <sheetName val="^Planned_Overtime"/>
      <sheetName val="^Direct_Resource_Model"/>
      <sheetName val="^Resource_Decisions"/>
      <sheetName val="^Temp_Labor"/>
      <sheetName val="^Mgmt_Clerical"/>
      <sheetName val="Labor_Charts"/>
      <sheetName val="Headcount_Summary"/>
      <sheetName val="Headcount_Costs"/>
      <sheetName val="^IT"/>
      <sheetName val="MHE_Guidance"/>
      <sheetName val="^CAPEX"/>
      <sheetName val="Cap_Sum_Cust"/>
      <sheetName val="Inv_Res_Cust"/>
      <sheetName val="Depreciation_Cust"/>
      <sheetName val="Interest_Cust"/>
      <sheetName val="Lease"/>
      <sheetName val="Cap_Sum_GC"/>
      <sheetName val="Inv_Res_GC"/>
      <sheetName val="Depreciation_GC"/>
      <sheetName val="Interest_GC"/>
      <sheetName val="^ShTerm_Rental"/>
      <sheetName val="^Facility"/>
      <sheetName val="^Insurance"/>
      <sheetName val="^WH_Cons"/>
      <sheetName val="^Transport_Spend"/>
      <sheetName val="^Own_Vehicles_Exp"/>
      <sheetName val="^Adm_Exp"/>
      <sheetName val="^Start-Up"/>
      <sheetName val="W_Cap"/>
      <sheetName val="RED_FLAGS"/>
      <sheetName val="^Budget"/>
      <sheetName val="Budget_Summaries"/>
      <sheetName val="^Cost_RevenueSummary"/>
      <sheetName val="^Closed_Book_YearOne"/>
      <sheetName val="Depr_Int"/>
      <sheetName val="Exch_Rates"/>
      <sheetName val="GC_Link"/>
      <sheetName val="Version_Notes"/>
      <sheetName val="^Freeform (2)"/>
      <sheetName val="^Freeform (3)"/>
      <sheetName val="Sheet1"/>
      <sheetName val="Year One"/>
      <sheetName val="Year Two"/>
      <sheetName val="Year Three"/>
    </sheetNames>
    <sheetDataSet>
      <sheetData sheetId="0" refreshError="1">
        <row r="8">
          <cell r="A8">
            <v>1</v>
          </cell>
        </row>
      </sheetData>
      <sheetData sheetId="1" refreshError="1"/>
      <sheetData sheetId="2" refreshError="1"/>
      <sheetData sheetId="3" refreshError="1"/>
      <sheetData sheetId="4" refreshError="1">
        <row r="2">
          <cell r="A2" t="str">
            <v>Country</v>
          </cell>
        </row>
        <row r="9">
          <cell r="P9" t="str">
            <v>Australia</v>
          </cell>
          <cell r="Q9" t="str">
            <v>AUD</v>
          </cell>
        </row>
        <row r="10">
          <cell r="P10" t="str">
            <v>Bangladesh</v>
          </cell>
          <cell r="Q10" t="str">
            <v>BDT</v>
          </cell>
        </row>
        <row r="11">
          <cell r="P11" t="str">
            <v>Bhutan</v>
          </cell>
          <cell r="Q11" t="str">
            <v>BTN</v>
          </cell>
        </row>
        <row r="12">
          <cell r="P12" t="str">
            <v>Brunei</v>
          </cell>
          <cell r="Q12" t="str">
            <v>BND</v>
          </cell>
        </row>
        <row r="13">
          <cell r="P13" t="str">
            <v>Cambodia</v>
          </cell>
          <cell r="Q13" t="str">
            <v>KHR</v>
          </cell>
        </row>
        <row r="14">
          <cell r="P14" t="str">
            <v>China</v>
          </cell>
          <cell r="Q14" t="str">
            <v>CNY</v>
          </cell>
        </row>
        <row r="15">
          <cell r="P15" t="str">
            <v>Hong Kong</v>
          </cell>
          <cell r="Q15" t="str">
            <v>HKD</v>
          </cell>
        </row>
        <row r="16">
          <cell r="P16" t="str">
            <v>India</v>
          </cell>
          <cell r="Q16" t="str">
            <v>INR</v>
          </cell>
        </row>
        <row r="17">
          <cell r="P17" t="str">
            <v>Indonesia</v>
          </cell>
          <cell r="Q17" t="str">
            <v>IDR</v>
          </cell>
        </row>
        <row r="18">
          <cell r="P18" t="str">
            <v>Japan</v>
          </cell>
          <cell r="Q18" t="str">
            <v>JPY</v>
          </cell>
        </row>
        <row r="19">
          <cell r="P19" t="str">
            <v>Korea</v>
          </cell>
          <cell r="Q19" t="str">
            <v>KRW</v>
          </cell>
        </row>
        <row r="20">
          <cell r="P20" t="str">
            <v>Laos</v>
          </cell>
          <cell r="Q20" t="str">
            <v>LAK</v>
          </cell>
        </row>
        <row r="21">
          <cell r="P21" t="str">
            <v>Malaysia</v>
          </cell>
          <cell r="Q21" t="str">
            <v>MYR</v>
          </cell>
        </row>
        <row r="22">
          <cell r="P22" t="str">
            <v>Nepal</v>
          </cell>
          <cell r="Q22" t="str">
            <v>CNY (Nepal)</v>
          </cell>
        </row>
        <row r="23">
          <cell r="P23" t="str">
            <v>New Zealand</v>
          </cell>
          <cell r="Q23" t="str">
            <v>NZD</v>
          </cell>
        </row>
        <row r="24">
          <cell r="P24" t="str">
            <v>Pakistan</v>
          </cell>
          <cell r="Q24" t="str">
            <v>PKR</v>
          </cell>
        </row>
        <row r="25">
          <cell r="P25" t="str">
            <v>Philippines</v>
          </cell>
          <cell r="Q25" t="str">
            <v>PHP</v>
          </cell>
        </row>
        <row r="26">
          <cell r="P26" t="str">
            <v>Singapore</v>
          </cell>
          <cell r="Q26" t="str">
            <v>SGD</v>
          </cell>
        </row>
        <row r="27">
          <cell r="P27" t="str">
            <v>Sri Lanka</v>
          </cell>
          <cell r="Q27" t="str">
            <v>LKR</v>
          </cell>
        </row>
        <row r="28">
          <cell r="P28" t="str">
            <v>Taiwan</v>
          </cell>
          <cell r="Q28" t="str">
            <v>TWD</v>
          </cell>
        </row>
        <row r="29">
          <cell r="P29" t="str">
            <v>Thailand</v>
          </cell>
          <cell r="Q29" t="str">
            <v>THB</v>
          </cell>
        </row>
        <row r="30">
          <cell r="P30" t="str">
            <v>Vietnam</v>
          </cell>
          <cell r="Q30" t="str">
            <v>VND</v>
          </cell>
        </row>
        <row r="31">
          <cell r="Q31" t="str">
            <v>USD</v>
          </cell>
        </row>
        <row r="32">
          <cell r="Q32" t="str">
            <v>GBP</v>
          </cell>
        </row>
        <row r="33">
          <cell r="Q33" t="str">
            <v>000's KRW</v>
          </cell>
        </row>
        <row r="34">
          <cell r="P34" t="str">
            <v>Yes</v>
          </cell>
          <cell r="Q34" t="str">
            <v>000's IDR</v>
          </cell>
        </row>
        <row r="35">
          <cell r="P35" t="str">
            <v>No</v>
          </cell>
          <cell r="Q35" t="str">
            <v>000's VND</v>
          </cell>
        </row>
        <row r="38">
          <cell r="P38" t="str">
            <v>No</v>
          </cell>
        </row>
        <row r="39">
          <cell r="P39" t="str">
            <v>Yes - Pass savings to client in the months they occur</v>
          </cell>
        </row>
        <row r="40">
          <cell r="P40" t="str">
            <v>Yes - Pass savings to client over all of Year 1</v>
          </cell>
        </row>
        <row r="41">
          <cell r="P41" t="str">
            <v>Yes - Pass back to client and spread across length of contract</v>
          </cell>
        </row>
        <row r="89">
          <cell r="B89" t="str">
            <v>Storage</v>
          </cell>
        </row>
        <row r="90">
          <cell r="B90" t="str">
            <v>Handling</v>
          </cell>
        </row>
        <row r="91">
          <cell r="B91" t="str">
            <v>Management Fee</v>
          </cell>
        </row>
        <row r="92">
          <cell r="B92" t="str">
            <v xml:space="preserve">Enter 'Budget Category' 4 </v>
          </cell>
        </row>
        <row r="93">
          <cell r="B93" t="str">
            <v xml:space="preserve">Enter 'Budget Category' 5 </v>
          </cell>
        </row>
        <row r="94">
          <cell r="B94" t="str">
            <v xml:space="preserve">Enter 'Budget Category' 6 </v>
          </cell>
        </row>
        <row r="95">
          <cell r="B95" t="str">
            <v xml:space="preserve">Enter 'Budget Category' 7 </v>
          </cell>
        </row>
        <row r="96">
          <cell r="B96" t="str">
            <v xml:space="preserve">Enter 'Budget Category' 8 </v>
          </cell>
        </row>
        <row r="97">
          <cell r="B97" t="str">
            <v xml:space="preserve">Enter 'Budget Category' 9 </v>
          </cell>
        </row>
        <row r="98">
          <cell r="B98" t="str">
            <v xml:space="preserve">Enter 'Budget Category' 10 </v>
          </cell>
        </row>
        <row r="99">
          <cell r="B99" t="str">
            <v xml:space="preserve">Enter 'Budget Category' 11 </v>
          </cell>
        </row>
        <row r="100">
          <cell r="B100" t="str">
            <v xml:space="preserve">Enter 'Budget Category' 12 </v>
          </cell>
        </row>
      </sheetData>
      <sheetData sheetId="5" refreshError="1">
        <row r="38">
          <cell r="B38" t="str">
            <v>Enter Temporary Labor Category 1</v>
          </cell>
        </row>
        <row r="39">
          <cell r="B39" t="str">
            <v>Enter Temporary Labor Category 2</v>
          </cell>
        </row>
        <row r="40">
          <cell r="B40" t="str">
            <v>Enter Temporary Labor Category 3</v>
          </cell>
        </row>
        <row r="41">
          <cell r="B41" t="str">
            <v>Enter Temporary Labor Category 4</v>
          </cell>
        </row>
      </sheetData>
      <sheetData sheetId="6" refreshError="1">
        <row r="22">
          <cell r="B22" t="str">
            <v>Auditor / Checker</v>
          </cell>
        </row>
        <row r="23">
          <cell r="B23" t="str">
            <v>Cycle Counter</v>
          </cell>
        </row>
        <row r="24">
          <cell r="B24" t="str">
            <v>Leading Hand</v>
          </cell>
        </row>
        <row r="25">
          <cell r="B25" t="str">
            <v>Team Leader</v>
          </cell>
        </row>
        <row r="26">
          <cell r="B26" t="str">
            <v>Warehouse Worker (MHE Operator, Agency Casual)</v>
          </cell>
        </row>
        <row r="27">
          <cell r="B27" t="str">
            <v>Warehouse Worker (Non-MHE Operator, Agency Casual)</v>
          </cell>
        </row>
        <row r="28">
          <cell r="B28" t="str">
            <v>Warehouse Worker (MHE Operator, Exel Casual)</v>
          </cell>
        </row>
        <row r="29">
          <cell r="B29" t="str">
            <v>Warehouse Worker (Non-MHE Operator, Exel Casual)</v>
          </cell>
        </row>
        <row r="30">
          <cell r="B30" t="str">
            <v>Warehouse Worker (MHE Operator, Part-Time)</v>
          </cell>
        </row>
        <row r="31">
          <cell r="B31" t="str">
            <v>Warehouse Worker (Non-MHE Operator, Part-Time)</v>
          </cell>
        </row>
        <row r="32">
          <cell r="B32" t="str">
            <v>Warehouse Worker (MHE Operator, Permanent)</v>
          </cell>
        </row>
        <row r="33">
          <cell r="B33" t="str">
            <v>Warehouse Worker (Non-MHE Operator, Permanent)</v>
          </cell>
        </row>
        <row r="34">
          <cell r="B34" t="str">
            <v>KULI</v>
          </cell>
        </row>
        <row r="35">
          <cell r="B35" t="str">
            <v>&lt;Enter Job Class&gt;</v>
          </cell>
        </row>
        <row r="36">
          <cell r="B36" t="str">
            <v>&lt;Enter Job Class&gt;</v>
          </cell>
        </row>
        <row r="37">
          <cell r="B37" t="str">
            <v>&lt;Enter Job Class&gt;</v>
          </cell>
        </row>
      </sheetData>
      <sheetData sheetId="7" refreshError="1"/>
      <sheetData sheetId="8" refreshError="1"/>
      <sheetData sheetId="9" refreshError="1"/>
      <sheetData sheetId="10" refreshError="1">
        <row r="20">
          <cell r="Q20" t="str">
            <v>Counterbalance Truck</v>
          </cell>
        </row>
        <row r="21">
          <cell r="Q21" t="str">
            <v>Double-Deep Reach Truck</v>
          </cell>
        </row>
        <row r="22">
          <cell r="Q22" t="str">
            <v>Electric Stacker</v>
          </cell>
        </row>
        <row r="23">
          <cell r="Q23" t="str">
            <v>Hand Pallet Jack</v>
          </cell>
        </row>
        <row r="24">
          <cell r="Q24" t="str">
            <v>Order Picker (Man-Up)</v>
          </cell>
        </row>
        <row r="25">
          <cell r="Q25" t="str">
            <v>Picking Trolley</v>
          </cell>
        </row>
        <row r="26">
          <cell r="Q26" t="str">
            <v>PPT (Extended)</v>
          </cell>
        </row>
        <row r="27">
          <cell r="Q27" t="str">
            <v>PPT (Single)</v>
          </cell>
        </row>
        <row r="28">
          <cell r="Q28" t="str">
            <v>Reach Truck</v>
          </cell>
        </row>
        <row r="29">
          <cell r="Q29" t="str">
            <v>Turret Truck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2">
          <cell r="A2" t="str">
            <v>Country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2">
          <cell r="A2" t="str">
            <v>Country</v>
          </cell>
        </row>
      </sheetData>
      <sheetData sheetId="30" refreshError="1">
        <row r="2">
          <cell r="A2" t="str">
            <v>Country</v>
          </cell>
        </row>
      </sheetData>
      <sheetData sheetId="31" refreshError="1"/>
      <sheetData sheetId="32" refreshError="1"/>
      <sheetData sheetId="33" refreshError="1"/>
      <sheetData sheetId="34" refreshError="1">
        <row r="2">
          <cell r="A2" t="str">
            <v>Country</v>
          </cell>
        </row>
      </sheetData>
      <sheetData sheetId="35" refreshError="1"/>
      <sheetData sheetId="36" refreshError="1">
        <row r="2">
          <cell r="A2" t="str">
            <v>Country</v>
          </cell>
        </row>
      </sheetData>
      <sheetData sheetId="37" refreshError="1">
        <row r="2">
          <cell r="A2" t="str">
            <v>Country</v>
          </cell>
        </row>
      </sheetData>
      <sheetData sheetId="38" refreshError="1"/>
      <sheetData sheetId="39" refreshError="1">
        <row r="2">
          <cell r="A2" t="str">
            <v>Country</v>
          </cell>
        </row>
      </sheetData>
      <sheetData sheetId="40" refreshError="1"/>
      <sheetData sheetId="41" refreshError="1">
        <row r="9">
          <cell r="B9" t="str">
            <v>Cost and Revenue Summary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atio"/>
      <sheetName val="FS"/>
      <sheetName val="AJE"/>
      <sheetName val="RJE"/>
      <sheetName val="CJE"/>
      <sheetName val="CF"/>
      <sheetName val="NTA"/>
      <sheetName val="audited BS"/>
      <sheetName val="audited CF"/>
      <sheetName val="audited PL"/>
      <sheetName val="audited detailPL"/>
      <sheetName val="ClientTB"/>
      <sheetName val="ClientBS"/>
      <sheetName val="ClientPL"/>
      <sheetName val="procedure"/>
    </sheetNames>
    <sheetDataSet>
      <sheetData sheetId="0"/>
      <sheetData sheetId="1"/>
      <sheetData sheetId="2" refreshError="1">
        <row r="1">
          <cell r="B1" t="str">
            <v>Client  : BDP (ASIA PACIFIC) PTE LTD</v>
          </cell>
        </row>
        <row r="2">
          <cell r="B2" t="str">
            <v>(Incorporated in the (Republic of Singapore)</v>
          </cell>
        </row>
        <row r="4">
          <cell r="B4" t="str">
            <v>INCOME STATEMENT FOR THE FINANCIAL YEAR ENDED 31 DECEMBER 2005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  <cell r="W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Singapore</v>
          </cell>
          <cell r="M7" t="str">
            <v>Taiwan</v>
          </cell>
          <cell r="O7" t="str">
            <v>Total</v>
          </cell>
          <cell r="Q7" t="str">
            <v>Audit Adjustment (CJE)</v>
          </cell>
          <cell r="U7" t="str">
            <v>Audited</v>
          </cell>
          <cell r="W7" t="str">
            <v>audited</v>
          </cell>
        </row>
        <row r="8">
          <cell r="D8" t="str">
            <v>WP REF</v>
          </cell>
          <cell r="F8" t="str">
            <v>31.12.2005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 t="str">
            <v>31.12.2005</v>
          </cell>
          <cell r="M8" t="str">
            <v>31.12.2005</v>
          </cell>
          <cell r="O8" t="str">
            <v>31.12.2005</v>
          </cell>
          <cell r="Q8" t="str">
            <v>DR</v>
          </cell>
          <cell r="R8" t="str">
            <v>CR</v>
          </cell>
          <cell r="U8" t="str">
            <v>31.12.2005</v>
          </cell>
          <cell r="W8" t="str">
            <v>31.12.2004</v>
          </cell>
        </row>
        <row r="9">
          <cell r="F9" t="str">
            <v>S$</v>
          </cell>
          <cell r="G9" t="str">
            <v>S$</v>
          </cell>
          <cell r="H9" t="str">
            <v>S$</v>
          </cell>
          <cell r="I9" t="str">
            <v>S$</v>
          </cell>
          <cell r="J9" t="str">
            <v>S$</v>
          </cell>
          <cell r="K9" t="str">
            <v>S$</v>
          </cell>
          <cell r="M9" t="str">
            <v>S$</v>
          </cell>
          <cell r="O9" t="str">
            <v>S$</v>
          </cell>
          <cell r="Q9" t="str">
            <v>S$</v>
          </cell>
          <cell r="R9" t="str">
            <v>S$</v>
          </cell>
          <cell r="U9" t="str">
            <v>S$</v>
          </cell>
          <cell r="W9" t="str">
            <v>S$</v>
          </cell>
        </row>
        <row r="11">
          <cell r="A11" t="str">
            <v>Sales</v>
          </cell>
          <cell r="B11" t="str">
            <v>Turnover</v>
          </cell>
          <cell r="F11">
            <v>24020418.16</v>
          </cell>
          <cell r="G11">
            <v>1044506.6000000001</v>
          </cell>
          <cell r="H11">
            <v>12120.49</v>
          </cell>
          <cell r="I11">
            <v>0</v>
          </cell>
          <cell r="J11">
            <v>0</v>
          </cell>
          <cell r="K11">
            <v>22988032.050000001</v>
          </cell>
          <cell r="L11" t="str">
            <v>ok</v>
          </cell>
          <cell r="M11">
            <v>14273631.46755</v>
          </cell>
          <cell r="O11">
            <v>37261662.517549999</v>
          </cell>
          <cell r="Q11">
            <v>140872.39000000001</v>
          </cell>
          <cell r="R11">
            <v>4202.29</v>
          </cell>
          <cell r="U11">
            <v>37124993</v>
          </cell>
          <cell r="V11" t="str">
            <v>ok</v>
          </cell>
          <cell r="W11">
            <v>37604663</v>
          </cell>
        </row>
        <row r="12">
          <cell r="O12">
            <v>0</v>
          </cell>
        </row>
        <row r="13">
          <cell r="A13" t="str">
            <v>COS</v>
          </cell>
          <cell r="B13" t="str">
            <v>Cost of sales</v>
          </cell>
          <cell r="F13">
            <v>-17005029.370000001</v>
          </cell>
          <cell r="G13">
            <v>189641.34</v>
          </cell>
          <cell r="H13">
            <v>1279678.8900000001</v>
          </cell>
          <cell r="I13">
            <v>0</v>
          </cell>
          <cell r="J13">
            <v>0</v>
          </cell>
          <cell r="K13">
            <v>-15914991.82</v>
          </cell>
          <cell r="L13" t="str">
            <v>ok</v>
          </cell>
          <cell r="M13">
            <v>-10975739.7578</v>
          </cell>
          <cell r="O13">
            <v>-26890731.577799998</v>
          </cell>
          <cell r="Q13">
            <v>4785.66</v>
          </cell>
          <cell r="R13">
            <v>140872.39000000001</v>
          </cell>
          <cell r="U13">
            <v>-26754646</v>
          </cell>
          <cell r="V13" t="str">
            <v>ok</v>
          </cell>
          <cell r="W13">
            <v>-27233975</v>
          </cell>
        </row>
        <row r="15">
          <cell r="A15" t="str">
            <v>GP</v>
          </cell>
          <cell r="B15" t="str">
            <v>Gross profit</v>
          </cell>
          <cell r="F15">
            <v>7015388.7899999991</v>
          </cell>
          <cell r="G15">
            <v>1234147.9400000002</v>
          </cell>
          <cell r="H15">
            <v>1291799.3800000001</v>
          </cell>
          <cell r="I15">
            <v>0</v>
          </cell>
          <cell r="J15">
            <v>0</v>
          </cell>
          <cell r="K15">
            <v>7073040.2300000004</v>
          </cell>
          <cell r="L15" t="str">
            <v>ok</v>
          </cell>
          <cell r="M15">
            <v>3297890.7097500004</v>
          </cell>
          <cell r="O15">
            <v>10370930.939750001</v>
          </cell>
          <cell r="Q15">
            <v>145658.05000000002</v>
          </cell>
          <cell r="R15">
            <v>145074.68000000002</v>
          </cell>
          <cell r="U15">
            <v>10370347</v>
          </cell>
          <cell r="V15" t="str">
            <v>ok</v>
          </cell>
          <cell r="W15">
            <v>10370688</v>
          </cell>
        </row>
        <row r="17">
          <cell r="A17">
            <v>30000</v>
          </cell>
          <cell r="B17" t="str">
            <v>Other income</v>
          </cell>
          <cell r="F17">
            <v>1111209.96</v>
          </cell>
          <cell r="G17">
            <v>25331.54</v>
          </cell>
          <cell r="H17">
            <v>16657</v>
          </cell>
          <cell r="I17">
            <v>0</v>
          </cell>
          <cell r="J17">
            <v>0</v>
          </cell>
          <cell r="K17">
            <v>1102536.42</v>
          </cell>
          <cell r="L17" t="str">
            <v>ok</v>
          </cell>
          <cell r="M17">
            <v>9222.6934799999999</v>
          </cell>
          <cell r="O17">
            <v>1111759.1134799998</v>
          </cell>
          <cell r="Q17">
            <v>456499.91</v>
          </cell>
          <cell r="R17">
            <v>0</v>
          </cell>
          <cell r="U17">
            <v>655259.20347999991</v>
          </cell>
          <cell r="V17" t="str">
            <v>ok</v>
          </cell>
          <cell r="W17">
            <v>509800</v>
          </cell>
        </row>
        <row r="18">
          <cell r="K18">
            <v>0</v>
          </cell>
          <cell r="M18">
            <v>0</v>
          </cell>
          <cell r="O18">
            <v>0</v>
          </cell>
          <cell r="U18">
            <v>0</v>
          </cell>
        </row>
        <row r="19">
          <cell r="A19" t="str">
            <v>SC</v>
          </cell>
          <cell r="B19" t="str">
            <v>Staff costs</v>
          </cell>
          <cell r="F19">
            <v>-5252349.2299999986</v>
          </cell>
          <cell r="G19">
            <v>67296</v>
          </cell>
          <cell r="H19">
            <v>67296</v>
          </cell>
          <cell r="I19">
            <v>0</v>
          </cell>
          <cell r="J19">
            <v>0</v>
          </cell>
          <cell r="K19">
            <v>-5252349.2299999986</v>
          </cell>
          <cell r="L19" t="str">
            <v>ok</v>
          </cell>
          <cell r="M19">
            <v>-1204065.6236699999</v>
          </cell>
          <cell r="O19">
            <v>-6456414.8536699982</v>
          </cell>
          <cell r="Q19">
            <v>0</v>
          </cell>
          <cell r="R19">
            <v>0</v>
          </cell>
          <cell r="U19">
            <v>-6456414.8536699982</v>
          </cell>
          <cell r="V19" t="str">
            <v>ok</v>
          </cell>
          <cell r="W19">
            <v>-5672156</v>
          </cell>
        </row>
        <row r="20">
          <cell r="K20">
            <v>0</v>
          </cell>
          <cell r="M20">
            <v>0</v>
          </cell>
          <cell r="O20">
            <v>0</v>
          </cell>
          <cell r="U20">
            <v>0</v>
          </cell>
        </row>
        <row r="21">
          <cell r="A21" t="str">
            <v>RE</v>
          </cell>
          <cell r="B21" t="str">
            <v>Rental expenses</v>
          </cell>
          <cell r="F21">
            <v>-424372.73</v>
          </cell>
          <cell r="G21">
            <v>10912</v>
          </cell>
          <cell r="H21">
            <v>0</v>
          </cell>
          <cell r="I21">
            <v>0</v>
          </cell>
          <cell r="J21">
            <v>0</v>
          </cell>
          <cell r="K21">
            <v>-435284.73</v>
          </cell>
          <cell r="L21" t="str">
            <v>ok</v>
          </cell>
          <cell r="M21">
            <v>-148038.12114</v>
          </cell>
          <cell r="O21">
            <v>-583322.85113999993</v>
          </cell>
          <cell r="Q21">
            <v>0</v>
          </cell>
          <cell r="R21">
            <v>0</v>
          </cell>
          <cell r="U21">
            <v>-583322.85113999993</v>
          </cell>
          <cell r="V21" t="str">
            <v>ok</v>
          </cell>
          <cell r="W21">
            <v>-642931</v>
          </cell>
        </row>
        <row r="22">
          <cell r="K22">
            <v>0</v>
          </cell>
          <cell r="M22">
            <v>0</v>
          </cell>
          <cell r="O22">
            <v>0</v>
          </cell>
          <cell r="U22">
            <v>0</v>
          </cell>
        </row>
        <row r="23">
          <cell r="A23" t="str">
            <v>DEP</v>
          </cell>
          <cell r="B23" t="str">
            <v>Depreciation and amortisation</v>
          </cell>
          <cell r="F23">
            <v>-124532.74</v>
          </cell>
          <cell r="G23">
            <v>0</v>
          </cell>
          <cell r="H23">
            <v>347</v>
          </cell>
          <cell r="I23">
            <v>0</v>
          </cell>
          <cell r="J23">
            <v>0</v>
          </cell>
          <cell r="K23">
            <v>-124185.74</v>
          </cell>
          <cell r="L23" t="str">
            <v>ok</v>
          </cell>
          <cell r="M23">
            <v>-32768.420140000002</v>
          </cell>
          <cell r="O23">
            <v>-156954.16013999999</v>
          </cell>
          <cell r="Q23">
            <v>0</v>
          </cell>
          <cell r="R23">
            <v>0</v>
          </cell>
          <cell r="U23">
            <v>-156954.16013999999</v>
          </cell>
          <cell r="V23" t="str">
            <v>ok</v>
          </cell>
          <cell r="W23">
            <v>-162300</v>
          </cell>
        </row>
        <row r="24">
          <cell r="K24">
            <v>0</v>
          </cell>
          <cell r="L24" t="str">
            <v xml:space="preserve"> </v>
          </cell>
          <cell r="M24">
            <v>0</v>
          </cell>
          <cell r="O24">
            <v>0</v>
          </cell>
          <cell r="U24">
            <v>0</v>
          </cell>
        </row>
        <row r="25">
          <cell r="A25" t="str">
            <v>OOE</v>
          </cell>
          <cell r="B25" t="str">
            <v>Other operating expenses</v>
          </cell>
          <cell r="F25">
            <v>-1634642.52</v>
          </cell>
          <cell r="G25">
            <v>12354.6</v>
          </cell>
          <cell r="H25">
            <v>18439</v>
          </cell>
          <cell r="I25">
            <v>0</v>
          </cell>
          <cell r="J25">
            <v>0</v>
          </cell>
          <cell r="K25">
            <v>-1628558.12</v>
          </cell>
          <cell r="L25" t="str">
            <v>ok</v>
          </cell>
          <cell r="M25">
            <v>-615574.22744999989</v>
          </cell>
          <cell r="O25">
            <v>-2244132.3474500002</v>
          </cell>
          <cell r="Q25">
            <v>6007.09</v>
          </cell>
          <cell r="R25">
            <v>478306.87000000005</v>
          </cell>
          <cell r="U25">
            <v>-1771833.56745</v>
          </cell>
          <cell r="V25" t="str">
            <v>ok</v>
          </cell>
          <cell r="W25">
            <v>-2103632</v>
          </cell>
        </row>
        <row r="26">
          <cell r="K26">
            <v>0</v>
          </cell>
          <cell r="M26">
            <v>0</v>
          </cell>
          <cell r="O26">
            <v>0</v>
          </cell>
        </row>
        <row r="27">
          <cell r="A27" t="str">
            <v>FI</v>
          </cell>
          <cell r="B27" t="str">
            <v>Finance income</v>
          </cell>
          <cell r="F27">
            <v>10451.629999999999</v>
          </cell>
          <cell r="G27">
            <v>1100</v>
          </cell>
          <cell r="H27">
            <v>0</v>
          </cell>
          <cell r="I27">
            <v>0</v>
          </cell>
          <cell r="J27">
            <v>0</v>
          </cell>
          <cell r="K27">
            <v>9351.6299999999992</v>
          </cell>
          <cell r="L27" t="str">
            <v>ok</v>
          </cell>
          <cell r="M27">
            <v>7019.1521400000001</v>
          </cell>
          <cell r="O27">
            <v>16370.782139999999</v>
          </cell>
          <cell r="Q27">
            <v>0</v>
          </cell>
          <cell r="R27">
            <v>0</v>
          </cell>
          <cell r="U27">
            <v>16370.782139999999</v>
          </cell>
          <cell r="V27" t="str">
            <v>ok</v>
          </cell>
          <cell r="W27">
            <v>5660</v>
          </cell>
        </row>
        <row r="28">
          <cell r="K28">
            <v>0</v>
          </cell>
          <cell r="M28">
            <v>0</v>
          </cell>
          <cell r="O28">
            <v>0</v>
          </cell>
          <cell r="U28">
            <v>0</v>
          </cell>
        </row>
        <row r="29">
          <cell r="A29" t="str">
            <v>fincost</v>
          </cell>
          <cell r="B29" t="str">
            <v>Finance costs</v>
          </cell>
          <cell r="F29">
            <v>-16396.91</v>
          </cell>
          <cell r="G29">
            <v>0</v>
          </cell>
          <cell r="H29">
            <v>1100</v>
          </cell>
          <cell r="I29">
            <v>0</v>
          </cell>
          <cell r="J29">
            <v>0</v>
          </cell>
          <cell r="K29">
            <v>-15296.91</v>
          </cell>
          <cell r="L29" t="str">
            <v>ok</v>
          </cell>
          <cell r="M29">
            <v>0</v>
          </cell>
          <cell r="O29">
            <v>-15296.91</v>
          </cell>
          <cell r="Q29">
            <v>0</v>
          </cell>
          <cell r="R29">
            <v>0</v>
          </cell>
          <cell r="U29">
            <v>-15296.91</v>
          </cell>
          <cell r="V29" t="str">
            <v>ok</v>
          </cell>
          <cell r="W29">
            <v>-10205</v>
          </cell>
        </row>
        <row r="30">
          <cell r="M30">
            <v>0</v>
          </cell>
          <cell r="O30">
            <v>0</v>
          </cell>
        </row>
        <row r="31">
          <cell r="A31" t="str">
            <v>PBT</v>
          </cell>
          <cell r="B31" t="str">
            <v xml:space="preserve">Profit for the year before share of results of </v>
          </cell>
          <cell r="F31">
            <v>684756.25000000023</v>
          </cell>
          <cell r="G31">
            <v>1351142.0800000003</v>
          </cell>
          <cell r="H31">
            <v>1395638.3800000001</v>
          </cell>
          <cell r="I31">
            <v>0</v>
          </cell>
          <cell r="J31">
            <v>0</v>
          </cell>
          <cell r="K31">
            <v>729252.55000000144</v>
          </cell>
          <cell r="L31" t="str">
            <v>ok</v>
          </cell>
          <cell r="M31">
            <v>1313687.1629700006</v>
          </cell>
          <cell r="O31">
            <v>2042939.7129700021</v>
          </cell>
          <cell r="Q31">
            <v>608165.04999999993</v>
          </cell>
          <cell r="R31">
            <v>623381.55000000005</v>
          </cell>
          <cell r="U31">
            <v>2058154.6432200018</v>
          </cell>
          <cell r="W31">
            <v>2294924</v>
          </cell>
        </row>
        <row r="32">
          <cell r="B32" t="str">
            <v>joint ventures and subsidiary</v>
          </cell>
        </row>
        <row r="33">
          <cell r="K33" t="str">
            <v xml:space="preserve"> </v>
          </cell>
          <cell r="U33" t="str">
            <v xml:space="preserve"> </v>
          </cell>
        </row>
        <row r="34">
          <cell r="B34" t="str">
            <v>Share of results of an unconsolidated subsidiary</v>
          </cell>
          <cell r="W34">
            <v>0</v>
          </cell>
        </row>
        <row r="35">
          <cell r="B35" t="str">
            <v>Share of results of joint ventures</v>
          </cell>
          <cell r="W35">
            <v>0</v>
          </cell>
        </row>
        <row r="37">
          <cell r="B37" t="str">
            <v>Profit for the year before taxation</v>
          </cell>
          <cell r="F37">
            <v>684756.25000000023</v>
          </cell>
          <cell r="G37">
            <v>1351142.0800000003</v>
          </cell>
          <cell r="H37">
            <v>1395638.3800000001</v>
          </cell>
          <cell r="I37">
            <v>0</v>
          </cell>
          <cell r="J37">
            <v>0</v>
          </cell>
          <cell r="K37">
            <v>729252.55000000144</v>
          </cell>
          <cell r="L37" t="str">
            <v>ok</v>
          </cell>
          <cell r="M37">
            <v>1313687.1629700006</v>
          </cell>
          <cell r="O37">
            <v>2042939.7129700021</v>
          </cell>
          <cell r="Q37">
            <v>608165.04999999993</v>
          </cell>
          <cell r="R37">
            <v>623381.55000000005</v>
          </cell>
          <cell r="U37">
            <v>2058154.6432200018</v>
          </cell>
          <cell r="W37">
            <v>2294924</v>
          </cell>
        </row>
        <row r="38">
          <cell r="A38">
            <v>70000</v>
          </cell>
          <cell r="B38" t="str">
            <v>Taxation</v>
          </cell>
          <cell r="F38">
            <v>-96825.76</v>
          </cell>
          <cell r="G38">
            <v>49789.8</v>
          </cell>
          <cell r="H38">
            <v>10146.959999999999</v>
          </cell>
          <cell r="I38">
            <v>0</v>
          </cell>
          <cell r="J38">
            <v>0</v>
          </cell>
          <cell r="K38">
            <v>-136469.6</v>
          </cell>
          <cell r="L38" t="str">
            <v>ok</v>
          </cell>
          <cell r="M38">
            <v>-371993.22615</v>
          </cell>
          <cell r="O38">
            <v>-508461.82614999998</v>
          </cell>
          <cell r="Q38">
            <v>0</v>
          </cell>
          <cell r="R38">
            <v>0</v>
          </cell>
          <cell r="U38">
            <v>-508461.82614999998</v>
          </cell>
          <cell r="V38" t="str">
            <v>ok</v>
          </cell>
          <cell r="W38">
            <v>-510082</v>
          </cell>
        </row>
        <row r="40">
          <cell r="A40" t="str">
            <v>PAT</v>
          </cell>
          <cell r="B40" t="str">
            <v>Profit for the year after taxation before MI</v>
          </cell>
          <cell r="F40">
            <v>587930.49000000022</v>
          </cell>
          <cell r="G40">
            <v>1400931.8800000004</v>
          </cell>
          <cell r="H40">
            <v>1405785.34</v>
          </cell>
          <cell r="I40">
            <v>0</v>
          </cell>
          <cell r="J40">
            <v>0</v>
          </cell>
          <cell r="K40">
            <v>592783.95000000147</v>
          </cell>
          <cell r="M40">
            <v>941693.93682000064</v>
          </cell>
          <cell r="O40">
            <v>1534477.886820002</v>
          </cell>
          <cell r="Q40">
            <v>608165.04999999993</v>
          </cell>
          <cell r="R40">
            <v>623381.55000000005</v>
          </cell>
          <cell r="U40">
            <v>1549692.8170700017</v>
          </cell>
          <cell r="W40">
            <v>1784842</v>
          </cell>
        </row>
        <row r="41">
          <cell r="A41">
            <v>80000</v>
          </cell>
          <cell r="B41" t="str">
            <v>Minority Interest</v>
          </cell>
        </row>
        <row r="43">
          <cell r="B43" t="str">
            <v>Profit attributable to shareholders</v>
          </cell>
          <cell r="F43">
            <v>587930.49000000022</v>
          </cell>
          <cell r="G43">
            <v>1400931.8800000004</v>
          </cell>
          <cell r="H43">
            <v>1405785.34</v>
          </cell>
          <cell r="I43">
            <v>0</v>
          </cell>
          <cell r="J43">
            <v>0</v>
          </cell>
          <cell r="K43">
            <v>592783.95000000147</v>
          </cell>
          <cell r="L43" t="str">
            <v>ok</v>
          </cell>
          <cell r="M43">
            <v>941693.93682000064</v>
          </cell>
          <cell r="O43">
            <v>1534477.886820002</v>
          </cell>
          <cell r="Q43">
            <v>608165.04999999993</v>
          </cell>
          <cell r="R43">
            <v>623381.55000000005</v>
          </cell>
          <cell r="U43">
            <v>1549692.8170700017</v>
          </cell>
          <cell r="V43" t="str">
            <v>ok</v>
          </cell>
          <cell r="W43">
            <v>1784842</v>
          </cell>
        </row>
        <row r="45">
          <cell r="G45" t="str">
            <v>total AJE in Dr</v>
          </cell>
          <cell r="H45" t="str">
            <v>total AJE in Cr</v>
          </cell>
          <cell r="I45" t="str">
            <v>total RJE in Dr</v>
          </cell>
          <cell r="J45" t="str">
            <v>total RJE in Cr</v>
          </cell>
        </row>
        <row r="49">
          <cell r="B49" t="str">
            <v>Client  : BDP (ASIA PACIFIC) PTE LTD</v>
          </cell>
        </row>
        <row r="50">
          <cell r="B50" t="str">
            <v>(Incorporated in the (Republic of Singapore)</v>
          </cell>
        </row>
        <row r="52">
          <cell r="B52" t="str">
            <v>BALANCE SHEET AS AT 31 DECEMBER 2005</v>
          </cell>
        </row>
        <row r="53">
          <cell r="F53" t="str">
            <v>unaudited</v>
          </cell>
          <cell r="G53" t="str">
            <v>Audit Adjustment (AJE)</v>
          </cell>
          <cell r="I53" t="str">
            <v>Reclassification (RJE)</v>
          </cell>
          <cell r="K53" t="str">
            <v>Singapore</v>
          </cell>
          <cell r="M53" t="str">
            <v>Taiwan</v>
          </cell>
          <cell r="O53" t="str">
            <v>Total</v>
          </cell>
          <cell r="Q53" t="str">
            <v>Audit Adjustment (CJE)</v>
          </cell>
          <cell r="U53" t="str">
            <v>audited</v>
          </cell>
          <cell r="W53" t="str">
            <v>audited</v>
          </cell>
        </row>
        <row r="54">
          <cell r="D54" t="str">
            <v>WP REF</v>
          </cell>
          <cell r="F54" t="str">
            <v>31.12.2005</v>
          </cell>
          <cell r="G54" t="str">
            <v>DR</v>
          </cell>
          <cell r="H54" t="str">
            <v>CR</v>
          </cell>
          <cell r="I54" t="str">
            <v>DR</v>
          </cell>
          <cell r="J54" t="str">
            <v>CR</v>
          </cell>
          <cell r="K54" t="str">
            <v>31.12.2005</v>
          </cell>
          <cell r="M54" t="str">
            <v>31.12.2005</v>
          </cell>
          <cell r="O54" t="str">
            <v>31.12.2005</v>
          </cell>
          <cell r="Q54" t="str">
            <v>DR</v>
          </cell>
          <cell r="R54" t="str">
            <v>CR</v>
          </cell>
          <cell r="U54" t="str">
            <v>31.12.2005</v>
          </cell>
          <cell r="W54" t="str">
            <v>31.12.2004</v>
          </cell>
        </row>
        <row r="55">
          <cell r="F55" t="str">
            <v>S$</v>
          </cell>
          <cell r="G55" t="str">
            <v>S$</v>
          </cell>
          <cell r="H55" t="str">
            <v>S$</v>
          </cell>
          <cell r="I55" t="str">
            <v>S$</v>
          </cell>
          <cell r="J55" t="str">
            <v>S$</v>
          </cell>
          <cell r="K55" t="str">
            <v>S$</v>
          </cell>
          <cell r="M55" t="str">
            <v>S$</v>
          </cell>
          <cell r="O55" t="str">
            <v>S$</v>
          </cell>
          <cell r="Q55" t="str">
            <v>S$</v>
          </cell>
          <cell r="R55" t="str">
            <v>S$</v>
          </cell>
          <cell r="U55" t="str">
            <v>S$</v>
          </cell>
          <cell r="W55" t="str">
            <v>S$</v>
          </cell>
        </row>
        <row r="56">
          <cell r="B56" t="str">
            <v>ASSETS</v>
          </cell>
        </row>
        <row r="57">
          <cell r="B57" t="str">
            <v>Non-current assets</v>
          </cell>
          <cell r="K57">
            <v>0</v>
          </cell>
          <cell r="Q57">
            <v>0</v>
          </cell>
        </row>
        <row r="58">
          <cell r="A58">
            <v>1000</v>
          </cell>
          <cell r="B58" t="str">
            <v xml:space="preserve">    Property, plant and equipment </v>
          </cell>
          <cell r="D58" t="str">
            <v>F1-1</v>
          </cell>
          <cell r="F58">
            <v>367290.97999999986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367290.98</v>
          </cell>
          <cell r="L58" t="str">
            <v>ok</v>
          </cell>
          <cell r="M58">
            <v>50349.916499999999</v>
          </cell>
          <cell r="N58" t="str">
            <v>ok</v>
          </cell>
          <cell r="O58">
            <v>417640.89649999997</v>
          </cell>
          <cell r="P58" t="str">
            <v>ok</v>
          </cell>
          <cell r="Q58">
            <v>0</v>
          </cell>
          <cell r="R58">
            <v>0</v>
          </cell>
          <cell r="U58">
            <v>417641</v>
          </cell>
          <cell r="V58" t="str">
            <v>ok</v>
          </cell>
          <cell r="W58">
            <v>197695</v>
          </cell>
        </row>
        <row r="59">
          <cell r="A59">
            <v>1200</v>
          </cell>
          <cell r="B59" t="str">
            <v xml:space="preserve">    Investment in subsidiary companies</v>
          </cell>
          <cell r="D59" t="str">
            <v>H</v>
          </cell>
          <cell r="F59">
            <v>2149462.7599999998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2149462.7599999998</v>
          </cell>
          <cell r="L59" t="str">
            <v>ok</v>
          </cell>
          <cell r="M59">
            <v>0</v>
          </cell>
          <cell r="O59">
            <v>2149462.7599999998</v>
          </cell>
          <cell r="P59" t="str">
            <v>ok</v>
          </cell>
          <cell r="Q59">
            <v>0</v>
          </cell>
          <cell r="R59">
            <v>408356</v>
          </cell>
          <cell r="U59">
            <v>1741107</v>
          </cell>
          <cell r="V59" t="str">
            <v>ok</v>
          </cell>
          <cell r="W59">
            <v>952742</v>
          </cell>
        </row>
        <row r="60">
          <cell r="A60">
            <v>1300</v>
          </cell>
          <cell r="B60" t="str">
            <v xml:space="preserve">    Investment in joint ventures</v>
          </cell>
          <cell r="D60" t="str">
            <v>H</v>
          </cell>
          <cell r="F60">
            <v>271460.3</v>
          </cell>
          <cell r="K60">
            <v>271460.3</v>
          </cell>
          <cell r="L60" t="str">
            <v>ok</v>
          </cell>
          <cell r="M60">
            <v>0</v>
          </cell>
          <cell r="O60">
            <v>271460.3</v>
          </cell>
          <cell r="P60" t="str">
            <v>ok</v>
          </cell>
          <cell r="Q60">
            <v>0</v>
          </cell>
          <cell r="R60">
            <v>0</v>
          </cell>
          <cell r="U60">
            <v>271460</v>
          </cell>
          <cell r="V60" t="str">
            <v>ok</v>
          </cell>
          <cell r="W60">
            <v>271460</v>
          </cell>
        </row>
        <row r="61">
          <cell r="A61">
            <v>1400</v>
          </cell>
          <cell r="B61" t="str">
            <v xml:space="preserve">    Deferred tax assets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Q61">
            <v>0</v>
          </cell>
          <cell r="R61">
            <v>0</v>
          </cell>
          <cell r="W61">
            <v>0</v>
          </cell>
        </row>
        <row r="62"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Current assets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2100</v>
          </cell>
          <cell r="B64" t="str">
            <v xml:space="preserve">    Trade debtors</v>
          </cell>
          <cell r="D64" t="str">
            <v>M1</v>
          </cell>
          <cell r="F64">
            <v>3677090.17</v>
          </cell>
          <cell r="G64">
            <v>7527</v>
          </cell>
          <cell r="H64">
            <v>6568.7199999999993</v>
          </cell>
          <cell r="I64">
            <v>0</v>
          </cell>
          <cell r="J64">
            <v>0</v>
          </cell>
          <cell r="K64">
            <v>3678048.45</v>
          </cell>
          <cell r="L64" t="str">
            <v>ok</v>
          </cell>
          <cell r="M64">
            <v>960065.34000000008</v>
          </cell>
          <cell r="N64" t="str">
            <v>ok</v>
          </cell>
          <cell r="O64">
            <v>4638113.79</v>
          </cell>
          <cell r="P64" t="str">
            <v>ok</v>
          </cell>
          <cell r="Q64">
            <v>0</v>
          </cell>
          <cell r="R64">
            <v>0</v>
          </cell>
          <cell r="U64">
            <v>4638114</v>
          </cell>
          <cell r="V64" t="str">
            <v>ok</v>
          </cell>
          <cell r="W64">
            <v>4681862</v>
          </cell>
        </row>
        <row r="65">
          <cell r="A65">
            <v>2200</v>
          </cell>
          <cell r="B65" t="str">
            <v xml:space="preserve">    Other debtors, deposit and prepayments </v>
          </cell>
          <cell r="D65" t="str">
            <v>M2</v>
          </cell>
          <cell r="F65">
            <v>227706.00999999998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227706.01</v>
          </cell>
          <cell r="L65" t="str">
            <v>ok</v>
          </cell>
          <cell r="M65">
            <v>126325.9452</v>
          </cell>
          <cell r="N65" t="str">
            <v>ok</v>
          </cell>
          <cell r="O65">
            <v>354031.95520000003</v>
          </cell>
          <cell r="P65" t="str">
            <v>ok</v>
          </cell>
          <cell r="Q65">
            <v>0</v>
          </cell>
          <cell r="R65">
            <v>19179.34</v>
          </cell>
          <cell r="U65">
            <v>334853</v>
          </cell>
          <cell r="V65" t="str">
            <v>ok</v>
          </cell>
          <cell r="W65">
            <v>582068</v>
          </cell>
        </row>
        <row r="66">
          <cell r="A66">
            <v>5001</v>
          </cell>
          <cell r="B66" t="str">
            <v xml:space="preserve">    Amount due from ultimate holding company</v>
          </cell>
          <cell r="D66" t="str">
            <v>K1</v>
          </cell>
          <cell r="F66">
            <v>366286.96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366286.96</v>
          </cell>
          <cell r="L66" t="str">
            <v>ok</v>
          </cell>
          <cell r="M66">
            <v>1268134.5105000001</v>
          </cell>
          <cell r="N66" t="str">
            <v>ok</v>
          </cell>
          <cell r="O66">
            <v>1634421.4705000001</v>
          </cell>
          <cell r="P66" t="str">
            <v>ok</v>
          </cell>
          <cell r="Q66">
            <v>0</v>
          </cell>
          <cell r="R66">
            <v>0</v>
          </cell>
          <cell r="U66">
            <v>1634421</v>
          </cell>
          <cell r="V66" t="str">
            <v>ok</v>
          </cell>
          <cell r="W66">
            <v>3156603</v>
          </cell>
        </row>
        <row r="67">
          <cell r="A67">
            <v>5201</v>
          </cell>
          <cell r="B67" t="str">
            <v xml:space="preserve">    Amount due from immediate holding company</v>
          </cell>
          <cell r="D67" t="str">
            <v>K1</v>
          </cell>
          <cell r="F67">
            <v>100901.93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100901.93</v>
          </cell>
          <cell r="L67" t="str">
            <v>ok</v>
          </cell>
          <cell r="M67">
            <v>0</v>
          </cell>
          <cell r="N67" t="str">
            <v xml:space="preserve"> </v>
          </cell>
          <cell r="O67">
            <v>100901.93</v>
          </cell>
          <cell r="P67" t="str">
            <v>ok</v>
          </cell>
          <cell r="Q67">
            <v>0</v>
          </cell>
          <cell r="R67">
            <v>0</v>
          </cell>
          <cell r="U67">
            <v>100902</v>
          </cell>
          <cell r="V67" t="str">
            <v>ok</v>
          </cell>
          <cell r="W67">
            <v>111188</v>
          </cell>
        </row>
        <row r="68">
          <cell r="A68">
            <v>5301</v>
          </cell>
          <cell r="B68" t="str">
            <v xml:space="preserve">    Amount due from BDP Singapore</v>
          </cell>
          <cell r="D68" t="str">
            <v>K1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509262.18330000003</v>
          </cell>
          <cell r="N68" t="str">
            <v>ok</v>
          </cell>
          <cell r="O68">
            <v>509262.18330000003</v>
          </cell>
          <cell r="P68" t="str">
            <v>ok</v>
          </cell>
          <cell r="Q68">
            <v>11070.69</v>
          </cell>
          <cell r="R68">
            <v>520332.68999999994</v>
          </cell>
          <cell r="U68">
            <v>0</v>
          </cell>
          <cell r="W68">
            <v>0</v>
          </cell>
        </row>
        <row r="69">
          <cell r="A69">
            <v>5302</v>
          </cell>
          <cell r="B69" t="str">
            <v xml:space="preserve">    Amount due from BDP Malaysia</v>
          </cell>
          <cell r="D69" t="str">
            <v>K1</v>
          </cell>
          <cell r="F69">
            <v>44001.83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44001.83</v>
          </cell>
          <cell r="L69" t="str">
            <v>ok</v>
          </cell>
          <cell r="M69">
            <v>8463.5537999999997</v>
          </cell>
          <cell r="N69" t="str">
            <v>ok</v>
          </cell>
          <cell r="O69">
            <v>52465.383800000003</v>
          </cell>
          <cell r="P69" t="str">
            <v>ok</v>
          </cell>
          <cell r="Q69">
            <v>0</v>
          </cell>
          <cell r="R69">
            <v>0</v>
          </cell>
          <cell r="U69">
            <v>52465</v>
          </cell>
          <cell r="V69" t="str">
            <v>ok</v>
          </cell>
          <cell r="W69">
            <v>644484</v>
          </cell>
        </row>
        <row r="70">
          <cell r="A70">
            <v>5303</v>
          </cell>
          <cell r="B70" t="str">
            <v xml:space="preserve">    Amount due from BDP Thai</v>
          </cell>
          <cell r="D70" t="str">
            <v>K1</v>
          </cell>
          <cell r="F70">
            <v>306557.53000000003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306557.53000000003</v>
          </cell>
          <cell r="L70" t="str">
            <v>ok</v>
          </cell>
          <cell r="M70">
            <v>433.73850000000004</v>
          </cell>
          <cell r="N70" t="str">
            <v>ok</v>
          </cell>
          <cell r="O70">
            <v>306991.26850000001</v>
          </cell>
          <cell r="P70" t="str">
            <v>ok</v>
          </cell>
          <cell r="Q70">
            <v>0</v>
          </cell>
          <cell r="R70">
            <v>0</v>
          </cell>
          <cell r="U70">
            <v>306991</v>
          </cell>
          <cell r="V70" t="str">
            <v>ok</v>
          </cell>
          <cell r="W70">
            <v>133017</v>
          </cell>
        </row>
        <row r="71">
          <cell r="A71">
            <v>5304</v>
          </cell>
          <cell r="B71" t="str">
            <v xml:space="preserve">    Amount due from BDP Aus</v>
          </cell>
          <cell r="D71" t="str">
            <v>K1</v>
          </cell>
          <cell r="F71">
            <v>1400483.42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1400483.42</v>
          </cell>
          <cell r="L71" t="str">
            <v>ok</v>
          </cell>
          <cell r="M71">
            <v>658.03530000000001</v>
          </cell>
          <cell r="N71" t="str">
            <v>ok</v>
          </cell>
          <cell r="O71">
            <v>1401141.4553</v>
          </cell>
          <cell r="P71" t="str">
            <v>ok</v>
          </cell>
          <cell r="Q71">
            <v>0</v>
          </cell>
          <cell r="R71">
            <v>0</v>
          </cell>
          <cell r="U71">
            <v>1401141</v>
          </cell>
          <cell r="V71" t="str">
            <v>ok</v>
          </cell>
          <cell r="W71">
            <v>1078402</v>
          </cell>
        </row>
        <row r="72">
          <cell r="A72">
            <v>5305</v>
          </cell>
          <cell r="B72" t="str">
            <v xml:space="preserve">    Amount due from BDP Shanghai</v>
          </cell>
          <cell r="D72" t="str">
            <v>K1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M72">
            <v>296.3415</v>
          </cell>
          <cell r="N72" t="str">
            <v>ok</v>
          </cell>
          <cell r="O72">
            <v>296.3415</v>
          </cell>
          <cell r="P72" t="str">
            <v>ok</v>
          </cell>
          <cell r="Q72">
            <v>0</v>
          </cell>
          <cell r="R72">
            <v>0</v>
          </cell>
          <cell r="U72">
            <v>296</v>
          </cell>
          <cell r="V72" t="str">
            <v>ok</v>
          </cell>
          <cell r="W72">
            <v>0</v>
          </cell>
        </row>
        <row r="73">
          <cell r="A73">
            <v>5306</v>
          </cell>
          <cell r="B73" t="str">
            <v xml:space="preserve">    Amount due from Taiwan branch</v>
          </cell>
          <cell r="D73" t="str">
            <v>K1</v>
          </cell>
          <cell r="F73">
            <v>10825.01</v>
          </cell>
          <cell r="G73">
            <v>0</v>
          </cell>
          <cell r="H73">
            <v>0</v>
          </cell>
          <cell r="I73">
            <v>0</v>
          </cell>
          <cell r="J73">
            <v>10825.01</v>
          </cell>
          <cell r="K73">
            <v>0</v>
          </cell>
          <cell r="M73">
            <v>0</v>
          </cell>
          <cell r="O73">
            <v>0</v>
          </cell>
          <cell r="Q73">
            <v>0</v>
          </cell>
          <cell r="R73">
            <v>0</v>
          </cell>
          <cell r="U73">
            <v>0</v>
          </cell>
          <cell r="W73">
            <v>0</v>
          </cell>
        </row>
        <row r="74">
          <cell r="A74">
            <v>5307</v>
          </cell>
          <cell r="B74" t="str">
            <v xml:space="preserve">    Amount due from BDP FRD Mal</v>
          </cell>
          <cell r="D74" t="str">
            <v>K1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Q74">
            <v>0</v>
          </cell>
          <cell r="R74">
            <v>0</v>
          </cell>
          <cell r="U74">
            <v>0</v>
          </cell>
          <cell r="W74">
            <v>0</v>
          </cell>
        </row>
        <row r="75">
          <cell r="A75">
            <v>5501</v>
          </cell>
          <cell r="B75" t="str">
            <v xml:space="preserve">    Amount due from related companies</v>
          </cell>
          <cell r="D75" t="str">
            <v>K1</v>
          </cell>
          <cell r="F75">
            <v>999728.82</v>
          </cell>
          <cell r="G75">
            <v>0</v>
          </cell>
          <cell r="H75">
            <v>2119.35</v>
          </cell>
          <cell r="I75">
            <v>0</v>
          </cell>
          <cell r="J75">
            <v>0</v>
          </cell>
          <cell r="K75">
            <v>997609.47</v>
          </cell>
          <cell r="L75" t="str">
            <v>ok</v>
          </cell>
          <cell r="M75">
            <v>132721.95300000001</v>
          </cell>
          <cell r="N75" t="str">
            <v>ok</v>
          </cell>
          <cell r="O75">
            <v>1130331.423</v>
          </cell>
          <cell r="P75" t="str">
            <v>ok</v>
          </cell>
          <cell r="Q75">
            <v>0</v>
          </cell>
          <cell r="R75">
            <v>0</v>
          </cell>
          <cell r="U75">
            <v>1130331</v>
          </cell>
          <cell r="V75" t="str">
            <v>ok</v>
          </cell>
          <cell r="W75">
            <v>633044</v>
          </cell>
        </row>
        <row r="76">
          <cell r="A76">
            <v>2401</v>
          </cell>
          <cell r="B76" t="str">
            <v xml:space="preserve">    Fixed deposit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M76">
            <v>0</v>
          </cell>
          <cell r="O76">
            <v>0</v>
          </cell>
          <cell r="P76" t="str">
            <v xml:space="preserve"> </v>
          </cell>
          <cell r="Q76">
            <v>0</v>
          </cell>
          <cell r="R76">
            <v>0</v>
          </cell>
          <cell r="U76">
            <v>0</v>
          </cell>
          <cell r="W76">
            <v>0</v>
          </cell>
        </row>
        <row r="77">
          <cell r="A77">
            <v>2400</v>
          </cell>
          <cell r="B77" t="str">
            <v xml:space="preserve">    Cash at bank</v>
          </cell>
          <cell r="D77" t="str">
            <v>N1</v>
          </cell>
          <cell r="F77">
            <v>1128687.6499999999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1128687.6499999999</v>
          </cell>
          <cell r="L77" t="str">
            <v>ok</v>
          </cell>
          <cell r="M77">
            <v>1509821.2584000002</v>
          </cell>
          <cell r="N77" t="str">
            <v>ok</v>
          </cell>
          <cell r="O77">
            <v>2638508.9084000001</v>
          </cell>
          <cell r="P77" t="str">
            <v>ok</v>
          </cell>
          <cell r="Q77">
            <v>0</v>
          </cell>
          <cell r="R77">
            <v>0</v>
          </cell>
          <cell r="U77">
            <v>2638509</v>
          </cell>
          <cell r="V77" t="str">
            <v>ok</v>
          </cell>
          <cell r="W77">
            <v>1347280</v>
          </cell>
        </row>
        <row r="78">
          <cell r="K78">
            <v>0</v>
          </cell>
        </row>
        <row r="79">
          <cell r="A79" t="str">
            <v>CA</v>
          </cell>
          <cell r="F79">
            <v>8262269.3300000001</v>
          </cell>
          <cell r="G79">
            <v>7527</v>
          </cell>
          <cell r="H79">
            <v>8688.07</v>
          </cell>
          <cell r="I79">
            <v>0</v>
          </cell>
          <cell r="J79">
            <v>10825.01</v>
          </cell>
          <cell r="K79">
            <v>8250283.25</v>
          </cell>
          <cell r="M79">
            <v>4516182.8595000003</v>
          </cell>
          <cell r="O79">
            <v>12766466.109499998</v>
          </cell>
          <cell r="U79">
            <v>12238023</v>
          </cell>
          <cell r="W79">
            <v>12367948</v>
          </cell>
        </row>
        <row r="80">
          <cell r="K80">
            <v>0</v>
          </cell>
        </row>
        <row r="81">
          <cell r="A81" t="str">
            <v>TA</v>
          </cell>
          <cell r="B81" t="str">
            <v>TOTAL ASSETS</v>
          </cell>
          <cell r="F81">
            <v>11050483.35</v>
          </cell>
          <cell r="G81">
            <v>7527</v>
          </cell>
          <cell r="H81">
            <v>8688.07</v>
          </cell>
          <cell r="I81">
            <v>0</v>
          </cell>
          <cell r="J81">
            <v>10825.01</v>
          </cell>
          <cell r="K81">
            <v>11038497.27</v>
          </cell>
          <cell r="L81" t="str">
            <v>ok</v>
          </cell>
          <cell r="M81">
            <v>4566532.7760000005</v>
          </cell>
          <cell r="N81" t="str">
            <v>ok</v>
          </cell>
          <cell r="O81">
            <v>15605030.045999998</v>
          </cell>
          <cell r="P81" t="str">
            <v>ok</v>
          </cell>
          <cell r="Q81">
            <v>11070.69</v>
          </cell>
          <cell r="R81">
            <v>947868.03</v>
          </cell>
          <cell r="U81">
            <v>14668230.98</v>
          </cell>
          <cell r="V81" t="str">
            <v>ok</v>
          </cell>
          <cell r="W81">
            <v>13789845</v>
          </cell>
        </row>
        <row r="82">
          <cell r="K82">
            <v>0</v>
          </cell>
        </row>
        <row r="83">
          <cell r="B83" t="str">
            <v>EQUITY AND LIABILITIES</v>
          </cell>
          <cell r="K83">
            <v>0</v>
          </cell>
        </row>
        <row r="84">
          <cell r="B84" t="str">
            <v>Capital and reserves</v>
          </cell>
          <cell r="K84">
            <v>0</v>
          </cell>
        </row>
        <row r="85">
          <cell r="A85">
            <v>6000</v>
          </cell>
          <cell r="B85" t="str">
            <v xml:space="preserve">    Share capital</v>
          </cell>
          <cell r="F85">
            <v>200000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200000</v>
          </cell>
          <cell r="L85" t="str">
            <v>ok</v>
          </cell>
          <cell r="M85">
            <v>375000</v>
          </cell>
          <cell r="N85" t="str">
            <v>ok</v>
          </cell>
          <cell r="O85">
            <v>575000</v>
          </cell>
          <cell r="P85" t="str">
            <v>ok</v>
          </cell>
          <cell r="Q85">
            <v>375000</v>
          </cell>
          <cell r="R85">
            <v>0</v>
          </cell>
          <cell r="U85">
            <v>200000</v>
          </cell>
          <cell r="V85" t="str">
            <v>ok</v>
          </cell>
          <cell r="W85">
            <v>200000</v>
          </cell>
        </row>
        <row r="86">
          <cell r="A86">
            <v>6100</v>
          </cell>
          <cell r="B86" t="str">
            <v xml:space="preserve">     Reserves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W86">
            <v>0</v>
          </cell>
        </row>
        <row r="87">
          <cell r="A87">
            <v>6101</v>
          </cell>
          <cell r="C87" t="str">
            <v>RETAINED EARNINGS</v>
          </cell>
          <cell r="F87">
            <v>1310604.81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1310604.81</v>
          </cell>
          <cell r="L87" t="str">
            <v>ok</v>
          </cell>
          <cell r="M87">
            <v>1738573</v>
          </cell>
          <cell r="N87" t="str">
            <v>ok</v>
          </cell>
          <cell r="O87">
            <v>3049177.81</v>
          </cell>
          <cell r="P87" t="str">
            <v>ok</v>
          </cell>
          <cell r="Q87">
            <v>72610</v>
          </cell>
          <cell r="R87">
            <v>4651.55</v>
          </cell>
          <cell r="U87">
            <v>2981220</v>
          </cell>
          <cell r="V87" t="str">
            <v>ok</v>
          </cell>
          <cell r="W87">
            <v>1605778</v>
          </cell>
        </row>
        <row r="88">
          <cell r="A88">
            <v>6103</v>
          </cell>
          <cell r="C88" t="str">
            <v>PROPOSED DIVIDEND</v>
          </cell>
          <cell r="G88">
            <v>374802.75</v>
          </cell>
          <cell r="H88">
            <v>0</v>
          </cell>
          <cell r="I88">
            <v>0</v>
          </cell>
          <cell r="J88">
            <v>0</v>
          </cell>
          <cell r="K88">
            <v>-374802.75</v>
          </cell>
          <cell r="L88" t="str">
            <v>ok</v>
          </cell>
          <cell r="M88">
            <v>0</v>
          </cell>
          <cell r="O88">
            <v>-374802.75</v>
          </cell>
          <cell r="P88" t="str">
            <v>ok</v>
          </cell>
          <cell r="Q88">
            <v>0</v>
          </cell>
          <cell r="R88">
            <v>0</v>
          </cell>
          <cell r="U88">
            <v>-374803</v>
          </cell>
          <cell r="V88" t="str">
            <v>ok</v>
          </cell>
          <cell r="W88">
            <v>-409400</v>
          </cell>
        </row>
        <row r="89">
          <cell r="A89">
            <v>6102</v>
          </cell>
          <cell r="C89" t="str">
            <v>PROFIT (LOSS) FOR PERIOD</v>
          </cell>
          <cell r="F89">
            <v>587930.49000000022</v>
          </cell>
          <cell r="G89">
            <v>1400931.8800000004</v>
          </cell>
          <cell r="H89">
            <v>1405785.34</v>
          </cell>
          <cell r="I89">
            <v>0</v>
          </cell>
          <cell r="J89">
            <v>0</v>
          </cell>
          <cell r="K89">
            <v>592783.95000000147</v>
          </cell>
          <cell r="L89" t="str">
            <v>ok</v>
          </cell>
          <cell r="M89">
            <v>941693.93682000064</v>
          </cell>
          <cell r="N89" t="str">
            <v>ok</v>
          </cell>
          <cell r="O89">
            <v>1534477.886820002</v>
          </cell>
          <cell r="P89" t="str">
            <v>ok</v>
          </cell>
          <cell r="Q89">
            <v>0</v>
          </cell>
          <cell r="R89">
            <v>0</v>
          </cell>
          <cell r="U89">
            <v>1549692</v>
          </cell>
          <cell r="V89" t="str">
            <v>ok</v>
          </cell>
          <cell r="W89">
            <v>1784842</v>
          </cell>
        </row>
        <row r="90">
          <cell r="A90">
            <v>6200</v>
          </cell>
          <cell r="B90" t="str">
            <v xml:space="preserve">    Retained earnings</v>
          </cell>
          <cell r="F90">
            <v>1898535.3000000003</v>
          </cell>
          <cell r="G90">
            <v>1775734.6300000004</v>
          </cell>
          <cell r="H90">
            <v>1405785.34</v>
          </cell>
          <cell r="I90">
            <v>0</v>
          </cell>
          <cell r="J90">
            <v>0</v>
          </cell>
          <cell r="K90">
            <v>1528586.0100000016</v>
          </cell>
          <cell r="M90">
            <v>2680266.9368200004</v>
          </cell>
          <cell r="O90">
            <v>4208852.946820002</v>
          </cell>
          <cell r="Q90">
            <v>0</v>
          </cell>
          <cell r="R90">
            <v>0</v>
          </cell>
          <cell r="U90">
            <v>4156109</v>
          </cell>
          <cell r="W90">
            <v>2981220</v>
          </cell>
          <cell r="X90" t="str">
            <v>ok</v>
          </cell>
        </row>
        <row r="91">
          <cell r="A91">
            <v>6300</v>
          </cell>
          <cell r="B91" t="str">
            <v xml:space="preserve">    Translation reserves</v>
          </cell>
          <cell r="M91">
            <v>-4097.9939199993387</v>
          </cell>
          <cell r="N91" t="str">
            <v>ok</v>
          </cell>
          <cell r="O91">
            <v>-4097.9939199993387</v>
          </cell>
          <cell r="P91" t="str">
            <v>ok</v>
          </cell>
          <cell r="Q91">
            <v>0</v>
          </cell>
          <cell r="R91">
            <v>39254</v>
          </cell>
          <cell r="U91">
            <v>35156</v>
          </cell>
          <cell r="V91" t="str">
            <v>ok</v>
          </cell>
          <cell r="W91">
            <v>96586</v>
          </cell>
        </row>
        <row r="93">
          <cell r="A93" t="str">
            <v>TEQ</v>
          </cell>
          <cell r="F93">
            <v>2098535.3000000003</v>
          </cell>
          <cell r="G93">
            <v>1775734.6300000004</v>
          </cell>
          <cell r="H93">
            <v>1405785.34</v>
          </cell>
          <cell r="I93">
            <v>0</v>
          </cell>
          <cell r="J93">
            <v>0</v>
          </cell>
          <cell r="K93">
            <v>1728586.0100000016</v>
          </cell>
          <cell r="M93">
            <v>3051168.9429000011</v>
          </cell>
          <cell r="N93" t="str">
            <v>ok</v>
          </cell>
          <cell r="O93">
            <v>4779754.9529000027</v>
          </cell>
          <cell r="P93" t="str">
            <v xml:space="preserve"> </v>
          </cell>
          <cell r="Q93">
            <v>447610</v>
          </cell>
          <cell r="R93">
            <v>43905.55</v>
          </cell>
          <cell r="U93">
            <v>4391265</v>
          </cell>
          <cell r="W93">
            <v>3277806</v>
          </cell>
        </row>
        <row r="94">
          <cell r="B94" t="str">
            <v>Non-current liabilities</v>
          </cell>
          <cell r="K94">
            <v>0</v>
          </cell>
        </row>
        <row r="95">
          <cell r="A95">
            <v>4301</v>
          </cell>
          <cell r="B95" t="str">
            <v xml:space="preserve">    Hire purchase creditors (after 12 months)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U95">
            <v>0</v>
          </cell>
          <cell r="W95">
            <v>0</v>
          </cell>
        </row>
        <row r="96">
          <cell r="A96">
            <v>4302</v>
          </cell>
          <cell r="B96" t="str">
            <v xml:space="preserve">    Deferred taxation</v>
          </cell>
          <cell r="F96">
            <v>20058.599999999999</v>
          </cell>
          <cell r="G96">
            <v>0</v>
          </cell>
          <cell r="H96">
            <v>49789.8</v>
          </cell>
          <cell r="I96">
            <v>0</v>
          </cell>
          <cell r="J96">
            <v>0</v>
          </cell>
          <cell r="K96">
            <v>69848.399999999994</v>
          </cell>
          <cell r="L96" t="str">
            <v>ok</v>
          </cell>
          <cell r="M96">
            <v>39268.518900000003</v>
          </cell>
          <cell r="N96" t="str">
            <v>ok</v>
          </cell>
          <cell r="O96">
            <v>109116.91889999999</v>
          </cell>
          <cell r="P96" t="str">
            <v>ok</v>
          </cell>
          <cell r="U96">
            <v>109117</v>
          </cell>
          <cell r="V96" t="str">
            <v>ok</v>
          </cell>
          <cell r="W96">
            <v>21547</v>
          </cell>
        </row>
        <row r="97">
          <cell r="A97" t="str">
            <v>LTL</v>
          </cell>
          <cell r="F97">
            <v>20058.599999999999</v>
          </cell>
          <cell r="G97">
            <v>0</v>
          </cell>
          <cell r="H97">
            <v>49789.8</v>
          </cell>
          <cell r="I97">
            <v>0</v>
          </cell>
          <cell r="J97">
            <v>0</v>
          </cell>
          <cell r="K97">
            <v>69848.399999999994</v>
          </cell>
          <cell r="M97">
            <v>39268.518900000003</v>
          </cell>
          <cell r="O97">
            <v>109116.91889999999</v>
          </cell>
          <cell r="U97">
            <v>109117</v>
          </cell>
          <cell r="W97">
            <v>21547</v>
          </cell>
        </row>
        <row r="98">
          <cell r="B98" t="str">
            <v>Current liabilities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A99">
            <v>3002</v>
          </cell>
          <cell r="B99" t="str">
            <v xml:space="preserve">    Trade creditors </v>
          </cell>
          <cell r="D99" t="str">
            <v>O1</v>
          </cell>
          <cell r="F99">
            <v>1278178</v>
          </cell>
          <cell r="G99">
            <v>857.29</v>
          </cell>
          <cell r="H99">
            <v>0</v>
          </cell>
          <cell r="I99">
            <v>0</v>
          </cell>
          <cell r="J99">
            <v>0</v>
          </cell>
          <cell r="K99">
            <v>1277320.71</v>
          </cell>
          <cell r="L99" t="str">
            <v>ok</v>
          </cell>
          <cell r="M99">
            <v>934767.3075</v>
          </cell>
          <cell r="N99" t="str">
            <v>ok</v>
          </cell>
          <cell r="O99">
            <v>2212088.0175000001</v>
          </cell>
          <cell r="P99" t="str">
            <v>ok</v>
          </cell>
          <cell r="Q99">
            <v>10494.48</v>
          </cell>
          <cell r="R99">
            <v>0</v>
          </cell>
          <cell r="U99">
            <v>2201594</v>
          </cell>
          <cell r="V99" t="str">
            <v>ok</v>
          </cell>
          <cell r="W99">
            <v>2916233</v>
          </cell>
        </row>
        <row r="100">
          <cell r="A100">
            <v>3101</v>
          </cell>
          <cell r="B100" t="str">
            <v xml:space="preserve">    Other creditors and accruals</v>
          </cell>
          <cell r="D100" t="str">
            <v>O2</v>
          </cell>
          <cell r="F100">
            <v>1873708.44</v>
          </cell>
          <cell r="G100">
            <v>0</v>
          </cell>
          <cell r="H100">
            <v>2100</v>
          </cell>
          <cell r="I100">
            <v>0</v>
          </cell>
          <cell r="J100">
            <v>0</v>
          </cell>
          <cell r="K100">
            <v>1875808.44</v>
          </cell>
          <cell r="L100" t="str">
            <v>ok</v>
          </cell>
          <cell r="M100">
            <v>121048.27800000001</v>
          </cell>
          <cell r="N100" t="str">
            <v>ok</v>
          </cell>
          <cell r="O100">
            <v>1996856.7179999999</v>
          </cell>
          <cell r="P100" t="str">
            <v>ok</v>
          </cell>
          <cell r="Q100">
            <v>14676.3</v>
          </cell>
          <cell r="R100">
            <v>0</v>
          </cell>
          <cell r="U100">
            <v>1982179</v>
          </cell>
          <cell r="V100" t="str">
            <v>ok</v>
          </cell>
          <cell r="W100">
            <v>2322679</v>
          </cell>
        </row>
        <row r="101">
          <cell r="A101">
            <v>5002</v>
          </cell>
          <cell r="B101" t="str">
            <v xml:space="preserve">    Amount due to ultimate holding company</v>
          </cell>
          <cell r="D101" t="str">
            <v>K1</v>
          </cell>
          <cell r="F101">
            <v>464609.07</v>
          </cell>
          <cell r="G101">
            <v>0</v>
          </cell>
          <cell r="H101">
            <v>128835</v>
          </cell>
          <cell r="I101">
            <v>0</v>
          </cell>
          <cell r="J101">
            <v>0</v>
          </cell>
          <cell r="K101">
            <v>593444.06999999995</v>
          </cell>
          <cell r="L101" t="str">
            <v>ok</v>
          </cell>
          <cell r="M101">
            <v>197772.99360000002</v>
          </cell>
          <cell r="N101" t="str">
            <v>ok</v>
          </cell>
          <cell r="O101">
            <v>791217.06359999999</v>
          </cell>
          <cell r="P101" t="str">
            <v>ok</v>
          </cell>
          <cell r="Q101">
            <v>0</v>
          </cell>
          <cell r="R101">
            <v>0</v>
          </cell>
          <cell r="U101">
            <v>791217</v>
          </cell>
          <cell r="V101" t="str">
            <v>ok</v>
          </cell>
          <cell r="W101">
            <v>1246641</v>
          </cell>
        </row>
        <row r="102">
          <cell r="A102">
            <v>5202</v>
          </cell>
          <cell r="B102" t="str">
            <v xml:space="preserve">    Amount due to immediate holding company</v>
          </cell>
          <cell r="D102" t="str">
            <v>K1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Q102">
            <v>0</v>
          </cell>
          <cell r="R102">
            <v>0</v>
          </cell>
          <cell r="U102">
            <v>0</v>
          </cell>
          <cell r="W102">
            <v>0</v>
          </cell>
        </row>
        <row r="103">
          <cell r="A103">
            <v>5308</v>
          </cell>
          <cell r="B103" t="str">
            <v xml:space="preserve">    Amount due to BDP Singapore</v>
          </cell>
          <cell r="D103" t="str">
            <v>K1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Q103">
            <v>0</v>
          </cell>
          <cell r="R103">
            <v>0</v>
          </cell>
          <cell r="U103">
            <v>0</v>
          </cell>
          <cell r="W103">
            <v>0</v>
          </cell>
        </row>
        <row r="104">
          <cell r="A104">
            <v>5309</v>
          </cell>
          <cell r="B104" t="str">
            <v xml:space="preserve">    Amount due to BDP Malaysia</v>
          </cell>
          <cell r="D104" t="str">
            <v>K1</v>
          </cell>
          <cell r="F104">
            <v>254762.68</v>
          </cell>
          <cell r="G104">
            <v>0</v>
          </cell>
          <cell r="H104">
            <v>84798.06</v>
          </cell>
          <cell r="I104">
            <v>0</v>
          </cell>
          <cell r="J104">
            <v>0</v>
          </cell>
          <cell r="K104">
            <v>339560.74</v>
          </cell>
          <cell r="L104" t="str">
            <v>ok</v>
          </cell>
          <cell r="M104">
            <v>10364.2968</v>
          </cell>
          <cell r="N104" t="str">
            <v>ok</v>
          </cell>
          <cell r="O104">
            <v>349925.0368</v>
          </cell>
          <cell r="P104" t="str">
            <v>ok</v>
          </cell>
          <cell r="Q104">
            <v>0</v>
          </cell>
          <cell r="R104">
            <v>0</v>
          </cell>
          <cell r="U104">
            <v>349925</v>
          </cell>
          <cell r="V104" t="str">
            <v>ok</v>
          </cell>
          <cell r="W104">
            <v>230099</v>
          </cell>
        </row>
        <row r="105">
          <cell r="A105">
            <v>5310</v>
          </cell>
          <cell r="B105" t="str">
            <v xml:space="preserve">    Amount due to BDP Thai</v>
          </cell>
          <cell r="D105" t="str">
            <v>K1</v>
          </cell>
          <cell r="F105">
            <v>10012.73</v>
          </cell>
          <cell r="G105">
            <v>0</v>
          </cell>
          <cell r="H105">
            <v>5810.53</v>
          </cell>
          <cell r="I105">
            <v>0</v>
          </cell>
          <cell r="J105">
            <v>0</v>
          </cell>
          <cell r="K105">
            <v>15823.26</v>
          </cell>
          <cell r="L105" t="str">
            <v>ok</v>
          </cell>
          <cell r="M105">
            <v>15.007200000000001</v>
          </cell>
          <cell r="N105" t="str">
            <v>ok</v>
          </cell>
          <cell r="O105">
            <v>15838.2672</v>
          </cell>
          <cell r="P105" t="str">
            <v>ok</v>
          </cell>
          <cell r="Q105">
            <v>0</v>
          </cell>
          <cell r="R105">
            <v>0</v>
          </cell>
          <cell r="U105">
            <v>15838</v>
          </cell>
          <cell r="V105" t="str">
            <v>ok</v>
          </cell>
          <cell r="W105">
            <v>32330</v>
          </cell>
        </row>
        <row r="106">
          <cell r="A106">
            <v>5311</v>
          </cell>
          <cell r="B106" t="str">
            <v xml:space="preserve">    Amount due to BDP Aus</v>
          </cell>
          <cell r="D106" t="str">
            <v>K1</v>
          </cell>
          <cell r="F106">
            <v>0</v>
          </cell>
          <cell r="G106">
            <v>0</v>
          </cell>
          <cell r="H106">
            <v>43288.13</v>
          </cell>
          <cell r="I106">
            <v>0</v>
          </cell>
          <cell r="J106">
            <v>0</v>
          </cell>
          <cell r="K106">
            <v>43288.13</v>
          </cell>
          <cell r="M106">
            <v>589.38750000000005</v>
          </cell>
          <cell r="N106" t="str">
            <v>ok</v>
          </cell>
          <cell r="O106">
            <v>43877.517499999994</v>
          </cell>
          <cell r="P106" t="str">
            <v>ok</v>
          </cell>
          <cell r="Q106">
            <v>0</v>
          </cell>
          <cell r="R106">
            <v>0</v>
          </cell>
          <cell r="U106">
            <v>43878</v>
          </cell>
          <cell r="V106" t="str">
            <v>ok</v>
          </cell>
          <cell r="W106">
            <v>38214</v>
          </cell>
        </row>
        <row r="107">
          <cell r="A107">
            <v>5312</v>
          </cell>
          <cell r="B107" t="str">
            <v xml:space="preserve">    Amount due to BDP Shanghai</v>
          </cell>
          <cell r="D107" t="str">
            <v>K1</v>
          </cell>
          <cell r="F107">
            <v>10108.049999999999</v>
          </cell>
          <cell r="G107">
            <v>2119.35</v>
          </cell>
          <cell r="H107">
            <v>1142.1199999999999</v>
          </cell>
          <cell r="I107">
            <v>0</v>
          </cell>
          <cell r="J107">
            <v>0</v>
          </cell>
          <cell r="K107">
            <v>9130.82</v>
          </cell>
          <cell r="L107" t="str">
            <v>ok</v>
          </cell>
          <cell r="M107">
            <v>1847.6601000000001</v>
          </cell>
          <cell r="N107" t="str">
            <v>ok</v>
          </cell>
          <cell r="O107">
            <v>10978.480100000001</v>
          </cell>
          <cell r="P107" t="str">
            <v>ok</v>
          </cell>
          <cell r="Q107">
            <v>0</v>
          </cell>
          <cell r="R107">
            <v>0</v>
          </cell>
          <cell r="U107">
            <v>10978</v>
          </cell>
          <cell r="V107" t="str">
            <v>ok</v>
          </cell>
          <cell r="W107">
            <v>0</v>
          </cell>
        </row>
        <row r="108">
          <cell r="A108">
            <v>5313</v>
          </cell>
          <cell r="B108" t="str">
            <v xml:space="preserve">    Amount due to Taiwan branch</v>
          </cell>
          <cell r="D108" t="str">
            <v>K1</v>
          </cell>
          <cell r="F108">
            <v>533963.62</v>
          </cell>
          <cell r="G108">
            <v>0</v>
          </cell>
          <cell r="H108">
            <v>0</v>
          </cell>
          <cell r="I108">
            <v>10825.01</v>
          </cell>
          <cell r="J108">
            <v>0</v>
          </cell>
          <cell r="K108">
            <v>523138.61</v>
          </cell>
          <cell r="L108" t="str">
            <v>ok</v>
          </cell>
          <cell r="M108">
            <v>0</v>
          </cell>
          <cell r="O108">
            <v>523138.61</v>
          </cell>
          <cell r="P108" t="str">
            <v>ok</v>
          </cell>
          <cell r="Q108">
            <v>523138.61</v>
          </cell>
          <cell r="R108">
            <v>0</v>
          </cell>
          <cell r="U108">
            <v>0</v>
          </cell>
          <cell r="W108">
            <v>0</v>
          </cell>
        </row>
        <row r="109">
          <cell r="A109">
            <v>5314</v>
          </cell>
          <cell r="B109" t="str">
            <v xml:space="preserve">    Amount due to BDP FRD Mal</v>
          </cell>
          <cell r="D109" t="str">
            <v>K1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Q109">
            <v>0</v>
          </cell>
          <cell r="R109">
            <v>0</v>
          </cell>
          <cell r="U109">
            <v>0</v>
          </cell>
          <cell r="W109">
            <v>0</v>
          </cell>
        </row>
        <row r="110">
          <cell r="A110">
            <v>5502</v>
          </cell>
          <cell r="B110" t="str">
            <v xml:space="preserve">    Amount due to related companies</v>
          </cell>
          <cell r="D110" t="str">
            <v>K1</v>
          </cell>
          <cell r="F110">
            <v>3880096.3400000003</v>
          </cell>
          <cell r="G110">
            <v>466784.51</v>
          </cell>
          <cell r="H110">
            <v>158129.94</v>
          </cell>
          <cell r="I110">
            <v>0</v>
          </cell>
          <cell r="J110">
            <v>0</v>
          </cell>
          <cell r="K110">
            <v>3571441.77</v>
          </cell>
          <cell r="L110" t="str">
            <v>ok</v>
          </cell>
          <cell r="M110">
            <v>39152.770799999998</v>
          </cell>
          <cell r="N110" t="str">
            <v>ok</v>
          </cell>
          <cell r="O110">
            <v>3610594.5408000001</v>
          </cell>
          <cell r="P110" t="str">
            <v>ok</v>
          </cell>
          <cell r="Q110">
            <v>0</v>
          </cell>
          <cell r="R110">
            <v>0</v>
          </cell>
          <cell r="U110">
            <v>3610595</v>
          </cell>
          <cell r="V110" t="str">
            <v>ok</v>
          </cell>
          <cell r="W110">
            <v>2605443</v>
          </cell>
        </row>
        <row r="111">
          <cell r="A111">
            <v>5602</v>
          </cell>
          <cell r="B111" t="str">
            <v xml:space="preserve">    Amount due to directors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Q111">
            <v>0</v>
          </cell>
          <cell r="R111">
            <v>0</v>
          </cell>
          <cell r="U111">
            <v>0</v>
          </cell>
          <cell r="W111">
            <v>0</v>
          </cell>
        </row>
        <row r="112">
          <cell r="A112" t="str">
            <v>4301A</v>
          </cell>
          <cell r="B112" t="str">
            <v xml:space="preserve">    Hire purchase creditors (within 12 months)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Q112">
            <v>0</v>
          </cell>
          <cell r="R112">
            <v>0</v>
          </cell>
          <cell r="U112">
            <v>0</v>
          </cell>
          <cell r="W112">
            <v>0</v>
          </cell>
        </row>
        <row r="113">
          <cell r="A113">
            <v>4400</v>
          </cell>
          <cell r="B113" t="str">
            <v xml:space="preserve">    Bank overdraft (Secured)</v>
          </cell>
          <cell r="D113" t="str">
            <v>N1</v>
          </cell>
          <cell r="F113">
            <v>222791.64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222791.64</v>
          </cell>
          <cell r="L113" t="str">
            <v>ok</v>
          </cell>
          <cell r="M113">
            <v>0</v>
          </cell>
          <cell r="O113">
            <v>222791.64</v>
          </cell>
          <cell r="P113" t="str">
            <v>ok</v>
          </cell>
          <cell r="Q113">
            <v>0</v>
          </cell>
          <cell r="R113">
            <v>0</v>
          </cell>
          <cell r="U113">
            <v>222792</v>
          </cell>
          <cell r="V113" t="str">
            <v>ok</v>
          </cell>
          <cell r="W113">
            <v>212149</v>
          </cell>
        </row>
        <row r="114">
          <cell r="A114">
            <v>4450</v>
          </cell>
          <cell r="B114" t="str">
            <v xml:space="preserve">    Short term loan (Secured)</v>
          </cell>
          <cell r="D114" t="str">
            <v>P1</v>
          </cell>
          <cell r="F114">
            <v>300000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300000</v>
          </cell>
          <cell r="L114" t="str">
            <v>ok</v>
          </cell>
          <cell r="M114">
            <v>0</v>
          </cell>
          <cell r="O114">
            <v>300000</v>
          </cell>
          <cell r="P114" t="str">
            <v>ok</v>
          </cell>
          <cell r="Q114">
            <v>0</v>
          </cell>
          <cell r="R114">
            <v>0</v>
          </cell>
          <cell r="U114">
            <v>300000</v>
          </cell>
          <cell r="V114" t="str">
            <v>ok</v>
          </cell>
          <cell r="W114">
            <v>0</v>
          </cell>
        </row>
        <row r="115">
          <cell r="A115">
            <v>4460</v>
          </cell>
          <cell r="B115" t="str">
            <v xml:space="preserve">    Proposed dividends</v>
          </cell>
          <cell r="G115">
            <v>0</v>
          </cell>
          <cell r="H115">
            <v>374802.75</v>
          </cell>
          <cell r="I115">
            <v>0</v>
          </cell>
          <cell r="J115">
            <v>0</v>
          </cell>
          <cell r="K115">
            <v>374802.75</v>
          </cell>
          <cell r="L115" t="str">
            <v>ok</v>
          </cell>
          <cell r="M115">
            <v>0</v>
          </cell>
          <cell r="O115">
            <v>374802.75</v>
          </cell>
          <cell r="P115" t="str">
            <v>ok</v>
          </cell>
          <cell r="Q115">
            <v>0</v>
          </cell>
          <cell r="R115">
            <v>0</v>
          </cell>
          <cell r="U115">
            <v>374803</v>
          </cell>
          <cell r="V115" t="str">
            <v>ok</v>
          </cell>
          <cell r="W115">
            <v>409400</v>
          </cell>
        </row>
        <row r="116">
          <cell r="A116">
            <v>3201</v>
          </cell>
          <cell r="B116" t="str">
            <v xml:space="preserve">    Provision for taxation</v>
          </cell>
          <cell r="F116">
            <v>103658.88</v>
          </cell>
          <cell r="G116">
            <v>10146.959999999999</v>
          </cell>
          <cell r="H116">
            <v>0</v>
          </cell>
          <cell r="I116">
            <v>0</v>
          </cell>
          <cell r="J116">
            <v>0</v>
          </cell>
          <cell r="K116">
            <v>93511.92</v>
          </cell>
          <cell r="L116" t="str">
            <v>ok</v>
          </cell>
          <cell r="M116">
            <v>170537.6127</v>
          </cell>
          <cell r="N116" t="str">
            <v>ok</v>
          </cell>
          <cell r="O116">
            <v>264049.53269999998</v>
          </cell>
          <cell r="P116" t="str">
            <v>ok</v>
          </cell>
          <cell r="Q116">
            <v>0</v>
          </cell>
          <cell r="R116">
            <v>0</v>
          </cell>
          <cell r="U116">
            <v>264050</v>
          </cell>
          <cell r="V116" t="str">
            <v>ok</v>
          </cell>
          <cell r="W116">
            <v>477304</v>
          </cell>
        </row>
        <row r="118">
          <cell r="A118" t="str">
            <v>CL</v>
          </cell>
          <cell r="F118">
            <v>8931889.4500000011</v>
          </cell>
          <cell r="G118">
            <v>479908.11000000004</v>
          </cell>
          <cell r="H118">
            <v>798906.53</v>
          </cell>
          <cell r="I118">
            <v>10825.01</v>
          </cell>
          <cell r="J118">
            <v>0</v>
          </cell>
          <cell r="K118">
            <v>9240062.8599999994</v>
          </cell>
          <cell r="M118">
            <v>1476095.3141999999</v>
          </cell>
          <cell r="O118">
            <v>10716158.174200002</v>
          </cell>
          <cell r="Q118">
            <v>548309.39</v>
          </cell>
          <cell r="R118">
            <v>0</v>
          </cell>
          <cell r="U118">
            <v>10167849</v>
          </cell>
          <cell r="W118">
            <v>10490492</v>
          </cell>
        </row>
        <row r="120">
          <cell r="B120" t="str">
            <v>TOTAL EQUITY AND LIABILITIES</v>
          </cell>
          <cell r="F120">
            <v>11050483.350000001</v>
          </cell>
          <cell r="G120">
            <v>2255642.7400000002</v>
          </cell>
          <cell r="H120">
            <v>2254481.67</v>
          </cell>
          <cell r="I120">
            <v>10825.01</v>
          </cell>
          <cell r="J120">
            <v>0</v>
          </cell>
          <cell r="K120">
            <v>11038497.270000001</v>
          </cell>
          <cell r="L120" t="str">
            <v>ok</v>
          </cell>
          <cell r="M120">
            <v>4566532.7760000005</v>
          </cell>
          <cell r="N120" t="str">
            <v>ok</v>
          </cell>
          <cell r="O120">
            <v>15605030.046000006</v>
          </cell>
          <cell r="P120" t="str">
            <v>ok</v>
          </cell>
          <cell r="U120">
            <v>14668231</v>
          </cell>
          <cell r="V120" t="str">
            <v>ok</v>
          </cell>
          <cell r="W120">
            <v>13789845</v>
          </cell>
        </row>
        <row r="121">
          <cell r="C121" t="str">
            <v>Test check</v>
          </cell>
          <cell r="F121">
            <v>0</v>
          </cell>
          <cell r="H121">
            <v>0</v>
          </cell>
          <cell r="J121">
            <v>0</v>
          </cell>
          <cell r="K121">
            <v>0</v>
          </cell>
          <cell r="W121">
            <v>0</v>
          </cell>
        </row>
        <row r="123">
          <cell r="C123" t="str">
            <v>Client  : BDP (ASIA PACIFIC) PTE LTD</v>
          </cell>
        </row>
        <row r="124">
          <cell r="C124" t="str">
            <v>(Incorporated in the (Republic of Singapore)</v>
          </cell>
        </row>
        <row r="126">
          <cell r="Y126" t="str">
            <v xml:space="preserve"> </v>
          </cell>
        </row>
        <row r="127">
          <cell r="C127" t="str">
            <v>DETAILED TRADING, PROFIT &amp; LOSS ACCOUNT FOR THE FINANCIAL YEAR ENDED 31 DECEMBER 2005</v>
          </cell>
          <cell r="Y127" t="str">
            <v xml:space="preserve"> </v>
          </cell>
        </row>
        <row r="128">
          <cell r="F128" t="str">
            <v>unaudited</v>
          </cell>
          <cell r="G128" t="str">
            <v>Audit Adjustment (AJE)</v>
          </cell>
          <cell r="I128" t="str">
            <v>Reclassification (RJE)</v>
          </cell>
          <cell r="K128" t="str">
            <v>Singapore</v>
          </cell>
          <cell r="M128" t="str">
            <v>Taiwan</v>
          </cell>
          <cell r="O128" t="str">
            <v>Total</v>
          </cell>
          <cell r="Q128" t="str">
            <v>Audit Adjustment (CJE)</v>
          </cell>
          <cell r="U128" t="str">
            <v>audited</v>
          </cell>
          <cell r="W128" t="str">
            <v>audited</v>
          </cell>
        </row>
        <row r="129">
          <cell r="D129" t="str">
            <v>WP REF</v>
          </cell>
          <cell r="F129" t="str">
            <v>31.12.2005</v>
          </cell>
          <cell r="G129" t="str">
            <v>DR</v>
          </cell>
          <cell r="H129" t="str">
            <v>CR</v>
          </cell>
          <cell r="I129" t="str">
            <v>DR</v>
          </cell>
          <cell r="J129" t="str">
            <v>CR</v>
          </cell>
          <cell r="K129" t="str">
            <v>31.12.2005</v>
          </cell>
          <cell r="M129" t="str">
            <v>31.12.2005</v>
          </cell>
          <cell r="O129" t="str">
            <v>31.12.2005</v>
          </cell>
          <cell r="Q129" t="str">
            <v>DR</v>
          </cell>
          <cell r="R129" t="str">
            <v>CR</v>
          </cell>
          <cell r="U129" t="str">
            <v>31.12.2005</v>
          </cell>
          <cell r="W129" t="str">
            <v>31.12.2004</v>
          </cell>
        </row>
        <row r="130">
          <cell r="F130" t="str">
            <v>S$</v>
          </cell>
          <cell r="G130" t="str">
            <v>S$</v>
          </cell>
          <cell r="H130" t="str">
            <v>S$</v>
          </cell>
          <cell r="I130" t="str">
            <v>S$</v>
          </cell>
          <cell r="J130" t="str">
            <v>S$</v>
          </cell>
          <cell r="K130" t="str">
            <v>S$</v>
          </cell>
          <cell r="M130" t="str">
            <v>S$</v>
          </cell>
          <cell r="O130" t="str">
            <v>S$</v>
          </cell>
          <cell r="Q130" t="str">
            <v>S$</v>
          </cell>
          <cell r="R130" t="str">
            <v>S$</v>
          </cell>
          <cell r="U130" t="str">
            <v>S$</v>
          </cell>
          <cell r="W130" t="str">
            <v>S$</v>
          </cell>
        </row>
        <row r="131">
          <cell r="A131" t="str">
            <v>Sales</v>
          </cell>
          <cell r="B131" t="str">
            <v>SALES</v>
          </cell>
          <cell r="D131" t="str">
            <v>S1</v>
          </cell>
          <cell r="F131">
            <v>24020418.16</v>
          </cell>
          <cell r="G131">
            <v>1044506.6000000001</v>
          </cell>
          <cell r="H131">
            <v>12120.49</v>
          </cell>
          <cell r="I131">
            <v>0</v>
          </cell>
          <cell r="J131">
            <v>0</v>
          </cell>
          <cell r="K131">
            <v>22988032.050000001</v>
          </cell>
          <cell r="L131" t="str">
            <v>ok</v>
          </cell>
          <cell r="M131">
            <v>14273631.46755</v>
          </cell>
          <cell r="N131" t="str">
            <v>ok</v>
          </cell>
          <cell r="O131">
            <v>37261663.517549999</v>
          </cell>
          <cell r="Q131">
            <v>140872.39000000001</v>
          </cell>
          <cell r="R131">
            <v>4202.29</v>
          </cell>
          <cell r="U131">
            <v>37124993</v>
          </cell>
          <cell r="V131" t="str">
            <v>ok</v>
          </cell>
          <cell r="W131">
            <v>37604663</v>
          </cell>
          <cell r="Y131">
            <v>-0.63583654826164204</v>
          </cell>
        </row>
        <row r="132">
          <cell r="A132" t="str">
            <v>COS</v>
          </cell>
          <cell r="B132" t="str">
            <v>COST OF SALES</v>
          </cell>
          <cell r="D132" t="str">
            <v>T1-1</v>
          </cell>
          <cell r="F132">
            <v>-17005029.370000001</v>
          </cell>
          <cell r="G132">
            <v>189641.34</v>
          </cell>
          <cell r="H132">
            <v>1279678.8900000001</v>
          </cell>
          <cell r="I132">
            <v>0</v>
          </cell>
          <cell r="J132">
            <v>0</v>
          </cell>
          <cell r="K132">
            <v>-15914991.82</v>
          </cell>
          <cell r="L132" t="str">
            <v>ok</v>
          </cell>
          <cell r="M132">
            <v>-10975739.7578</v>
          </cell>
          <cell r="N132" t="str">
            <v>ok</v>
          </cell>
          <cell r="O132">
            <v>-26890731.577799998</v>
          </cell>
          <cell r="Q132">
            <v>4785.66</v>
          </cell>
          <cell r="R132">
            <v>140872.39000000001</v>
          </cell>
          <cell r="U132">
            <v>-26754646</v>
          </cell>
          <cell r="V132" t="str">
            <v>ok</v>
          </cell>
          <cell r="W132">
            <v>-27233975</v>
          </cell>
          <cell r="Y132">
            <v>-0.71121514280489273</v>
          </cell>
        </row>
        <row r="133">
          <cell r="F133">
            <v>7015388.7899999991</v>
          </cell>
          <cell r="G133">
            <v>1234147.9400000002</v>
          </cell>
          <cell r="H133">
            <v>1291799.3800000001</v>
          </cell>
          <cell r="I133">
            <v>0</v>
          </cell>
          <cell r="J133">
            <v>0</v>
          </cell>
          <cell r="K133">
            <v>7073040.2300000004</v>
          </cell>
          <cell r="M133">
            <v>3297890.7097500004</v>
          </cell>
          <cell r="O133">
            <v>10370931.939750001</v>
          </cell>
          <cell r="Q133">
            <v>145658.05000000002</v>
          </cell>
          <cell r="R133">
            <v>145074.68000000002</v>
          </cell>
          <cell r="U133">
            <v>10370347</v>
          </cell>
          <cell r="W133">
            <v>10370688</v>
          </cell>
        </row>
        <row r="134">
          <cell r="A134" t="str">
            <v>GP</v>
          </cell>
          <cell r="B134" t="str">
            <v>GROSS PROFIT</v>
          </cell>
        </row>
        <row r="136">
          <cell r="A136" t="str">
            <v>OI</v>
          </cell>
          <cell r="B136" t="str">
            <v>OTHER INCOME</v>
          </cell>
          <cell r="K136">
            <v>0</v>
          </cell>
          <cell r="Y136" t="str">
            <v xml:space="preserve"> </v>
          </cell>
        </row>
        <row r="137">
          <cell r="A137">
            <v>30001</v>
          </cell>
          <cell r="B137" t="str">
            <v xml:space="preserve">    Dividend income</v>
          </cell>
          <cell r="D137" t="str">
            <v>V1</v>
          </cell>
          <cell r="F137">
            <v>236861.52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236861.52</v>
          </cell>
          <cell r="L137" t="str">
            <v>ok</v>
          </cell>
          <cell r="M137">
            <v>0</v>
          </cell>
          <cell r="O137">
            <v>236861.52</v>
          </cell>
          <cell r="Q137">
            <v>170000</v>
          </cell>
          <cell r="R137">
            <v>0</v>
          </cell>
          <cell r="U137">
            <v>66862</v>
          </cell>
          <cell r="V137" t="str">
            <v>ok</v>
          </cell>
          <cell r="W137">
            <v>174972</v>
          </cell>
          <cell r="Y137">
            <v>0.26128988786359214</v>
          </cell>
        </row>
        <row r="138">
          <cell r="A138">
            <v>30002</v>
          </cell>
          <cell r="B138" t="str">
            <v xml:space="preserve">    Regional cost allocation</v>
          </cell>
          <cell r="D138" t="str">
            <v>V3</v>
          </cell>
          <cell r="F138">
            <v>869790.93</v>
          </cell>
          <cell r="G138">
            <v>25331.54</v>
          </cell>
          <cell r="H138">
            <v>16657</v>
          </cell>
          <cell r="I138">
            <v>0</v>
          </cell>
          <cell r="J138">
            <v>0</v>
          </cell>
          <cell r="K138">
            <v>861116.39</v>
          </cell>
          <cell r="L138" t="str">
            <v>ok</v>
          </cell>
          <cell r="M138">
            <v>0</v>
          </cell>
          <cell r="O138">
            <v>861116.39</v>
          </cell>
          <cell r="Q138">
            <v>286499.90999999997</v>
          </cell>
          <cell r="R138">
            <v>0</v>
          </cell>
          <cell r="U138">
            <v>574616</v>
          </cell>
          <cell r="V138" t="str">
            <v>ok</v>
          </cell>
          <cell r="W138">
            <v>313793</v>
          </cell>
        </row>
        <row r="139">
          <cell r="A139">
            <v>30003</v>
          </cell>
          <cell r="B139" t="str">
            <v xml:space="preserve">    Other income</v>
          </cell>
          <cell r="D139" t="str">
            <v>V4</v>
          </cell>
          <cell r="F139">
            <v>4557.51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4557.51</v>
          </cell>
          <cell r="L139" t="str">
            <v>ok</v>
          </cell>
          <cell r="M139">
            <v>9222.6934799999999</v>
          </cell>
          <cell r="N139" t="str">
            <v>ok</v>
          </cell>
          <cell r="O139">
            <v>13781.20348</v>
          </cell>
          <cell r="Q139">
            <v>0</v>
          </cell>
          <cell r="R139">
            <v>0</v>
          </cell>
          <cell r="U139">
            <v>13781</v>
          </cell>
          <cell r="V139" t="str">
            <v>ok</v>
          </cell>
          <cell r="W139">
            <v>21035</v>
          </cell>
          <cell r="Y139">
            <v>-3.6154588799585734</v>
          </cell>
        </row>
        <row r="140">
          <cell r="F140">
            <v>1111209.96</v>
          </cell>
          <cell r="G140">
            <v>25331.54</v>
          </cell>
          <cell r="H140">
            <v>16657</v>
          </cell>
          <cell r="I140">
            <v>0</v>
          </cell>
          <cell r="J140">
            <v>0</v>
          </cell>
          <cell r="K140">
            <v>1102536.42</v>
          </cell>
          <cell r="M140">
            <v>9222.6934799999999</v>
          </cell>
          <cell r="O140">
            <v>1111759.1134799998</v>
          </cell>
          <cell r="Q140">
            <v>456499.91</v>
          </cell>
          <cell r="R140">
            <v>0</v>
          </cell>
          <cell r="U140">
            <v>655259</v>
          </cell>
          <cell r="W140">
            <v>509800</v>
          </cell>
          <cell r="Y140">
            <v>0.53761164642524917</v>
          </cell>
        </row>
        <row r="142">
          <cell r="A142" t="str">
            <v>SC</v>
          </cell>
          <cell r="B142" t="str">
            <v>STAFF COSTS</v>
          </cell>
          <cell r="Y142" t="str">
            <v xml:space="preserve"> </v>
          </cell>
        </row>
        <row r="143">
          <cell r="A143">
            <v>40001</v>
          </cell>
          <cell r="B143" t="str">
            <v xml:space="preserve">   Directors' remuneration</v>
          </cell>
          <cell r="D143" t="str">
            <v>W1</v>
          </cell>
          <cell r="G143">
            <v>67296</v>
          </cell>
          <cell r="H143">
            <v>0</v>
          </cell>
          <cell r="I143">
            <v>0</v>
          </cell>
          <cell r="J143">
            <v>0</v>
          </cell>
          <cell r="K143">
            <v>67296</v>
          </cell>
          <cell r="L143" t="str">
            <v>ok</v>
          </cell>
          <cell r="M143">
            <v>0</v>
          </cell>
          <cell r="O143">
            <v>67296</v>
          </cell>
          <cell r="Q143">
            <v>0</v>
          </cell>
          <cell r="R143">
            <v>0</v>
          </cell>
          <cell r="U143">
            <v>67296</v>
          </cell>
          <cell r="V143" t="str">
            <v>ok</v>
          </cell>
          <cell r="W143">
            <v>89016</v>
          </cell>
        </row>
        <row r="144">
          <cell r="A144">
            <v>40002</v>
          </cell>
          <cell r="B144" t="str">
            <v xml:space="preserve">   Payroll taxes and fringes</v>
          </cell>
          <cell r="D144" t="str">
            <v>W2-2/1</v>
          </cell>
          <cell r="F144">
            <v>775692.5199999999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775691.52</v>
          </cell>
          <cell r="L144" t="str">
            <v>ok</v>
          </cell>
          <cell r="M144">
            <v>110396.01027</v>
          </cell>
          <cell r="N144" t="str">
            <v>ok</v>
          </cell>
          <cell r="O144">
            <v>886087.53026999999</v>
          </cell>
          <cell r="Q144">
            <v>0</v>
          </cell>
          <cell r="R144">
            <v>0</v>
          </cell>
          <cell r="U144">
            <v>886088</v>
          </cell>
          <cell r="V144" t="str">
            <v>ok</v>
          </cell>
          <cell r="W144">
            <v>802596</v>
          </cell>
        </row>
        <row r="145">
          <cell r="A145">
            <v>40003</v>
          </cell>
          <cell r="B145" t="str">
            <v xml:space="preserve">   Salaries and wages</v>
          </cell>
          <cell r="D145" t="str">
            <v>W2-1</v>
          </cell>
          <cell r="F145">
            <v>4476656.709999999</v>
          </cell>
          <cell r="G145">
            <v>0</v>
          </cell>
          <cell r="H145">
            <v>67296</v>
          </cell>
          <cell r="I145">
            <v>0</v>
          </cell>
          <cell r="J145">
            <v>0</v>
          </cell>
          <cell r="K145">
            <v>4409360.71</v>
          </cell>
          <cell r="L145" t="str">
            <v>ok</v>
          </cell>
          <cell r="M145">
            <v>1093669.6133999999</v>
          </cell>
          <cell r="N145" t="str">
            <v>ok</v>
          </cell>
          <cell r="O145">
            <v>5503031.3234000001</v>
          </cell>
          <cell r="Q145">
            <v>0</v>
          </cell>
          <cell r="R145">
            <v>0</v>
          </cell>
          <cell r="U145">
            <v>5503031</v>
          </cell>
          <cell r="V145" t="str">
            <v>ok</v>
          </cell>
          <cell r="W145">
            <v>4780544</v>
          </cell>
        </row>
        <row r="146">
          <cell r="A146" t="str">
            <v xml:space="preserve"> </v>
          </cell>
          <cell r="F146">
            <v>-5252349.2299999986</v>
          </cell>
          <cell r="G146">
            <v>67296</v>
          </cell>
          <cell r="H146">
            <v>67296</v>
          </cell>
          <cell r="I146">
            <v>0</v>
          </cell>
          <cell r="J146">
            <v>0</v>
          </cell>
          <cell r="K146">
            <v>-5252349.2300000004</v>
          </cell>
          <cell r="M146">
            <v>-1204065.6236699999</v>
          </cell>
          <cell r="O146">
            <v>-6456414.8536700001</v>
          </cell>
          <cell r="U146">
            <v>-6456415</v>
          </cell>
          <cell r="W146">
            <v>-5672156</v>
          </cell>
        </row>
        <row r="147">
          <cell r="A147" t="str">
            <v xml:space="preserve"> </v>
          </cell>
        </row>
        <row r="148">
          <cell r="A148" t="str">
            <v>RE</v>
          </cell>
          <cell r="B148" t="str">
            <v>RENTAL EXPENSES</v>
          </cell>
        </row>
        <row r="149">
          <cell r="A149">
            <v>40004</v>
          </cell>
          <cell r="B149" t="str">
            <v xml:space="preserve">     Electricity</v>
          </cell>
          <cell r="D149" t="str">
            <v>W5</v>
          </cell>
          <cell r="F149">
            <v>31538.959999999999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31538.959999999999</v>
          </cell>
          <cell r="L149" t="str">
            <v>ok</v>
          </cell>
          <cell r="M149">
            <v>13435.47114</v>
          </cell>
          <cell r="N149" t="str">
            <v>ok</v>
          </cell>
          <cell r="O149">
            <v>44974.431140000001</v>
          </cell>
          <cell r="Q149">
            <v>0</v>
          </cell>
          <cell r="R149">
            <v>0</v>
          </cell>
          <cell r="U149">
            <v>44974</v>
          </cell>
          <cell r="V149" t="str">
            <v>ok</v>
          </cell>
          <cell r="W149">
            <v>43888</v>
          </cell>
        </row>
        <row r="150">
          <cell r="A150">
            <v>40005</v>
          </cell>
          <cell r="B150" t="str">
            <v xml:space="preserve">     Janitorial </v>
          </cell>
          <cell r="D150" t="str">
            <v>W5</v>
          </cell>
          <cell r="F150">
            <v>13800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13800</v>
          </cell>
          <cell r="L150" t="str">
            <v>ok</v>
          </cell>
          <cell r="M150">
            <v>0</v>
          </cell>
          <cell r="O150">
            <v>13800</v>
          </cell>
          <cell r="Q150">
            <v>0</v>
          </cell>
          <cell r="R150">
            <v>0</v>
          </cell>
          <cell r="U150">
            <v>13800</v>
          </cell>
          <cell r="V150" t="str">
            <v>ok</v>
          </cell>
          <cell r="W150">
            <v>15230</v>
          </cell>
        </row>
        <row r="151">
          <cell r="A151">
            <v>40006</v>
          </cell>
          <cell r="B151" t="str">
            <v xml:space="preserve">     Office facilities</v>
          </cell>
          <cell r="D151" t="str">
            <v>W5</v>
          </cell>
          <cell r="F151">
            <v>14594.73</v>
          </cell>
          <cell r="G151">
            <v>10912</v>
          </cell>
          <cell r="H151">
            <v>0</v>
          </cell>
          <cell r="I151">
            <v>0</v>
          </cell>
          <cell r="J151">
            <v>0</v>
          </cell>
          <cell r="K151">
            <v>25506.73</v>
          </cell>
          <cell r="L151" t="str">
            <v>ok</v>
          </cell>
          <cell r="M151">
            <v>0</v>
          </cell>
          <cell r="O151">
            <v>25506.73</v>
          </cell>
          <cell r="Q151">
            <v>0</v>
          </cell>
          <cell r="R151">
            <v>0</v>
          </cell>
          <cell r="U151">
            <v>25507</v>
          </cell>
          <cell r="V151" t="str">
            <v>ok</v>
          </cell>
          <cell r="W151">
            <v>25919</v>
          </cell>
        </row>
        <row r="152">
          <cell r="A152">
            <v>40007</v>
          </cell>
          <cell r="B152" t="str">
            <v xml:space="preserve">     Office lease payment</v>
          </cell>
          <cell r="D152" t="str">
            <v>W5</v>
          </cell>
          <cell r="F152">
            <v>363536.04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363536.04</v>
          </cell>
          <cell r="L152" t="str">
            <v>ok</v>
          </cell>
          <cell r="M152">
            <v>134602.65</v>
          </cell>
          <cell r="N152" t="str">
            <v>ok</v>
          </cell>
          <cell r="O152">
            <v>498138.68999999994</v>
          </cell>
          <cell r="Q152">
            <v>0</v>
          </cell>
          <cell r="R152">
            <v>0</v>
          </cell>
          <cell r="U152">
            <v>498139</v>
          </cell>
          <cell r="V152" t="str">
            <v>ok</v>
          </cell>
          <cell r="W152">
            <v>551786</v>
          </cell>
        </row>
        <row r="153">
          <cell r="A153">
            <v>40008</v>
          </cell>
          <cell r="B153" t="str">
            <v xml:space="preserve">     Other occupancy costs</v>
          </cell>
          <cell r="D153" t="str">
            <v>W5</v>
          </cell>
          <cell r="F153">
            <v>903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903</v>
          </cell>
          <cell r="L153" t="str">
            <v>ok</v>
          </cell>
          <cell r="M153">
            <v>0</v>
          </cell>
          <cell r="O153">
            <v>903</v>
          </cell>
          <cell r="Q153">
            <v>0</v>
          </cell>
          <cell r="R153">
            <v>0</v>
          </cell>
          <cell r="U153">
            <v>903</v>
          </cell>
          <cell r="V153" t="str">
            <v>ok</v>
          </cell>
          <cell r="W153">
            <v>6108</v>
          </cell>
        </row>
        <row r="154">
          <cell r="F154">
            <v>-424372.73</v>
          </cell>
          <cell r="G154">
            <v>10912</v>
          </cell>
          <cell r="H154">
            <v>0</v>
          </cell>
          <cell r="I154">
            <v>0</v>
          </cell>
          <cell r="J154">
            <v>0</v>
          </cell>
          <cell r="K154">
            <v>-435284.73</v>
          </cell>
          <cell r="M154">
            <v>-148038.12114</v>
          </cell>
          <cell r="O154">
            <v>-583322.85113999993</v>
          </cell>
          <cell r="U154">
            <v>-583323</v>
          </cell>
          <cell r="W154">
            <v>-642931</v>
          </cell>
        </row>
        <row r="155">
          <cell r="A155" t="str">
            <v>DEP</v>
          </cell>
          <cell r="B155" t="str">
            <v>DEPRECIATION AND AMORTISATION</v>
          </cell>
        </row>
        <row r="156">
          <cell r="A156">
            <v>40009</v>
          </cell>
          <cell r="B156" t="str">
            <v xml:space="preserve">     Amortisation</v>
          </cell>
          <cell r="M156">
            <v>0</v>
          </cell>
          <cell r="W156">
            <v>0</v>
          </cell>
        </row>
        <row r="157">
          <cell r="A157">
            <v>40030</v>
          </cell>
          <cell r="B157" t="str">
            <v xml:space="preserve">     Depreciation</v>
          </cell>
          <cell r="F157">
            <v>124532.74</v>
          </cell>
          <cell r="G157">
            <v>0</v>
          </cell>
          <cell r="H157">
            <v>347</v>
          </cell>
          <cell r="I157">
            <v>0</v>
          </cell>
          <cell r="J157">
            <v>0</v>
          </cell>
          <cell r="K157">
            <v>124185.74</v>
          </cell>
          <cell r="L157" t="str">
            <v>ok</v>
          </cell>
          <cell r="M157">
            <v>32768.420140000002</v>
          </cell>
          <cell r="N157" t="str">
            <v>ok</v>
          </cell>
          <cell r="O157">
            <v>156954.16013999999</v>
          </cell>
          <cell r="Q157">
            <v>0</v>
          </cell>
          <cell r="R157">
            <v>0</v>
          </cell>
          <cell r="U157">
            <v>156954</v>
          </cell>
          <cell r="V157" t="str">
            <v>ok</v>
          </cell>
          <cell r="W157">
            <v>162300</v>
          </cell>
        </row>
        <row r="158">
          <cell r="F158">
            <v>-124532.74</v>
          </cell>
          <cell r="G158">
            <v>0</v>
          </cell>
          <cell r="H158">
            <v>347</v>
          </cell>
          <cell r="I158">
            <v>0</v>
          </cell>
          <cell r="J158">
            <v>0</v>
          </cell>
          <cell r="K158">
            <v>-124185.74</v>
          </cell>
          <cell r="M158">
            <v>-32768.420140000002</v>
          </cell>
          <cell r="O158">
            <v>-156954.16013999999</v>
          </cell>
          <cell r="U158">
            <v>-156954</v>
          </cell>
          <cell r="W158">
            <v>-162300</v>
          </cell>
        </row>
        <row r="160">
          <cell r="A160" t="str">
            <v>OOE</v>
          </cell>
          <cell r="B160" t="str">
            <v>OTHER OPERATING EXPENSES</v>
          </cell>
        </row>
        <row r="161">
          <cell r="A161">
            <v>40010</v>
          </cell>
          <cell r="B161" t="str">
            <v xml:space="preserve">    Auditors' remuneration</v>
          </cell>
          <cell r="F161">
            <v>20900</v>
          </cell>
          <cell r="G161">
            <v>2100</v>
          </cell>
          <cell r="H161">
            <v>0</v>
          </cell>
          <cell r="I161">
            <v>0</v>
          </cell>
          <cell r="J161">
            <v>0</v>
          </cell>
          <cell r="K161">
            <v>23000</v>
          </cell>
          <cell r="L161" t="str">
            <v>ok</v>
          </cell>
          <cell r="M161">
            <v>0</v>
          </cell>
          <cell r="O161">
            <v>23000</v>
          </cell>
          <cell r="Q161">
            <v>0</v>
          </cell>
          <cell r="R161">
            <v>0</v>
          </cell>
          <cell r="U161">
            <v>23000</v>
          </cell>
          <cell r="V161" t="str">
            <v>ok</v>
          </cell>
          <cell r="W161">
            <v>20400</v>
          </cell>
          <cell r="Y161">
            <v>0.11304347826086956</v>
          </cell>
        </row>
        <row r="162">
          <cell r="A162">
            <v>40031</v>
          </cell>
          <cell r="B162" t="str">
            <v xml:space="preserve">    Allocated administration expenses</v>
          </cell>
          <cell r="M162">
            <v>286149.15419999999</v>
          </cell>
          <cell r="N162" t="str">
            <v>ok</v>
          </cell>
          <cell r="O162">
            <v>286149.15419999999</v>
          </cell>
          <cell r="Q162">
            <v>0</v>
          </cell>
          <cell r="R162">
            <v>286149</v>
          </cell>
          <cell r="U162">
            <v>0</v>
          </cell>
          <cell r="W162">
            <v>0</v>
          </cell>
        </row>
        <row r="163">
          <cell r="A163">
            <v>40011</v>
          </cell>
          <cell r="B163" t="str">
            <v xml:space="preserve">    Bad debts written off (trade)</v>
          </cell>
          <cell r="D163" t="str">
            <v>W6</v>
          </cell>
          <cell r="F163">
            <v>39198.81</v>
          </cell>
          <cell r="G163">
            <v>2506.02</v>
          </cell>
          <cell r="H163">
            <v>0</v>
          </cell>
          <cell r="I163">
            <v>0</v>
          </cell>
          <cell r="J163">
            <v>0</v>
          </cell>
          <cell r="K163">
            <v>41704.83</v>
          </cell>
          <cell r="L163" t="str">
            <v>ok</v>
          </cell>
          <cell r="M163">
            <v>0</v>
          </cell>
          <cell r="O163">
            <v>41704.83</v>
          </cell>
          <cell r="Q163">
            <v>0</v>
          </cell>
          <cell r="R163">
            <v>0</v>
          </cell>
          <cell r="U163">
            <v>41705</v>
          </cell>
          <cell r="V163" t="str">
            <v>ok</v>
          </cell>
          <cell r="W163">
            <v>4775</v>
          </cell>
          <cell r="Y163">
            <v>0.88550486838095255</v>
          </cell>
        </row>
        <row r="164">
          <cell r="A164">
            <v>40012</v>
          </cell>
          <cell r="B164" t="str">
            <v xml:space="preserve">    Bad debts written off (non-trade)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M164">
            <v>0</v>
          </cell>
          <cell r="O164">
            <v>0</v>
          </cell>
          <cell r="Q164">
            <v>0</v>
          </cell>
          <cell r="R164">
            <v>0</v>
          </cell>
          <cell r="U164">
            <v>0</v>
          </cell>
          <cell r="W164">
            <v>500</v>
          </cell>
        </row>
        <row r="165">
          <cell r="A165">
            <v>40013</v>
          </cell>
          <cell r="B165" t="str">
            <v xml:space="preserve">    Bank charges</v>
          </cell>
          <cell r="F165">
            <v>30775.3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30775.3</v>
          </cell>
          <cell r="L165" t="str">
            <v>ok</v>
          </cell>
          <cell r="M165">
            <v>0</v>
          </cell>
          <cell r="O165">
            <v>30775.3</v>
          </cell>
          <cell r="Q165">
            <v>0</v>
          </cell>
          <cell r="R165">
            <v>0</v>
          </cell>
          <cell r="U165">
            <v>30775</v>
          </cell>
          <cell r="V165" t="str">
            <v>ok</v>
          </cell>
          <cell r="W165">
            <v>29258</v>
          </cell>
        </row>
        <row r="166">
          <cell r="A166">
            <v>40014</v>
          </cell>
          <cell r="B166" t="str">
            <v xml:space="preserve">    Communication expenses</v>
          </cell>
          <cell r="F166">
            <v>158929.21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158929.21</v>
          </cell>
          <cell r="L166" t="str">
            <v>ok</v>
          </cell>
          <cell r="M166">
            <v>44663.856509999998</v>
          </cell>
          <cell r="N166" t="str">
            <v>ok</v>
          </cell>
          <cell r="O166">
            <v>203593.06650999998</v>
          </cell>
          <cell r="Q166">
            <v>0</v>
          </cell>
          <cell r="R166">
            <v>0</v>
          </cell>
          <cell r="U166">
            <v>203593</v>
          </cell>
          <cell r="V166" t="str">
            <v>ok</v>
          </cell>
          <cell r="W166">
            <v>291573</v>
          </cell>
          <cell r="Y166">
            <v>-0.83460925779471262</v>
          </cell>
        </row>
        <row r="167">
          <cell r="A167">
            <v>40015</v>
          </cell>
          <cell r="B167" t="str">
            <v xml:space="preserve">    Commission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M167">
            <v>3418.7516999999998</v>
          </cell>
          <cell r="N167" t="str">
            <v>ok</v>
          </cell>
          <cell r="O167">
            <v>3418.7516999999998</v>
          </cell>
          <cell r="Q167">
            <v>0</v>
          </cell>
          <cell r="R167">
            <v>0</v>
          </cell>
          <cell r="U167">
            <v>3419</v>
          </cell>
          <cell r="V167" t="str">
            <v>ok</v>
          </cell>
          <cell r="W167">
            <v>34960</v>
          </cell>
          <cell r="Y167" t="e">
            <v>#DIV/0!</v>
          </cell>
        </row>
        <row r="168">
          <cell r="A168">
            <v>40016</v>
          </cell>
          <cell r="B168" t="str">
            <v xml:space="preserve">    Customs compound and customer claims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O168">
            <v>0</v>
          </cell>
          <cell r="Q168">
            <v>0</v>
          </cell>
          <cell r="R168">
            <v>0</v>
          </cell>
          <cell r="U168">
            <v>0</v>
          </cell>
          <cell r="W168">
            <v>12790</v>
          </cell>
          <cell r="Y168" t="e">
            <v>#DIV/0!</v>
          </cell>
        </row>
        <row r="169">
          <cell r="A169">
            <v>40017</v>
          </cell>
          <cell r="B169" t="str">
            <v xml:space="preserve">    Entertainment</v>
          </cell>
          <cell r="D169" t="str">
            <v>W3</v>
          </cell>
          <cell r="F169">
            <v>65997.459999999992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65997.460000000006</v>
          </cell>
          <cell r="L169" t="str">
            <v>ok</v>
          </cell>
          <cell r="M169">
            <v>32402.410950000001</v>
          </cell>
          <cell r="N169" t="str">
            <v>ok</v>
          </cell>
          <cell r="O169">
            <v>98399.870950000011</v>
          </cell>
          <cell r="Q169">
            <v>0</v>
          </cell>
          <cell r="R169">
            <v>0</v>
          </cell>
          <cell r="U169">
            <v>98400</v>
          </cell>
          <cell r="V169" t="str">
            <v>ok</v>
          </cell>
          <cell r="W169">
            <v>137917</v>
          </cell>
          <cell r="Y169">
            <v>-1.0897319381685293</v>
          </cell>
        </row>
        <row r="170">
          <cell r="A170">
            <v>40018</v>
          </cell>
          <cell r="B170" t="str">
            <v xml:space="preserve">     Exchange difference</v>
          </cell>
          <cell r="D170" t="str">
            <v>W8</v>
          </cell>
          <cell r="F170">
            <v>-71641.290000000008</v>
          </cell>
          <cell r="G170">
            <v>1139.24</v>
          </cell>
          <cell r="H170">
            <v>0</v>
          </cell>
          <cell r="I170">
            <v>0</v>
          </cell>
          <cell r="J170">
            <v>0</v>
          </cell>
          <cell r="K170">
            <v>-70502.05</v>
          </cell>
          <cell r="L170" t="str">
            <v>ok</v>
          </cell>
          <cell r="M170">
            <v>-154921.94445000001</v>
          </cell>
          <cell r="N170" t="str">
            <v>ok</v>
          </cell>
          <cell r="O170">
            <v>-225423.99445</v>
          </cell>
          <cell r="Q170">
            <v>6007.09</v>
          </cell>
          <cell r="R170">
            <v>41.59</v>
          </cell>
          <cell r="U170">
            <v>-219458</v>
          </cell>
          <cell r="V170" t="str">
            <v>ok</v>
          </cell>
          <cell r="W170">
            <v>-8006</v>
          </cell>
        </row>
        <row r="171">
          <cell r="A171">
            <v>40019</v>
          </cell>
          <cell r="B171" t="str">
            <v xml:space="preserve">     Insurance</v>
          </cell>
          <cell r="D171" t="str">
            <v>W9</v>
          </cell>
          <cell r="F171">
            <v>50438.91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50438.91</v>
          </cell>
          <cell r="L171" t="str">
            <v>ok</v>
          </cell>
          <cell r="M171">
            <v>83238.64185</v>
          </cell>
          <cell r="N171" t="str">
            <v>ok</v>
          </cell>
          <cell r="O171">
            <v>133677.55184999999</v>
          </cell>
          <cell r="Q171">
            <v>0</v>
          </cell>
          <cell r="R171">
            <v>0</v>
          </cell>
          <cell r="U171">
            <v>133678</v>
          </cell>
          <cell r="V171" t="str">
            <v>ok</v>
          </cell>
          <cell r="W171">
            <v>115211</v>
          </cell>
        </row>
        <row r="172">
          <cell r="A172">
            <v>40020</v>
          </cell>
          <cell r="B172" t="str">
            <v xml:space="preserve">     Legal and professional fees</v>
          </cell>
          <cell r="D172" t="str">
            <v>W4</v>
          </cell>
          <cell r="F172">
            <v>23973.96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23973.96</v>
          </cell>
          <cell r="L172" t="str">
            <v>ok</v>
          </cell>
          <cell r="M172">
            <v>21238.378980000001</v>
          </cell>
          <cell r="N172" t="str">
            <v>ok</v>
          </cell>
          <cell r="O172">
            <v>45212.33898</v>
          </cell>
          <cell r="Q172">
            <v>0</v>
          </cell>
          <cell r="R172">
            <v>0</v>
          </cell>
          <cell r="U172">
            <v>45212</v>
          </cell>
          <cell r="V172" t="str">
            <v>ok</v>
          </cell>
          <cell r="W172">
            <v>54569</v>
          </cell>
        </row>
        <row r="173">
          <cell r="A173">
            <v>40021</v>
          </cell>
          <cell r="B173" t="str">
            <v xml:space="preserve">     Plant and equipment written off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0</v>
          </cell>
          <cell r="O173">
            <v>0</v>
          </cell>
          <cell r="Q173">
            <v>0</v>
          </cell>
          <cell r="R173">
            <v>0</v>
          </cell>
          <cell r="U173">
            <v>0</v>
          </cell>
          <cell r="W173">
            <v>3652</v>
          </cell>
        </row>
        <row r="174">
          <cell r="A174">
            <v>40022</v>
          </cell>
          <cell r="B174" t="str">
            <v xml:space="preserve">     Maintenance expenses</v>
          </cell>
          <cell r="F174">
            <v>185196.69</v>
          </cell>
          <cell r="G174">
            <v>0</v>
          </cell>
          <cell r="H174">
            <v>520</v>
          </cell>
          <cell r="I174">
            <v>0</v>
          </cell>
          <cell r="J174">
            <v>0</v>
          </cell>
          <cell r="K174">
            <v>184676.69</v>
          </cell>
          <cell r="L174" t="str">
            <v>ok</v>
          </cell>
          <cell r="M174">
            <v>407.69819999999999</v>
          </cell>
          <cell r="N174" t="str">
            <v>ok</v>
          </cell>
          <cell r="O174">
            <v>185084.38820000002</v>
          </cell>
          <cell r="Q174">
            <v>0</v>
          </cell>
          <cell r="R174">
            <v>0</v>
          </cell>
          <cell r="U174">
            <v>185084</v>
          </cell>
          <cell r="V174" t="str">
            <v>ok</v>
          </cell>
          <cell r="W174">
            <v>163668</v>
          </cell>
        </row>
        <row r="175">
          <cell r="A175">
            <v>40023</v>
          </cell>
          <cell r="B175" t="str">
            <v xml:space="preserve">     Management fees</v>
          </cell>
          <cell r="D175" t="str">
            <v>W11</v>
          </cell>
          <cell r="F175">
            <v>523422.67000000004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523422.67</v>
          </cell>
          <cell r="L175" t="str">
            <v>ok</v>
          </cell>
          <cell r="M175">
            <v>0</v>
          </cell>
          <cell r="O175">
            <v>523422.67</v>
          </cell>
          <cell r="Q175">
            <v>0</v>
          </cell>
          <cell r="R175">
            <v>0</v>
          </cell>
          <cell r="U175">
            <v>523423</v>
          </cell>
          <cell r="V175" t="str">
            <v>ok</v>
          </cell>
          <cell r="W175">
            <v>470899</v>
          </cell>
        </row>
        <row r="176">
          <cell r="A176">
            <v>40024</v>
          </cell>
          <cell r="B176" t="str">
            <v xml:space="preserve">     Operating supplies</v>
          </cell>
          <cell r="D176" t="str">
            <v>W5-2/2.2</v>
          </cell>
          <cell r="F176">
            <v>84026.92</v>
          </cell>
          <cell r="G176">
            <v>0</v>
          </cell>
          <cell r="H176">
            <v>10392</v>
          </cell>
          <cell r="I176">
            <v>0</v>
          </cell>
          <cell r="J176">
            <v>0</v>
          </cell>
          <cell r="K176">
            <v>73634.92</v>
          </cell>
          <cell r="L176" t="str">
            <v>ok</v>
          </cell>
          <cell r="M176">
            <v>28423.359509999998</v>
          </cell>
          <cell r="N176" t="str">
            <v>ok</v>
          </cell>
          <cell r="O176">
            <v>102058.27950999999</v>
          </cell>
          <cell r="Q176">
            <v>0</v>
          </cell>
          <cell r="R176">
            <v>0</v>
          </cell>
          <cell r="U176">
            <v>102058</v>
          </cell>
          <cell r="V176" t="str">
            <v>ok</v>
          </cell>
          <cell r="W176">
            <v>145089</v>
          </cell>
        </row>
        <row r="177">
          <cell r="A177">
            <v>40025</v>
          </cell>
          <cell r="B177" t="str">
            <v xml:space="preserve">     Other expenses</v>
          </cell>
          <cell r="D177" t="str">
            <v>W10</v>
          </cell>
          <cell r="F177">
            <v>72543</v>
          </cell>
          <cell r="G177">
            <v>6609.34</v>
          </cell>
          <cell r="H177">
            <v>0</v>
          </cell>
          <cell r="I177">
            <v>0</v>
          </cell>
          <cell r="J177">
            <v>0</v>
          </cell>
          <cell r="K177">
            <v>79152.34</v>
          </cell>
          <cell r="L177" t="str">
            <v>ok</v>
          </cell>
          <cell r="M177">
            <v>63223.409339999998</v>
          </cell>
          <cell r="N177" t="str">
            <v>ok</v>
          </cell>
          <cell r="O177">
            <v>142375.74933999998</v>
          </cell>
          <cell r="Q177">
            <v>0</v>
          </cell>
          <cell r="R177">
            <v>6328.28</v>
          </cell>
          <cell r="U177">
            <v>136048</v>
          </cell>
          <cell r="V177" t="str">
            <v>ok</v>
          </cell>
          <cell r="W177">
            <v>135081</v>
          </cell>
        </row>
        <row r="178">
          <cell r="A178">
            <v>40026</v>
          </cell>
          <cell r="B178" t="str">
            <v xml:space="preserve">     Outside services </v>
          </cell>
          <cell r="F178">
            <v>12745.65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12745.65</v>
          </cell>
          <cell r="L178" t="str">
            <v>ok</v>
          </cell>
          <cell r="M178">
            <v>0</v>
          </cell>
          <cell r="O178">
            <v>12745.65</v>
          </cell>
          <cell r="Q178">
            <v>0</v>
          </cell>
          <cell r="R178">
            <v>0</v>
          </cell>
          <cell r="U178">
            <v>12746</v>
          </cell>
          <cell r="V178" t="str">
            <v>ok</v>
          </cell>
          <cell r="W178">
            <v>1054</v>
          </cell>
        </row>
        <row r="179">
          <cell r="A179">
            <v>40027</v>
          </cell>
          <cell r="B179" t="str">
            <v xml:space="preserve">     Provision for doubtful debts</v>
          </cell>
          <cell r="D179" t="str">
            <v>W6</v>
          </cell>
          <cell r="F179">
            <v>7527</v>
          </cell>
          <cell r="G179">
            <v>0</v>
          </cell>
          <cell r="H179">
            <v>7527</v>
          </cell>
          <cell r="I179">
            <v>0</v>
          </cell>
          <cell r="J179">
            <v>0</v>
          </cell>
          <cell r="K179">
            <v>0</v>
          </cell>
          <cell r="M179">
            <v>7174.7102699999996</v>
          </cell>
          <cell r="N179" t="str">
            <v>ok</v>
          </cell>
          <cell r="O179">
            <v>7174.7102699999996</v>
          </cell>
          <cell r="Q179">
            <v>0</v>
          </cell>
          <cell r="R179">
            <v>9430</v>
          </cell>
          <cell r="U179">
            <v>-2255</v>
          </cell>
          <cell r="V179" t="str">
            <v>ok</v>
          </cell>
          <cell r="W179">
            <v>41928</v>
          </cell>
        </row>
        <row r="180">
          <cell r="A180">
            <v>40028</v>
          </cell>
          <cell r="B180" t="str">
            <v xml:space="preserve">     Dividend paid</v>
          </cell>
          <cell r="F180">
            <v>0</v>
          </cell>
          <cell r="K180">
            <v>0</v>
          </cell>
          <cell r="M180">
            <v>176358</v>
          </cell>
          <cell r="N180" t="str">
            <v>ok</v>
          </cell>
          <cell r="O180">
            <v>176358</v>
          </cell>
          <cell r="Q180">
            <v>0</v>
          </cell>
          <cell r="R180">
            <v>176358</v>
          </cell>
          <cell r="U180">
            <v>0</v>
          </cell>
          <cell r="W180">
            <v>0</v>
          </cell>
        </row>
        <row r="181">
          <cell r="A181">
            <v>40029</v>
          </cell>
          <cell r="B181" t="str">
            <v xml:space="preserve">     Travel and transportation  </v>
          </cell>
          <cell r="D181" t="str">
            <v>W3</v>
          </cell>
          <cell r="F181">
            <v>430608.23</v>
          </cell>
          <cell r="K181">
            <v>430608.23</v>
          </cell>
          <cell r="L181" t="str">
            <v>ok</v>
          </cell>
          <cell r="M181">
            <v>23797.80039</v>
          </cell>
          <cell r="N181" t="str">
            <v>ok</v>
          </cell>
          <cell r="O181">
            <v>454406.03038999997</v>
          </cell>
          <cell r="Q181">
            <v>0</v>
          </cell>
          <cell r="R181">
            <v>0</v>
          </cell>
          <cell r="U181">
            <v>454406</v>
          </cell>
          <cell r="V181" t="str">
            <v>ok</v>
          </cell>
          <cell r="W181">
            <v>448314</v>
          </cell>
        </row>
        <row r="182">
          <cell r="F182">
            <v>-1634642.52</v>
          </cell>
          <cell r="G182">
            <v>12354.6</v>
          </cell>
          <cell r="H182">
            <v>18439</v>
          </cell>
          <cell r="I182">
            <v>0</v>
          </cell>
          <cell r="J182">
            <v>0</v>
          </cell>
          <cell r="K182">
            <v>-1628558.1199999999</v>
          </cell>
          <cell r="M182">
            <v>-615574.22744999989</v>
          </cell>
          <cell r="O182">
            <v>-2244132.3474500002</v>
          </cell>
          <cell r="Q182">
            <v>6007.09</v>
          </cell>
          <cell r="R182">
            <v>478306.87000000005</v>
          </cell>
          <cell r="U182">
            <v>-1771834</v>
          </cell>
          <cell r="W182">
            <v>-2103632</v>
          </cell>
        </row>
        <row r="184">
          <cell r="A184" t="str">
            <v>FI</v>
          </cell>
          <cell r="B184" t="str">
            <v>FINANCE INCOME</v>
          </cell>
          <cell r="K184">
            <v>0</v>
          </cell>
          <cell r="Y184" t="str">
            <v xml:space="preserve"> </v>
          </cell>
        </row>
        <row r="185">
          <cell r="A185">
            <v>50001</v>
          </cell>
          <cell r="B185" t="str">
            <v xml:space="preserve">    Interest income</v>
          </cell>
          <cell r="D185" t="str">
            <v>V2</v>
          </cell>
          <cell r="F185">
            <v>10451.629999999999</v>
          </cell>
          <cell r="G185">
            <v>1100</v>
          </cell>
          <cell r="H185">
            <v>0</v>
          </cell>
          <cell r="I185">
            <v>0</v>
          </cell>
          <cell r="J185">
            <v>0</v>
          </cell>
          <cell r="K185">
            <v>9351.6299999999992</v>
          </cell>
          <cell r="L185" t="str">
            <v>ok</v>
          </cell>
          <cell r="M185">
            <v>7019.1521400000001</v>
          </cell>
          <cell r="N185" t="str">
            <v>ok</v>
          </cell>
          <cell r="O185">
            <v>16370.782139999999</v>
          </cell>
          <cell r="Q185">
            <v>0</v>
          </cell>
          <cell r="R185">
            <v>0</v>
          </cell>
          <cell r="U185">
            <v>16371</v>
          </cell>
          <cell r="V185" t="str">
            <v>ok</v>
          </cell>
          <cell r="W185">
            <v>5660</v>
          </cell>
          <cell r="Y185">
            <v>0.39475791920766751</v>
          </cell>
        </row>
        <row r="186">
          <cell r="A186">
            <v>50002</v>
          </cell>
          <cell r="B186" t="str">
            <v xml:space="preserve">    Foreign exchange gain</v>
          </cell>
          <cell r="F186">
            <v>0</v>
          </cell>
          <cell r="M186">
            <v>0</v>
          </cell>
          <cell r="O186">
            <v>0</v>
          </cell>
          <cell r="Q186">
            <v>0</v>
          </cell>
          <cell r="R186">
            <v>0</v>
          </cell>
          <cell r="U186">
            <v>0</v>
          </cell>
        </row>
        <row r="187">
          <cell r="A187">
            <v>50003</v>
          </cell>
          <cell r="B187" t="str">
            <v xml:space="preserve">   Profit on disposal of assets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O187">
            <v>0</v>
          </cell>
          <cell r="Q187">
            <v>0</v>
          </cell>
          <cell r="R187">
            <v>0</v>
          </cell>
          <cell r="U187">
            <v>0</v>
          </cell>
          <cell r="Y187" t="str">
            <v xml:space="preserve"> </v>
          </cell>
        </row>
        <row r="188">
          <cell r="F188">
            <v>10451.629999999999</v>
          </cell>
          <cell r="G188">
            <v>1100</v>
          </cell>
          <cell r="H188">
            <v>0</v>
          </cell>
          <cell r="I188">
            <v>0</v>
          </cell>
          <cell r="J188">
            <v>0</v>
          </cell>
          <cell r="K188">
            <v>9351.6299999999992</v>
          </cell>
          <cell r="M188">
            <v>7019.1521400000001</v>
          </cell>
          <cell r="O188">
            <v>16370.782139999999</v>
          </cell>
          <cell r="Q188">
            <v>0</v>
          </cell>
          <cell r="R188">
            <v>0</v>
          </cell>
          <cell r="U188">
            <v>16371</v>
          </cell>
          <cell r="W188">
            <v>5660</v>
          </cell>
          <cell r="Y188">
            <v>0.39475791920766751</v>
          </cell>
        </row>
        <row r="189">
          <cell r="A189" t="str">
            <v>fincost</v>
          </cell>
          <cell r="B189" t="str">
            <v>FINANCE COSTS</v>
          </cell>
          <cell r="F189" t="str">
            <v xml:space="preserve"> </v>
          </cell>
          <cell r="J189" t="str">
            <v xml:space="preserve"> </v>
          </cell>
          <cell r="K189" t="str">
            <v xml:space="preserve"> </v>
          </cell>
          <cell r="Y189" t="str">
            <v xml:space="preserve"> </v>
          </cell>
        </row>
        <row r="190">
          <cell r="A190">
            <v>60001</v>
          </cell>
          <cell r="B190" t="str">
            <v xml:space="preserve">     Bank overdraft and interest</v>
          </cell>
          <cell r="D190" t="str">
            <v>W7</v>
          </cell>
          <cell r="F190">
            <v>15352.41</v>
          </cell>
          <cell r="G190">
            <v>0</v>
          </cell>
          <cell r="H190">
            <v>1100</v>
          </cell>
          <cell r="I190">
            <v>0</v>
          </cell>
          <cell r="J190">
            <v>0</v>
          </cell>
          <cell r="K190">
            <v>14252.41</v>
          </cell>
          <cell r="L190" t="str">
            <v>ok</v>
          </cell>
          <cell r="M190">
            <v>0</v>
          </cell>
          <cell r="O190">
            <v>14252.41</v>
          </cell>
          <cell r="Q190">
            <v>0</v>
          </cell>
          <cell r="R190">
            <v>0</v>
          </cell>
          <cell r="U190">
            <v>14252</v>
          </cell>
          <cell r="V190" t="str">
            <v>ok</v>
          </cell>
          <cell r="W190">
            <v>4461</v>
          </cell>
          <cell r="Y190">
            <v>0.68700030380826826</v>
          </cell>
        </row>
        <row r="191">
          <cell r="A191">
            <v>60002</v>
          </cell>
          <cell r="B191" t="str">
            <v xml:space="preserve">     Short term loan interest</v>
          </cell>
          <cell r="D191" t="str">
            <v>W7</v>
          </cell>
          <cell r="F191">
            <v>1044.5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1044.5</v>
          </cell>
          <cell r="L191" t="str">
            <v>ok</v>
          </cell>
          <cell r="M191">
            <v>0</v>
          </cell>
          <cell r="O191">
            <v>1044.5</v>
          </cell>
          <cell r="Q191">
            <v>0</v>
          </cell>
          <cell r="R191">
            <v>0</v>
          </cell>
          <cell r="U191">
            <v>1045</v>
          </cell>
          <cell r="V191" t="str">
            <v>ok</v>
          </cell>
          <cell r="W191">
            <v>5744</v>
          </cell>
          <cell r="Y191">
            <v>-4.4992819530876016</v>
          </cell>
        </row>
        <row r="192">
          <cell r="A192">
            <v>60003</v>
          </cell>
          <cell r="B192" t="str">
            <v xml:space="preserve">     Interest on hire purchase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O192">
            <v>0</v>
          </cell>
          <cell r="Q192">
            <v>0</v>
          </cell>
          <cell r="R192">
            <v>0</v>
          </cell>
          <cell r="U192">
            <v>0</v>
          </cell>
          <cell r="W192">
            <v>0</v>
          </cell>
          <cell r="Y192" t="str">
            <v xml:space="preserve"> </v>
          </cell>
        </row>
        <row r="193">
          <cell r="F193">
            <v>-16396.91</v>
          </cell>
          <cell r="G193">
            <v>0</v>
          </cell>
          <cell r="H193">
            <v>1100</v>
          </cell>
          <cell r="I193">
            <v>0</v>
          </cell>
          <cell r="J193">
            <v>0</v>
          </cell>
          <cell r="K193">
            <v>-15296.91</v>
          </cell>
          <cell r="L193" t="str">
            <v>ok</v>
          </cell>
          <cell r="M193">
            <v>0</v>
          </cell>
          <cell r="O193">
            <v>-15296.91</v>
          </cell>
          <cell r="U193">
            <v>-15297</v>
          </cell>
          <cell r="W193">
            <v>-10205</v>
          </cell>
          <cell r="Y193">
            <v>0.3328718022136497</v>
          </cell>
        </row>
        <row r="194">
          <cell r="B194" t="str">
            <v>(LOSS)/ PROFIT for the year before taxation</v>
          </cell>
          <cell r="F194">
            <v>684756.25000000023</v>
          </cell>
          <cell r="G194">
            <v>1351142.08</v>
          </cell>
          <cell r="H194">
            <v>1395638.3800000001</v>
          </cell>
          <cell r="I194">
            <v>0</v>
          </cell>
          <cell r="J194">
            <v>0</v>
          </cell>
          <cell r="K194">
            <v>729252.54999999981</v>
          </cell>
          <cell r="L194" t="str">
            <v>ok</v>
          </cell>
          <cell r="M194">
            <v>1313687.1629700006</v>
          </cell>
          <cell r="O194">
            <v>2042940.7129700002</v>
          </cell>
          <cell r="U194">
            <v>2058154</v>
          </cell>
          <cell r="V194" t="str">
            <v>ok</v>
          </cell>
          <cell r="W194">
            <v>2294924</v>
          </cell>
          <cell r="Y194">
            <v>-2.1469536856607503</v>
          </cell>
        </row>
        <row r="195">
          <cell r="A195">
            <v>70001</v>
          </cell>
          <cell r="B195" t="str">
            <v xml:space="preserve">   Taxation- current year</v>
          </cell>
          <cell r="F195">
            <v>96825.76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96825.76</v>
          </cell>
          <cell r="M195">
            <v>371993.22615</v>
          </cell>
          <cell r="N195" t="str">
            <v>ok</v>
          </cell>
          <cell r="O195">
            <v>468818.98615000001</v>
          </cell>
          <cell r="Q195">
            <v>0</v>
          </cell>
          <cell r="R195">
            <v>0</v>
          </cell>
          <cell r="U195">
            <v>468819</v>
          </cell>
          <cell r="V195" t="str">
            <v>ok</v>
          </cell>
          <cell r="W195">
            <v>510082</v>
          </cell>
          <cell r="Y195">
            <v>-4.2680402405310325</v>
          </cell>
        </row>
        <row r="196">
          <cell r="A196">
            <v>70002</v>
          </cell>
          <cell r="B196" t="str">
            <v xml:space="preserve">   Taxation-over/under PY</v>
          </cell>
          <cell r="G196">
            <v>0</v>
          </cell>
          <cell r="H196">
            <v>10146.959999999999</v>
          </cell>
          <cell r="I196">
            <v>0</v>
          </cell>
          <cell r="J196">
            <v>0</v>
          </cell>
          <cell r="K196">
            <v>-10146.959999999999</v>
          </cell>
          <cell r="M196">
            <v>0</v>
          </cell>
          <cell r="O196">
            <v>-10146.959999999999</v>
          </cell>
          <cell r="Q196">
            <v>0</v>
          </cell>
          <cell r="R196">
            <v>0</v>
          </cell>
          <cell r="U196">
            <v>-10147</v>
          </cell>
          <cell r="V196" t="str">
            <v>ok</v>
          </cell>
          <cell r="Y196">
            <v>1</v>
          </cell>
        </row>
        <row r="197">
          <cell r="A197">
            <v>70003</v>
          </cell>
          <cell r="B197" t="str">
            <v xml:space="preserve">   Taxation-Def tax transfer</v>
          </cell>
          <cell r="G197">
            <v>49789.8</v>
          </cell>
          <cell r="H197">
            <v>0</v>
          </cell>
          <cell r="I197">
            <v>0</v>
          </cell>
          <cell r="J197">
            <v>0</v>
          </cell>
          <cell r="K197">
            <v>49789.8</v>
          </cell>
          <cell r="M197">
            <v>0</v>
          </cell>
          <cell r="O197">
            <v>49789.8</v>
          </cell>
          <cell r="Q197">
            <v>0</v>
          </cell>
          <cell r="R197">
            <v>0</v>
          </cell>
          <cell r="U197">
            <v>49790</v>
          </cell>
          <cell r="V197" t="str">
            <v>ok</v>
          </cell>
          <cell r="Y197">
            <v>1</v>
          </cell>
        </row>
        <row r="198">
          <cell r="A198">
            <v>70000</v>
          </cell>
          <cell r="B198" t="str">
            <v>Taxation</v>
          </cell>
          <cell r="F198">
            <v>-96825.76</v>
          </cell>
          <cell r="G198">
            <v>49789.8</v>
          </cell>
          <cell r="H198">
            <v>10146.959999999999</v>
          </cell>
          <cell r="I198">
            <v>0</v>
          </cell>
          <cell r="J198">
            <v>0</v>
          </cell>
          <cell r="K198">
            <v>-136469.59999999998</v>
          </cell>
          <cell r="L198" t="str">
            <v>ok</v>
          </cell>
          <cell r="M198">
            <v>-371993.22615</v>
          </cell>
          <cell r="O198">
            <v>-508461.82614999998</v>
          </cell>
          <cell r="U198">
            <v>-508462</v>
          </cell>
          <cell r="W198">
            <v>-510082</v>
          </cell>
          <cell r="Y198">
            <v>-2.7376968936671617</v>
          </cell>
        </row>
        <row r="199">
          <cell r="B199" t="str">
            <v>PROFIT for the year after taxation</v>
          </cell>
          <cell r="F199">
            <v>587930.49000000022</v>
          </cell>
          <cell r="G199">
            <v>1400931.8800000001</v>
          </cell>
          <cell r="H199">
            <v>1405785.34</v>
          </cell>
          <cell r="I199">
            <v>0</v>
          </cell>
          <cell r="J199">
            <v>0</v>
          </cell>
          <cell r="K199">
            <v>592783.94999999984</v>
          </cell>
          <cell r="L199" t="str">
            <v>ok</v>
          </cell>
          <cell r="M199">
            <v>941693.93682000064</v>
          </cell>
          <cell r="N199" t="str">
            <v>ok</v>
          </cell>
          <cell r="O199">
            <v>1534478.8868200001</v>
          </cell>
          <cell r="Q199">
            <v>608165.04999999993</v>
          </cell>
          <cell r="R199">
            <v>623381.55000000005</v>
          </cell>
          <cell r="U199">
            <v>1549692</v>
          </cell>
          <cell r="V199" t="str">
            <v>ok</v>
          </cell>
          <cell r="W199">
            <v>1784842</v>
          </cell>
          <cell r="Y199">
            <v>-2.0109485926533615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00"/>
      <sheetName val="pldt"/>
      <sheetName val="P-1.1 Update"/>
      <sheetName val="Uang Muka Operasi"/>
      <sheetName val="Vouching Add. FA"/>
      <sheetName val="Koreksi Uang Muka "/>
      <sheetName val="Analytical Review-MTCont"/>
      <sheetName val="Uang Muka Sewa Lahan"/>
      <sheetName val="Review Notes to DD"/>
      <sheetName val="Point to be discussed w Client"/>
      <sheetName val="FA Fiscal MTCont 2003"/>
      <sheetName val="Deferred Tax Calculation MTCont"/>
      <sheetName val="CF"/>
      <sheetName val="Materiality &amp; TE"/>
      <sheetName val="cf calculation"/>
      <sheetName val="PRJE'03"/>
      <sheetName val="PAJE'03"/>
      <sheetName val="CAJE'03"/>
      <sheetName val="To do List for Team"/>
      <sheetName val="Pending Items"/>
      <sheetName val="Basis Reclass Uang Muka"/>
      <sheetName val="Worksheet-03"/>
      <sheetName val="Analy Rvw"/>
      <sheetName val="PAJE-02"/>
      <sheetName val="PRJE-02"/>
      <sheetName val="CAJE-02"/>
      <sheetName val="C"/>
      <sheetName val="CC"/>
      <sheetName val="D"/>
      <sheetName val="DD"/>
      <sheetName val="E"/>
      <sheetName val="E-1"/>
      <sheetName val="Sorted by USD E-1.1"/>
      <sheetName val="Sorted by IDR E-1.2"/>
      <sheetName val="AR-Aging IDR E-2 p.1"/>
      <sheetName val="AR-Aging USD E-2 p.2 "/>
      <sheetName val="Subsequent IDR E-3 p.1"/>
      <sheetName val="Subsequent USD E-3 p.2"/>
      <sheetName val="E-4"/>
      <sheetName val="E-4.1"/>
      <sheetName val="EE"/>
      <sheetName val="F"/>
      <sheetName val="F-1"/>
      <sheetName val="Stock take result F-1.1"/>
      <sheetName val="G"/>
      <sheetName val="G-2"/>
      <sheetName val="G-3"/>
      <sheetName val="H"/>
      <sheetName val="II"/>
      <sheetName val="I"/>
      <sheetName val="J"/>
      <sheetName val="Predictive Test Sewa Lahan"/>
      <sheetName val="Predictive sewa lahan J 5-1"/>
      <sheetName val="JJ"/>
      <sheetName val="pred. insurance"/>
      <sheetName val="Predictive of insurance"/>
      <sheetName val="Data polis"/>
      <sheetName val="Insurred Aktiva"/>
      <sheetName val="Harga perolehan"/>
      <sheetName val="Predict depre"/>
      <sheetName val="K coba"/>
      <sheetName val="K"/>
      <sheetName val="trial K-3"/>
      <sheetName val="K-1"/>
      <sheetName val="L"/>
      <sheetName val="M"/>
      <sheetName val="Sheet1"/>
      <sheetName val="N"/>
      <sheetName val="NN-3"/>
      <sheetName val="O"/>
      <sheetName val="N-4"/>
      <sheetName val="P-1.1"/>
      <sheetName val="P-1"/>
      <sheetName val="P-2"/>
      <sheetName val="P-3"/>
      <sheetName val=" Q"/>
      <sheetName val="Movement of Bank Loan Q-1"/>
      <sheetName val="Movement of Leasing Q-2"/>
      <sheetName val="Interest exp Q-3"/>
      <sheetName val="QQ-3"/>
      <sheetName val="Current Leasing Q-4"/>
      <sheetName val="R"/>
      <sheetName val="Perhit. def tax R-1"/>
      <sheetName val="T"/>
      <sheetName val="TT-1"/>
      <sheetName val="T-1"/>
      <sheetName val="Penjelasan Net"/>
      <sheetName val="U-1"/>
      <sheetName val="U-2"/>
      <sheetName val="U-3"/>
      <sheetName val="U-4"/>
      <sheetName val="U-4.1"/>
      <sheetName val="U-5"/>
      <sheetName val="FISCAL 2002"/>
      <sheetName val="Table of Contents"/>
      <sheetName val="Wrap Up"/>
      <sheetName val="Labarugi fiskal"/>
      <sheetName val="Neraca fiskal"/>
      <sheetName val="fa-fiscal"/>
      <sheetName val="Penambahan FA"/>
      <sheetName val="Penj. AT_Fiskal"/>
      <sheetName val="NBV-Fiskal Sewa Lahan"/>
      <sheetName val="Daftar Karyawan yang keluar"/>
      <sheetName val="Amortisasi sewa lahan"/>
      <sheetName val="B2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00"/>
      <sheetName val="pldt"/>
      <sheetName val="P-1.1 Update"/>
      <sheetName val="Uang Muka Operasi"/>
      <sheetName val="Vouching Add. FA"/>
      <sheetName val="Koreksi Uang Muka "/>
      <sheetName val="Analytical Review-MTCont"/>
      <sheetName val="Uang Muka Sewa Lahan"/>
      <sheetName val="Review Notes to DD"/>
      <sheetName val="Point to be discussed w Client"/>
      <sheetName val="FA Fiscal MTCont 2003"/>
      <sheetName val="Deferred Tax Calculation MTCont"/>
      <sheetName val="CF"/>
      <sheetName val="Materiality &amp; TE"/>
      <sheetName val="cf calculation"/>
      <sheetName val="PRJE'03"/>
      <sheetName val="PAJE'03"/>
      <sheetName val="CAJE'03"/>
      <sheetName val="To do List for Team"/>
      <sheetName val="Pending Items"/>
      <sheetName val="Basis Reclass Uang Muka"/>
      <sheetName val="Worksheet-03"/>
      <sheetName val="Analy Rvw"/>
      <sheetName val="PAJE-02"/>
      <sheetName val="PRJE-02"/>
      <sheetName val="CAJE-02"/>
      <sheetName val="C"/>
      <sheetName val="CC"/>
      <sheetName val="D"/>
      <sheetName val="DD"/>
      <sheetName val="E"/>
      <sheetName val="E-1"/>
      <sheetName val="Sorted by USD E-1.1"/>
      <sheetName val="Sorted by IDR E-1.2"/>
      <sheetName val="AR-Aging IDR E-2 p.1"/>
      <sheetName val="AR-Aging USD E-2 p.2 "/>
      <sheetName val="Subsequent IDR E-3 p.1"/>
      <sheetName val="Subsequent USD E-3 p.2"/>
      <sheetName val="E-4"/>
      <sheetName val="E-4.1"/>
      <sheetName val="EE"/>
      <sheetName val="F"/>
      <sheetName val="F-1"/>
      <sheetName val="Stock take result F-1.1"/>
      <sheetName val="G"/>
      <sheetName val="G-2"/>
      <sheetName val="G-3"/>
      <sheetName val="H"/>
      <sheetName val="II"/>
      <sheetName val="I"/>
      <sheetName val="J"/>
      <sheetName val="Predictive Test Sewa Lahan"/>
      <sheetName val="Predictive sewa lahan J 5-1"/>
      <sheetName val="JJ"/>
      <sheetName val="pred. insurance"/>
      <sheetName val="Predictive of insurance"/>
      <sheetName val="Data polis"/>
      <sheetName val="Insurred Aktiva"/>
      <sheetName val="Harga perolehan"/>
      <sheetName val="Predict depre"/>
      <sheetName val="K coba"/>
      <sheetName val="K"/>
      <sheetName val="trial K-3"/>
      <sheetName val="K-1"/>
      <sheetName val="L"/>
      <sheetName val="M"/>
      <sheetName val="Sheet1"/>
      <sheetName val="N"/>
      <sheetName val="NN-3"/>
      <sheetName val="O"/>
      <sheetName val="N-4"/>
      <sheetName val="P-1.1"/>
      <sheetName val="P-1"/>
      <sheetName val="P-2"/>
      <sheetName val="P-3"/>
      <sheetName val=" Q"/>
      <sheetName val="Movement of Bank Loan Q-1"/>
      <sheetName val="Movement of Leasing Q-2"/>
      <sheetName val="Interest exp Q-3"/>
      <sheetName val="QQ-3"/>
      <sheetName val="Current Leasing Q-4"/>
      <sheetName val="R"/>
      <sheetName val="Perhit. def tax R-1"/>
      <sheetName val="T"/>
      <sheetName val="TT-1"/>
      <sheetName val="T-1"/>
      <sheetName val="Penjelasan Net"/>
      <sheetName val="U-1"/>
      <sheetName val="U-2"/>
      <sheetName val="U-3"/>
      <sheetName val="U-4"/>
      <sheetName val="U-4.1"/>
      <sheetName val="U-5"/>
      <sheetName val="FISCAL 2002"/>
      <sheetName val="Table of Contents"/>
      <sheetName val="Wrap Up"/>
      <sheetName val="Labarugi fiskal"/>
      <sheetName val="Neraca fiskal"/>
      <sheetName val="fa-fiscal"/>
      <sheetName val="Penambahan FA"/>
      <sheetName val="Penj. AT_Fiskal"/>
      <sheetName val="NBV-Fiskal Sewa Lahan"/>
      <sheetName val="Daftar Karyawan yang keluar"/>
      <sheetName val="Amortisasi sewa lahan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PL"/>
      <sheetName val="PLnew"/>
      <sheetName val="Variance-PL"/>
      <sheetName val="PLcum"/>
      <sheetName val="PLcumNew"/>
      <sheetName val="Sheet1"/>
      <sheetName val="CGS"/>
      <sheetName val="CGScum"/>
      <sheetName val="RMCONS"/>
      <sheetName val="RMcum"/>
      <sheetName val="NONME"/>
      <sheetName val="ME"/>
      <sheetName val="Tax"/>
      <sheetName val="%sales"/>
      <sheetName val="PREV"/>
      <sheetName val="Eng"/>
      <sheetName val="EngCld"/>
      <sheetName val="indoCld"/>
      <sheetName val="CGSprev"/>
      <sheetName val="RMprev"/>
      <sheetName val="ALIN"/>
      <sheetName val="SEiND"/>
      <sheetName val="AEind"/>
      <sheetName val="MEind"/>
      <sheetName val="PL_0199-R1FINAL-ganti-variance"/>
      <sheetName val="2002"/>
      <sheetName val="master"/>
      <sheetName val="SAD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 refreshError="1"/>
      <sheetData sheetId="1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T_consol"/>
      <sheetName val="PPT_cml"/>
      <sheetName val="PPT_bp"/>
      <sheetName val="PPT_tbs"/>
      <sheetName val="PPT_others"/>
      <sheetName val="AS_IS (2)"/>
      <sheetName val="Chart"/>
      <sheetName val="Sheet3"/>
      <sheetName val="Cover"/>
      <sheetName val="VAL &gt;&gt;"/>
      <sheetName val="FB"/>
      <sheetName val="FB_eqv"/>
      <sheetName val="WACC"/>
      <sheetName val="TRADING"/>
      <sheetName val="TXN"/>
      <sheetName val="Sheet2"/>
      <sheetName val="Sheet1"/>
      <sheetName val="DCF_total_stress"/>
      <sheetName val="DCF_cml_stress"/>
      <sheetName val="DCF_bp_stress"/>
      <sheetName val="DCF_tbs_stress"/>
      <sheetName val="DCF_others_stress"/>
      <sheetName val="OPER &gt;&gt;"/>
      <sheetName val="EBITDA waterfall"/>
      <sheetName val="AS_IS"/>
      <sheetName val="POST_CAPEX"/>
      <sheetName val="CTRL"/>
      <sheetName val="FS_consol"/>
      <sheetName val="FS_cml"/>
      <sheetName val="FS_bp"/>
      <sheetName val="FS_tbs"/>
      <sheetName val="FS_others"/>
      <sheetName val="FS_elim"/>
      <sheetName val="ECOM"/>
      <sheetName val="CAPEX"/>
      <sheetName val="SYNGY"/>
      <sheetName val="DEP"/>
      <sheetName val="DEBT"/>
      <sheetName val="EQUITY"/>
      <sheetName val="DIV"/>
      <sheetName val="RP"/>
      <sheetName val="REV &gt;&gt;"/>
      <sheetName val="CUST_cml"/>
      <sheetName val="CUST_BP"/>
      <sheetName val="CUST_TBS"/>
      <sheetName val="CUST_cml_raw"/>
      <sheetName val="CUST_bp_raw"/>
      <sheetName val="CUST_tbs_raw"/>
      <sheetName val="OPEX &gt;&gt;"/>
      <sheetName val="OPEX_cml Post Capex"/>
      <sheetName val="OPEX_bp Post Capex"/>
      <sheetName val="OPEX_tbs Post Capex"/>
      <sheetName val="OPEX_cml As-is"/>
      <sheetName val="OPEX_bp As-is"/>
      <sheetName val="OPEX_tbs As-is"/>
      <sheetName val="INDUSTRY &amp; MARGINS"/>
      <sheetName val="CONTRIBUTION"/>
      <sheetName val="PIPELINE_output"/>
      <sheetName val="PIPELINE_master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0">
          <cell r="G10">
            <v>465157.44217886945</v>
          </cell>
        </row>
      </sheetData>
      <sheetData sheetId="6">
        <row r="3">
          <cell r="G3">
            <v>700.53634306273602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102">
          <cell r="D102">
            <v>12</v>
          </cell>
        </row>
        <row r="119">
          <cell r="D119">
            <v>0.25</v>
          </cell>
        </row>
        <row r="120">
          <cell r="D120">
            <v>15213.5</v>
          </cell>
        </row>
        <row r="130">
          <cell r="J130">
            <v>0.94999064662966892</v>
          </cell>
        </row>
        <row r="137">
          <cell r="J137">
            <v>0.55000000000000004</v>
          </cell>
          <cell r="K137">
            <v>0.8</v>
          </cell>
        </row>
        <row r="144">
          <cell r="E144">
            <v>0.99999468311356865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 Bulk"/>
      <sheetName val="Bulk"/>
      <sheetName val="Bulk Ytd"/>
      <sheetName val="Bulk Des"/>
    </sheetNames>
    <sheetDataSet>
      <sheetData sheetId="0">
        <row r="21">
          <cell r="L21">
            <v>1</v>
          </cell>
          <cell r="N21">
            <v>13</v>
          </cell>
        </row>
        <row r="22">
          <cell r="C22">
            <v>43466</v>
          </cell>
        </row>
        <row r="23">
          <cell r="C23">
            <v>7040.6206270000002</v>
          </cell>
        </row>
        <row r="24">
          <cell r="C24">
            <v>9272.0658780000012</v>
          </cell>
        </row>
        <row r="25">
          <cell r="C25">
            <v>7490.570647999999</v>
          </cell>
        </row>
        <row r="70">
          <cell r="L70">
            <v>1</v>
          </cell>
          <cell r="N70">
            <v>13</v>
          </cell>
        </row>
        <row r="71">
          <cell r="C71">
            <v>43466</v>
          </cell>
        </row>
        <row r="72">
          <cell r="C72">
            <v>1691.0630279999998</v>
          </cell>
        </row>
        <row r="73">
          <cell r="C73">
            <v>1940.5541180000002</v>
          </cell>
        </row>
        <row r="74">
          <cell r="C74">
            <v>1576.9592783720996</v>
          </cell>
        </row>
        <row r="117">
          <cell r="K117">
            <v>1</v>
          </cell>
          <cell r="M117">
            <v>13</v>
          </cell>
        </row>
        <row r="118">
          <cell r="C118">
            <v>43466</v>
          </cell>
        </row>
        <row r="119">
          <cell r="C119">
            <v>953.59757499999989</v>
          </cell>
        </row>
        <row r="120">
          <cell r="C120">
            <v>823.96407399999998</v>
          </cell>
        </row>
        <row r="121">
          <cell r="C121">
            <v>544.47290829593294</v>
          </cell>
        </row>
      </sheetData>
      <sheetData sheetId="1">
        <row r="6">
          <cell r="G6">
            <v>4635.180222</v>
          </cell>
        </row>
      </sheetData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eliminaries"/>
      <sheetName val="Civil&amp;Structure"/>
      <sheetName val="Tankage"/>
      <sheetName val="Mechanical Equipment"/>
      <sheetName val="Piping"/>
      <sheetName val="Painting&amp;Wrapping"/>
      <sheetName val="Instrumentation"/>
      <sheetName val="Electrical"/>
      <sheetName val="Others"/>
      <sheetName val="Pil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Ssp"/>
      <sheetName val="CGSgm2"/>
      <sheetName val="Sales"/>
      <sheetName val="Factors"/>
      <sheetName val="Cover Sheet"/>
      <sheetName val="PRO"/>
      <sheetName val="Exchange Rates"/>
      <sheetName val="PROJ CASH"/>
      <sheetName val="2002"/>
      <sheetName val="Customize Your Invoice"/>
      <sheetName val="Invoice"/>
    </sheetNames>
    <sheetDataSet>
      <sheetData sheetId="0" refreshError="1">
        <row r="14">
          <cell r="I14">
            <v>4076739.3091453351</v>
          </cell>
        </row>
      </sheetData>
      <sheetData sheetId="1" refreshError="1">
        <row r="43">
          <cell r="K43">
            <v>21327340.047762059</v>
          </cell>
        </row>
      </sheetData>
      <sheetData sheetId="2" refreshError="1">
        <row r="7">
          <cell r="H7">
            <v>4416404</v>
          </cell>
        </row>
        <row r="19">
          <cell r="I19">
            <v>23170575</v>
          </cell>
        </row>
        <row r="26">
          <cell r="J26">
            <v>32166800</v>
          </cell>
        </row>
      </sheetData>
      <sheetData sheetId="3" refreshError="1">
        <row r="2">
          <cell r="B2">
            <v>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 Details"/>
      <sheetName val="Operation Details"/>
      <sheetName val="Workshop"/>
      <sheetName val="PS Detail"/>
      <sheetName val="Summary"/>
      <sheetName val="General"/>
      <sheetName val="Tabel"/>
      <sheetName val="Zone Code"/>
      <sheetName val="Rekap"/>
      <sheetName val="Report1"/>
    </sheetNames>
    <sheetDataSet>
      <sheetData sheetId="0"/>
      <sheetData sheetId="1"/>
      <sheetData sheetId="2"/>
      <sheetData sheetId="3"/>
      <sheetData sheetId="4"/>
      <sheetData sheetId="5">
        <row r="5">
          <cell r="L5" t="str">
            <v>Nissan PKC311CTNP</v>
          </cell>
        </row>
        <row r="7">
          <cell r="L7" t="str">
            <v>HINO FM320P</v>
          </cell>
        </row>
        <row r="8">
          <cell r="L8" t="str">
            <v>Nissan CWB450 HTNA-320PS</v>
          </cell>
        </row>
        <row r="9">
          <cell r="L9" t="str">
            <v>Nissan CWB450 HDNT-290PS</v>
          </cell>
        </row>
        <row r="11">
          <cell r="L11" t="str">
            <v>Nissan PKC311CTNP</v>
          </cell>
        </row>
        <row r="12">
          <cell r="L12" t="str">
            <v>DYNA 115PS ET</v>
          </cell>
        </row>
        <row r="14">
          <cell r="L14" t="str">
            <v>Nissan PKD211NHRR</v>
          </cell>
        </row>
        <row r="15">
          <cell r="L15" t="str">
            <v>HINO FG210 JK</v>
          </cell>
        </row>
        <row r="16">
          <cell r="L16" t="str">
            <v>DYNA 125PS LT</v>
          </cell>
        </row>
        <row r="18">
          <cell r="L18" t="str">
            <v>Nissan PKC211KHRN</v>
          </cell>
        </row>
        <row r="19">
          <cell r="L19" t="str">
            <v>DYNA 115PS ET</v>
          </cell>
        </row>
        <row r="25">
          <cell r="L25" t="str">
            <v>TC CT20 Masana</v>
          </cell>
        </row>
        <row r="26">
          <cell r="L26" t="str">
            <v>TC CT20 Aspek Kumbong</v>
          </cell>
        </row>
        <row r="28">
          <cell r="L28" t="str">
            <v>TC CT40 Masana</v>
          </cell>
        </row>
        <row r="29">
          <cell r="L29" t="str">
            <v>TC CT40 Aspek Kumbong</v>
          </cell>
        </row>
        <row r="31">
          <cell r="L31" t="str">
            <v>TC MC80 Masana</v>
          </cell>
        </row>
        <row r="32">
          <cell r="L32" t="str">
            <v>TC MC24 Sumber Laris</v>
          </cell>
        </row>
        <row r="34">
          <cell r="L34" t="str">
            <v>TC CC05 New Armada</v>
          </cell>
        </row>
        <row r="35">
          <cell r="L35" t="str">
            <v>TC CC05 Gemala</v>
          </cell>
        </row>
        <row r="36">
          <cell r="L36" t="str">
            <v>TC CC06 New Armada</v>
          </cell>
        </row>
        <row r="37">
          <cell r="L37" t="str">
            <v>TC CC01 New Armada</v>
          </cell>
        </row>
        <row r="38">
          <cell r="L38" t="str">
            <v>TC CC01 Sumber Laris</v>
          </cell>
        </row>
        <row r="40">
          <cell r="L40" t="str">
            <v>TC BXD8 Antika</v>
          </cell>
        </row>
        <row r="41">
          <cell r="L41" t="str">
            <v>TC BXD1 Bagus Jaya</v>
          </cell>
        </row>
      </sheetData>
      <sheetData sheetId="6"/>
      <sheetData sheetId="7">
        <row r="3">
          <cell r="C3" t="str">
            <v>Ancol Barat</v>
          </cell>
        </row>
        <row r="4">
          <cell r="C4" t="str">
            <v>Anyer</v>
          </cell>
        </row>
        <row r="5">
          <cell r="C5" t="str">
            <v>Bandara Sukarno Hatta</v>
          </cell>
        </row>
        <row r="6">
          <cell r="C6" t="str">
            <v>Bekasi Barat</v>
          </cell>
        </row>
        <row r="7">
          <cell r="C7" t="str">
            <v>Bekasi Timur</v>
          </cell>
        </row>
        <row r="8">
          <cell r="C8" t="str">
            <v>Balaraja</v>
          </cell>
        </row>
        <row r="9">
          <cell r="C9" t="str">
            <v>Cibadak</v>
          </cell>
        </row>
        <row r="10">
          <cell r="C10" t="str">
            <v>Kecamatan Cibinong</v>
          </cell>
        </row>
        <row r="11">
          <cell r="C11" t="str">
            <v>Cibeureum</v>
          </cell>
        </row>
        <row r="12">
          <cell r="C12" t="str">
            <v>Cigading</v>
          </cell>
        </row>
        <row r="13">
          <cell r="C13" t="str">
            <v>Kecamatan Ciawi</v>
          </cell>
        </row>
        <row r="14">
          <cell r="C14" t="str">
            <v>Cibitung Area</v>
          </cell>
        </row>
        <row r="15">
          <cell r="C15" t="str">
            <v>Cikande</v>
          </cell>
        </row>
        <row r="16">
          <cell r="C16" t="str">
            <v>Kecamatan Cakung</v>
          </cell>
        </row>
        <row r="17">
          <cell r="C17" t="str">
            <v>Kecamatan Cilincing</v>
          </cell>
        </row>
        <row r="18">
          <cell r="C18" t="str">
            <v>Cilacap</v>
          </cell>
        </row>
        <row r="19">
          <cell r="C19" t="str">
            <v>Ciluar</v>
          </cell>
        </row>
        <row r="20">
          <cell r="C20" t="str">
            <v>Cimanggis</v>
          </cell>
        </row>
        <row r="21">
          <cell r="C21" t="str">
            <v>Cimahi</v>
          </cell>
        </row>
        <row r="22">
          <cell r="C22" t="str">
            <v>Ciracas</v>
          </cell>
        </row>
        <row r="23">
          <cell r="C23" t="str">
            <v>Cirebon Kota</v>
          </cell>
        </row>
        <row r="24">
          <cell r="C24" t="str">
            <v>Cirebon Losari</v>
          </cell>
        </row>
        <row r="25">
          <cell r="C25" t="str">
            <v>Curug, Tangerang</v>
          </cell>
        </row>
        <row r="26">
          <cell r="C26" t="str">
            <v>Ciwandan (Anyer)</v>
          </cell>
        </row>
        <row r="27">
          <cell r="C27" t="str">
            <v>Cawang (Jkt Timur)</v>
          </cell>
        </row>
        <row r="28">
          <cell r="C28" t="str">
            <v>Demak</v>
          </cell>
        </row>
        <row r="29">
          <cell r="C29" t="str">
            <v>KI Semanan</v>
          </cell>
        </row>
        <row r="30">
          <cell r="C30" t="str">
            <v>Duren Sawit (Jkt Timur)</v>
          </cell>
        </row>
        <row r="31">
          <cell r="C31" t="str">
            <v>KI EJIP</v>
          </cell>
        </row>
        <row r="32">
          <cell r="C32" t="str">
            <v>Gedebage, Bandung</v>
          </cell>
        </row>
        <row r="33">
          <cell r="C33" t="str">
            <v>Gunung Putri</v>
          </cell>
        </row>
        <row r="34">
          <cell r="C34" t="str">
            <v>Hayam Wuruk (Jkt Kota)</v>
          </cell>
        </row>
        <row r="35">
          <cell r="C35" t="str">
            <v>KI Indosemen</v>
          </cell>
        </row>
        <row r="36">
          <cell r="C36" t="str">
            <v>KI Jababeka I &amp; II</v>
          </cell>
        </row>
        <row r="37">
          <cell r="C37" t="str">
            <v>KI Pulo Gadung</v>
          </cell>
        </row>
        <row r="38">
          <cell r="C38" t="str">
            <v>KI Bukit Indah</v>
          </cell>
        </row>
        <row r="39">
          <cell r="C39" t="str">
            <v>KI Bukaka</v>
          </cell>
        </row>
        <row r="40">
          <cell r="C40" t="str">
            <v>KBN Cakung</v>
          </cell>
        </row>
        <row r="41">
          <cell r="C41" t="str">
            <v>KI Cibodas</v>
          </cell>
        </row>
        <row r="42">
          <cell r="C42" t="str">
            <v>KI Citeureup</v>
          </cell>
        </row>
        <row r="43">
          <cell r="C43" t="str">
            <v>Kec Kedung Halang</v>
          </cell>
        </row>
        <row r="44">
          <cell r="C44" t="str">
            <v>KI Delta Silicon I</v>
          </cell>
        </row>
        <row r="45">
          <cell r="C45" t="str">
            <v>KI Delta Silicon II</v>
          </cell>
        </row>
        <row r="46">
          <cell r="C46" t="str">
            <v>KI Bekasi-Hyundai</v>
          </cell>
        </row>
        <row r="47">
          <cell r="C47" t="str">
            <v>KI Cikarang</v>
          </cell>
        </row>
        <row r="48">
          <cell r="C48" t="str">
            <v>KI Cikupa</v>
          </cell>
        </row>
        <row r="49">
          <cell r="C49" t="str">
            <v>KI Cicurug</v>
          </cell>
        </row>
        <row r="50">
          <cell r="C50" t="str">
            <v>KI Daan Mogot</v>
          </cell>
        </row>
        <row r="51">
          <cell r="C51" t="str">
            <v>KI Harapan Jaya</v>
          </cell>
        </row>
        <row r="52">
          <cell r="C52" t="str">
            <v>KI KIIC</v>
          </cell>
        </row>
        <row r="53">
          <cell r="C53" t="str">
            <v>KI Jatake</v>
          </cell>
        </row>
        <row r="54">
          <cell r="C54" t="str">
            <v>KI MITRA Karawang</v>
          </cell>
        </row>
        <row r="55">
          <cell r="C55" t="str">
            <v>KI Manis</v>
          </cell>
        </row>
        <row r="56">
          <cell r="C56" t="str">
            <v>KI&amp;Pergudangan Kapuk</v>
          </cell>
        </row>
        <row r="57">
          <cell r="C57" t="str">
            <v>KI Surya Cipta</v>
          </cell>
        </row>
        <row r="58">
          <cell r="C58" t="str">
            <v>KI Indotaisei</v>
          </cell>
        </row>
        <row r="59">
          <cell r="C59" t="str">
            <v>KI Tekno Serpong</v>
          </cell>
        </row>
        <row r="60">
          <cell r="C60" t="str">
            <v>KI Tugu Wijayakusuma</v>
          </cell>
        </row>
        <row r="61">
          <cell r="C61" t="str">
            <v>Kawasan Industri KS</v>
          </cell>
        </row>
        <row r="62">
          <cell r="C62" t="str">
            <v>Klender</v>
          </cell>
        </row>
        <row r="63">
          <cell r="C63" t="str">
            <v>Kali Jabat</v>
          </cell>
        </row>
        <row r="64">
          <cell r="C64" t="str">
            <v>Kali Malang (Jkt Timur)</v>
          </cell>
        </row>
        <row r="65">
          <cell r="C65" t="str">
            <v>Kemang, Kby, Jkt Sel</v>
          </cell>
        </row>
        <row r="66">
          <cell r="C66" t="str">
            <v>Kuningan</v>
          </cell>
        </row>
        <row r="67">
          <cell r="C67" t="str">
            <v>Wilayah Kapuk</v>
          </cell>
        </row>
        <row r="68">
          <cell r="C68" t="str">
            <v>Kragilan</v>
          </cell>
        </row>
        <row r="69">
          <cell r="C69" t="str">
            <v>Karawang</v>
          </cell>
        </row>
        <row r="70">
          <cell r="C70" t="str">
            <v>KI Semen Cibinong</v>
          </cell>
        </row>
        <row r="71">
          <cell r="C71" t="str">
            <v>Modern Cikande IE</v>
          </cell>
        </row>
        <row r="72">
          <cell r="C72" t="str">
            <v>Mangga Dua, Jkt Kota</v>
          </cell>
        </row>
        <row r="73">
          <cell r="C73" t="str">
            <v>Majalengka</v>
          </cell>
        </row>
        <row r="74">
          <cell r="C74" t="str">
            <v>KI MM2100</v>
          </cell>
        </row>
        <row r="75">
          <cell r="C75" t="str">
            <v>Merak</v>
          </cell>
        </row>
        <row r="76">
          <cell r="C76" t="str">
            <v>Muara Baru (Jkt Utara)</v>
          </cell>
        </row>
        <row r="77">
          <cell r="C77" t="str">
            <v>Muara Karang (Jkt Utara)</v>
          </cell>
        </row>
        <row r="78">
          <cell r="C78" t="str">
            <v>Marunda</v>
          </cell>
        </row>
        <row r="79">
          <cell r="C79" t="str">
            <v>Wilayah Nagrak</v>
          </cell>
        </row>
        <row r="80">
          <cell r="C80" t="str">
            <v>Narogong</v>
          </cell>
        </row>
        <row r="81">
          <cell r="C81" t="str">
            <v>Pegangsaan</v>
          </cell>
        </row>
        <row r="82">
          <cell r="C82" t="str">
            <v>Wilayah Pulogadung</v>
          </cell>
        </row>
        <row r="83">
          <cell r="C83" t="str">
            <v>Palimanan</v>
          </cell>
        </row>
        <row r="84">
          <cell r="C84" t="str">
            <v>Pulomas</v>
          </cell>
        </row>
        <row r="85">
          <cell r="C85" t="str">
            <v>Penjaringan</v>
          </cell>
        </row>
        <row r="86">
          <cell r="C86" t="str">
            <v>Purwakarta</v>
          </cell>
        </row>
        <row r="87">
          <cell r="C87" t="str">
            <v>Pasar Kemis, Tng</v>
          </cell>
        </row>
        <row r="88">
          <cell r="C88" t="str">
            <v>Rancaekek</v>
          </cell>
        </row>
        <row r="89">
          <cell r="C89" t="str">
            <v>Subang</v>
          </cell>
        </row>
        <row r="90">
          <cell r="C90" t="str">
            <v>Sukabumi</v>
          </cell>
        </row>
        <row r="91">
          <cell r="C91" t="str">
            <v>Cibadak</v>
          </cell>
        </row>
        <row r="92">
          <cell r="C92" t="str">
            <v>Cicurug</v>
          </cell>
        </row>
        <row r="93">
          <cell r="C93" t="str">
            <v>KI Candi</v>
          </cell>
        </row>
        <row r="94">
          <cell r="C94" t="str">
            <v>KI Terboyo</v>
          </cell>
        </row>
        <row r="95">
          <cell r="C95" t="str">
            <v>Salatiga</v>
          </cell>
        </row>
        <row r="96">
          <cell r="C96" t="str">
            <v>Wi.Sumiden,Citeureup</v>
          </cell>
        </row>
        <row r="97">
          <cell r="C97" t="str">
            <v>Kota Kendal</v>
          </cell>
        </row>
        <row r="98">
          <cell r="C98" t="str">
            <v>Semarang Kota</v>
          </cell>
        </row>
        <row r="99">
          <cell r="C99" t="str">
            <v>Wilayah Tugu</v>
          </cell>
        </row>
        <row r="100">
          <cell r="C100" t="str">
            <v>Sentul</v>
          </cell>
        </row>
        <row r="101">
          <cell r="C101" t="str">
            <v>Suralaya</v>
          </cell>
        </row>
        <row r="102">
          <cell r="C102" t="str">
            <v>Serang</v>
          </cell>
        </row>
        <row r="103">
          <cell r="C103" t="str">
            <v>Wi.Srondol/Ungaran</v>
          </cell>
        </row>
        <row r="104">
          <cell r="C104" t="str">
            <v>Sunter 1</v>
          </cell>
        </row>
        <row r="105">
          <cell r="C105" t="str">
            <v>Sunter 2</v>
          </cell>
        </row>
        <row r="106">
          <cell r="C106" t="str">
            <v>Wilayah Candi</v>
          </cell>
        </row>
        <row r="107">
          <cell r="C107" t="str">
            <v>Wilayah Gombel</v>
          </cell>
        </row>
        <row r="108">
          <cell r="C108" t="str">
            <v>Tegal</v>
          </cell>
        </row>
        <row r="109">
          <cell r="C109" t="str">
            <v>Bogasari</v>
          </cell>
        </row>
        <row r="110">
          <cell r="C110" t="str">
            <v>Pelabuhan Tg Priok</v>
          </cell>
        </row>
        <row r="111">
          <cell r="C111" t="str">
            <v>Wilayah Tg Priok</v>
          </cell>
        </row>
        <row r="112">
          <cell r="C112" t="str">
            <v>Teluk Gong</v>
          </cell>
        </row>
        <row r="113">
          <cell r="C113" t="str">
            <v>Cikokol</v>
          </cell>
        </row>
        <row r="114">
          <cell r="C114" t="str">
            <v>Cimone</v>
          </cell>
        </row>
        <row r="115">
          <cell r="C115" t="str">
            <v>Gading Serpong</v>
          </cell>
        </row>
        <row r="116">
          <cell r="C116" t="str">
            <v>Karawaci</v>
          </cell>
        </row>
        <row r="117">
          <cell r="C117" t="str">
            <v>Tangerang Kota</v>
          </cell>
        </row>
        <row r="118">
          <cell r="C118" t="str">
            <v>Taman Cibodas</v>
          </cell>
        </row>
        <row r="119">
          <cell r="C119" t="str">
            <v>Taman Modern</v>
          </cell>
        </row>
        <row r="120">
          <cell r="C120" t="str">
            <v>Pengalengan, Lembang</v>
          </cell>
        </row>
        <row r="121">
          <cell r="C121" t="str">
            <v>Cileungsi</v>
          </cell>
        </row>
        <row r="122">
          <cell r="C122" t="str">
            <v>Bandara Halim</v>
          </cell>
        </row>
        <row r="123">
          <cell r="C123" t="str">
            <v>Jatinegara</v>
          </cell>
        </row>
        <row r="124">
          <cell r="C124" t="str">
            <v>Kemayoran</v>
          </cell>
        </row>
        <row r="125">
          <cell r="C125" t="str">
            <v>Penggilingan</v>
          </cell>
        </row>
        <row r="126">
          <cell r="C126" t="str">
            <v>Sunda Kelapa</v>
          </cell>
        </row>
        <row r="127">
          <cell r="C127" t="str">
            <v>Semper</v>
          </cell>
        </row>
        <row r="128">
          <cell r="C128" t="str">
            <v>Surabaya</v>
          </cell>
        </row>
        <row r="129">
          <cell r="C129" t="str">
            <v>Tiga Raksa, Tangerang</v>
          </cell>
        </row>
      </sheetData>
      <sheetData sheetId="8"/>
      <sheetData sheetId="9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er"/>
      <sheetName val="Sheet1"/>
      <sheetName val="master"/>
      <sheetName val="SAD"/>
      <sheetName val="Cost 1 Jan"/>
      <sheetName val="Cash Flow _2_"/>
    </sheetNames>
    <sheetDataSet>
      <sheetData sheetId="0" refreshError="1">
        <row r="1">
          <cell r="A1" t="str">
            <v>PT RATU AGUNG SAYANG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er"/>
      <sheetName val="Sheet1"/>
      <sheetName val="master"/>
      <sheetName val="SAD"/>
      <sheetName val="Cost 1 Jan"/>
      <sheetName val="Cash Flow _2_"/>
    </sheetNames>
    <sheetDataSet>
      <sheetData sheetId="0" refreshError="1">
        <row r="1">
          <cell r="A1" t="str">
            <v>PT RATU AGUNG SAYANG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 &amp; Reqs"/>
      <sheetName val="Input"/>
      <sheetName val="S1"/>
      <sheetName val="Cover"/>
      <sheetName val="Exec Sum"/>
      <sheetName val="Financial"/>
      <sheetName val="Engineering"/>
      <sheetName val="S2"/>
      <sheetName val="Assumptions"/>
      <sheetName val="Earnings"/>
      <sheetName val="Capital"/>
      <sheetName val="Cash Flow"/>
      <sheetName val="Capital Schedule"/>
      <sheetName val="Project Plan"/>
      <sheetName val="Mark No. Budget"/>
      <sheetName val="Impact"/>
      <sheetName val="Checklist"/>
      <sheetName val="Pre-Feasibility"/>
    </sheetNames>
    <sheetDataSet>
      <sheetData sheetId="0"/>
      <sheetData sheetId="1" refreshError="1">
        <row r="7">
          <cell r="C7" t="str">
            <v>Project Name</v>
          </cell>
        </row>
        <row r="8">
          <cell r="C8" t="str">
            <v>Danny Murphy</v>
          </cell>
        </row>
        <row r="9">
          <cell r="C9" t="str">
            <v>CPA Final</v>
          </cell>
        </row>
        <row r="12">
          <cell r="C12" t="str">
            <v>Base Growth</v>
          </cell>
        </row>
      </sheetData>
      <sheetData sheetId="2"/>
      <sheetData sheetId="3"/>
      <sheetData sheetId="4"/>
      <sheetData sheetId="5" refreshError="1">
        <row r="27">
          <cell r="D27">
            <v>0.14000000000000001</v>
          </cell>
        </row>
      </sheetData>
      <sheetData sheetId="6"/>
      <sheetData sheetId="7"/>
      <sheetData sheetId="8"/>
      <sheetData sheetId="9"/>
      <sheetData sheetId="10"/>
      <sheetData sheetId="11" refreshError="1">
        <row r="80">
          <cell r="F80">
            <v>9804.557526465429</v>
          </cell>
        </row>
        <row r="81">
          <cell r="F81" t="str">
            <v xml:space="preserve">4.71 </v>
          </cell>
        </row>
      </sheetData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Comments"/>
      <sheetName val="Financials"/>
      <sheetName val="Op. Exp."/>
      <sheetName val="Inputs"/>
      <sheetName val="Activity"/>
      <sheetName val="Labour Summary"/>
      <sheetName val="Capital"/>
      <sheetName val="Blank"/>
      <sheetName val="Resource Sum"/>
      <sheetName val="Asset List"/>
      <sheetName val="IT Spec"/>
      <sheetName val="Op. Structure"/>
      <sheetName val="Activity per year"/>
      <sheetName val="Basic assumption"/>
      <sheetName val="Definition on costing model"/>
      <sheetName val="Modifications Log"/>
      <sheetName val="Module1"/>
      <sheetName val="Module2"/>
      <sheetName val="Module3"/>
      <sheetName val="Module4"/>
      <sheetName val="Dialog1"/>
      <sheetName val="Module5"/>
    </sheetNames>
    <sheetDataSet>
      <sheetData sheetId="0" refreshError="1">
        <row r="5">
          <cell r="C5" t="str">
            <v>Fosters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eliminaries"/>
      <sheetName val="Civil&amp;Structure"/>
      <sheetName val="Tankage"/>
      <sheetName val="Mechanical Equipment"/>
      <sheetName val="Piping"/>
      <sheetName val="Painting"/>
      <sheetName val="Instrumentation"/>
      <sheetName val="Electrical"/>
      <sheetName val="Others"/>
      <sheetName val="Answer"/>
    </sheetNames>
    <sheetDataSet>
      <sheetData sheetId="0"/>
      <sheetData sheetId="1"/>
      <sheetData sheetId="2"/>
      <sheetData sheetId="3"/>
      <sheetData sheetId="4">
        <row r="28">
          <cell r="G28">
            <v>303828400</v>
          </cell>
        </row>
      </sheetData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eliminaries"/>
      <sheetName val="Civil&amp;Structure"/>
      <sheetName val="Tankage"/>
      <sheetName val="Mechanical Equipment"/>
      <sheetName val="Piping"/>
      <sheetName val="Painting"/>
      <sheetName val="Instrumentation"/>
      <sheetName val="Electrical"/>
      <sheetName val="Others"/>
      <sheetName val="Answer"/>
    </sheetNames>
    <sheetDataSet>
      <sheetData sheetId="0"/>
      <sheetData sheetId="1"/>
      <sheetData sheetId="2"/>
      <sheetData sheetId="3"/>
      <sheetData sheetId="4">
        <row r="28">
          <cell r="G28">
            <v>303828400</v>
          </cell>
        </row>
      </sheetData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atio"/>
      <sheetName val="FS"/>
      <sheetName val="AJE"/>
      <sheetName val="RJE"/>
      <sheetName val="CF"/>
      <sheetName val="Cover-Group"/>
      <sheetName val="CFS"/>
      <sheetName val="CJE"/>
      <sheetName val="GCF"/>
      <sheetName val="GPCFWK"/>
      <sheetName val="GNTA"/>
      <sheetName val="audited BS"/>
      <sheetName val="audited CF"/>
      <sheetName val="audited PL"/>
      <sheetName val="audited detailPL"/>
      <sheetName val="NTA"/>
      <sheetName val="GFA"/>
      <sheetName val="Interco bal(BDPAP)"/>
      <sheetName val="Interco Transaction"/>
      <sheetName val="RPT"/>
      <sheetName val="Interco"/>
      <sheetName val="Taxation"/>
      <sheetName val="MI"/>
      <sheetName val="JV"/>
      <sheetName val="TRanslation reserve"/>
    </sheetNames>
    <sheetDataSet>
      <sheetData sheetId="0" refreshError="1">
        <row r="10">
          <cell r="C10" t="str">
            <v>31 DECEMBER 2005</v>
          </cell>
        </row>
        <row r="12">
          <cell r="F12" t="str">
            <v>31 Dec 2005</v>
          </cell>
        </row>
        <row r="14">
          <cell r="F14" t="str">
            <v>31 Dec 2004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Tj. SO"/>
      <sheetName val="Tj. STO"/>
      <sheetName val="Tj. WH"/>
      <sheetName val="TONASE"/>
      <sheetName val="VHC"/>
      <sheetName val="MATR'L"/>
      <sheetName val="probl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arifikasi"/>
      <sheetName val="Daf. KPP"/>
      <sheetName val="KP. PDIP 3.17"/>
      <sheetName val="LAMP KLARIFIKASI"/>
      <sheetName val="Daft. Klar"/>
      <sheetName val="dpp &amp; ppn (D.1)"/>
      <sheetName val="daftar kpp"/>
      <sheetName val="KURS"/>
      <sheetName val="PM"/>
      <sheetName val="DAFINV"/>
      <sheetName val="KONFIRMASI"/>
      <sheetName val="2"/>
      <sheetName val="Checker"/>
      <sheetName val="B2"/>
      <sheetName val="Cash Flow _2_"/>
      <sheetName val="Answer"/>
    </sheetNames>
    <sheetDataSet>
      <sheetData sheetId="0" refreshError="1"/>
      <sheetData sheetId="1" refreshError="1">
        <row r="2">
          <cell r="A2">
            <v>101</v>
          </cell>
          <cell r="B2" t="str">
            <v>KPP. Banda Aceh</v>
          </cell>
          <cell r="C2" t="str">
            <v>0651 - 22145</v>
          </cell>
          <cell r="D2" t="str">
            <v>Jln. T. Muh. Daud Beureueh No.20</v>
          </cell>
          <cell r="E2" t="str">
            <v>Banda Aceh, 23121</v>
          </cell>
        </row>
        <row r="3">
          <cell r="A3">
            <v>102</v>
          </cell>
          <cell r="B3" t="str">
            <v>KPP. Lhokseumawe</v>
          </cell>
          <cell r="C3" t="str">
            <v>0645 - 41375</v>
          </cell>
          <cell r="D3" t="str">
            <v>Jln. Medan - Banda Aceh Bukit Rata Lhokseumawe, 23121</v>
          </cell>
        </row>
        <row r="4">
          <cell r="A4">
            <v>103</v>
          </cell>
          <cell r="B4" t="str">
            <v>KPP. Meulaboh</v>
          </cell>
          <cell r="C4" t="str">
            <v>0655 - 21999</v>
          </cell>
          <cell r="D4" t="str">
            <v>Jln. Nasional No. 102, Meulaboh, 23516</v>
          </cell>
        </row>
        <row r="5">
          <cell r="A5">
            <v>111</v>
          </cell>
          <cell r="B5" t="str">
            <v>KPP. Medan Barat</v>
          </cell>
          <cell r="C5" t="str">
            <v>061 - 538400</v>
          </cell>
          <cell r="D5" t="str">
            <v>Jln. Sukamulia No. A, Medan, 20151</v>
          </cell>
        </row>
        <row r="6">
          <cell r="A6">
            <v>112</v>
          </cell>
          <cell r="B6" t="str">
            <v>KPP. Medan Utara</v>
          </cell>
          <cell r="C6" t="str">
            <v>061 - 552278</v>
          </cell>
          <cell r="D6" t="str">
            <v>Jln. Asrama No.7A, Medan, 20123</v>
          </cell>
        </row>
        <row r="7">
          <cell r="A7">
            <v>113</v>
          </cell>
          <cell r="B7" t="str">
            <v>KPP. Medan Timur</v>
          </cell>
          <cell r="C7" t="str">
            <v>061 - 513304</v>
          </cell>
          <cell r="D7" t="str">
            <v>Jln. Diponegoro No. 30A - GKN Medan, 20152</v>
          </cell>
        </row>
        <row r="8">
          <cell r="A8">
            <v>114</v>
          </cell>
          <cell r="B8" t="str">
            <v>KPP. Tebing Tinggi</v>
          </cell>
          <cell r="C8" t="str">
            <v>0621 - 21990</v>
          </cell>
          <cell r="D8" t="str">
            <v>Jln. Mayjend. Sutoyo No. 32, Tebing Tinggi, 20633</v>
          </cell>
        </row>
        <row r="9">
          <cell r="A9">
            <v>115</v>
          </cell>
          <cell r="B9" t="str">
            <v>KPP. Kisaran</v>
          </cell>
          <cell r="C9" t="str">
            <v>0623 - 41714</v>
          </cell>
          <cell r="D9" t="str">
            <v>Jln. Prof. M. Yamin No.79, Kisaran, 21224</v>
          </cell>
        </row>
        <row r="10">
          <cell r="A10">
            <v>116</v>
          </cell>
          <cell r="B10" t="str">
            <v>KPP. Rantau Prapat</v>
          </cell>
          <cell r="C10" t="str">
            <v>0624 - 21776</v>
          </cell>
          <cell r="D10" t="str">
            <v>Jln. Ahmad Yani No. 56-105, Rantau Prapat, 21415</v>
          </cell>
        </row>
        <row r="11">
          <cell r="A11">
            <v>117</v>
          </cell>
          <cell r="B11" t="str">
            <v>KPP. Pematang Siantar</v>
          </cell>
          <cell r="C11" t="str">
            <v>0622 - 24013</v>
          </cell>
          <cell r="D11" t="str">
            <v>Jln. Sisingamangaraja No. 79, Pematang Siantar, 21147</v>
          </cell>
        </row>
        <row r="12">
          <cell r="A12">
            <v>118</v>
          </cell>
          <cell r="B12" t="str">
            <v>KPP. Padang Sidempuan</v>
          </cell>
          <cell r="C12" t="str">
            <v>0634 - 22626</v>
          </cell>
          <cell r="D12" t="str">
            <v>Jln. Sisingamangaraja No. 225, Padang Sidempuan, 22721</v>
          </cell>
        </row>
        <row r="13">
          <cell r="A13">
            <v>119</v>
          </cell>
          <cell r="B13" t="str">
            <v>KPP. Binjai</v>
          </cell>
          <cell r="C13" t="str">
            <v>061 - 858354</v>
          </cell>
          <cell r="D13" t="str">
            <v>Jln. Asrama No.7A, Medan, 20123</v>
          </cell>
        </row>
        <row r="14">
          <cell r="A14">
            <v>201</v>
          </cell>
          <cell r="B14" t="str">
            <v>KPP. Padang</v>
          </cell>
          <cell r="C14" t="str">
            <v>0751 - 27014</v>
          </cell>
          <cell r="D14" t="str">
            <v>Jln. Baginda Aziz Chan No. 26, Padang, 25001</v>
          </cell>
        </row>
        <row r="15">
          <cell r="A15">
            <v>202</v>
          </cell>
          <cell r="B15" t="str">
            <v>KPP. Bukit Tinggi</v>
          </cell>
          <cell r="C15" t="str">
            <v>0752 - 33831</v>
          </cell>
          <cell r="D15" t="str">
            <v>Jln. Prof. M. Yamin No. 60 Aur Kuning, Bukit Tinggi, 26131</v>
          </cell>
        </row>
        <row r="16">
          <cell r="A16">
            <v>211</v>
          </cell>
          <cell r="B16" t="str">
            <v>KPP. Pekan Baru</v>
          </cell>
          <cell r="C16" t="str">
            <v>0761 - 28205</v>
          </cell>
          <cell r="D16" t="str">
            <v>Jln. Jend. Sudirman No. 247, Pekan Baru, 28116</v>
          </cell>
        </row>
        <row r="17">
          <cell r="A17">
            <v>212</v>
          </cell>
          <cell r="B17" t="str">
            <v>KPP. Dumai</v>
          </cell>
          <cell r="C17" t="str">
            <v>0761 - 34230</v>
          </cell>
          <cell r="D17" t="str">
            <v>Jln. Sultan Syarif Qosim, Dumai, 28813</v>
          </cell>
        </row>
        <row r="18">
          <cell r="A18">
            <v>213</v>
          </cell>
          <cell r="B18" t="str">
            <v>KPP. Rengat</v>
          </cell>
          <cell r="C18" t="str">
            <v>0769 - 22272</v>
          </cell>
          <cell r="D18" t="str">
            <v>Jln. Bupati Tulus No. 09, Rengat, 29319</v>
          </cell>
        </row>
        <row r="19">
          <cell r="A19">
            <v>214</v>
          </cell>
          <cell r="B19" t="str">
            <v>KPP. Tanjung Pinang</v>
          </cell>
          <cell r="C19" t="str">
            <v>0771 - 21868</v>
          </cell>
          <cell r="D19" t="str">
            <v>Jln. Memed No. 01, Tanjung Pinang, 29111</v>
          </cell>
        </row>
        <row r="20">
          <cell r="A20">
            <v>215</v>
          </cell>
          <cell r="B20" t="str">
            <v>KPP. Batam</v>
          </cell>
          <cell r="C20" t="str">
            <v>0778 - 452008</v>
          </cell>
          <cell r="D20" t="str">
            <v>Jln. Kuda Laut, Bukit Senyum, Batam, 29432</v>
          </cell>
        </row>
        <row r="21">
          <cell r="A21">
            <v>301</v>
          </cell>
          <cell r="B21" t="str">
            <v>KPP. Palembang Utara</v>
          </cell>
          <cell r="C21" t="str">
            <v>0711 - 313119</v>
          </cell>
          <cell r="D21" t="str">
            <v>Jln. Kapt. A Rivai No.4, Palembang, 30129</v>
          </cell>
        </row>
        <row r="22">
          <cell r="A22">
            <v>302</v>
          </cell>
          <cell r="B22" t="str">
            <v>KPP. Baturaja</v>
          </cell>
          <cell r="C22" t="str">
            <v>0735 - 20492</v>
          </cell>
          <cell r="D22" t="str">
            <v>Jln. Dr. M. Hatta (Lintas Sumatera), Baturaja, 32116</v>
          </cell>
        </row>
        <row r="23">
          <cell r="A23">
            <v>303</v>
          </cell>
          <cell r="B23" t="str">
            <v>KPP. Lubuk Linggau</v>
          </cell>
          <cell r="C23" t="str">
            <v>0733 - 21900</v>
          </cell>
          <cell r="D23" t="str">
            <v>Jln. Yos Sudarso No. 97, Lubuk Linggau, 31621</v>
          </cell>
        </row>
        <row r="24">
          <cell r="A24">
            <v>304</v>
          </cell>
          <cell r="B24" t="str">
            <v>KPP. Pangkal Pinang</v>
          </cell>
          <cell r="C24" t="str">
            <v>0714 - 21935</v>
          </cell>
          <cell r="D24" t="str">
            <v>Jln. Taman Ican Saleh No. 4, Pangkal Pinang, 33121</v>
          </cell>
        </row>
        <row r="25">
          <cell r="A25">
            <v>305</v>
          </cell>
          <cell r="B25" t="str">
            <v>KPP. Tanjung Pandan</v>
          </cell>
          <cell r="C25" t="str">
            <v>0718 - 21602</v>
          </cell>
          <cell r="D25" t="str">
            <v>Jln. Sriwijaya No. 24, Tanjung Pandan, 33416</v>
          </cell>
        </row>
        <row r="26">
          <cell r="A26">
            <v>306</v>
          </cell>
          <cell r="B26" t="str">
            <v>KPP. Palembang Selatan</v>
          </cell>
          <cell r="C26" t="str">
            <v>0711 - -513392</v>
          </cell>
          <cell r="D26" t="str">
            <v>Jln. Jaka Baring No. 1, 8 Ulu Palembang, 30252</v>
          </cell>
        </row>
        <row r="27">
          <cell r="A27">
            <v>311</v>
          </cell>
          <cell r="B27" t="str">
            <v>KPP. Bengkulu</v>
          </cell>
          <cell r="C27" t="str">
            <v>0736 - 22506</v>
          </cell>
          <cell r="D27" t="str">
            <v>Jln. Pembangunan No. 6, Bengkulu, 38225</v>
          </cell>
        </row>
        <row r="28">
          <cell r="A28">
            <v>321</v>
          </cell>
          <cell r="B28" t="str">
            <v>KPP. Metro</v>
          </cell>
          <cell r="C28" t="str">
            <v>0725 - 41563</v>
          </cell>
          <cell r="D28" t="str">
            <v>Jln. Unyi Kauman Bawah No. 66, Metro, 34111</v>
          </cell>
        </row>
        <row r="29">
          <cell r="A29">
            <v>322</v>
          </cell>
          <cell r="B29" t="str">
            <v>KPP. Bandar Lampung</v>
          </cell>
          <cell r="C29" t="str">
            <v>0721 - 253004</v>
          </cell>
          <cell r="D29" t="str">
            <v>Jln. Dr. Susilo No. 19, Bandar Lampung, 35214</v>
          </cell>
        </row>
        <row r="30">
          <cell r="A30">
            <v>331</v>
          </cell>
          <cell r="B30" t="str">
            <v>KPP. Jambi</v>
          </cell>
          <cell r="C30" t="str">
            <v>0741 - 63280</v>
          </cell>
          <cell r="D30" t="str">
            <v>Jln. Prof. Dr. Sri Soedewi MS No. 46, Jambi, 36122</v>
          </cell>
        </row>
        <row r="31">
          <cell r="A31">
            <v>332</v>
          </cell>
          <cell r="B31" t="str">
            <v>KPP. Muara Bungo</v>
          </cell>
          <cell r="C31" t="str">
            <v>0747 - 21568</v>
          </cell>
          <cell r="D31" t="str">
            <v>Jln. Pramuka No. 7, Muara Bungo, 37212</v>
          </cell>
        </row>
        <row r="32">
          <cell r="A32">
            <v>1</v>
          </cell>
          <cell r="B32" t="str">
            <v>KPP. Jakarta Matraman</v>
          </cell>
          <cell r="C32" t="str">
            <v>021 - 8566927</v>
          </cell>
          <cell r="D32" t="str">
            <v>Jln. Matraman Raya No. 43, Jakarta Timur, 13140</v>
          </cell>
        </row>
        <row r="33">
          <cell r="A33">
            <v>2</v>
          </cell>
          <cell r="B33" t="str">
            <v>KPP. Jakarta Jatinegara</v>
          </cell>
          <cell r="C33" t="str">
            <v>021 - 8575682</v>
          </cell>
          <cell r="D33" t="str">
            <v>Jln. Slamet Riyadi No. 1, Jakarta Timur, 131501</v>
          </cell>
        </row>
        <row r="34">
          <cell r="A34">
            <v>3</v>
          </cell>
          <cell r="B34" t="str">
            <v>KPP. Jakarta Pulogadung</v>
          </cell>
          <cell r="C34" t="str">
            <v>021 - 8581881</v>
          </cell>
          <cell r="D34" t="str">
            <v>Jln. Pramuka Kav. 31, Jakarta Timur, 13120</v>
          </cell>
        </row>
        <row r="35">
          <cell r="A35">
            <v>4</v>
          </cell>
          <cell r="B35" t="str">
            <v>KPP. Jakarta Cakung</v>
          </cell>
          <cell r="C35" t="str">
            <v>021 - 8566516</v>
          </cell>
          <cell r="D35" t="str">
            <v>Jln. Pulo Buaran Raya Blok GJ No. 11, KIP, Jakarta Timur</v>
          </cell>
        </row>
        <row r="36">
          <cell r="A36">
            <v>5</v>
          </cell>
          <cell r="B36" t="str">
            <v>KPP. Jakarta Kramat Jati</v>
          </cell>
          <cell r="C36" t="str">
            <v>021 - 8091753</v>
          </cell>
          <cell r="D36" t="str">
            <v>Jln. Dewi Sartika No. 189A, Jakarta Timur, 13630</v>
          </cell>
        </row>
        <row r="37">
          <cell r="A37">
            <v>11</v>
          </cell>
          <cell r="B37" t="str">
            <v>KPP. Jakarta Setiabudi</v>
          </cell>
          <cell r="C37" t="str">
            <v>021 - 5207557</v>
          </cell>
          <cell r="D37" t="str">
            <v>Jln. Rasuna Said Blok B Kav. 8, Jakarta Selatan, 12910</v>
          </cell>
        </row>
        <row r="38">
          <cell r="A38">
            <v>12</v>
          </cell>
          <cell r="B38" t="str">
            <v>KPP. Jakarta Kebayoran Baru</v>
          </cell>
          <cell r="C38" t="str">
            <v>021 - 7245785</v>
          </cell>
          <cell r="D38" t="str">
            <v>Jln. KH Ahmad Dahlan No. 14A, Jakarta Selatan, 12130</v>
          </cell>
        </row>
        <row r="39">
          <cell r="A39">
            <v>13</v>
          </cell>
          <cell r="B39" t="str">
            <v>KPP. Jakarta Kebayoran Lama</v>
          </cell>
          <cell r="C39" t="str">
            <v>021 - 5860786</v>
          </cell>
          <cell r="D39" t="str">
            <v>Jln. Ciledug Raya No. 65, Jakarta Selatan, 12250</v>
          </cell>
        </row>
        <row r="40">
          <cell r="A40">
            <v>14</v>
          </cell>
          <cell r="B40" t="str">
            <v>KPP. Jakarta Mampang Prapatan</v>
          </cell>
          <cell r="C40" t="str">
            <v>021 - 7991035</v>
          </cell>
          <cell r="D40" t="str">
            <v>Jln. Raya Pasar Minggu No. 1, Jakarta Selatan, 12840</v>
          </cell>
        </row>
        <row r="41">
          <cell r="A41">
            <v>15</v>
          </cell>
          <cell r="B41" t="str">
            <v>KPP. Jakarta Tebet</v>
          </cell>
          <cell r="C41" t="str">
            <v>021 - 8304641</v>
          </cell>
          <cell r="D41" t="str">
            <v>Jln. Taman Bukit Duri No. 8, Jakarta Selatan, 12840</v>
          </cell>
        </row>
        <row r="42">
          <cell r="A42">
            <v>16</v>
          </cell>
          <cell r="B42" t="str">
            <v>KPP. Jakarta Cilandak</v>
          </cell>
          <cell r="C42" t="str">
            <v>021 - 7971260</v>
          </cell>
          <cell r="D42" t="str">
            <v>Jln. TMP Kalibata, Jakarta Selatan, 12760</v>
          </cell>
        </row>
        <row r="43">
          <cell r="A43">
            <v>17</v>
          </cell>
          <cell r="B43" t="str">
            <v>KPP. Jakarta Pasar Minggu</v>
          </cell>
          <cell r="C43" t="str">
            <v>021 - 7980024</v>
          </cell>
          <cell r="D43" t="str">
            <v>Jln. TMP Kalibata, Jakarta Selatan, 12760</v>
          </cell>
        </row>
        <row r="44">
          <cell r="A44">
            <v>41</v>
          </cell>
          <cell r="B44" t="str">
            <v>KPP. Jakarta Penjaringan</v>
          </cell>
          <cell r="C44" t="str">
            <v>021 - 6904408</v>
          </cell>
          <cell r="D44" t="str">
            <v>Jln. Lada No. 3, Jakarta Barat, 11110</v>
          </cell>
        </row>
        <row r="45">
          <cell r="A45">
            <v>42</v>
          </cell>
          <cell r="B45" t="str">
            <v>KPP. Jakarta Tanjung Priok</v>
          </cell>
          <cell r="C45" t="str">
            <v>021 - 4357437</v>
          </cell>
          <cell r="D45" t="str">
            <v>Jln. Enggano No. 2, Jakarta Utara, 14310</v>
          </cell>
        </row>
        <row r="46">
          <cell r="A46">
            <v>43</v>
          </cell>
          <cell r="B46" t="str">
            <v>KPP. Jakarta Kelapa Gading</v>
          </cell>
          <cell r="C46" t="str">
            <v>021- 4373836</v>
          </cell>
          <cell r="D46" t="str">
            <v>Jln. Walang Baru No. 10, Semper, Jakarta Utara, 14260</v>
          </cell>
        </row>
        <row r="47">
          <cell r="A47">
            <v>21</v>
          </cell>
          <cell r="B47" t="str">
            <v>KPP. Jakarta Menteng</v>
          </cell>
          <cell r="C47" t="str">
            <v>021 - 327688</v>
          </cell>
          <cell r="D47" t="str">
            <v>Jln. Sam Ratulangi No. 17, Jakarta Pusat, 10350</v>
          </cell>
        </row>
        <row r="48">
          <cell r="A48">
            <v>22</v>
          </cell>
          <cell r="B48" t="str">
            <v>KPP. Jakarta Tanah Abang</v>
          </cell>
          <cell r="C48" t="str">
            <v>021 - 5734738</v>
          </cell>
          <cell r="D48" t="str">
            <v>Jln. Penjernihan I No. 36, Jakarta Pusat, 10210</v>
          </cell>
        </row>
        <row r="49">
          <cell r="A49">
            <v>23</v>
          </cell>
          <cell r="B49" t="str">
            <v>KPP. Jakarta Senen</v>
          </cell>
          <cell r="C49" t="str">
            <v>021 - 3909944</v>
          </cell>
          <cell r="D49" t="str">
            <v>Jln. Kramat Raya No. 136, Jakarta Pusat, 10430</v>
          </cell>
        </row>
        <row r="50">
          <cell r="A50">
            <v>24</v>
          </cell>
          <cell r="B50" t="str">
            <v>KPP. Jakarta Cempaka Putih</v>
          </cell>
          <cell r="C50" t="str">
            <v>021 - 345434</v>
          </cell>
          <cell r="D50" t="str">
            <v>Jln. Kwini No. 7, Jakarta Pusat, 10410</v>
          </cell>
        </row>
        <row r="51">
          <cell r="A51">
            <v>25</v>
          </cell>
          <cell r="B51" t="str">
            <v>KPP. Jakarta Gambir I</v>
          </cell>
          <cell r="C51" t="str">
            <v>021 - 3849381</v>
          </cell>
          <cell r="D51" t="str">
            <v>Jln. Batu Tulis Raya No. 53-66, Jakarta Pusat, 10120</v>
          </cell>
        </row>
        <row r="52">
          <cell r="A52">
            <v>28</v>
          </cell>
          <cell r="B52" t="str">
            <v>KPP. Jakarta Gambir II</v>
          </cell>
          <cell r="C52" t="str">
            <v>021 - 6334255</v>
          </cell>
          <cell r="D52" t="str">
            <v>Jln. KH Hasyim Ashari No. 6-12 Lt. I-II, Jakarta Pusat, 10130</v>
          </cell>
        </row>
        <row r="53">
          <cell r="A53">
            <v>26</v>
          </cell>
          <cell r="B53" t="str">
            <v>KPP. Jakarta Sawah Besar</v>
          </cell>
          <cell r="C53" t="str">
            <v>021 - 6492446</v>
          </cell>
          <cell r="D53" t="str">
            <v>Jln. Kartini VIII No. 2, Jakarta Pusat, 10750</v>
          </cell>
        </row>
        <row r="54">
          <cell r="A54">
            <v>27</v>
          </cell>
          <cell r="B54" t="str">
            <v>KPP. Jakarta Kemayoran</v>
          </cell>
          <cell r="C54" t="str">
            <v>021 - 3840718</v>
          </cell>
          <cell r="D54" t="str">
            <v>Jln. Kwini No. 7, Jakarta Pusat, 10410</v>
          </cell>
        </row>
        <row r="55">
          <cell r="A55">
            <v>31</v>
          </cell>
          <cell r="B55" t="str">
            <v>KPP. Jakarta Palmerah</v>
          </cell>
          <cell r="C55" t="str">
            <v>021 - 5665802</v>
          </cell>
          <cell r="D55" t="str">
            <v>Jln. Letjend. S Parman No. 99, Jakarta Barat, 11410</v>
          </cell>
        </row>
        <row r="56">
          <cell r="A56">
            <v>32</v>
          </cell>
          <cell r="B56" t="str">
            <v>KPP. Jakarta Taman Sari</v>
          </cell>
          <cell r="C56" t="str">
            <v>021 - 6294548</v>
          </cell>
          <cell r="D56" t="str">
            <v>Jln. Mangga Besar No. 52, Jakarta Pusat, 10730</v>
          </cell>
        </row>
        <row r="57">
          <cell r="A57">
            <v>33</v>
          </cell>
          <cell r="B57" t="str">
            <v>KPP. Jakarta Tambora</v>
          </cell>
          <cell r="C57" t="str">
            <v>021 - 6928564</v>
          </cell>
          <cell r="D57" t="str">
            <v>Jln. Kalibesar  Barat No. 14-15, Jakarta Barat, 11230</v>
          </cell>
        </row>
        <row r="58">
          <cell r="A58">
            <v>34</v>
          </cell>
          <cell r="B58" t="str">
            <v>KPP. Jakarta Cengkareng</v>
          </cell>
          <cell r="C58" t="str">
            <v>021 - 5653313</v>
          </cell>
          <cell r="D58" t="str">
            <v>Jln. Letjend. S Parman No. 99, Jakarta Barat, 11410</v>
          </cell>
        </row>
        <row r="59">
          <cell r="A59">
            <v>35</v>
          </cell>
          <cell r="B59" t="str">
            <v>KPP. Jakarta Kebon Jeruk</v>
          </cell>
          <cell r="C59" t="str">
            <v>021 - 5355760</v>
          </cell>
          <cell r="D59" t="str">
            <v>Jln. Arjuna Selatan (Samping Tol Tomang), Jakarta Barat, 11530</v>
          </cell>
        </row>
        <row r="60">
          <cell r="A60">
            <v>51</v>
          </cell>
          <cell r="B60" t="str">
            <v>KPP. Perusahaan Negara &amp; Daerah</v>
          </cell>
          <cell r="C60" t="str">
            <v>021 - 7980025</v>
          </cell>
          <cell r="D60" t="str">
            <v>Jln. TMP Kalibata, Jakarta Selatan, 12760</v>
          </cell>
        </row>
        <row r="61">
          <cell r="A61">
            <v>52</v>
          </cell>
          <cell r="B61" t="str">
            <v>KPP. Penanaman Modal Asing I</v>
          </cell>
          <cell r="C61" t="str">
            <v>021 - 7975359</v>
          </cell>
          <cell r="D61" t="str">
            <v>Jln. TMP Kalibata, Jakarta Selatan, 12760</v>
          </cell>
        </row>
        <row r="62">
          <cell r="A62">
            <v>55</v>
          </cell>
          <cell r="B62" t="str">
            <v>KPP. Penanaman Modal Asing II</v>
          </cell>
          <cell r="C62" t="str">
            <v>021 - 7948191</v>
          </cell>
          <cell r="D62" t="str">
            <v>Jln. TMP Kalibata, Jakarta Selatan, 12760</v>
          </cell>
        </row>
        <row r="63">
          <cell r="A63">
            <v>56</v>
          </cell>
          <cell r="B63" t="str">
            <v>KPP. Penanaman Modal Asing III</v>
          </cell>
          <cell r="C63" t="str">
            <v>021 - 7902445</v>
          </cell>
          <cell r="D63" t="str">
            <v>Jln. TMP Kalibata, Jakarta Selatan, 12760</v>
          </cell>
        </row>
        <row r="64">
          <cell r="A64">
            <v>53</v>
          </cell>
          <cell r="B64" t="str">
            <v>KPP. Badan dan Orang Asing</v>
          </cell>
          <cell r="C64" t="str">
            <v>021 - 7980022</v>
          </cell>
          <cell r="D64" t="str">
            <v>Jln. TMP Kalibata, Jakarta Selatan, 12760</v>
          </cell>
        </row>
        <row r="65">
          <cell r="A65">
            <v>54</v>
          </cell>
          <cell r="B65" t="str">
            <v>KPP. Perusahaan Masuk Bursa</v>
          </cell>
          <cell r="C65" t="str">
            <v>021 - 5731205</v>
          </cell>
          <cell r="D65" t="str">
            <v>Jln. Jend. Sudirman No. 56, Jakarta Selatan, 12190</v>
          </cell>
        </row>
        <row r="66">
          <cell r="A66">
            <v>401</v>
          </cell>
          <cell r="B66" t="str">
            <v>KPP. Serang</v>
          </cell>
          <cell r="C66" t="str">
            <v>0254 - 200555</v>
          </cell>
          <cell r="D66" t="str">
            <v>Jln. Diponegoro No. 9, Serang, 42112</v>
          </cell>
        </row>
        <row r="67">
          <cell r="A67">
            <v>402</v>
          </cell>
          <cell r="B67" t="str">
            <v>KPP. Tangerang</v>
          </cell>
          <cell r="C67" t="str">
            <v>021 - 5525789</v>
          </cell>
          <cell r="D67" t="str">
            <v>Jln. Imam Bonjol No. 47, Tangerang, 15113</v>
          </cell>
        </row>
        <row r="68">
          <cell r="A68">
            <v>403</v>
          </cell>
          <cell r="B68" t="str">
            <v>KPP. Cibinong</v>
          </cell>
          <cell r="C68" t="str">
            <v>021 - 8753883</v>
          </cell>
          <cell r="D68" t="str">
            <v>Komplek Pemda Tk. II Kab. Bogor, Cibinong, 16914</v>
          </cell>
        </row>
        <row r="69">
          <cell r="A69">
            <v>404</v>
          </cell>
          <cell r="B69" t="str">
            <v>KPP. Bogor</v>
          </cell>
          <cell r="C69" t="str">
            <v>0251 - 324331</v>
          </cell>
          <cell r="D69" t="str">
            <v>Jln. Ir. H. Juanda No. 64, Bogor, 16123</v>
          </cell>
        </row>
        <row r="70">
          <cell r="A70">
            <v>405</v>
          </cell>
          <cell r="B70" t="str">
            <v>KPP. Sukabumi</v>
          </cell>
          <cell r="C70" t="str">
            <v>0266 - 221540</v>
          </cell>
          <cell r="D70" t="str">
            <v>Jln. RE Martadinata No. 1, Sukabumi, 43111</v>
          </cell>
        </row>
        <row r="71">
          <cell r="A71">
            <v>406</v>
          </cell>
          <cell r="B71" t="str">
            <v>KPP. Cianjur</v>
          </cell>
          <cell r="C71" t="str">
            <v>0263 - 264717</v>
          </cell>
          <cell r="D71" t="str">
            <v>Jln. Arif Rahman Hakim No. 55, Cianjur, 43214</v>
          </cell>
        </row>
        <row r="72">
          <cell r="A72">
            <v>407</v>
          </cell>
          <cell r="B72" t="str">
            <v>KPP. Bekasi</v>
          </cell>
          <cell r="C72" t="str">
            <v>021 - 8802525</v>
          </cell>
          <cell r="D72" t="str">
            <v>Jln. Sersan Awan, Bekasi, 17113</v>
          </cell>
        </row>
        <row r="73">
          <cell r="A73">
            <v>408</v>
          </cell>
          <cell r="B73" t="str">
            <v>KPP. Karawang</v>
          </cell>
          <cell r="C73" t="str">
            <v>0267 - 402145</v>
          </cell>
          <cell r="D73" t="str">
            <v>Jln. Ahmad Yani No. 17, Karawang, 41312</v>
          </cell>
        </row>
        <row r="74">
          <cell r="A74">
            <v>409</v>
          </cell>
          <cell r="B74" t="str">
            <v>KPP. Purwakarta</v>
          </cell>
          <cell r="C74" t="str">
            <v>0264 - 206656</v>
          </cell>
          <cell r="D74" t="str">
            <v>Jln. Ciganea Bunder, Purwakarta, 41161</v>
          </cell>
        </row>
        <row r="75">
          <cell r="A75">
            <v>411</v>
          </cell>
          <cell r="B75" t="str">
            <v>KPP. Serpong</v>
          </cell>
          <cell r="C75" t="str">
            <v>021 - 5373817</v>
          </cell>
          <cell r="D75" t="str">
            <v>Jln. Raya Serpong Blok 405 No. 4 Sektor 8, Bumi Serpong Damai, 15310</v>
          </cell>
        </row>
        <row r="76">
          <cell r="A76">
            <v>421</v>
          </cell>
          <cell r="B76" t="str">
            <v>KPP. Cimahi</v>
          </cell>
          <cell r="C76" t="str">
            <v>022 - 6654569</v>
          </cell>
          <cell r="D76" t="str">
            <v>Jln. Raya Barat No. 574,  Cimahi, 40525</v>
          </cell>
        </row>
        <row r="77">
          <cell r="A77">
            <v>422</v>
          </cell>
          <cell r="B77" t="str">
            <v>KPP. Bandung Tegallega</v>
          </cell>
          <cell r="C77" t="str">
            <v>022 - 612575</v>
          </cell>
          <cell r="D77" t="str">
            <v>Jln. Soekarno-Hatta No. 216, Bandung, 40223</v>
          </cell>
        </row>
        <row r="78">
          <cell r="A78">
            <v>423</v>
          </cell>
          <cell r="B78" t="str">
            <v>KPP. Bandung Cibeunying</v>
          </cell>
          <cell r="C78" t="str">
            <v>022 - 439107</v>
          </cell>
          <cell r="D78" t="str">
            <v>Jln. Purnawarman No. 21, Bandung, 40117</v>
          </cell>
        </row>
        <row r="79">
          <cell r="A79">
            <v>424</v>
          </cell>
          <cell r="B79" t="str">
            <v>KPP. Bandung Karees</v>
          </cell>
          <cell r="C79" t="str">
            <v>022 - 304730</v>
          </cell>
          <cell r="D79" t="str">
            <v>Jln. Kiara Conding No. 372, Bandung, 40275</v>
          </cell>
        </row>
        <row r="80">
          <cell r="A80">
            <v>425</v>
          </cell>
          <cell r="B80" t="str">
            <v>KPP. Tasikmalaya</v>
          </cell>
          <cell r="C80" t="str">
            <v>0265 - 331852</v>
          </cell>
          <cell r="D80" t="str">
            <v>Jln. Sutisna Senjaya No. 154, Tasikmalaya, 46114</v>
          </cell>
        </row>
        <row r="81">
          <cell r="A81">
            <v>426</v>
          </cell>
          <cell r="B81" t="str">
            <v>KPP. Cirebon</v>
          </cell>
          <cell r="C81" t="str">
            <v>0231 - 208370</v>
          </cell>
          <cell r="D81" t="str">
            <v>Jln. Ade Irma Suryani No. 1, Cirebon, 45111</v>
          </cell>
        </row>
        <row r="82">
          <cell r="A82">
            <v>428</v>
          </cell>
          <cell r="B82" t="str">
            <v>KPP. Bandung Bojanegara</v>
          </cell>
          <cell r="C82" t="str">
            <v>022 - 231529</v>
          </cell>
          <cell r="D82" t="str">
            <v>Jln. Cipaganti No. 155-157, Bandung, 40161</v>
          </cell>
        </row>
        <row r="83">
          <cell r="A83">
            <v>501</v>
          </cell>
          <cell r="B83" t="str">
            <v>KPP. Tegal</v>
          </cell>
          <cell r="C83" t="str">
            <v>0283 - 56897</v>
          </cell>
          <cell r="D83" t="str">
            <v>Jln. Kol. Sugiono No. 5, Tegal, 52113</v>
          </cell>
        </row>
        <row r="84">
          <cell r="A84">
            <v>502</v>
          </cell>
          <cell r="B84" t="str">
            <v>KPP. Pekalongan</v>
          </cell>
          <cell r="C84" t="str">
            <v>0285 - 23053</v>
          </cell>
          <cell r="D84" t="str">
            <v>Jln. Merdeka No. 9, Pekalongan, 51117</v>
          </cell>
        </row>
        <row r="85">
          <cell r="A85">
            <v>503</v>
          </cell>
          <cell r="B85" t="str">
            <v>KPP. Semarang Barat</v>
          </cell>
          <cell r="C85" t="str">
            <v>024 - 545423</v>
          </cell>
          <cell r="D85" t="str">
            <v>Jln. Pemuda No. 1, Semarang, 50142</v>
          </cell>
        </row>
        <row r="86">
          <cell r="A86">
            <v>504</v>
          </cell>
          <cell r="B86" t="str">
            <v>KPP. Semarang Timur</v>
          </cell>
          <cell r="C86" t="str">
            <v>024 - 414439</v>
          </cell>
          <cell r="D86" t="str">
            <v>Jln. Ki Mangun Sarko No. 34, Semarang, 50421</v>
          </cell>
        </row>
        <row r="87">
          <cell r="A87">
            <v>505</v>
          </cell>
          <cell r="B87" t="str">
            <v>KPP. Salatiga</v>
          </cell>
          <cell r="C87" t="str">
            <v>0298 - 22008</v>
          </cell>
          <cell r="D87" t="str">
            <v>Jln. Diponegoro No. 163, Salatiga, 50721</v>
          </cell>
        </row>
        <row r="88">
          <cell r="A88">
            <v>506</v>
          </cell>
          <cell r="B88" t="str">
            <v>KPP. Kudus</v>
          </cell>
          <cell r="C88" t="str">
            <v>0291 - 32048</v>
          </cell>
          <cell r="D88" t="str">
            <v>Jln. Niti Semito, kudus, 59317</v>
          </cell>
        </row>
        <row r="89">
          <cell r="A89">
            <v>507</v>
          </cell>
          <cell r="B89" t="str">
            <v>KPP. Pati</v>
          </cell>
          <cell r="C89" t="str">
            <v>0295 - 82279</v>
          </cell>
          <cell r="D89" t="str">
            <v>Jln. Diponegoro No. 10, Pati, 59112</v>
          </cell>
        </row>
        <row r="90">
          <cell r="A90">
            <v>508</v>
          </cell>
          <cell r="B90" t="str">
            <v>KPP. Semarang Selatan</v>
          </cell>
          <cell r="C90" t="str">
            <v>024 - 471983</v>
          </cell>
          <cell r="D90" t="str">
            <v>Jln. Seiabudi No. 3, Semarang, 50254</v>
          </cell>
        </row>
        <row r="91">
          <cell r="A91">
            <v>521</v>
          </cell>
          <cell r="B91" t="str">
            <v>KPP. Purwokerto</v>
          </cell>
          <cell r="C91" t="str">
            <v>0281 - 35265</v>
          </cell>
          <cell r="D91" t="str">
            <v>Jln. Gatot Subroto No. 107, Purwokerto, 53114</v>
          </cell>
        </row>
        <row r="92">
          <cell r="A92">
            <v>522</v>
          </cell>
          <cell r="B92" t="str">
            <v>KPP. Cilacap</v>
          </cell>
          <cell r="C92" t="str">
            <v>0282 - 32714</v>
          </cell>
          <cell r="D92" t="str">
            <v>Jln. Mayjend. D I Panjaitan No. 32, Cilacap, 53213</v>
          </cell>
        </row>
        <row r="93">
          <cell r="A93">
            <v>523</v>
          </cell>
          <cell r="B93" t="str">
            <v>KPP. Kebumen</v>
          </cell>
          <cell r="C93" t="str">
            <v>0287 - 81846</v>
          </cell>
          <cell r="D93" t="str">
            <v>Jln. Merak II/2, Kebumen, 54312</v>
          </cell>
        </row>
        <row r="94">
          <cell r="A94">
            <v>524</v>
          </cell>
          <cell r="B94" t="str">
            <v>KPP. Magelang</v>
          </cell>
          <cell r="C94" t="str">
            <v>0293 - 64417</v>
          </cell>
          <cell r="D94" t="str">
            <v>Jln. Veteran No. 20, Magelang, 56117</v>
          </cell>
        </row>
        <row r="95">
          <cell r="A95">
            <v>525</v>
          </cell>
          <cell r="B95" t="str">
            <v>KPP. Klaten</v>
          </cell>
          <cell r="C95" t="str">
            <v>0272 - 22489</v>
          </cell>
          <cell r="D95" t="str">
            <v>Jln. Kopral Sayom (Ring Road), Klaten, 57431</v>
          </cell>
        </row>
        <row r="96">
          <cell r="A96">
            <v>526</v>
          </cell>
          <cell r="B96" t="str">
            <v>KPP. Surakarta</v>
          </cell>
          <cell r="C96" t="str">
            <v>0271 - 714061</v>
          </cell>
          <cell r="D96" t="str">
            <v>Jln. KH Agus Salim No. 1, Solo, 57147</v>
          </cell>
        </row>
        <row r="97">
          <cell r="A97">
            <v>541</v>
          </cell>
          <cell r="B97" t="str">
            <v>KPP. Yogyakarta</v>
          </cell>
          <cell r="C97" t="str">
            <v>0274 - 380415</v>
          </cell>
          <cell r="D97" t="str">
            <v>Jln. Panembahan Senopati No. 20, Yogyakarta, 55121</v>
          </cell>
        </row>
        <row r="98">
          <cell r="A98">
            <v>601</v>
          </cell>
          <cell r="B98" t="str">
            <v>KPP. Bojonegoro</v>
          </cell>
          <cell r="C98" t="str">
            <v>0353 - 81380</v>
          </cell>
          <cell r="D98" t="str">
            <v>Jln. Teuku Umar No. 17, Bojonegoro, 62111</v>
          </cell>
        </row>
        <row r="99">
          <cell r="A99">
            <v>602</v>
          </cell>
          <cell r="B99" t="str">
            <v>KPP. Mojokerto</v>
          </cell>
          <cell r="C99" t="str">
            <v>0321 - 26359</v>
          </cell>
          <cell r="D99" t="str">
            <v>Jln. RA Basuni Km. 5, Jambirogo-Sooko, Mojokerto, 61361</v>
          </cell>
        </row>
        <row r="100">
          <cell r="A100">
            <v>603</v>
          </cell>
          <cell r="B100" t="str">
            <v>KPP. Sidoarjo</v>
          </cell>
          <cell r="C100" t="str">
            <v>031 - 8941035</v>
          </cell>
          <cell r="D100" t="str">
            <v>Jln. Pahlawan, Sidoarjo, 61212</v>
          </cell>
        </row>
        <row r="101">
          <cell r="A101">
            <v>604</v>
          </cell>
          <cell r="B101" t="str">
            <v>KPP. Surabaya Sukomanunggal</v>
          </cell>
          <cell r="C101" t="str">
            <v>031 - 5683373</v>
          </cell>
          <cell r="D101" t="str">
            <v>Jln. Dr. Sutomo No. 90, Surabaya, 60264</v>
          </cell>
        </row>
        <row r="102">
          <cell r="A102">
            <v>605</v>
          </cell>
          <cell r="B102" t="str">
            <v>KPP. Surabaya Krembangan</v>
          </cell>
          <cell r="C102" t="str">
            <v>031 - 3556880</v>
          </cell>
          <cell r="D102" t="str">
            <v>Jln. Indrapura No. 5, Surabaya, 60175</v>
          </cell>
        </row>
        <row r="103">
          <cell r="A103">
            <v>606</v>
          </cell>
          <cell r="B103" t="str">
            <v>KPP. Surabaya Gubeng</v>
          </cell>
          <cell r="C103" t="str">
            <v>031 - 5321566</v>
          </cell>
          <cell r="D103" t="str">
            <v>Jln. Sumatera No. 22-24, Surabaya, 60281</v>
          </cell>
        </row>
        <row r="104">
          <cell r="A104">
            <v>607</v>
          </cell>
          <cell r="B104" t="str">
            <v>KPP. Surabaya Tegalsari</v>
          </cell>
          <cell r="C104" t="str">
            <v>031 - 5615367</v>
          </cell>
          <cell r="D104" t="str">
            <v>Jln. Dinoyo No. 111, Surabaya, 60008</v>
          </cell>
        </row>
        <row r="105">
          <cell r="A105">
            <v>608</v>
          </cell>
          <cell r="B105" t="str">
            <v>KPP. Pamekasan</v>
          </cell>
          <cell r="C105" t="str">
            <v>0324 - 22983</v>
          </cell>
          <cell r="D105" t="str">
            <v>Jln. Abdul Aziz No. 142, Pamekasan, 69317</v>
          </cell>
        </row>
        <row r="106">
          <cell r="A106">
            <v>609</v>
          </cell>
          <cell r="B106" t="str">
            <v>KPP. Surabaya Wonocolo</v>
          </cell>
          <cell r="C106" t="str">
            <v>031 - 5615381</v>
          </cell>
          <cell r="D106" t="str">
            <v>Jln. Dinoyo No. 111, Surabaya, 60008</v>
          </cell>
        </row>
        <row r="107">
          <cell r="A107">
            <v>611</v>
          </cell>
          <cell r="B107" t="str">
            <v>KPP. Surabaya Genteng</v>
          </cell>
          <cell r="C107" t="str">
            <v>031 - 5473302</v>
          </cell>
          <cell r="D107" t="str">
            <v>Jln. Kayoon no. 28, Surabaya, 60271</v>
          </cell>
        </row>
        <row r="108">
          <cell r="A108">
            <v>621</v>
          </cell>
          <cell r="B108" t="str">
            <v>KPP. Madiun</v>
          </cell>
          <cell r="C108" t="str">
            <v>0351 - 64914</v>
          </cell>
          <cell r="D108" t="str">
            <v>Jln. DI Panjaitan No. 4, Madiun, 63131</v>
          </cell>
        </row>
        <row r="109">
          <cell r="A109">
            <v>622</v>
          </cell>
          <cell r="B109" t="str">
            <v>KPP. Kediri</v>
          </cell>
          <cell r="C109" t="str">
            <v>0354 - 82052</v>
          </cell>
          <cell r="D109" t="str">
            <v>Jln. Brawijaya No. 6, Kediri, 64101</v>
          </cell>
        </row>
        <row r="110">
          <cell r="A110">
            <v>623</v>
          </cell>
          <cell r="B110" t="str">
            <v>KPP. Malang</v>
          </cell>
          <cell r="C110" t="str">
            <v>0341 - 364407</v>
          </cell>
          <cell r="D110" t="str">
            <v>Jln. Merdeka Utara No. 3, Malang, 65119</v>
          </cell>
        </row>
        <row r="111">
          <cell r="A111">
            <v>624</v>
          </cell>
          <cell r="B111" t="str">
            <v>KPP. Pasuruan</v>
          </cell>
          <cell r="C111" t="str">
            <v>0343 - 426930</v>
          </cell>
          <cell r="D111" t="str">
            <v>Jln. P Sudirman No. 29, Pasuruan, 67126</v>
          </cell>
        </row>
        <row r="112">
          <cell r="A112">
            <v>625</v>
          </cell>
          <cell r="B112" t="str">
            <v>KPP. Probolinggo</v>
          </cell>
          <cell r="C112" t="str">
            <v>0335 - 20470</v>
          </cell>
          <cell r="D112" t="str">
            <v>Jln. Mastrip No. 169-171, Probolinggo, 67213</v>
          </cell>
        </row>
        <row r="113">
          <cell r="A113">
            <v>626</v>
          </cell>
          <cell r="B113" t="str">
            <v>KPP. Jember</v>
          </cell>
          <cell r="C113" t="str">
            <v>0331 - 56344</v>
          </cell>
          <cell r="D113" t="str">
            <v>Jln. KH Wahid Hasyim No. 1, Jember, 68101</v>
          </cell>
        </row>
        <row r="114">
          <cell r="A114">
            <v>627</v>
          </cell>
          <cell r="B114" t="str">
            <v>KPP. Banyuwangi</v>
          </cell>
          <cell r="C114" t="str">
            <v>0333 - 21537</v>
          </cell>
          <cell r="D114" t="str">
            <v>Jln. Brawijaya No. 28, Banyuwangi, 68425</v>
          </cell>
        </row>
        <row r="115">
          <cell r="A115">
            <v>612</v>
          </cell>
          <cell r="B115" t="str">
            <v>KPP. Gresik</v>
          </cell>
          <cell r="C115" t="str">
            <v>031 - 3972847</v>
          </cell>
          <cell r="D115" t="str">
            <v>Jln. KH Wahid Hasyim No. 17, Lt. II, Gresik, 61114</v>
          </cell>
        </row>
        <row r="116">
          <cell r="A116">
            <v>701</v>
          </cell>
          <cell r="B116" t="str">
            <v>KPP. Pontianak</v>
          </cell>
          <cell r="C116" t="str">
            <v>0561 - 34026</v>
          </cell>
          <cell r="D116" t="str">
            <v>Jln. Sultan Abdurrachman No. 1, Pontianak, 78116</v>
          </cell>
        </row>
        <row r="117">
          <cell r="A117">
            <v>702</v>
          </cell>
          <cell r="B117" t="str">
            <v>KPP. Singkawang</v>
          </cell>
          <cell r="C117" t="str">
            <v>0562 - 31826</v>
          </cell>
          <cell r="D117" t="str">
            <v>Jln. Yohana Godang No. 57, Singkawang, 79123</v>
          </cell>
        </row>
        <row r="118">
          <cell r="A118">
            <v>711</v>
          </cell>
          <cell r="B118" t="str">
            <v>KPP. Palangkaraya</v>
          </cell>
          <cell r="C118" t="str">
            <v>0536 - 21028</v>
          </cell>
          <cell r="D118" t="str">
            <v>Jln. Yos Sudarso No. 5, Palangkaraya, 73112</v>
          </cell>
        </row>
        <row r="119">
          <cell r="A119">
            <v>712</v>
          </cell>
          <cell r="B119" t="str">
            <v>KPP. Sampit</v>
          </cell>
          <cell r="C119" t="str">
            <v>0531 - 21308</v>
          </cell>
          <cell r="D119" t="str">
            <v>Jln. Jend. Ahmad Yani No. 7, Sampit, 74322</v>
          </cell>
        </row>
        <row r="120">
          <cell r="A120">
            <v>721</v>
          </cell>
          <cell r="B120" t="str">
            <v>KPP. Balikpapan</v>
          </cell>
          <cell r="C120" t="str">
            <v>0542 - 21861</v>
          </cell>
          <cell r="D120" t="str">
            <v>Jln. Jend. Ahmad Yani No. 68-69, Balikpapan, 76113</v>
          </cell>
        </row>
        <row r="121">
          <cell r="A121">
            <v>722</v>
          </cell>
          <cell r="B121" t="str">
            <v>KPP. Samarinda</v>
          </cell>
          <cell r="C121" t="str">
            <v>0541 - 41191</v>
          </cell>
          <cell r="D121" t="str">
            <v>Jln. Basuki Rahmat No. 42, Samarinda, 75117</v>
          </cell>
        </row>
        <row r="122">
          <cell r="A122">
            <v>723</v>
          </cell>
          <cell r="B122" t="str">
            <v>KPP. Tarakan</v>
          </cell>
          <cell r="C122" t="str">
            <v>0551 - 23826</v>
          </cell>
          <cell r="D122" t="str">
            <v>Jln. Jend. Sudirman No. 404, Tarakan, 77121</v>
          </cell>
        </row>
        <row r="123">
          <cell r="A123">
            <v>731</v>
          </cell>
          <cell r="B123" t="str">
            <v>KPP. Banjarmasin</v>
          </cell>
          <cell r="C123" t="str">
            <v>0511 - 54632</v>
          </cell>
          <cell r="D123" t="str">
            <v>Jln. Lambung Mangkurat No. 21, Banjarmasin, 70111</v>
          </cell>
        </row>
        <row r="124">
          <cell r="A124">
            <v>801</v>
          </cell>
          <cell r="B124" t="str">
            <v>KPP. Ujung Pandang</v>
          </cell>
          <cell r="C124" t="str">
            <v>0411 - 456954</v>
          </cell>
          <cell r="D124" t="str">
            <v>Jln. Urip Sumoharjo (GKN), Ujung Pandang, 90232</v>
          </cell>
        </row>
        <row r="125">
          <cell r="A125">
            <v>802</v>
          </cell>
          <cell r="B125" t="str">
            <v>KPP. Pare-Pare</v>
          </cell>
          <cell r="C125" t="str">
            <v>0421 - 22243</v>
          </cell>
          <cell r="D125" t="str">
            <v>Jln. Jend. Sudirman No. 49, Pare-pare, 91122</v>
          </cell>
        </row>
        <row r="126">
          <cell r="A126">
            <v>803</v>
          </cell>
          <cell r="B126" t="str">
            <v>KPP. Palopo</v>
          </cell>
          <cell r="C126" t="str">
            <v>0471 - 22582</v>
          </cell>
          <cell r="D126" t="str">
            <v>Jln. Merdeka No. 55, Palopo, 91921</v>
          </cell>
        </row>
        <row r="127">
          <cell r="A127">
            <v>811</v>
          </cell>
          <cell r="B127" t="str">
            <v>KPP. Kendari</v>
          </cell>
          <cell r="C127" t="str">
            <v>0401 - 26230</v>
          </cell>
          <cell r="D127" t="str">
            <v>Jln. Saranani Kel. Wua-wua, Kendari, 93117</v>
          </cell>
        </row>
        <row r="128">
          <cell r="A128">
            <v>821</v>
          </cell>
          <cell r="B128" t="str">
            <v>KPP. Manado</v>
          </cell>
          <cell r="C128" t="str">
            <v>0431 - 52622</v>
          </cell>
          <cell r="D128" t="str">
            <v>Jln. Gunung Klabat, Manado, 95117</v>
          </cell>
        </row>
        <row r="129">
          <cell r="A129">
            <v>822</v>
          </cell>
          <cell r="B129" t="str">
            <v>KPP. Gorontalo</v>
          </cell>
          <cell r="C129" t="str">
            <v>0435 - 21217</v>
          </cell>
          <cell r="D129" t="str">
            <v>Jln. Jend. S Parman No. 86A, Gorontalo, 95111</v>
          </cell>
        </row>
        <row r="130">
          <cell r="A130">
            <v>831</v>
          </cell>
          <cell r="B130" t="str">
            <v>KPP. Palu</v>
          </cell>
          <cell r="C130" t="str">
            <v>0451 - 22730</v>
          </cell>
          <cell r="D130" t="str">
            <v>Jln. Prof. M Yamin No. 94, Palu, 94112</v>
          </cell>
        </row>
        <row r="131">
          <cell r="A131">
            <v>832</v>
          </cell>
          <cell r="B131" t="str">
            <v>KPP. Luwuk</v>
          </cell>
          <cell r="C131" t="str">
            <v>0461 - 22098</v>
          </cell>
          <cell r="D131" t="str">
            <v>Jln. Yos Sudarso No. 14, Luwuk, 94715</v>
          </cell>
        </row>
        <row r="132">
          <cell r="A132">
            <v>901</v>
          </cell>
          <cell r="B132" t="str">
            <v>KPP. Denpasar</v>
          </cell>
          <cell r="C132" t="str">
            <v>0361 - 225763</v>
          </cell>
          <cell r="D132" t="str">
            <v>Jln. Kapt. Tantular (GKN II), Denpasar, 80235</v>
          </cell>
        </row>
        <row r="133">
          <cell r="A133">
            <v>902</v>
          </cell>
          <cell r="B133" t="str">
            <v>KPP. Singaraja</v>
          </cell>
          <cell r="C133" t="str">
            <v>0362 - 22241</v>
          </cell>
          <cell r="D133" t="str">
            <v>Jln. Udayana No. 10, GKN, Singaraja, 81116</v>
          </cell>
        </row>
        <row r="134">
          <cell r="A134">
            <v>911</v>
          </cell>
          <cell r="B134" t="str">
            <v>KPP. Mataram</v>
          </cell>
          <cell r="C134" t="str">
            <v>0371 - 33724</v>
          </cell>
          <cell r="D134" t="str">
            <v>Jln. Raya Langko No. 74, Mataram, 83114</v>
          </cell>
        </row>
        <row r="135">
          <cell r="A135">
            <v>912</v>
          </cell>
          <cell r="B135" t="str">
            <v>KPP. Raba Bima</v>
          </cell>
          <cell r="C135" t="str">
            <v>0374 - 43227</v>
          </cell>
          <cell r="D135" t="str">
            <v>Jln. Soekarno - Hatta No. 177, Raba Bima, 84115</v>
          </cell>
        </row>
        <row r="136">
          <cell r="A136">
            <v>921</v>
          </cell>
          <cell r="B136" t="str">
            <v>KPP. Maumere</v>
          </cell>
          <cell r="C136" t="str">
            <v>0382 - 21373</v>
          </cell>
          <cell r="D136" t="str">
            <v>Jln. El Tari, Maumere, 86113</v>
          </cell>
        </row>
        <row r="137">
          <cell r="A137">
            <v>922</v>
          </cell>
          <cell r="B137" t="str">
            <v>KPP. Kupang</v>
          </cell>
          <cell r="C137" t="str">
            <v>0391 - 33211</v>
          </cell>
          <cell r="D137" t="str">
            <v>Jln. Palapa No. 8, Kupang, 85111</v>
          </cell>
        </row>
        <row r="138">
          <cell r="A138">
            <v>931</v>
          </cell>
          <cell r="B138" t="str">
            <v>KPP. Dili</v>
          </cell>
          <cell r="C138" t="str">
            <v>0390 - 21516</v>
          </cell>
          <cell r="D138" t="str">
            <v>Jln. Kaikoli, Dili, 88110</v>
          </cell>
        </row>
        <row r="139">
          <cell r="A139">
            <v>941</v>
          </cell>
          <cell r="B139" t="str">
            <v>KPP. Ambon</v>
          </cell>
          <cell r="C139" t="str">
            <v>0911 - 44362</v>
          </cell>
          <cell r="D139" t="str">
            <v>Jln. Raya Patimura No. 18 (GKN), Ambon, 97124</v>
          </cell>
        </row>
        <row r="140">
          <cell r="A140">
            <v>942</v>
          </cell>
          <cell r="B140" t="str">
            <v>KPP. Ternate</v>
          </cell>
          <cell r="C140" t="str">
            <v>0921 - 22358</v>
          </cell>
          <cell r="D140" t="str">
            <v>Jln. Yos Sudarso No. 288, Ternate, 97112</v>
          </cell>
        </row>
        <row r="141">
          <cell r="A141">
            <v>951</v>
          </cell>
          <cell r="B141" t="str">
            <v>KPP. Sorong</v>
          </cell>
          <cell r="C141" t="str">
            <v>0951 - 22424</v>
          </cell>
          <cell r="D141" t="str">
            <v>Jln. Jend. Sudirman no. 26, Sorong, 98415</v>
          </cell>
        </row>
        <row r="142">
          <cell r="A142">
            <v>952</v>
          </cell>
          <cell r="B142" t="str">
            <v>KPP. Jayapura</v>
          </cell>
          <cell r="C142" t="str">
            <v>0967 - 34145</v>
          </cell>
          <cell r="D142" t="str">
            <v>Jln. Jend. A Yani No. 8, Jayapura, 99010</v>
          </cell>
        </row>
      </sheetData>
      <sheetData sheetId="2" refreshError="1"/>
      <sheetData sheetId="3" refreshError="1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"/>
      <sheetName val="GL Account"/>
      <sheetName val="Trading Partner"/>
    </sheetNames>
    <sheetDataSet>
      <sheetData sheetId="0" refreshError="1"/>
      <sheetData sheetId="1"/>
      <sheetData sheetId="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MR"/>
      <sheetName val="IDR_Move(1)"/>
      <sheetName val="IDR_YTD(2)"/>
      <sheetName val="IDRt_FS(3)"/>
      <sheetName val="USDt_FS(4)"/>
      <sheetName val="RpBgt_Move(5)"/>
      <sheetName val="RpBgt_YTD(6)"/>
      <sheetName val="Summ Base Invoices"/>
      <sheetName val="Summary "/>
      <sheetName val="Lansir 01"/>
      <sheetName val="Lansir 02"/>
      <sheetName val="Lansir 04"/>
      <sheetName val="lansir05"/>
      <sheetName val="LOG 01"/>
      <sheetName val="LOG 02"/>
      <sheetName val="LOG 03"/>
      <sheetName val="LOG 04"/>
      <sheetName val="LOG 05"/>
      <sheetName val="LOG 06"/>
      <sheetName val="TK - MILL"/>
      <sheetName val="TK Riau Fiber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0">
          <cell r="B40" t="str">
            <v>Profit &amp; Loss Year To Date</v>
          </cell>
          <cell r="D40" t="str">
            <v>OB-01</v>
          </cell>
          <cell r="E40">
            <v>36892</v>
          </cell>
          <cell r="F40">
            <v>36923</v>
          </cell>
          <cell r="G40">
            <v>36951</v>
          </cell>
          <cell r="H40">
            <v>36982</v>
          </cell>
          <cell r="I40">
            <v>37012</v>
          </cell>
          <cell r="J40">
            <v>37043</v>
          </cell>
          <cell r="K40">
            <v>37073</v>
          </cell>
          <cell r="L40">
            <v>37104</v>
          </cell>
          <cell r="M40">
            <v>37135</v>
          </cell>
          <cell r="N40">
            <v>37165</v>
          </cell>
          <cell r="O40">
            <v>37196</v>
          </cell>
          <cell r="P40">
            <v>37226</v>
          </cell>
          <cell r="S40">
            <v>36892</v>
          </cell>
          <cell r="T40">
            <v>36923</v>
          </cell>
          <cell r="U40">
            <v>36951</v>
          </cell>
          <cell r="V40">
            <v>36982</v>
          </cell>
          <cell r="W40">
            <v>37012</v>
          </cell>
          <cell r="X40">
            <v>37043</v>
          </cell>
          <cell r="Y40">
            <v>37073</v>
          </cell>
          <cell r="Z40">
            <v>37104</v>
          </cell>
          <cell r="AA40">
            <v>37135</v>
          </cell>
          <cell r="AB40">
            <v>37165</v>
          </cell>
          <cell r="AC40">
            <v>37196</v>
          </cell>
          <cell r="AD40">
            <v>37226</v>
          </cell>
        </row>
        <row r="41">
          <cell r="C41" t="str">
            <v>Sales Revenue:</v>
          </cell>
        </row>
        <row r="42">
          <cell r="B42" t="str">
            <v>PL01-01</v>
          </cell>
          <cell r="C42" t="str">
            <v>Sales Revenue-Interunit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B43" t="str">
            <v>PL01-02</v>
          </cell>
          <cell r="C43" t="str">
            <v>Sales Revenue-Intercompany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B44" t="str">
            <v>PL01-03</v>
          </cell>
          <cell r="C44" t="str">
            <v>Sales Revenue-Appliate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B45" t="str">
            <v>PL01-04</v>
          </cell>
          <cell r="C45" t="str">
            <v>Sales Revenue-External (other)</v>
          </cell>
          <cell r="E45">
            <v>40.564955142857144</v>
          </cell>
          <cell r="F45">
            <v>96.733070440014757</v>
          </cell>
          <cell r="G45">
            <v>165.37854117417982</v>
          </cell>
          <cell r="H45">
            <v>281.65761094162167</v>
          </cell>
          <cell r="I45">
            <v>421.19249466255189</v>
          </cell>
          <cell r="J45">
            <v>572.35528536022628</v>
          </cell>
          <cell r="K45">
            <v>723.51807605790066</v>
          </cell>
          <cell r="L45">
            <v>886.3087737323192</v>
          </cell>
          <cell r="M45">
            <v>1049.0994714067378</v>
          </cell>
          <cell r="N45">
            <v>1223.5180760579005</v>
          </cell>
          <cell r="O45">
            <v>1421.1924946625518</v>
          </cell>
          <cell r="P45">
            <v>1642.1227272206913</v>
          </cell>
          <cell r="S45">
            <v>37.5</v>
          </cell>
          <cell r="T45">
            <v>97.5</v>
          </cell>
          <cell r="U45">
            <v>222.5</v>
          </cell>
          <cell r="V45">
            <v>347.5</v>
          </cell>
          <cell r="W45">
            <v>497.5</v>
          </cell>
          <cell r="X45">
            <v>660</v>
          </cell>
          <cell r="Y45">
            <v>822.5</v>
          </cell>
          <cell r="Z45">
            <v>997.5</v>
          </cell>
          <cell r="AA45">
            <v>1172.5</v>
          </cell>
          <cell r="AB45">
            <v>1360</v>
          </cell>
          <cell r="AC45">
            <v>1572.5</v>
          </cell>
          <cell r="AD45">
            <v>1810</v>
          </cell>
        </row>
        <row r="46">
          <cell r="C46" t="str">
            <v xml:space="preserve">Total Sales and Revenue </v>
          </cell>
          <cell r="E46">
            <v>40.564955142857144</v>
          </cell>
          <cell r="F46">
            <v>96.733070440014757</v>
          </cell>
          <cell r="G46">
            <v>165.37854117417982</v>
          </cell>
          <cell r="H46">
            <v>281.65761094162167</v>
          </cell>
          <cell r="I46">
            <v>421.19249466255189</v>
          </cell>
          <cell r="J46">
            <v>572.35528536022628</v>
          </cell>
          <cell r="K46">
            <v>723.51807605790066</v>
          </cell>
          <cell r="L46">
            <v>886.3087737323192</v>
          </cell>
          <cell r="M46">
            <v>1049.0994714067378</v>
          </cell>
          <cell r="N46">
            <v>1223.5180760579005</v>
          </cell>
          <cell r="O46">
            <v>1421.1924946625518</v>
          </cell>
          <cell r="P46">
            <v>1642.1227272206913</v>
          </cell>
          <cell r="S46">
            <v>37.5</v>
          </cell>
          <cell r="T46">
            <v>97.5</v>
          </cell>
          <cell r="U46">
            <v>222.5</v>
          </cell>
          <cell r="V46">
            <v>347.5</v>
          </cell>
          <cell r="W46">
            <v>497.5</v>
          </cell>
          <cell r="X46">
            <v>660</v>
          </cell>
          <cell r="Y46">
            <v>822.5</v>
          </cell>
          <cell r="Z46">
            <v>997.5</v>
          </cell>
          <cell r="AA46">
            <v>1172.5</v>
          </cell>
          <cell r="AB46">
            <v>1360</v>
          </cell>
          <cell r="AC46">
            <v>1572.5</v>
          </cell>
          <cell r="AD46">
            <v>1810</v>
          </cell>
        </row>
        <row r="47">
          <cell r="C47" t="str">
            <v>Cost of Goods Sold</v>
          </cell>
        </row>
        <row r="48">
          <cell r="B48" t="str">
            <v>PL02-01</v>
          </cell>
          <cell r="C48" t="str">
            <v>Cost of Goods - Inter Unit</v>
          </cell>
          <cell r="E48">
            <v>3.4233202116402115</v>
          </cell>
          <cell r="F48">
            <v>14.854411374430908</v>
          </cell>
          <cell r="G48">
            <v>26.74509131684934</v>
          </cell>
          <cell r="H48">
            <v>54.652068061035379</v>
          </cell>
          <cell r="I48">
            <v>86.279975037779565</v>
          </cell>
          <cell r="J48">
            <v>117.90788201452375</v>
          </cell>
          <cell r="K48">
            <v>149.53578899126794</v>
          </cell>
          <cell r="L48">
            <v>181.16369596801212</v>
          </cell>
          <cell r="M48">
            <v>212.79160294475631</v>
          </cell>
          <cell r="N48">
            <v>244.41950992150049</v>
          </cell>
          <cell r="O48">
            <v>276.04741689824471</v>
          </cell>
          <cell r="P48">
            <v>307.67532387498886</v>
          </cell>
          <cell r="S48">
            <v>31.5</v>
          </cell>
          <cell r="T48">
            <v>59.5</v>
          </cell>
          <cell r="U48">
            <v>97.217500000000001</v>
          </cell>
          <cell r="V48">
            <v>127.2175</v>
          </cell>
          <cell r="W48">
            <v>161.2175</v>
          </cell>
          <cell r="X48">
            <v>195.2175</v>
          </cell>
          <cell r="Y48">
            <v>229.2175</v>
          </cell>
          <cell r="Z48">
            <v>263.21749999999997</v>
          </cell>
          <cell r="AA48">
            <v>297.21749999999997</v>
          </cell>
          <cell r="AB48">
            <v>331.21749999999997</v>
          </cell>
          <cell r="AC48">
            <v>365.21749999999997</v>
          </cell>
          <cell r="AD48">
            <v>399.21749999999997</v>
          </cell>
        </row>
        <row r="49">
          <cell r="B49" t="str">
            <v>PL02-02</v>
          </cell>
          <cell r="C49" t="str">
            <v>Cost of Goods - Intercompany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B50" t="str">
            <v>PL02-03</v>
          </cell>
          <cell r="C50" t="str">
            <v>Cost of Goods - Appliate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B51" t="str">
            <v>PL02-04</v>
          </cell>
          <cell r="C51" t="str">
            <v>Cost of Goods - External (Other)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B52" t="str">
            <v>PL02-05</v>
          </cell>
          <cell r="C52" t="str">
            <v>Cost of Goods Sold (Non department and Internal related)</v>
          </cell>
          <cell r="E52">
            <v>23.869464285714287</v>
          </cell>
          <cell r="F52">
            <v>51.862795655223337</v>
          </cell>
          <cell r="G52">
            <v>85.78819623103908</v>
          </cell>
          <cell r="H52">
            <v>112.49010837574193</v>
          </cell>
          <cell r="I52">
            <v>150.11646496488922</v>
          </cell>
          <cell r="J52">
            <v>187.74282155403651</v>
          </cell>
          <cell r="K52">
            <v>225.36917814318377</v>
          </cell>
          <cell r="L52">
            <v>262.99553473233107</v>
          </cell>
          <cell r="M52">
            <v>300.62189132147836</v>
          </cell>
          <cell r="N52">
            <v>349.17269235507007</v>
          </cell>
          <cell r="O52">
            <v>397.72349338866178</v>
          </cell>
          <cell r="P52">
            <v>453.92287323362308</v>
          </cell>
          <cell r="S52">
            <v>11.088888888888889</v>
          </cell>
          <cell r="T52">
            <v>22.177777777777777</v>
          </cell>
          <cell r="U52">
            <v>50.882333333333335</v>
          </cell>
          <cell r="V52">
            <v>79.586888888888893</v>
          </cell>
          <cell r="W52">
            <v>120.03522222222222</v>
          </cell>
          <cell r="X52">
            <v>160.48355555555554</v>
          </cell>
          <cell r="Y52">
            <v>200.93188888888886</v>
          </cell>
          <cell r="Z52">
            <v>241.38022222222219</v>
          </cell>
          <cell r="AA52">
            <v>281.82855555555551</v>
          </cell>
          <cell r="AB52">
            <v>334.02066666666661</v>
          </cell>
          <cell r="AC52">
            <v>386.21277777777772</v>
          </cell>
          <cell r="AD52">
            <v>446.62711111111105</v>
          </cell>
        </row>
        <row r="53">
          <cell r="B53" t="str">
            <v>PL02-06</v>
          </cell>
          <cell r="C53" t="str">
            <v>Cost of Goods - Depreciation (Operating)</v>
          </cell>
          <cell r="E53">
            <v>0</v>
          </cell>
          <cell r="F53">
            <v>0</v>
          </cell>
          <cell r="G53">
            <v>0</v>
          </cell>
          <cell r="H53">
            <v>35.426356589147289</v>
          </cell>
          <cell r="I53">
            <v>70.852713178294579</v>
          </cell>
          <cell r="J53">
            <v>106.27906976744187</v>
          </cell>
          <cell r="K53">
            <v>141.70542635658916</v>
          </cell>
          <cell r="L53">
            <v>177.13178294573646</v>
          </cell>
          <cell r="M53">
            <v>212.55813953488376</v>
          </cell>
          <cell r="N53">
            <v>247.98449612403107</v>
          </cell>
          <cell r="O53">
            <v>283.41085271317837</v>
          </cell>
          <cell r="P53">
            <v>318.83720930232568</v>
          </cell>
          <cell r="S53">
            <v>2.0166666666666666</v>
          </cell>
          <cell r="T53">
            <v>6.15</v>
          </cell>
          <cell r="U53">
            <v>44.233333333333334</v>
          </cell>
          <cell r="V53">
            <v>82.316666666666663</v>
          </cell>
          <cell r="W53">
            <v>120.4</v>
          </cell>
          <cell r="X53">
            <v>158.48333333333335</v>
          </cell>
          <cell r="Y53">
            <v>196.56666666666669</v>
          </cell>
          <cell r="Z53">
            <v>234.65000000000003</v>
          </cell>
          <cell r="AA53">
            <v>272.73333333333335</v>
          </cell>
          <cell r="AB53">
            <v>310.81666666666666</v>
          </cell>
          <cell r="AC53">
            <v>348.9</v>
          </cell>
          <cell r="AD53">
            <v>386.98333333333329</v>
          </cell>
        </row>
        <row r="54">
          <cell r="C54" t="str">
            <v xml:space="preserve">Total Cost of Goods Sold </v>
          </cell>
          <cell r="E54">
            <v>27.292784497354496</v>
          </cell>
          <cell r="F54">
            <v>66.717207029654247</v>
          </cell>
          <cell r="G54">
            <v>112.53328754788842</v>
          </cell>
          <cell r="H54">
            <v>202.56853302592458</v>
          </cell>
          <cell r="I54">
            <v>307.24915318096339</v>
          </cell>
          <cell r="J54">
            <v>411.92977333600214</v>
          </cell>
          <cell r="K54">
            <v>516.6103934910409</v>
          </cell>
          <cell r="L54">
            <v>621.29101364607959</v>
          </cell>
          <cell r="M54">
            <v>725.97163380111851</v>
          </cell>
          <cell r="N54">
            <v>841.57669840060157</v>
          </cell>
          <cell r="O54">
            <v>957.18176300008486</v>
          </cell>
          <cell r="P54">
            <v>1080.4354064109375</v>
          </cell>
          <cell r="S54">
            <v>44.605555555555554</v>
          </cell>
          <cell r="T54">
            <v>87.827777777777783</v>
          </cell>
          <cell r="U54">
            <v>192.33316666666667</v>
          </cell>
          <cell r="V54">
            <v>289.12105555555559</v>
          </cell>
          <cell r="W54">
            <v>401.65272222222222</v>
          </cell>
          <cell r="X54">
            <v>514.18438888888886</v>
          </cell>
          <cell r="Y54">
            <v>626.71605555555561</v>
          </cell>
          <cell r="Z54">
            <v>739.24772222222214</v>
          </cell>
          <cell r="AA54">
            <v>851.77938888888889</v>
          </cell>
          <cell r="AB54">
            <v>976.05483333333314</v>
          </cell>
          <cell r="AC54">
            <v>1100.3302777777776</v>
          </cell>
          <cell r="AD54">
            <v>1232.8279444444443</v>
          </cell>
        </row>
        <row r="55">
          <cell r="C55" t="str">
            <v>Gross Profit</v>
          </cell>
          <cell r="E55">
            <v>13.272170645502648</v>
          </cell>
          <cell r="F55">
            <v>30.01586341036051</v>
          </cell>
          <cell r="G55">
            <v>52.845253626291395</v>
          </cell>
          <cell r="H55">
            <v>79.089077915697089</v>
          </cell>
          <cell r="I55">
            <v>113.9433414815885</v>
          </cell>
          <cell r="J55">
            <v>160.42551202422413</v>
          </cell>
          <cell r="K55">
            <v>206.90768256685976</v>
          </cell>
          <cell r="L55">
            <v>265.0177600862396</v>
          </cell>
          <cell r="M55">
            <v>323.12783760561933</v>
          </cell>
          <cell r="N55">
            <v>381.94137765729897</v>
          </cell>
          <cell r="O55">
            <v>464.01073166246692</v>
          </cell>
          <cell r="P55">
            <v>561.68732080975383</v>
          </cell>
          <cell r="S55">
            <v>-7.1055555555555543</v>
          </cell>
          <cell r="T55">
            <v>9.6722222222222172</v>
          </cell>
          <cell r="U55">
            <v>30.166833333333329</v>
          </cell>
          <cell r="V55">
            <v>58.378944444444414</v>
          </cell>
          <cell r="W55">
            <v>95.847277777777776</v>
          </cell>
          <cell r="X55">
            <v>145.81561111111114</v>
          </cell>
          <cell r="Y55">
            <v>195.78394444444439</v>
          </cell>
          <cell r="Z55">
            <v>258.25227777777786</v>
          </cell>
          <cell r="AA55">
            <v>320.72061111111111</v>
          </cell>
          <cell r="AB55">
            <v>383.94516666666686</v>
          </cell>
          <cell r="AC55">
            <v>472.16972222222239</v>
          </cell>
          <cell r="AD55">
            <v>577.17205555555574</v>
          </cell>
        </row>
        <row r="56">
          <cell r="C56" t="str">
            <v>Gross Profit/Sales %</v>
          </cell>
          <cell r="E56">
            <v>0.32718317076309328</v>
          </cell>
          <cell r="F56">
            <v>0.31029577861868529</v>
          </cell>
          <cell r="G56">
            <v>0.31954117657038572</v>
          </cell>
          <cell r="H56">
            <v>0.28079865355418943</v>
          </cell>
          <cell r="I56">
            <v>0.2705255742338829</v>
          </cell>
          <cell r="J56">
            <v>0.28029008576946446</v>
          </cell>
          <cell r="K56">
            <v>0.28597444820480428</v>
          </cell>
          <cell r="L56">
            <v>0.29901290378772627</v>
          </cell>
          <cell r="M56">
            <v>0.30800495702503511</v>
          </cell>
          <cell r="N56">
            <v>0.31216651811789364</v>
          </cell>
          <cell r="O56">
            <v>0.3264939361874703</v>
          </cell>
          <cell r="P56">
            <v>0.34204953838037128</v>
          </cell>
          <cell r="S56">
            <v>-0.18948148148148145</v>
          </cell>
          <cell r="T56">
            <v>9.9202279202279156E-2</v>
          </cell>
          <cell r="U56">
            <v>0.13558127340823969</v>
          </cell>
          <cell r="V56">
            <v>0.16799696243005588</v>
          </cell>
          <cell r="W56">
            <v>0.19265784477945283</v>
          </cell>
          <cell r="X56">
            <v>0.22093274410774416</v>
          </cell>
          <cell r="Y56">
            <v>0.23803519081391414</v>
          </cell>
          <cell r="Z56">
            <v>0.25889952659426352</v>
          </cell>
          <cell r="AA56">
            <v>0.27353570244018005</v>
          </cell>
          <cell r="AB56">
            <v>0.28231262254901973</v>
          </cell>
          <cell r="AC56">
            <v>0.30026691397279642</v>
          </cell>
          <cell r="AD56">
            <v>0.31887958870472694</v>
          </cell>
        </row>
        <row r="58">
          <cell r="C58" t="str">
            <v>Less : Operating Expenses</v>
          </cell>
        </row>
        <row r="59">
          <cell r="B59" t="str">
            <v>PL03-01</v>
          </cell>
          <cell r="C59" t="str">
            <v>G&amp;A Expenses (Excl. Depreciation)</v>
          </cell>
          <cell r="E59">
            <v>0.17989417989417988</v>
          </cell>
          <cell r="F59">
            <v>0.35560477420942538</v>
          </cell>
          <cell r="G59">
            <v>0.35560477420942538</v>
          </cell>
          <cell r="H59">
            <v>9.1979820351913375</v>
          </cell>
          <cell r="I59">
            <v>18.04035929617325</v>
          </cell>
          <cell r="J59">
            <v>26.882736557155162</v>
          </cell>
          <cell r="K59">
            <v>35.725113818137075</v>
          </cell>
          <cell r="L59">
            <v>44.567491079118987</v>
          </cell>
          <cell r="M59">
            <v>53.4098683401009</v>
          </cell>
          <cell r="N59">
            <v>62.252245601082812</v>
          </cell>
          <cell r="O59">
            <v>71.094622862064725</v>
          </cell>
          <cell r="P59">
            <v>82.520979451212014</v>
          </cell>
          <cell r="S59">
            <v>9.5055555555555564</v>
          </cell>
          <cell r="T59">
            <v>19.011111111111113</v>
          </cell>
          <cell r="U59">
            <v>28.516666666666669</v>
          </cell>
          <cell r="V59">
            <v>38.022222222222226</v>
          </cell>
          <cell r="W59">
            <v>47.527777777777786</v>
          </cell>
          <cell r="X59">
            <v>57.033333333333346</v>
          </cell>
          <cell r="Y59">
            <v>66.538888888888906</v>
          </cell>
          <cell r="Z59">
            <v>76.044444444444466</v>
          </cell>
          <cell r="AA59">
            <v>85.550000000000026</v>
          </cell>
          <cell r="AB59">
            <v>95.055555555555586</v>
          </cell>
          <cell r="AC59">
            <v>104.56111111111115</v>
          </cell>
          <cell r="AD59">
            <v>116.84444444444448</v>
          </cell>
        </row>
        <row r="60">
          <cell r="B60" t="str">
            <v>PL03-02</v>
          </cell>
          <cell r="C60" t="str">
            <v>Depreciation (G&amp;A)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2">
          <cell r="B62" t="str">
            <v>PL04</v>
          </cell>
          <cell r="C62" t="str">
            <v>Head Office expense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Total Operating Expenses</v>
          </cell>
          <cell r="E63">
            <v>0.17989417989417988</v>
          </cell>
          <cell r="F63">
            <v>0.35560477420942538</v>
          </cell>
          <cell r="G63">
            <v>0.35560477420942538</v>
          </cell>
          <cell r="H63">
            <v>9.1979820351913375</v>
          </cell>
          <cell r="I63">
            <v>18.04035929617325</v>
          </cell>
          <cell r="J63">
            <v>26.882736557155162</v>
          </cell>
          <cell r="K63">
            <v>35.725113818137075</v>
          </cell>
          <cell r="L63">
            <v>44.567491079118987</v>
          </cell>
          <cell r="M63">
            <v>53.4098683401009</v>
          </cell>
          <cell r="N63">
            <v>62.252245601082812</v>
          </cell>
          <cell r="O63">
            <v>71.094622862064725</v>
          </cell>
          <cell r="P63">
            <v>82.520979451212014</v>
          </cell>
          <cell r="S63">
            <v>9.5055555555555564</v>
          </cell>
          <cell r="T63">
            <v>19.011111111111113</v>
          </cell>
          <cell r="U63">
            <v>28.516666666666669</v>
          </cell>
          <cell r="V63">
            <v>38.022222222222226</v>
          </cell>
          <cell r="W63">
            <v>47.527777777777786</v>
          </cell>
          <cell r="X63">
            <v>57.033333333333346</v>
          </cell>
          <cell r="Y63">
            <v>66.538888888888906</v>
          </cell>
          <cell r="Z63">
            <v>76.044444444444466</v>
          </cell>
          <cell r="AA63">
            <v>85.550000000000026</v>
          </cell>
          <cell r="AB63">
            <v>95.055555555555586</v>
          </cell>
          <cell r="AC63">
            <v>104.56111111111115</v>
          </cell>
          <cell r="AD63">
            <v>116.84444444444448</v>
          </cell>
        </row>
        <row r="64">
          <cell r="C64" t="str">
            <v>Operating Income before Interest &amp; Tax</v>
          </cell>
          <cell r="E64">
            <v>13.092276465608467</v>
          </cell>
          <cell r="F64">
            <v>29.660258636151084</v>
          </cell>
          <cell r="G64">
            <v>52.48964885208197</v>
          </cell>
          <cell r="H64">
            <v>69.891095880505759</v>
          </cell>
          <cell r="I64">
            <v>95.902982185415254</v>
          </cell>
          <cell r="J64">
            <v>133.54277546706896</v>
          </cell>
          <cell r="K64">
            <v>171.1825687487227</v>
          </cell>
          <cell r="L64">
            <v>220.45026900712062</v>
          </cell>
          <cell r="M64">
            <v>269.71796926551843</v>
          </cell>
          <cell r="N64">
            <v>319.68913205621618</v>
          </cell>
          <cell r="O64">
            <v>392.91610880040218</v>
          </cell>
          <cell r="P64">
            <v>479.16634135854179</v>
          </cell>
          <cell r="S64">
            <v>-16.611111111111111</v>
          </cell>
          <cell r="T64">
            <v>-9.3388888888888957</v>
          </cell>
          <cell r="U64">
            <v>1.6501666666666601</v>
          </cell>
          <cell r="V64">
            <v>20.356722222222189</v>
          </cell>
          <cell r="W64">
            <v>48.319499999999991</v>
          </cell>
          <cell r="X64">
            <v>88.782277777777793</v>
          </cell>
          <cell r="Y64">
            <v>129.2450555555555</v>
          </cell>
          <cell r="Z64">
            <v>182.20783333333338</v>
          </cell>
          <cell r="AA64">
            <v>235.1706111111111</v>
          </cell>
          <cell r="AB64">
            <v>288.88961111111126</v>
          </cell>
          <cell r="AC64">
            <v>367.60861111111126</v>
          </cell>
          <cell r="AD64">
            <v>460.32761111111125</v>
          </cell>
        </row>
        <row r="66">
          <cell r="B66" t="str">
            <v>PL05</v>
          </cell>
          <cell r="C66" t="str">
            <v>Add: Other Income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8">
          <cell r="B68" t="str">
            <v>PL06</v>
          </cell>
          <cell r="C68" t="str">
            <v>Add: Share of JO's interest (Profit Distribution)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70">
          <cell r="C70" t="str">
            <v>EBIT (Eaning Before Interest &amp; Tax)</v>
          </cell>
          <cell r="E70">
            <v>13.092276465608467</v>
          </cell>
          <cell r="F70">
            <v>29.660258636151084</v>
          </cell>
          <cell r="G70">
            <v>52.48964885208197</v>
          </cell>
          <cell r="H70">
            <v>69.891095880505759</v>
          </cell>
          <cell r="I70">
            <v>95.902982185415254</v>
          </cell>
          <cell r="J70">
            <v>133.54277546706896</v>
          </cell>
          <cell r="K70">
            <v>171.1825687487227</v>
          </cell>
          <cell r="L70">
            <v>220.45026900712062</v>
          </cell>
          <cell r="M70">
            <v>269.71796926551843</v>
          </cell>
          <cell r="N70">
            <v>319.68913205621618</v>
          </cell>
          <cell r="O70">
            <v>392.91610880040218</v>
          </cell>
          <cell r="P70">
            <v>479.16634135854179</v>
          </cell>
          <cell r="S70">
            <v>-16.611111111111111</v>
          </cell>
          <cell r="T70">
            <v>-9.3388888888888957</v>
          </cell>
          <cell r="U70">
            <v>1.6501666666666601</v>
          </cell>
          <cell r="V70">
            <v>20.356722222222189</v>
          </cell>
          <cell r="W70">
            <v>48.319499999999991</v>
          </cell>
          <cell r="X70">
            <v>88.782277777777793</v>
          </cell>
          <cell r="Y70">
            <v>129.2450555555555</v>
          </cell>
          <cell r="Z70">
            <v>182.20783333333338</v>
          </cell>
          <cell r="AA70">
            <v>235.1706111111111</v>
          </cell>
          <cell r="AB70">
            <v>288.88961111111126</v>
          </cell>
          <cell r="AC70">
            <v>367.60861111111126</v>
          </cell>
          <cell r="AD70">
            <v>460.32761111111125</v>
          </cell>
        </row>
        <row r="72">
          <cell r="B72" t="str">
            <v>PL07</v>
          </cell>
          <cell r="C72" t="str">
            <v>Less:Financial Expense (net)</v>
          </cell>
          <cell r="E72">
            <v>7.7634973544973535E-2</v>
          </cell>
          <cell r="F72">
            <v>7.790846191706656E-2</v>
          </cell>
          <cell r="G72">
            <v>0.32617582276159635</v>
          </cell>
          <cell r="H72">
            <v>0.32617582276159635</v>
          </cell>
          <cell r="I72">
            <v>0.32617582276159635</v>
          </cell>
          <cell r="J72">
            <v>0.32617582276159635</v>
          </cell>
          <cell r="K72">
            <v>0.32617582276159635</v>
          </cell>
          <cell r="L72">
            <v>0.32617582276159635</v>
          </cell>
          <cell r="M72">
            <v>0.32617582276159635</v>
          </cell>
          <cell r="N72">
            <v>0.32617582276159635</v>
          </cell>
          <cell r="O72">
            <v>0.32617582276159635</v>
          </cell>
          <cell r="P72">
            <v>0.32617582276159635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4">
          <cell r="B74" t="str">
            <v>PL08</v>
          </cell>
          <cell r="C74" t="str">
            <v>Less:Loss on forex exch</v>
          </cell>
          <cell r="E74">
            <v>-0.19800603174603174</v>
          </cell>
          <cell r="F74">
            <v>-0.16642845551864155</v>
          </cell>
          <cell r="G74">
            <v>-2.4567648211616357</v>
          </cell>
          <cell r="H74">
            <v>-2.4567648211616357</v>
          </cell>
          <cell r="I74">
            <v>-2.4567648211616357</v>
          </cell>
          <cell r="J74">
            <v>-2.4567648211616357</v>
          </cell>
          <cell r="K74">
            <v>-2.4567648211616357</v>
          </cell>
          <cell r="L74">
            <v>-2.4567648211616357</v>
          </cell>
          <cell r="M74">
            <v>-2.4567648211616357</v>
          </cell>
          <cell r="N74">
            <v>-2.4567648211616357</v>
          </cell>
          <cell r="O74">
            <v>-2.4567648211616357</v>
          </cell>
          <cell r="P74">
            <v>-2.4567648211616357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6">
          <cell r="C76" t="str">
            <v>Profit Before Tax</v>
          </cell>
          <cell r="E76">
            <v>13.212647523809524</v>
          </cell>
          <cell r="F76">
            <v>29.74877862975266</v>
          </cell>
          <cell r="G76">
            <v>54.620237850482006</v>
          </cell>
          <cell r="H76">
            <v>72.021684878905802</v>
          </cell>
          <cell r="I76">
            <v>98.033571183815297</v>
          </cell>
          <cell r="J76">
            <v>135.67336446546901</v>
          </cell>
          <cell r="K76">
            <v>173.31315774712274</v>
          </cell>
          <cell r="L76">
            <v>222.58085800552067</v>
          </cell>
          <cell r="M76">
            <v>271.84855826391851</v>
          </cell>
          <cell r="N76">
            <v>321.81972105461625</v>
          </cell>
          <cell r="O76">
            <v>395.04669779880226</v>
          </cell>
          <cell r="P76">
            <v>481.29693035694186</v>
          </cell>
          <cell r="S76">
            <v>-16.611111111111111</v>
          </cell>
          <cell r="T76">
            <v>-9.3388888888888957</v>
          </cell>
          <cell r="U76">
            <v>1.6501666666666601</v>
          </cell>
          <cell r="V76">
            <v>20.356722222222189</v>
          </cell>
          <cell r="W76">
            <v>48.319499999999991</v>
          </cell>
          <cell r="X76">
            <v>88.782277777777793</v>
          </cell>
          <cell r="Y76">
            <v>129.2450555555555</v>
          </cell>
          <cell r="Z76">
            <v>182.20783333333338</v>
          </cell>
          <cell r="AA76">
            <v>235.1706111111111</v>
          </cell>
          <cell r="AB76">
            <v>288.88961111111126</v>
          </cell>
          <cell r="AC76">
            <v>367.60861111111126</v>
          </cell>
          <cell r="AD76">
            <v>460.32761111111125</v>
          </cell>
        </row>
        <row r="78">
          <cell r="B78" t="str">
            <v>PL09</v>
          </cell>
          <cell r="C78" t="str">
            <v>Less:Taxation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80">
          <cell r="C80" t="str">
            <v>Current Year Profit/(Loss) after tax</v>
          </cell>
          <cell r="E80">
            <v>13.212647523809524</v>
          </cell>
          <cell r="F80">
            <v>29.74877862975266</v>
          </cell>
          <cell r="G80">
            <v>54.620237850482006</v>
          </cell>
          <cell r="H80">
            <v>72.021684878905802</v>
          </cell>
          <cell r="I80">
            <v>98.033571183815297</v>
          </cell>
          <cell r="J80">
            <v>135.67336446546901</v>
          </cell>
          <cell r="K80">
            <v>173.31315774712274</v>
          </cell>
          <cell r="L80">
            <v>222.58085800552067</v>
          </cell>
          <cell r="M80">
            <v>271.84855826391851</v>
          </cell>
          <cell r="N80">
            <v>321.81972105461625</v>
          </cell>
          <cell r="O80">
            <v>395.04669779880226</v>
          </cell>
          <cell r="P80">
            <v>481.29693035694186</v>
          </cell>
          <cell r="S80">
            <v>-16.611111111111111</v>
          </cell>
          <cell r="T80">
            <v>-9.3388888888888957</v>
          </cell>
          <cell r="U80">
            <v>1.6501666666666601</v>
          </cell>
          <cell r="V80">
            <v>20.356722222222189</v>
          </cell>
          <cell r="W80">
            <v>48.319499999999991</v>
          </cell>
          <cell r="X80">
            <v>88.782277777777793</v>
          </cell>
          <cell r="Y80">
            <v>129.2450555555555</v>
          </cell>
          <cell r="Z80">
            <v>182.20783333333338</v>
          </cell>
          <cell r="AA80">
            <v>235.1706111111111</v>
          </cell>
          <cell r="AB80">
            <v>288.88961111111126</v>
          </cell>
          <cell r="AC80">
            <v>367.60861111111126</v>
          </cell>
          <cell r="AD80">
            <v>460.32761111111125</v>
          </cell>
        </row>
      </sheetData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MR"/>
      <sheetName val="IDR_Move(1)"/>
      <sheetName val="IDR_YTD(2)"/>
      <sheetName val="IDRt_FS(3)"/>
      <sheetName val="USDt_FS(4)"/>
      <sheetName val="RpBgt_Move(5)"/>
      <sheetName val="RpBgt_YTD(6)"/>
    </sheetNames>
    <sheetDataSet>
      <sheetData sheetId="0" refreshError="1">
        <row r="3">
          <cell r="A3">
            <v>1</v>
          </cell>
          <cell r="B3">
            <v>36892</v>
          </cell>
          <cell r="C3" t="str">
            <v>YTD0001</v>
          </cell>
          <cell r="D3">
            <v>36892</v>
          </cell>
        </row>
        <row r="4">
          <cell r="A4">
            <v>2</v>
          </cell>
          <cell r="B4">
            <v>36923</v>
          </cell>
          <cell r="C4" t="str">
            <v>YTD0002</v>
          </cell>
          <cell r="D4">
            <v>36923</v>
          </cell>
        </row>
        <row r="5">
          <cell r="A5">
            <v>3</v>
          </cell>
          <cell r="B5">
            <v>36951</v>
          </cell>
          <cell r="C5" t="str">
            <v>YTD0003</v>
          </cell>
          <cell r="D5">
            <v>36951</v>
          </cell>
        </row>
        <row r="6">
          <cell r="A6">
            <v>4</v>
          </cell>
          <cell r="B6">
            <v>36982</v>
          </cell>
          <cell r="C6" t="str">
            <v>YTD0004</v>
          </cell>
          <cell r="D6">
            <v>36982</v>
          </cell>
        </row>
        <row r="7">
          <cell r="A7">
            <v>5</v>
          </cell>
          <cell r="B7">
            <v>37012</v>
          </cell>
          <cell r="C7" t="str">
            <v>YTD0005</v>
          </cell>
          <cell r="D7">
            <v>37012</v>
          </cell>
        </row>
        <row r="8">
          <cell r="A8">
            <v>6</v>
          </cell>
          <cell r="B8">
            <v>37043</v>
          </cell>
          <cell r="C8" t="str">
            <v>YTD0006</v>
          </cell>
          <cell r="D8">
            <v>37043</v>
          </cell>
        </row>
        <row r="9">
          <cell r="A9">
            <v>7</v>
          </cell>
          <cell r="B9">
            <v>37073</v>
          </cell>
          <cell r="C9" t="str">
            <v>YTD0007</v>
          </cell>
          <cell r="D9">
            <v>37073</v>
          </cell>
        </row>
        <row r="10">
          <cell r="A10">
            <v>8</v>
          </cell>
          <cell r="B10">
            <v>37104</v>
          </cell>
          <cell r="C10" t="str">
            <v>YTD0008</v>
          </cell>
          <cell r="D10">
            <v>37104</v>
          </cell>
        </row>
        <row r="11">
          <cell r="A11">
            <v>9</v>
          </cell>
          <cell r="B11">
            <v>37135</v>
          </cell>
          <cell r="C11" t="str">
            <v>YTD0009</v>
          </cell>
          <cell r="D11">
            <v>37135</v>
          </cell>
        </row>
        <row r="12">
          <cell r="A12">
            <v>10</v>
          </cell>
          <cell r="B12">
            <v>37165</v>
          </cell>
          <cell r="C12" t="str">
            <v>YTD0010</v>
          </cell>
          <cell r="D12">
            <v>37165</v>
          </cell>
        </row>
        <row r="13">
          <cell r="A13">
            <v>11</v>
          </cell>
          <cell r="B13">
            <v>37196</v>
          </cell>
          <cell r="C13" t="str">
            <v>YTD0011</v>
          </cell>
          <cell r="D13">
            <v>37196</v>
          </cell>
        </row>
        <row r="14">
          <cell r="A14">
            <v>12</v>
          </cell>
          <cell r="B14">
            <v>37226</v>
          </cell>
          <cell r="C14" t="str">
            <v>YTD0012</v>
          </cell>
          <cell r="D14">
            <v>37226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40">
          <cell r="B40" t="str">
            <v>Profit &amp; Loss Year To Date</v>
          </cell>
          <cell r="D40" t="str">
            <v>OB-01</v>
          </cell>
          <cell r="E40">
            <v>36892</v>
          </cell>
          <cell r="F40">
            <v>36923</v>
          </cell>
          <cell r="G40">
            <v>36951</v>
          </cell>
          <cell r="H40">
            <v>36982</v>
          </cell>
          <cell r="I40">
            <v>37012</v>
          </cell>
          <cell r="J40">
            <v>37043</v>
          </cell>
          <cell r="K40">
            <v>37073</v>
          </cell>
          <cell r="L40">
            <v>37104</v>
          </cell>
          <cell r="M40">
            <v>37135</v>
          </cell>
          <cell r="N40">
            <v>37165</v>
          </cell>
          <cell r="O40">
            <v>37196</v>
          </cell>
          <cell r="P40">
            <v>37226</v>
          </cell>
          <cell r="S40">
            <v>36892</v>
          </cell>
          <cell r="T40">
            <v>36923</v>
          </cell>
          <cell r="U40">
            <v>36951</v>
          </cell>
          <cell r="V40">
            <v>36982</v>
          </cell>
          <cell r="W40">
            <v>37012</v>
          </cell>
          <cell r="X40">
            <v>37043</v>
          </cell>
          <cell r="Y40">
            <v>37073</v>
          </cell>
          <cell r="Z40">
            <v>37104</v>
          </cell>
          <cell r="AA40">
            <v>37135</v>
          </cell>
          <cell r="AB40">
            <v>37165</v>
          </cell>
          <cell r="AC40">
            <v>37196</v>
          </cell>
          <cell r="AD40">
            <v>37226</v>
          </cell>
        </row>
        <row r="41">
          <cell r="C41" t="str">
            <v>Sales Revenue:</v>
          </cell>
        </row>
        <row r="42">
          <cell r="B42" t="str">
            <v>PL01-01</v>
          </cell>
          <cell r="C42" t="str">
            <v>Sales Revenue-Interunit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B43" t="str">
            <v>PL01-02</v>
          </cell>
          <cell r="C43" t="str">
            <v>Sales Revenue-Intercompany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B44" t="str">
            <v>PL01-03</v>
          </cell>
          <cell r="C44" t="str">
            <v>Sales Revenue-Appliate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B45" t="str">
            <v>PL01-04</v>
          </cell>
          <cell r="C45" t="str">
            <v>Sales Revenue-External (other)</v>
          </cell>
          <cell r="E45">
            <v>40.564955142857144</v>
          </cell>
          <cell r="F45">
            <v>96.733070440014757</v>
          </cell>
          <cell r="G45">
            <v>165.37854117417982</v>
          </cell>
          <cell r="H45">
            <v>375.74787213251682</v>
          </cell>
          <cell r="I45">
            <v>594.38661900204283</v>
          </cell>
          <cell r="J45">
            <v>812.61680559694605</v>
          </cell>
          <cell r="K45">
            <v>812.61680559694605</v>
          </cell>
          <cell r="L45">
            <v>812.61680559694605</v>
          </cell>
          <cell r="M45">
            <v>812.61680559694605</v>
          </cell>
          <cell r="N45">
            <v>812.61680559694605</v>
          </cell>
          <cell r="O45">
            <v>812.61680559694605</v>
          </cell>
          <cell r="P45">
            <v>812.61680559694605</v>
          </cell>
          <cell r="S45">
            <v>37.5</v>
          </cell>
          <cell r="T45">
            <v>97.5</v>
          </cell>
          <cell r="U45">
            <v>222.5</v>
          </cell>
          <cell r="V45">
            <v>347.5</v>
          </cell>
          <cell r="W45">
            <v>497.5</v>
          </cell>
          <cell r="X45">
            <v>660</v>
          </cell>
          <cell r="Y45">
            <v>822.5</v>
          </cell>
          <cell r="Z45">
            <v>997.5</v>
          </cell>
          <cell r="AA45">
            <v>1172.5</v>
          </cell>
          <cell r="AB45">
            <v>1360</v>
          </cell>
          <cell r="AC45">
            <v>1572.5</v>
          </cell>
          <cell r="AD45">
            <v>1810</v>
          </cell>
        </row>
        <row r="46">
          <cell r="C46" t="str">
            <v xml:space="preserve">Total Sales and Revenue </v>
          </cell>
          <cell r="E46">
            <v>40.564955142857144</v>
          </cell>
          <cell r="F46">
            <v>96.733070440014757</v>
          </cell>
          <cell r="G46">
            <v>165.37854117417982</v>
          </cell>
          <cell r="H46">
            <v>375.74787213251682</v>
          </cell>
          <cell r="I46">
            <v>594.38661900204283</v>
          </cell>
          <cell r="J46">
            <v>812.61680559694605</v>
          </cell>
          <cell r="K46">
            <v>812.61680559694605</v>
          </cell>
          <cell r="L46">
            <v>812.61680559694605</v>
          </cell>
          <cell r="M46">
            <v>812.61680559694605</v>
          </cell>
          <cell r="N46">
            <v>812.61680559694605</v>
          </cell>
          <cell r="O46">
            <v>812.61680559694605</v>
          </cell>
          <cell r="P46">
            <v>812.61680559694605</v>
          </cell>
          <cell r="S46">
            <v>37.5</v>
          </cell>
          <cell r="T46">
            <v>97.5</v>
          </cell>
          <cell r="U46">
            <v>222.5</v>
          </cell>
          <cell r="V46">
            <v>347.5</v>
          </cell>
          <cell r="W46">
            <v>497.5</v>
          </cell>
          <cell r="X46">
            <v>660</v>
          </cell>
          <cell r="Y46">
            <v>822.5</v>
          </cell>
          <cell r="Z46">
            <v>997.5</v>
          </cell>
          <cell r="AA46">
            <v>1172.5</v>
          </cell>
          <cell r="AB46">
            <v>1360</v>
          </cell>
          <cell r="AC46">
            <v>1572.5</v>
          </cell>
          <cell r="AD46">
            <v>1810</v>
          </cell>
        </row>
        <row r="47">
          <cell r="C47" t="str">
            <v>Cost of Goods Sold</v>
          </cell>
        </row>
        <row r="48">
          <cell r="B48" t="str">
            <v>PL02-01</v>
          </cell>
          <cell r="C48" t="str">
            <v>Cost of Goods - Inter Unit</v>
          </cell>
          <cell r="E48">
            <v>3.4233202116402115</v>
          </cell>
          <cell r="F48">
            <v>14.854411374430908</v>
          </cell>
          <cell r="G48">
            <v>26.74509131684934</v>
          </cell>
          <cell r="H48">
            <v>43.885561514382331</v>
          </cell>
          <cell r="I48">
            <v>80.082709667881204</v>
          </cell>
          <cell r="J48">
            <v>92.83122583044711</v>
          </cell>
          <cell r="K48">
            <v>92.83122583044711</v>
          </cell>
          <cell r="L48">
            <v>92.83122583044711</v>
          </cell>
          <cell r="M48">
            <v>92.83122583044711</v>
          </cell>
          <cell r="N48">
            <v>92.83122583044711</v>
          </cell>
          <cell r="O48">
            <v>92.83122583044711</v>
          </cell>
          <cell r="P48">
            <v>92.83122583044711</v>
          </cell>
          <cell r="S48">
            <v>31.5</v>
          </cell>
          <cell r="T48">
            <v>59.5</v>
          </cell>
          <cell r="U48">
            <v>97.217500000000001</v>
          </cell>
          <cell r="V48">
            <v>127.2175</v>
          </cell>
          <cell r="W48">
            <v>161.2175</v>
          </cell>
          <cell r="X48">
            <v>195.2175</v>
          </cell>
          <cell r="Y48">
            <v>229.2175</v>
          </cell>
          <cell r="Z48">
            <v>263.21749999999997</v>
          </cell>
          <cell r="AA48">
            <v>297.21749999999997</v>
          </cell>
          <cell r="AB48">
            <v>331.21749999999997</v>
          </cell>
          <cell r="AC48">
            <v>365.21749999999997</v>
          </cell>
          <cell r="AD48">
            <v>399.21749999999997</v>
          </cell>
        </row>
        <row r="49">
          <cell r="B49" t="str">
            <v>PL02-02</v>
          </cell>
          <cell r="C49" t="str">
            <v>Cost of Goods - Intercompany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B50" t="str">
            <v>PL02-03</v>
          </cell>
          <cell r="C50" t="str">
            <v>Cost of Goods - Appliate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B51" t="str">
            <v>PL02-04</v>
          </cell>
          <cell r="C51" t="str">
            <v>Cost of Goods - External (Other)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B52" t="str">
            <v>PL02-05</v>
          </cell>
          <cell r="C52" t="str">
            <v>Cost of Goods Sold (Non department and Internal related)</v>
          </cell>
          <cell r="E52">
            <v>23.869464285714287</v>
          </cell>
          <cell r="F52">
            <v>51.862795655223337</v>
          </cell>
          <cell r="G52">
            <v>85.78819623103908</v>
          </cell>
          <cell r="H52">
            <v>134.08710312744205</v>
          </cell>
          <cell r="I52">
            <v>239.93199015317569</v>
          </cell>
          <cell r="J52">
            <v>401.19561878937964</v>
          </cell>
          <cell r="K52">
            <v>401.19561878937964</v>
          </cell>
          <cell r="L52">
            <v>401.19561878937964</v>
          </cell>
          <cell r="M52">
            <v>401.19561878937964</v>
          </cell>
          <cell r="N52">
            <v>401.19561878937964</v>
          </cell>
          <cell r="O52">
            <v>401.19561878937964</v>
          </cell>
          <cell r="P52">
            <v>401.19561878937964</v>
          </cell>
          <cell r="S52">
            <v>11.088888888888889</v>
          </cell>
          <cell r="T52">
            <v>22.177777777777777</v>
          </cell>
          <cell r="U52">
            <v>50.882333333333335</v>
          </cell>
          <cell r="V52">
            <v>79.586888888888893</v>
          </cell>
          <cell r="W52">
            <v>120.03522222222222</v>
          </cell>
          <cell r="X52">
            <v>160.48355555555554</v>
          </cell>
          <cell r="Y52">
            <v>200.93188888888886</v>
          </cell>
          <cell r="Z52">
            <v>241.38022222222219</v>
          </cell>
          <cell r="AA52">
            <v>281.82855555555551</v>
          </cell>
          <cell r="AB52">
            <v>334.02066666666661</v>
          </cell>
          <cell r="AC52">
            <v>386.21277777777772</v>
          </cell>
          <cell r="AD52">
            <v>446.62711111111105</v>
          </cell>
        </row>
        <row r="53">
          <cell r="B53" t="str">
            <v>PL02-06</v>
          </cell>
          <cell r="C53" t="str">
            <v>Cost of Goods - Depreciation (Operating)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24.853886819859401</v>
          </cell>
          <cell r="K53">
            <v>24.853886819859401</v>
          </cell>
          <cell r="L53">
            <v>24.853886819859401</v>
          </cell>
          <cell r="M53">
            <v>24.853886819859401</v>
          </cell>
          <cell r="N53">
            <v>24.853886819859401</v>
          </cell>
          <cell r="O53">
            <v>24.853886819859401</v>
          </cell>
          <cell r="P53">
            <v>24.853886819859401</v>
          </cell>
          <cell r="S53">
            <v>2.0166666666666666</v>
          </cell>
          <cell r="T53">
            <v>6.15</v>
          </cell>
          <cell r="U53">
            <v>44.233333333333334</v>
          </cell>
          <cell r="V53">
            <v>82.316666666666663</v>
          </cell>
          <cell r="W53">
            <v>120.4</v>
          </cell>
          <cell r="X53">
            <v>158.48333333333335</v>
          </cell>
          <cell r="Y53">
            <v>196.56666666666669</v>
          </cell>
          <cell r="Z53">
            <v>234.65000000000003</v>
          </cell>
          <cell r="AA53">
            <v>272.73333333333335</v>
          </cell>
          <cell r="AB53">
            <v>310.81666666666666</v>
          </cell>
          <cell r="AC53">
            <v>348.9</v>
          </cell>
          <cell r="AD53">
            <v>386.98333333333329</v>
          </cell>
        </row>
        <row r="54">
          <cell r="C54" t="str">
            <v xml:space="preserve">Total Cost of Goods Sold </v>
          </cell>
          <cell r="E54">
            <v>27.292784497354496</v>
          </cell>
          <cell r="F54">
            <v>66.717207029654247</v>
          </cell>
          <cell r="G54">
            <v>112.53328754788842</v>
          </cell>
          <cell r="H54">
            <v>177.97266464182439</v>
          </cell>
          <cell r="I54">
            <v>320.01469982105687</v>
          </cell>
          <cell r="J54">
            <v>518.8807314396862</v>
          </cell>
          <cell r="K54">
            <v>518.8807314396862</v>
          </cell>
          <cell r="L54">
            <v>518.8807314396862</v>
          </cell>
          <cell r="M54">
            <v>518.8807314396862</v>
          </cell>
          <cell r="N54">
            <v>518.8807314396862</v>
          </cell>
          <cell r="O54">
            <v>518.8807314396862</v>
          </cell>
          <cell r="P54">
            <v>518.8807314396862</v>
          </cell>
          <cell r="S54">
            <v>44.605555555555554</v>
          </cell>
          <cell r="T54">
            <v>87.827777777777783</v>
          </cell>
          <cell r="U54">
            <v>192.33316666666667</v>
          </cell>
          <cell r="V54">
            <v>289.12105555555559</v>
          </cell>
          <cell r="W54">
            <v>401.65272222222222</v>
          </cell>
          <cell r="X54">
            <v>514.18438888888886</v>
          </cell>
          <cell r="Y54">
            <v>626.71605555555561</v>
          </cell>
          <cell r="Z54">
            <v>739.24772222222214</v>
          </cell>
          <cell r="AA54">
            <v>851.77938888888889</v>
          </cell>
          <cell r="AB54">
            <v>976.05483333333314</v>
          </cell>
          <cell r="AC54">
            <v>1100.3302777777776</v>
          </cell>
          <cell r="AD54">
            <v>1232.8279444444443</v>
          </cell>
        </row>
        <row r="55">
          <cell r="C55" t="str">
            <v>Gross Profit</v>
          </cell>
          <cell r="E55">
            <v>13.272170645502648</v>
          </cell>
          <cell r="F55">
            <v>30.01586341036051</v>
          </cell>
          <cell r="G55">
            <v>52.845253626291395</v>
          </cell>
          <cell r="H55">
            <v>197.77520749069242</v>
          </cell>
          <cell r="I55">
            <v>274.37191918098597</v>
          </cell>
          <cell r="J55">
            <v>293.73607415725985</v>
          </cell>
          <cell r="K55">
            <v>293.73607415725985</v>
          </cell>
          <cell r="L55">
            <v>293.73607415725985</v>
          </cell>
          <cell r="M55">
            <v>293.73607415725985</v>
          </cell>
          <cell r="N55">
            <v>293.73607415725985</v>
          </cell>
          <cell r="O55">
            <v>293.73607415725985</v>
          </cell>
          <cell r="P55">
            <v>293.73607415725985</v>
          </cell>
          <cell r="S55">
            <v>-7.1055555555555543</v>
          </cell>
          <cell r="T55">
            <v>9.6722222222222172</v>
          </cell>
          <cell r="U55">
            <v>30.166833333333329</v>
          </cell>
          <cell r="V55">
            <v>58.378944444444414</v>
          </cell>
          <cell r="W55">
            <v>95.847277777777776</v>
          </cell>
          <cell r="X55">
            <v>145.81561111111114</v>
          </cell>
          <cell r="Y55">
            <v>195.78394444444439</v>
          </cell>
          <cell r="Z55">
            <v>258.25227777777786</v>
          </cell>
          <cell r="AA55">
            <v>320.72061111111111</v>
          </cell>
          <cell r="AB55">
            <v>383.94516666666686</v>
          </cell>
          <cell r="AC55">
            <v>472.16972222222239</v>
          </cell>
          <cell r="AD55">
            <v>577.17205555555574</v>
          </cell>
        </row>
        <row r="56">
          <cell r="C56" t="str">
            <v>Gross Profit/Sales %</v>
          </cell>
          <cell r="E56">
            <v>0.32718317076309328</v>
          </cell>
          <cell r="F56">
            <v>0.31029577861868529</v>
          </cell>
          <cell r="G56">
            <v>0.31954117657038572</v>
          </cell>
          <cell r="H56">
            <v>0.52635083831144647</v>
          </cell>
          <cell r="I56">
            <v>0.46160514118175833</v>
          </cell>
          <cell r="J56">
            <v>0.36146935693937826</v>
          </cell>
          <cell r="K56">
            <v>0.36146935693937826</v>
          </cell>
          <cell r="L56">
            <v>0.36146935693937826</v>
          </cell>
          <cell r="M56">
            <v>0.36146935693937826</v>
          </cell>
          <cell r="N56">
            <v>0.36146935693937826</v>
          </cell>
          <cell r="O56">
            <v>0.36146935693937826</v>
          </cell>
          <cell r="P56">
            <v>0.36146935693937826</v>
          </cell>
          <cell r="S56">
            <v>-0.18948148148148145</v>
          </cell>
          <cell r="T56">
            <v>9.9202279202279156E-2</v>
          </cell>
          <cell r="U56">
            <v>0.13558127340823969</v>
          </cell>
          <cell r="V56">
            <v>0.16799696243005588</v>
          </cell>
          <cell r="W56">
            <v>0.19265784477945283</v>
          </cell>
          <cell r="X56">
            <v>0.22093274410774416</v>
          </cell>
          <cell r="Y56">
            <v>0.23803519081391414</v>
          </cell>
          <cell r="Z56">
            <v>0.25889952659426352</v>
          </cell>
          <cell r="AA56">
            <v>0.27353570244018005</v>
          </cell>
          <cell r="AB56">
            <v>0.28231262254901973</v>
          </cell>
          <cell r="AC56">
            <v>0.30026691397279642</v>
          </cell>
          <cell r="AD56">
            <v>0.31887958870472694</v>
          </cell>
        </row>
        <row r="58">
          <cell r="C58" t="str">
            <v>Less : Operating Expenses</v>
          </cell>
        </row>
        <row r="59">
          <cell r="B59" t="str">
            <v>PL03-01</v>
          </cell>
          <cell r="C59" t="str">
            <v>G&amp;A Expenses (Excl. Depreciation)</v>
          </cell>
          <cell r="E59">
            <v>0.17989417989417988</v>
          </cell>
          <cell r="F59">
            <v>0.35560477420942538</v>
          </cell>
          <cell r="G59">
            <v>0.35560477420942538</v>
          </cell>
          <cell r="H59">
            <v>1.2225072153376924</v>
          </cell>
          <cell r="I59">
            <v>0.96268382933317764</v>
          </cell>
          <cell r="J59">
            <v>6.9093379242365165</v>
          </cell>
          <cell r="K59">
            <v>6.9093379242365165</v>
          </cell>
          <cell r="L59">
            <v>6.9093379242365165</v>
          </cell>
          <cell r="M59">
            <v>6.9093379242365165</v>
          </cell>
          <cell r="N59">
            <v>6.9093379242365165</v>
          </cell>
          <cell r="O59">
            <v>6.9093379242365165</v>
          </cell>
          <cell r="P59">
            <v>6.9093379242365165</v>
          </cell>
          <cell r="S59">
            <v>9.5055555555555564</v>
          </cell>
          <cell r="T59">
            <v>19.011111111111113</v>
          </cell>
          <cell r="U59">
            <v>28.516666666666669</v>
          </cell>
          <cell r="V59">
            <v>38.022222222222226</v>
          </cell>
          <cell r="W59">
            <v>47.527777777777786</v>
          </cell>
          <cell r="X59">
            <v>57.033333333333346</v>
          </cell>
          <cell r="Y59">
            <v>66.538888888888906</v>
          </cell>
          <cell r="Z59">
            <v>76.044444444444466</v>
          </cell>
          <cell r="AA59">
            <v>85.550000000000026</v>
          </cell>
          <cell r="AB59">
            <v>95.055555555555586</v>
          </cell>
          <cell r="AC59">
            <v>104.56111111111115</v>
          </cell>
          <cell r="AD59">
            <v>116.84444444444448</v>
          </cell>
        </row>
        <row r="60">
          <cell r="B60" t="str">
            <v>PL03-02</v>
          </cell>
          <cell r="C60" t="str">
            <v>Depreciation (G&amp;A)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2">
          <cell r="B62" t="str">
            <v>PL04</v>
          </cell>
          <cell r="C62" t="str">
            <v>Head Office expense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Total Operating Expenses</v>
          </cell>
          <cell r="E63">
            <v>0.17989417989417988</v>
          </cell>
          <cell r="F63">
            <v>0.35560477420942538</v>
          </cell>
          <cell r="G63">
            <v>0.35560477420942538</v>
          </cell>
          <cell r="H63">
            <v>1.2225072153376924</v>
          </cell>
          <cell r="I63">
            <v>0.96268382933317764</v>
          </cell>
          <cell r="J63">
            <v>6.9093379242365165</v>
          </cell>
          <cell r="K63">
            <v>6.9093379242365165</v>
          </cell>
          <cell r="L63">
            <v>6.9093379242365165</v>
          </cell>
          <cell r="M63">
            <v>6.9093379242365165</v>
          </cell>
          <cell r="N63">
            <v>6.9093379242365165</v>
          </cell>
          <cell r="O63">
            <v>6.9093379242365165</v>
          </cell>
          <cell r="P63">
            <v>6.9093379242365165</v>
          </cell>
          <cell r="S63">
            <v>9.5055555555555564</v>
          </cell>
          <cell r="T63">
            <v>19.011111111111113</v>
          </cell>
          <cell r="U63">
            <v>28.516666666666669</v>
          </cell>
          <cell r="V63">
            <v>38.022222222222226</v>
          </cell>
          <cell r="W63">
            <v>47.527777777777786</v>
          </cell>
          <cell r="X63">
            <v>57.033333333333346</v>
          </cell>
          <cell r="Y63">
            <v>66.538888888888906</v>
          </cell>
          <cell r="Z63">
            <v>76.044444444444466</v>
          </cell>
          <cell r="AA63">
            <v>85.550000000000026</v>
          </cell>
          <cell r="AB63">
            <v>95.055555555555586</v>
          </cell>
          <cell r="AC63">
            <v>104.56111111111115</v>
          </cell>
          <cell r="AD63">
            <v>116.84444444444448</v>
          </cell>
        </row>
        <row r="64">
          <cell r="C64" t="str">
            <v>Operating Income before Interest &amp; Tax</v>
          </cell>
          <cell r="E64">
            <v>13.092276465608467</v>
          </cell>
          <cell r="F64">
            <v>29.660258636151084</v>
          </cell>
          <cell r="G64">
            <v>52.48964885208197</v>
          </cell>
          <cell r="H64">
            <v>196.55270027535474</v>
          </cell>
          <cell r="I64">
            <v>273.4092353516528</v>
          </cell>
          <cell r="J64">
            <v>286.82673623302333</v>
          </cell>
          <cell r="K64">
            <v>286.82673623302333</v>
          </cell>
          <cell r="L64">
            <v>286.82673623302333</v>
          </cell>
          <cell r="M64">
            <v>286.82673623302333</v>
          </cell>
          <cell r="N64">
            <v>286.82673623302333</v>
          </cell>
          <cell r="O64">
            <v>286.82673623302333</v>
          </cell>
          <cell r="P64">
            <v>286.82673623302333</v>
          </cell>
          <cell r="S64">
            <v>-16.611111111111111</v>
          </cell>
          <cell r="T64">
            <v>-9.3388888888888957</v>
          </cell>
          <cell r="U64">
            <v>1.6501666666666601</v>
          </cell>
          <cell r="V64">
            <v>20.356722222222189</v>
          </cell>
          <cell r="W64">
            <v>48.319499999999991</v>
          </cell>
          <cell r="X64">
            <v>88.782277777777793</v>
          </cell>
          <cell r="Y64">
            <v>129.2450555555555</v>
          </cell>
          <cell r="Z64">
            <v>182.20783333333338</v>
          </cell>
          <cell r="AA64">
            <v>235.1706111111111</v>
          </cell>
          <cell r="AB64">
            <v>288.88961111111126</v>
          </cell>
          <cell r="AC64">
            <v>367.60861111111126</v>
          </cell>
          <cell r="AD64">
            <v>460.32761111111125</v>
          </cell>
        </row>
        <row r="66">
          <cell r="B66" t="str">
            <v>PL05</v>
          </cell>
          <cell r="C66" t="str">
            <v>Add: Other Income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8">
          <cell r="B68" t="str">
            <v>PL06</v>
          </cell>
          <cell r="C68" t="str">
            <v>Add: Share of JO's interest (Profit Distribution)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70">
          <cell r="C70" t="str">
            <v>EBIT (Eaning Before Interest &amp; Tax)</v>
          </cell>
          <cell r="E70">
            <v>13.092276465608467</v>
          </cell>
          <cell r="F70">
            <v>29.660258636151084</v>
          </cell>
          <cell r="G70">
            <v>52.48964885208197</v>
          </cell>
          <cell r="H70">
            <v>196.55270027535474</v>
          </cell>
          <cell r="I70">
            <v>273.4092353516528</v>
          </cell>
          <cell r="J70">
            <v>286.82673623302333</v>
          </cell>
          <cell r="K70">
            <v>286.82673623302333</v>
          </cell>
          <cell r="L70">
            <v>286.82673623302333</v>
          </cell>
          <cell r="M70">
            <v>286.82673623302333</v>
          </cell>
          <cell r="N70">
            <v>286.82673623302333</v>
          </cell>
          <cell r="O70">
            <v>286.82673623302333</v>
          </cell>
          <cell r="P70">
            <v>286.82673623302333</v>
          </cell>
          <cell r="S70">
            <v>-16.611111111111111</v>
          </cell>
          <cell r="T70">
            <v>-9.3388888888888957</v>
          </cell>
          <cell r="U70">
            <v>1.6501666666666601</v>
          </cell>
          <cell r="V70">
            <v>20.356722222222189</v>
          </cell>
          <cell r="W70">
            <v>48.319499999999991</v>
          </cell>
          <cell r="X70">
            <v>88.782277777777793</v>
          </cell>
          <cell r="Y70">
            <v>129.2450555555555</v>
          </cell>
          <cell r="Z70">
            <v>182.20783333333338</v>
          </cell>
          <cell r="AA70">
            <v>235.1706111111111</v>
          </cell>
          <cell r="AB70">
            <v>288.88961111111126</v>
          </cell>
          <cell r="AC70">
            <v>367.60861111111126</v>
          </cell>
          <cell r="AD70">
            <v>460.32761111111125</v>
          </cell>
        </row>
        <row r="72">
          <cell r="B72" t="str">
            <v>PL07</v>
          </cell>
          <cell r="C72" t="str">
            <v>Less:Financial Expense (net)</v>
          </cell>
          <cell r="E72">
            <v>7.7634973544973535E-2</v>
          </cell>
          <cell r="F72">
            <v>7.790846191706656E-2</v>
          </cell>
          <cell r="G72">
            <v>0.32617582276159635</v>
          </cell>
          <cell r="H72">
            <v>0.32056519565903441</v>
          </cell>
          <cell r="I72">
            <v>0.27339138076061453</v>
          </cell>
          <cell r="J72">
            <v>-0.60226035474026418</v>
          </cell>
          <cell r="K72">
            <v>-0.60226035474026418</v>
          </cell>
          <cell r="L72">
            <v>-0.60226035474026418</v>
          </cell>
          <cell r="M72">
            <v>-0.60226035474026418</v>
          </cell>
          <cell r="N72">
            <v>-0.60226035474026418</v>
          </cell>
          <cell r="O72">
            <v>-0.60226035474026418</v>
          </cell>
          <cell r="P72">
            <v>-0.60226035474026418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4">
          <cell r="B74" t="str">
            <v>PL08</v>
          </cell>
          <cell r="C74" t="str">
            <v>Less:Loss on forex exch</v>
          </cell>
          <cell r="E74">
            <v>-0.19800603174603174</v>
          </cell>
          <cell r="F74">
            <v>-0.16642845551864155</v>
          </cell>
          <cell r="G74">
            <v>-2.4567648211616357</v>
          </cell>
          <cell r="H74">
            <v>-2.4567648211616357</v>
          </cell>
          <cell r="I74">
            <v>-15.581373110100689</v>
          </cell>
          <cell r="J74">
            <v>-26.111697597798589</v>
          </cell>
          <cell r="K74">
            <v>-26.111697597798589</v>
          </cell>
          <cell r="L74">
            <v>-26.111697597798589</v>
          </cell>
          <cell r="M74">
            <v>-26.111697597798589</v>
          </cell>
          <cell r="N74">
            <v>-26.111697597798589</v>
          </cell>
          <cell r="O74">
            <v>-26.111697597798589</v>
          </cell>
          <cell r="P74">
            <v>-26.111697597798589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6">
          <cell r="C76" t="str">
            <v>Profit Before Tax</v>
          </cell>
          <cell r="E76">
            <v>13.212647523809524</v>
          </cell>
          <cell r="F76">
            <v>29.74877862975266</v>
          </cell>
          <cell r="G76">
            <v>54.620237850482006</v>
          </cell>
          <cell r="H76">
            <v>198.68889990085734</v>
          </cell>
          <cell r="I76">
            <v>288.71721708099284</v>
          </cell>
          <cell r="J76">
            <v>313.54069418556219</v>
          </cell>
          <cell r="K76">
            <v>313.54069418556219</v>
          </cell>
          <cell r="L76">
            <v>313.54069418556219</v>
          </cell>
          <cell r="M76">
            <v>313.54069418556219</v>
          </cell>
          <cell r="N76">
            <v>313.54069418556219</v>
          </cell>
          <cell r="O76">
            <v>313.54069418556219</v>
          </cell>
          <cell r="P76">
            <v>313.54069418556219</v>
          </cell>
          <cell r="S76">
            <v>-16.611111111111111</v>
          </cell>
          <cell r="T76">
            <v>-9.3388888888888957</v>
          </cell>
          <cell r="U76">
            <v>1.6501666666666601</v>
          </cell>
          <cell r="V76">
            <v>20.356722222222189</v>
          </cell>
          <cell r="W76">
            <v>48.319499999999991</v>
          </cell>
          <cell r="X76">
            <v>88.782277777777793</v>
          </cell>
          <cell r="Y76">
            <v>129.2450555555555</v>
          </cell>
          <cell r="Z76">
            <v>182.20783333333338</v>
          </cell>
          <cell r="AA76">
            <v>235.1706111111111</v>
          </cell>
          <cell r="AB76">
            <v>288.88961111111126</v>
          </cell>
          <cell r="AC76">
            <v>367.60861111111126</v>
          </cell>
          <cell r="AD76">
            <v>460.32761111111125</v>
          </cell>
        </row>
        <row r="78">
          <cell r="B78" t="str">
            <v>PL09</v>
          </cell>
          <cell r="C78" t="str">
            <v>Less:Taxation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80">
          <cell r="C80" t="str">
            <v>Current Year Profit/(Loss) after tax</v>
          </cell>
          <cell r="E80">
            <v>13.212647523809524</v>
          </cell>
          <cell r="F80">
            <v>29.74877862975266</v>
          </cell>
          <cell r="G80">
            <v>54.620237850482006</v>
          </cell>
          <cell r="H80">
            <v>198.68889990085734</v>
          </cell>
          <cell r="I80">
            <v>288.71721708099284</v>
          </cell>
          <cell r="J80">
            <v>313.54069418556219</v>
          </cell>
          <cell r="K80">
            <v>313.54069418556219</v>
          </cell>
          <cell r="L80">
            <v>313.54069418556219</v>
          </cell>
          <cell r="M80">
            <v>313.54069418556219</v>
          </cell>
          <cell r="N80">
            <v>313.54069418556219</v>
          </cell>
          <cell r="O80">
            <v>313.54069418556219</v>
          </cell>
          <cell r="P80">
            <v>313.54069418556219</v>
          </cell>
          <cell r="S80">
            <v>-16.611111111111111</v>
          </cell>
          <cell r="T80">
            <v>-9.3388888888888957</v>
          </cell>
          <cell r="U80">
            <v>1.6501666666666601</v>
          </cell>
          <cell r="V80">
            <v>20.356722222222189</v>
          </cell>
          <cell r="W80">
            <v>48.319499999999991</v>
          </cell>
          <cell r="X80">
            <v>88.782277777777793</v>
          </cell>
          <cell r="Y80">
            <v>129.2450555555555</v>
          </cell>
          <cell r="Z80">
            <v>182.20783333333338</v>
          </cell>
          <cell r="AA80">
            <v>235.1706111111111</v>
          </cell>
          <cell r="AB80">
            <v>288.88961111111126</v>
          </cell>
          <cell r="AC80">
            <v>367.60861111111126</v>
          </cell>
          <cell r="AD80">
            <v>460.32761111111125</v>
          </cell>
        </row>
      </sheetData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MR"/>
      <sheetName val="IDR_Move(1)"/>
      <sheetName val="IDR_YTD(2)"/>
      <sheetName val="IDRt_FS(3)"/>
      <sheetName val="USDt_FS(4)"/>
      <sheetName val="RpBgt_Move(5)"/>
      <sheetName val="RpBgt_YTD(6)"/>
    </sheetNames>
    <sheetDataSet>
      <sheetData sheetId="0" refreshError="1">
        <row r="3">
          <cell r="A3">
            <v>1</v>
          </cell>
          <cell r="B3">
            <v>36892</v>
          </cell>
          <cell r="C3" t="str">
            <v>YTD0001</v>
          </cell>
          <cell r="D3">
            <v>36892</v>
          </cell>
        </row>
        <row r="4">
          <cell r="A4">
            <v>2</v>
          </cell>
          <cell r="B4">
            <v>36923</v>
          </cell>
          <cell r="C4" t="str">
            <v>YTD0002</v>
          </cell>
          <cell r="D4">
            <v>36923</v>
          </cell>
        </row>
        <row r="5">
          <cell r="A5">
            <v>3</v>
          </cell>
          <cell r="B5">
            <v>36951</v>
          </cell>
          <cell r="C5" t="str">
            <v>YTD0003</v>
          </cell>
          <cell r="D5">
            <v>36951</v>
          </cell>
        </row>
        <row r="6">
          <cell r="A6">
            <v>4</v>
          </cell>
          <cell r="B6">
            <v>36982</v>
          </cell>
          <cell r="C6" t="str">
            <v>YTD0004</v>
          </cell>
          <cell r="D6">
            <v>36982</v>
          </cell>
        </row>
        <row r="7">
          <cell r="A7">
            <v>5</v>
          </cell>
          <cell r="B7">
            <v>37012</v>
          </cell>
          <cell r="C7" t="str">
            <v>YTD0005</v>
          </cell>
          <cell r="D7">
            <v>37012</v>
          </cell>
        </row>
        <row r="8">
          <cell r="A8">
            <v>6</v>
          </cell>
          <cell r="B8">
            <v>37043</v>
          </cell>
          <cell r="C8" t="str">
            <v>YTD0006</v>
          </cell>
          <cell r="D8">
            <v>37043</v>
          </cell>
        </row>
        <row r="9">
          <cell r="A9">
            <v>7</v>
          </cell>
          <cell r="B9">
            <v>37073</v>
          </cell>
          <cell r="C9" t="str">
            <v>YTD0007</v>
          </cell>
          <cell r="D9">
            <v>37073</v>
          </cell>
        </row>
        <row r="10">
          <cell r="A10">
            <v>8</v>
          </cell>
          <cell r="B10">
            <v>37104</v>
          </cell>
          <cell r="C10" t="str">
            <v>YTD0008</v>
          </cell>
          <cell r="D10">
            <v>37104</v>
          </cell>
        </row>
        <row r="11">
          <cell r="A11">
            <v>9</v>
          </cell>
          <cell r="B11">
            <v>37135</v>
          </cell>
          <cell r="C11" t="str">
            <v>YTD0009</v>
          </cell>
          <cell r="D11">
            <v>37135</v>
          </cell>
        </row>
        <row r="12">
          <cell r="A12">
            <v>10</v>
          </cell>
          <cell r="B12">
            <v>37165</v>
          </cell>
          <cell r="C12" t="str">
            <v>YTD0010</v>
          </cell>
          <cell r="D12">
            <v>37165</v>
          </cell>
        </row>
        <row r="13">
          <cell r="A13">
            <v>11</v>
          </cell>
          <cell r="B13">
            <v>37196</v>
          </cell>
          <cell r="C13" t="str">
            <v>YTD0011</v>
          </cell>
          <cell r="D13">
            <v>37196</v>
          </cell>
        </row>
        <row r="14">
          <cell r="A14">
            <v>12</v>
          </cell>
          <cell r="B14">
            <v>37226</v>
          </cell>
          <cell r="C14" t="str">
            <v>YTD0012</v>
          </cell>
          <cell r="D14">
            <v>37226</v>
          </cell>
        </row>
      </sheetData>
      <sheetData sheetId="1"/>
      <sheetData sheetId="2"/>
      <sheetData sheetId="3"/>
      <sheetData sheetId="4"/>
      <sheetData sheetId="5" refreshError="1">
        <row r="40">
          <cell r="B40" t="str">
            <v>Profit &amp; Loss Year To Date</v>
          </cell>
          <cell r="D40" t="str">
            <v>OB-01</v>
          </cell>
          <cell r="E40">
            <v>36892</v>
          </cell>
          <cell r="F40">
            <v>36923</v>
          </cell>
          <cell r="G40">
            <v>36951</v>
          </cell>
          <cell r="H40">
            <v>36982</v>
          </cell>
          <cell r="I40">
            <v>37012</v>
          </cell>
          <cell r="J40">
            <v>37043</v>
          </cell>
          <cell r="K40">
            <v>37073</v>
          </cell>
          <cell r="L40">
            <v>37104</v>
          </cell>
          <cell r="M40">
            <v>37135</v>
          </cell>
          <cell r="N40">
            <v>37165</v>
          </cell>
          <cell r="O40">
            <v>37196</v>
          </cell>
          <cell r="P40">
            <v>37226</v>
          </cell>
          <cell r="S40">
            <v>36892</v>
          </cell>
          <cell r="T40">
            <v>36923</v>
          </cell>
          <cell r="U40">
            <v>36951</v>
          </cell>
          <cell r="V40">
            <v>36982</v>
          </cell>
          <cell r="W40">
            <v>37012</v>
          </cell>
          <cell r="X40">
            <v>37043</v>
          </cell>
          <cell r="Y40">
            <v>37073</v>
          </cell>
          <cell r="Z40">
            <v>37104</v>
          </cell>
          <cell r="AA40">
            <v>37135</v>
          </cell>
          <cell r="AB40">
            <v>37165</v>
          </cell>
          <cell r="AC40">
            <v>37196</v>
          </cell>
          <cell r="AD40">
            <v>37226</v>
          </cell>
        </row>
        <row r="41">
          <cell r="C41" t="str">
            <v>Sales Revenue:</v>
          </cell>
        </row>
        <row r="42">
          <cell r="B42" t="str">
            <v>PL01-01</v>
          </cell>
          <cell r="C42" t="str">
            <v>Sales Revenue-Interunit</v>
          </cell>
          <cell r="E42">
            <v>68.668646412698408</v>
          </cell>
          <cell r="F42">
            <v>189.1613541749723</v>
          </cell>
          <cell r="G42">
            <v>189.68279683332162</v>
          </cell>
          <cell r="H42">
            <v>296.55564203301111</v>
          </cell>
          <cell r="I42">
            <v>512.55090165287561</v>
          </cell>
          <cell r="J42">
            <v>509.82049282598632</v>
          </cell>
          <cell r="K42">
            <v>509.82049282598632</v>
          </cell>
          <cell r="L42">
            <v>509.82049282598632</v>
          </cell>
          <cell r="M42">
            <v>509.82049282598632</v>
          </cell>
          <cell r="N42">
            <v>509.82049282598632</v>
          </cell>
          <cell r="O42">
            <v>509.82049282598632</v>
          </cell>
          <cell r="P42">
            <v>509.82049282598632</v>
          </cell>
          <cell r="S42">
            <v>30.14</v>
          </cell>
          <cell r="T42">
            <v>88.28</v>
          </cell>
          <cell r="U42">
            <v>146.42000000000002</v>
          </cell>
          <cell r="V42">
            <v>206.56</v>
          </cell>
          <cell r="W42">
            <v>270.7</v>
          </cell>
          <cell r="X42">
            <v>334.84</v>
          </cell>
          <cell r="Y42">
            <v>398.97999999999996</v>
          </cell>
          <cell r="Z42">
            <v>463.11999999999995</v>
          </cell>
          <cell r="AA42">
            <v>527.26</v>
          </cell>
          <cell r="AB42">
            <v>597.4</v>
          </cell>
          <cell r="AC42">
            <v>667.54</v>
          </cell>
          <cell r="AD42">
            <v>737.68</v>
          </cell>
        </row>
        <row r="43">
          <cell r="B43" t="str">
            <v>PL01-02</v>
          </cell>
          <cell r="C43" t="str">
            <v>Sales Revenue-Intercompany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B44" t="str">
            <v>PL01-03</v>
          </cell>
          <cell r="C44" t="str">
            <v>Sales Revenue-Appliate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B45" t="str">
            <v>PL01-04</v>
          </cell>
          <cell r="C45" t="str">
            <v>Sales Revenue-External (other)</v>
          </cell>
          <cell r="E45">
            <v>564.33364358730148</v>
          </cell>
          <cell r="F45">
            <v>1111.9108803314875</v>
          </cell>
          <cell r="G45">
            <v>1522.7397759648848</v>
          </cell>
          <cell r="H45">
            <v>1786.1850505788761</v>
          </cell>
          <cell r="I45">
            <v>2182.3448218484023</v>
          </cell>
          <cell r="J45">
            <v>2416.79318048197</v>
          </cell>
          <cell r="K45">
            <v>2416.79318048197</v>
          </cell>
          <cell r="L45">
            <v>2416.79318048197</v>
          </cell>
          <cell r="M45">
            <v>2416.79318048197</v>
          </cell>
          <cell r="N45">
            <v>2416.79318048197</v>
          </cell>
          <cell r="O45">
            <v>2416.79318048197</v>
          </cell>
          <cell r="P45">
            <v>2416.79318048197</v>
          </cell>
          <cell r="S45">
            <v>196.84</v>
          </cell>
          <cell r="T45">
            <v>393.68</v>
          </cell>
          <cell r="U45">
            <v>615.52</v>
          </cell>
          <cell r="V45">
            <v>837.36</v>
          </cell>
          <cell r="W45">
            <v>1041.1400000000001</v>
          </cell>
          <cell r="X45">
            <v>1244.92</v>
          </cell>
          <cell r="Y45">
            <v>1448.7</v>
          </cell>
          <cell r="Z45">
            <v>1652.48</v>
          </cell>
          <cell r="AA45">
            <v>1856.26</v>
          </cell>
          <cell r="AB45">
            <v>2060.04</v>
          </cell>
          <cell r="AC45">
            <v>2263.8200000000002</v>
          </cell>
          <cell r="AD45">
            <v>2467.6000000000004</v>
          </cell>
        </row>
        <row r="46">
          <cell r="C46" t="str">
            <v xml:space="preserve">Total Sales and Revenue </v>
          </cell>
          <cell r="E46">
            <v>633.0022899999999</v>
          </cell>
          <cell r="F46">
            <v>1301.0722345064598</v>
          </cell>
          <cell r="G46">
            <v>1712.4225727982064</v>
          </cell>
          <cell r="H46">
            <v>2082.7406926118874</v>
          </cell>
          <cell r="I46">
            <v>2694.8957235012776</v>
          </cell>
          <cell r="J46">
            <v>2926.6136733079566</v>
          </cell>
          <cell r="K46">
            <v>2926.6136733079566</v>
          </cell>
          <cell r="L46">
            <v>2926.6136733079566</v>
          </cell>
          <cell r="M46">
            <v>2926.6136733079566</v>
          </cell>
          <cell r="N46">
            <v>2926.6136733079566</v>
          </cell>
          <cell r="O46">
            <v>2926.6136733079566</v>
          </cell>
          <cell r="P46">
            <v>2926.6136733079566</v>
          </cell>
          <cell r="S46">
            <v>226.98000000000002</v>
          </cell>
          <cell r="T46">
            <v>481.96000000000004</v>
          </cell>
          <cell r="U46">
            <v>761.94</v>
          </cell>
          <cell r="V46">
            <v>1043.92</v>
          </cell>
          <cell r="W46">
            <v>1311.8400000000001</v>
          </cell>
          <cell r="X46">
            <v>1579.76</v>
          </cell>
          <cell r="Y46">
            <v>1847.68</v>
          </cell>
          <cell r="Z46">
            <v>2115.6</v>
          </cell>
          <cell r="AA46">
            <v>2383.52</v>
          </cell>
          <cell r="AB46">
            <v>2657.44</v>
          </cell>
          <cell r="AC46">
            <v>2931.36</v>
          </cell>
          <cell r="AD46">
            <v>3205.28</v>
          </cell>
        </row>
        <row r="47">
          <cell r="C47" t="str">
            <v>Cost of Goods Sold</v>
          </cell>
        </row>
        <row r="48">
          <cell r="B48" t="str">
            <v>PL02-01</v>
          </cell>
          <cell r="C48" t="str">
            <v>Cost of Goods - Inter Unit</v>
          </cell>
          <cell r="E48">
            <v>11.993436895238094</v>
          </cell>
          <cell r="F48">
            <v>99.11758101306755</v>
          </cell>
          <cell r="G48">
            <v>147.65910163206945</v>
          </cell>
          <cell r="H48">
            <v>156.690533030327</v>
          </cell>
          <cell r="I48">
            <v>170.72966014906291</v>
          </cell>
          <cell r="J48">
            <v>178.24438850846536</v>
          </cell>
          <cell r="K48">
            <v>178.24438850846536</v>
          </cell>
          <cell r="L48">
            <v>178.24438850846536</v>
          </cell>
          <cell r="M48">
            <v>178.24438850846536</v>
          </cell>
          <cell r="N48">
            <v>178.24438850846536</v>
          </cell>
          <cell r="O48">
            <v>178.24438850846536</v>
          </cell>
          <cell r="P48">
            <v>178.24438850846536</v>
          </cell>
          <cell r="S48">
            <v>26.703366666666664</v>
          </cell>
          <cell r="T48">
            <v>56.066733333333332</v>
          </cell>
          <cell r="U48">
            <v>88.30510000000001</v>
          </cell>
          <cell r="V48">
            <v>120.73346666666667</v>
          </cell>
          <cell r="W48">
            <v>150.38133333333334</v>
          </cell>
          <cell r="X48">
            <v>180.0292</v>
          </cell>
          <cell r="Y48">
            <v>209.67706666666669</v>
          </cell>
          <cell r="Z48">
            <v>239.32493333333335</v>
          </cell>
          <cell r="AA48">
            <v>268.97280000000006</v>
          </cell>
          <cell r="AB48">
            <v>299.19066666666669</v>
          </cell>
          <cell r="AC48">
            <v>329.40853333333331</v>
          </cell>
          <cell r="AD48">
            <v>348.56862222222225</v>
          </cell>
        </row>
        <row r="49">
          <cell r="B49" t="str">
            <v>PL02-02</v>
          </cell>
          <cell r="C49" t="str">
            <v>Cost of Goods - Intercompany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B50" t="str">
            <v>PL02-03</v>
          </cell>
          <cell r="C50" t="str">
            <v>Cost of Goods - Appliate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B51" t="str">
            <v>PL02-04</v>
          </cell>
          <cell r="C51" t="str">
            <v>Cost of Goods - External (Other)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B52" t="str">
            <v>PL02-05</v>
          </cell>
          <cell r="C52" t="str">
            <v>Cost of Goods Sold (Non department and Internal related)</v>
          </cell>
          <cell r="E52">
            <v>100.82560379576719</v>
          </cell>
          <cell r="F52">
            <v>245.35220695028917</v>
          </cell>
          <cell r="G52">
            <v>363.12620593109523</v>
          </cell>
          <cell r="H52">
            <v>457.989506419321</v>
          </cell>
          <cell r="I52">
            <v>571.99269241932097</v>
          </cell>
          <cell r="J52">
            <v>694.10721326729993</v>
          </cell>
          <cell r="K52">
            <v>694.10721326729993</v>
          </cell>
          <cell r="L52">
            <v>694.10721326729993</v>
          </cell>
          <cell r="M52">
            <v>694.10721326729993</v>
          </cell>
          <cell r="N52">
            <v>694.10721326729993</v>
          </cell>
          <cell r="O52">
            <v>694.10721326729993</v>
          </cell>
          <cell r="P52">
            <v>694.10721326729993</v>
          </cell>
          <cell r="S52">
            <v>37.117555555555555</v>
          </cell>
          <cell r="T52">
            <v>74.7391111111111</v>
          </cell>
          <cell r="U52">
            <v>112.79266666666666</v>
          </cell>
          <cell r="V52">
            <v>150.84622222222222</v>
          </cell>
          <cell r="W52">
            <v>188.7701777777778</v>
          </cell>
          <cell r="X52">
            <v>226.69413333333335</v>
          </cell>
          <cell r="Y52">
            <v>264.61808888888891</v>
          </cell>
          <cell r="Z52">
            <v>302.54204444444446</v>
          </cell>
          <cell r="AA52">
            <v>340.46600000000001</v>
          </cell>
          <cell r="AB52">
            <v>378.38995555555556</v>
          </cell>
          <cell r="AC52">
            <v>416.31391111111111</v>
          </cell>
          <cell r="AD52">
            <v>470.1445333333333</v>
          </cell>
        </row>
        <row r="53">
          <cell r="B53" t="str">
            <v>PL02-06</v>
          </cell>
          <cell r="C53" t="str">
            <v>Cost of Goods - Depreciation (Operating)</v>
          </cell>
          <cell r="E53">
            <v>47.696039155555546</v>
          </cell>
          <cell r="F53">
            <v>94.039651712661481</v>
          </cell>
          <cell r="G53">
            <v>137.07133291803581</v>
          </cell>
          <cell r="H53">
            <v>175.75913092459146</v>
          </cell>
          <cell r="I53">
            <v>216.25643496883532</v>
          </cell>
          <cell r="J53">
            <v>255.66835432648031</v>
          </cell>
          <cell r="K53">
            <v>255.66835432648031</v>
          </cell>
          <cell r="L53">
            <v>255.66835432648031</v>
          </cell>
          <cell r="M53">
            <v>255.66835432648031</v>
          </cell>
          <cell r="N53">
            <v>255.66835432648031</v>
          </cell>
          <cell r="O53">
            <v>255.66835432648031</v>
          </cell>
          <cell r="P53">
            <v>255.66835432648031</v>
          </cell>
          <cell r="S53">
            <v>35.275555555555556</v>
          </cell>
          <cell r="T53">
            <v>73.551111111111112</v>
          </cell>
          <cell r="U53">
            <v>126.82666666666667</v>
          </cell>
          <cell r="V53">
            <v>185.26888888888888</v>
          </cell>
          <cell r="W53">
            <v>250.46111111111111</v>
          </cell>
          <cell r="X53">
            <v>315.65333333333331</v>
          </cell>
          <cell r="Y53">
            <v>380.84555555555551</v>
          </cell>
          <cell r="Z53">
            <v>446.03777777777771</v>
          </cell>
          <cell r="AA53">
            <v>511.2299999999999</v>
          </cell>
          <cell r="AB53">
            <v>576.4222222222221</v>
          </cell>
          <cell r="AC53">
            <v>641.6144444444443</v>
          </cell>
          <cell r="AD53">
            <v>706.8066666666665</v>
          </cell>
        </row>
        <row r="54">
          <cell r="C54" t="str">
            <v xml:space="preserve">Total Cost of Goods Sold </v>
          </cell>
          <cell r="E54">
            <v>160.51507984656084</v>
          </cell>
          <cell r="F54">
            <v>438.50943967601825</v>
          </cell>
          <cell r="G54">
            <v>647.85664048120043</v>
          </cell>
          <cell r="H54">
            <v>790.43917037423944</v>
          </cell>
          <cell r="I54">
            <v>958.9787875372192</v>
          </cell>
          <cell r="J54">
            <v>1128.0199561022455</v>
          </cell>
          <cell r="K54">
            <v>1128.0199561022455</v>
          </cell>
          <cell r="L54">
            <v>1128.0199561022455</v>
          </cell>
          <cell r="M54">
            <v>1128.0199561022455</v>
          </cell>
          <cell r="N54">
            <v>1128.0199561022455</v>
          </cell>
          <cell r="O54">
            <v>1128.0199561022455</v>
          </cell>
          <cell r="P54">
            <v>1128.0199561022455</v>
          </cell>
          <cell r="S54">
            <v>99.096477777777778</v>
          </cell>
          <cell r="T54">
            <v>204.35695555555554</v>
          </cell>
          <cell r="U54">
            <v>327.92443333333335</v>
          </cell>
          <cell r="V54">
            <v>456.84857777777779</v>
          </cell>
          <cell r="W54">
            <v>589.61262222222229</v>
          </cell>
          <cell r="X54">
            <v>722.37666666666667</v>
          </cell>
          <cell r="Y54">
            <v>855.14071111111116</v>
          </cell>
          <cell r="Z54">
            <v>987.90475555555554</v>
          </cell>
          <cell r="AA54">
            <v>1120.6687999999999</v>
          </cell>
          <cell r="AB54">
            <v>1254.0028444444442</v>
          </cell>
          <cell r="AC54">
            <v>1387.3368888888886</v>
          </cell>
          <cell r="AD54">
            <v>1525.519822222222</v>
          </cell>
        </row>
        <row r="55">
          <cell r="C55" t="str">
            <v>Gross Profit</v>
          </cell>
          <cell r="E55">
            <v>472.48721015343904</v>
          </cell>
          <cell r="F55">
            <v>862.56279483044159</v>
          </cell>
          <cell r="G55">
            <v>1064.5659323170059</v>
          </cell>
          <cell r="H55">
            <v>1292.301522237648</v>
          </cell>
          <cell r="I55">
            <v>1735.9169359640584</v>
          </cell>
          <cell r="J55">
            <v>1798.5937172057111</v>
          </cell>
          <cell r="K55">
            <v>1798.5937172057111</v>
          </cell>
          <cell r="L55">
            <v>1798.5937172057111</v>
          </cell>
          <cell r="M55">
            <v>1798.5937172057111</v>
          </cell>
          <cell r="N55">
            <v>1798.5937172057111</v>
          </cell>
          <cell r="O55">
            <v>1798.5937172057111</v>
          </cell>
          <cell r="P55">
            <v>1798.5937172057111</v>
          </cell>
          <cell r="S55">
            <v>127.88352222222224</v>
          </cell>
          <cell r="T55">
            <v>277.60304444444449</v>
          </cell>
          <cell r="U55">
            <v>434.0155666666667</v>
          </cell>
          <cell r="V55">
            <v>587.07142222222228</v>
          </cell>
          <cell r="W55">
            <v>722.22737777777786</v>
          </cell>
          <cell r="X55">
            <v>857.38333333333333</v>
          </cell>
          <cell r="Y55">
            <v>992.5392888888889</v>
          </cell>
          <cell r="Z55">
            <v>1127.6952444444444</v>
          </cell>
          <cell r="AA55">
            <v>1262.8512000000001</v>
          </cell>
          <cell r="AB55">
            <v>1403.4371555555558</v>
          </cell>
          <cell r="AC55">
            <v>1544.0231111111116</v>
          </cell>
          <cell r="AD55">
            <v>1679.7601777777782</v>
          </cell>
        </row>
        <row r="56">
          <cell r="C56" t="str">
            <v>Gross Profit/Sales %</v>
          </cell>
          <cell r="E56">
            <v>0.74642259217330653</v>
          </cell>
          <cell r="F56">
            <v>0.66296303306913662</v>
          </cell>
          <cell r="G56">
            <v>0.62167244769346752</v>
          </cell>
          <cell r="H56">
            <v>0.62048123744920969</v>
          </cell>
          <cell r="I56">
            <v>0.64414994644346035</v>
          </cell>
          <cell r="J56">
            <v>0.61456478988316809</v>
          </cell>
          <cell r="K56">
            <v>0.61456478988316809</v>
          </cell>
          <cell r="L56">
            <v>0.61456478988316809</v>
          </cell>
          <cell r="M56">
            <v>0.61456478988316809</v>
          </cell>
          <cell r="N56">
            <v>0.61456478988316809</v>
          </cell>
          <cell r="O56">
            <v>0.61456478988316809</v>
          </cell>
          <cell r="P56">
            <v>0.61456478988316809</v>
          </cell>
          <cell r="S56">
            <v>0.56341317394582002</v>
          </cell>
          <cell r="T56">
            <v>0.57598772604457726</v>
          </cell>
          <cell r="U56">
            <v>0.56961908636725556</v>
          </cell>
          <cell r="V56">
            <v>0.56237204213179381</v>
          </cell>
          <cell r="W56">
            <v>0.55054532395549594</v>
          </cell>
          <cell r="X56">
            <v>0.54273011934302262</v>
          </cell>
          <cell r="Y56">
            <v>0.53718137820882883</v>
          </cell>
          <cell r="Z56">
            <v>0.53303802441125181</v>
          </cell>
          <cell r="AA56">
            <v>0.52982613949117274</v>
          </cell>
          <cell r="AB56">
            <v>0.52811621543875154</v>
          </cell>
          <cell r="AC56">
            <v>0.52672585800144356</v>
          </cell>
          <cell r="AD56">
            <v>0.5240603559682081</v>
          </cell>
        </row>
        <row r="58">
          <cell r="C58" t="str">
            <v>Less : Operating Expenses</v>
          </cell>
        </row>
        <row r="59">
          <cell r="B59" t="str">
            <v>PL03-01</v>
          </cell>
          <cell r="C59" t="str">
            <v>G&amp;A Expenses (Excl. Depreciation)</v>
          </cell>
          <cell r="E59">
            <v>4.34857474074074</v>
          </cell>
          <cell r="F59">
            <v>17.586241149009474</v>
          </cell>
          <cell r="G59">
            <v>34.639850141331927</v>
          </cell>
          <cell r="H59">
            <v>40.68677237457613</v>
          </cell>
          <cell r="I59">
            <v>46.770670663515183</v>
          </cell>
          <cell r="J59">
            <v>49.966103879683899</v>
          </cell>
          <cell r="K59">
            <v>49.966103879683899</v>
          </cell>
          <cell r="L59">
            <v>49.966103879683899</v>
          </cell>
          <cell r="M59">
            <v>49.966103879683899</v>
          </cell>
          <cell r="N59">
            <v>49.966103879683899</v>
          </cell>
          <cell r="O59">
            <v>49.966103879683899</v>
          </cell>
          <cell r="P59">
            <v>49.966103879683899</v>
          </cell>
          <cell r="S59">
            <v>16.245555555555555</v>
          </cell>
          <cell r="T59">
            <v>32.49111111111111</v>
          </cell>
          <cell r="U59">
            <v>48.736666666666665</v>
          </cell>
          <cell r="V59">
            <v>64.982222222222219</v>
          </cell>
          <cell r="W59">
            <v>81.227777777777774</v>
          </cell>
          <cell r="X59">
            <v>97.473333333333329</v>
          </cell>
          <cell r="Y59">
            <v>113.71888888888888</v>
          </cell>
          <cell r="Z59">
            <v>129.96444444444444</v>
          </cell>
          <cell r="AA59">
            <v>146.20999999999998</v>
          </cell>
          <cell r="AB59">
            <v>162.45555555555552</v>
          </cell>
          <cell r="AC59">
            <v>178.70111111111106</v>
          </cell>
          <cell r="AD59">
            <v>211.95888888888885</v>
          </cell>
        </row>
        <row r="60">
          <cell r="B60" t="str">
            <v>PL03-02</v>
          </cell>
          <cell r="C60" t="str">
            <v>Depreciation (G&amp;A)</v>
          </cell>
          <cell r="E60">
            <v>0</v>
          </cell>
          <cell r="F60">
            <v>0.24321638552971572</v>
          </cell>
          <cell r="G60">
            <v>0.46904349973317061</v>
          </cell>
          <cell r="H60">
            <v>1.2523056001385877</v>
          </cell>
          <cell r="I60">
            <v>1.4647767992356531</v>
          </cell>
          <cell r="J60">
            <v>1.6715534714676392</v>
          </cell>
          <cell r="K60">
            <v>1.6715534714676392</v>
          </cell>
          <cell r="L60">
            <v>1.6715534714676392</v>
          </cell>
          <cell r="M60">
            <v>1.6715534714676392</v>
          </cell>
          <cell r="N60">
            <v>1.6715534714676392</v>
          </cell>
          <cell r="O60">
            <v>1.6715534714676392</v>
          </cell>
          <cell r="P60">
            <v>1.6715534714676392</v>
          </cell>
          <cell r="S60">
            <v>0.11814811111111112</v>
          </cell>
          <cell r="T60">
            <v>0.23629622222222224</v>
          </cell>
          <cell r="U60">
            <v>0.35444433333333331</v>
          </cell>
          <cell r="V60">
            <v>0.47259244444444448</v>
          </cell>
          <cell r="W60">
            <v>0.5907405555555556</v>
          </cell>
          <cell r="X60">
            <v>0.70888866666666672</v>
          </cell>
          <cell r="Y60">
            <v>0.82703677777777784</v>
          </cell>
          <cell r="Z60">
            <v>0.94518488888888896</v>
          </cell>
          <cell r="AA60">
            <v>1.0633329999999999</v>
          </cell>
          <cell r="AB60">
            <v>1.181481111111111</v>
          </cell>
          <cell r="AC60">
            <v>1.2996292222222221</v>
          </cell>
          <cell r="AD60">
            <v>1.417777333333333</v>
          </cell>
        </row>
        <row r="62">
          <cell r="B62" t="str">
            <v>PL04</v>
          </cell>
          <cell r="C62" t="str">
            <v>Head Office expense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C63" t="str">
            <v>Total Operating Expenses</v>
          </cell>
          <cell r="E63">
            <v>4.34857474074074</v>
          </cell>
          <cell r="F63">
            <v>17.829457534539191</v>
          </cell>
          <cell r="G63">
            <v>35.108893641065094</v>
          </cell>
          <cell r="H63">
            <v>41.939077974714721</v>
          </cell>
          <cell r="I63">
            <v>48.235447462750834</v>
          </cell>
          <cell r="J63">
            <v>51.637657351151539</v>
          </cell>
          <cell r="K63">
            <v>51.637657351151539</v>
          </cell>
          <cell r="L63">
            <v>51.637657351151539</v>
          </cell>
          <cell r="M63">
            <v>51.637657351151539</v>
          </cell>
          <cell r="N63">
            <v>51.637657351151539</v>
          </cell>
          <cell r="O63">
            <v>51.637657351151539</v>
          </cell>
          <cell r="P63">
            <v>51.637657351151539</v>
          </cell>
          <cell r="S63">
            <v>16.363703666666666</v>
          </cell>
          <cell r="T63">
            <v>32.727407333333332</v>
          </cell>
          <cell r="U63">
            <v>49.091110999999998</v>
          </cell>
          <cell r="V63">
            <v>65.454814666666664</v>
          </cell>
          <cell r="W63">
            <v>81.81851833333333</v>
          </cell>
          <cell r="X63">
            <v>98.182221999999996</v>
          </cell>
          <cell r="Y63">
            <v>114.54592566666666</v>
          </cell>
          <cell r="Z63">
            <v>130.90962933333333</v>
          </cell>
          <cell r="AA63">
            <v>147.27333299999998</v>
          </cell>
          <cell r="AB63">
            <v>163.63703666666663</v>
          </cell>
          <cell r="AC63">
            <v>180.00074033333328</v>
          </cell>
          <cell r="AD63">
            <v>213.37666622222218</v>
          </cell>
        </row>
        <row r="64">
          <cell r="C64" t="str">
            <v>Operating Income before Interest &amp; Tax</v>
          </cell>
          <cell r="E64">
            <v>468.13863541269831</v>
          </cell>
          <cell r="F64">
            <v>844.7333372959024</v>
          </cell>
          <cell r="G64">
            <v>1029.4570386759408</v>
          </cell>
          <cell r="H64">
            <v>1250.3624442629332</v>
          </cell>
          <cell r="I64">
            <v>1687.6814885013075</v>
          </cell>
          <cell r="J64">
            <v>1746.9560598545595</v>
          </cell>
          <cell r="K64">
            <v>1746.9560598545595</v>
          </cell>
          <cell r="L64">
            <v>1746.9560598545595</v>
          </cell>
          <cell r="M64">
            <v>1746.9560598545595</v>
          </cell>
          <cell r="N64">
            <v>1746.9560598545595</v>
          </cell>
          <cell r="O64">
            <v>1746.9560598545595</v>
          </cell>
          <cell r="P64">
            <v>1746.9560598545595</v>
          </cell>
          <cell r="S64">
            <v>111.51981855555557</v>
          </cell>
          <cell r="T64">
            <v>244.87563711111116</v>
          </cell>
          <cell r="U64">
            <v>384.92445566666669</v>
          </cell>
          <cell r="V64">
            <v>521.61660755555567</v>
          </cell>
          <cell r="W64">
            <v>640.40885944444449</v>
          </cell>
          <cell r="X64">
            <v>759.2011113333333</v>
          </cell>
          <cell r="Y64">
            <v>877.99336322222223</v>
          </cell>
          <cell r="Z64">
            <v>996.78561511111104</v>
          </cell>
          <cell r="AA64">
            <v>1115.577867</v>
          </cell>
          <cell r="AB64">
            <v>1239.8001188888893</v>
          </cell>
          <cell r="AC64">
            <v>1364.0223707777782</v>
          </cell>
          <cell r="AD64">
            <v>1466.383511555556</v>
          </cell>
        </row>
        <row r="66">
          <cell r="B66" t="str">
            <v>PL05</v>
          </cell>
          <cell r="C66" t="str">
            <v>Add: Other Income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13.228158787346221</v>
          </cell>
          <cell r="K66">
            <v>13.228158787346221</v>
          </cell>
          <cell r="L66">
            <v>13.228158787346221</v>
          </cell>
          <cell r="M66">
            <v>13.228158787346221</v>
          </cell>
          <cell r="N66">
            <v>13.228158787346221</v>
          </cell>
          <cell r="O66">
            <v>13.228158787346221</v>
          </cell>
          <cell r="P66">
            <v>13.228158787346221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8">
          <cell r="B68" t="str">
            <v>PL06</v>
          </cell>
          <cell r="C68" t="str">
            <v>Add: Share of JO's interest (Profit Distribution)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70">
          <cell r="C70" t="str">
            <v>EBIT (Eaning Before Interest &amp; Tax)</v>
          </cell>
          <cell r="E70">
            <v>468.13863541269831</v>
          </cell>
          <cell r="F70">
            <v>844.7333372959024</v>
          </cell>
          <cell r="G70">
            <v>1029.4570386759408</v>
          </cell>
          <cell r="H70">
            <v>1250.3624442629332</v>
          </cell>
          <cell r="I70">
            <v>1687.6814885013075</v>
          </cell>
          <cell r="J70">
            <v>1760.1842186419058</v>
          </cell>
          <cell r="K70">
            <v>1760.1842186419058</v>
          </cell>
          <cell r="L70">
            <v>1760.1842186419058</v>
          </cell>
          <cell r="M70">
            <v>1760.1842186419058</v>
          </cell>
          <cell r="N70">
            <v>1760.1842186419058</v>
          </cell>
          <cell r="O70">
            <v>1760.1842186419058</v>
          </cell>
          <cell r="P70">
            <v>1760.1842186419058</v>
          </cell>
          <cell r="S70">
            <v>111.51981855555557</v>
          </cell>
          <cell r="T70">
            <v>244.87563711111116</v>
          </cell>
          <cell r="U70">
            <v>384.92445566666669</v>
          </cell>
          <cell r="V70">
            <v>521.61660755555567</v>
          </cell>
          <cell r="W70">
            <v>640.40885944444449</v>
          </cell>
          <cell r="X70">
            <v>759.2011113333333</v>
          </cell>
          <cell r="Y70">
            <v>877.99336322222223</v>
          </cell>
          <cell r="Z70">
            <v>996.78561511111104</v>
          </cell>
          <cell r="AA70">
            <v>1115.577867</v>
          </cell>
          <cell r="AB70">
            <v>1239.8001188888893</v>
          </cell>
          <cell r="AC70">
            <v>1364.0223707777782</v>
          </cell>
          <cell r="AD70">
            <v>1466.383511555556</v>
          </cell>
        </row>
        <row r="72">
          <cell r="B72" t="str">
            <v>PL07</v>
          </cell>
          <cell r="C72" t="str">
            <v>Less:Financial Expense (net)</v>
          </cell>
          <cell r="E72">
            <v>-2.7330964550264549</v>
          </cell>
          <cell r="F72">
            <v>2.0916354374800048</v>
          </cell>
          <cell r="G72">
            <v>-1.3058164051303591</v>
          </cell>
          <cell r="H72">
            <v>-6.4835506758109425</v>
          </cell>
          <cell r="I72">
            <v>-1.605668999061507</v>
          </cell>
          <cell r="J72">
            <v>-4.2147718988857594</v>
          </cell>
          <cell r="K72">
            <v>-4.2147718988857594</v>
          </cell>
          <cell r="L72">
            <v>-4.2147718988857594</v>
          </cell>
          <cell r="M72">
            <v>-4.2147718988857594</v>
          </cell>
          <cell r="N72">
            <v>-4.2147718988857594</v>
          </cell>
          <cell r="O72">
            <v>-4.2147718988857594</v>
          </cell>
          <cell r="P72">
            <v>-4.2147718988857594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4">
          <cell r="B74" t="str">
            <v>PL08</v>
          </cell>
          <cell r="C74" t="str">
            <v>Less:Loss on forex exch</v>
          </cell>
          <cell r="E74">
            <v>-32.480529862433869</v>
          </cell>
          <cell r="F74">
            <v>-55.599989957524315</v>
          </cell>
          <cell r="G74">
            <v>-102.21476196136308</v>
          </cell>
          <cell r="H74">
            <v>-221.43303156629713</v>
          </cell>
          <cell r="I74">
            <v>-421.45171883582316</v>
          </cell>
          <cell r="J74">
            <v>-443.1036232075279</v>
          </cell>
          <cell r="K74">
            <v>-443.1036232075279</v>
          </cell>
          <cell r="L74">
            <v>-443.1036232075279</v>
          </cell>
          <cell r="M74">
            <v>-443.1036232075279</v>
          </cell>
          <cell r="N74">
            <v>-443.1036232075279</v>
          </cell>
          <cell r="O74">
            <v>-443.1036232075279</v>
          </cell>
          <cell r="P74">
            <v>-443.1036232075279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6">
          <cell r="C76" t="str">
            <v>Profit Before Tax</v>
          </cell>
          <cell r="E76">
            <v>503.3522617301586</v>
          </cell>
          <cell r="F76">
            <v>898.24169181594675</v>
          </cell>
          <cell r="G76">
            <v>1132.9776170424343</v>
          </cell>
          <cell r="H76">
            <v>1478.2790265050412</v>
          </cell>
          <cell r="I76">
            <v>2110.7388763361923</v>
          </cell>
          <cell r="J76">
            <v>2207.5026137483196</v>
          </cell>
          <cell r="K76">
            <v>2207.5026137483196</v>
          </cell>
          <cell r="L76">
            <v>2207.5026137483196</v>
          </cell>
          <cell r="M76">
            <v>2207.5026137483196</v>
          </cell>
          <cell r="N76">
            <v>2207.5026137483196</v>
          </cell>
          <cell r="O76">
            <v>2207.5026137483196</v>
          </cell>
          <cell r="P76">
            <v>2207.5026137483196</v>
          </cell>
          <cell r="S76">
            <v>111.51981855555557</v>
          </cell>
          <cell r="T76">
            <v>244.87563711111116</v>
          </cell>
          <cell r="U76">
            <v>384.92445566666669</v>
          </cell>
          <cell r="V76">
            <v>521.61660755555567</v>
          </cell>
          <cell r="W76">
            <v>640.40885944444449</v>
          </cell>
          <cell r="X76">
            <v>759.2011113333333</v>
          </cell>
          <cell r="Y76">
            <v>877.99336322222223</v>
          </cell>
          <cell r="Z76">
            <v>996.78561511111104</v>
          </cell>
          <cell r="AA76">
            <v>1115.577867</v>
          </cell>
          <cell r="AB76">
            <v>1239.8001188888893</v>
          </cell>
          <cell r="AC76">
            <v>1364.0223707777782</v>
          </cell>
          <cell r="AD76">
            <v>1466.383511555556</v>
          </cell>
        </row>
        <row r="78">
          <cell r="B78" t="str">
            <v>PL09</v>
          </cell>
          <cell r="C78" t="str">
            <v>Less:Taxation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80">
          <cell r="C80" t="str">
            <v>Current Year Profit/(Loss) after tax</v>
          </cell>
          <cell r="E80">
            <v>503.3522617301586</v>
          </cell>
          <cell r="F80">
            <v>898.24169181594675</v>
          </cell>
          <cell r="G80">
            <v>1132.9776170424343</v>
          </cell>
          <cell r="H80">
            <v>1478.2790265050412</v>
          </cell>
          <cell r="I80">
            <v>2110.7388763361923</v>
          </cell>
          <cell r="J80">
            <v>2207.5026137483196</v>
          </cell>
          <cell r="K80">
            <v>2207.5026137483196</v>
          </cell>
          <cell r="L80">
            <v>2207.5026137483196</v>
          </cell>
          <cell r="M80">
            <v>2207.5026137483196</v>
          </cell>
          <cell r="N80">
            <v>2207.5026137483196</v>
          </cell>
          <cell r="O80">
            <v>2207.5026137483196</v>
          </cell>
          <cell r="P80">
            <v>2207.5026137483196</v>
          </cell>
          <cell r="S80">
            <v>111.51981855555557</v>
          </cell>
          <cell r="T80">
            <v>244.87563711111116</v>
          </cell>
          <cell r="U80">
            <v>384.92445566666669</v>
          </cell>
          <cell r="V80">
            <v>521.61660755555567</v>
          </cell>
          <cell r="W80">
            <v>640.40885944444449</v>
          </cell>
          <cell r="X80">
            <v>759.2011113333333</v>
          </cell>
          <cell r="Y80">
            <v>877.99336322222223</v>
          </cell>
          <cell r="Z80">
            <v>996.78561511111104</v>
          </cell>
          <cell r="AA80">
            <v>1115.577867</v>
          </cell>
          <cell r="AB80">
            <v>1239.8001188888893</v>
          </cell>
          <cell r="AC80">
            <v>1364.0223707777782</v>
          </cell>
          <cell r="AD80">
            <v>1466.383511555556</v>
          </cell>
        </row>
      </sheetData>
      <sheetData sheetId="6"/>
      <sheetData sheetId="7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ny"/>
      <sheetName val="Headcount Budget"/>
      <sheetName val="Headcount Actual"/>
      <sheetName val="Miscellaneous Budget"/>
      <sheetName val="Miscellaneous Actual"/>
    </sheetNames>
    <sheetDataSet>
      <sheetData sheetId="0" refreshError="1">
        <row r="6">
          <cell r="D6" t="str">
            <v>Foster's  Ltd</v>
          </cell>
        </row>
        <row r="10">
          <cell r="D10" t="str">
            <v>Million</v>
          </cell>
        </row>
        <row r="11">
          <cell r="D11">
            <v>1000000</v>
          </cell>
        </row>
        <row r="14">
          <cell r="D14">
            <v>9</v>
          </cell>
          <cell r="F14">
            <v>38047</v>
          </cell>
        </row>
        <row r="17">
          <cell r="D17" t="str">
            <v>DC Hanoi</v>
          </cell>
          <cell r="G17" t="str">
            <v>Sales &amp; Marketing</v>
          </cell>
        </row>
        <row r="18">
          <cell r="D18" t="str">
            <v>DC Hue</v>
          </cell>
          <cell r="G18" t="str">
            <v>North - Hanoi</v>
          </cell>
        </row>
        <row r="19">
          <cell r="D19" t="str">
            <v>DC Danang</v>
          </cell>
          <cell r="G19" t="str">
            <v>Central - DaNang</v>
          </cell>
        </row>
        <row r="20">
          <cell r="D20" t="str">
            <v>DC Quang Ngai</v>
          </cell>
          <cell r="G20" t="str">
            <v>Central - Quang Nam</v>
          </cell>
        </row>
        <row r="21">
          <cell r="D21" t="str">
            <v>DC Pleiku</v>
          </cell>
          <cell r="G21" t="str">
            <v>Central - Hue</v>
          </cell>
        </row>
        <row r="22">
          <cell r="D22" t="str">
            <v>DC Nha Trang</v>
          </cell>
          <cell r="G22" t="str">
            <v>Central - Coastal</v>
          </cell>
        </row>
        <row r="23">
          <cell r="D23" t="str">
            <v>DC Lam Dong</v>
          </cell>
          <cell r="G23" t="str">
            <v>Central - Highland</v>
          </cell>
        </row>
        <row r="24">
          <cell r="D24" t="str">
            <v>DC Ba Ria-Vung Tau</v>
          </cell>
          <cell r="G24" t="str">
            <v xml:space="preserve">Central </v>
          </cell>
        </row>
        <row r="25">
          <cell r="D25" t="str">
            <v>DC HCM City</v>
          </cell>
          <cell r="G25" t="str">
            <v xml:space="preserve">Central </v>
          </cell>
        </row>
        <row r="26">
          <cell r="D26" t="str">
            <v>DC My Tho</v>
          </cell>
          <cell r="G26" t="str">
            <v xml:space="preserve">South </v>
          </cell>
        </row>
        <row r="27">
          <cell r="D27" t="str">
            <v>DC Vinh Long</v>
          </cell>
          <cell r="G27" t="str">
            <v>South - SCP</v>
          </cell>
        </row>
        <row r="28">
          <cell r="D28" t="str">
            <v>DC Can Tho</v>
          </cell>
          <cell r="G28" t="str">
            <v>South - BHP</v>
          </cell>
        </row>
        <row r="29">
          <cell r="D29" t="str">
            <v>DC Long Xuyen</v>
          </cell>
          <cell r="G29" t="str">
            <v>South HCMC</v>
          </cell>
        </row>
        <row r="30">
          <cell r="D30" t="str">
            <v>DC Rach Gia</v>
          </cell>
          <cell r="G30" t="str">
            <v>South - DE</v>
          </cell>
        </row>
        <row r="31">
          <cell r="D31" t="str">
            <v>DC Soc Trang</v>
          </cell>
          <cell r="G31" t="str">
            <v>South DW</v>
          </cell>
        </row>
        <row r="32">
          <cell r="D32" t="str">
            <v>DC Ca Mau</v>
          </cell>
        </row>
        <row r="33">
          <cell r="D33" t="str">
            <v>DC Tam Ky</v>
          </cell>
        </row>
        <row r="34">
          <cell r="D34" t="str">
            <v>DC1</v>
          </cell>
        </row>
        <row r="35">
          <cell r="D35" t="str">
            <v>Blank 19</v>
          </cell>
        </row>
        <row r="36">
          <cell r="D36" t="str">
            <v>Blank 20</v>
          </cell>
        </row>
        <row r="37">
          <cell r="D37" t="str">
            <v>Blank 21</v>
          </cell>
        </row>
        <row r="38">
          <cell r="D38" t="str">
            <v>Blank 22</v>
          </cell>
        </row>
        <row r="39">
          <cell r="D39" t="str">
            <v>Blank 23</v>
          </cell>
        </row>
        <row r="40">
          <cell r="D40" t="str">
            <v>Blank 24</v>
          </cell>
        </row>
        <row r="41">
          <cell r="D41" t="str">
            <v>Blank 25</v>
          </cell>
        </row>
        <row r="42">
          <cell r="D42" t="str">
            <v>Blank 26</v>
          </cell>
        </row>
        <row r="43">
          <cell r="D43" t="str">
            <v>Blank 27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MR"/>
      <sheetName val="IDR_Move(1)"/>
      <sheetName val="IDR_YTD(2)"/>
      <sheetName val="IDRt_FS(3)"/>
      <sheetName val="USDt_FS(4)"/>
      <sheetName val="RpBgt_Move(5)"/>
      <sheetName val="RpBgt_YTD(6)"/>
    </sheetNames>
    <sheetDataSet>
      <sheetData sheetId="0" refreshError="1">
        <row r="3">
          <cell r="A3">
            <v>1</v>
          </cell>
          <cell r="B3">
            <v>36892</v>
          </cell>
          <cell r="C3" t="str">
            <v>YTD0001</v>
          </cell>
          <cell r="D3">
            <v>36892</v>
          </cell>
        </row>
        <row r="4">
          <cell r="A4">
            <v>2</v>
          </cell>
          <cell r="B4">
            <v>36923</v>
          </cell>
          <cell r="C4" t="str">
            <v>YTD0002</v>
          </cell>
          <cell r="D4">
            <v>36923</v>
          </cell>
        </row>
        <row r="5">
          <cell r="A5">
            <v>3</v>
          </cell>
          <cell r="B5">
            <v>36951</v>
          </cell>
          <cell r="C5" t="str">
            <v>YTD0003</v>
          </cell>
          <cell r="D5">
            <v>36951</v>
          </cell>
        </row>
        <row r="6">
          <cell r="A6">
            <v>4</v>
          </cell>
          <cell r="B6">
            <v>36982</v>
          </cell>
          <cell r="C6" t="str">
            <v>YTD0004</v>
          </cell>
          <cell r="D6">
            <v>36982</v>
          </cell>
        </row>
        <row r="7">
          <cell r="A7">
            <v>5</v>
          </cell>
          <cell r="B7">
            <v>37012</v>
          </cell>
          <cell r="C7" t="str">
            <v>YTD0005</v>
          </cell>
          <cell r="D7">
            <v>37012</v>
          </cell>
        </row>
        <row r="8">
          <cell r="A8">
            <v>6</v>
          </cell>
          <cell r="B8">
            <v>37043</v>
          </cell>
          <cell r="C8" t="str">
            <v>YTD0006</v>
          </cell>
          <cell r="D8">
            <v>37043</v>
          </cell>
        </row>
        <row r="9">
          <cell r="A9">
            <v>7</v>
          </cell>
          <cell r="B9">
            <v>37073</v>
          </cell>
          <cell r="C9" t="str">
            <v>YTD0007</v>
          </cell>
          <cell r="D9">
            <v>37073</v>
          </cell>
        </row>
        <row r="10">
          <cell r="A10">
            <v>8</v>
          </cell>
          <cell r="B10">
            <v>37104</v>
          </cell>
          <cell r="C10" t="str">
            <v>YTD0008</v>
          </cell>
          <cell r="D10">
            <v>37104</v>
          </cell>
        </row>
        <row r="11">
          <cell r="A11">
            <v>9</v>
          </cell>
          <cell r="B11">
            <v>37135</v>
          </cell>
          <cell r="C11" t="str">
            <v>YTD0009</v>
          </cell>
          <cell r="D11">
            <v>37135</v>
          </cell>
        </row>
        <row r="12">
          <cell r="A12">
            <v>10</v>
          </cell>
          <cell r="B12">
            <v>37165</v>
          </cell>
          <cell r="C12" t="str">
            <v>YTD0010</v>
          </cell>
          <cell r="D12">
            <v>37165</v>
          </cell>
        </row>
        <row r="13">
          <cell r="A13">
            <v>11</v>
          </cell>
          <cell r="B13">
            <v>37196</v>
          </cell>
          <cell r="C13" t="str">
            <v>YTD0011</v>
          </cell>
          <cell r="D13">
            <v>37196</v>
          </cell>
        </row>
        <row r="14">
          <cell r="A14">
            <v>12</v>
          </cell>
          <cell r="B14">
            <v>37226</v>
          </cell>
          <cell r="C14" t="str">
            <v>YTD0012</v>
          </cell>
          <cell r="D14">
            <v>37226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hour"/>
      <sheetName val="Driver"/>
      <sheetName val="Vehicle"/>
      <sheetName val="Target vs Actual"/>
      <sheetName val="Activity"/>
      <sheetName val="Master"/>
    </sheetNames>
    <sheetDataSet>
      <sheetData sheetId="0"/>
      <sheetData sheetId="1"/>
      <sheetData sheetId="2"/>
      <sheetData sheetId="3"/>
      <sheetData sheetId="4"/>
      <sheetData sheetId="5">
        <row r="19">
          <cell r="B19" t="str">
            <v>Irman</v>
          </cell>
        </row>
        <row r="20">
          <cell r="B20" t="str">
            <v xml:space="preserve">Adner Freddy Manurung </v>
          </cell>
        </row>
        <row r="21">
          <cell r="B21" t="str">
            <v>Ahmad Zubeir Nasution</v>
          </cell>
        </row>
        <row r="22">
          <cell r="B22" t="str">
            <v>Ali Masra</v>
          </cell>
        </row>
        <row r="23">
          <cell r="B23" t="str">
            <v>Amir Pasaribu</v>
          </cell>
        </row>
        <row r="24">
          <cell r="B24" t="str">
            <v>Amrizal</v>
          </cell>
        </row>
        <row r="25">
          <cell r="B25" t="str">
            <v>Andika</v>
          </cell>
        </row>
        <row r="26">
          <cell r="B26" t="str">
            <v>Arap Amantius Hutajulu</v>
          </cell>
        </row>
        <row r="27">
          <cell r="B27" t="str">
            <v>Aris Tito</v>
          </cell>
        </row>
        <row r="28">
          <cell r="B28" t="str">
            <v>Asrul Ritonga</v>
          </cell>
        </row>
        <row r="29">
          <cell r="B29" t="str">
            <v>Azwin Siregar</v>
          </cell>
        </row>
        <row r="30">
          <cell r="B30" t="str">
            <v>Bayu YR</v>
          </cell>
        </row>
        <row r="31">
          <cell r="B31" t="str">
            <v>Berthoni Panjaitan</v>
          </cell>
        </row>
        <row r="32">
          <cell r="B32" t="str">
            <v>Bintel Tamba</v>
          </cell>
        </row>
        <row r="33">
          <cell r="B33" t="str">
            <v>Bustami</v>
          </cell>
        </row>
        <row r="34">
          <cell r="B34" t="str">
            <v>Daniel simangunsong</v>
          </cell>
        </row>
        <row r="35">
          <cell r="B35" t="str">
            <v>Darmawan</v>
          </cell>
        </row>
        <row r="36">
          <cell r="B36" t="str">
            <v>David victor situmorang</v>
          </cell>
        </row>
        <row r="37">
          <cell r="B37" t="str">
            <v>Dian purnomo</v>
          </cell>
        </row>
        <row r="38">
          <cell r="B38" t="str">
            <v>Edi hendra manik</v>
          </cell>
        </row>
        <row r="39">
          <cell r="B39" t="str">
            <v>Eko mustianto</v>
          </cell>
        </row>
        <row r="40">
          <cell r="B40" t="str">
            <v>Emot roy jekson simangunsong</v>
          </cell>
        </row>
        <row r="41">
          <cell r="B41" t="str">
            <v>Evernando ambarita</v>
          </cell>
        </row>
        <row r="42">
          <cell r="B42" t="str">
            <v>Fahrijal</v>
          </cell>
        </row>
        <row r="43">
          <cell r="B43" t="str">
            <v>Feri handoko pasaribu</v>
          </cell>
        </row>
        <row r="44">
          <cell r="B44" t="str">
            <v>Fernando felix siallagan</v>
          </cell>
        </row>
        <row r="45">
          <cell r="B45" t="str">
            <v>Ganda pasaribu</v>
          </cell>
        </row>
        <row r="46">
          <cell r="B46" t="str">
            <v>Gom gom butar butar</v>
          </cell>
        </row>
        <row r="47">
          <cell r="B47" t="str">
            <v>Hakim sitorus</v>
          </cell>
        </row>
        <row r="48">
          <cell r="B48" t="str">
            <v>Hotman hasudungan sihombing</v>
          </cell>
        </row>
        <row r="49">
          <cell r="B49" t="str">
            <v>Ismail nasution</v>
          </cell>
        </row>
        <row r="50">
          <cell r="B50" t="str">
            <v>Jesprin lubis</v>
          </cell>
        </row>
        <row r="51">
          <cell r="B51" t="str">
            <v>Jiben gultom</v>
          </cell>
        </row>
        <row r="52">
          <cell r="B52" t="str">
            <v>Jul albon sihotang</v>
          </cell>
        </row>
        <row r="53">
          <cell r="B53" t="str">
            <v>Julfrianto purba</v>
          </cell>
        </row>
        <row r="54">
          <cell r="B54" t="str">
            <v>Junaidy</v>
          </cell>
        </row>
        <row r="55">
          <cell r="B55" t="str">
            <v>Karianto panjaitan</v>
          </cell>
        </row>
        <row r="56">
          <cell r="B56" t="str">
            <v>Latief sitorus</v>
          </cell>
        </row>
        <row r="57">
          <cell r="B57" t="str">
            <v>Lewis tulus simamora</v>
          </cell>
        </row>
        <row r="58">
          <cell r="B58" t="str">
            <v>Mardison</v>
          </cell>
        </row>
        <row r="59">
          <cell r="B59" t="str">
            <v>Marhan syahuri hasibuan</v>
          </cell>
        </row>
        <row r="60">
          <cell r="B60" t="str">
            <v>Maruhal nababan</v>
          </cell>
        </row>
        <row r="61">
          <cell r="B61" t="str">
            <v>Marulak</v>
          </cell>
        </row>
        <row r="62">
          <cell r="B62" t="str">
            <v>Nelson butar butar</v>
          </cell>
        </row>
        <row r="63">
          <cell r="B63" t="str">
            <v>Ospiner aritonang</v>
          </cell>
        </row>
        <row r="64">
          <cell r="B64" t="str">
            <v>Oversuez simanungkalit</v>
          </cell>
        </row>
        <row r="65">
          <cell r="B65" t="str">
            <v>Petrus ginting</v>
          </cell>
        </row>
        <row r="66">
          <cell r="B66" t="str">
            <v>Rianto nasution</v>
          </cell>
        </row>
        <row r="67">
          <cell r="B67" t="str">
            <v>Ricardo sitinjak</v>
          </cell>
        </row>
        <row r="68">
          <cell r="B68" t="str">
            <v>Rico hermansyah</v>
          </cell>
        </row>
        <row r="69">
          <cell r="B69" t="str">
            <v>Rijal</v>
          </cell>
        </row>
        <row r="70">
          <cell r="B70" t="str">
            <v>Riwanto siahaan</v>
          </cell>
        </row>
        <row r="71">
          <cell r="B71" t="str">
            <v>Roberto sinaga</v>
          </cell>
        </row>
        <row r="72">
          <cell r="B72" t="str">
            <v>Rolando sihombing</v>
          </cell>
        </row>
        <row r="73">
          <cell r="B73" t="str">
            <v>Romadon saleh dalimunthe</v>
          </cell>
        </row>
        <row r="74">
          <cell r="B74" t="str">
            <v>Rusman manurung</v>
          </cell>
        </row>
        <row r="75">
          <cell r="B75" t="str">
            <v>Sahnan harahap</v>
          </cell>
        </row>
        <row r="76">
          <cell r="B76" t="str">
            <v>Santo simanjuntak</v>
          </cell>
        </row>
        <row r="77">
          <cell r="B77" t="str">
            <v>Sarifudin saragih</v>
          </cell>
        </row>
        <row r="78">
          <cell r="B78" t="str">
            <v>Saut mongoli sitohang</v>
          </cell>
        </row>
        <row r="79">
          <cell r="B79" t="str">
            <v>Sonny f lumbangaol</v>
          </cell>
        </row>
        <row r="80">
          <cell r="B80" t="str">
            <v>Subono</v>
          </cell>
        </row>
        <row r="81">
          <cell r="B81" t="str">
            <v>Sumardi</v>
          </cell>
        </row>
        <row r="82">
          <cell r="B82" t="str">
            <v>Suprayetno</v>
          </cell>
        </row>
        <row r="83">
          <cell r="B83" t="str">
            <v>Suprian</v>
          </cell>
        </row>
        <row r="84">
          <cell r="B84" t="str">
            <v>Suryadi</v>
          </cell>
        </row>
        <row r="85">
          <cell r="B85" t="str">
            <v>Syafizal bin safran</v>
          </cell>
        </row>
        <row r="86">
          <cell r="B86" t="str">
            <v>Syamsul bachtiar</v>
          </cell>
        </row>
        <row r="87">
          <cell r="B87" t="str">
            <v>Toto harimurianto</v>
          </cell>
        </row>
        <row r="88">
          <cell r="B88" t="str">
            <v>Urip rianto</v>
          </cell>
        </row>
        <row r="89">
          <cell r="B89" t="str">
            <v>Wanri manurung</v>
          </cell>
        </row>
        <row r="90">
          <cell r="B90" t="str">
            <v xml:space="preserve">Welman sitanggang </v>
          </cell>
        </row>
        <row r="91">
          <cell r="B91" t="str">
            <v>Wendri sihotang</v>
          </cell>
        </row>
        <row r="92">
          <cell r="B92" t="str">
            <v>Wilfrid lumban toruan</v>
          </cell>
        </row>
        <row r="93">
          <cell r="B93" t="str">
            <v>Yulisman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eliminaries"/>
      <sheetName val="Civil&amp;Structure"/>
      <sheetName val="Tankage"/>
      <sheetName val="Mechanical Equipment"/>
      <sheetName val="Piping"/>
      <sheetName val="Painting&amp;Wrapping"/>
      <sheetName val="Instrumentation"/>
      <sheetName val="Electrical"/>
      <sheetName val="Others"/>
      <sheetName val="Piling"/>
      <sheetName val="{CALC}"/>
      <sheetName val="Sheet1"/>
      <sheetName val="CRITERIA1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AC3">
            <v>17500</v>
          </cell>
        </row>
        <row r="97">
          <cell r="AE97">
            <v>1500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- MTD"/>
      <sheetName val="Summary"/>
      <sheetName val="ws 1"/>
      <sheetName val="ws 2"/>
      <sheetName val="Batching Plant"/>
      <sheetName val="Pool"/>
      <sheetName val="Bengkel Luar"/>
      <sheetName val="BU.11"/>
      <sheetName val="BU.12"/>
      <sheetName val="BU.13"/>
      <sheetName val="BU.14"/>
      <sheetName val="SUMMARY LIST"/>
      <sheetName val="LIST_NEW"/>
      <sheetName val="Sheet1"/>
      <sheetName val="Sheet2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Items"/>
      <sheetName val="13-11"/>
      <sheetName val="Pro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Items"/>
    </sheetNames>
    <sheetDataSet>
      <sheetData sheetId="0"/>
      <sheetData sheetId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Items"/>
      <sheetName val="P_Harga"/>
      <sheetName val="Anggaran"/>
      <sheetName val="eFPB PUJA"/>
      <sheetName val="eFPB PSR"/>
      <sheetName val="eFPB PF"/>
      <sheetName val="eFPB MULTILAND"/>
      <sheetName val="eBPA PUJA"/>
      <sheetName val="eBPA PSR"/>
      <sheetName val="eBPA PF"/>
      <sheetName val="eBPA MULTILAND"/>
      <sheetName val="Truck"/>
      <sheetName val="Customer Code"/>
      <sheetName val="Sheet2"/>
      <sheetName val="RINCIAN"/>
    </sheetNames>
    <sheetDataSet>
      <sheetData sheetId="0" refreshError="1">
        <row r="8">
          <cell r="A8">
            <v>61101</v>
          </cell>
        </row>
        <row r="13">
          <cell r="A13">
            <v>61102</v>
          </cell>
        </row>
        <row r="14">
          <cell r="A14">
            <v>61103</v>
          </cell>
        </row>
        <row r="15">
          <cell r="A15">
            <v>61104</v>
          </cell>
        </row>
        <row r="19">
          <cell r="A19">
            <v>62101</v>
          </cell>
        </row>
        <row r="20">
          <cell r="A20">
            <v>62102</v>
          </cell>
        </row>
        <row r="22">
          <cell r="A22">
            <v>62201</v>
          </cell>
        </row>
        <row r="24">
          <cell r="A24">
            <v>62301</v>
          </cell>
        </row>
        <row r="28">
          <cell r="A28">
            <v>63101</v>
          </cell>
        </row>
        <row r="29">
          <cell r="A29">
            <v>63102</v>
          </cell>
        </row>
        <row r="31">
          <cell r="A31">
            <v>63201</v>
          </cell>
        </row>
        <row r="32">
          <cell r="A32">
            <v>63202</v>
          </cell>
        </row>
        <row r="34">
          <cell r="A34">
            <v>63301</v>
          </cell>
        </row>
        <row r="36">
          <cell r="A36">
            <v>63401</v>
          </cell>
        </row>
        <row r="38">
          <cell r="A38">
            <v>63501</v>
          </cell>
        </row>
        <row r="42">
          <cell r="A42">
            <v>64101</v>
          </cell>
        </row>
        <row r="43">
          <cell r="A43">
            <v>64102</v>
          </cell>
        </row>
        <row r="44">
          <cell r="A44">
            <v>64103</v>
          </cell>
        </row>
        <row r="45">
          <cell r="A45">
            <v>64104</v>
          </cell>
        </row>
        <row r="46">
          <cell r="A46">
            <v>64105</v>
          </cell>
        </row>
        <row r="50">
          <cell r="A50">
            <v>65101</v>
          </cell>
        </row>
        <row r="51">
          <cell r="A51">
            <v>65102</v>
          </cell>
        </row>
        <row r="52">
          <cell r="A52">
            <v>65103</v>
          </cell>
        </row>
        <row r="53">
          <cell r="A53">
            <v>65104</v>
          </cell>
        </row>
        <row r="54">
          <cell r="A54">
            <v>65105</v>
          </cell>
        </row>
        <row r="55">
          <cell r="A55">
            <v>65106</v>
          </cell>
        </row>
        <row r="57">
          <cell r="A57">
            <v>65201</v>
          </cell>
        </row>
        <row r="60">
          <cell r="A60">
            <v>65301</v>
          </cell>
        </row>
        <row r="61">
          <cell r="A61">
            <v>65302</v>
          </cell>
        </row>
        <row r="62">
          <cell r="A62">
            <v>65303</v>
          </cell>
        </row>
        <row r="63">
          <cell r="A63">
            <v>65304</v>
          </cell>
        </row>
        <row r="64">
          <cell r="A64">
            <v>65305</v>
          </cell>
        </row>
        <row r="65">
          <cell r="A65">
            <v>65306</v>
          </cell>
        </row>
        <row r="66">
          <cell r="A66">
            <v>65307</v>
          </cell>
        </row>
        <row r="69">
          <cell r="A69">
            <v>90000</v>
          </cell>
        </row>
        <row r="74">
          <cell r="A74">
            <v>15011</v>
          </cell>
        </row>
        <row r="76">
          <cell r="A76">
            <v>15021</v>
          </cell>
        </row>
        <row r="78">
          <cell r="A78">
            <v>15031</v>
          </cell>
        </row>
        <row r="80">
          <cell r="A80">
            <v>15041</v>
          </cell>
        </row>
        <row r="82">
          <cell r="A82">
            <v>15051</v>
          </cell>
        </row>
        <row r="84">
          <cell r="A84">
            <v>15061</v>
          </cell>
        </row>
        <row r="86">
          <cell r="A86">
            <v>15071</v>
          </cell>
        </row>
        <row r="88">
          <cell r="A88">
            <v>15081</v>
          </cell>
        </row>
        <row r="90">
          <cell r="A90">
            <v>15091</v>
          </cell>
        </row>
        <row r="91">
          <cell r="A91">
            <v>15092</v>
          </cell>
        </row>
        <row r="92">
          <cell r="A92">
            <v>15093</v>
          </cell>
        </row>
        <row r="94">
          <cell r="A94">
            <v>15101</v>
          </cell>
        </row>
        <row r="96">
          <cell r="A96">
            <v>15111</v>
          </cell>
        </row>
        <row r="98">
          <cell r="A98">
            <v>15121</v>
          </cell>
        </row>
        <row r="100">
          <cell r="A100">
            <v>15131</v>
          </cell>
        </row>
        <row r="102">
          <cell r="A102">
            <v>15141</v>
          </cell>
        </row>
        <row r="104">
          <cell r="A104">
            <v>15901</v>
          </cell>
        </row>
        <row r="105">
          <cell r="A105">
            <v>15902</v>
          </cell>
        </row>
        <row r="106">
          <cell r="A106">
            <v>15903</v>
          </cell>
        </row>
        <row r="107">
          <cell r="A107">
            <v>15904</v>
          </cell>
        </row>
        <row r="108">
          <cell r="A108">
            <v>15905</v>
          </cell>
        </row>
        <row r="109">
          <cell r="A109">
            <v>15906</v>
          </cell>
        </row>
        <row r="111">
          <cell r="A111">
            <v>90000</v>
          </cell>
        </row>
        <row r="119">
          <cell r="A119">
            <v>101</v>
          </cell>
        </row>
        <row r="120">
          <cell r="A120">
            <v>102</v>
          </cell>
        </row>
        <row r="123">
          <cell r="A123">
            <v>201</v>
          </cell>
        </row>
        <row r="126">
          <cell r="A126">
            <v>301</v>
          </cell>
        </row>
        <row r="127">
          <cell r="A127">
            <v>302</v>
          </cell>
        </row>
        <row r="128">
          <cell r="A128">
            <v>303</v>
          </cell>
        </row>
        <row r="129">
          <cell r="A129">
            <v>304</v>
          </cell>
        </row>
        <row r="130">
          <cell r="A130">
            <v>305</v>
          </cell>
        </row>
        <row r="131">
          <cell r="A131">
            <v>306</v>
          </cell>
        </row>
        <row r="134">
          <cell r="A134">
            <v>800</v>
          </cell>
        </row>
        <row r="135">
          <cell r="A135">
            <v>900</v>
          </cell>
        </row>
      </sheetData>
      <sheetData sheetId="1" refreshError="1">
        <row r="1">
          <cell r="A1" t="str">
            <v>ITEM</v>
          </cell>
        </row>
        <row r="2">
          <cell r="A2" t="str">
            <v>00840-61410</v>
          </cell>
        </row>
        <row r="3">
          <cell r="A3" t="str">
            <v>11185-2261</v>
          </cell>
        </row>
        <row r="4">
          <cell r="A4" t="str">
            <v>14536-99017</v>
          </cell>
        </row>
        <row r="5">
          <cell r="A5" t="str">
            <v>31231-1730</v>
          </cell>
        </row>
        <row r="6">
          <cell r="A6" t="str">
            <v>9007-42101</v>
          </cell>
        </row>
        <row r="8">
          <cell r="A8" t="str">
            <v>A.BI.0000001</v>
          </cell>
        </row>
        <row r="9">
          <cell r="A9" t="str">
            <v>A.BI.0000002</v>
          </cell>
        </row>
        <row r="10">
          <cell r="A10" t="str">
            <v>A.BI.0000003</v>
          </cell>
        </row>
        <row r="11">
          <cell r="A11" t="str">
            <v>A.BI.0000004</v>
          </cell>
        </row>
        <row r="12">
          <cell r="A12" t="str">
            <v>A.BI.0000005</v>
          </cell>
        </row>
        <row r="13">
          <cell r="A13" t="str">
            <v>A.BI.0000006</v>
          </cell>
        </row>
        <row r="14">
          <cell r="A14" t="str">
            <v>A.BI.0000007</v>
          </cell>
        </row>
        <row r="15">
          <cell r="A15" t="str">
            <v>A.BI.0000008</v>
          </cell>
        </row>
        <row r="16">
          <cell r="A16" t="str">
            <v>A.BI.0000009</v>
          </cell>
        </row>
        <row r="17">
          <cell r="A17" t="str">
            <v>A.BI.0000010</v>
          </cell>
        </row>
        <row r="18">
          <cell r="A18" t="str">
            <v>A.BI.0000011</v>
          </cell>
        </row>
        <row r="19">
          <cell r="A19" t="str">
            <v>A.BI.0000012</v>
          </cell>
        </row>
        <row r="20">
          <cell r="A20" t="str">
            <v>A.BI.0000013</v>
          </cell>
        </row>
        <row r="21">
          <cell r="A21" t="str">
            <v>A.BI.0000014</v>
          </cell>
        </row>
        <row r="22">
          <cell r="A22" t="str">
            <v>A.BI.0000015</v>
          </cell>
        </row>
        <row r="23">
          <cell r="A23" t="str">
            <v>A.BI.0000016</v>
          </cell>
        </row>
        <row r="24">
          <cell r="A24" t="str">
            <v>A.BI.0000017</v>
          </cell>
        </row>
        <row r="25">
          <cell r="A25" t="str">
            <v>A.BI.0000018</v>
          </cell>
        </row>
        <row r="26">
          <cell r="A26" t="str">
            <v>A.BI.0000019</v>
          </cell>
        </row>
        <row r="28">
          <cell r="A28" t="str">
            <v>A.LV.0000016</v>
          </cell>
        </row>
        <row r="29">
          <cell r="A29" t="str">
            <v>A.LV.0000017</v>
          </cell>
        </row>
        <row r="30">
          <cell r="A30" t="str">
            <v>A.LV.0000018</v>
          </cell>
        </row>
        <row r="31">
          <cell r="A31" t="str">
            <v>A.LV.0000019</v>
          </cell>
        </row>
        <row r="32">
          <cell r="A32" t="str">
            <v>A.LV.0000020</v>
          </cell>
        </row>
        <row r="33">
          <cell r="A33" t="str">
            <v>A.LV.0000021</v>
          </cell>
        </row>
        <row r="34">
          <cell r="A34" t="str">
            <v>A.LV.0000022</v>
          </cell>
        </row>
        <row r="35">
          <cell r="A35" t="str">
            <v>A.LV.0000023</v>
          </cell>
        </row>
        <row r="36">
          <cell r="A36" t="str">
            <v>A.LV.0000024</v>
          </cell>
        </row>
        <row r="37">
          <cell r="A37" t="str">
            <v>A.LV.0000025</v>
          </cell>
        </row>
        <row r="38">
          <cell r="A38" t="str">
            <v>A.LV.0000026</v>
          </cell>
        </row>
        <row r="39">
          <cell r="A39" t="str">
            <v>A.LV.0000027</v>
          </cell>
        </row>
        <row r="40">
          <cell r="A40" t="str">
            <v>A.LV.0000028</v>
          </cell>
        </row>
        <row r="41">
          <cell r="A41" t="str">
            <v>A.LV.0000029</v>
          </cell>
        </row>
        <row r="42">
          <cell r="A42" t="str">
            <v>A.LV.0000030</v>
          </cell>
        </row>
        <row r="43">
          <cell r="A43" t="str">
            <v>A.LV.0000031</v>
          </cell>
        </row>
        <row r="44">
          <cell r="A44" t="str">
            <v>A.LV.0000032</v>
          </cell>
        </row>
        <row r="45">
          <cell r="A45" t="str">
            <v>A.LV.0000033</v>
          </cell>
        </row>
        <row r="46">
          <cell r="A46" t="str">
            <v>A.LV.0000034</v>
          </cell>
        </row>
        <row r="47">
          <cell r="A47" t="str">
            <v>A.LV.0000035</v>
          </cell>
        </row>
        <row r="48">
          <cell r="A48" t="str">
            <v>A.LV.0000036</v>
          </cell>
        </row>
        <row r="49">
          <cell r="A49" t="str">
            <v>A.LV.0000037</v>
          </cell>
        </row>
        <row r="50">
          <cell r="A50" t="str">
            <v>A.LV.0000038</v>
          </cell>
        </row>
        <row r="51">
          <cell r="A51" t="str">
            <v>A.LV.0000039</v>
          </cell>
        </row>
        <row r="52">
          <cell r="A52" t="str">
            <v>A.LV.0000040</v>
          </cell>
        </row>
        <row r="53">
          <cell r="A53" t="str">
            <v>A.LV.0000041</v>
          </cell>
        </row>
        <row r="54">
          <cell r="A54" t="str">
            <v>A.LV.0000042</v>
          </cell>
        </row>
        <row r="55">
          <cell r="A55" t="str">
            <v>A.LV.0000043</v>
          </cell>
        </row>
        <row r="56">
          <cell r="A56" t="str">
            <v>A.LV.0000044</v>
          </cell>
        </row>
        <row r="57">
          <cell r="A57" t="str">
            <v>A.LV.0000045</v>
          </cell>
        </row>
        <row r="58">
          <cell r="A58" t="str">
            <v>A.LV.0000046</v>
          </cell>
        </row>
        <row r="59">
          <cell r="A59" t="str">
            <v>A.LV.0000047</v>
          </cell>
        </row>
        <row r="60">
          <cell r="A60" t="str">
            <v>A.LV.0000048</v>
          </cell>
        </row>
        <row r="61">
          <cell r="A61" t="str">
            <v>A.LV.0000049</v>
          </cell>
        </row>
        <row r="62">
          <cell r="A62" t="str">
            <v>A.LV.0000050</v>
          </cell>
        </row>
        <row r="63">
          <cell r="A63" t="str">
            <v>A.LV.0000051</v>
          </cell>
        </row>
        <row r="64">
          <cell r="A64" t="str">
            <v>A.LV.0000052</v>
          </cell>
        </row>
        <row r="65">
          <cell r="A65" t="str">
            <v>A.LV.0000053</v>
          </cell>
        </row>
        <row r="66">
          <cell r="A66" t="str">
            <v>A.LV.0000054</v>
          </cell>
        </row>
        <row r="67">
          <cell r="A67" t="str">
            <v>A.LV.0000055</v>
          </cell>
        </row>
        <row r="68">
          <cell r="A68" t="str">
            <v>A.LV.0000056</v>
          </cell>
        </row>
        <row r="69">
          <cell r="A69" t="str">
            <v>A.LV.0000057</v>
          </cell>
        </row>
        <row r="70">
          <cell r="A70" t="str">
            <v>A.LV.0000058</v>
          </cell>
        </row>
        <row r="71">
          <cell r="A71" t="str">
            <v>A.LV.0000059</v>
          </cell>
        </row>
        <row r="72">
          <cell r="A72" t="str">
            <v>A.LV.0000060</v>
          </cell>
        </row>
        <row r="73">
          <cell r="A73" t="str">
            <v>A.LV.0000061</v>
          </cell>
        </row>
        <row r="74">
          <cell r="A74" t="str">
            <v>A.LV.0000062</v>
          </cell>
        </row>
        <row r="75">
          <cell r="A75" t="str">
            <v>A.LV.0000063</v>
          </cell>
        </row>
        <row r="76">
          <cell r="A76" t="str">
            <v>A.LV.0000064</v>
          </cell>
        </row>
        <row r="77">
          <cell r="A77" t="str">
            <v>A.LV.0000065</v>
          </cell>
        </row>
        <row r="78">
          <cell r="A78" t="str">
            <v>A.LV.0000066</v>
          </cell>
        </row>
        <row r="79">
          <cell r="A79" t="str">
            <v>A.LV.0000067</v>
          </cell>
        </row>
        <row r="80">
          <cell r="A80" t="str">
            <v>A.LV.0000068</v>
          </cell>
        </row>
        <row r="81">
          <cell r="A81" t="str">
            <v>A.LV.0000069</v>
          </cell>
        </row>
        <row r="82">
          <cell r="A82" t="str">
            <v>A.LV.0000070</v>
          </cell>
        </row>
        <row r="83">
          <cell r="A83" t="str">
            <v>A.LV.0000071</v>
          </cell>
        </row>
        <row r="84">
          <cell r="A84" t="str">
            <v>A.LV.0000072</v>
          </cell>
        </row>
        <row r="85">
          <cell r="A85" t="str">
            <v>A.LV.0000073</v>
          </cell>
        </row>
        <row r="86">
          <cell r="A86" t="str">
            <v>A.LV.0000074</v>
          </cell>
        </row>
        <row r="87">
          <cell r="A87" t="str">
            <v>A.LV.0000075</v>
          </cell>
        </row>
        <row r="88">
          <cell r="A88" t="str">
            <v>A.LV.0000076</v>
          </cell>
        </row>
        <row r="89">
          <cell r="A89" t="str">
            <v>A.LV.0000077</v>
          </cell>
        </row>
        <row r="90">
          <cell r="A90" t="str">
            <v>A.LV.0000078</v>
          </cell>
        </row>
        <row r="91">
          <cell r="A91" t="str">
            <v>A.LV.0000079</v>
          </cell>
        </row>
        <row r="92">
          <cell r="A92" t="str">
            <v>A.LV.0000080</v>
          </cell>
        </row>
        <row r="93">
          <cell r="A93" t="str">
            <v>A.LV.0000081</v>
          </cell>
        </row>
        <row r="94">
          <cell r="A94" t="str">
            <v>A.LV.0000082</v>
          </cell>
        </row>
        <row r="95">
          <cell r="A95" t="str">
            <v>A.LV.0000083</v>
          </cell>
        </row>
        <row r="96">
          <cell r="A96" t="str">
            <v>A.LV.0000084</v>
          </cell>
        </row>
        <row r="97">
          <cell r="A97" t="str">
            <v>A.LV.0000085</v>
          </cell>
        </row>
        <row r="98">
          <cell r="A98" t="str">
            <v>A.LV.0000086</v>
          </cell>
        </row>
        <row r="99">
          <cell r="A99" t="str">
            <v>A.LV.0000087</v>
          </cell>
        </row>
        <row r="100">
          <cell r="A100" t="str">
            <v>A.LV.0000088</v>
          </cell>
        </row>
        <row r="101">
          <cell r="A101" t="str">
            <v>A.LV.0000089</v>
          </cell>
        </row>
        <row r="102">
          <cell r="A102" t="str">
            <v>A.LV.0000090</v>
          </cell>
        </row>
        <row r="103">
          <cell r="A103" t="str">
            <v>A.LV.0000091</v>
          </cell>
        </row>
        <row r="104">
          <cell r="A104" t="str">
            <v>A.LV.0000092</v>
          </cell>
        </row>
        <row r="105">
          <cell r="A105" t="str">
            <v>A.LV.0000093</v>
          </cell>
        </row>
        <row r="106">
          <cell r="A106" t="str">
            <v>A.LV.0000094</v>
          </cell>
        </row>
        <row r="107">
          <cell r="A107" t="str">
            <v>A.LV.0000095</v>
          </cell>
        </row>
        <row r="108">
          <cell r="A108" t="str">
            <v>A.LV.0000096</v>
          </cell>
        </row>
        <row r="109">
          <cell r="A109" t="str">
            <v>A.LV.0000097</v>
          </cell>
        </row>
        <row r="110">
          <cell r="A110" t="str">
            <v>A.LV.0000098</v>
          </cell>
        </row>
        <row r="111">
          <cell r="A111" t="str">
            <v>A.LV.0000099</v>
          </cell>
        </row>
        <row r="112">
          <cell r="A112" t="str">
            <v>A.LV.0000100</v>
          </cell>
        </row>
        <row r="113">
          <cell r="A113" t="str">
            <v>A.LV.0000101</v>
          </cell>
        </row>
        <row r="114">
          <cell r="A114" t="str">
            <v>A.LV.0000102</v>
          </cell>
        </row>
        <row r="115">
          <cell r="A115" t="str">
            <v>A.LV.0000103</v>
          </cell>
        </row>
        <row r="116">
          <cell r="A116" t="str">
            <v>A.LV.0000104</v>
          </cell>
        </row>
        <row r="117">
          <cell r="A117" t="str">
            <v>A.LV.0000105</v>
          </cell>
        </row>
        <row r="118">
          <cell r="A118" t="str">
            <v>A.LV.0000106</v>
          </cell>
        </row>
        <row r="119">
          <cell r="A119" t="str">
            <v>A.LV.0000107</v>
          </cell>
        </row>
        <row r="120">
          <cell r="A120" t="str">
            <v>A.LV.0000108</v>
          </cell>
        </row>
        <row r="121">
          <cell r="A121" t="str">
            <v>A.LV.0000109</v>
          </cell>
        </row>
        <row r="122">
          <cell r="A122" t="str">
            <v>A.LV.0000110</v>
          </cell>
        </row>
        <row r="123">
          <cell r="A123" t="str">
            <v>A.LV.0000111</v>
          </cell>
        </row>
        <row r="124">
          <cell r="A124" t="str">
            <v>A.LV.0000112</v>
          </cell>
        </row>
        <row r="125">
          <cell r="A125" t="str">
            <v>A.LV.0000113</v>
          </cell>
        </row>
        <row r="126">
          <cell r="A126" t="str">
            <v>A.LV.0000114</v>
          </cell>
        </row>
        <row r="127">
          <cell r="A127" t="str">
            <v>A.LV.0000115</v>
          </cell>
        </row>
        <row r="128">
          <cell r="A128" t="str">
            <v>A.LV.0000116</v>
          </cell>
        </row>
        <row r="129">
          <cell r="A129" t="str">
            <v>A.LV.0000117</v>
          </cell>
        </row>
        <row r="130">
          <cell r="A130" t="str">
            <v>A.LV.0000118</v>
          </cell>
        </row>
        <row r="131">
          <cell r="A131" t="str">
            <v>A.LV.0000119</v>
          </cell>
        </row>
        <row r="132">
          <cell r="A132" t="str">
            <v>A.LV.0000120</v>
          </cell>
        </row>
        <row r="133">
          <cell r="A133" t="str">
            <v>A.LV.0000121</v>
          </cell>
        </row>
        <row r="134">
          <cell r="A134" t="str">
            <v>A.LV.0000122</v>
          </cell>
        </row>
        <row r="135">
          <cell r="A135" t="str">
            <v>A.LV.0000123</v>
          </cell>
        </row>
        <row r="136">
          <cell r="A136" t="str">
            <v>A.LV.0000124</v>
          </cell>
        </row>
        <row r="137">
          <cell r="A137" t="str">
            <v>A.LV.0000125</v>
          </cell>
        </row>
        <row r="138">
          <cell r="A138" t="str">
            <v>A.LV.0000126</v>
          </cell>
        </row>
        <row r="139">
          <cell r="A139" t="str">
            <v>A.LV.0000127</v>
          </cell>
        </row>
        <row r="140">
          <cell r="A140" t="str">
            <v>A.LV.0000128</v>
          </cell>
        </row>
        <row r="141">
          <cell r="A141" t="str">
            <v>A.LV.0000129</v>
          </cell>
        </row>
        <row r="142">
          <cell r="A142" t="str">
            <v>A.LV.0000130</v>
          </cell>
        </row>
        <row r="143">
          <cell r="A143" t="str">
            <v>A.LV.0000131</v>
          </cell>
        </row>
        <row r="144">
          <cell r="A144" t="str">
            <v>A.LV.0000132</v>
          </cell>
        </row>
        <row r="145">
          <cell r="A145" t="str">
            <v>A.LV.0000133</v>
          </cell>
        </row>
        <row r="146">
          <cell r="A146" t="str">
            <v>A.LV.0000134</v>
          </cell>
        </row>
        <row r="147">
          <cell r="A147" t="str">
            <v>A.LV.0000135</v>
          </cell>
        </row>
        <row r="148">
          <cell r="A148" t="str">
            <v>A.LV.0000136</v>
          </cell>
        </row>
        <row r="149">
          <cell r="A149" t="str">
            <v>A.LV.0000137</v>
          </cell>
        </row>
        <row r="150">
          <cell r="A150" t="str">
            <v>A.LV.0000138</v>
          </cell>
        </row>
        <row r="151">
          <cell r="A151" t="str">
            <v>A.LV.0000139</v>
          </cell>
        </row>
        <row r="152">
          <cell r="A152" t="str">
            <v>A.LV.0000140</v>
          </cell>
        </row>
        <row r="153">
          <cell r="A153" t="str">
            <v>A.LV.0000141</v>
          </cell>
        </row>
        <row r="154">
          <cell r="A154" t="str">
            <v>A.LV.0000142</v>
          </cell>
        </row>
        <row r="155">
          <cell r="A155" t="str">
            <v>A.LV.0000143</v>
          </cell>
        </row>
        <row r="156">
          <cell r="A156" t="str">
            <v>A.LV.0000144</v>
          </cell>
        </row>
        <row r="157">
          <cell r="A157" t="str">
            <v>A.LV.0000145</v>
          </cell>
        </row>
        <row r="158">
          <cell r="A158" t="str">
            <v>A.LV.0000146</v>
          </cell>
        </row>
        <row r="159">
          <cell r="A159" t="str">
            <v>A.LV.0000147</v>
          </cell>
        </row>
        <row r="160">
          <cell r="A160" t="str">
            <v>A.LV.0000148</v>
          </cell>
        </row>
        <row r="161">
          <cell r="A161" t="str">
            <v>A.LV.0000149</v>
          </cell>
        </row>
        <row r="162">
          <cell r="A162" t="str">
            <v>A.LV.0000150</v>
          </cell>
        </row>
        <row r="163">
          <cell r="A163" t="str">
            <v>A.LV.0000151</v>
          </cell>
        </row>
        <row r="164">
          <cell r="A164" t="str">
            <v>A.LV.0000152</v>
          </cell>
        </row>
        <row r="165">
          <cell r="A165" t="str">
            <v>A.LV.0000153</v>
          </cell>
        </row>
        <row r="166">
          <cell r="A166" t="str">
            <v>A.LV.0000154</v>
          </cell>
        </row>
        <row r="167">
          <cell r="A167" t="str">
            <v>A.LV.0000155</v>
          </cell>
        </row>
        <row r="168">
          <cell r="A168" t="str">
            <v>A.LV.0000156</v>
          </cell>
        </row>
        <row r="169">
          <cell r="A169" t="str">
            <v>A.LV.0000157</v>
          </cell>
        </row>
        <row r="170">
          <cell r="A170" t="str">
            <v>A.LV.0000158</v>
          </cell>
        </row>
        <row r="171">
          <cell r="A171" t="str">
            <v>A.LV.0000159</v>
          </cell>
        </row>
        <row r="172">
          <cell r="A172" t="str">
            <v>A.LV.0000160</v>
          </cell>
        </row>
        <row r="173">
          <cell r="A173" t="str">
            <v>A.LV.0000161</v>
          </cell>
        </row>
        <row r="174">
          <cell r="A174" t="str">
            <v>A.LV.0000162</v>
          </cell>
        </row>
        <row r="175">
          <cell r="A175" t="str">
            <v>A.LV.0000163</v>
          </cell>
        </row>
        <row r="176">
          <cell r="A176" t="str">
            <v>A.LV.0000164</v>
          </cell>
        </row>
        <row r="177">
          <cell r="A177" t="str">
            <v>A.LV.0000165</v>
          </cell>
        </row>
        <row r="178">
          <cell r="A178" t="str">
            <v>A.LV.0000166</v>
          </cell>
        </row>
        <row r="179">
          <cell r="A179" t="str">
            <v>A.LV.0000167</v>
          </cell>
        </row>
        <row r="180">
          <cell r="A180" t="str">
            <v>A.LV.0000168</v>
          </cell>
        </row>
        <row r="181">
          <cell r="A181" t="str">
            <v>A.LV.0000169</v>
          </cell>
        </row>
        <row r="182">
          <cell r="A182" t="str">
            <v>A.LV.0000170</v>
          </cell>
        </row>
        <row r="183">
          <cell r="A183" t="str">
            <v>A.LV.0000171</v>
          </cell>
        </row>
        <row r="184">
          <cell r="A184" t="str">
            <v>A.LV.0000172</v>
          </cell>
        </row>
        <row r="185">
          <cell r="A185" t="str">
            <v>A.LV.0000173</v>
          </cell>
        </row>
        <row r="186">
          <cell r="A186" t="str">
            <v>A.LV.0000174</v>
          </cell>
        </row>
        <row r="187">
          <cell r="A187" t="str">
            <v>A.LV.0000175</v>
          </cell>
        </row>
        <row r="188">
          <cell r="A188" t="str">
            <v>A.LV.0000176</v>
          </cell>
        </row>
        <row r="189">
          <cell r="A189" t="str">
            <v>A.LV.0000177</v>
          </cell>
        </row>
        <row r="190">
          <cell r="A190" t="str">
            <v>A.LV.0000178</v>
          </cell>
        </row>
        <row r="191">
          <cell r="A191" t="str">
            <v>A.LV.0000179</v>
          </cell>
        </row>
        <row r="192">
          <cell r="A192" t="str">
            <v>A.LV.0000180</v>
          </cell>
        </row>
        <row r="193">
          <cell r="A193" t="str">
            <v>A.LV.0000181</v>
          </cell>
        </row>
        <row r="194">
          <cell r="A194" t="str">
            <v>A.LV.0000182</v>
          </cell>
        </row>
        <row r="195">
          <cell r="A195" t="str">
            <v>A.LV.0000183</v>
          </cell>
        </row>
        <row r="196">
          <cell r="A196" t="str">
            <v>A.LV.0000184</v>
          </cell>
        </row>
        <row r="197">
          <cell r="A197" t="str">
            <v>A.LV.0000185</v>
          </cell>
        </row>
        <row r="198">
          <cell r="A198" t="str">
            <v>A.LV.0000186</v>
          </cell>
        </row>
        <row r="199">
          <cell r="A199" t="str">
            <v>A.LV.0000187</v>
          </cell>
        </row>
        <row r="200">
          <cell r="A200" t="str">
            <v>A.LV.0000188</v>
          </cell>
        </row>
        <row r="201">
          <cell r="A201" t="str">
            <v>A.LV.0000189</v>
          </cell>
        </row>
        <row r="202">
          <cell r="A202" t="str">
            <v>A.LV.0000190</v>
          </cell>
        </row>
        <row r="203">
          <cell r="A203" t="str">
            <v>A.LV.0000191</v>
          </cell>
        </row>
        <row r="204">
          <cell r="A204" t="str">
            <v>A.LV.0000192</v>
          </cell>
        </row>
        <row r="205">
          <cell r="A205" t="str">
            <v>A.LV.0000193</v>
          </cell>
        </row>
        <row r="206">
          <cell r="A206" t="str">
            <v>A.LV.0000194</v>
          </cell>
        </row>
        <row r="207">
          <cell r="A207" t="str">
            <v>A.LV.0000195</v>
          </cell>
        </row>
        <row r="208">
          <cell r="A208" t="str">
            <v>A.LV.0000196</v>
          </cell>
        </row>
        <row r="209">
          <cell r="A209" t="str">
            <v>A.LV.0000197</v>
          </cell>
        </row>
        <row r="210">
          <cell r="A210" t="str">
            <v>A.LV.0000198</v>
          </cell>
        </row>
        <row r="211">
          <cell r="A211" t="str">
            <v>A.LV.0000199</v>
          </cell>
        </row>
        <row r="212">
          <cell r="A212" t="str">
            <v>A.LV.0000200</v>
          </cell>
        </row>
        <row r="213">
          <cell r="A213" t="str">
            <v>A.LV.0000201</v>
          </cell>
        </row>
        <row r="214">
          <cell r="A214" t="str">
            <v>A.LV.0000202</v>
          </cell>
        </row>
        <row r="215">
          <cell r="A215" t="str">
            <v>A.LV.0000203</v>
          </cell>
        </row>
        <row r="216">
          <cell r="A216" t="str">
            <v>A.LV.0000204</v>
          </cell>
        </row>
        <row r="217">
          <cell r="A217" t="str">
            <v>A.LV.0000205</v>
          </cell>
        </row>
        <row r="218">
          <cell r="A218" t="str">
            <v>A.LV.0000206</v>
          </cell>
        </row>
        <row r="219">
          <cell r="A219" t="str">
            <v>A.LV.0000207</v>
          </cell>
        </row>
        <row r="220">
          <cell r="A220" t="str">
            <v>A.LV.0000208</v>
          </cell>
        </row>
        <row r="221">
          <cell r="A221" t="str">
            <v>A.LV.0000209</v>
          </cell>
        </row>
        <row r="222">
          <cell r="A222" t="str">
            <v>A.LV.0000210</v>
          </cell>
        </row>
        <row r="223">
          <cell r="A223" t="str">
            <v>A.LV.0000211</v>
          </cell>
        </row>
        <row r="224">
          <cell r="A224" t="str">
            <v>A.LV.0000212</v>
          </cell>
        </row>
        <row r="225">
          <cell r="A225" t="str">
            <v>A.LV.0000213</v>
          </cell>
        </row>
        <row r="226">
          <cell r="A226" t="str">
            <v>A.LV.0000214</v>
          </cell>
        </row>
        <row r="227">
          <cell r="A227" t="str">
            <v>A.LV.0000215</v>
          </cell>
        </row>
        <row r="228">
          <cell r="A228" t="str">
            <v>A.LV.0000216</v>
          </cell>
        </row>
        <row r="229">
          <cell r="A229" t="str">
            <v>A.LV.0000217</v>
          </cell>
        </row>
        <row r="230">
          <cell r="A230" t="str">
            <v>A.LV.0000218</v>
          </cell>
        </row>
        <row r="231">
          <cell r="A231" t="str">
            <v>A.LV.0000219</v>
          </cell>
        </row>
        <row r="232">
          <cell r="A232" t="str">
            <v>A.LV.0000220</v>
          </cell>
        </row>
        <row r="233">
          <cell r="A233" t="str">
            <v>A.LV.0000221</v>
          </cell>
        </row>
        <row r="234">
          <cell r="A234" t="str">
            <v>A.LV.0000222</v>
          </cell>
        </row>
        <row r="235">
          <cell r="A235" t="str">
            <v>A.LV.0000223</v>
          </cell>
        </row>
        <row r="236">
          <cell r="A236" t="str">
            <v>A.LV.0000224</v>
          </cell>
        </row>
        <row r="237">
          <cell r="A237" t="str">
            <v>A.LV.0000225</v>
          </cell>
        </row>
        <row r="238">
          <cell r="A238" t="str">
            <v>A.LV.0000226</v>
          </cell>
        </row>
        <row r="239">
          <cell r="A239" t="str">
            <v>A.LV.0000227</v>
          </cell>
        </row>
        <row r="240">
          <cell r="A240" t="str">
            <v>A.LV.0000228</v>
          </cell>
        </row>
        <row r="241">
          <cell r="A241" t="str">
            <v>A.LV.0000229</v>
          </cell>
        </row>
        <row r="242">
          <cell r="A242" t="str">
            <v>A.LV.0000230</v>
          </cell>
        </row>
        <row r="243">
          <cell r="A243" t="str">
            <v>A.LV.0000231</v>
          </cell>
        </row>
        <row r="244">
          <cell r="A244" t="str">
            <v>A.LV.0000232</v>
          </cell>
        </row>
        <row r="245">
          <cell r="A245" t="str">
            <v>A.LV.0000233</v>
          </cell>
        </row>
        <row r="246">
          <cell r="A246" t="str">
            <v>A.LV.0000234</v>
          </cell>
        </row>
        <row r="247">
          <cell r="A247" t="str">
            <v>A.LV.0000235</v>
          </cell>
        </row>
        <row r="248">
          <cell r="A248" t="str">
            <v>A.LV.0000236</v>
          </cell>
        </row>
        <row r="249">
          <cell r="A249" t="str">
            <v>A.LV.0000237</v>
          </cell>
        </row>
        <row r="250">
          <cell r="A250" t="str">
            <v>A.LV.0000238</v>
          </cell>
        </row>
        <row r="251">
          <cell r="A251" t="str">
            <v>A.LV.0000239</v>
          </cell>
        </row>
        <row r="252">
          <cell r="A252" t="str">
            <v>A.LV.0000240</v>
          </cell>
        </row>
        <row r="253">
          <cell r="A253" t="str">
            <v>A.LV.0000241</v>
          </cell>
        </row>
        <row r="254">
          <cell r="A254" t="str">
            <v>A.LV.0000242</v>
          </cell>
        </row>
        <row r="255">
          <cell r="A255" t="str">
            <v>A.LV.0000243</v>
          </cell>
        </row>
        <row r="256">
          <cell r="A256" t="str">
            <v>A.LV.0000244</v>
          </cell>
        </row>
        <row r="257">
          <cell r="A257" t="str">
            <v>A.LV.0000245</v>
          </cell>
        </row>
        <row r="258">
          <cell r="A258" t="str">
            <v>A.LV.0000246</v>
          </cell>
        </row>
        <row r="259">
          <cell r="A259" t="str">
            <v>A.LV.0000247</v>
          </cell>
        </row>
        <row r="260">
          <cell r="A260" t="str">
            <v>A.LV.0000248</v>
          </cell>
        </row>
        <row r="261">
          <cell r="A261" t="str">
            <v>A.LV.0000249</v>
          </cell>
        </row>
        <row r="262">
          <cell r="A262" t="str">
            <v>A.LV.0000250</v>
          </cell>
        </row>
        <row r="263">
          <cell r="A263" t="str">
            <v>A.LV.0000251</v>
          </cell>
        </row>
        <row r="264">
          <cell r="A264" t="str">
            <v>A.LV.0000252</v>
          </cell>
        </row>
        <row r="265">
          <cell r="A265" t="str">
            <v>A.LV.0000253</v>
          </cell>
        </row>
        <row r="266">
          <cell r="A266" t="str">
            <v>A.LV.0000254</v>
          </cell>
        </row>
        <row r="267">
          <cell r="A267" t="str">
            <v>A.LV.0000255</v>
          </cell>
        </row>
        <row r="268">
          <cell r="A268" t="str">
            <v>A.LV.0000256</v>
          </cell>
        </row>
        <row r="269">
          <cell r="A269" t="str">
            <v>A.LV.0000257</v>
          </cell>
        </row>
        <row r="270">
          <cell r="A270" t="str">
            <v>A.LV.0000258</v>
          </cell>
        </row>
        <row r="271">
          <cell r="A271" t="str">
            <v>A.LV.0000259</v>
          </cell>
        </row>
        <row r="272">
          <cell r="A272" t="str">
            <v>A.LV.0000260</v>
          </cell>
        </row>
        <row r="273">
          <cell r="A273" t="str">
            <v>A.LV.0000261</v>
          </cell>
        </row>
        <row r="274">
          <cell r="A274" t="str">
            <v>A.LV.0000262</v>
          </cell>
        </row>
        <row r="275">
          <cell r="A275" t="str">
            <v>A.LV.0000263</v>
          </cell>
        </row>
        <row r="276">
          <cell r="A276" t="str">
            <v>A.LV.0000264</v>
          </cell>
        </row>
        <row r="277">
          <cell r="A277" t="str">
            <v>A.LV.0000265</v>
          </cell>
        </row>
        <row r="278">
          <cell r="A278" t="str">
            <v>A.LV.0000266</v>
          </cell>
        </row>
        <row r="279">
          <cell r="A279" t="str">
            <v>A.LV.0000267</v>
          </cell>
        </row>
        <row r="280">
          <cell r="A280" t="str">
            <v>A.LV.0000268</v>
          </cell>
        </row>
        <row r="281">
          <cell r="A281" t="str">
            <v>A.LV.0000269</v>
          </cell>
        </row>
        <row r="282">
          <cell r="A282" t="str">
            <v>A.LV.0000270</v>
          </cell>
        </row>
        <row r="283">
          <cell r="A283" t="str">
            <v>A.LV.0000271</v>
          </cell>
        </row>
        <row r="284">
          <cell r="A284" t="str">
            <v>A.LV.0000272</v>
          </cell>
        </row>
        <row r="285">
          <cell r="A285" t="str">
            <v>A.LV.0000273</v>
          </cell>
        </row>
        <row r="286">
          <cell r="A286" t="str">
            <v>A.LV.0000274</v>
          </cell>
        </row>
        <row r="287">
          <cell r="A287" t="str">
            <v>A.LV.0000275</v>
          </cell>
        </row>
        <row r="288">
          <cell r="A288" t="str">
            <v>A.LV.0000276</v>
          </cell>
        </row>
        <row r="289">
          <cell r="A289" t="str">
            <v>A.LV.0000277</v>
          </cell>
        </row>
        <row r="290">
          <cell r="A290" t="str">
            <v>A.LV.0000278</v>
          </cell>
        </row>
        <row r="291">
          <cell r="A291" t="str">
            <v>A.LV.0000279</v>
          </cell>
        </row>
        <row r="292">
          <cell r="A292" t="str">
            <v>A.LV.0000280</v>
          </cell>
        </row>
        <row r="293">
          <cell r="A293" t="str">
            <v>A.LV.0000281</v>
          </cell>
        </row>
        <row r="294">
          <cell r="A294" t="str">
            <v>A.LV.0000282</v>
          </cell>
        </row>
        <row r="295">
          <cell r="A295" t="str">
            <v>A.LV.0000283</v>
          </cell>
        </row>
        <row r="296">
          <cell r="A296" t="str">
            <v>A.LV.0000284</v>
          </cell>
        </row>
        <row r="297">
          <cell r="A297" t="str">
            <v>A.LV.0000285</v>
          </cell>
        </row>
        <row r="298">
          <cell r="A298" t="str">
            <v>A.LV.0000286</v>
          </cell>
        </row>
        <row r="299">
          <cell r="A299" t="str">
            <v>A.LV.0000287</v>
          </cell>
        </row>
        <row r="300">
          <cell r="A300" t="str">
            <v>A.LV.0000288</v>
          </cell>
        </row>
        <row r="301">
          <cell r="A301" t="str">
            <v>A.LV.0000289</v>
          </cell>
        </row>
        <row r="302">
          <cell r="A302" t="str">
            <v>A.LV.0000290</v>
          </cell>
        </row>
        <row r="303">
          <cell r="A303" t="str">
            <v>A.LV.0000291</v>
          </cell>
        </row>
        <row r="304">
          <cell r="A304" t="str">
            <v>A.LV.0000292</v>
          </cell>
        </row>
        <row r="305">
          <cell r="A305" t="str">
            <v>A.LV.0000293</v>
          </cell>
        </row>
        <row r="306">
          <cell r="A306" t="str">
            <v>A.LV.0000294</v>
          </cell>
        </row>
        <row r="307">
          <cell r="A307" t="str">
            <v>A.LV.0000295</v>
          </cell>
        </row>
        <row r="308">
          <cell r="A308" t="str">
            <v>A.LV.0000296</v>
          </cell>
        </row>
        <row r="309">
          <cell r="A309" t="str">
            <v>A.LV.0000297</v>
          </cell>
        </row>
        <row r="310">
          <cell r="A310" t="str">
            <v>A.LV.0000298</v>
          </cell>
        </row>
        <row r="311">
          <cell r="A311" t="str">
            <v>A.LV.0000299</v>
          </cell>
        </row>
        <row r="312">
          <cell r="A312" t="str">
            <v>A.LV.0000300</v>
          </cell>
        </row>
        <row r="313">
          <cell r="A313" t="str">
            <v>A.LV.0000301</v>
          </cell>
        </row>
        <row r="314">
          <cell r="A314" t="str">
            <v>A.LV.0000302</v>
          </cell>
        </row>
        <row r="315">
          <cell r="A315" t="str">
            <v>A.LV.0000303</v>
          </cell>
        </row>
        <row r="316">
          <cell r="A316" t="str">
            <v>A.LV.0000304</v>
          </cell>
        </row>
        <row r="317">
          <cell r="A317" t="str">
            <v>A.LV.0000305</v>
          </cell>
        </row>
        <row r="318">
          <cell r="A318" t="str">
            <v>A.LV.0000306</v>
          </cell>
        </row>
        <row r="319">
          <cell r="A319" t="str">
            <v>A.LV.0000307</v>
          </cell>
        </row>
        <row r="320">
          <cell r="A320" t="str">
            <v>A.LV.0000308</v>
          </cell>
        </row>
        <row r="321">
          <cell r="A321" t="str">
            <v>A.LV.0000309</v>
          </cell>
        </row>
        <row r="322">
          <cell r="A322" t="str">
            <v>A.LV.0000310</v>
          </cell>
        </row>
        <row r="323">
          <cell r="A323" t="str">
            <v>A.LV.0000311</v>
          </cell>
        </row>
        <row r="324">
          <cell r="A324" t="str">
            <v>A.LV.0000312</v>
          </cell>
        </row>
        <row r="325">
          <cell r="A325" t="str">
            <v>A.LV.0000313</v>
          </cell>
        </row>
        <row r="326">
          <cell r="A326" t="str">
            <v>A.LV.0000314</v>
          </cell>
        </row>
        <row r="327">
          <cell r="A327" t="str">
            <v>A.LV.0000315</v>
          </cell>
        </row>
        <row r="328">
          <cell r="A328" t="str">
            <v>A.LV.0000316</v>
          </cell>
        </row>
        <row r="329">
          <cell r="A329" t="str">
            <v>A.LV.0000317</v>
          </cell>
        </row>
        <row r="330">
          <cell r="A330" t="str">
            <v>A.LV.0000318</v>
          </cell>
        </row>
        <row r="331">
          <cell r="A331" t="str">
            <v>A.LV.0000319</v>
          </cell>
        </row>
        <row r="332">
          <cell r="A332" t="str">
            <v>A.LV.0000320</v>
          </cell>
        </row>
        <row r="333">
          <cell r="A333" t="str">
            <v>A.LV.0000321</v>
          </cell>
        </row>
        <row r="334">
          <cell r="A334" t="str">
            <v>A.LV.0000322</v>
          </cell>
        </row>
        <row r="335">
          <cell r="A335" t="str">
            <v>A.LV.0000323</v>
          </cell>
        </row>
        <row r="336">
          <cell r="A336" t="str">
            <v>A.LV.0000324</v>
          </cell>
        </row>
        <row r="337">
          <cell r="A337" t="str">
            <v>A.LV.0000325</v>
          </cell>
        </row>
        <row r="338">
          <cell r="A338" t="str">
            <v>A.LV.0000326</v>
          </cell>
        </row>
        <row r="339">
          <cell r="A339" t="str">
            <v>A.LV.0000327</v>
          </cell>
        </row>
        <row r="340">
          <cell r="A340" t="str">
            <v>A.LV.0000328</v>
          </cell>
        </row>
        <row r="341">
          <cell r="A341" t="str">
            <v>A.LV.0000329</v>
          </cell>
        </row>
        <row r="342">
          <cell r="A342" t="str">
            <v>A.LV.0000330</v>
          </cell>
        </row>
        <row r="343">
          <cell r="A343" t="str">
            <v>A.LV.0000331</v>
          </cell>
        </row>
        <row r="344">
          <cell r="A344" t="str">
            <v>A.LV.0000332</v>
          </cell>
        </row>
        <row r="345">
          <cell r="A345" t="str">
            <v>A.LV.0000333</v>
          </cell>
        </row>
        <row r="346">
          <cell r="A346" t="str">
            <v>A.LV.0000334</v>
          </cell>
        </row>
        <row r="347">
          <cell r="A347" t="str">
            <v>A.LV.0000335</v>
          </cell>
        </row>
        <row r="348">
          <cell r="A348" t="str">
            <v>A.LV.0000336</v>
          </cell>
        </row>
        <row r="349">
          <cell r="A349" t="str">
            <v>A.LV.0000337</v>
          </cell>
        </row>
        <row r="350">
          <cell r="A350" t="str">
            <v>A.LV.0000338</v>
          </cell>
        </row>
        <row r="351">
          <cell r="A351" t="str">
            <v>A.LV.0000339</v>
          </cell>
        </row>
        <row r="352">
          <cell r="A352" t="str">
            <v>A.LV.0000340</v>
          </cell>
        </row>
        <row r="353">
          <cell r="A353" t="str">
            <v>A.LV.0000341</v>
          </cell>
        </row>
        <row r="354">
          <cell r="A354" t="str">
            <v>A.LV.0000342</v>
          </cell>
        </row>
        <row r="355">
          <cell r="A355" t="str">
            <v>A.LV.0000343</v>
          </cell>
        </row>
        <row r="356">
          <cell r="A356" t="str">
            <v>A.LV.0000344</v>
          </cell>
        </row>
        <row r="357">
          <cell r="A357" t="str">
            <v>A.LV.0000345</v>
          </cell>
        </row>
        <row r="358">
          <cell r="A358" t="str">
            <v>A.LV.0000346</v>
          </cell>
        </row>
        <row r="359">
          <cell r="A359" t="str">
            <v>A.LV.0000347</v>
          </cell>
        </row>
        <row r="360">
          <cell r="A360" t="str">
            <v>A.LV.0000348</v>
          </cell>
        </row>
        <row r="361">
          <cell r="A361" t="str">
            <v>A.LV.0000349</v>
          </cell>
        </row>
        <row r="362">
          <cell r="A362" t="str">
            <v>A.LV.0000350</v>
          </cell>
        </row>
        <row r="363">
          <cell r="A363" t="str">
            <v>A.LV.0000351</v>
          </cell>
        </row>
        <row r="364">
          <cell r="A364" t="str">
            <v>A.LV.0000352</v>
          </cell>
        </row>
        <row r="365">
          <cell r="A365" t="str">
            <v>A.LV.0000353</v>
          </cell>
        </row>
        <row r="366">
          <cell r="A366" t="str">
            <v>A.LV.0000354</v>
          </cell>
        </row>
        <row r="367">
          <cell r="A367" t="str">
            <v>A.LV.0000355</v>
          </cell>
        </row>
        <row r="368">
          <cell r="A368" t="str">
            <v>A.LV.0000356</v>
          </cell>
        </row>
        <row r="369">
          <cell r="A369" t="str">
            <v>A.LV.0000357</v>
          </cell>
        </row>
        <row r="370">
          <cell r="A370" t="str">
            <v>A.LV.0000358</v>
          </cell>
        </row>
        <row r="371">
          <cell r="A371" t="str">
            <v>A.LV.0000359</v>
          </cell>
        </row>
        <row r="372">
          <cell r="A372" t="str">
            <v>A.LV.0000360</v>
          </cell>
        </row>
        <row r="373">
          <cell r="A373" t="str">
            <v>A.LV.0000361</v>
          </cell>
        </row>
        <row r="374">
          <cell r="A374" t="str">
            <v>A.LV.0000362</v>
          </cell>
        </row>
        <row r="375">
          <cell r="A375" t="str">
            <v>A.LV.0000363</v>
          </cell>
        </row>
        <row r="376">
          <cell r="A376" t="str">
            <v>A.LV.0000364</v>
          </cell>
        </row>
        <row r="377">
          <cell r="A377" t="str">
            <v>A.LV.0000365</v>
          </cell>
        </row>
        <row r="378">
          <cell r="A378" t="str">
            <v>A.LV.0000366</v>
          </cell>
        </row>
        <row r="379">
          <cell r="A379" t="str">
            <v>A.LV.0000367</v>
          </cell>
        </row>
        <row r="380">
          <cell r="A380" t="str">
            <v>A.LV.0000368</v>
          </cell>
        </row>
        <row r="381">
          <cell r="A381" t="str">
            <v>A.LV.0000369</v>
          </cell>
        </row>
        <row r="382">
          <cell r="A382" t="str">
            <v>A.LV.0000370</v>
          </cell>
        </row>
        <row r="383">
          <cell r="A383" t="str">
            <v>A.LV.0000371</v>
          </cell>
        </row>
        <row r="384">
          <cell r="A384" t="str">
            <v>A.LV.0000372</v>
          </cell>
        </row>
        <row r="385">
          <cell r="A385" t="str">
            <v>A.LV.0000373</v>
          </cell>
        </row>
        <row r="386">
          <cell r="A386" t="str">
            <v>A.LV.0000374</v>
          </cell>
        </row>
        <row r="387">
          <cell r="A387" t="str">
            <v>A.LV.0000375</v>
          </cell>
        </row>
        <row r="388">
          <cell r="A388" t="str">
            <v>A.LV.0000376</v>
          </cell>
        </row>
        <row r="389">
          <cell r="A389" t="str">
            <v>A.LV.0000377</v>
          </cell>
        </row>
        <row r="390">
          <cell r="A390" t="str">
            <v>A.LV.0000378</v>
          </cell>
        </row>
        <row r="391">
          <cell r="A391" t="str">
            <v>A.LV.0000379</v>
          </cell>
        </row>
        <row r="392">
          <cell r="A392" t="str">
            <v>A.LV.0000380</v>
          </cell>
        </row>
        <row r="393">
          <cell r="A393" t="str">
            <v>A.LV.0000381</v>
          </cell>
        </row>
        <row r="394">
          <cell r="A394" t="str">
            <v>A.LV.0000382</v>
          </cell>
        </row>
        <row r="395">
          <cell r="A395" t="str">
            <v>A.LV.0000383</v>
          </cell>
        </row>
        <row r="396">
          <cell r="A396" t="str">
            <v>A.LV.0000384</v>
          </cell>
        </row>
        <row r="397">
          <cell r="A397" t="str">
            <v>A.LV.0000385</v>
          </cell>
        </row>
        <row r="398">
          <cell r="A398" t="str">
            <v>A.LV.0000386</v>
          </cell>
        </row>
        <row r="399">
          <cell r="A399" t="str">
            <v>A.LV.0000387</v>
          </cell>
        </row>
        <row r="400">
          <cell r="A400" t="str">
            <v>A.LV.0000388</v>
          </cell>
        </row>
        <row r="401">
          <cell r="A401" t="str">
            <v>A.LV.0000389</v>
          </cell>
        </row>
        <row r="402">
          <cell r="A402" t="str">
            <v>A.LV.0000390</v>
          </cell>
        </row>
        <row r="403">
          <cell r="A403" t="str">
            <v>A.LV.0000391</v>
          </cell>
        </row>
        <row r="404">
          <cell r="A404" t="str">
            <v>A.LV.0000392</v>
          </cell>
        </row>
        <row r="405">
          <cell r="A405" t="str">
            <v>A.LV.0000393</v>
          </cell>
        </row>
        <row r="406">
          <cell r="A406" t="str">
            <v>A.LV.0000394</v>
          </cell>
        </row>
        <row r="407">
          <cell r="A407" t="str">
            <v>A.LV.0000395</v>
          </cell>
        </row>
        <row r="408">
          <cell r="A408" t="str">
            <v>A.LV.0000396</v>
          </cell>
        </row>
        <row r="409">
          <cell r="A409" t="str">
            <v>A.LV.0000397</v>
          </cell>
        </row>
        <row r="410">
          <cell r="A410" t="str">
            <v>A.LV.0000398</v>
          </cell>
        </row>
        <row r="411">
          <cell r="A411" t="str">
            <v>A.LV.0000399</v>
          </cell>
        </row>
        <row r="412">
          <cell r="A412" t="str">
            <v>A.LV.0000400</v>
          </cell>
        </row>
        <row r="413">
          <cell r="A413" t="str">
            <v>A.LV.0000401</v>
          </cell>
        </row>
        <row r="414">
          <cell r="A414" t="str">
            <v>A.LV.0000402</v>
          </cell>
        </row>
        <row r="415">
          <cell r="A415" t="str">
            <v>A.LV.0000403</v>
          </cell>
        </row>
        <row r="416">
          <cell r="A416" t="str">
            <v>A.LV.0000404</v>
          </cell>
        </row>
        <row r="417">
          <cell r="A417" t="str">
            <v>A.LV.0000405</v>
          </cell>
        </row>
        <row r="418">
          <cell r="A418" t="str">
            <v>A.LV.0000407</v>
          </cell>
        </row>
        <row r="419">
          <cell r="A419" t="str">
            <v>A.LV.0000408</v>
          </cell>
        </row>
        <row r="420">
          <cell r="A420" t="str">
            <v>A.LV.0000409</v>
          </cell>
        </row>
        <row r="421">
          <cell r="A421" t="str">
            <v>A.LV.0000410</v>
          </cell>
        </row>
        <row r="422">
          <cell r="A422" t="str">
            <v>A.LV.0000411</v>
          </cell>
        </row>
        <row r="423">
          <cell r="A423" t="str">
            <v>A.LV.0000412</v>
          </cell>
        </row>
        <row r="424">
          <cell r="A424" t="str">
            <v>A.LV.0000413</v>
          </cell>
        </row>
        <row r="425">
          <cell r="A425" t="str">
            <v>A.LV.0000414</v>
          </cell>
        </row>
        <row r="426">
          <cell r="A426" t="str">
            <v>A.LV.0000415</v>
          </cell>
        </row>
        <row r="427">
          <cell r="A427" t="str">
            <v>A.LV.0000416</v>
          </cell>
        </row>
        <row r="428">
          <cell r="A428" t="str">
            <v>A.LV.0000417</v>
          </cell>
        </row>
        <row r="429">
          <cell r="A429" t="str">
            <v>A.LV.0000418</v>
          </cell>
        </row>
        <row r="430">
          <cell r="A430" t="str">
            <v>A.LV.0000419</v>
          </cell>
        </row>
        <row r="431">
          <cell r="A431" t="str">
            <v>A.LV.0000420</v>
          </cell>
        </row>
        <row r="432">
          <cell r="A432" t="str">
            <v>A.LV.0000421</v>
          </cell>
        </row>
        <row r="433">
          <cell r="A433" t="str">
            <v>A.LV.0000422</v>
          </cell>
        </row>
        <row r="434">
          <cell r="A434" t="str">
            <v>A.LV.0000423</v>
          </cell>
        </row>
        <row r="435">
          <cell r="A435" t="str">
            <v>A.LV.0000424</v>
          </cell>
        </row>
        <row r="436">
          <cell r="A436" t="str">
            <v>A.LV.0000425</v>
          </cell>
        </row>
        <row r="437">
          <cell r="A437" t="str">
            <v>A.LV.0000426</v>
          </cell>
        </row>
        <row r="438">
          <cell r="A438" t="str">
            <v>A.LV.0000427</v>
          </cell>
        </row>
        <row r="439">
          <cell r="A439" t="str">
            <v>A.LV.0000428</v>
          </cell>
        </row>
        <row r="440">
          <cell r="A440" t="str">
            <v>A.LV.0000429</v>
          </cell>
        </row>
        <row r="441">
          <cell r="A441" t="str">
            <v>A.LV.0000430</v>
          </cell>
        </row>
        <row r="442">
          <cell r="A442" t="str">
            <v>A.LV.0000431</v>
          </cell>
        </row>
        <row r="443">
          <cell r="A443" t="str">
            <v>A.LV.0000432</v>
          </cell>
        </row>
        <row r="444">
          <cell r="A444" t="str">
            <v>A.LV.0000433</v>
          </cell>
        </row>
        <row r="445">
          <cell r="A445" t="str">
            <v>A.LV.0000434</v>
          </cell>
        </row>
        <row r="446">
          <cell r="A446" t="str">
            <v>A.LV.0000435</v>
          </cell>
        </row>
        <row r="447">
          <cell r="A447" t="str">
            <v>A.LV.0000436</v>
          </cell>
        </row>
        <row r="448">
          <cell r="A448" t="str">
            <v>A.LV.0000437</v>
          </cell>
        </row>
        <row r="449">
          <cell r="A449" t="str">
            <v>A.LV.0000438</v>
          </cell>
        </row>
        <row r="450">
          <cell r="A450" t="str">
            <v>A.LV.0000439</v>
          </cell>
        </row>
        <row r="451">
          <cell r="A451" t="str">
            <v>A.LV.0000440</v>
          </cell>
        </row>
        <row r="452">
          <cell r="A452" t="str">
            <v>A.LV.0000441</v>
          </cell>
        </row>
        <row r="453">
          <cell r="A453" t="str">
            <v>A.LV.0000442</v>
          </cell>
        </row>
        <row r="454">
          <cell r="A454" t="str">
            <v>A.LV.0000443</v>
          </cell>
        </row>
        <row r="455">
          <cell r="A455" t="str">
            <v>A.LV.0000444</v>
          </cell>
        </row>
        <row r="456">
          <cell r="A456" t="str">
            <v>A.LV.0000445</v>
          </cell>
        </row>
        <row r="457">
          <cell r="A457" t="str">
            <v>A.LV.0000446</v>
          </cell>
        </row>
        <row r="458">
          <cell r="A458" t="str">
            <v>A.LV.0000447</v>
          </cell>
        </row>
        <row r="459">
          <cell r="A459" t="str">
            <v>A.LV.0000448</v>
          </cell>
        </row>
        <row r="460">
          <cell r="A460" t="str">
            <v>A.LV.0000449</v>
          </cell>
        </row>
        <row r="461">
          <cell r="A461" t="str">
            <v>A.LV.0000450</v>
          </cell>
        </row>
        <row r="462">
          <cell r="A462" t="str">
            <v>A.LV.0000451</v>
          </cell>
        </row>
        <row r="463">
          <cell r="A463" t="str">
            <v>A.LV.0000452</v>
          </cell>
        </row>
        <row r="464">
          <cell r="A464" t="str">
            <v>A.LV.0000453</v>
          </cell>
        </row>
        <row r="465">
          <cell r="A465" t="str">
            <v>A.LV.0000454</v>
          </cell>
        </row>
        <row r="466">
          <cell r="A466" t="str">
            <v>A.LV.0000455</v>
          </cell>
        </row>
        <row r="467">
          <cell r="A467" t="str">
            <v>A.LV.0000456</v>
          </cell>
        </row>
        <row r="468">
          <cell r="A468" t="str">
            <v>A.LV.0000457</v>
          </cell>
        </row>
        <row r="469">
          <cell r="A469" t="str">
            <v>A.LV.0000458</v>
          </cell>
        </row>
        <row r="470">
          <cell r="A470" t="str">
            <v>A.LV.0000459</v>
          </cell>
        </row>
        <row r="471">
          <cell r="A471" t="str">
            <v>A.LV.0000460</v>
          </cell>
        </row>
        <row r="472">
          <cell r="A472" t="str">
            <v>A.LV.0000461</v>
          </cell>
        </row>
        <row r="473">
          <cell r="A473" t="str">
            <v>A.LV.0000462</v>
          </cell>
        </row>
        <row r="474">
          <cell r="A474" t="str">
            <v>A.LV.0000463</v>
          </cell>
        </row>
        <row r="475">
          <cell r="A475" t="str">
            <v>A.LV.0000464</v>
          </cell>
        </row>
        <row r="476">
          <cell r="A476" t="str">
            <v>A.LV.0000465</v>
          </cell>
        </row>
        <row r="477">
          <cell r="A477" t="str">
            <v>A.LV.0000466</v>
          </cell>
        </row>
        <row r="478">
          <cell r="A478" t="str">
            <v>A.LV.0000467</v>
          </cell>
        </row>
        <row r="479">
          <cell r="A479" t="str">
            <v>A.LV.0000468</v>
          </cell>
        </row>
        <row r="480">
          <cell r="A480" t="str">
            <v>A.LV.0000469</v>
          </cell>
        </row>
        <row r="481">
          <cell r="A481" t="str">
            <v>A.LV.0000470</v>
          </cell>
        </row>
        <row r="482">
          <cell r="A482" t="str">
            <v>A.LV.0000471</v>
          </cell>
        </row>
        <row r="483">
          <cell r="A483" t="str">
            <v>A.LV.0000472</v>
          </cell>
        </row>
        <row r="484">
          <cell r="A484" t="str">
            <v>A.LV.0000473</v>
          </cell>
        </row>
        <row r="485">
          <cell r="A485" t="str">
            <v>A.LV.0000474</v>
          </cell>
        </row>
        <row r="486">
          <cell r="A486" t="str">
            <v>A.LV.0000475</v>
          </cell>
        </row>
        <row r="487">
          <cell r="A487" t="str">
            <v>A.LV.0000476</v>
          </cell>
        </row>
        <row r="488">
          <cell r="A488" t="str">
            <v>A.LV.0000477</v>
          </cell>
        </row>
        <row r="489">
          <cell r="A489" t="str">
            <v>A.LV.0000478</v>
          </cell>
        </row>
        <row r="490">
          <cell r="A490" t="str">
            <v>A.LV.0000479</v>
          </cell>
        </row>
        <row r="491">
          <cell r="A491" t="str">
            <v>A.LV.0000480</v>
          </cell>
        </row>
        <row r="492">
          <cell r="A492" t="str">
            <v>A.LV.0000481</v>
          </cell>
        </row>
        <row r="493">
          <cell r="A493" t="str">
            <v>A.LV.0000482</v>
          </cell>
        </row>
        <row r="494">
          <cell r="A494" t="str">
            <v>A.LV.0000483</v>
          </cell>
        </row>
        <row r="495">
          <cell r="A495" t="str">
            <v>A.LV.0000484</v>
          </cell>
        </row>
        <row r="496">
          <cell r="A496" t="str">
            <v>A.LV.0000485</v>
          </cell>
        </row>
        <row r="497">
          <cell r="A497" t="str">
            <v>A.LV.0000486</v>
          </cell>
        </row>
        <row r="498">
          <cell r="A498" t="str">
            <v>A.LV.0000487</v>
          </cell>
        </row>
        <row r="499">
          <cell r="A499" t="str">
            <v>A.LV.0000488</v>
          </cell>
        </row>
        <row r="500">
          <cell r="A500" t="str">
            <v>A.LV.0000489</v>
          </cell>
        </row>
        <row r="501">
          <cell r="A501" t="str">
            <v>A.LV.0000490</v>
          </cell>
        </row>
        <row r="502">
          <cell r="A502" t="str">
            <v>A.LV.0000491</v>
          </cell>
        </row>
        <row r="503">
          <cell r="A503" t="str">
            <v>A.LV.0000492</v>
          </cell>
        </row>
        <row r="504">
          <cell r="A504" t="str">
            <v>A.LV.0000493</v>
          </cell>
        </row>
        <row r="505">
          <cell r="A505" t="str">
            <v>A.LV.0000494</v>
          </cell>
        </row>
        <row r="506">
          <cell r="A506" t="str">
            <v>A.LV.0000495</v>
          </cell>
        </row>
        <row r="507">
          <cell r="A507" t="str">
            <v>A.LV.0000496</v>
          </cell>
        </row>
        <row r="508">
          <cell r="A508" t="str">
            <v>A.LV.0000497</v>
          </cell>
        </row>
        <row r="509">
          <cell r="A509" t="str">
            <v>A.LV.0000498</v>
          </cell>
        </row>
        <row r="510">
          <cell r="A510" t="str">
            <v>A.LV.0000499</v>
          </cell>
        </row>
        <row r="511">
          <cell r="A511" t="str">
            <v>A.LV.0000500</v>
          </cell>
        </row>
        <row r="512">
          <cell r="A512" t="str">
            <v>A.LV.0000501</v>
          </cell>
        </row>
        <row r="513">
          <cell r="A513" t="str">
            <v>A.LV.0000502</v>
          </cell>
        </row>
        <row r="514">
          <cell r="A514" t="str">
            <v>A.LV.0000503</v>
          </cell>
        </row>
        <row r="515">
          <cell r="A515" t="str">
            <v>A.LV.0000504</v>
          </cell>
        </row>
        <row r="516">
          <cell r="A516" t="str">
            <v>A.LV.0000505</v>
          </cell>
        </row>
        <row r="517">
          <cell r="A517" t="str">
            <v>A.LV.0000506</v>
          </cell>
        </row>
        <row r="518">
          <cell r="A518" t="str">
            <v>A.LV.0000507</v>
          </cell>
        </row>
        <row r="519">
          <cell r="A519" t="str">
            <v>A.LV.0000508</v>
          </cell>
        </row>
        <row r="520">
          <cell r="A520" t="str">
            <v>A.LV.0000509</v>
          </cell>
        </row>
        <row r="521">
          <cell r="A521" t="str">
            <v>A.LV.0000510</v>
          </cell>
        </row>
        <row r="522">
          <cell r="A522" t="str">
            <v>A.LV.0000511</v>
          </cell>
        </row>
        <row r="523">
          <cell r="A523" t="str">
            <v>A.LV.0000512</v>
          </cell>
        </row>
        <row r="524">
          <cell r="A524" t="str">
            <v>A.LV.0000513</v>
          </cell>
        </row>
        <row r="525">
          <cell r="A525" t="str">
            <v>A.LV.0000514</v>
          </cell>
        </row>
        <row r="526">
          <cell r="A526" t="str">
            <v>A.LV.0000515</v>
          </cell>
        </row>
        <row r="527">
          <cell r="A527" t="str">
            <v>A.LV.0000516</v>
          </cell>
        </row>
        <row r="528">
          <cell r="A528" t="str">
            <v>A.LV.0000517</v>
          </cell>
        </row>
        <row r="529">
          <cell r="A529" t="str">
            <v>A.LV.0000518</v>
          </cell>
        </row>
        <row r="530">
          <cell r="A530" t="str">
            <v>A.LV.0000519</v>
          </cell>
        </row>
        <row r="531">
          <cell r="A531" t="str">
            <v>A.LV.0000520</v>
          </cell>
        </row>
        <row r="532">
          <cell r="A532" t="str">
            <v>A.LV.0000521</v>
          </cell>
        </row>
        <row r="533">
          <cell r="A533" t="str">
            <v>A.LV.0000522</v>
          </cell>
        </row>
        <row r="534">
          <cell r="A534" t="str">
            <v>A.LV.0000523</v>
          </cell>
        </row>
        <row r="535">
          <cell r="A535" t="str">
            <v>A.LV.0000524</v>
          </cell>
        </row>
        <row r="536">
          <cell r="A536" t="str">
            <v>A.LV.0000525</v>
          </cell>
        </row>
        <row r="537">
          <cell r="A537" t="str">
            <v>A.LV.0000526</v>
          </cell>
        </row>
        <row r="538">
          <cell r="A538" t="str">
            <v>A.LV.0000529</v>
          </cell>
        </row>
        <row r="539">
          <cell r="A539" t="str">
            <v>A.LV.0000530</v>
          </cell>
        </row>
        <row r="540">
          <cell r="A540" t="str">
            <v>A.LV.0000536</v>
          </cell>
        </row>
        <row r="541">
          <cell r="A541" t="str">
            <v>A.LV.0000540</v>
          </cell>
        </row>
        <row r="542">
          <cell r="A542" t="str">
            <v>A.LV.0000541</v>
          </cell>
        </row>
        <row r="543">
          <cell r="A543" t="str">
            <v>A.LV.0000542</v>
          </cell>
        </row>
        <row r="544">
          <cell r="A544" t="str">
            <v>A.LV.0000543</v>
          </cell>
        </row>
        <row r="545">
          <cell r="A545" t="str">
            <v>A.LV.0000544</v>
          </cell>
        </row>
        <row r="546">
          <cell r="A546" t="str">
            <v>A.LV.0000545</v>
          </cell>
        </row>
        <row r="547">
          <cell r="A547" t="str">
            <v>A.LV.0000546</v>
          </cell>
        </row>
        <row r="548">
          <cell r="A548" t="str">
            <v>A.LV.0000547</v>
          </cell>
        </row>
        <row r="549">
          <cell r="A549" t="str">
            <v>A.LV.0000548</v>
          </cell>
        </row>
        <row r="550">
          <cell r="A550" t="str">
            <v>A.LV.0000549</v>
          </cell>
        </row>
        <row r="551">
          <cell r="A551" t="str">
            <v>A.LV.0000550</v>
          </cell>
        </row>
        <row r="552">
          <cell r="A552" t="str">
            <v>A.LV.0000551</v>
          </cell>
        </row>
        <row r="553">
          <cell r="A553" t="str">
            <v>A.LV.0000552</v>
          </cell>
        </row>
        <row r="554">
          <cell r="A554" t="str">
            <v>A.LV.0000553</v>
          </cell>
        </row>
        <row r="555">
          <cell r="A555" t="str">
            <v>A.LV.0000554</v>
          </cell>
        </row>
        <row r="556">
          <cell r="A556" t="str">
            <v>A.LV.0000555</v>
          </cell>
        </row>
        <row r="557">
          <cell r="A557" t="str">
            <v>A.LV.0000556</v>
          </cell>
        </row>
        <row r="558">
          <cell r="A558" t="str">
            <v>A.LV.0000557</v>
          </cell>
        </row>
        <row r="559">
          <cell r="A559" t="str">
            <v>A.LV.0000558</v>
          </cell>
        </row>
        <row r="560">
          <cell r="A560" t="str">
            <v>A.LV.0000559</v>
          </cell>
        </row>
        <row r="561">
          <cell r="A561" t="str">
            <v>A.LV.0000560</v>
          </cell>
        </row>
        <row r="562">
          <cell r="A562" t="str">
            <v>A.LV.0000561</v>
          </cell>
        </row>
        <row r="563">
          <cell r="A563" t="str">
            <v>A.LV.0000562</v>
          </cell>
        </row>
        <row r="564">
          <cell r="A564" t="str">
            <v>A.LV.0000563</v>
          </cell>
        </row>
        <row r="565">
          <cell r="A565" t="str">
            <v>A.LV.0000564</v>
          </cell>
        </row>
        <row r="566">
          <cell r="A566" t="str">
            <v>A.LV.0000565</v>
          </cell>
        </row>
        <row r="567">
          <cell r="A567" t="str">
            <v>A.LV.0000566</v>
          </cell>
        </row>
        <row r="568">
          <cell r="A568" t="str">
            <v>A.LV.0000567</v>
          </cell>
        </row>
        <row r="569">
          <cell r="A569" t="str">
            <v>A.LV.0000568</v>
          </cell>
        </row>
        <row r="570">
          <cell r="A570" t="str">
            <v>A.LV.0000569</v>
          </cell>
        </row>
        <row r="571">
          <cell r="A571" t="str">
            <v>A.LV.0000570</v>
          </cell>
        </row>
        <row r="572">
          <cell r="A572" t="str">
            <v>A.LV.0000571</v>
          </cell>
        </row>
        <row r="573">
          <cell r="A573" t="str">
            <v>A.LV.0000572</v>
          </cell>
        </row>
        <row r="574">
          <cell r="A574" t="str">
            <v>A.LV.0000573</v>
          </cell>
        </row>
        <row r="575">
          <cell r="A575" t="str">
            <v>A.LV.0000574</v>
          </cell>
        </row>
        <row r="576">
          <cell r="A576" t="str">
            <v>A.LV.0000575</v>
          </cell>
        </row>
        <row r="577">
          <cell r="A577" t="str">
            <v>A.LV.0000576</v>
          </cell>
        </row>
        <row r="578">
          <cell r="A578" t="str">
            <v>A.LV.0000577</v>
          </cell>
        </row>
        <row r="579">
          <cell r="A579" t="str">
            <v>A.LV.0000578</v>
          </cell>
        </row>
        <row r="580">
          <cell r="A580" t="str">
            <v>A.LV.0000579</v>
          </cell>
        </row>
        <row r="581">
          <cell r="A581" t="str">
            <v>A.LV.0000580</v>
          </cell>
        </row>
        <row r="582">
          <cell r="A582" t="str">
            <v>A.LV.0000581</v>
          </cell>
        </row>
        <row r="583">
          <cell r="A583" t="str">
            <v>A.LV.0000582</v>
          </cell>
        </row>
        <row r="584">
          <cell r="A584" t="str">
            <v>A.LV.0000583</v>
          </cell>
        </row>
        <row r="585">
          <cell r="A585" t="str">
            <v>A.LV.0000584</v>
          </cell>
        </row>
        <row r="586">
          <cell r="A586" t="str">
            <v>A.LV.0000585</v>
          </cell>
        </row>
        <row r="587">
          <cell r="A587" t="str">
            <v>A.LV.0000586</v>
          </cell>
        </row>
        <row r="588">
          <cell r="A588" t="str">
            <v>A.LV.0000587</v>
          </cell>
        </row>
        <row r="589">
          <cell r="A589" t="str">
            <v>A.LV.0000588</v>
          </cell>
        </row>
        <row r="590">
          <cell r="A590" t="str">
            <v>A.LV.0000589</v>
          </cell>
        </row>
        <row r="591">
          <cell r="A591" t="str">
            <v>A.LV.0000590</v>
          </cell>
        </row>
        <row r="592">
          <cell r="A592" t="str">
            <v>A.LV.0000591</v>
          </cell>
        </row>
        <row r="593">
          <cell r="A593" t="str">
            <v>A.LV.0000592</v>
          </cell>
        </row>
        <row r="594">
          <cell r="A594" t="str">
            <v>A.LV.0000593</v>
          </cell>
        </row>
        <row r="595">
          <cell r="A595" t="str">
            <v>A.LV.0000594</v>
          </cell>
        </row>
        <row r="596">
          <cell r="A596" t="str">
            <v>A.LV.0000595</v>
          </cell>
        </row>
        <row r="597">
          <cell r="A597" t="str">
            <v>A.LV.0000596</v>
          </cell>
        </row>
        <row r="598">
          <cell r="A598" t="str">
            <v>A.LV.0000597</v>
          </cell>
        </row>
        <row r="599">
          <cell r="A599" t="str">
            <v>A.LV.0000598</v>
          </cell>
        </row>
        <row r="600">
          <cell r="A600" t="str">
            <v>A.LV.0000599</v>
          </cell>
        </row>
        <row r="601">
          <cell r="A601" t="str">
            <v>A.LV.0000600</v>
          </cell>
        </row>
        <row r="602">
          <cell r="A602" t="str">
            <v>A.LV.0000601</v>
          </cell>
        </row>
        <row r="603">
          <cell r="A603" t="str">
            <v>A.LV.0000602</v>
          </cell>
        </row>
        <row r="604">
          <cell r="A604" t="str">
            <v>A.LV.0000603</v>
          </cell>
        </row>
        <row r="605">
          <cell r="A605" t="str">
            <v>A.LV.0000604</v>
          </cell>
        </row>
        <row r="606">
          <cell r="A606" t="str">
            <v>A.LV.0000605</v>
          </cell>
        </row>
        <row r="607">
          <cell r="A607" t="str">
            <v>A.LV.0000606</v>
          </cell>
        </row>
        <row r="608">
          <cell r="A608" t="str">
            <v>A.LV.0000607</v>
          </cell>
        </row>
        <row r="609">
          <cell r="A609" t="str">
            <v>A.LV.0000608</v>
          </cell>
        </row>
        <row r="610">
          <cell r="A610" t="str">
            <v>A.LV.0000609</v>
          </cell>
        </row>
        <row r="611">
          <cell r="A611" t="str">
            <v>A.LV.0000610</v>
          </cell>
        </row>
        <row r="612">
          <cell r="A612" t="str">
            <v>A.LV.0000611</v>
          </cell>
        </row>
        <row r="613">
          <cell r="A613" t="str">
            <v>A.LV.0000612</v>
          </cell>
        </row>
        <row r="614">
          <cell r="A614" t="str">
            <v>A.LV.0000613</v>
          </cell>
        </row>
        <row r="615">
          <cell r="A615" t="str">
            <v>A.LV.0000614</v>
          </cell>
        </row>
        <row r="616">
          <cell r="A616" t="str">
            <v>A.LV.0000615</v>
          </cell>
        </row>
        <row r="617">
          <cell r="A617" t="str">
            <v>A.LV.0000616</v>
          </cell>
        </row>
        <row r="618">
          <cell r="A618" t="str">
            <v>A.LV.0000617</v>
          </cell>
        </row>
        <row r="619">
          <cell r="A619" t="str">
            <v>A.LV.0000618</v>
          </cell>
        </row>
        <row r="620">
          <cell r="A620" t="str">
            <v>A.LV.0000619</v>
          </cell>
        </row>
        <row r="621">
          <cell r="A621" t="str">
            <v>A.LV.0000620</v>
          </cell>
        </row>
        <row r="622">
          <cell r="A622" t="str">
            <v>A.LV.0000621</v>
          </cell>
        </row>
        <row r="623">
          <cell r="A623" t="str">
            <v>A.LV.0000622</v>
          </cell>
        </row>
        <row r="624">
          <cell r="A624" t="str">
            <v>A.LV.0000623</v>
          </cell>
        </row>
        <row r="625">
          <cell r="A625" t="str">
            <v>A.LV.0000624</v>
          </cell>
        </row>
        <row r="626">
          <cell r="A626" t="str">
            <v>A.LV.0000625</v>
          </cell>
        </row>
        <row r="627">
          <cell r="A627" t="str">
            <v>A.LV.0000626</v>
          </cell>
        </row>
        <row r="628">
          <cell r="A628" t="str">
            <v>A.LV.0000627</v>
          </cell>
        </row>
        <row r="629">
          <cell r="A629" t="str">
            <v>A.LV.0000628</v>
          </cell>
        </row>
        <row r="630">
          <cell r="A630" t="str">
            <v>A.LV.0000629</v>
          </cell>
        </row>
        <row r="631">
          <cell r="A631" t="str">
            <v>A.LV.0000630</v>
          </cell>
        </row>
        <row r="632">
          <cell r="A632" t="str">
            <v>A.LV.0000631</v>
          </cell>
        </row>
        <row r="633">
          <cell r="A633" t="str">
            <v>A.LV.0000632</v>
          </cell>
        </row>
        <row r="634">
          <cell r="A634" t="str">
            <v>A.LV.0000633</v>
          </cell>
        </row>
        <row r="635">
          <cell r="A635" t="str">
            <v>A.LV.0000634</v>
          </cell>
        </row>
        <row r="636">
          <cell r="A636" t="str">
            <v>A.LV.0000635</v>
          </cell>
        </row>
        <row r="637">
          <cell r="A637" t="str">
            <v>A.LV.0000636</v>
          </cell>
        </row>
        <row r="638">
          <cell r="A638" t="str">
            <v>A.LV.0000637</v>
          </cell>
        </row>
        <row r="639">
          <cell r="A639" t="str">
            <v>A.LV.0000638</v>
          </cell>
        </row>
        <row r="640">
          <cell r="A640" t="str">
            <v>A.LV.0000639</v>
          </cell>
        </row>
        <row r="641">
          <cell r="A641" t="str">
            <v>A.LV.0000640</v>
          </cell>
        </row>
        <row r="642">
          <cell r="A642" t="str">
            <v>A.LV.0000641</v>
          </cell>
        </row>
        <row r="643">
          <cell r="A643" t="str">
            <v>A.LV.0000642</v>
          </cell>
        </row>
        <row r="644">
          <cell r="A644" t="str">
            <v>A.LV.0000643</v>
          </cell>
        </row>
        <row r="645">
          <cell r="A645" t="str">
            <v>A.LV.0000645</v>
          </cell>
        </row>
        <row r="646">
          <cell r="A646" t="str">
            <v>A.LV.0000646</v>
          </cell>
        </row>
        <row r="647">
          <cell r="A647" t="str">
            <v>A.LV.0000647</v>
          </cell>
        </row>
        <row r="648">
          <cell r="A648" t="str">
            <v>A.LV.0000648</v>
          </cell>
        </row>
        <row r="649">
          <cell r="A649" t="str">
            <v>A.LV.0000649</v>
          </cell>
        </row>
        <row r="650">
          <cell r="A650" t="str">
            <v>A.LV.0000650</v>
          </cell>
        </row>
        <row r="651">
          <cell r="A651" t="str">
            <v>A.LV.0000651</v>
          </cell>
        </row>
        <row r="652">
          <cell r="A652" t="str">
            <v>A.LV.0000652</v>
          </cell>
        </row>
        <row r="653">
          <cell r="A653" t="str">
            <v>A.LV.0000653</v>
          </cell>
        </row>
        <row r="654">
          <cell r="A654" t="str">
            <v>A.LV.0000654</v>
          </cell>
        </row>
        <row r="655">
          <cell r="A655" t="str">
            <v>A.LV.0000655</v>
          </cell>
        </row>
        <row r="656">
          <cell r="A656" t="str">
            <v>A.LV.0000656</v>
          </cell>
        </row>
        <row r="657">
          <cell r="A657" t="str">
            <v>A.LV.0000657</v>
          </cell>
        </row>
        <row r="658">
          <cell r="A658" t="str">
            <v>A.LV.0000658</v>
          </cell>
        </row>
        <row r="659">
          <cell r="A659" t="str">
            <v>A.LV.0000659</v>
          </cell>
        </row>
        <row r="660">
          <cell r="A660" t="str">
            <v>A.LV.0000660</v>
          </cell>
        </row>
        <row r="661">
          <cell r="A661" t="str">
            <v>A.LV.0000661</v>
          </cell>
        </row>
        <row r="662">
          <cell r="A662" t="str">
            <v>A.LV.0000662</v>
          </cell>
        </row>
        <row r="663">
          <cell r="A663" t="str">
            <v>A.LV.0000663</v>
          </cell>
        </row>
        <row r="664">
          <cell r="A664" t="str">
            <v>A.LV.0000664</v>
          </cell>
        </row>
        <row r="665">
          <cell r="A665" t="str">
            <v>A.LV.0000665</v>
          </cell>
        </row>
        <row r="666">
          <cell r="A666" t="str">
            <v>A.LV.0000666</v>
          </cell>
        </row>
        <row r="667">
          <cell r="A667" t="str">
            <v>A.LV.0000667</v>
          </cell>
        </row>
        <row r="668">
          <cell r="A668" t="str">
            <v>A.LV.0000668</v>
          </cell>
        </row>
        <row r="669">
          <cell r="A669" t="str">
            <v>A.LV.0000669</v>
          </cell>
        </row>
        <row r="670">
          <cell r="A670" t="str">
            <v>A.LV.0000670</v>
          </cell>
        </row>
        <row r="671">
          <cell r="A671" t="str">
            <v>A.LV.0000671</v>
          </cell>
        </row>
        <row r="672">
          <cell r="A672" t="str">
            <v>A.LV.0000672</v>
          </cell>
        </row>
        <row r="673">
          <cell r="A673" t="str">
            <v>A.LV.0000673</v>
          </cell>
        </row>
        <row r="674">
          <cell r="A674" t="str">
            <v>A.LV.0000674</v>
          </cell>
        </row>
        <row r="675">
          <cell r="A675" t="str">
            <v>A.LV.0000675</v>
          </cell>
        </row>
        <row r="676">
          <cell r="A676" t="str">
            <v>A.LV.0000676</v>
          </cell>
        </row>
        <row r="677">
          <cell r="A677" t="str">
            <v>A.LV.0000677</v>
          </cell>
        </row>
        <row r="678">
          <cell r="A678" t="str">
            <v>A.LV.0000678</v>
          </cell>
        </row>
        <row r="679">
          <cell r="A679" t="str">
            <v>A.LV.0000679</v>
          </cell>
        </row>
        <row r="680">
          <cell r="A680" t="str">
            <v>A.LV.0000680</v>
          </cell>
        </row>
        <row r="681">
          <cell r="A681" t="str">
            <v>A.LV.0000681</v>
          </cell>
        </row>
        <row r="682">
          <cell r="A682" t="str">
            <v>A.LV.0000682</v>
          </cell>
        </row>
        <row r="683">
          <cell r="A683" t="str">
            <v>A.LV.0000683</v>
          </cell>
        </row>
        <row r="684">
          <cell r="A684" t="str">
            <v>A.LV.0000684</v>
          </cell>
        </row>
        <row r="685">
          <cell r="A685" t="str">
            <v>A.LV.0000685</v>
          </cell>
        </row>
        <row r="686">
          <cell r="A686" t="str">
            <v>A.LV.0000686</v>
          </cell>
        </row>
        <row r="687">
          <cell r="A687" t="str">
            <v>A.LV.0000687</v>
          </cell>
        </row>
        <row r="688">
          <cell r="A688" t="str">
            <v>A.LV.0000688</v>
          </cell>
        </row>
        <row r="689">
          <cell r="A689" t="str">
            <v>A.LV.0000689</v>
          </cell>
        </row>
        <row r="690">
          <cell r="A690" t="str">
            <v>A.LV.0000690</v>
          </cell>
        </row>
        <row r="691">
          <cell r="A691" t="str">
            <v>A.LV.0000691</v>
          </cell>
        </row>
        <row r="692">
          <cell r="A692" t="str">
            <v>A.LV.0000692</v>
          </cell>
        </row>
        <row r="693">
          <cell r="A693" t="str">
            <v>A.LV.0000693</v>
          </cell>
        </row>
        <row r="694">
          <cell r="A694" t="str">
            <v>A.LV.0000694</v>
          </cell>
        </row>
        <row r="695">
          <cell r="A695" t="str">
            <v>A.LV.0000695</v>
          </cell>
        </row>
        <row r="696">
          <cell r="A696" t="str">
            <v>A.LV.0000696</v>
          </cell>
        </row>
        <row r="697">
          <cell r="A697" t="str">
            <v>A.LV.0000697</v>
          </cell>
        </row>
        <row r="698">
          <cell r="A698" t="str">
            <v>A.LV.0000698</v>
          </cell>
        </row>
        <row r="699">
          <cell r="A699" t="str">
            <v>A.LV.0000699</v>
          </cell>
        </row>
        <row r="700">
          <cell r="A700" t="str">
            <v>A.LV.0000700</v>
          </cell>
        </row>
        <row r="701">
          <cell r="A701" t="str">
            <v>A.LV.0000701</v>
          </cell>
        </row>
        <row r="702">
          <cell r="A702" t="str">
            <v>A.LV.0000702</v>
          </cell>
        </row>
        <row r="703">
          <cell r="A703" t="str">
            <v>A.LV.0000703</v>
          </cell>
        </row>
        <row r="704">
          <cell r="A704" t="str">
            <v>A.LV.0000704</v>
          </cell>
        </row>
        <row r="705">
          <cell r="A705" t="str">
            <v>A.LV.0000705</v>
          </cell>
        </row>
        <row r="706">
          <cell r="A706" t="str">
            <v>A.LV.0000706</v>
          </cell>
        </row>
        <row r="707">
          <cell r="A707" t="str">
            <v>A.LV.0000707</v>
          </cell>
        </row>
        <row r="708">
          <cell r="A708" t="str">
            <v>A.LV.0000708</v>
          </cell>
        </row>
        <row r="709">
          <cell r="A709" t="str">
            <v>A.LV.0000709</v>
          </cell>
        </row>
        <row r="710">
          <cell r="A710" t="str">
            <v>A.LV.0000710</v>
          </cell>
        </row>
        <row r="711">
          <cell r="A711" t="str">
            <v>A.LV.0000711</v>
          </cell>
        </row>
        <row r="712">
          <cell r="A712" t="str">
            <v>A.LV.0000712</v>
          </cell>
        </row>
        <row r="713">
          <cell r="A713" t="str">
            <v>A.LV.0000713</v>
          </cell>
        </row>
        <row r="714">
          <cell r="A714" t="str">
            <v>A.LV.0000714</v>
          </cell>
        </row>
        <row r="715">
          <cell r="A715" t="str">
            <v>A.LV.0000715</v>
          </cell>
        </row>
        <row r="716">
          <cell r="A716" t="str">
            <v>A.LV.0000716</v>
          </cell>
        </row>
        <row r="717">
          <cell r="A717" t="str">
            <v>A.LV.0000717</v>
          </cell>
        </row>
        <row r="718">
          <cell r="A718" t="str">
            <v>A.LV.0000718</v>
          </cell>
        </row>
        <row r="719">
          <cell r="A719" t="str">
            <v>A.LV.0000719</v>
          </cell>
        </row>
        <row r="720">
          <cell r="A720" t="str">
            <v>A.LV.0000720</v>
          </cell>
        </row>
        <row r="721">
          <cell r="A721" t="str">
            <v>A.LV.0000721</v>
          </cell>
        </row>
        <row r="722">
          <cell r="A722" t="str">
            <v>A.LV.0000722</v>
          </cell>
        </row>
        <row r="723">
          <cell r="A723" t="str">
            <v>A.LV.0000723</v>
          </cell>
        </row>
        <row r="724">
          <cell r="A724" t="str">
            <v>A.LV.0000724</v>
          </cell>
        </row>
        <row r="725">
          <cell r="A725" t="str">
            <v>A.LV.0000725</v>
          </cell>
        </row>
        <row r="726">
          <cell r="A726" t="str">
            <v>A.LV.0000726</v>
          </cell>
        </row>
        <row r="727">
          <cell r="A727" t="str">
            <v>A.LV.0000727</v>
          </cell>
        </row>
        <row r="728">
          <cell r="A728" t="str">
            <v>A.LV.0000728</v>
          </cell>
        </row>
        <row r="729">
          <cell r="A729" t="str">
            <v>A.LV.0000729</v>
          </cell>
        </row>
        <row r="730">
          <cell r="A730" t="str">
            <v>A.LV.0000730</v>
          </cell>
        </row>
        <row r="731">
          <cell r="A731" t="str">
            <v>A.LV.0000731</v>
          </cell>
        </row>
        <row r="732">
          <cell r="A732" t="str">
            <v>A.LV.0000732</v>
          </cell>
        </row>
        <row r="733">
          <cell r="A733" t="str">
            <v>A.LV.0000733</v>
          </cell>
        </row>
        <row r="734">
          <cell r="A734" t="str">
            <v>A.LV.0000734</v>
          </cell>
        </row>
        <row r="735">
          <cell r="A735" t="str">
            <v>A.LV.0000735</v>
          </cell>
        </row>
        <row r="736">
          <cell r="A736" t="str">
            <v>A.LV.0000736</v>
          </cell>
        </row>
        <row r="737">
          <cell r="A737" t="str">
            <v>A.LV.0000737</v>
          </cell>
        </row>
        <row r="738">
          <cell r="A738" t="str">
            <v>A.LV.0000738</v>
          </cell>
        </row>
        <row r="739">
          <cell r="A739" t="str">
            <v>A.LV.0000739</v>
          </cell>
        </row>
        <row r="740">
          <cell r="A740" t="str">
            <v>A.LV.0000740</v>
          </cell>
        </row>
        <row r="741">
          <cell r="A741" t="str">
            <v>A.LV.0000741</v>
          </cell>
        </row>
        <row r="742">
          <cell r="A742" t="str">
            <v>A.LV.0000742</v>
          </cell>
        </row>
        <row r="743">
          <cell r="A743" t="str">
            <v>A.LV.0000743</v>
          </cell>
        </row>
        <row r="744">
          <cell r="A744" t="str">
            <v>A.LV.0000744</v>
          </cell>
        </row>
        <row r="745">
          <cell r="A745" t="str">
            <v>A.LV.0000745</v>
          </cell>
        </row>
        <row r="746">
          <cell r="A746" t="str">
            <v>A.LV.0000746</v>
          </cell>
        </row>
        <row r="747">
          <cell r="A747" t="str">
            <v>A.LV.0000747</v>
          </cell>
        </row>
        <row r="748">
          <cell r="A748" t="str">
            <v>A.LV.0000748</v>
          </cell>
        </row>
        <row r="749">
          <cell r="A749" t="str">
            <v>A.LV.0000749</v>
          </cell>
        </row>
        <row r="750">
          <cell r="A750" t="str">
            <v>A.LV.0000750</v>
          </cell>
        </row>
        <row r="751">
          <cell r="A751" t="str">
            <v>A.LV.0000751</v>
          </cell>
        </row>
        <row r="752">
          <cell r="A752" t="str">
            <v>A.LV.0000752</v>
          </cell>
        </row>
        <row r="753">
          <cell r="A753" t="str">
            <v>A.LV.0000753</v>
          </cell>
        </row>
        <row r="754">
          <cell r="A754" t="str">
            <v>A.LV.0000754</v>
          </cell>
        </row>
        <row r="755">
          <cell r="A755" t="str">
            <v>A.LV.0000756</v>
          </cell>
        </row>
        <row r="756">
          <cell r="A756" t="str">
            <v>A.LV.0000757</v>
          </cell>
        </row>
        <row r="757">
          <cell r="A757" t="str">
            <v>A.LV.0000758</v>
          </cell>
        </row>
        <row r="758">
          <cell r="A758" t="str">
            <v>A.LV.0000759</v>
          </cell>
        </row>
        <row r="759">
          <cell r="A759" t="str">
            <v>A.LV.0000760</v>
          </cell>
        </row>
        <row r="760">
          <cell r="A760" t="str">
            <v>A.LV.0000761</v>
          </cell>
        </row>
        <row r="761">
          <cell r="A761" t="str">
            <v>A.LV.0000762</v>
          </cell>
        </row>
        <row r="762">
          <cell r="A762" t="str">
            <v>A.LV.0000763</v>
          </cell>
        </row>
        <row r="763">
          <cell r="A763" t="str">
            <v>A.LV.0000764</v>
          </cell>
        </row>
        <row r="764">
          <cell r="A764" t="str">
            <v>A.LV.0000765</v>
          </cell>
        </row>
        <row r="765">
          <cell r="A765" t="str">
            <v>A.LV.0000766</v>
          </cell>
        </row>
        <row r="766">
          <cell r="A766" t="str">
            <v>A.LV.0000767</v>
          </cell>
        </row>
        <row r="767">
          <cell r="A767" t="str">
            <v>A.LV.0000768</v>
          </cell>
        </row>
        <row r="768">
          <cell r="A768" t="str">
            <v>A.LV.0000770</v>
          </cell>
        </row>
        <row r="769">
          <cell r="A769" t="str">
            <v>A.LV.0000771</v>
          </cell>
        </row>
        <row r="770">
          <cell r="A770" t="str">
            <v>A.LV.0000772</v>
          </cell>
        </row>
        <row r="771">
          <cell r="A771" t="str">
            <v>A.LV.0000773</v>
          </cell>
        </row>
        <row r="772">
          <cell r="A772" t="str">
            <v>A.LV.0000774</v>
          </cell>
        </row>
        <row r="773">
          <cell r="A773" t="str">
            <v>A.LV.0000775</v>
          </cell>
        </row>
        <row r="774">
          <cell r="A774" t="str">
            <v>A.LV.0000776</v>
          </cell>
        </row>
        <row r="775">
          <cell r="A775" t="str">
            <v>A.LV.0000777</v>
          </cell>
        </row>
        <row r="776">
          <cell r="A776" t="str">
            <v>A.LV.0000778</v>
          </cell>
        </row>
        <row r="777">
          <cell r="A777" t="str">
            <v>A.LV.0000779</v>
          </cell>
        </row>
        <row r="778">
          <cell r="A778" t="str">
            <v>A.LV.0000780</v>
          </cell>
        </row>
        <row r="779">
          <cell r="A779" t="str">
            <v>A.LV.0000781</v>
          </cell>
        </row>
        <row r="780">
          <cell r="A780" t="str">
            <v>A.LV.0000782</v>
          </cell>
        </row>
        <row r="781">
          <cell r="A781" t="str">
            <v>A.LV.0000783</v>
          </cell>
        </row>
        <row r="782">
          <cell r="A782" t="str">
            <v>A.LV.0000784</v>
          </cell>
        </row>
        <row r="783">
          <cell r="A783" t="str">
            <v>A.LV.0000785</v>
          </cell>
        </row>
        <row r="784">
          <cell r="A784" t="str">
            <v>A.LV.0000786</v>
          </cell>
        </row>
        <row r="785">
          <cell r="A785" t="str">
            <v>A.LV.0000787</v>
          </cell>
        </row>
        <row r="786">
          <cell r="A786" t="str">
            <v>A.LV.0000788</v>
          </cell>
        </row>
        <row r="787">
          <cell r="A787" t="str">
            <v>A.LV.0000789</v>
          </cell>
        </row>
        <row r="788">
          <cell r="A788" t="str">
            <v>A.LV.0000790</v>
          </cell>
        </row>
        <row r="789">
          <cell r="A789" t="str">
            <v>A.LV.0000791</v>
          </cell>
        </row>
        <row r="790">
          <cell r="A790" t="str">
            <v>A.LV.0000792</v>
          </cell>
        </row>
        <row r="791">
          <cell r="A791" t="str">
            <v>A.LV.0000793</v>
          </cell>
        </row>
        <row r="792">
          <cell r="A792" t="str">
            <v>A.LV.0000794</v>
          </cell>
        </row>
        <row r="793">
          <cell r="A793" t="str">
            <v>A.LV.0000795</v>
          </cell>
        </row>
        <row r="794">
          <cell r="A794" t="str">
            <v>A.LV.0000796</v>
          </cell>
        </row>
        <row r="795">
          <cell r="A795" t="str">
            <v>A.LV.0000797</v>
          </cell>
        </row>
        <row r="796">
          <cell r="A796" t="str">
            <v>A.LV.0000798</v>
          </cell>
        </row>
        <row r="797">
          <cell r="A797" t="str">
            <v>A.LV.0000799</v>
          </cell>
        </row>
        <row r="798">
          <cell r="A798" t="str">
            <v>A.LV.0000800</v>
          </cell>
        </row>
        <row r="799">
          <cell r="A799" t="str">
            <v>A.LV.0000801</v>
          </cell>
        </row>
        <row r="800">
          <cell r="A800" t="str">
            <v>A.LV.0000802</v>
          </cell>
        </row>
        <row r="801">
          <cell r="A801" t="str">
            <v>A.LV.0000803</v>
          </cell>
        </row>
        <row r="802">
          <cell r="A802" t="str">
            <v>A.LV.0000804</v>
          </cell>
        </row>
        <row r="804">
          <cell r="A804" t="str">
            <v>A.MD.0000001</v>
          </cell>
        </row>
        <row r="805">
          <cell r="A805" t="str">
            <v>A.MD.0000002</v>
          </cell>
        </row>
        <row r="806">
          <cell r="A806" t="str">
            <v>A.MD.0000003</v>
          </cell>
        </row>
        <row r="807">
          <cell r="A807" t="str">
            <v>A.MD.0000004</v>
          </cell>
        </row>
        <row r="808">
          <cell r="A808" t="str">
            <v>A.MD.0000005</v>
          </cell>
        </row>
        <row r="809">
          <cell r="A809" t="str">
            <v>A.MD.0000006</v>
          </cell>
        </row>
        <row r="810">
          <cell r="A810" t="str">
            <v>A.MD.0000007</v>
          </cell>
        </row>
        <row r="811">
          <cell r="A811" t="str">
            <v>A.MD.0000008</v>
          </cell>
        </row>
        <row r="812">
          <cell r="A812" t="str">
            <v>A.MD.0000009</v>
          </cell>
        </row>
        <row r="813">
          <cell r="A813" t="str">
            <v>A.MD.0000010</v>
          </cell>
        </row>
        <row r="814">
          <cell r="A814" t="str">
            <v>A.MD.0000011</v>
          </cell>
        </row>
        <row r="816">
          <cell r="A816" t="str">
            <v>A.MT.0000001</v>
          </cell>
        </row>
        <row r="817">
          <cell r="A817" t="str">
            <v>A.MT.0000002</v>
          </cell>
        </row>
        <row r="818">
          <cell r="A818" t="str">
            <v>A.MT.0000003</v>
          </cell>
        </row>
        <row r="819">
          <cell r="A819" t="str">
            <v>A.MT.0000004</v>
          </cell>
        </row>
        <row r="820">
          <cell r="A820" t="str">
            <v>A.MT.0000005</v>
          </cell>
        </row>
        <row r="821">
          <cell r="A821" t="str">
            <v>A.MT.0000006</v>
          </cell>
        </row>
        <row r="822">
          <cell r="A822" t="str">
            <v>A.MT.0000007</v>
          </cell>
        </row>
        <row r="823">
          <cell r="A823" t="str">
            <v>A.MT.0000008</v>
          </cell>
        </row>
        <row r="824">
          <cell r="A824" t="str">
            <v>A.MT.0000009</v>
          </cell>
        </row>
        <row r="825">
          <cell r="A825" t="str">
            <v>A.MT.0000010</v>
          </cell>
        </row>
        <row r="826">
          <cell r="A826" t="str">
            <v>A.MT.0000011</v>
          </cell>
        </row>
        <row r="827">
          <cell r="A827" t="str">
            <v>A.MT.0000012</v>
          </cell>
        </row>
        <row r="828">
          <cell r="A828" t="str">
            <v>A.MT.0000013</v>
          </cell>
        </row>
        <row r="829">
          <cell r="A829" t="str">
            <v>A.MT.0000014</v>
          </cell>
        </row>
        <row r="830">
          <cell r="A830" t="str">
            <v>A.MT.0000015</v>
          </cell>
        </row>
        <row r="831">
          <cell r="A831" t="str">
            <v>A.MT.0000016</v>
          </cell>
        </row>
        <row r="832">
          <cell r="A832" t="str">
            <v>A.MT.0000017</v>
          </cell>
        </row>
        <row r="833">
          <cell r="A833" t="str">
            <v>A.MT.0000018</v>
          </cell>
        </row>
        <row r="834">
          <cell r="A834" t="str">
            <v>A.MT.0000019</v>
          </cell>
        </row>
        <row r="835">
          <cell r="A835" t="str">
            <v>A.MT.0000020</v>
          </cell>
        </row>
        <row r="836">
          <cell r="A836" t="str">
            <v>A.MT.0000021</v>
          </cell>
        </row>
        <row r="837">
          <cell r="A837" t="str">
            <v>A.MT.0000022</v>
          </cell>
        </row>
        <row r="838">
          <cell r="A838" t="str">
            <v>A.MT.0000023</v>
          </cell>
        </row>
        <row r="839">
          <cell r="A839" t="str">
            <v>A.MT.0000024</v>
          </cell>
        </row>
        <row r="840">
          <cell r="A840" t="str">
            <v>A.MT.0000025</v>
          </cell>
        </row>
        <row r="841">
          <cell r="A841" t="str">
            <v>A.MT.0000026</v>
          </cell>
        </row>
        <row r="842">
          <cell r="A842" t="str">
            <v>A.MT.0000027</v>
          </cell>
        </row>
        <row r="843">
          <cell r="A843" t="str">
            <v>A.MT.0000030</v>
          </cell>
        </row>
        <row r="844">
          <cell r="A844" t="str">
            <v>A.MT.0000031</v>
          </cell>
        </row>
        <row r="845">
          <cell r="A845" t="str">
            <v>A.MT.0000032</v>
          </cell>
        </row>
        <row r="846">
          <cell r="A846" t="str">
            <v>A.MT.0000034</v>
          </cell>
        </row>
        <row r="847">
          <cell r="A847" t="str">
            <v>A.MT.0000035</v>
          </cell>
        </row>
        <row r="848">
          <cell r="A848" t="str">
            <v>A.MT.0000036</v>
          </cell>
        </row>
        <row r="849">
          <cell r="A849" t="str">
            <v>A.MT.0000037</v>
          </cell>
        </row>
        <row r="850">
          <cell r="A850" t="str">
            <v>A.MT.0000038</v>
          </cell>
        </row>
        <row r="851">
          <cell r="A851" t="str">
            <v>A.MT.0000039</v>
          </cell>
        </row>
        <row r="852">
          <cell r="A852" t="str">
            <v>A.MT.0000040</v>
          </cell>
        </row>
        <row r="853">
          <cell r="A853" t="str">
            <v>A.MT.0000041</v>
          </cell>
        </row>
        <row r="854">
          <cell r="A854" t="str">
            <v>A.MT.0000042</v>
          </cell>
        </row>
        <row r="855">
          <cell r="A855" t="str">
            <v>A.MT.0000043</v>
          </cell>
        </row>
        <row r="856">
          <cell r="A856" t="str">
            <v>A.MT.0000044</v>
          </cell>
        </row>
        <row r="857">
          <cell r="A857" t="str">
            <v>A.MT.0000045</v>
          </cell>
        </row>
        <row r="858">
          <cell r="A858" t="str">
            <v>A.MT.0000046</v>
          </cell>
        </row>
        <row r="859">
          <cell r="A859" t="str">
            <v>A.MT.0000047</v>
          </cell>
        </row>
        <row r="860">
          <cell r="A860" t="str">
            <v>A.MT.0000048</v>
          </cell>
        </row>
        <row r="861">
          <cell r="A861" t="str">
            <v>A.MT.0000049</v>
          </cell>
        </row>
        <row r="862">
          <cell r="A862" t="str">
            <v>A.MT.0000050</v>
          </cell>
        </row>
        <row r="863">
          <cell r="A863" t="str">
            <v>A.MT.0000051</v>
          </cell>
        </row>
        <row r="864">
          <cell r="A864" t="str">
            <v>A.MT.0000052</v>
          </cell>
        </row>
        <row r="865">
          <cell r="A865" t="str">
            <v>A.MT.0000053</v>
          </cell>
        </row>
        <row r="866">
          <cell r="A866" t="str">
            <v>A.MT.0000054</v>
          </cell>
        </row>
        <row r="867">
          <cell r="A867" t="str">
            <v>A.MT.0000055</v>
          </cell>
        </row>
        <row r="868">
          <cell r="A868" t="str">
            <v>A.MT.0000056</v>
          </cell>
        </row>
        <row r="869">
          <cell r="A869" t="str">
            <v>A.MT.0000057</v>
          </cell>
        </row>
        <row r="870">
          <cell r="A870" t="str">
            <v>A.MT.0000058</v>
          </cell>
        </row>
        <row r="871">
          <cell r="A871" t="str">
            <v>A.MT.0000059</v>
          </cell>
        </row>
        <row r="872">
          <cell r="A872" t="str">
            <v>A.MT.0000060</v>
          </cell>
        </row>
        <row r="873">
          <cell r="A873" t="str">
            <v>A.MT.0000061</v>
          </cell>
        </row>
        <row r="874">
          <cell r="A874" t="str">
            <v>A.MT.0000062</v>
          </cell>
        </row>
        <row r="875">
          <cell r="A875" t="str">
            <v>A.MT.0000063</v>
          </cell>
        </row>
        <row r="876">
          <cell r="A876" t="str">
            <v>A.MT.0000064</v>
          </cell>
        </row>
        <row r="877">
          <cell r="A877" t="str">
            <v>A.MT.0000065</v>
          </cell>
        </row>
        <row r="878">
          <cell r="A878" t="str">
            <v>A.MT.0000066</v>
          </cell>
        </row>
        <row r="879">
          <cell r="A879" t="str">
            <v>A.MT.0000067</v>
          </cell>
        </row>
        <row r="880">
          <cell r="A880" t="str">
            <v>A.MT.0000068</v>
          </cell>
        </row>
        <row r="881">
          <cell r="A881" t="str">
            <v>A.MT.0000069</v>
          </cell>
        </row>
        <row r="882">
          <cell r="A882" t="str">
            <v>A.MT.0000070</v>
          </cell>
        </row>
        <row r="883">
          <cell r="A883" t="str">
            <v>A.MT.0000071</v>
          </cell>
        </row>
        <row r="884">
          <cell r="A884" t="str">
            <v>A.MT.0000072</v>
          </cell>
        </row>
        <row r="885">
          <cell r="A885" t="str">
            <v>A.MT.0000073</v>
          </cell>
        </row>
        <row r="886">
          <cell r="A886" t="str">
            <v>A.MT.0000074</v>
          </cell>
        </row>
        <row r="887">
          <cell r="A887" t="str">
            <v>A.MT.0000075</v>
          </cell>
        </row>
        <row r="888">
          <cell r="A888" t="str">
            <v>A.MT.0000076</v>
          </cell>
        </row>
        <row r="889">
          <cell r="A889" t="str">
            <v>A.MT.0000077</v>
          </cell>
        </row>
        <row r="890">
          <cell r="A890" t="str">
            <v>A.MT.0000078</v>
          </cell>
        </row>
        <row r="891">
          <cell r="A891" t="str">
            <v>A.MT.0000079</v>
          </cell>
        </row>
        <row r="892">
          <cell r="A892" t="str">
            <v>A.MT.0000080</v>
          </cell>
        </row>
        <row r="893">
          <cell r="A893" t="str">
            <v>A.MT.0000081</v>
          </cell>
        </row>
        <row r="894">
          <cell r="A894" t="str">
            <v>A.MT.0000082</v>
          </cell>
        </row>
        <row r="895">
          <cell r="A895" t="str">
            <v>A.MT.0000083</v>
          </cell>
        </row>
        <row r="896">
          <cell r="A896" t="str">
            <v>A.MT.0000084</v>
          </cell>
        </row>
        <row r="897">
          <cell r="A897" t="str">
            <v>A.MT.0000085</v>
          </cell>
        </row>
        <row r="898">
          <cell r="A898" t="str">
            <v>A.MT.0000086</v>
          </cell>
        </row>
        <row r="899">
          <cell r="A899" t="str">
            <v>A.MT.0000087</v>
          </cell>
        </row>
        <row r="900">
          <cell r="A900" t="str">
            <v>A.MT.0000088</v>
          </cell>
        </row>
        <row r="901">
          <cell r="A901" t="str">
            <v>A.MT.0000089</v>
          </cell>
        </row>
        <row r="902">
          <cell r="A902" t="str">
            <v>A.MT.0000090</v>
          </cell>
        </row>
        <row r="903">
          <cell r="A903" t="str">
            <v>A.MT.0000091</v>
          </cell>
        </row>
        <row r="904">
          <cell r="A904" t="str">
            <v>A.MT.0000092</v>
          </cell>
        </row>
        <row r="905">
          <cell r="A905" t="str">
            <v>A.MT.0000093</v>
          </cell>
        </row>
        <row r="906">
          <cell r="A906" t="str">
            <v>A.MT.0000094</v>
          </cell>
        </row>
        <row r="907">
          <cell r="A907" t="str">
            <v>A.MT.0000095</v>
          </cell>
        </row>
        <row r="908">
          <cell r="A908" t="str">
            <v>A.MT.0000096</v>
          </cell>
        </row>
        <row r="909">
          <cell r="A909" t="str">
            <v>A.MT.0000097</v>
          </cell>
        </row>
        <row r="910">
          <cell r="A910" t="str">
            <v>A.MT.0000098</v>
          </cell>
        </row>
        <row r="911">
          <cell r="A911" t="str">
            <v>A.MT.0000099</v>
          </cell>
        </row>
        <row r="912">
          <cell r="A912" t="str">
            <v>A.MT.0000100</v>
          </cell>
        </row>
        <row r="913">
          <cell r="A913" t="str">
            <v>A.MT.0000101</v>
          </cell>
        </row>
        <row r="914">
          <cell r="A914" t="str">
            <v>A.MT.0000102</v>
          </cell>
        </row>
        <row r="915">
          <cell r="A915" t="str">
            <v>A.MT.0000103</v>
          </cell>
        </row>
        <row r="916">
          <cell r="A916" t="str">
            <v>A.MT.0000104</v>
          </cell>
        </row>
        <row r="917">
          <cell r="A917" t="str">
            <v>A.MT.0000105</v>
          </cell>
        </row>
        <row r="918">
          <cell r="A918" t="str">
            <v>A.MT.0000106</v>
          </cell>
        </row>
        <row r="919">
          <cell r="A919" t="str">
            <v>A.MT.0000107</v>
          </cell>
        </row>
        <row r="920">
          <cell r="A920" t="str">
            <v>A.MT.0000108</v>
          </cell>
        </row>
        <row r="921">
          <cell r="A921" t="str">
            <v>A.MT.0000109</v>
          </cell>
        </row>
        <row r="922">
          <cell r="A922" t="str">
            <v>A.MT.0000110</v>
          </cell>
        </row>
        <row r="923">
          <cell r="A923" t="str">
            <v>A.MT.0000111</v>
          </cell>
        </row>
        <row r="924">
          <cell r="A924" t="str">
            <v>A.MT.0000112</v>
          </cell>
        </row>
        <row r="925">
          <cell r="A925" t="str">
            <v>A.MT.0000113</v>
          </cell>
        </row>
        <row r="926">
          <cell r="A926" t="str">
            <v>A.MT.0000114</v>
          </cell>
        </row>
        <row r="927">
          <cell r="A927" t="str">
            <v>A.MT.0000115</v>
          </cell>
        </row>
        <row r="928">
          <cell r="A928" t="str">
            <v>A.MT.0000116</v>
          </cell>
        </row>
        <row r="929">
          <cell r="A929" t="str">
            <v>A.MT.0000117</v>
          </cell>
        </row>
        <row r="930">
          <cell r="A930" t="str">
            <v>A.MT.0000118</v>
          </cell>
        </row>
        <row r="931">
          <cell r="A931" t="str">
            <v>A.MT.0000120</v>
          </cell>
        </row>
        <row r="932">
          <cell r="A932" t="str">
            <v>A.MT.0000121</v>
          </cell>
        </row>
        <row r="933">
          <cell r="A933" t="str">
            <v>A.MT.0000122</v>
          </cell>
        </row>
        <row r="934">
          <cell r="A934" t="str">
            <v>A.MT.0000123</v>
          </cell>
        </row>
        <row r="935">
          <cell r="A935" t="str">
            <v>A.MT.0000124</v>
          </cell>
        </row>
        <row r="936">
          <cell r="A936" t="str">
            <v>A.MT.0000125</v>
          </cell>
        </row>
        <row r="937">
          <cell r="A937" t="str">
            <v>A.MT.0000126</v>
          </cell>
        </row>
        <row r="938">
          <cell r="A938" t="str">
            <v>A.MT.0000127</v>
          </cell>
        </row>
        <row r="939">
          <cell r="A939" t="str">
            <v>A.MT.0000128</v>
          </cell>
        </row>
        <row r="940">
          <cell r="A940" t="str">
            <v>A.MT.0000129</v>
          </cell>
        </row>
        <row r="941">
          <cell r="A941" t="str">
            <v>A.MT.0000130</v>
          </cell>
        </row>
        <row r="942">
          <cell r="A942" t="str">
            <v>A.MT.0000131</v>
          </cell>
        </row>
        <row r="943">
          <cell r="A943" t="str">
            <v>A.MT.0000132</v>
          </cell>
        </row>
        <row r="944">
          <cell r="A944" t="str">
            <v>A.MT.0000133</v>
          </cell>
        </row>
        <row r="945">
          <cell r="A945" t="str">
            <v>A.MT.0000134</v>
          </cell>
        </row>
        <row r="946">
          <cell r="A946" t="str">
            <v>A.MT.0000135</v>
          </cell>
        </row>
        <row r="947">
          <cell r="A947" t="str">
            <v>A.MT.0000136</v>
          </cell>
        </row>
        <row r="948">
          <cell r="A948" t="str">
            <v>A.MT.0000137</v>
          </cell>
        </row>
        <row r="949">
          <cell r="A949" t="str">
            <v>A.MT.0000138</v>
          </cell>
        </row>
        <row r="950">
          <cell r="A950" t="str">
            <v>A.MT.0000139</v>
          </cell>
        </row>
        <row r="951">
          <cell r="A951" t="str">
            <v>A.MT.0000140</v>
          </cell>
        </row>
        <row r="952">
          <cell r="A952" t="str">
            <v>A.MT.0000141</v>
          </cell>
        </row>
        <row r="953">
          <cell r="A953" t="str">
            <v>A.MT.0000142</v>
          </cell>
        </row>
        <row r="954">
          <cell r="A954" t="str">
            <v>A.MT.0000143</v>
          </cell>
        </row>
        <row r="955">
          <cell r="A955" t="str">
            <v>A.MT.0000144</v>
          </cell>
        </row>
        <row r="956">
          <cell r="A956" t="str">
            <v>A.MT.0000145</v>
          </cell>
        </row>
        <row r="957">
          <cell r="A957" t="str">
            <v>A.MT.0000146</v>
          </cell>
        </row>
        <row r="958">
          <cell r="A958" t="str">
            <v>A.MT.0000147</v>
          </cell>
        </row>
        <row r="959">
          <cell r="A959" t="str">
            <v>A.MT.0000148</v>
          </cell>
        </row>
        <row r="960">
          <cell r="A960" t="str">
            <v>A.MT.0000149</v>
          </cell>
        </row>
        <row r="961">
          <cell r="A961" t="str">
            <v>A.MT.0000150</v>
          </cell>
        </row>
        <row r="962">
          <cell r="A962" t="str">
            <v>A.MT.0000151</v>
          </cell>
        </row>
        <row r="963">
          <cell r="A963" t="str">
            <v>A.MT.0000152</v>
          </cell>
        </row>
        <row r="964">
          <cell r="A964" t="str">
            <v>A.MT.0000153</v>
          </cell>
        </row>
        <row r="965">
          <cell r="A965" t="str">
            <v>A.MT.0000154</v>
          </cell>
        </row>
        <row r="966">
          <cell r="A966" t="str">
            <v>A.MT.0000155</v>
          </cell>
        </row>
        <row r="967">
          <cell r="A967" t="str">
            <v>A.MT.0000156</v>
          </cell>
        </row>
        <row r="968">
          <cell r="A968" t="str">
            <v>A.MT.0000157</v>
          </cell>
        </row>
        <row r="969">
          <cell r="A969" t="str">
            <v>A.MT.0000158</v>
          </cell>
        </row>
        <row r="970">
          <cell r="A970" t="str">
            <v>A.MT.0000159</v>
          </cell>
        </row>
        <row r="971">
          <cell r="A971" t="str">
            <v>A.MT.0000160</v>
          </cell>
        </row>
        <row r="972">
          <cell r="A972" t="str">
            <v>A.MT.0000161</v>
          </cell>
        </row>
        <row r="973">
          <cell r="A973" t="str">
            <v>A.MT.0000162</v>
          </cell>
        </row>
        <row r="974">
          <cell r="A974" t="str">
            <v>A.MT.0000163</v>
          </cell>
        </row>
        <row r="975">
          <cell r="A975" t="str">
            <v>A.MT.0000164</v>
          </cell>
        </row>
        <row r="976">
          <cell r="A976" t="str">
            <v>A.MT.0000165</v>
          </cell>
        </row>
        <row r="977">
          <cell r="A977" t="str">
            <v>A.MT.0000166</v>
          </cell>
        </row>
        <row r="978">
          <cell r="A978" t="str">
            <v>A.MT.0000167</v>
          </cell>
        </row>
        <row r="979">
          <cell r="A979" t="str">
            <v>A.MT.0000168</v>
          </cell>
        </row>
        <row r="980">
          <cell r="A980" t="str">
            <v>A.MT.0000169</v>
          </cell>
        </row>
        <row r="981">
          <cell r="A981" t="str">
            <v>A.MT.0000170</v>
          </cell>
        </row>
        <row r="982">
          <cell r="A982" t="str">
            <v>A.MT.0000171</v>
          </cell>
        </row>
        <row r="983">
          <cell r="A983" t="str">
            <v>A.MT.0000172</v>
          </cell>
        </row>
        <row r="984">
          <cell r="A984" t="str">
            <v>A.MT.0000173</v>
          </cell>
        </row>
        <row r="985">
          <cell r="A985" t="str">
            <v>A.MT.0000174</v>
          </cell>
        </row>
        <row r="986">
          <cell r="A986" t="str">
            <v>A.MT.0000175</v>
          </cell>
        </row>
        <row r="987">
          <cell r="A987" t="str">
            <v>A.MT.0000176</v>
          </cell>
        </row>
        <row r="988">
          <cell r="A988" t="str">
            <v>A.MT.0000177</v>
          </cell>
        </row>
        <row r="989">
          <cell r="A989" t="str">
            <v>A.MT.0000178</v>
          </cell>
        </row>
        <row r="990">
          <cell r="A990" t="str">
            <v>A.MT.0000179</v>
          </cell>
        </row>
        <row r="991">
          <cell r="A991" t="str">
            <v>A.MT.0000180</v>
          </cell>
        </row>
        <row r="992">
          <cell r="A992" t="str">
            <v>A.MT.0000181</v>
          </cell>
        </row>
        <row r="993">
          <cell r="A993" t="str">
            <v>A.MT.0000182</v>
          </cell>
        </row>
        <row r="994">
          <cell r="A994" t="str">
            <v>A.MT.0000183</v>
          </cell>
        </row>
        <row r="995">
          <cell r="A995" t="str">
            <v>A.MT.0000185</v>
          </cell>
        </row>
        <row r="996">
          <cell r="A996" t="str">
            <v>A.MT.0000186</v>
          </cell>
        </row>
        <row r="997">
          <cell r="A997" t="str">
            <v>A.MT.0000187</v>
          </cell>
        </row>
        <row r="998">
          <cell r="A998" t="str">
            <v>A.MT.0000188</v>
          </cell>
        </row>
        <row r="999">
          <cell r="A999" t="str">
            <v>A.MT.0000189</v>
          </cell>
        </row>
        <row r="1000">
          <cell r="A1000" t="str">
            <v>A.MT.0000190</v>
          </cell>
        </row>
        <row r="1001">
          <cell r="A1001" t="str">
            <v>A.MT.0000191</v>
          </cell>
        </row>
        <row r="1002">
          <cell r="A1002" t="str">
            <v>A.MT.0000192</v>
          </cell>
        </row>
        <row r="1003">
          <cell r="A1003" t="str">
            <v>A.MT.0000193</v>
          </cell>
        </row>
        <row r="1004">
          <cell r="A1004" t="str">
            <v>A.MT.0000194</v>
          </cell>
        </row>
        <row r="1005">
          <cell r="A1005" t="str">
            <v>A.MT.0000195</v>
          </cell>
        </row>
        <row r="1006">
          <cell r="A1006" t="str">
            <v>A.MT.0000196</v>
          </cell>
        </row>
        <row r="1007">
          <cell r="A1007" t="str">
            <v>A.MT.0000197</v>
          </cell>
        </row>
        <row r="1008">
          <cell r="A1008" t="str">
            <v>A.MT.0000198</v>
          </cell>
        </row>
        <row r="1009">
          <cell r="A1009" t="str">
            <v>A.MT.0000199</v>
          </cell>
        </row>
        <row r="1010">
          <cell r="A1010" t="str">
            <v>A.MT.0000200</v>
          </cell>
        </row>
        <row r="1011">
          <cell r="A1011" t="str">
            <v>A.MT.0000201</v>
          </cell>
        </row>
        <row r="1012">
          <cell r="A1012" t="str">
            <v>A.MT.0000462</v>
          </cell>
        </row>
        <row r="1013">
          <cell r="A1013" t="str">
            <v>A.MT.0000464</v>
          </cell>
        </row>
        <row r="1014">
          <cell r="A1014" t="str">
            <v>A.MT.0000465</v>
          </cell>
        </row>
        <row r="1016">
          <cell r="A1016" t="str">
            <v>A.OE.0000001</v>
          </cell>
        </row>
        <row r="1017">
          <cell r="A1017" t="str">
            <v>A.OE.0000002</v>
          </cell>
        </row>
        <row r="1018">
          <cell r="A1018" t="str">
            <v>A.OE.0000003</v>
          </cell>
        </row>
        <row r="1019">
          <cell r="A1019" t="str">
            <v>A.OE.0000004</v>
          </cell>
        </row>
        <row r="1020">
          <cell r="A1020" t="str">
            <v>A.OE.0000005</v>
          </cell>
        </row>
        <row r="1021">
          <cell r="A1021" t="str">
            <v>A.OE.0000006</v>
          </cell>
        </row>
        <row r="1022">
          <cell r="A1022" t="str">
            <v>A.OE.0000007</v>
          </cell>
        </row>
        <row r="1023">
          <cell r="A1023" t="str">
            <v>A.OE.0000008</v>
          </cell>
        </row>
        <row r="1024">
          <cell r="A1024" t="str">
            <v>A.OE.0000009</v>
          </cell>
        </row>
        <row r="1025">
          <cell r="A1025" t="str">
            <v>A.OE.0000010</v>
          </cell>
        </row>
        <row r="1026">
          <cell r="A1026" t="str">
            <v>A.OE.0000011</v>
          </cell>
        </row>
        <row r="1027">
          <cell r="A1027" t="str">
            <v>A.OE.0000012</v>
          </cell>
        </row>
        <row r="1028">
          <cell r="A1028" t="str">
            <v>A.OE.0000013</v>
          </cell>
        </row>
        <row r="1029">
          <cell r="A1029" t="str">
            <v>A.OE.0000014</v>
          </cell>
        </row>
        <row r="1030">
          <cell r="A1030" t="str">
            <v>A.OE.0000015</v>
          </cell>
        </row>
        <row r="1031">
          <cell r="A1031" t="str">
            <v>A.OE.0000016</v>
          </cell>
        </row>
        <row r="1032">
          <cell r="A1032" t="str">
            <v>A.OE.0000017</v>
          </cell>
        </row>
        <row r="1033">
          <cell r="A1033" t="str">
            <v>A.OE.0000018</v>
          </cell>
        </row>
        <row r="1034">
          <cell r="A1034" t="str">
            <v>A.OE.0000019</v>
          </cell>
        </row>
        <row r="1035">
          <cell r="A1035" t="str">
            <v>A.OE.0000020</v>
          </cell>
        </row>
        <row r="1036">
          <cell r="A1036" t="str">
            <v>A.OE.0000021</v>
          </cell>
        </row>
        <row r="1037">
          <cell r="A1037" t="str">
            <v>A.OE.0000022</v>
          </cell>
        </row>
        <row r="1038">
          <cell r="A1038" t="str">
            <v>A.OE.0000023</v>
          </cell>
        </row>
        <row r="1039">
          <cell r="A1039" t="str">
            <v>A.OE.0000024</v>
          </cell>
        </row>
        <row r="1040">
          <cell r="A1040" t="str">
            <v>A.OE.0000025</v>
          </cell>
        </row>
        <row r="1041">
          <cell r="A1041" t="str">
            <v>A.OE.0000026</v>
          </cell>
        </row>
        <row r="1042">
          <cell r="A1042" t="str">
            <v>A.OE.0000027</v>
          </cell>
        </row>
        <row r="1043">
          <cell r="A1043" t="str">
            <v>A.OE.0000028</v>
          </cell>
        </row>
        <row r="1044">
          <cell r="A1044" t="str">
            <v>A.OE.0000029</v>
          </cell>
        </row>
        <row r="1045">
          <cell r="A1045" t="str">
            <v>A.OE.0000030</v>
          </cell>
        </row>
        <row r="1046">
          <cell r="A1046" t="str">
            <v>A.OE.0000031</v>
          </cell>
        </row>
        <row r="1047">
          <cell r="A1047" t="str">
            <v>A.OE.0000032</v>
          </cell>
        </row>
        <row r="1048">
          <cell r="A1048" t="str">
            <v>A.OE.0000033</v>
          </cell>
        </row>
        <row r="1049">
          <cell r="A1049" t="str">
            <v>A.OE.0000034</v>
          </cell>
        </row>
        <row r="1050">
          <cell r="A1050" t="str">
            <v>A.OE.0000035</v>
          </cell>
        </row>
        <row r="1051">
          <cell r="A1051" t="str">
            <v>A.OE.0000036</v>
          </cell>
        </row>
        <row r="1052">
          <cell r="A1052" t="str">
            <v>A.OE.0000037</v>
          </cell>
        </row>
        <row r="1053">
          <cell r="A1053" t="str">
            <v>A.OE.0000038</v>
          </cell>
        </row>
        <row r="1054">
          <cell r="A1054" t="str">
            <v>A.OE.0000039</v>
          </cell>
        </row>
        <row r="1055">
          <cell r="A1055" t="str">
            <v>A.OE.0000040</v>
          </cell>
        </row>
        <row r="1056">
          <cell r="A1056" t="str">
            <v>A.OE.0000041</v>
          </cell>
        </row>
        <row r="1057">
          <cell r="A1057" t="str">
            <v>A.OE.0000042</v>
          </cell>
        </row>
        <row r="1058">
          <cell r="A1058" t="str">
            <v>A.OE.0000043</v>
          </cell>
        </row>
        <row r="1059">
          <cell r="A1059" t="str">
            <v>A.OE.0000044</v>
          </cell>
        </row>
        <row r="1060">
          <cell r="A1060" t="str">
            <v>A.OE.0000045</v>
          </cell>
        </row>
        <row r="1061">
          <cell r="A1061" t="str">
            <v>A.OE.0000046</v>
          </cell>
        </row>
        <row r="1062">
          <cell r="A1062" t="str">
            <v>A.OE.0000047</v>
          </cell>
        </row>
        <row r="1063">
          <cell r="A1063" t="str">
            <v>A.OE.0000048</v>
          </cell>
        </row>
        <row r="1064">
          <cell r="A1064" t="str">
            <v>A.OE.0000049</v>
          </cell>
        </row>
        <row r="1065">
          <cell r="A1065" t="str">
            <v>A.OE.0000050</v>
          </cell>
        </row>
        <row r="1066">
          <cell r="A1066" t="str">
            <v>A.OE.0000051</v>
          </cell>
        </row>
        <row r="1067">
          <cell r="A1067" t="str">
            <v>A.OE.0000052</v>
          </cell>
        </row>
        <row r="1068">
          <cell r="A1068" t="str">
            <v>A.OE.0000053</v>
          </cell>
        </row>
        <row r="1069">
          <cell r="A1069" t="str">
            <v>A.OE.0000054</v>
          </cell>
        </row>
        <row r="1070">
          <cell r="A1070" t="str">
            <v>A.OE.0000055</v>
          </cell>
        </row>
        <row r="1071">
          <cell r="A1071" t="str">
            <v>A.OE.0000056</v>
          </cell>
        </row>
        <row r="1072">
          <cell r="A1072" t="str">
            <v>A.OE.0000057</v>
          </cell>
        </row>
        <row r="1073">
          <cell r="A1073" t="str">
            <v>A.OE.0000058</v>
          </cell>
        </row>
        <row r="1074">
          <cell r="A1074" t="str">
            <v>A.OE.0000059</v>
          </cell>
        </row>
        <row r="1075">
          <cell r="A1075" t="str">
            <v>A.OE.0000060</v>
          </cell>
        </row>
        <row r="1076">
          <cell r="A1076" t="str">
            <v>A.OE.0000061</v>
          </cell>
        </row>
        <row r="1077">
          <cell r="A1077" t="str">
            <v>A.OE.0000062</v>
          </cell>
        </row>
        <row r="1078">
          <cell r="A1078" t="str">
            <v>A.OE.0000063</v>
          </cell>
        </row>
        <row r="1079">
          <cell r="A1079" t="str">
            <v>A.OE.0000064</v>
          </cell>
        </row>
        <row r="1080">
          <cell r="A1080" t="str">
            <v>A.OE.0000065</v>
          </cell>
        </row>
        <row r="1081">
          <cell r="A1081" t="str">
            <v>A.OE.0000066</v>
          </cell>
        </row>
        <row r="1082">
          <cell r="A1082" t="str">
            <v>A.OE.0000067</v>
          </cell>
        </row>
        <row r="1083">
          <cell r="A1083" t="str">
            <v>A.OE.0000068</v>
          </cell>
        </row>
        <row r="1084">
          <cell r="A1084" t="str">
            <v>A.OE.0000069</v>
          </cell>
        </row>
        <row r="1085">
          <cell r="A1085" t="str">
            <v>A.OE.0000070</v>
          </cell>
        </row>
        <row r="1086">
          <cell r="A1086" t="str">
            <v>A.OE.0000071</v>
          </cell>
        </row>
        <row r="1087">
          <cell r="A1087" t="str">
            <v>A.OE.0000072</v>
          </cell>
        </row>
        <row r="1088">
          <cell r="A1088" t="str">
            <v>A.OE.0000073</v>
          </cell>
        </row>
        <row r="1089">
          <cell r="A1089" t="str">
            <v>A.OE.0000074</v>
          </cell>
        </row>
        <row r="1090">
          <cell r="A1090" t="str">
            <v>A.OE.0000075</v>
          </cell>
        </row>
        <row r="1091">
          <cell r="A1091" t="str">
            <v>A.OE.0000076</v>
          </cell>
        </row>
        <row r="1092">
          <cell r="A1092" t="str">
            <v>A.OE.0000077</v>
          </cell>
        </row>
        <row r="1093">
          <cell r="A1093" t="str">
            <v>A.OE.0000078</v>
          </cell>
        </row>
        <row r="1094">
          <cell r="A1094" t="str">
            <v>A.OE.0000079</v>
          </cell>
        </row>
        <row r="1095">
          <cell r="A1095" t="str">
            <v>A.OE.0000080</v>
          </cell>
        </row>
        <row r="1096">
          <cell r="A1096" t="str">
            <v>A.OE.0000081</v>
          </cell>
        </row>
        <row r="1097">
          <cell r="A1097" t="str">
            <v>A.OE.0000082</v>
          </cell>
        </row>
        <row r="1098">
          <cell r="A1098" t="str">
            <v>A.OE.0000083</v>
          </cell>
        </row>
        <row r="1099">
          <cell r="A1099" t="str">
            <v>A.OE.0000084</v>
          </cell>
        </row>
        <row r="1100">
          <cell r="A1100" t="str">
            <v>A.OE.0000085</v>
          </cell>
        </row>
        <row r="1101">
          <cell r="A1101" t="str">
            <v>A.OE.0000086</v>
          </cell>
        </row>
        <row r="1102">
          <cell r="A1102" t="str">
            <v>A.OE.0000087</v>
          </cell>
        </row>
        <row r="1103">
          <cell r="A1103" t="str">
            <v>A.OE.0000088</v>
          </cell>
        </row>
        <row r="1104">
          <cell r="A1104" t="str">
            <v>A.OE.0000089</v>
          </cell>
        </row>
        <row r="1105">
          <cell r="A1105" t="str">
            <v>A.OE.0000090</v>
          </cell>
        </row>
        <row r="1106">
          <cell r="A1106" t="str">
            <v>A.OE.0000091</v>
          </cell>
        </row>
        <row r="1107">
          <cell r="A1107" t="str">
            <v>A.OE.0000092</v>
          </cell>
        </row>
        <row r="1108">
          <cell r="A1108" t="str">
            <v>A.OE.0000093</v>
          </cell>
        </row>
        <row r="1109">
          <cell r="A1109" t="str">
            <v>A.OE.0000094</v>
          </cell>
        </row>
        <row r="1110">
          <cell r="A1110" t="str">
            <v>A.OE.0000095</v>
          </cell>
        </row>
        <row r="1111">
          <cell r="A1111" t="str">
            <v>A.OE.0000096</v>
          </cell>
        </row>
        <row r="1112">
          <cell r="A1112" t="str">
            <v>A.OE.0000097</v>
          </cell>
        </row>
        <row r="1113">
          <cell r="A1113" t="str">
            <v>A.OE.0000098</v>
          </cell>
        </row>
        <row r="1114">
          <cell r="A1114" t="str">
            <v>A.OE.0000099</v>
          </cell>
        </row>
        <row r="1115">
          <cell r="A1115" t="str">
            <v>A.OE.0000100</v>
          </cell>
        </row>
        <row r="1116">
          <cell r="A1116" t="str">
            <v>A.OE.0000101</v>
          </cell>
        </row>
        <row r="1117">
          <cell r="A1117" t="str">
            <v>A.OE.0000102</v>
          </cell>
        </row>
        <row r="1118">
          <cell r="A1118" t="str">
            <v>A.OE.0000103</v>
          </cell>
        </row>
        <row r="1119">
          <cell r="A1119" t="str">
            <v>A.OE.0000104</v>
          </cell>
        </row>
        <row r="1120">
          <cell r="A1120" t="str">
            <v>A.OE.0000105</v>
          </cell>
        </row>
        <row r="1121">
          <cell r="A1121" t="str">
            <v>A.OE.0000106</v>
          </cell>
        </row>
        <row r="1122">
          <cell r="A1122" t="str">
            <v>A.OE.0000107</v>
          </cell>
        </row>
        <row r="1123">
          <cell r="A1123" t="str">
            <v>A.OE.0000108</v>
          </cell>
        </row>
        <row r="1124">
          <cell r="A1124" t="str">
            <v>A.OE.0000109</v>
          </cell>
        </row>
        <row r="1125">
          <cell r="A1125" t="str">
            <v>A.OE.0000110</v>
          </cell>
        </row>
        <row r="1126">
          <cell r="A1126" t="str">
            <v>A.OE.0000111</v>
          </cell>
        </row>
        <row r="1127">
          <cell r="A1127" t="str">
            <v>A.OE.0000112</v>
          </cell>
        </row>
        <row r="1128">
          <cell r="A1128" t="str">
            <v>A.OE.0000113</v>
          </cell>
        </row>
        <row r="1129">
          <cell r="A1129" t="str">
            <v>A.OE.0000114</v>
          </cell>
        </row>
        <row r="1130">
          <cell r="A1130" t="str">
            <v>A.OE.0000115</v>
          </cell>
        </row>
        <row r="1131">
          <cell r="A1131" t="str">
            <v>A.OE.0000116</v>
          </cell>
        </row>
        <row r="1132">
          <cell r="A1132" t="str">
            <v>A.OE.0000117</v>
          </cell>
        </row>
        <row r="1133">
          <cell r="A1133" t="str">
            <v>A.OE.0000118</v>
          </cell>
        </row>
        <row r="1134">
          <cell r="A1134" t="str">
            <v>A.OE.0000119</v>
          </cell>
        </row>
        <row r="1135">
          <cell r="A1135" t="str">
            <v>A.OE.0000120</v>
          </cell>
        </row>
        <row r="1136">
          <cell r="A1136" t="str">
            <v>A.OE.0000121</v>
          </cell>
        </row>
        <row r="1137">
          <cell r="A1137" t="str">
            <v>A.OE.0000122</v>
          </cell>
        </row>
        <row r="1138">
          <cell r="A1138" t="str">
            <v>A.OE.0000123</v>
          </cell>
        </row>
        <row r="1139">
          <cell r="A1139" t="str">
            <v>A.OE.0000124</v>
          </cell>
        </row>
        <row r="1140">
          <cell r="A1140" t="str">
            <v>A.OE.0000125</v>
          </cell>
        </row>
        <row r="1141">
          <cell r="A1141" t="str">
            <v>A.OE.0000126</v>
          </cell>
        </row>
        <row r="1142">
          <cell r="A1142" t="str">
            <v>A.OE.0000127</v>
          </cell>
        </row>
        <row r="1143">
          <cell r="A1143" t="str">
            <v>A.OE.0000128</v>
          </cell>
        </row>
        <row r="1144">
          <cell r="A1144" t="str">
            <v>A.OE.0000129</v>
          </cell>
        </row>
        <row r="1145">
          <cell r="A1145" t="str">
            <v>A.OE.0000131</v>
          </cell>
        </row>
        <row r="1146">
          <cell r="A1146" t="str">
            <v>A.OE.0000132</v>
          </cell>
        </row>
        <row r="1147">
          <cell r="A1147" t="str">
            <v>A.OE.0000133</v>
          </cell>
        </row>
        <row r="1148">
          <cell r="A1148" t="str">
            <v>A.OE.0000134</v>
          </cell>
        </row>
        <row r="1149">
          <cell r="A1149" t="str">
            <v>A.OE.0000135</v>
          </cell>
        </row>
        <row r="1150">
          <cell r="A1150" t="str">
            <v>A.OE.0000136</v>
          </cell>
        </row>
        <row r="1151">
          <cell r="A1151" t="str">
            <v>A.OE.0000137</v>
          </cell>
        </row>
        <row r="1152">
          <cell r="A1152" t="str">
            <v>A.OE.0000138</v>
          </cell>
        </row>
        <row r="1153">
          <cell r="A1153" t="str">
            <v>A.OE.0000139</v>
          </cell>
        </row>
        <row r="1154">
          <cell r="A1154" t="str">
            <v>A.OE.0000140</v>
          </cell>
        </row>
        <row r="1155">
          <cell r="A1155" t="str">
            <v>A.OE.0000141</v>
          </cell>
        </row>
        <row r="1156">
          <cell r="A1156" t="str">
            <v>A.OE.0000142</v>
          </cell>
        </row>
        <row r="1157">
          <cell r="A1157" t="str">
            <v>A.OE.0000143</v>
          </cell>
        </row>
        <row r="1158">
          <cell r="A1158" t="str">
            <v>A.OE.0000144</v>
          </cell>
        </row>
        <row r="1159">
          <cell r="A1159" t="str">
            <v>A.OE.0000145</v>
          </cell>
        </row>
        <row r="1160">
          <cell r="A1160" t="str">
            <v>A.OE.0000146</v>
          </cell>
        </row>
        <row r="1161">
          <cell r="A1161" t="str">
            <v>A.OE.0000147</v>
          </cell>
        </row>
        <row r="1162">
          <cell r="A1162" t="str">
            <v>A.OE.0000148</v>
          </cell>
        </row>
        <row r="1163">
          <cell r="A1163" t="str">
            <v>A.OE.0000149</v>
          </cell>
        </row>
        <row r="1164">
          <cell r="A1164" t="str">
            <v>A.OE.0000150</v>
          </cell>
        </row>
        <row r="1165">
          <cell r="A1165" t="str">
            <v>A.OE.0000151</v>
          </cell>
        </row>
        <row r="1166">
          <cell r="A1166" t="str">
            <v>A.OE.0000152</v>
          </cell>
        </row>
        <row r="1167">
          <cell r="A1167" t="str">
            <v>A.OE.0000153</v>
          </cell>
        </row>
        <row r="1168">
          <cell r="A1168" t="str">
            <v>A.OE.0000154</v>
          </cell>
        </row>
        <row r="1169">
          <cell r="A1169" t="str">
            <v>A.OE.0000155</v>
          </cell>
        </row>
        <row r="1170">
          <cell r="A1170" t="str">
            <v>A.OE.0000156</v>
          </cell>
        </row>
        <row r="1171">
          <cell r="A1171" t="str">
            <v>A.OE.0000157</v>
          </cell>
        </row>
        <row r="1172">
          <cell r="A1172" t="str">
            <v>A.OE.0000158</v>
          </cell>
        </row>
        <row r="1173">
          <cell r="A1173" t="str">
            <v>A.OE.0000160</v>
          </cell>
        </row>
        <row r="1174">
          <cell r="A1174" t="str">
            <v>A.OE.0000161</v>
          </cell>
        </row>
        <row r="1175">
          <cell r="A1175" t="str">
            <v>A.OE.0000162</v>
          </cell>
        </row>
        <row r="1176">
          <cell r="A1176" t="str">
            <v>A.OE.0000163</v>
          </cell>
        </row>
        <row r="1177">
          <cell r="A1177" t="str">
            <v>A.OE.0000164</v>
          </cell>
        </row>
        <row r="1178">
          <cell r="A1178" t="str">
            <v>A.OE.0000165</v>
          </cell>
        </row>
        <row r="1179">
          <cell r="A1179" t="str">
            <v>A.OE.0000166</v>
          </cell>
        </row>
        <row r="1180">
          <cell r="A1180" t="str">
            <v>A.OE.0000167</v>
          </cell>
        </row>
        <row r="1181">
          <cell r="A1181" t="str">
            <v>A.OE.0000168</v>
          </cell>
        </row>
        <row r="1182">
          <cell r="A1182" t="str">
            <v>A.OE.0000169</v>
          </cell>
        </row>
        <row r="1183">
          <cell r="A1183" t="str">
            <v>A.OE.0000170</v>
          </cell>
        </row>
        <row r="1184">
          <cell r="A1184" t="str">
            <v>A.OE.0000171</v>
          </cell>
        </row>
        <row r="1185">
          <cell r="A1185" t="str">
            <v>A.OE.0000172</v>
          </cell>
        </row>
        <row r="1186">
          <cell r="A1186" t="str">
            <v>A.OE.0000173</v>
          </cell>
        </row>
        <row r="1187">
          <cell r="A1187" t="str">
            <v>A.OE.0000174</v>
          </cell>
        </row>
        <row r="1188">
          <cell r="A1188" t="str">
            <v>A.OE.0000175</v>
          </cell>
        </row>
        <row r="1189">
          <cell r="A1189" t="str">
            <v>A.OE.0000176</v>
          </cell>
        </row>
        <row r="1190">
          <cell r="A1190" t="str">
            <v>A.OE.0000177</v>
          </cell>
        </row>
        <row r="1191">
          <cell r="A1191" t="str">
            <v>A.OE.0000178</v>
          </cell>
        </row>
        <row r="1192">
          <cell r="A1192" t="str">
            <v>A.OE.0000179</v>
          </cell>
        </row>
        <row r="1193">
          <cell r="A1193" t="str">
            <v>A.OE.0000180</v>
          </cell>
        </row>
        <row r="1194">
          <cell r="A1194" t="str">
            <v>A.OE.0000181</v>
          </cell>
        </row>
        <row r="1195">
          <cell r="A1195" t="str">
            <v>A.OE.0000182</v>
          </cell>
        </row>
        <row r="1196">
          <cell r="A1196" t="str">
            <v>A.OE.0000183</v>
          </cell>
        </row>
        <row r="1197">
          <cell r="A1197" t="str">
            <v>A.OE.0000184</v>
          </cell>
        </row>
        <row r="1198">
          <cell r="A1198" t="str">
            <v>A.OE.0000185</v>
          </cell>
        </row>
        <row r="1199">
          <cell r="A1199" t="str">
            <v>A.OE.0000186</v>
          </cell>
        </row>
        <row r="1200">
          <cell r="A1200" t="str">
            <v>A.OE.0000187</v>
          </cell>
        </row>
        <row r="1201">
          <cell r="A1201" t="str">
            <v>A.OE.0000188</v>
          </cell>
        </row>
        <row r="1202">
          <cell r="A1202" t="str">
            <v>A.OE.0000189</v>
          </cell>
        </row>
        <row r="1203">
          <cell r="A1203" t="str">
            <v>A.OE.0000190</v>
          </cell>
        </row>
        <row r="1204">
          <cell r="A1204" t="str">
            <v>A.OE.0000191</v>
          </cell>
        </row>
        <row r="1205">
          <cell r="A1205" t="str">
            <v>A.OE.0000192</v>
          </cell>
        </row>
        <row r="1206">
          <cell r="A1206" t="str">
            <v>A.OE.0000193</v>
          </cell>
        </row>
        <row r="1207">
          <cell r="A1207" t="str">
            <v>A.OE.0000194</v>
          </cell>
        </row>
        <row r="1208">
          <cell r="A1208" t="str">
            <v>A.OE.0000195</v>
          </cell>
        </row>
        <row r="1209">
          <cell r="A1209" t="str">
            <v>A.OE.0000196</v>
          </cell>
        </row>
        <row r="1210">
          <cell r="A1210" t="str">
            <v>A.OE.0000197</v>
          </cell>
        </row>
        <row r="1211">
          <cell r="A1211" t="str">
            <v>A.OE.0000198</v>
          </cell>
        </row>
        <row r="1212">
          <cell r="A1212" t="str">
            <v>A.OE.0000199</v>
          </cell>
        </row>
        <row r="1213">
          <cell r="A1213" t="str">
            <v>A.OE.0000200</v>
          </cell>
        </row>
        <row r="1214">
          <cell r="A1214" t="str">
            <v>A.OE.0000201</v>
          </cell>
        </row>
        <row r="1215">
          <cell r="A1215" t="str">
            <v>A.OE.0000202</v>
          </cell>
        </row>
        <row r="1216">
          <cell r="A1216" t="str">
            <v>A.OE.0000203</v>
          </cell>
        </row>
        <row r="1217">
          <cell r="A1217" t="str">
            <v>A.OE.0000204</v>
          </cell>
        </row>
        <row r="1218">
          <cell r="A1218" t="str">
            <v>A.OE.0000205</v>
          </cell>
        </row>
        <row r="1219">
          <cell r="A1219" t="str">
            <v>A.OE.0000206</v>
          </cell>
        </row>
        <row r="1220">
          <cell r="A1220" t="str">
            <v>A.OE.0000207</v>
          </cell>
        </row>
        <row r="1221">
          <cell r="A1221" t="str">
            <v>A.OE.0000208</v>
          </cell>
        </row>
        <row r="1222">
          <cell r="A1222" t="str">
            <v>A.OE.0000209</v>
          </cell>
        </row>
        <row r="1223">
          <cell r="A1223" t="str">
            <v>A.OE.0000210</v>
          </cell>
        </row>
        <row r="1224">
          <cell r="A1224" t="str">
            <v>A.OE.0000211</v>
          </cell>
        </row>
        <row r="1225">
          <cell r="A1225" t="str">
            <v>A.OE.0000212</v>
          </cell>
        </row>
        <row r="1226">
          <cell r="A1226" t="str">
            <v>A.OE.0000213</v>
          </cell>
        </row>
        <row r="1227">
          <cell r="A1227" t="str">
            <v>A.OE.0000214</v>
          </cell>
        </row>
        <row r="1228">
          <cell r="A1228" t="str">
            <v>A.OE.0000215</v>
          </cell>
        </row>
        <row r="1229">
          <cell r="A1229" t="str">
            <v>A.OE.0000216</v>
          </cell>
        </row>
        <row r="1230">
          <cell r="A1230" t="str">
            <v>A.OE.0000217</v>
          </cell>
        </row>
        <row r="1231">
          <cell r="A1231" t="str">
            <v>A.OE.0000218</v>
          </cell>
        </row>
        <row r="1232">
          <cell r="A1232" t="str">
            <v>A.OE.0000219</v>
          </cell>
        </row>
        <row r="1233">
          <cell r="A1233" t="str">
            <v>A.OE.0000220</v>
          </cell>
        </row>
        <row r="1234">
          <cell r="A1234" t="str">
            <v>A.OE.0000221</v>
          </cell>
        </row>
        <row r="1235">
          <cell r="A1235" t="str">
            <v>A.OE.0000222</v>
          </cell>
        </row>
        <row r="1236">
          <cell r="A1236" t="str">
            <v>A.OE.0000223</v>
          </cell>
        </row>
        <row r="1237">
          <cell r="A1237" t="str">
            <v>A.OE.0000224</v>
          </cell>
        </row>
        <row r="1238">
          <cell r="A1238" t="str">
            <v>A.OE.0000225</v>
          </cell>
        </row>
        <row r="1239">
          <cell r="A1239" t="str">
            <v>A.OE.0000226</v>
          </cell>
        </row>
        <row r="1240">
          <cell r="A1240" t="str">
            <v>A.OE.0000227</v>
          </cell>
        </row>
        <row r="1241">
          <cell r="A1241" t="str">
            <v>A.OE.0000228</v>
          </cell>
        </row>
        <row r="1242">
          <cell r="A1242" t="str">
            <v>A.OE.0000229</v>
          </cell>
        </row>
        <row r="1243">
          <cell r="A1243" t="str">
            <v>A.OE.0000230</v>
          </cell>
        </row>
        <row r="1244">
          <cell r="A1244" t="str">
            <v>A.OE.0000231</v>
          </cell>
        </row>
        <row r="1245">
          <cell r="A1245" t="str">
            <v>A.OE.0000232</v>
          </cell>
        </row>
        <row r="1246">
          <cell r="A1246" t="str">
            <v>A.OE.0000233</v>
          </cell>
        </row>
        <row r="1247">
          <cell r="A1247" t="str">
            <v>A.OE.0000234</v>
          </cell>
        </row>
        <row r="1248">
          <cell r="A1248" t="str">
            <v>A.OE.0000235</v>
          </cell>
        </row>
        <row r="1249">
          <cell r="A1249" t="str">
            <v>A.OE.0000236</v>
          </cell>
        </row>
        <row r="1250">
          <cell r="A1250" t="str">
            <v>A.OE.0000237</v>
          </cell>
        </row>
        <row r="1251">
          <cell r="A1251" t="str">
            <v>A.OE.0000238</v>
          </cell>
        </row>
        <row r="1252">
          <cell r="A1252" t="str">
            <v>A.OE.0000239</v>
          </cell>
        </row>
        <row r="1253">
          <cell r="A1253" t="str">
            <v>A.OE.0000240</v>
          </cell>
        </row>
        <row r="1254">
          <cell r="A1254" t="str">
            <v>A.OE.0000241</v>
          </cell>
        </row>
        <row r="1255">
          <cell r="A1255" t="str">
            <v>A.OE.0000242</v>
          </cell>
        </row>
        <row r="1256">
          <cell r="A1256" t="str">
            <v>A.OE.0000243</v>
          </cell>
        </row>
        <row r="1257">
          <cell r="A1257" t="str">
            <v>A.OE.0000244</v>
          </cell>
        </row>
        <row r="1258">
          <cell r="A1258" t="str">
            <v>A.OE.0000245</v>
          </cell>
        </row>
        <row r="1259">
          <cell r="A1259" t="str">
            <v>A.OE.0000246</v>
          </cell>
        </row>
        <row r="1260">
          <cell r="A1260" t="str">
            <v>A.OE.0000247</v>
          </cell>
        </row>
        <row r="1261">
          <cell r="A1261" t="str">
            <v>A.OE.0000248</v>
          </cell>
        </row>
        <row r="1262">
          <cell r="A1262" t="str">
            <v>A.OE.0000249</v>
          </cell>
        </row>
        <row r="1263">
          <cell r="A1263" t="str">
            <v>A.OE.0000250</v>
          </cell>
        </row>
        <row r="1264">
          <cell r="A1264" t="str">
            <v>A.OE.0000251</v>
          </cell>
        </row>
        <row r="1265">
          <cell r="A1265" t="str">
            <v>A.OE.0000252</v>
          </cell>
        </row>
        <row r="1266">
          <cell r="A1266" t="str">
            <v>A.OE.0000253</v>
          </cell>
        </row>
        <row r="1267">
          <cell r="A1267" t="str">
            <v>A.OE.0000254</v>
          </cell>
        </row>
        <row r="1268">
          <cell r="A1268" t="str">
            <v>A.OE.0000255</v>
          </cell>
        </row>
        <row r="1269">
          <cell r="A1269" t="str">
            <v>A.OE.0000256</v>
          </cell>
        </row>
        <row r="1270">
          <cell r="A1270" t="str">
            <v>A.OE.0000257</v>
          </cell>
        </row>
        <row r="1271">
          <cell r="A1271" t="str">
            <v>A.OE.0000258</v>
          </cell>
        </row>
        <row r="1272">
          <cell r="A1272" t="str">
            <v>A.OE.0000259</v>
          </cell>
        </row>
        <row r="1273">
          <cell r="A1273" t="str">
            <v>A.OE.0000260</v>
          </cell>
        </row>
        <row r="1274">
          <cell r="A1274" t="str">
            <v>A.OE.0000261</v>
          </cell>
        </row>
        <row r="1275">
          <cell r="A1275" t="str">
            <v>A.OE.0000262</v>
          </cell>
        </row>
        <row r="1276">
          <cell r="A1276" t="str">
            <v>A.OE.0000263</v>
          </cell>
        </row>
        <row r="1277">
          <cell r="A1277" t="str">
            <v>A.OE.0000264</v>
          </cell>
        </row>
        <row r="1278">
          <cell r="A1278" t="str">
            <v>A.OE.0000265</v>
          </cell>
        </row>
        <row r="1279">
          <cell r="A1279" t="str">
            <v>A.OE.0000266</v>
          </cell>
        </row>
        <row r="1280">
          <cell r="A1280" t="str">
            <v>A.OE.0000267</v>
          </cell>
        </row>
        <row r="1281">
          <cell r="A1281" t="str">
            <v>A.OE.0000268</v>
          </cell>
        </row>
        <row r="1282">
          <cell r="A1282" t="str">
            <v>A.OE.0000269</v>
          </cell>
        </row>
        <row r="1283">
          <cell r="A1283" t="str">
            <v>A.OE.0000270</v>
          </cell>
        </row>
        <row r="1284">
          <cell r="A1284" t="str">
            <v>A.OE.0000271</v>
          </cell>
        </row>
        <row r="1285">
          <cell r="A1285" t="str">
            <v>A.OE.0000272</v>
          </cell>
        </row>
        <row r="1286">
          <cell r="A1286" t="str">
            <v>A.OE.0000273</v>
          </cell>
        </row>
        <row r="1287">
          <cell r="A1287" t="str">
            <v>A.OE.0000274</v>
          </cell>
        </row>
        <row r="1288">
          <cell r="A1288" t="str">
            <v>A.OE.0000275</v>
          </cell>
        </row>
        <row r="1289">
          <cell r="A1289" t="str">
            <v>A.OE.0000276</v>
          </cell>
        </row>
        <row r="1290">
          <cell r="A1290" t="str">
            <v>A.OE.0000277</v>
          </cell>
        </row>
        <row r="1291">
          <cell r="A1291" t="str">
            <v>A.OE.0000278</v>
          </cell>
        </row>
        <row r="1292">
          <cell r="A1292" t="str">
            <v>A.OE.0000279</v>
          </cell>
        </row>
        <row r="1293">
          <cell r="A1293" t="str">
            <v>A.OE.0000280</v>
          </cell>
        </row>
        <row r="1294">
          <cell r="A1294" t="str">
            <v>A.OE.0000281</v>
          </cell>
        </row>
        <row r="1295">
          <cell r="A1295" t="str">
            <v>A.OE.0000282</v>
          </cell>
        </row>
        <row r="1296">
          <cell r="A1296" t="str">
            <v>A.OE.0000283</v>
          </cell>
        </row>
        <row r="1297">
          <cell r="A1297" t="str">
            <v>A.OE.0000284</v>
          </cell>
        </row>
        <row r="1298">
          <cell r="A1298" t="str">
            <v>A.OE.0000285</v>
          </cell>
        </row>
        <row r="1299">
          <cell r="A1299" t="str">
            <v>A.OE.0000286</v>
          </cell>
        </row>
        <row r="1300">
          <cell r="A1300" t="str">
            <v>A.OE.0000287</v>
          </cell>
        </row>
        <row r="1301">
          <cell r="A1301" t="str">
            <v>A.OE.0000288</v>
          </cell>
        </row>
        <row r="1302">
          <cell r="A1302" t="str">
            <v>A.OE.0000289</v>
          </cell>
        </row>
        <row r="1303">
          <cell r="A1303" t="str">
            <v>A.OE.0000290</v>
          </cell>
        </row>
        <row r="1304">
          <cell r="A1304" t="str">
            <v>A.OE.0000291</v>
          </cell>
        </row>
        <row r="1305">
          <cell r="A1305" t="str">
            <v>A.OE.0000292</v>
          </cell>
        </row>
        <row r="1306">
          <cell r="A1306" t="str">
            <v>A.OE.0000294</v>
          </cell>
        </row>
        <row r="1307">
          <cell r="A1307" t="str">
            <v>A.OE.0000295</v>
          </cell>
        </row>
        <row r="1308">
          <cell r="A1308" t="str">
            <v>A.OE.0000296</v>
          </cell>
        </row>
        <row r="1309">
          <cell r="A1309" t="str">
            <v>A.OE.0000297</v>
          </cell>
        </row>
        <row r="1310">
          <cell r="A1310" t="str">
            <v>A.OE.0000298</v>
          </cell>
        </row>
        <row r="1311">
          <cell r="A1311" t="str">
            <v>A.OE.0000299</v>
          </cell>
        </row>
        <row r="1312">
          <cell r="A1312" t="str">
            <v>A.OE.0000300</v>
          </cell>
        </row>
        <row r="1313">
          <cell r="A1313" t="str">
            <v>A.OE.0000301</v>
          </cell>
        </row>
        <row r="1314">
          <cell r="A1314" t="str">
            <v>A.OE.0000302</v>
          </cell>
        </row>
        <row r="1315">
          <cell r="A1315" t="str">
            <v>A.OE.0000303</v>
          </cell>
        </row>
        <row r="1316">
          <cell r="A1316" t="str">
            <v>A.OE.0000304</v>
          </cell>
        </row>
        <row r="1317">
          <cell r="A1317" t="str">
            <v>A.OE.0000305</v>
          </cell>
        </row>
        <row r="1318">
          <cell r="A1318" t="str">
            <v>A.OE.0000306</v>
          </cell>
        </row>
        <row r="1319">
          <cell r="A1319" t="str">
            <v>A.OE.0000307</v>
          </cell>
        </row>
        <row r="1320">
          <cell r="A1320" t="str">
            <v>A.OE.0000308</v>
          </cell>
        </row>
        <row r="1321">
          <cell r="A1321" t="str">
            <v>A.OE.0000309</v>
          </cell>
        </row>
        <row r="1322">
          <cell r="A1322" t="str">
            <v>A.OE.0000310</v>
          </cell>
        </row>
        <row r="1323">
          <cell r="A1323" t="str">
            <v>A.OE.0000311</v>
          </cell>
        </row>
        <row r="1324">
          <cell r="A1324" t="str">
            <v>A.OE.0000312</v>
          </cell>
        </row>
        <row r="1325">
          <cell r="A1325" t="str">
            <v>A.OE.0000313</v>
          </cell>
        </row>
        <row r="1326">
          <cell r="A1326" t="str">
            <v>A.OE.0000314</v>
          </cell>
        </row>
        <row r="1327">
          <cell r="A1327" t="str">
            <v>A.OE.0000315</v>
          </cell>
        </row>
        <row r="1328">
          <cell r="A1328" t="str">
            <v>A.OE.0000316</v>
          </cell>
        </row>
        <row r="1329">
          <cell r="A1329" t="str">
            <v>A.OE.0000317</v>
          </cell>
        </row>
        <row r="1330">
          <cell r="A1330" t="str">
            <v>A.OE.0000318</v>
          </cell>
        </row>
        <row r="1331">
          <cell r="A1331" t="str">
            <v>A.OE.0000319</v>
          </cell>
        </row>
        <row r="1332">
          <cell r="A1332" t="str">
            <v>A.OE.0000320</v>
          </cell>
        </row>
        <row r="1333">
          <cell r="A1333" t="str">
            <v>A.OE.0000321</v>
          </cell>
        </row>
        <row r="1334">
          <cell r="A1334" t="str">
            <v>A.OE.0000322</v>
          </cell>
        </row>
        <row r="1335">
          <cell r="A1335" t="str">
            <v>A.OE.0000323</v>
          </cell>
        </row>
        <row r="1336">
          <cell r="A1336" t="str">
            <v>A.OE.0000324</v>
          </cell>
        </row>
        <row r="1337">
          <cell r="A1337" t="str">
            <v>A.OE.0000325</v>
          </cell>
        </row>
        <row r="1338">
          <cell r="A1338" t="str">
            <v>A.OE.0000326</v>
          </cell>
        </row>
        <row r="1339">
          <cell r="A1339" t="str">
            <v>A.OE.0000327</v>
          </cell>
        </row>
        <row r="1340">
          <cell r="A1340" t="str">
            <v>A.OE.0000328</v>
          </cell>
        </row>
        <row r="1341">
          <cell r="A1341" t="str">
            <v>A.OE.0000329</v>
          </cell>
        </row>
        <row r="1342">
          <cell r="A1342" t="str">
            <v>A.OE.0000330</v>
          </cell>
        </row>
        <row r="1343">
          <cell r="A1343" t="str">
            <v>A.OE.0000331</v>
          </cell>
        </row>
        <row r="1344">
          <cell r="A1344" t="str">
            <v>A.OE.0000332</v>
          </cell>
        </row>
        <row r="1345">
          <cell r="A1345" t="str">
            <v>A.OE.0000333</v>
          </cell>
        </row>
        <row r="1346">
          <cell r="A1346" t="str">
            <v>A.OE.0000334</v>
          </cell>
        </row>
        <row r="1347">
          <cell r="A1347" t="str">
            <v>A.OE.0000335</v>
          </cell>
        </row>
        <row r="1348">
          <cell r="A1348" t="str">
            <v>A.OE.0000336</v>
          </cell>
        </row>
        <row r="1349">
          <cell r="A1349" t="str">
            <v>A.OE.0000337</v>
          </cell>
        </row>
        <row r="1350">
          <cell r="A1350" t="str">
            <v>A.OE.0000338</v>
          </cell>
        </row>
        <row r="1351">
          <cell r="A1351" t="str">
            <v>A.OE.0000339</v>
          </cell>
        </row>
        <row r="1352">
          <cell r="A1352" t="str">
            <v>A.OE.0000340</v>
          </cell>
        </row>
        <row r="1353">
          <cell r="A1353" t="str">
            <v>A.OE.0000341</v>
          </cell>
        </row>
        <row r="1354">
          <cell r="A1354" t="str">
            <v>A.OE.0000342</v>
          </cell>
        </row>
        <row r="1355">
          <cell r="A1355" t="str">
            <v>A.OE.0000343</v>
          </cell>
        </row>
        <row r="1356">
          <cell r="A1356" t="str">
            <v>A.OE.0000344</v>
          </cell>
        </row>
        <row r="1357">
          <cell r="A1357" t="str">
            <v>A.OE.0000345</v>
          </cell>
        </row>
        <row r="1358">
          <cell r="A1358" t="str">
            <v>A.OE.0000346</v>
          </cell>
        </row>
        <row r="1359">
          <cell r="A1359" t="str">
            <v>A.OE.0000347</v>
          </cell>
        </row>
        <row r="1360">
          <cell r="A1360" t="str">
            <v>A.OE.0000348</v>
          </cell>
        </row>
        <row r="1361">
          <cell r="A1361" t="str">
            <v>A.OE.0000349</v>
          </cell>
        </row>
        <row r="1362">
          <cell r="A1362" t="str">
            <v>A.OE.0000350</v>
          </cell>
        </row>
        <row r="1363">
          <cell r="A1363" t="str">
            <v>A.OE.0000351</v>
          </cell>
        </row>
        <row r="1364">
          <cell r="A1364" t="str">
            <v>A.OE.0000352</v>
          </cell>
        </row>
        <row r="1365">
          <cell r="A1365" t="str">
            <v>A.OE.0000353</v>
          </cell>
        </row>
        <row r="1366">
          <cell r="A1366" t="str">
            <v>A.OE.0000354</v>
          </cell>
        </row>
        <row r="1367">
          <cell r="A1367" t="str">
            <v>A.OE.0000355</v>
          </cell>
        </row>
        <row r="1368">
          <cell r="A1368" t="str">
            <v>A.OE.0000356</v>
          </cell>
        </row>
        <row r="1369">
          <cell r="A1369" t="str">
            <v>A.OE.0000357</v>
          </cell>
        </row>
        <row r="1370">
          <cell r="A1370" t="str">
            <v>A.OE.0000358</v>
          </cell>
        </row>
        <row r="1371">
          <cell r="A1371" t="str">
            <v>A.OE.0000359</v>
          </cell>
        </row>
        <row r="1372">
          <cell r="A1372" t="str">
            <v>A.OE.0000360</v>
          </cell>
        </row>
        <row r="1373">
          <cell r="A1373" t="str">
            <v>A.OE.0000361</v>
          </cell>
        </row>
        <row r="1374">
          <cell r="A1374" t="str">
            <v>A.OE.0000362</v>
          </cell>
        </row>
        <row r="1375">
          <cell r="A1375" t="str">
            <v>A.OE.0000363</v>
          </cell>
        </row>
        <row r="1376">
          <cell r="A1376" t="str">
            <v>A.OE.0000364</v>
          </cell>
        </row>
        <row r="1377">
          <cell r="A1377" t="str">
            <v>A.OE.0000365</v>
          </cell>
        </row>
        <row r="1378">
          <cell r="A1378" t="str">
            <v>A.OE.0000366</v>
          </cell>
        </row>
        <row r="1379">
          <cell r="A1379" t="str">
            <v>A.OE.0000367</v>
          </cell>
        </row>
        <row r="1380">
          <cell r="A1380" t="str">
            <v>A.OE.0000368</v>
          </cell>
        </row>
        <row r="1381">
          <cell r="A1381" t="str">
            <v>A.OE.0000369</v>
          </cell>
        </row>
        <row r="1382">
          <cell r="A1382" t="str">
            <v>A.OE.0000370</v>
          </cell>
        </row>
        <row r="1383">
          <cell r="A1383" t="str">
            <v>A.OE.0000371</v>
          </cell>
        </row>
        <row r="1384">
          <cell r="A1384" t="str">
            <v>A.OE.0000372</v>
          </cell>
        </row>
        <row r="1385">
          <cell r="A1385" t="str">
            <v>A.OE.0000373</v>
          </cell>
        </row>
        <row r="1386">
          <cell r="A1386" t="str">
            <v>A.OE.0000374</v>
          </cell>
        </row>
        <row r="1387">
          <cell r="A1387" t="str">
            <v>A.OE.0000376</v>
          </cell>
        </row>
        <row r="1388">
          <cell r="A1388" t="str">
            <v>A.OE.0000377</v>
          </cell>
        </row>
        <row r="1389">
          <cell r="A1389" t="str">
            <v>A.OE.0000378</v>
          </cell>
        </row>
        <row r="1390">
          <cell r="A1390" t="str">
            <v>A.OE.0000379</v>
          </cell>
        </row>
        <row r="1391">
          <cell r="A1391" t="str">
            <v>A.OE.0000380</v>
          </cell>
        </row>
        <row r="1392">
          <cell r="A1392" t="str">
            <v>A.OE.0000381</v>
          </cell>
        </row>
        <row r="1393">
          <cell r="A1393" t="str">
            <v>A.OE.0000382</v>
          </cell>
        </row>
        <row r="1394">
          <cell r="A1394" t="str">
            <v>A.OE.0000383</v>
          </cell>
        </row>
        <row r="1395">
          <cell r="A1395" t="str">
            <v>A.OE.0000384</v>
          </cell>
        </row>
        <row r="1396">
          <cell r="A1396" t="str">
            <v>A.OE.0000385</v>
          </cell>
        </row>
        <row r="1397">
          <cell r="A1397" t="str">
            <v>A.OE.0000386</v>
          </cell>
        </row>
        <row r="1398">
          <cell r="A1398" t="str">
            <v>A.OE.0000387</v>
          </cell>
        </row>
        <row r="1399">
          <cell r="A1399" t="str">
            <v>A.OE.0000388</v>
          </cell>
        </row>
        <row r="1400">
          <cell r="A1400" t="str">
            <v>A.OE.0000389</v>
          </cell>
        </row>
        <row r="1401">
          <cell r="A1401" t="str">
            <v>A.OE.0000390</v>
          </cell>
        </row>
        <row r="1402">
          <cell r="A1402" t="str">
            <v>A.OE.0000391</v>
          </cell>
        </row>
        <row r="1403">
          <cell r="A1403" t="str">
            <v>A.OE.0000392</v>
          </cell>
        </row>
        <row r="1404">
          <cell r="A1404" t="str">
            <v>A.OE.0000393</v>
          </cell>
        </row>
        <row r="1405">
          <cell r="A1405" t="str">
            <v>A.OE.0000394</v>
          </cell>
        </row>
        <row r="1406">
          <cell r="A1406" t="str">
            <v>A.OE.0000395</v>
          </cell>
        </row>
        <row r="1407">
          <cell r="A1407" t="str">
            <v>A.OE.0000396</v>
          </cell>
        </row>
        <row r="1408">
          <cell r="A1408" t="str">
            <v>A.OE.0000397</v>
          </cell>
        </row>
        <row r="1409">
          <cell r="A1409" t="str">
            <v>A.OE.0000398</v>
          </cell>
        </row>
        <row r="1410">
          <cell r="A1410" t="str">
            <v>A.OE.0000399</v>
          </cell>
        </row>
        <row r="1411">
          <cell r="A1411" t="str">
            <v>A.OE.0000400</v>
          </cell>
        </row>
        <row r="1412">
          <cell r="A1412" t="str">
            <v>A.OE.0000401</v>
          </cell>
        </row>
        <row r="1413">
          <cell r="A1413" t="str">
            <v>A.OE.0000402</v>
          </cell>
        </row>
        <row r="1414">
          <cell r="A1414" t="str">
            <v>A.OE.0000403</v>
          </cell>
        </row>
        <row r="1415">
          <cell r="A1415" t="str">
            <v>A.OE.0000404</v>
          </cell>
        </row>
        <row r="1416">
          <cell r="A1416" t="str">
            <v>A.OE.0000405</v>
          </cell>
        </row>
        <row r="1417">
          <cell r="A1417" t="str">
            <v>A.OE.0000406</v>
          </cell>
        </row>
        <row r="1418">
          <cell r="A1418" t="str">
            <v>A.OE.0000407</v>
          </cell>
        </row>
        <row r="1419">
          <cell r="A1419" t="str">
            <v>A.OE.0000408</v>
          </cell>
        </row>
        <row r="1420">
          <cell r="A1420" t="str">
            <v>A.OE.0000409</v>
          </cell>
        </row>
        <row r="1421">
          <cell r="A1421" t="str">
            <v>A.OE.0000410</v>
          </cell>
        </row>
        <row r="1422">
          <cell r="A1422" t="str">
            <v>A.OE.0000411</v>
          </cell>
        </row>
        <row r="1423">
          <cell r="A1423" t="str">
            <v>A.OE.0000412</v>
          </cell>
        </row>
        <row r="1424">
          <cell r="A1424" t="str">
            <v>A.OE.0000413</v>
          </cell>
        </row>
        <row r="1425">
          <cell r="A1425" t="str">
            <v>A.OE.0000414</v>
          </cell>
        </row>
        <row r="1426">
          <cell r="A1426" t="str">
            <v>A.OE.0000415</v>
          </cell>
        </row>
        <row r="1427">
          <cell r="A1427" t="str">
            <v>A.OE.0000416</v>
          </cell>
        </row>
        <row r="1428">
          <cell r="A1428" t="str">
            <v>A.OE.0000417</v>
          </cell>
        </row>
        <row r="1429">
          <cell r="A1429" t="str">
            <v>A.OE.0000418</v>
          </cell>
        </row>
        <row r="1430">
          <cell r="A1430" t="str">
            <v>A.OE.0000419</v>
          </cell>
        </row>
        <row r="1431">
          <cell r="A1431" t="str">
            <v>A.OE.0000420</v>
          </cell>
        </row>
        <row r="1432">
          <cell r="A1432" t="str">
            <v>A.OE.0000421</v>
          </cell>
        </row>
        <row r="1433">
          <cell r="A1433" t="str">
            <v>A.OE.0000422</v>
          </cell>
        </row>
        <row r="1434">
          <cell r="A1434" t="str">
            <v>A.OE.0000423</v>
          </cell>
        </row>
        <row r="1435">
          <cell r="A1435" t="str">
            <v>A.OE.0000424</v>
          </cell>
        </row>
        <row r="1437">
          <cell r="A1437" t="str">
            <v>A.TE.0000001</v>
          </cell>
        </row>
        <row r="1438">
          <cell r="A1438" t="str">
            <v>A.TE.0000002</v>
          </cell>
        </row>
        <row r="1439">
          <cell r="A1439" t="str">
            <v>A.TE.0000003</v>
          </cell>
        </row>
        <row r="1440">
          <cell r="A1440" t="str">
            <v>A.TE.0000004</v>
          </cell>
        </row>
        <row r="1441">
          <cell r="A1441" t="str">
            <v>A.TE.0000005</v>
          </cell>
        </row>
        <row r="1442">
          <cell r="A1442" t="str">
            <v>A.TE.0000006</v>
          </cell>
        </row>
        <row r="1443">
          <cell r="A1443" t="str">
            <v>A.TE.0000007</v>
          </cell>
        </row>
        <row r="1444">
          <cell r="A1444" t="str">
            <v>A.TE.0000008</v>
          </cell>
        </row>
        <row r="1445">
          <cell r="A1445" t="str">
            <v>A.TE.0000009</v>
          </cell>
        </row>
        <row r="1446">
          <cell r="A1446" t="str">
            <v>A.TE.0000010</v>
          </cell>
        </row>
        <row r="1447">
          <cell r="A1447" t="str">
            <v>A.TE.0000011</v>
          </cell>
        </row>
        <row r="1448">
          <cell r="A1448" t="str">
            <v>A.TE.0000012</v>
          </cell>
        </row>
        <row r="1449">
          <cell r="A1449" t="str">
            <v>A.TE.0000013</v>
          </cell>
        </row>
        <row r="1450">
          <cell r="A1450" t="str">
            <v>A.TE.0000014</v>
          </cell>
        </row>
        <row r="1451">
          <cell r="A1451" t="str">
            <v>A.TE.0000015</v>
          </cell>
        </row>
        <row r="1452">
          <cell r="A1452" t="str">
            <v>A.TE.0000016</v>
          </cell>
        </row>
        <row r="1453">
          <cell r="A1453" t="str">
            <v>A.TE.0000017</v>
          </cell>
        </row>
        <row r="1454">
          <cell r="A1454" t="str">
            <v>A.TE.0000018</v>
          </cell>
        </row>
        <row r="1455">
          <cell r="A1455" t="str">
            <v>A.TE.0000019</v>
          </cell>
        </row>
        <row r="1456">
          <cell r="A1456" t="str">
            <v>A.TE.0000020</v>
          </cell>
        </row>
        <row r="1457">
          <cell r="A1457" t="str">
            <v>A.TE.0000021</v>
          </cell>
        </row>
        <row r="1458">
          <cell r="A1458" t="str">
            <v>A.TE.0000022</v>
          </cell>
        </row>
        <row r="1459">
          <cell r="A1459" t="str">
            <v>A.TE.0000023</v>
          </cell>
        </row>
        <row r="1460">
          <cell r="A1460" t="str">
            <v>A.TE.0000024</v>
          </cell>
        </row>
        <row r="1461">
          <cell r="A1461" t="str">
            <v>A.TE.0000025</v>
          </cell>
        </row>
        <row r="1462">
          <cell r="A1462" t="str">
            <v>A.TE.0000026</v>
          </cell>
        </row>
        <row r="1463">
          <cell r="A1463" t="str">
            <v>A.TE.0000027</v>
          </cell>
        </row>
        <row r="1464">
          <cell r="A1464" t="str">
            <v>A.TE.0000028</v>
          </cell>
        </row>
        <row r="1465">
          <cell r="A1465" t="str">
            <v>A.TE.0000029</v>
          </cell>
        </row>
        <row r="1466">
          <cell r="A1466" t="str">
            <v>A.TE.0000030</v>
          </cell>
        </row>
        <row r="1467">
          <cell r="A1467" t="str">
            <v>A.TE.0000031</v>
          </cell>
        </row>
        <row r="1468">
          <cell r="A1468" t="str">
            <v>A.TE.0000032</v>
          </cell>
        </row>
        <row r="1469">
          <cell r="A1469" t="str">
            <v>A.TE.0000033</v>
          </cell>
        </row>
        <row r="1470">
          <cell r="A1470" t="str">
            <v>A.TE.0000034</v>
          </cell>
        </row>
        <row r="1471">
          <cell r="A1471" t="str">
            <v>A.TE.0000035</v>
          </cell>
        </row>
        <row r="1472">
          <cell r="A1472" t="str">
            <v>A.TE.0000036</v>
          </cell>
        </row>
        <row r="1473">
          <cell r="A1473" t="str">
            <v>A.TE.0000037</v>
          </cell>
        </row>
        <row r="1474">
          <cell r="A1474" t="str">
            <v>A.TE.0000038</v>
          </cell>
        </row>
        <row r="1475">
          <cell r="A1475" t="str">
            <v>A.TE.0000039</v>
          </cell>
        </row>
        <row r="1476">
          <cell r="A1476" t="str">
            <v>A.TE.0000040</v>
          </cell>
        </row>
        <row r="1477">
          <cell r="A1477" t="str">
            <v>A.TE.0000041</v>
          </cell>
        </row>
        <row r="1478">
          <cell r="A1478" t="str">
            <v>A.TE.0000042</v>
          </cell>
        </row>
        <row r="1479">
          <cell r="A1479" t="str">
            <v>A.TE.0000043</v>
          </cell>
        </row>
        <row r="1480">
          <cell r="A1480" t="str">
            <v>A.TE.0000044</v>
          </cell>
        </row>
        <row r="1481">
          <cell r="A1481" t="str">
            <v>A.TE.0000045</v>
          </cell>
        </row>
        <row r="1482">
          <cell r="A1482" t="str">
            <v>A.TE.0000046</v>
          </cell>
        </row>
        <row r="1483">
          <cell r="A1483" t="str">
            <v>A.TE.0000047</v>
          </cell>
        </row>
        <row r="1484">
          <cell r="A1484" t="str">
            <v>A.TE.0000048</v>
          </cell>
        </row>
        <row r="1485">
          <cell r="A1485" t="str">
            <v>A.TE.0000049</v>
          </cell>
        </row>
        <row r="1486">
          <cell r="A1486" t="str">
            <v>A.TE.0000050</v>
          </cell>
        </row>
        <row r="1487">
          <cell r="A1487" t="str">
            <v>A.TE.0000051</v>
          </cell>
        </row>
        <row r="1488">
          <cell r="A1488" t="str">
            <v>A.TE.0000052</v>
          </cell>
        </row>
        <row r="1489">
          <cell r="A1489" t="str">
            <v>A.TE.0000053</v>
          </cell>
        </row>
        <row r="1490">
          <cell r="A1490" t="str">
            <v>A.TE.0000054</v>
          </cell>
        </row>
        <row r="1491">
          <cell r="A1491" t="str">
            <v>A.TE.0000055</v>
          </cell>
        </row>
        <row r="1492">
          <cell r="A1492" t="str">
            <v>A.TE.0000056</v>
          </cell>
        </row>
        <row r="1493">
          <cell r="A1493" t="str">
            <v>A.TE.0000057</v>
          </cell>
        </row>
        <row r="1494">
          <cell r="A1494" t="str">
            <v>A.TE.0000058</v>
          </cell>
        </row>
        <row r="1495">
          <cell r="A1495" t="str">
            <v>A.TE.0000059</v>
          </cell>
        </row>
        <row r="1496">
          <cell r="A1496" t="str">
            <v>A.TE.0000060</v>
          </cell>
        </row>
        <row r="1497">
          <cell r="A1497" t="str">
            <v>A.TE.0000061</v>
          </cell>
        </row>
        <row r="1498">
          <cell r="A1498" t="str">
            <v>A.TE.0000062</v>
          </cell>
        </row>
        <row r="1499">
          <cell r="A1499" t="str">
            <v>A.TE.0000063</v>
          </cell>
        </row>
        <row r="1500">
          <cell r="A1500" t="str">
            <v>A.TE.0000064</v>
          </cell>
        </row>
        <row r="1501">
          <cell r="A1501" t="str">
            <v>A.TE.0000065</v>
          </cell>
        </row>
        <row r="1502">
          <cell r="A1502" t="str">
            <v>A.TE.0000066</v>
          </cell>
        </row>
        <row r="1503">
          <cell r="A1503" t="str">
            <v>A.TE.0000067</v>
          </cell>
        </row>
        <row r="1504">
          <cell r="A1504" t="str">
            <v>A.TE.0000068</v>
          </cell>
        </row>
        <row r="1505">
          <cell r="A1505" t="str">
            <v>A.TE.0000069</v>
          </cell>
        </row>
        <row r="1506">
          <cell r="A1506" t="str">
            <v>A.TE.0000070</v>
          </cell>
        </row>
        <row r="1507">
          <cell r="A1507" t="str">
            <v>A.TE.0000071</v>
          </cell>
        </row>
        <row r="1508">
          <cell r="A1508" t="str">
            <v>A.TE.0000072</v>
          </cell>
        </row>
        <row r="1509">
          <cell r="A1509" t="str">
            <v>A.TE.0000073</v>
          </cell>
        </row>
        <row r="1510">
          <cell r="A1510" t="str">
            <v>A.TE.0000074</v>
          </cell>
        </row>
        <row r="1511">
          <cell r="A1511" t="str">
            <v>A.TE.0000075</v>
          </cell>
        </row>
        <row r="1512">
          <cell r="A1512" t="str">
            <v>A.TE.0000076</v>
          </cell>
        </row>
        <row r="1513">
          <cell r="A1513" t="str">
            <v>A.TE.0000077</v>
          </cell>
        </row>
        <row r="1514">
          <cell r="A1514" t="str">
            <v>A.TE.0000078</v>
          </cell>
        </row>
        <row r="1515">
          <cell r="A1515" t="str">
            <v>A.TE.0000079</v>
          </cell>
        </row>
        <row r="1516">
          <cell r="A1516" t="str">
            <v>A.TE.0000080</v>
          </cell>
        </row>
        <row r="1517">
          <cell r="A1517" t="str">
            <v>A.TE.0000081</v>
          </cell>
        </row>
        <row r="1518">
          <cell r="A1518" t="str">
            <v>A.TE.0000082</v>
          </cell>
        </row>
        <row r="1519">
          <cell r="A1519" t="str">
            <v>A.TE.0000083</v>
          </cell>
        </row>
        <row r="1520">
          <cell r="A1520" t="str">
            <v>A.TE.0000084</v>
          </cell>
        </row>
        <row r="1521">
          <cell r="A1521" t="str">
            <v>A.TE.0000085</v>
          </cell>
        </row>
        <row r="1522">
          <cell r="A1522" t="str">
            <v>A.TE.0000086</v>
          </cell>
        </row>
        <row r="1523">
          <cell r="A1523" t="str">
            <v>A.TE.0000087</v>
          </cell>
        </row>
        <row r="1524">
          <cell r="A1524" t="str">
            <v>A.TE.0000088</v>
          </cell>
        </row>
        <row r="1525">
          <cell r="A1525" t="str">
            <v>A.TE.0000089</v>
          </cell>
        </row>
        <row r="1526">
          <cell r="A1526" t="str">
            <v>A.TE.0000090</v>
          </cell>
        </row>
        <row r="1527">
          <cell r="A1527" t="str">
            <v>A.TE.0000091</v>
          </cell>
        </row>
        <row r="1528">
          <cell r="A1528" t="str">
            <v>A.TE.0000092</v>
          </cell>
        </row>
        <row r="1529">
          <cell r="A1529" t="str">
            <v>A.TE.0000093</v>
          </cell>
        </row>
        <row r="1530">
          <cell r="A1530" t="str">
            <v>A.TE.0000094</v>
          </cell>
        </row>
        <row r="1531">
          <cell r="A1531" t="str">
            <v>A.TE.0000095</v>
          </cell>
        </row>
        <row r="1532">
          <cell r="A1532" t="str">
            <v>A.TE.0000096</v>
          </cell>
        </row>
        <row r="1533">
          <cell r="A1533" t="str">
            <v>A.TE.0000097</v>
          </cell>
        </row>
        <row r="1534">
          <cell r="A1534" t="str">
            <v>A.TE.0000098</v>
          </cell>
        </row>
        <row r="1535">
          <cell r="A1535" t="str">
            <v>A.TE.0000099</v>
          </cell>
        </row>
        <row r="1536">
          <cell r="A1536" t="str">
            <v>A.TE.0000100</v>
          </cell>
        </row>
        <row r="1538">
          <cell r="A1538" t="str">
            <v>A.VM.0000001</v>
          </cell>
        </row>
        <row r="1539">
          <cell r="A1539" t="str">
            <v>A.VM.0000002</v>
          </cell>
        </row>
        <row r="1540">
          <cell r="A1540" t="str">
            <v>A.VM.0000003</v>
          </cell>
        </row>
        <row r="1541">
          <cell r="A1541" t="str">
            <v>A.VM.0000004</v>
          </cell>
        </row>
        <row r="1542">
          <cell r="A1542" t="str">
            <v>A.VM.0000005</v>
          </cell>
        </row>
        <row r="1543">
          <cell r="A1543" t="str">
            <v>A.VM.0000006</v>
          </cell>
        </row>
        <row r="1544">
          <cell r="A1544" t="str">
            <v>A.VM.0000007</v>
          </cell>
        </row>
        <row r="1545">
          <cell r="A1545" t="str">
            <v>A.VM.0000008</v>
          </cell>
        </row>
        <row r="1546">
          <cell r="A1546" t="str">
            <v>A.VM.0000009</v>
          </cell>
        </row>
        <row r="1547">
          <cell r="A1547" t="str">
            <v>A.VM.0000010</v>
          </cell>
        </row>
        <row r="1548">
          <cell r="A1548" t="str">
            <v>A.VM.0000011</v>
          </cell>
        </row>
        <row r="1549">
          <cell r="A1549" t="str">
            <v>A.VM.0000012</v>
          </cell>
        </row>
        <row r="1550">
          <cell r="A1550" t="str">
            <v>A.VM.0000013</v>
          </cell>
        </row>
        <row r="1551">
          <cell r="A1551" t="str">
            <v>A.VM.0000014</v>
          </cell>
        </row>
        <row r="1552">
          <cell r="A1552" t="str">
            <v>A.VM.0000015</v>
          </cell>
        </row>
        <row r="1553">
          <cell r="A1553" t="str">
            <v>A.VM.0000016</v>
          </cell>
        </row>
        <row r="1554">
          <cell r="A1554" t="str">
            <v>A.VM.0000017</v>
          </cell>
        </row>
        <row r="1555">
          <cell r="A1555" t="str">
            <v>A.VM.0000018</v>
          </cell>
        </row>
        <row r="1556">
          <cell r="A1556" t="str">
            <v>A.VM.0000019</v>
          </cell>
        </row>
        <row r="1557">
          <cell r="A1557" t="str">
            <v>A.VM.0000020</v>
          </cell>
        </row>
        <row r="1558">
          <cell r="A1558" t="str">
            <v>A.VM.0000021</v>
          </cell>
        </row>
        <row r="1559">
          <cell r="A1559" t="str">
            <v>A.VM.0000022</v>
          </cell>
        </row>
        <row r="1560">
          <cell r="A1560" t="str">
            <v>A.VM.0000023</v>
          </cell>
        </row>
        <row r="1561">
          <cell r="A1561" t="str">
            <v>A.VM.0000024</v>
          </cell>
        </row>
        <row r="1562">
          <cell r="A1562" t="str">
            <v>A.VM.0000025</v>
          </cell>
        </row>
        <row r="1563">
          <cell r="A1563" t="str">
            <v>A.VM.0000026</v>
          </cell>
        </row>
        <row r="1564">
          <cell r="A1564" t="str">
            <v>A.VM.0000028</v>
          </cell>
        </row>
        <row r="1565">
          <cell r="A1565" t="str">
            <v>A.VM.0000029</v>
          </cell>
        </row>
        <row r="1566">
          <cell r="A1566" t="str">
            <v>A.VM.0000030</v>
          </cell>
        </row>
        <row r="1567">
          <cell r="A1567" t="str">
            <v>A.VM.0000031</v>
          </cell>
        </row>
        <row r="1568">
          <cell r="A1568" t="str">
            <v>A.VM.0000032</v>
          </cell>
        </row>
        <row r="1569">
          <cell r="A1569" t="str">
            <v>A.VM.0000033</v>
          </cell>
        </row>
        <row r="1570">
          <cell r="A1570" t="str">
            <v>A.VM.0000034</v>
          </cell>
        </row>
        <row r="1571">
          <cell r="A1571" t="str">
            <v>A.VM.0000035</v>
          </cell>
        </row>
        <row r="1572">
          <cell r="A1572" t="str">
            <v>A.VM.0000036</v>
          </cell>
        </row>
        <row r="1573">
          <cell r="A1573" t="str">
            <v>A.VM.0000037</v>
          </cell>
        </row>
        <row r="1575">
          <cell r="A1575" t="str">
            <v>G.EA.0000001</v>
          </cell>
        </row>
        <row r="1576">
          <cell r="A1576" t="str">
            <v>G.EA.0000002</v>
          </cell>
        </row>
        <row r="1577">
          <cell r="A1577" t="str">
            <v>G.EA.0000003</v>
          </cell>
        </row>
        <row r="1578">
          <cell r="A1578" t="str">
            <v>G.EA.0000004</v>
          </cell>
        </row>
        <row r="1579">
          <cell r="A1579" t="str">
            <v>G.EA.0000005</v>
          </cell>
        </row>
        <row r="1580">
          <cell r="A1580" t="str">
            <v>G.EA.0000006</v>
          </cell>
        </row>
        <row r="1581">
          <cell r="A1581" t="str">
            <v>G.EA.0000007</v>
          </cell>
        </row>
        <row r="1582">
          <cell r="A1582" t="str">
            <v>G.EA.0000008</v>
          </cell>
        </row>
        <row r="1583">
          <cell r="A1583" t="str">
            <v>G.EA.0000009</v>
          </cell>
        </row>
        <row r="1584">
          <cell r="A1584" t="str">
            <v>G.EA.0000010</v>
          </cell>
        </row>
        <row r="1585">
          <cell r="A1585" t="str">
            <v>G.EA.0000011</v>
          </cell>
        </row>
        <row r="1586">
          <cell r="A1586" t="str">
            <v>G.EA.0000012</v>
          </cell>
        </row>
        <row r="1587">
          <cell r="A1587" t="str">
            <v>G.EA.0000013</v>
          </cell>
        </row>
        <row r="1588">
          <cell r="A1588" t="str">
            <v>G.EA.0000014</v>
          </cell>
        </row>
        <row r="1589">
          <cell r="A1589" t="str">
            <v>G.EA.0000015</v>
          </cell>
        </row>
        <row r="1590">
          <cell r="A1590" t="str">
            <v>G.EA.0000016</v>
          </cell>
        </row>
        <row r="1591">
          <cell r="A1591" t="str">
            <v>G.EA.0000017</v>
          </cell>
        </row>
        <row r="1592">
          <cell r="A1592" t="str">
            <v>G.EA.0000018</v>
          </cell>
        </row>
        <row r="1593">
          <cell r="A1593" t="str">
            <v>G.EA.0000019</v>
          </cell>
        </row>
        <row r="1594">
          <cell r="A1594" t="str">
            <v>G.EA.0000020</v>
          </cell>
        </row>
        <row r="1595">
          <cell r="A1595" t="str">
            <v>G.EA.0000021</v>
          </cell>
        </row>
        <row r="1596">
          <cell r="A1596" t="str">
            <v>G.EA.0000022</v>
          </cell>
        </row>
        <row r="1597">
          <cell r="A1597" t="str">
            <v>G.EA.0000023</v>
          </cell>
        </row>
        <row r="1598">
          <cell r="A1598" t="str">
            <v>G.EA.0000024</v>
          </cell>
        </row>
        <row r="1599">
          <cell r="A1599" t="str">
            <v>G.EA.0000025</v>
          </cell>
        </row>
        <row r="1600">
          <cell r="A1600" t="str">
            <v>G.EA.0000026</v>
          </cell>
        </row>
        <row r="1601">
          <cell r="A1601" t="str">
            <v>G.EA.0000027</v>
          </cell>
        </row>
        <row r="1602">
          <cell r="A1602" t="str">
            <v>G.EA.0000028</v>
          </cell>
        </row>
        <row r="1603">
          <cell r="A1603" t="str">
            <v>G.EA.0000029</v>
          </cell>
        </row>
        <row r="1604">
          <cell r="A1604" t="str">
            <v>G.EA.0000030</v>
          </cell>
        </row>
        <row r="1605">
          <cell r="A1605" t="str">
            <v>G.EA.0000031</v>
          </cell>
        </row>
        <row r="1606">
          <cell r="A1606" t="str">
            <v>G.EA.0000033</v>
          </cell>
        </row>
        <row r="1607">
          <cell r="A1607" t="str">
            <v>G.EA.0000034</v>
          </cell>
        </row>
        <row r="1608">
          <cell r="A1608" t="str">
            <v>G.EA.0000035</v>
          </cell>
        </row>
        <row r="1609">
          <cell r="A1609" t="str">
            <v>G.EA.0000036</v>
          </cell>
        </row>
        <row r="1610">
          <cell r="A1610" t="str">
            <v>G.EA.0000037</v>
          </cell>
        </row>
        <row r="1611">
          <cell r="A1611" t="str">
            <v>G.EA.0000038</v>
          </cell>
        </row>
        <row r="1612">
          <cell r="A1612" t="str">
            <v>G.EA.0000039</v>
          </cell>
        </row>
        <row r="1613">
          <cell r="A1613" t="str">
            <v>G.EA.0000040</v>
          </cell>
        </row>
        <row r="1614">
          <cell r="A1614" t="str">
            <v>G.EA.0000041</v>
          </cell>
        </row>
        <row r="1615">
          <cell r="A1615" t="str">
            <v>G.EA.0000042</v>
          </cell>
        </row>
        <row r="1616">
          <cell r="A1616" t="str">
            <v>G.EA.0000043</v>
          </cell>
        </row>
        <row r="1617">
          <cell r="A1617" t="str">
            <v>G.EA.0000044</v>
          </cell>
        </row>
        <row r="1618">
          <cell r="A1618" t="str">
            <v>G.EA.0000045</v>
          </cell>
        </row>
        <row r="1619">
          <cell r="A1619" t="str">
            <v>G.EA.0000046</v>
          </cell>
        </row>
        <row r="1620">
          <cell r="A1620" t="str">
            <v>G.EA.0000047</v>
          </cell>
        </row>
        <row r="1621">
          <cell r="A1621" t="str">
            <v>G.EA.0000048</v>
          </cell>
        </row>
        <row r="1622">
          <cell r="A1622" t="str">
            <v>G.EA.0000049</v>
          </cell>
        </row>
        <row r="1623">
          <cell r="A1623" t="str">
            <v>G.EA.0000050</v>
          </cell>
        </row>
        <row r="1624">
          <cell r="A1624" t="str">
            <v>G.EA.0000051</v>
          </cell>
        </row>
        <row r="1625">
          <cell r="A1625" t="str">
            <v>G.EA.0000052</v>
          </cell>
        </row>
        <row r="1626">
          <cell r="A1626" t="str">
            <v>G.EA.0000054</v>
          </cell>
        </row>
        <row r="1627">
          <cell r="A1627" t="str">
            <v>G.EA.0000055</v>
          </cell>
        </row>
        <row r="1628">
          <cell r="A1628" t="str">
            <v>G.EA.0000056</v>
          </cell>
        </row>
        <row r="1629">
          <cell r="A1629" t="str">
            <v>G.EA.0000057</v>
          </cell>
        </row>
        <row r="1630">
          <cell r="A1630" t="str">
            <v>G.EA.0000058</v>
          </cell>
        </row>
        <row r="1631">
          <cell r="A1631" t="str">
            <v>G.EA.0000059</v>
          </cell>
        </row>
        <row r="1632">
          <cell r="A1632" t="str">
            <v>G.EA.0000060</v>
          </cell>
        </row>
        <row r="1633">
          <cell r="A1633" t="str">
            <v>G.EA.0000061</v>
          </cell>
        </row>
        <row r="1634">
          <cell r="A1634" t="str">
            <v>G.EA.0000062</v>
          </cell>
        </row>
        <row r="1635">
          <cell r="A1635" t="str">
            <v>G.EA.0000063</v>
          </cell>
        </row>
        <row r="1636">
          <cell r="A1636" t="str">
            <v>G.EA.0000064</v>
          </cell>
        </row>
        <row r="1637">
          <cell r="A1637" t="str">
            <v>G.EA.0000065</v>
          </cell>
        </row>
        <row r="1638">
          <cell r="A1638" t="str">
            <v>G.EA.0000066</v>
          </cell>
        </row>
        <row r="1639">
          <cell r="A1639" t="str">
            <v>G.EA.0000067</v>
          </cell>
        </row>
        <row r="1640">
          <cell r="A1640" t="str">
            <v>G.EA.0000068</v>
          </cell>
        </row>
        <row r="1641">
          <cell r="A1641" t="str">
            <v>G.EA.0000069</v>
          </cell>
        </row>
        <row r="1642">
          <cell r="A1642" t="str">
            <v>G.EA.0000070</v>
          </cell>
        </row>
        <row r="1643">
          <cell r="A1643" t="str">
            <v>G.EA.0000071</v>
          </cell>
        </row>
        <row r="1644">
          <cell r="A1644" t="str">
            <v>G.EA.0000072</v>
          </cell>
        </row>
        <row r="1645">
          <cell r="A1645" t="str">
            <v>G.EA.0000073</v>
          </cell>
        </row>
        <row r="1646">
          <cell r="A1646" t="str">
            <v>G.EA.0000074</v>
          </cell>
        </row>
        <row r="1647">
          <cell r="A1647" t="str">
            <v>G.EA.0000075</v>
          </cell>
        </row>
        <row r="1648">
          <cell r="A1648" t="str">
            <v>G.EA.0000076</v>
          </cell>
        </row>
        <row r="1649">
          <cell r="A1649" t="str">
            <v>G.EA.0000077</v>
          </cell>
        </row>
        <row r="1650">
          <cell r="A1650" t="str">
            <v>G.EA.0000078</v>
          </cell>
        </row>
        <row r="1651">
          <cell r="A1651" t="str">
            <v>G.EA.0000079</v>
          </cell>
        </row>
        <row r="1652">
          <cell r="A1652" t="str">
            <v>G.EA.0000080</v>
          </cell>
        </row>
        <row r="1653">
          <cell r="A1653" t="str">
            <v>G.EA.0000081</v>
          </cell>
        </row>
        <row r="1654">
          <cell r="A1654" t="str">
            <v>G.EA.0000082</v>
          </cell>
        </row>
        <row r="1655">
          <cell r="A1655" t="str">
            <v>G.EA.0000083</v>
          </cell>
        </row>
        <row r="1656">
          <cell r="A1656" t="str">
            <v>G.EA.0000084</v>
          </cell>
        </row>
        <row r="1657">
          <cell r="A1657" t="str">
            <v>G.EA.0000085</v>
          </cell>
        </row>
        <row r="1658">
          <cell r="A1658" t="str">
            <v>G.EA.0000086</v>
          </cell>
        </row>
        <row r="1659">
          <cell r="A1659" t="str">
            <v>G.EA.0000087</v>
          </cell>
        </row>
        <row r="1660">
          <cell r="A1660" t="str">
            <v>G.EA.0000088</v>
          </cell>
        </row>
        <row r="1661">
          <cell r="A1661" t="str">
            <v>G.EA.0000089</v>
          </cell>
        </row>
        <row r="1662">
          <cell r="A1662" t="str">
            <v>G.EA.0000090</v>
          </cell>
        </row>
        <row r="1663">
          <cell r="A1663" t="str">
            <v>G.EA.0000091</v>
          </cell>
        </row>
        <row r="1664">
          <cell r="A1664" t="str">
            <v>G.EA.0000092</v>
          </cell>
        </row>
        <row r="1665">
          <cell r="A1665" t="str">
            <v>G.EA.0000093</v>
          </cell>
        </row>
        <row r="1666">
          <cell r="A1666" t="str">
            <v>G.EA.0000094</v>
          </cell>
        </row>
        <row r="1667">
          <cell r="A1667" t="str">
            <v>G.EA.0000095</v>
          </cell>
        </row>
        <row r="1668">
          <cell r="A1668" t="str">
            <v>G.EA.0000096</v>
          </cell>
        </row>
        <row r="1669">
          <cell r="A1669" t="str">
            <v>G.EA.0000097</v>
          </cell>
        </row>
        <row r="1670">
          <cell r="A1670" t="str">
            <v>G.EA.0000098</v>
          </cell>
        </row>
        <row r="1671">
          <cell r="A1671" t="str">
            <v>G.EA.0000099</v>
          </cell>
        </row>
        <row r="1672">
          <cell r="A1672" t="str">
            <v>G.EA.0000100</v>
          </cell>
        </row>
        <row r="1673">
          <cell r="A1673" t="str">
            <v>G.EA.0000101</v>
          </cell>
        </row>
        <row r="1674">
          <cell r="A1674" t="str">
            <v>G.EA.0000102</v>
          </cell>
        </row>
        <row r="1675">
          <cell r="A1675" t="str">
            <v>G.EA.0000103</v>
          </cell>
        </row>
        <row r="1676">
          <cell r="A1676" t="str">
            <v>G.EA.0000104</v>
          </cell>
        </row>
        <row r="1677">
          <cell r="A1677" t="str">
            <v>G.EA.0000105</v>
          </cell>
        </row>
        <row r="1678">
          <cell r="A1678" t="str">
            <v>G.EA.0000106</v>
          </cell>
        </row>
        <row r="1679">
          <cell r="A1679" t="str">
            <v>G.EA.0000107</v>
          </cell>
        </row>
        <row r="1680">
          <cell r="A1680" t="str">
            <v>G.EA.0000108</v>
          </cell>
        </row>
        <row r="1681">
          <cell r="A1681" t="str">
            <v>G.EA.0000109</v>
          </cell>
        </row>
        <row r="1682">
          <cell r="A1682" t="str">
            <v>G.EA.0000110</v>
          </cell>
        </row>
        <row r="1683">
          <cell r="A1683" t="str">
            <v>G.EA.0000111</v>
          </cell>
        </row>
        <row r="1684">
          <cell r="A1684" t="str">
            <v>G.EA.0000112</v>
          </cell>
        </row>
        <row r="1685">
          <cell r="A1685" t="str">
            <v>G.EA.0000113</v>
          </cell>
        </row>
        <row r="1686">
          <cell r="A1686" t="str">
            <v>G.EA.0000114</v>
          </cell>
        </row>
        <row r="1687">
          <cell r="A1687" t="str">
            <v>G.EA.0000115</v>
          </cell>
        </row>
        <row r="1688">
          <cell r="A1688" t="str">
            <v>G.EA.0000116</v>
          </cell>
        </row>
        <row r="1690">
          <cell r="A1690" t="str">
            <v>G.EQ.0000001</v>
          </cell>
        </row>
        <row r="1691">
          <cell r="A1691" t="str">
            <v>G.EQ.0000002</v>
          </cell>
        </row>
        <row r="1692">
          <cell r="A1692" t="str">
            <v>G.EQ.0000003</v>
          </cell>
        </row>
        <row r="1693">
          <cell r="A1693" t="str">
            <v>G.EQ.0000004</v>
          </cell>
        </row>
        <row r="1694">
          <cell r="A1694" t="str">
            <v>G.EQ.0000005</v>
          </cell>
        </row>
        <row r="1695">
          <cell r="A1695" t="str">
            <v>G.EQ.0000006</v>
          </cell>
        </row>
        <row r="1696">
          <cell r="A1696" t="str">
            <v>G.EQ.0000007</v>
          </cell>
        </row>
        <row r="1697">
          <cell r="A1697" t="str">
            <v>G.EQ.0000008</v>
          </cell>
        </row>
        <row r="1698">
          <cell r="A1698" t="str">
            <v>G.EQ.0000009</v>
          </cell>
        </row>
        <row r="1699">
          <cell r="A1699" t="str">
            <v>G.EQ.0000010</v>
          </cell>
        </row>
        <row r="1700">
          <cell r="A1700" t="str">
            <v>G.EQ.0000011</v>
          </cell>
        </row>
        <row r="1701">
          <cell r="A1701" t="str">
            <v>G.EQ.0000012</v>
          </cell>
        </row>
        <row r="1702">
          <cell r="A1702" t="str">
            <v>G.EQ.0000013</v>
          </cell>
        </row>
        <row r="1703">
          <cell r="A1703" t="str">
            <v>G.EQ.0000014</v>
          </cell>
        </row>
        <row r="1704">
          <cell r="A1704" t="str">
            <v>G.EQ.0000015</v>
          </cell>
        </row>
        <row r="1705">
          <cell r="A1705" t="str">
            <v>G.EQ.0000016</v>
          </cell>
        </row>
        <row r="1706">
          <cell r="A1706" t="str">
            <v>G.EQ.0000017</v>
          </cell>
        </row>
        <row r="1707">
          <cell r="A1707" t="str">
            <v>G.EQ.0000018</v>
          </cell>
        </row>
        <row r="1708">
          <cell r="A1708" t="str">
            <v>G.EQ.0000019</v>
          </cell>
        </row>
        <row r="1709">
          <cell r="A1709" t="str">
            <v>G.EQ.0000020</v>
          </cell>
        </row>
        <row r="1710">
          <cell r="A1710" t="str">
            <v>G.EQ.0000021</v>
          </cell>
        </row>
        <row r="1711">
          <cell r="A1711" t="str">
            <v>G.EQ.0000022</v>
          </cell>
        </row>
        <row r="1712">
          <cell r="A1712" t="str">
            <v>G.EQ.0000023</v>
          </cell>
        </row>
        <row r="1713">
          <cell r="A1713" t="str">
            <v>G.EQ.0000024</v>
          </cell>
        </row>
        <row r="1714">
          <cell r="A1714" t="str">
            <v>G.EQ.0000025</v>
          </cell>
        </row>
        <row r="1715">
          <cell r="A1715" t="str">
            <v>G.EQ.0000026</v>
          </cell>
        </row>
        <row r="1716">
          <cell r="A1716" t="str">
            <v>G.EQ.0000027</v>
          </cell>
        </row>
        <row r="1717">
          <cell r="A1717" t="str">
            <v>G.EQ.0000028</v>
          </cell>
        </row>
        <row r="1718">
          <cell r="A1718" t="str">
            <v>G.EQ.0000030</v>
          </cell>
        </row>
        <row r="1719">
          <cell r="A1719" t="str">
            <v>G.EQ.0000031</v>
          </cell>
        </row>
        <row r="1720">
          <cell r="A1720" t="str">
            <v>G.EQ.0000032</v>
          </cell>
        </row>
        <row r="1721">
          <cell r="A1721" t="str">
            <v>G.EQ.0000033</v>
          </cell>
        </row>
        <row r="1722">
          <cell r="A1722" t="str">
            <v>G.EQ.0000034</v>
          </cell>
        </row>
        <row r="1723">
          <cell r="A1723" t="str">
            <v>G.EQ.0000035</v>
          </cell>
        </row>
        <row r="1724">
          <cell r="A1724" t="str">
            <v>G.EQ.0000036</v>
          </cell>
        </row>
        <row r="1725">
          <cell r="A1725" t="str">
            <v>G.EQ.0000037</v>
          </cell>
        </row>
        <row r="1726">
          <cell r="A1726" t="str">
            <v>G.EQ.0000038</v>
          </cell>
        </row>
        <row r="1727">
          <cell r="A1727" t="str">
            <v>G.EQ.0000039</v>
          </cell>
        </row>
        <row r="1728">
          <cell r="A1728" t="str">
            <v>G.EQ.0000040</v>
          </cell>
        </row>
        <row r="1729">
          <cell r="A1729" t="str">
            <v>G.EQ.0000041</v>
          </cell>
        </row>
        <row r="1730">
          <cell r="A1730" t="str">
            <v>G.EQ.0000042</v>
          </cell>
        </row>
        <row r="1731">
          <cell r="A1731" t="str">
            <v>G.EQ.0000043</v>
          </cell>
        </row>
        <row r="1732">
          <cell r="A1732" t="str">
            <v>G.EQ.0000044</v>
          </cell>
        </row>
        <row r="1733">
          <cell r="A1733" t="str">
            <v>G.EQ.0000045</v>
          </cell>
        </row>
        <row r="1734">
          <cell r="A1734" t="str">
            <v>G.EQ.0000046</v>
          </cell>
        </row>
        <row r="1735">
          <cell r="A1735" t="str">
            <v>G.EQ.0000047</v>
          </cell>
        </row>
        <row r="1736">
          <cell r="A1736" t="str">
            <v>G.EQ.0000048</v>
          </cell>
        </row>
        <row r="1737">
          <cell r="A1737" t="str">
            <v>G.EQ.0000049</v>
          </cell>
        </row>
        <row r="1738">
          <cell r="A1738" t="str">
            <v>G.EQ.0000050</v>
          </cell>
        </row>
        <row r="1739">
          <cell r="A1739" t="str">
            <v>G.EQ.0000051</v>
          </cell>
        </row>
        <row r="1740">
          <cell r="A1740" t="str">
            <v>G.EQ.0000052</v>
          </cell>
        </row>
        <row r="1741">
          <cell r="A1741" t="str">
            <v>G.EQ.0000053</v>
          </cell>
        </row>
        <row r="1742">
          <cell r="A1742" t="str">
            <v>G.EQ.0000054</v>
          </cell>
        </row>
        <row r="1743">
          <cell r="A1743" t="str">
            <v>G.EQ.0000055</v>
          </cell>
        </row>
        <row r="1744">
          <cell r="A1744" t="str">
            <v>G.EQ.0000056</v>
          </cell>
        </row>
        <row r="1745">
          <cell r="A1745" t="str">
            <v>G.EQ.0000057</v>
          </cell>
        </row>
        <row r="1746">
          <cell r="A1746" t="str">
            <v>G.EQ.0000058</v>
          </cell>
        </row>
        <row r="1747">
          <cell r="A1747" t="str">
            <v>G.EQ.0000059</v>
          </cell>
        </row>
        <row r="1748">
          <cell r="A1748" t="str">
            <v>G.EQ.0000060</v>
          </cell>
        </row>
        <row r="1749">
          <cell r="A1749" t="str">
            <v>G.EQ.0000061</v>
          </cell>
        </row>
        <row r="1750">
          <cell r="A1750" t="str">
            <v>G.EQ.0000062</v>
          </cell>
        </row>
        <row r="1751">
          <cell r="A1751" t="str">
            <v>G.EQ.0000063</v>
          </cell>
        </row>
        <row r="1752">
          <cell r="A1752" t="str">
            <v>G.EQ.0000064</v>
          </cell>
        </row>
        <row r="1753">
          <cell r="A1753" t="str">
            <v>G.EQ.0000065</v>
          </cell>
        </row>
        <row r="1754">
          <cell r="A1754" t="str">
            <v>G.EQ.0000066</v>
          </cell>
        </row>
        <row r="1755">
          <cell r="A1755" t="str">
            <v>G.EQ.0000067</v>
          </cell>
        </row>
        <row r="1756">
          <cell r="A1756" t="str">
            <v>G.EQ.0000068</v>
          </cell>
        </row>
        <row r="1757">
          <cell r="A1757" t="str">
            <v>G.EQ.0000069</v>
          </cell>
        </row>
        <row r="1758">
          <cell r="A1758" t="str">
            <v>G.EQ.0000070</v>
          </cell>
        </row>
        <row r="1759">
          <cell r="A1759" t="str">
            <v>G.EQ.0000071</v>
          </cell>
        </row>
        <row r="1760">
          <cell r="A1760" t="str">
            <v>G.EQ.0000072</v>
          </cell>
        </row>
        <row r="1761">
          <cell r="A1761" t="str">
            <v>G.EQ.0000073</v>
          </cell>
        </row>
        <row r="1762">
          <cell r="A1762" t="str">
            <v>G.EQ.0000074</v>
          </cell>
        </row>
        <row r="1763">
          <cell r="A1763" t="str">
            <v>G.EQ.0000075</v>
          </cell>
        </row>
        <row r="1764">
          <cell r="A1764" t="str">
            <v>G.EQ.0000076</v>
          </cell>
        </row>
        <row r="1765">
          <cell r="A1765" t="str">
            <v>G.EQ.0000077</v>
          </cell>
        </row>
        <row r="1766">
          <cell r="A1766" t="str">
            <v>G.EQ.0000078</v>
          </cell>
        </row>
        <row r="1767">
          <cell r="A1767" t="str">
            <v>G.EQ.0000079</v>
          </cell>
        </row>
        <row r="1768">
          <cell r="A1768" t="str">
            <v>G.EQ.0000080</v>
          </cell>
        </row>
        <row r="1769">
          <cell r="A1769" t="str">
            <v>G.EQ.0000081</v>
          </cell>
        </row>
        <row r="1770">
          <cell r="A1770" t="str">
            <v>G.EQ.0000082</v>
          </cell>
        </row>
        <row r="1771">
          <cell r="A1771" t="str">
            <v>G.EQ.0000083</v>
          </cell>
        </row>
        <row r="1772">
          <cell r="A1772" t="str">
            <v>G.EQ.0000084</v>
          </cell>
        </row>
        <row r="1773">
          <cell r="A1773" t="str">
            <v>G.EQ.0000085</v>
          </cell>
        </row>
        <row r="1774">
          <cell r="A1774" t="str">
            <v>G.EQ.0000086</v>
          </cell>
        </row>
        <row r="1775">
          <cell r="A1775" t="str">
            <v>G.EQ.0000087</v>
          </cell>
        </row>
        <row r="1776">
          <cell r="A1776" t="str">
            <v>G.EQ.0000088</v>
          </cell>
        </row>
        <row r="1777">
          <cell r="A1777" t="str">
            <v>G.EQ.0000089</v>
          </cell>
        </row>
        <row r="1778">
          <cell r="A1778" t="str">
            <v>G.EQ.0000090</v>
          </cell>
        </row>
        <row r="1779">
          <cell r="A1779" t="str">
            <v>G.EQ.0000091</v>
          </cell>
        </row>
        <row r="1780">
          <cell r="A1780" t="str">
            <v>G.EQ.0000092</v>
          </cell>
        </row>
        <row r="1781">
          <cell r="A1781" t="str">
            <v>G.EQ.0000093</v>
          </cell>
        </row>
        <row r="1782">
          <cell r="A1782" t="str">
            <v>G.EQ.0000094</v>
          </cell>
        </row>
        <row r="1783">
          <cell r="A1783" t="str">
            <v>G.EQ.0000095</v>
          </cell>
        </row>
        <row r="1784">
          <cell r="A1784" t="str">
            <v>G.EQ.0000096</v>
          </cell>
        </row>
        <row r="1785">
          <cell r="A1785" t="str">
            <v>G.EQ.0000097</v>
          </cell>
        </row>
        <row r="1786">
          <cell r="A1786" t="str">
            <v>G.EQ.0000098</v>
          </cell>
        </row>
        <row r="1787">
          <cell r="A1787" t="str">
            <v>G.EQ.0000099</v>
          </cell>
        </row>
        <row r="1788">
          <cell r="A1788" t="str">
            <v>G.EQ.0000100</v>
          </cell>
        </row>
        <row r="1789">
          <cell r="A1789" t="str">
            <v>G.EQ.0000101</v>
          </cell>
        </row>
        <row r="1790">
          <cell r="A1790" t="str">
            <v>G.EQ.0000102</v>
          </cell>
        </row>
        <row r="1791">
          <cell r="A1791" t="str">
            <v>G.EQ.0000103</v>
          </cell>
        </row>
        <row r="1792">
          <cell r="A1792" t="str">
            <v>G.EQ.0000104</v>
          </cell>
        </row>
        <row r="1793">
          <cell r="A1793" t="str">
            <v>G.EQ.0000105</v>
          </cell>
        </row>
        <row r="1794">
          <cell r="A1794" t="str">
            <v>G.EQ.0000106</v>
          </cell>
        </row>
        <row r="1795">
          <cell r="A1795" t="str">
            <v>G.EQ.0000107</v>
          </cell>
        </row>
        <row r="1796">
          <cell r="A1796" t="str">
            <v>G.EQ.0000108</v>
          </cell>
        </row>
        <row r="1797">
          <cell r="A1797" t="str">
            <v>G.EQ.0000109</v>
          </cell>
        </row>
        <row r="1798">
          <cell r="A1798" t="str">
            <v>G.EQ.0000110</v>
          </cell>
        </row>
        <row r="1799">
          <cell r="A1799" t="str">
            <v>G.EQ.0000111</v>
          </cell>
        </row>
        <row r="1800">
          <cell r="A1800" t="str">
            <v>G.EQ.0000112</v>
          </cell>
        </row>
        <row r="1801">
          <cell r="A1801" t="str">
            <v>G.EQ.0000113</v>
          </cell>
        </row>
        <row r="1802">
          <cell r="A1802" t="str">
            <v>G.EQ.0000114</v>
          </cell>
        </row>
        <row r="1803">
          <cell r="A1803" t="str">
            <v>G.EQ.0000115</v>
          </cell>
        </row>
        <row r="1804">
          <cell r="A1804" t="str">
            <v>G.EQ.0000116</v>
          </cell>
        </row>
        <row r="1805">
          <cell r="A1805" t="str">
            <v>G.EQ.0000117</v>
          </cell>
        </row>
        <row r="1806">
          <cell r="A1806" t="str">
            <v>G.EQ.0000118</v>
          </cell>
        </row>
        <row r="1807">
          <cell r="A1807" t="str">
            <v>G.EQ.0000119</v>
          </cell>
        </row>
        <row r="1808">
          <cell r="A1808" t="str">
            <v>G.EQ.0000120</v>
          </cell>
        </row>
        <row r="1809">
          <cell r="A1809" t="str">
            <v>G.EQ.0000122</v>
          </cell>
        </row>
        <row r="1810">
          <cell r="A1810" t="str">
            <v>G.EQ.0000123</v>
          </cell>
        </row>
        <row r="1811">
          <cell r="A1811" t="str">
            <v>G.EQ.0000124</v>
          </cell>
        </row>
        <row r="1812">
          <cell r="A1812" t="str">
            <v>G.EQ.0000125</v>
          </cell>
        </row>
        <row r="1813">
          <cell r="A1813" t="str">
            <v>G.EQ.0000126</v>
          </cell>
        </row>
        <row r="1814">
          <cell r="A1814" t="str">
            <v>G.EQ.0000127</v>
          </cell>
        </row>
        <row r="1815">
          <cell r="A1815" t="str">
            <v>G.EQ.0000128</v>
          </cell>
        </row>
        <row r="1816">
          <cell r="A1816" t="str">
            <v>G.EQ.0000129</v>
          </cell>
        </row>
        <row r="1817">
          <cell r="A1817" t="str">
            <v>G.EQ.0000130</v>
          </cell>
        </row>
        <row r="1818">
          <cell r="A1818" t="str">
            <v>G.EQ.0000131</v>
          </cell>
        </row>
        <row r="1819">
          <cell r="A1819" t="str">
            <v>G.EQ.0000132</v>
          </cell>
        </row>
        <row r="1820">
          <cell r="A1820" t="str">
            <v>G.EQ.0000133</v>
          </cell>
        </row>
        <row r="1821">
          <cell r="A1821" t="str">
            <v>G.EQ.0000134</v>
          </cell>
        </row>
        <row r="1822">
          <cell r="A1822" t="str">
            <v>G.EQ.0000135</v>
          </cell>
        </row>
        <row r="1823">
          <cell r="A1823" t="str">
            <v>G.EQ.0000136</v>
          </cell>
        </row>
        <row r="1824">
          <cell r="A1824" t="str">
            <v>G.EQ.0000137</v>
          </cell>
        </row>
        <row r="1825">
          <cell r="A1825" t="str">
            <v>G.EQ.0000138</v>
          </cell>
        </row>
        <row r="1826">
          <cell r="A1826" t="str">
            <v>G.EQ.0000139</v>
          </cell>
        </row>
        <row r="1827">
          <cell r="A1827" t="str">
            <v>G.EQ.0000140</v>
          </cell>
        </row>
        <row r="1828">
          <cell r="A1828" t="str">
            <v>G.EQ.0000141</v>
          </cell>
        </row>
        <row r="1829">
          <cell r="A1829" t="str">
            <v>G.EQ.0000142</v>
          </cell>
        </row>
        <row r="1830">
          <cell r="A1830" t="str">
            <v>G.EQ.0000143</v>
          </cell>
        </row>
        <row r="1831">
          <cell r="A1831" t="str">
            <v>G.EQ.0000144</v>
          </cell>
        </row>
        <row r="1832">
          <cell r="A1832" t="str">
            <v>G.EQ.0000145</v>
          </cell>
        </row>
        <row r="1833">
          <cell r="A1833" t="str">
            <v>G.EQ.0000146</v>
          </cell>
        </row>
        <row r="1834">
          <cell r="A1834" t="str">
            <v>G.EQ.0000147</v>
          </cell>
        </row>
        <row r="1835">
          <cell r="A1835" t="str">
            <v>G.EQ.0000148</v>
          </cell>
        </row>
        <row r="1836">
          <cell r="A1836" t="str">
            <v>G.EQ.0000149</v>
          </cell>
        </row>
        <row r="1837">
          <cell r="A1837" t="str">
            <v>G.EQ.0000150</v>
          </cell>
        </row>
        <row r="1838">
          <cell r="A1838" t="str">
            <v>G.EQ.0000151</v>
          </cell>
        </row>
        <row r="1839">
          <cell r="A1839" t="str">
            <v>G.EQ.0000152</v>
          </cell>
        </row>
        <row r="1840">
          <cell r="A1840" t="str">
            <v>G.EQ.0000153</v>
          </cell>
        </row>
        <row r="1841">
          <cell r="A1841" t="str">
            <v>G.EQ.0000154</v>
          </cell>
        </row>
        <row r="1842">
          <cell r="A1842" t="str">
            <v>G.EQ.0000155</v>
          </cell>
        </row>
        <row r="1843">
          <cell r="A1843" t="str">
            <v>G.EQ.0000156</v>
          </cell>
        </row>
        <row r="1844">
          <cell r="A1844" t="str">
            <v>G.EQ.0000157</v>
          </cell>
        </row>
        <row r="1845">
          <cell r="A1845" t="str">
            <v>G.EQ.0000158</v>
          </cell>
        </row>
        <row r="1846">
          <cell r="A1846" t="str">
            <v>G.EQ.0000159</v>
          </cell>
        </row>
        <row r="1847">
          <cell r="A1847" t="str">
            <v>G.EQ.0000160</v>
          </cell>
        </row>
        <row r="1848">
          <cell r="A1848" t="str">
            <v>G.EQ.0000161</v>
          </cell>
        </row>
        <row r="1849">
          <cell r="A1849" t="str">
            <v>G.EQ.0000162</v>
          </cell>
        </row>
        <row r="1850">
          <cell r="A1850" t="str">
            <v>G.EQ.0000163</v>
          </cell>
        </row>
        <row r="1851">
          <cell r="A1851" t="str">
            <v>G.EQ.0000164</v>
          </cell>
        </row>
        <row r="1852">
          <cell r="A1852" t="str">
            <v>G.EQ.0000165</v>
          </cell>
        </row>
        <row r="1853">
          <cell r="A1853" t="str">
            <v>G.EQ.0000166</v>
          </cell>
        </row>
        <row r="1854">
          <cell r="A1854" t="str">
            <v>G.EQ.0000167</v>
          </cell>
        </row>
        <row r="1855">
          <cell r="A1855" t="str">
            <v>G.EQ.0000168</v>
          </cell>
        </row>
        <row r="1856">
          <cell r="A1856" t="str">
            <v>G.EQ.0000169</v>
          </cell>
        </row>
        <row r="1857">
          <cell r="A1857" t="str">
            <v>G.EQ.0000170</v>
          </cell>
        </row>
        <row r="1858">
          <cell r="A1858" t="str">
            <v>G.EQ.0000171</v>
          </cell>
        </row>
        <row r="1859">
          <cell r="A1859" t="str">
            <v>G.EQ.0000172</v>
          </cell>
        </row>
        <row r="1860">
          <cell r="A1860" t="str">
            <v>G.EQ.0000173</v>
          </cell>
        </row>
        <row r="1861">
          <cell r="A1861" t="str">
            <v>G.EQ.0000174</v>
          </cell>
        </row>
        <row r="1862">
          <cell r="A1862" t="str">
            <v>G.EQ.0000175</v>
          </cell>
        </row>
        <row r="1863">
          <cell r="A1863" t="str">
            <v>G.EQ.0000176</v>
          </cell>
        </row>
        <row r="1864">
          <cell r="A1864" t="str">
            <v>G.EQ.0000177</v>
          </cell>
        </row>
        <row r="1865">
          <cell r="A1865" t="str">
            <v>G.EQ.0000178</v>
          </cell>
        </row>
        <row r="1866">
          <cell r="A1866" t="str">
            <v>G.EQ.0000179</v>
          </cell>
        </row>
        <row r="1867">
          <cell r="A1867" t="str">
            <v>G.EQ.0000180</v>
          </cell>
        </row>
        <row r="1868">
          <cell r="A1868" t="str">
            <v>G.EQ.0000181</v>
          </cell>
        </row>
        <row r="1869">
          <cell r="A1869" t="str">
            <v>G.EQ.0000182</v>
          </cell>
        </row>
        <row r="1870">
          <cell r="A1870" t="str">
            <v>G.EQ.0000183</v>
          </cell>
        </row>
        <row r="1871">
          <cell r="A1871" t="str">
            <v>G.EQ.0000184</v>
          </cell>
        </row>
        <row r="1872">
          <cell r="A1872" t="str">
            <v>G.EQ.0000185</v>
          </cell>
        </row>
        <row r="1873">
          <cell r="A1873" t="str">
            <v>G.EQ.0000186</v>
          </cell>
        </row>
        <row r="1874">
          <cell r="A1874" t="str">
            <v>G.EQ.0000187</v>
          </cell>
        </row>
        <row r="1875">
          <cell r="A1875" t="str">
            <v>G.EQ.0000188</v>
          </cell>
        </row>
        <row r="1876">
          <cell r="A1876" t="str">
            <v>G.EQ.0000189</v>
          </cell>
        </row>
        <row r="1877">
          <cell r="A1877" t="str">
            <v>G.EQ.0000190</v>
          </cell>
        </row>
        <row r="1878">
          <cell r="A1878" t="str">
            <v>G.EQ.0000191</v>
          </cell>
        </row>
        <row r="1879">
          <cell r="A1879" t="str">
            <v>G.EQ.0000192</v>
          </cell>
        </row>
        <row r="1880">
          <cell r="A1880" t="str">
            <v>G.EQ.0000193</v>
          </cell>
        </row>
        <row r="1881">
          <cell r="A1881" t="str">
            <v>G.EQ.0000194</v>
          </cell>
        </row>
        <row r="1882">
          <cell r="A1882" t="str">
            <v>G.EQ.0000195</v>
          </cell>
        </row>
        <row r="1883">
          <cell r="A1883" t="str">
            <v>G.EQ.0000196</v>
          </cell>
        </row>
        <row r="1884">
          <cell r="A1884" t="str">
            <v>G.EQ.0000199</v>
          </cell>
        </row>
        <row r="1885">
          <cell r="A1885" t="str">
            <v>G.EQ.0000200</v>
          </cell>
        </row>
        <row r="1886">
          <cell r="A1886" t="str">
            <v>G.EQ.0000201</v>
          </cell>
        </row>
        <row r="1887">
          <cell r="A1887" t="str">
            <v>G.EQ.0000202</v>
          </cell>
        </row>
        <row r="1888">
          <cell r="A1888" t="str">
            <v>G.EQ.0000203</v>
          </cell>
        </row>
        <row r="1889">
          <cell r="A1889" t="str">
            <v>G.EQ.0000204</v>
          </cell>
        </row>
        <row r="1890">
          <cell r="A1890" t="str">
            <v>G.EQ.0000205</v>
          </cell>
        </row>
        <row r="1891">
          <cell r="A1891" t="str">
            <v>G.EQ.0000206</v>
          </cell>
        </row>
        <row r="1892">
          <cell r="A1892" t="str">
            <v>G.EQ.0000207</v>
          </cell>
        </row>
        <row r="1893">
          <cell r="A1893" t="str">
            <v>G.EQ.0000208</v>
          </cell>
        </row>
        <row r="1894">
          <cell r="A1894" t="str">
            <v>G.EQ.0000209</v>
          </cell>
        </row>
        <row r="1895">
          <cell r="A1895" t="str">
            <v>G.EQ.0000210</v>
          </cell>
        </row>
        <row r="1896">
          <cell r="A1896" t="str">
            <v>G.EQ.0000211</v>
          </cell>
        </row>
        <row r="1897">
          <cell r="A1897" t="str">
            <v>G.EQ.0000212</v>
          </cell>
        </row>
        <row r="1898">
          <cell r="A1898" t="str">
            <v>G.EQ.0000213</v>
          </cell>
        </row>
        <row r="1899">
          <cell r="A1899" t="str">
            <v>G.EQ.0000214</v>
          </cell>
        </row>
        <row r="1900">
          <cell r="A1900" t="str">
            <v>G.EQ.0000215</v>
          </cell>
        </row>
        <row r="1901">
          <cell r="A1901" t="str">
            <v>G.EQ.0000216</v>
          </cell>
        </row>
        <row r="1902">
          <cell r="A1902" t="str">
            <v>G.EQ.0000217</v>
          </cell>
        </row>
        <row r="1903">
          <cell r="A1903" t="str">
            <v>G.EQ.0000218</v>
          </cell>
        </row>
        <row r="1904">
          <cell r="A1904" t="str">
            <v>G.EQ.0000219</v>
          </cell>
        </row>
        <row r="1905">
          <cell r="A1905" t="str">
            <v>G.EQ.0000220</v>
          </cell>
        </row>
        <row r="1906">
          <cell r="A1906" t="str">
            <v>G.EQ.0000221</v>
          </cell>
        </row>
        <row r="1907">
          <cell r="A1907" t="str">
            <v>G.EQ.0000222</v>
          </cell>
        </row>
        <row r="1908">
          <cell r="A1908" t="str">
            <v>G.EQ.0000223</v>
          </cell>
        </row>
        <row r="1909">
          <cell r="A1909" t="str">
            <v>G.EQ.0000224</v>
          </cell>
        </row>
        <row r="1910">
          <cell r="A1910" t="str">
            <v>G.EQ.0000225</v>
          </cell>
        </row>
        <row r="1911">
          <cell r="A1911" t="str">
            <v>G.EQ.0000226</v>
          </cell>
        </row>
        <row r="1912">
          <cell r="A1912" t="str">
            <v>G.EQ.0000227</v>
          </cell>
        </row>
        <row r="1913">
          <cell r="A1913" t="str">
            <v>G.EQ.0000228</v>
          </cell>
        </row>
        <row r="1914">
          <cell r="A1914" t="str">
            <v>G.EQ.0000229</v>
          </cell>
        </row>
        <row r="1915">
          <cell r="A1915" t="str">
            <v>G.EQ.0000230</v>
          </cell>
        </row>
        <row r="1916">
          <cell r="A1916" t="str">
            <v>G.EQ.0000231</v>
          </cell>
        </row>
        <row r="1917">
          <cell r="A1917" t="str">
            <v>G.EQ.0000232</v>
          </cell>
        </row>
        <row r="1918">
          <cell r="A1918" t="str">
            <v>G.EQ.0000233</v>
          </cell>
        </row>
        <row r="1919">
          <cell r="A1919" t="str">
            <v>G.EQ.0000234</v>
          </cell>
        </row>
        <row r="1920">
          <cell r="A1920" t="str">
            <v>G.EQ.0000235</v>
          </cell>
        </row>
        <row r="1921">
          <cell r="A1921" t="str">
            <v>G.EQ.0000236</v>
          </cell>
        </row>
        <row r="1922">
          <cell r="A1922" t="str">
            <v>G.EQ.0000237</v>
          </cell>
        </row>
        <row r="1923">
          <cell r="A1923" t="str">
            <v>G.EQ.0000238</v>
          </cell>
        </row>
        <row r="1924">
          <cell r="A1924" t="str">
            <v>G.EQ.0000239</v>
          </cell>
        </row>
        <row r="1925">
          <cell r="A1925" t="str">
            <v>G.EQ.0000240</v>
          </cell>
        </row>
        <row r="1926">
          <cell r="A1926" t="str">
            <v>G.EQ.0000241</v>
          </cell>
        </row>
        <row r="1927">
          <cell r="A1927" t="str">
            <v>G.EQ.0000242</v>
          </cell>
        </row>
        <row r="1928">
          <cell r="A1928" t="str">
            <v>G.EQ.0000243</v>
          </cell>
        </row>
        <row r="1929">
          <cell r="A1929" t="str">
            <v>G.EQ.0000244</v>
          </cell>
        </row>
        <row r="1930">
          <cell r="A1930" t="str">
            <v>G.EQ.0000245</v>
          </cell>
        </row>
        <row r="1931">
          <cell r="A1931" t="str">
            <v>G.EQ.0000246</v>
          </cell>
        </row>
        <row r="1932">
          <cell r="A1932" t="str">
            <v>G.EQ.0000247</v>
          </cell>
        </row>
        <row r="1933">
          <cell r="A1933" t="str">
            <v>G.EQ.0000248</v>
          </cell>
        </row>
        <row r="1934">
          <cell r="A1934" t="str">
            <v>G.EQ.0000249</v>
          </cell>
        </row>
        <row r="1935">
          <cell r="A1935" t="str">
            <v>G.EQ.0000250</v>
          </cell>
        </row>
        <row r="1936">
          <cell r="A1936" t="str">
            <v>G.EQ.0000251</v>
          </cell>
        </row>
        <row r="1937">
          <cell r="A1937" t="str">
            <v>G.EQ.0000252</v>
          </cell>
        </row>
        <row r="1938">
          <cell r="A1938" t="str">
            <v>G.EQ.0000253</v>
          </cell>
        </row>
        <row r="1939">
          <cell r="A1939" t="str">
            <v>G.EQ.0000254</v>
          </cell>
        </row>
        <row r="1940">
          <cell r="A1940" t="str">
            <v>G.EQ.0000255</v>
          </cell>
        </row>
        <row r="1941">
          <cell r="A1941" t="str">
            <v>G.EQ.0000256</v>
          </cell>
        </row>
        <row r="1942">
          <cell r="A1942" t="str">
            <v>G.EQ.0000257</v>
          </cell>
        </row>
        <row r="1943">
          <cell r="A1943" t="str">
            <v>G.EQ.0000258</v>
          </cell>
        </row>
        <row r="1944">
          <cell r="A1944" t="str">
            <v>G.EQ.0000259</v>
          </cell>
        </row>
        <row r="1945">
          <cell r="A1945" t="str">
            <v>G.EQ.0000260</v>
          </cell>
        </row>
        <row r="1946">
          <cell r="A1946" t="str">
            <v>G.EQ.0000261</v>
          </cell>
        </row>
        <row r="1947">
          <cell r="A1947" t="str">
            <v>G.EQ.0000262</v>
          </cell>
        </row>
        <row r="1948">
          <cell r="A1948" t="str">
            <v>G.EQ.0000263</v>
          </cell>
        </row>
        <row r="1949">
          <cell r="A1949" t="str">
            <v>G.EQ.0000264</v>
          </cell>
        </row>
        <row r="1950">
          <cell r="A1950" t="str">
            <v>G.EQ.0000265</v>
          </cell>
        </row>
        <row r="1951">
          <cell r="A1951" t="str">
            <v>G.EQ.0000266</v>
          </cell>
        </row>
        <row r="1952">
          <cell r="A1952" t="str">
            <v>G.EQ.0000267</v>
          </cell>
        </row>
        <row r="1953">
          <cell r="A1953" t="str">
            <v>G.EQ.0000268</v>
          </cell>
        </row>
        <row r="1954">
          <cell r="A1954" t="str">
            <v>G.EQ.0000269</v>
          </cell>
        </row>
        <row r="1955">
          <cell r="A1955" t="str">
            <v>G.EQ.0000270</v>
          </cell>
        </row>
        <row r="1956">
          <cell r="A1956" t="str">
            <v>G.EQ.0000271</v>
          </cell>
        </row>
        <row r="1957">
          <cell r="A1957" t="str">
            <v>G.EQ.0000272</v>
          </cell>
        </row>
        <row r="1958">
          <cell r="A1958" t="str">
            <v>G.EQ.0000273</v>
          </cell>
        </row>
        <row r="1959">
          <cell r="A1959" t="str">
            <v>G.EQ.0000274</v>
          </cell>
        </row>
        <row r="1960">
          <cell r="A1960" t="str">
            <v>G.EQ.0000275</v>
          </cell>
        </row>
        <row r="1961">
          <cell r="A1961" t="str">
            <v>G.EQ.0000276</v>
          </cell>
        </row>
        <row r="1962">
          <cell r="A1962" t="str">
            <v>G.EQ.0000277</v>
          </cell>
        </row>
        <row r="1963">
          <cell r="A1963" t="str">
            <v>G.EQ.0000278</v>
          </cell>
        </row>
        <row r="1964">
          <cell r="A1964" t="str">
            <v>G.EQ.0000279</v>
          </cell>
        </row>
        <row r="1965">
          <cell r="A1965" t="str">
            <v>G.EQ.0000280</v>
          </cell>
        </row>
        <row r="1966">
          <cell r="A1966" t="str">
            <v>G.EQ.0000281</v>
          </cell>
        </row>
        <row r="1967">
          <cell r="A1967" t="str">
            <v>G.EQ.0000282</v>
          </cell>
        </row>
        <row r="1968">
          <cell r="A1968" t="str">
            <v>G.EQ.0000283</v>
          </cell>
        </row>
        <row r="1969">
          <cell r="A1969" t="str">
            <v>G.EQ.0000284</v>
          </cell>
        </row>
        <row r="1970">
          <cell r="A1970" t="str">
            <v>G.EQ.0000285</v>
          </cell>
        </row>
        <row r="1971">
          <cell r="A1971" t="str">
            <v>G.EQ.0000286</v>
          </cell>
        </row>
        <row r="1972">
          <cell r="A1972" t="str">
            <v>G.EQ.0000287</v>
          </cell>
        </row>
        <row r="1973">
          <cell r="A1973" t="str">
            <v>G.EQ.0000288</v>
          </cell>
        </row>
        <row r="1974">
          <cell r="A1974" t="str">
            <v>G.EQ.0000289</v>
          </cell>
        </row>
        <row r="1975">
          <cell r="A1975" t="str">
            <v>G.EQ.0000290</v>
          </cell>
        </row>
        <row r="1976">
          <cell r="A1976" t="str">
            <v>G.EQ.0000291</v>
          </cell>
        </row>
        <row r="1977">
          <cell r="A1977" t="str">
            <v>G.EQ.0000292</v>
          </cell>
        </row>
        <row r="1978">
          <cell r="A1978" t="str">
            <v>G.EQ.0000293</v>
          </cell>
        </row>
        <row r="1979">
          <cell r="A1979" t="str">
            <v>G.EQ.0000294</v>
          </cell>
        </row>
        <row r="1980">
          <cell r="A1980" t="str">
            <v>G.EQ.0000295</v>
          </cell>
        </row>
        <row r="1981">
          <cell r="A1981" t="str">
            <v>G.EQ.0000296</v>
          </cell>
        </row>
        <row r="1982">
          <cell r="A1982" t="str">
            <v>G.EQ.0000297</v>
          </cell>
        </row>
        <row r="1983">
          <cell r="A1983" t="str">
            <v>G.EQ.0000298</v>
          </cell>
        </row>
        <row r="1984">
          <cell r="A1984" t="str">
            <v>G.EQ.0000299</v>
          </cell>
        </row>
        <row r="1985">
          <cell r="A1985" t="str">
            <v>G.EQ.0000300</v>
          </cell>
        </row>
        <row r="1986">
          <cell r="A1986" t="str">
            <v>G.EQ.0000301</v>
          </cell>
        </row>
        <row r="1987">
          <cell r="A1987" t="str">
            <v>G.EQ.0000302</v>
          </cell>
        </row>
        <row r="1988">
          <cell r="A1988" t="str">
            <v>G.EQ.0000303</v>
          </cell>
        </row>
        <row r="1989">
          <cell r="A1989" t="str">
            <v>G.EQ.0000305</v>
          </cell>
        </row>
        <row r="1990">
          <cell r="A1990" t="str">
            <v>G.EQ.0000306</v>
          </cell>
        </row>
        <row r="1991">
          <cell r="A1991" t="str">
            <v>G.EQ.0000307</v>
          </cell>
        </row>
        <row r="1992">
          <cell r="A1992" t="str">
            <v>G.EQ.0000308</v>
          </cell>
        </row>
        <row r="1993">
          <cell r="A1993" t="str">
            <v>G.EQ.0000309</v>
          </cell>
        </row>
        <row r="1994">
          <cell r="A1994" t="str">
            <v>G.EQ.0000310</v>
          </cell>
        </row>
        <row r="1995">
          <cell r="A1995" t="str">
            <v>G.EQ.0000311</v>
          </cell>
        </row>
        <row r="1996">
          <cell r="A1996" t="str">
            <v>G.EQ.0000312</v>
          </cell>
        </row>
        <row r="1997">
          <cell r="A1997" t="str">
            <v>G.EQ.0000313</v>
          </cell>
        </row>
        <row r="1998">
          <cell r="A1998" t="str">
            <v>G.EQ.0000314</v>
          </cell>
        </row>
        <row r="1999">
          <cell r="A1999" t="str">
            <v>G.EQ.0000315</v>
          </cell>
        </row>
        <row r="2000">
          <cell r="A2000" t="str">
            <v>G.EQ.0000316</v>
          </cell>
        </row>
        <row r="2001">
          <cell r="A2001" t="str">
            <v>G.EQ.0000317</v>
          </cell>
        </row>
        <row r="2002">
          <cell r="A2002" t="str">
            <v>G.EQ.0000318</v>
          </cell>
        </row>
        <row r="2003">
          <cell r="A2003" t="str">
            <v>G.EQ.0000319</v>
          </cell>
        </row>
        <row r="2004">
          <cell r="A2004" t="str">
            <v>G.EQ.0000320</v>
          </cell>
        </row>
        <row r="2005">
          <cell r="A2005" t="str">
            <v>G.EQ.0000321</v>
          </cell>
        </row>
        <row r="2006">
          <cell r="A2006" t="str">
            <v>G.EQ.0000322</v>
          </cell>
        </row>
        <row r="2007">
          <cell r="A2007" t="str">
            <v>G.EQ.0000323</v>
          </cell>
        </row>
        <row r="2008">
          <cell r="A2008" t="str">
            <v>G.EQ.0000324</v>
          </cell>
        </row>
        <row r="2009">
          <cell r="A2009" t="str">
            <v>G.EQ.0000325</v>
          </cell>
        </row>
        <row r="2010">
          <cell r="A2010" t="str">
            <v>G.EQ.0000326</v>
          </cell>
        </row>
        <row r="2011">
          <cell r="A2011" t="str">
            <v>G.EQ.0000327</v>
          </cell>
        </row>
        <row r="2012">
          <cell r="A2012" t="str">
            <v>G.EQ.0000328</v>
          </cell>
        </row>
        <row r="2013">
          <cell r="A2013" t="str">
            <v>G.EQ.0000329</v>
          </cell>
        </row>
        <row r="2014">
          <cell r="A2014" t="str">
            <v>G.EQ.0000330</v>
          </cell>
        </row>
        <row r="2015">
          <cell r="A2015" t="str">
            <v>G.EQ.0000331</v>
          </cell>
        </row>
        <row r="2016">
          <cell r="A2016" t="str">
            <v>G.EQ.0000332</v>
          </cell>
        </row>
        <row r="2017">
          <cell r="A2017" t="str">
            <v>G.EQ.0000333</v>
          </cell>
        </row>
        <row r="2018">
          <cell r="A2018" t="str">
            <v>G.EQ.0000334</v>
          </cell>
        </row>
        <row r="2019">
          <cell r="A2019" t="str">
            <v>G.EQ.0000335</v>
          </cell>
        </row>
        <row r="2020">
          <cell r="A2020" t="str">
            <v>G.EQ.0000336</v>
          </cell>
        </row>
        <row r="2021">
          <cell r="A2021" t="str">
            <v>G.EQ.0000337</v>
          </cell>
        </row>
        <row r="2022">
          <cell r="A2022" t="str">
            <v>G.EQ.0000338</v>
          </cell>
        </row>
        <row r="2023">
          <cell r="A2023" t="str">
            <v>G.EQ.0000339</v>
          </cell>
        </row>
        <row r="2024">
          <cell r="A2024" t="str">
            <v>G.EQ.0000340</v>
          </cell>
        </row>
        <row r="2025">
          <cell r="A2025" t="str">
            <v>G.EQ.0000341</v>
          </cell>
        </row>
        <row r="2026">
          <cell r="A2026" t="str">
            <v>G.EQ.0000342</v>
          </cell>
        </row>
        <row r="2027">
          <cell r="A2027" t="str">
            <v>G.EQ.0000343</v>
          </cell>
        </row>
        <row r="2028">
          <cell r="A2028" t="str">
            <v>G.EQ.0000344</v>
          </cell>
        </row>
        <row r="2029">
          <cell r="A2029" t="str">
            <v>G.EQ.0000345</v>
          </cell>
        </row>
        <row r="2030">
          <cell r="A2030" t="str">
            <v>G.EQ.0000346</v>
          </cell>
        </row>
        <row r="2031">
          <cell r="A2031" t="str">
            <v>G.EQ.0000347</v>
          </cell>
        </row>
        <row r="2032">
          <cell r="A2032" t="str">
            <v>G.EQ.0000348</v>
          </cell>
        </row>
        <row r="2033">
          <cell r="A2033" t="str">
            <v>G.EQ.0000349</v>
          </cell>
        </row>
        <row r="2034">
          <cell r="A2034" t="str">
            <v>G.EQ.0000350</v>
          </cell>
        </row>
        <row r="2035">
          <cell r="A2035" t="str">
            <v>G.EQ.0000351</v>
          </cell>
        </row>
        <row r="2036">
          <cell r="A2036" t="str">
            <v>G.EQ.0000352</v>
          </cell>
        </row>
        <row r="2037">
          <cell r="A2037" t="str">
            <v>G.EQ.0000353</v>
          </cell>
        </row>
        <row r="2038">
          <cell r="A2038" t="str">
            <v>G.EQ.0000354</v>
          </cell>
        </row>
        <row r="2039">
          <cell r="A2039" t="str">
            <v>G.EQ.0000355</v>
          </cell>
        </row>
        <row r="2040">
          <cell r="A2040" t="str">
            <v>G.EQ.0000356</v>
          </cell>
        </row>
        <row r="2041">
          <cell r="A2041" t="str">
            <v>G.EQ.0000357</v>
          </cell>
        </row>
        <row r="2042">
          <cell r="A2042" t="str">
            <v>G.EQ.0000358</v>
          </cell>
        </row>
        <row r="2043">
          <cell r="A2043" t="str">
            <v>G.EQ.0000359</v>
          </cell>
        </row>
        <row r="2044">
          <cell r="A2044" t="str">
            <v>G.EQ.0000360</v>
          </cell>
        </row>
        <row r="2045">
          <cell r="A2045" t="str">
            <v>G.EQ.0000361</v>
          </cell>
        </row>
        <row r="2046">
          <cell r="A2046" t="str">
            <v>G.EQ.0000362</v>
          </cell>
        </row>
        <row r="2047">
          <cell r="A2047" t="str">
            <v>G.EQ.0000363</v>
          </cell>
        </row>
        <row r="2048">
          <cell r="A2048" t="str">
            <v>G.EQ.0000364</v>
          </cell>
        </row>
        <row r="2049">
          <cell r="A2049" t="str">
            <v>G.EQ.0000365</v>
          </cell>
        </row>
        <row r="2050">
          <cell r="A2050" t="str">
            <v>G.EQ.0000366</v>
          </cell>
        </row>
        <row r="2051">
          <cell r="A2051" t="str">
            <v>G.EQ.0000367</v>
          </cell>
        </row>
        <row r="2052">
          <cell r="A2052" t="str">
            <v>G.EQ.0000368</v>
          </cell>
        </row>
        <row r="2053">
          <cell r="A2053" t="str">
            <v>G.EQ.0000369</v>
          </cell>
        </row>
        <row r="2054">
          <cell r="A2054" t="str">
            <v>G.EQ.0000370</v>
          </cell>
        </row>
        <row r="2055">
          <cell r="A2055" t="str">
            <v>G.EQ.0000371</v>
          </cell>
        </row>
        <row r="2056">
          <cell r="A2056" t="str">
            <v>G.EQ.0000372</v>
          </cell>
        </row>
        <row r="2057">
          <cell r="A2057" t="str">
            <v>G.EQ.0000373</v>
          </cell>
        </row>
        <row r="2058">
          <cell r="A2058" t="str">
            <v>G.EQ.0000374</v>
          </cell>
        </row>
        <row r="2059">
          <cell r="A2059" t="str">
            <v>G.EQ.0000375</v>
          </cell>
        </row>
        <row r="2060">
          <cell r="A2060" t="str">
            <v>G.EQ.0000376</v>
          </cell>
        </row>
        <row r="2061">
          <cell r="A2061" t="str">
            <v>G.EQ.0000377</v>
          </cell>
        </row>
        <row r="2062">
          <cell r="A2062" t="str">
            <v>G.EQ.0000378</v>
          </cell>
        </row>
        <row r="2063">
          <cell r="A2063" t="str">
            <v>G.EQ.0000379</v>
          </cell>
        </row>
        <row r="2064">
          <cell r="A2064" t="str">
            <v>G.EQ.0000380</v>
          </cell>
        </row>
        <row r="2065">
          <cell r="A2065" t="str">
            <v>G.EQ.0000381</v>
          </cell>
        </row>
        <row r="2066">
          <cell r="A2066" t="str">
            <v>G.EQ.0000382</v>
          </cell>
        </row>
        <row r="2067">
          <cell r="A2067" t="str">
            <v>G.EQ.0000383</v>
          </cell>
        </row>
        <row r="2068">
          <cell r="A2068" t="str">
            <v>G.EQ.0000384</v>
          </cell>
        </row>
        <row r="2069">
          <cell r="A2069" t="str">
            <v>G.EQ.0000385</v>
          </cell>
        </row>
        <row r="2070">
          <cell r="A2070" t="str">
            <v>G.EQ.0000386</v>
          </cell>
        </row>
        <row r="2071">
          <cell r="A2071" t="str">
            <v>G.EQ.0000387</v>
          </cell>
        </row>
        <row r="2072">
          <cell r="A2072" t="str">
            <v>G.EQ.0000388</v>
          </cell>
        </row>
        <row r="2073">
          <cell r="A2073" t="str">
            <v>G.EQ.0000389</v>
          </cell>
        </row>
        <row r="2074">
          <cell r="A2074" t="str">
            <v>G.EQ.0000390</v>
          </cell>
        </row>
        <row r="2075">
          <cell r="A2075" t="str">
            <v>G.EQ.0000391</v>
          </cell>
        </row>
        <row r="2076">
          <cell r="A2076" t="str">
            <v>G.EQ.0000392</v>
          </cell>
        </row>
        <row r="2077">
          <cell r="A2077" t="str">
            <v>G.EQ.0000393</v>
          </cell>
        </row>
        <row r="2078">
          <cell r="A2078" t="str">
            <v>G.EQ.0000394</v>
          </cell>
        </row>
        <row r="2079">
          <cell r="A2079" t="str">
            <v>G.EQ.0000395</v>
          </cell>
        </row>
        <row r="2080">
          <cell r="A2080" t="str">
            <v>G.EQ.0000396</v>
          </cell>
        </row>
        <row r="2081">
          <cell r="A2081" t="str">
            <v>G.EQ.0000397</v>
          </cell>
        </row>
        <row r="2082">
          <cell r="A2082" t="str">
            <v>G.EQ.0000398</v>
          </cell>
        </row>
        <row r="2083">
          <cell r="A2083" t="str">
            <v>G.EQ.0000399</v>
          </cell>
        </row>
        <row r="2084">
          <cell r="A2084" t="str">
            <v>G.EQ.0000400</v>
          </cell>
        </row>
        <row r="2085">
          <cell r="A2085" t="str">
            <v>G.EQ.0000401</v>
          </cell>
        </row>
        <row r="2086">
          <cell r="A2086" t="str">
            <v>G.EQ.0000402</v>
          </cell>
        </row>
        <row r="2087">
          <cell r="A2087" t="str">
            <v>G.EQ.0000403</v>
          </cell>
        </row>
        <row r="2088">
          <cell r="A2088" t="str">
            <v>G.EQ.0000404</v>
          </cell>
        </row>
        <row r="2089">
          <cell r="A2089" t="str">
            <v>G.EQ.0000405</v>
          </cell>
        </row>
        <row r="2090">
          <cell r="A2090" t="str">
            <v>G.EQ.0000406</v>
          </cell>
        </row>
        <row r="2091">
          <cell r="A2091" t="str">
            <v>G.EQ.0000407</v>
          </cell>
        </row>
        <row r="2092">
          <cell r="A2092" t="str">
            <v>G.EQ.0000408</v>
          </cell>
        </row>
        <row r="2093">
          <cell r="A2093" t="str">
            <v>G.EQ.0000409</v>
          </cell>
        </row>
        <row r="2094">
          <cell r="A2094" t="str">
            <v>G.EQ.0000410</v>
          </cell>
        </row>
        <row r="2095">
          <cell r="A2095" t="str">
            <v>G.EQ.0000411</v>
          </cell>
        </row>
        <row r="2096">
          <cell r="A2096" t="str">
            <v>G.EQ.0000412</v>
          </cell>
        </row>
        <row r="2097">
          <cell r="A2097" t="str">
            <v>G.EQ.0000413</v>
          </cell>
        </row>
        <row r="2098">
          <cell r="A2098" t="str">
            <v>G.EQ.0000414</v>
          </cell>
        </row>
        <row r="2099">
          <cell r="A2099" t="str">
            <v>G.EQ.0000415</v>
          </cell>
        </row>
        <row r="2100">
          <cell r="A2100" t="str">
            <v>G.EQ.0000416</v>
          </cell>
        </row>
        <row r="2101">
          <cell r="A2101" t="str">
            <v>G.EQ.0000417</v>
          </cell>
        </row>
        <row r="2102">
          <cell r="A2102" t="str">
            <v>G.EQ.0000418</v>
          </cell>
        </row>
        <row r="2103">
          <cell r="A2103" t="str">
            <v>G.EQ.0000419</v>
          </cell>
        </row>
        <row r="2104">
          <cell r="A2104" t="str">
            <v>G.EQ.0000420</v>
          </cell>
        </row>
        <row r="2105">
          <cell r="A2105" t="str">
            <v>G.EQ.0000421</v>
          </cell>
        </row>
        <row r="2106">
          <cell r="A2106" t="str">
            <v>G.EQ.0000422</v>
          </cell>
        </row>
        <row r="2107">
          <cell r="A2107" t="str">
            <v>G.EQ.0000423</v>
          </cell>
        </row>
        <row r="2108">
          <cell r="A2108" t="str">
            <v>G.EQ.0000424</v>
          </cell>
        </row>
        <row r="2109">
          <cell r="A2109" t="str">
            <v>G.EQ.0000425</v>
          </cell>
        </row>
        <row r="2110">
          <cell r="A2110" t="str">
            <v>G.EQ.0000426</v>
          </cell>
        </row>
        <row r="2111">
          <cell r="A2111" t="str">
            <v>G.EQ.0000427</v>
          </cell>
        </row>
        <row r="2112">
          <cell r="A2112" t="str">
            <v>G.EQ.0000428</v>
          </cell>
        </row>
        <row r="2113">
          <cell r="A2113" t="str">
            <v>G.EQ.0000429</v>
          </cell>
        </row>
        <row r="2114">
          <cell r="A2114" t="str">
            <v>G.EQ.0000430</v>
          </cell>
        </row>
        <row r="2115">
          <cell r="A2115" t="str">
            <v>G.EQ.0000431</v>
          </cell>
        </row>
        <row r="2116">
          <cell r="A2116" t="str">
            <v>G.EQ.0000432</v>
          </cell>
        </row>
        <row r="2117">
          <cell r="A2117" t="str">
            <v>G.EQ.0000433</v>
          </cell>
        </row>
        <row r="2118">
          <cell r="A2118" t="str">
            <v>G.EQ.0000434</v>
          </cell>
        </row>
        <row r="2119">
          <cell r="A2119" t="str">
            <v>G.EQ.0000435</v>
          </cell>
        </row>
        <row r="2120">
          <cell r="A2120" t="str">
            <v>G.EQ.0000436</v>
          </cell>
        </row>
        <row r="2121">
          <cell r="A2121" t="str">
            <v>G.EQ.0000437</v>
          </cell>
        </row>
        <row r="2122">
          <cell r="A2122" t="str">
            <v>G.EQ.0000438</v>
          </cell>
        </row>
        <row r="2123">
          <cell r="A2123" t="str">
            <v>G.EQ.0000439</v>
          </cell>
        </row>
        <row r="2124">
          <cell r="A2124" t="str">
            <v>G.EQ.0000440</v>
          </cell>
        </row>
        <row r="2125">
          <cell r="A2125" t="str">
            <v>G.EQ.0000441</v>
          </cell>
        </row>
        <row r="2126">
          <cell r="A2126" t="str">
            <v>G.EQ.0000442</v>
          </cell>
        </row>
        <row r="2127">
          <cell r="A2127" t="str">
            <v>G.EQ.0000443</v>
          </cell>
        </row>
        <row r="2128">
          <cell r="A2128" t="str">
            <v>G.EQ.0000444</v>
          </cell>
        </row>
        <row r="2129">
          <cell r="A2129" t="str">
            <v>G.EQ.0000445</v>
          </cell>
        </row>
        <row r="2130">
          <cell r="A2130" t="str">
            <v>G.EQ.0000446</v>
          </cell>
        </row>
        <row r="2131">
          <cell r="A2131" t="str">
            <v>G.EQ.0000447</v>
          </cell>
        </row>
        <row r="2132">
          <cell r="A2132" t="str">
            <v>G.EQ.0000448</v>
          </cell>
        </row>
        <row r="2133">
          <cell r="A2133" t="str">
            <v>G.EQ.0000449</v>
          </cell>
        </row>
        <row r="2134">
          <cell r="A2134" t="str">
            <v>G.EQ.0000450</v>
          </cell>
        </row>
        <row r="2135">
          <cell r="A2135" t="str">
            <v>G.EQ.0000451</v>
          </cell>
        </row>
        <row r="2136">
          <cell r="A2136" t="str">
            <v>G.EQ.0000452</v>
          </cell>
        </row>
        <row r="2137">
          <cell r="A2137" t="str">
            <v>G.EQ.0000453</v>
          </cell>
        </row>
        <row r="2138">
          <cell r="A2138" t="str">
            <v>G.EQ.0000454</v>
          </cell>
        </row>
        <row r="2139">
          <cell r="A2139" t="str">
            <v>G.EQ.0000455</v>
          </cell>
        </row>
        <row r="2140">
          <cell r="A2140" t="str">
            <v>G.EQ.0000456</v>
          </cell>
        </row>
        <row r="2141">
          <cell r="A2141" t="str">
            <v>G.EQ.0000457</v>
          </cell>
        </row>
        <row r="2142">
          <cell r="A2142" t="str">
            <v>G.EQ.0000458</v>
          </cell>
        </row>
        <row r="2143">
          <cell r="A2143" t="str">
            <v>G.EQ.0000459</v>
          </cell>
        </row>
        <row r="2144">
          <cell r="A2144" t="str">
            <v>G.EQ.0000460</v>
          </cell>
        </row>
        <row r="2145">
          <cell r="A2145" t="str">
            <v>G.EQ.0000461</v>
          </cell>
        </row>
        <row r="2146">
          <cell r="A2146" t="str">
            <v>G.EQ.0000462</v>
          </cell>
        </row>
        <row r="2147">
          <cell r="A2147" t="str">
            <v>G.EQ.0000463</v>
          </cell>
        </row>
        <row r="2148">
          <cell r="A2148" t="str">
            <v>G.EQ.0000464</v>
          </cell>
        </row>
        <row r="2149">
          <cell r="A2149" t="str">
            <v>G.EQ.0000465</v>
          </cell>
        </row>
        <row r="2150">
          <cell r="A2150" t="str">
            <v>G.EQ.0000466</v>
          </cell>
        </row>
        <row r="2151">
          <cell r="A2151" t="str">
            <v>G.EQ.0000467</v>
          </cell>
        </row>
        <row r="2152">
          <cell r="A2152" t="str">
            <v>G.EQ.0000468</v>
          </cell>
        </row>
        <row r="2153">
          <cell r="A2153" t="str">
            <v>G.EQ.0000469</v>
          </cell>
        </row>
        <row r="2154">
          <cell r="A2154" t="str">
            <v>G.EQ.0000470</v>
          </cell>
        </row>
        <row r="2155">
          <cell r="A2155" t="str">
            <v>G.EQ.0000471</v>
          </cell>
        </row>
        <row r="2156">
          <cell r="A2156" t="str">
            <v>G.EQ.0000472</v>
          </cell>
        </row>
        <row r="2157">
          <cell r="A2157" t="str">
            <v>G.EQ.0000473</v>
          </cell>
        </row>
        <row r="2158">
          <cell r="A2158" t="str">
            <v>G.EQ.0000474</v>
          </cell>
        </row>
        <row r="2159">
          <cell r="A2159" t="str">
            <v>G.EQ.0000475</v>
          </cell>
        </row>
        <row r="2160">
          <cell r="A2160" t="str">
            <v>G.EQ.0000476</v>
          </cell>
        </row>
        <row r="2161">
          <cell r="A2161" t="str">
            <v>G.EQ.0000477</v>
          </cell>
        </row>
        <row r="2162">
          <cell r="A2162" t="str">
            <v>G.EQ.0000478</v>
          </cell>
        </row>
        <row r="2163">
          <cell r="A2163" t="str">
            <v>G.EQ.0000479</v>
          </cell>
        </row>
        <row r="2164">
          <cell r="A2164" t="str">
            <v>G.EQ.0000480</v>
          </cell>
        </row>
        <row r="2165">
          <cell r="A2165" t="str">
            <v>G.EQ.0000482</v>
          </cell>
        </row>
        <row r="2166">
          <cell r="A2166" t="str">
            <v>G.EQ.0000483</v>
          </cell>
        </row>
        <row r="2167">
          <cell r="A2167" t="str">
            <v>G.EQ.0000485</v>
          </cell>
        </row>
        <row r="2168">
          <cell r="A2168" t="str">
            <v>G.EQ.0000486</v>
          </cell>
        </row>
        <row r="2169">
          <cell r="A2169" t="str">
            <v>G.EQ.0000487</v>
          </cell>
        </row>
        <row r="2170">
          <cell r="A2170" t="str">
            <v>G.EQ.0000488</v>
          </cell>
        </row>
        <row r="2171">
          <cell r="A2171" t="str">
            <v>G.EQ.0000489</v>
          </cell>
        </row>
        <row r="2172">
          <cell r="A2172" t="str">
            <v>G.EQ.0000490</v>
          </cell>
        </row>
        <row r="2173">
          <cell r="A2173" t="str">
            <v>G.EQ.0000491</v>
          </cell>
        </row>
        <row r="2174">
          <cell r="A2174" t="str">
            <v>G.EQ.0000492</v>
          </cell>
        </row>
        <row r="2175">
          <cell r="A2175" t="str">
            <v>G.EQ.0000493</v>
          </cell>
        </row>
        <row r="2176">
          <cell r="A2176" t="str">
            <v>G.EQ.0000494</v>
          </cell>
        </row>
        <row r="2177">
          <cell r="A2177" t="str">
            <v>G.EQ.0000495</v>
          </cell>
        </row>
        <row r="2178">
          <cell r="A2178" t="str">
            <v>G.EQ.0000496</v>
          </cell>
        </row>
        <row r="2179">
          <cell r="A2179" t="str">
            <v>G.EQ.0000497</v>
          </cell>
        </row>
        <row r="2180">
          <cell r="A2180" t="str">
            <v>G.EQ.0000498</v>
          </cell>
        </row>
        <row r="2181">
          <cell r="A2181" t="str">
            <v>G.EQ.0000499</v>
          </cell>
        </row>
        <row r="2182">
          <cell r="A2182" t="str">
            <v>G.EQ.0000500</v>
          </cell>
        </row>
        <row r="2183">
          <cell r="A2183" t="str">
            <v>G.EQ.0000501</v>
          </cell>
        </row>
        <row r="2184">
          <cell r="A2184" t="str">
            <v>G.EQ.0000502</v>
          </cell>
        </row>
        <row r="2185">
          <cell r="A2185" t="str">
            <v>G.EQ.0000503</v>
          </cell>
        </row>
        <row r="2186">
          <cell r="A2186" t="str">
            <v>G.EQ.0000504</v>
          </cell>
        </row>
        <row r="2187">
          <cell r="A2187" t="str">
            <v>G.EQ.0000505</v>
          </cell>
        </row>
        <row r="2188">
          <cell r="A2188" t="str">
            <v>G.EQ.0000506</v>
          </cell>
        </row>
        <row r="2189">
          <cell r="A2189" t="str">
            <v>G.EQ.0000507</v>
          </cell>
        </row>
        <row r="2190">
          <cell r="A2190" t="str">
            <v>G.EQ.0000508</v>
          </cell>
        </row>
        <row r="2191">
          <cell r="A2191" t="str">
            <v>G.EQ.0000509</v>
          </cell>
        </row>
        <row r="2192">
          <cell r="A2192" t="str">
            <v>G.EQ.0000510</v>
          </cell>
        </row>
        <row r="2193">
          <cell r="A2193" t="str">
            <v>G.EQ.0000511</v>
          </cell>
        </row>
        <row r="2194">
          <cell r="A2194" t="str">
            <v>G.EQ.0000512</v>
          </cell>
        </row>
        <row r="2195">
          <cell r="A2195" t="str">
            <v>G.EQ.0000513</v>
          </cell>
        </row>
        <row r="2196">
          <cell r="A2196" t="str">
            <v>G.EQ.0000514</v>
          </cell>
        </row>
        <row r="2197">
          <cell r="A2197" t="str">
            <v>G.EQ.0000515</v>
          </cell>
        </row>
        <row r="2198">
          <cell r="A2198" t="str">
            <v>G.EQ.0000516</v>
          </cell>
        </row>
        <row r="2199">
          <cell r="A2199" t="str">
            <v>G.EQ.0000517</v>
          </cell>
        </row>
        <row r="2200">
          <cell r="A2200" t="str">
            <v>G.EQ.0000518</v>
          </cell>
        </row>
        <row r="2201">
          <cell r="A2201" t="str">
            <v>G.EQ.0000519</v>
          </cell>
        </row>
        <row r="2202">
          <cell r="A2202" t="str">
            <v>G.EQ.0000520</v>
          </cell>
        </row>
        <row r="2203">
          <cell r="A2203" t="str">
            <v>G.EQ.0000521</v>
          </cell>
        </row>
        <row r="2204">
          <cell r="A2204" t="str">
            <v>G.EQ.0000522</v>
          </cell>
        </row>
        <row r="2205">
          <cell r="A2205" t="str">
            <v>G.EQ.0000523</v>
          </cell>
        </row>
        <row r="2206">
          <cell r="A2206" t="str">
            <v>G.EQ.0000524</v>
          </cell>
        </row>
        <row r="2207">
          <cell r="A2207" t="str">
            <v>G.EQ.0000525</v>
          </cell>
        </row>
        <row r="2208">
          <cell r="A2208" t="str">
            <v>G.EQ.0000526</v>
          </cell>
        </row>
        <row r="2209">
          <cell r="A2209" t="str">
            <v>G.EQ.0000527</v>
          </cell>
        </row>
        <row r="2210">
          <cell r="A2210" t="str">
            <v>G.EQ.0000528</v>
          </cell>
        </row>
        <row r="2211">
          <cell r="A2211" t="str">
            <v>G.EQ.0000529</v>
          </cell>
        </row>
        <row r="2212">
          <cell r="A2212" t="str">
            <v>G.EQ.0000530</v>
          </cell>
        </row>
        <row r="2213">
          <cell r="A2213" t="str">
            <v>G.EQ.0000531</v>
          </cell>
        </row>
        <row r="2214">
          <cell r="A2214" t="str">
            <v>G.EQ.0000532</v>
          </cell>
        </row>
        <row r="2215">
          <cell r="A2215" t="str">
            <v>G.EQ.0000533</v>
          </cell>
        </row>
        <row r="2216">
          <cell r="A2216" t="str">
            <v>G.EQ.0000534</v>
          </cell>
        </row>
        <row r="2217">
          <cell r="A2217" t="str">
            <v>G.EQ.0000535</v>
          </cell>
        </row>
        <row r="2218">
          <cell r="A2218" t="str">
            <v>G.EQ.0000536</v>
          </cell>
        </row>
        <row r="2219">
          <cell r="A2219" t="str">
            <v>G.EQ.0000537</v>
          </cell>
        </row>
        <row r="2220">
          <cell r="A2220" t="str">
            <v>G.EQ.0000538</v>
          </cell>
        </row>
        <row r="2221">
          <cell r="A2221" t="str">
            <v>G.EQ.0000539</v>
          </cell>
        </row>
        <row r="2222">
          <cell r="A2222" t="str">
            <v>G.EQ.0000540</v>
          </cell>
        </row>
        <row r="2223">
          <cell r="A2223" t="str">
            <v>G.EQ.0000541</v>
          </cell>
        </row>
        <row r="2224">
          <cell r="A2224" t="str">
            <v>G.EQ.0000542</v>
          </cell>
        </row>
        <row r="2225">
          <cell r="A2225" t="str">
            <v>G.EQ.0000543</v>
          </cell>
        </row>
        <row r="2226">
          <cell r="A2226" t="str">
            <v>G.EQ.0000544</v>
          </cell>
        </row>
        <row r="2227">
          <cell r="A2227" t="str">
            <v>G.EQ.0000545</v>
          </cell>
        </row>
        <row r="2228">
          <cell r="A2228" t="str">
            <v>G.EQ.0000546</v>
          </cell>
        </row>
        <row r="2229">
          <cell r="A2229" t="str">
            <v>G.EQ.0000547</v>
          </cell>
        </row>
        <row r="2230">
          <cell r="A2230" t="str">
            <v>G.EQ.0000548</v>
          </cell>
        </row>
        <row r="2231">
          <cell r="A2231" t="str">
            <v>G.EQ.0000549</v>
          </cell>
        </row>
        <row r="2232">
          <cell r="A2232" t="str">
            <v>G.EQ.0000550</v>
          </cell>
        </row>
        <row r="2233">
          <cell r="A2233" t="str">
            <v>G.EQ.0000551</v>
          </cell>
        </row>
        <row r="2234">
          <cell r="A2234" t="str">
            <v>G.EQ.0000552</v>
          </cell>
        </row>
        <row r="2235">
          <cell r="A2235" t="str">
            <v>G.EQ.0000553</v>
          </cell>
        </row>
        <row r="2236">
          <cell r="A2236" t="str">
            <v>G.EQ.0000554</v>
          </cell>
        </row>
        <row r="2237">
          <cell r="A2237" t="str">
            <v>G.EQ.0000555</v>
          </cell>
        </row>
        <row r="2238">
          <cell r="A2238" t="str">
            <v>G.EQ.0000556</v>
          </cell>
        </row>
        <row r="2239">
          <cell r="A2239" t="str">
            <v>G.EQ.0000557</v>
          </cell>
        </row>
        <row r="2240">
          <cell r="A2240" t="str">
            <v>G.EQ.0000558</v>
          </cell>
        </row>
        <row r="2241">
          <cell r="A2241" t="str">
            <v>G.EQ.0000559</v>
          </cell>
        </row>
        <row r="2242">
          <cell r="A2242" t="str">
            <v>G.EQ.0000560</v>
          </cell>
        </row>
        <row r="2243">
          <cell r="A2243" t="str">
            <v>G.EQ.0000561</v>
          </cell>
        </row>
        <row r="2244">
          <cell r="A2244" t="str">
            <v>G.EQ.0000562</v>
          </cell>
        </row>
        <row r="2245">
          <cell r="A2245" t="str">
            <v>G.EQ.0000563</v>
          </cell>
        </row>
        <row r="2246">
          <cell r="A2246" t="str">
            <v>G.EQ.0000564</v>
          </cell>
        </row>
        <row r="2247">
          <cell r="A2247" t="str">
            <v>G.EQ.0000565</v>
          </cell>
        </row>
        <row r="2248">
          <cell r="A2248" t="str">
            <v>G.EQ.0000566</v>
          </cell>
        </row>
        <row r="2249">
          <cell r="A2249" t="str">
            <v>G.EQ.0000567</v>
          </cell>
        </row>
        <row r="2250">
          <cell r="A2250" t="str">
            <v>G.EQ.0000568</v>
          </cell>
        </row>
        <row r="2251">
          <cell r="A2251" t="str">
            <v>G.EQ.0000569</v>
          </cell>
        </row>
        <row r="2252">
          <cell r="A2252" t="str">
            <v>G.EQ.0000570</v>
          </cell>
        </row>
        <row r="2253">
          <cell r="A2253" t="str">
            <v>G.EQ.0000571</v>
          </cell>
        </row>
        <row r="2254">
          <cell r="A2254" t="str">
            <v>G.EQ.0000572</v>
          </cell>
        </row>
        <row r="2255">
          <cell r="A2255" t="str">
            <v>G.EQ.0000573</v>
          </cell>
        </row>
        <row r="2256">
          <cell r="A2256" t="str">
            <v>G.EQ.0000574</v>
          </cell>
        </row>
        <row r="2257">
          <cell r="A2257" t="str">
            <v>G.EQ.0000575</v>
          </cell>
        </row>
        <row r="2258">
          <cell r="A2258" t="str">
            <v>G.EQ.0000576</v>
          </cell>
        </row>
        <row r="2259">
          <cell r="A2259" t="str">
            <v>G.EQ.0000577</v>
          </cell>
        </row>
        <row r="2260">
          <cell r="A2260" t="str">
            <v>G.EQ.0000578</v>
          </cell>
        </row>
        <row r="2261">
          <cell r="A2261" t="str">
            <v>G.EQ.0000579</v>
          </cell>
        </row>
        <row r="2262">
          <cell r="A2262" t="str">
            <v>G.EQ.0000580</v>
          </cell>
        </row>
        <row r="2263">
          <cell r="A2263" t="str">
            <v>G.EQ.0000581</v>
          </cell>
        </row>
        <row r="2264">
          <cell r="A2264" t="str">
            <v>G.EQ.0000582</v>
          </cell>
        </row>
        <row r="2265">
          <cell r="A2265" t="str">
            <v>G.EQ.0000583</v>
          </cell>
        </row>
        <row r="2266">
          <cell r="A2266" t="str">
            <v>G.EQ.0000584</v>
          </cell>
        </row>
        <row r="2267">
          <cell r="A2267" t="str">
            <v>G.EQ.0000585</v>
          </cell>
        </row>
        <row r="2268">
          <cell r="A2268" t="str">
            <v>G.EQ.0000586</v>
          </cell>
        </row>
        <row r="2269">
          <cell r="A2269" t="str">
            <v>G.EQ.0000587</v>
          </cell>
        </row>
        <row r="2270">
          <cell r="A2270" t="str">
            <v>G.EQ.0000588</v>
          </cell>
        </row>
        <row r="2271">
          <cell r="A2271" t="str">
            <v>G.EQ.0000589</v>
          </cell>
        </row>
        <row r="2272">
          <cell r="A2272" t="str">
            <v>G.EQ.0000590</v>
          </cell>
        </row>
        <row r="2273">
          <cell r="A2273" t="str">
            <v>G.EQ.0000591</v>
          </cell>
        </row>
        <row r="2274">
          <cell r="A2274" t="str">
            <v>G.EQ.0000592</v>
          </cell>
        </row>
        <row r="2275">
          <cell r="A2275" t="str">
            <v>G.EQ.0000593</v>
          </cell>
        </row>
        <row r="2276">
          <cell r="A2276" t="str">
            <v>G.EQ.0000594</v>
          </cell>
        </row>
        <row r="2277">
          <cell r="A2277" t="str">
            <v>G.EQ.0000595</v>
          </cell>
        </row>
        <row r="2278">
          <cell r="A2278" t="str">
            <v>G.EQ.0000596</v>
          </cell>
        </row>
        <row r="2279">
          <cell r="A2279" t="str">
            <v>G.EQ.0000597</v>
          </cell>
        </row>
        <row r="2280">
          <cell r="A2280" t="str">
            <v>G.EQ.0000598</v>
          </cell>
        </row>
        <row r="2281">
          <cell r="A2281" t="str">
            <v>G.EQ.0000599</v>
          </cell>
        </row>
        <row r="2282">
          <cell r="A2282" t="str">
            <v>G.EQ.0000600</v>
          </cell>
        </row>
        <row r="2283">
          <cell r="A2283" t="str">
            <v>G.EQ.0000601</v>
          </cell>
        </row>
        <row r="2284">
          <cell r="A2284" t="str">
            <v>G.EQ.0000602</v>
          </cell>
        </row>
        <row r="2285">
          <cell r="A2285" t="str">
            <v>G.EQ.0000603</v>
          </cell>
        </row>
        <row r="2286">
          <cell r="A2286" t="str">
            <v>G.EQ.0000604</v>
          </cell>
        </row>
        <row r="2287">
          <cell r="A2287" t="str">
            <v>G.EQ.0000605</v>
          </cell>
        </row>
        <row r="2288">
          <cell r="A2288" t="str">
            <v>G.EQ.0000606</v>
          </cell>
        </row>
        <row r="2289">
          <cell r="A2289" t="str">
            <v>G.EQ.0000607</v>
          </cell>
        </row>
        <row r="2290">
          <cell r="A2290" t="str">
            <v>G.EQ.0000608</v>
          </cell>
        </row>
        <row r="2291">
          <cell r="A2291" t="str">
            <v>G.EQ.0000609</v>
          </cell>
        </row>
        <row r="2292">
          <cell r="A2292" t="str">
            <v>G.EQ.0000610</v>
          </cell>
        </row>
        <row r="2293">
          <cell r="A2293" t="str">
            <v>G.EQ.0000611</v>
          </cell>
        </row>
        <row r="2294">
          <cell r="A2294" t="str">
            <v>G.EQ.0000612</v>
          </cell>
        </row>
        <row r="2295">
          <cell r="A2295" t="str">
            <v>G.EQ.0000613</v>
          </cell>
        </row>
        <row r="2296">
          <cell r="A2296" t="str">
            <v>G.EQ.0000614</v>
          </cell>
        </row>
        <row r="2297">
          <cell r="A2297" t="str">
            <v>G.EQ.0000615</v>
          </cell>
        </row>
        <row r="2298">
          <cell r="A2298" t="str">
            <v>G.EQ.0000616</v>
          </cell>
        </row>
        <row r="2299">
          <cell r="A2299" t="str">
            <v>G.EQ.0000617</v>
          </cell>
        </row>
        <row r="2300">
          <cell r="A2300" t="str">
            <v>G.EQ.0000618</v>
          </cell>
        </row>
        <row r="2301">
          <cell r="A2301" t="str">
            <v>G.EQ.0000619</v>
          </cell>
        </row>
        <row r="2302">
          <cell r="A2302" t="str">
            <v>G.EQ.0000620</v>
          </cell>
        </row>
        <row r="2303">
          <cell r="A2303" t="str">
            <v>G.EQ.0000621</v>
          </cell>
        </row>
        <row r="2304">
          <cell r="A2304" t="str">
            <v>G.EQ.0000622</v>
          </cell>
        </row>
        <row r="2305">
          <cell r="A2305" t="str">
            <v>G.EQ.0000623</v>
          </cell>
        </row>
        <row r="2306">
          <cell r="A2306" t="str">
            <v>G.EQ.0000624</v>
          </cell>
        </row>
        <row r="2307">
          <cell r="A2307" t="str">
            <v>G.EQ.0000625</v>
          </cell>
        </row>
        <row r="2308">
          <cell r="A2308" t="str">
            <v>G.EQ.0000626</v>
          </cell>
        </row>
        <row r="2309">
          <cell r="A2309" t="str">
            <v>G.EQ.0000627</v>
          </cell>
        </row>
        <row r="2310">
          <cell r="A2310" t="str">
            <v>G.EQ.0000628</v>
          </cell>
        </row>
        <row r="2311">
          <cell r="A2311" t="str">
            <v>G.EQ.0000629</v>
          </cell>
        </row>
        <row r="2312">
          <cell r="A2312" t="str">
            <v>G.EQ.0000630</v>
          </cell>
        </row>
        <row r="2313">
          <cell r="A2313" t="str">
            <v>G.EQ.0000631</v>
          </cell>
        </row>
        <row r="2315">
          <cell r="A2315" t="str">
            <v>G.HO.0000001</v>
          </cell>
        </row>
        <row r="2316">
          <cell r="A2316" t="str">
            <v>G.HO.0000002</v>
          </cell>
        </row>
        <row r="2317">
          <cell r="A2317" t="str">
            <v>G.HO.0000003</v>
          </cell>
        </row>
        <row r="2318">
          <cell r="A2318" t="str">
            <v>G.HO.0000004</v>
          </cell>
        </row>
        <row r="2319">
          <cell r="A2319" t="str">
            <v>G.HO.0000005</v>
          </cell>
        </row>
        <row r="2320">
          <cell r="A2320" t="str">
            <v>G.HO.0000006</v>
          </cell>
        </row>
        <row r="2321">
          <cell r="A2321" t="str">
            <v>G.HO.0000007</v>
          </cell>
        </row>
        <row r="2322">
          <cell r="A2322" t="str">
            <v>G.HO.0000008</v>
          </cell>
        </row>
        <row r="2323">
          <cell r="A2323" t="str">
            <v>G.HO.0000009</v>
          </cell>
        </row>
        <row r="2324">
          <cell r="A2324" t="str">
            <v>G.HO.0000010</v>
          </cell>
        </row>
        <row r="2325">
          <cell r="A2325" t="str">
            <v>G.HO.0000011</v>
          </cell>
        </row>
        <row r="2326">
          <cell r="A2326" t="str">
            <v>G.HO.0000012</v>
          </cell>
        </row>
        <row r="2327">
          <cell r="A2327" t="str">
            <v>G.HO.0000013</v>
          </cell>
        </row>
        <row r="2328">
          <cell r="A2328" t="str">
            <v>G.HO.0000014</v>
          </cell>
        </row>
        <row r="2329">
          <cell r="A2329" t="str">
            <v>G.HO.0000015</v>
          </cell>
        </row>
        <row r="2330">
          <cell r="A2330" t="str">
            <v>G.HO.0000016</v>
          </cell>
        </row>
        <row r="2331">
          <cell r="A2331" t="str">
            <v>G.HO.0000017</v>
          </cell>
        </row>
        <row r="2332">
          <cell r="A2332" t="str">
            <v>G.HO.0000018</v>
          </cell>
        </row>
        <row r="2333">
          <cell r="A2333" t="str">
            <v>G.HO.0000019</v>
          </cell>
        </row>
        <row r="2334">
          <cell r="A2334" t="str">
            <v>G.HO.0000020</v>
          </cell>
        </row>
        <row r="2335">
          <cell r="A2335" t="str">
            <v>G.HO.0000021</v>
          </cell>
        </row>
        <row r="2336">
          <cell r="A2336" t="str">
            <v>G.HO.0000022</v>
          </cell>
        </row>
        <row r="2337">
          <cell r="A2337" t="str">
            <v>G.HO.0000023</v>
          </cell>
        </row>
        <row r="2338">
          <cell r="A2338" t="str">
            <v>G.HO.0000024</v>
          </cell>
        </row>
        <row r="2339">
          <cell r="A2339" t="str">
            <v>G.HO.0000025</v>
          </cell>
        </row>
        <row r="2340">
          <cell r="A2340" t="str">
            <v>G.HO.0000026</v>
          </cell>
        </row>
        <row r="2341">
          <cell r="A2341" t="str">
            <v>G.HO.0000027</v>
          </cell>
        </row>
        <row r="2342">
          <cell r="A2342" t="str">
            <v>G.HO.0000028</v>
          </cell>
        </row>
        <row r="2343">
          <cell r="A2343" t="str">
            <v>G.HO.0000029</v>
          </cell>
        </row>
        <row r="2344">
          <cell r="A2344" t="str">
            <v>G.HO.0000030</v>
          </cell>
        </row>
        <row r="2345">
          <cell r="A2345" t="str">
            <v>G.HO.0000031</v>
          </cell>
        </row>
        <row r="2346">
          <cell r="A2346" t="str">
            <v>G.HO.0000032</v>
          </cell>
        </row>
        <row r="2347">
          <cell r="A2347" t="str">
            <v>G.HO.0000033</v>
          </cell>
        </row>
        <row r="2348">
          <cell r="A2348" t="str">
            <v>G.HO.0000034</v>
          </cell>
        </row>
        <row r="2349">
          <cell r="A2349" t="str">
            <v>G.HO.0000035</v>
          </cell>
        </row>
        <row r="2350">
          <cell r="A2350" t="str">
            <v>G.HO.0000036</v>
          </cell>
        </row>
        <row r="2351">
          <cell r="A2351" t="str">
            <v>G.HO.0000037</v>
          </cell>
        </row>
        <row r="2352">
          <cell r="A2352" t="str">
            <v>G.HO.0000038</v>
          </cell>
        </row>
        <row r="2353">
          <cell r="A2353" t="str">
            <v>G.HO.0000039</v>
          </cell>
        </row>
        <row r="2354">
          <cell r="A2354" t="str">
            <v>G.HO.0000040</v>
          </cell>
        </row>
        <row r="2355">
          <cell r="A2355" t="str">
            <v>G.HO.0000041</v>
          </cell>
        </row>
        <row r="2356">
          <cell r="A2356" t="str">
            <v>G.HO.0000042</v>
          </cell>
        </row>
        <row r="2357">
          <cell r="A2357" t="str">
            <v>G.HO.0000043</v>
          </cell>
        </row>
        <row r="2358">
          <cell r="A2358" t="str">
            <v>G.HO.0000044</v>
          </cell>
        </row>
        <row r="2359">
          <cell r="A2359" t="str">
            <v>G.HO.0000045</v>
          </cell>
        </row>
        <row r="2360">
          <cell r="A2360" t="str">
            <v>G.HO.0000046</v>
          </cell>
        </row>
        <row r="2361">
          <cell r="A2361" t="str">
            <v>G.HO.0000047</v>
          </cell>
        </row>
        <row r="2362">
          <cell r="A2362" t="str">
            <v>G.HO.0000048</v>
          </cell>
        </row>
        <row r="2363">
          <cell r="A2363" t="str">
            <v>G.HO.0000049</v>
          </cell>
        </row>
        <row r="2364">
          <cell r="A2364" t="str">
            <v>G.HO.0000050</v>
          </cell>
        </row>
        <row r="2365">
          <cell r="A2365" t="str">
            <v>G.HO.0000051</v>
          </cell>
        </row>
        <row r="2366">
          <cell r="A2366" t="str">
            <v>G.HO.0000052</v>
          </cell>
        </row>
        <row r="2367">
          <cell r="A2367" t="str">
            <v>G.HO.0000053</v>
          </cell>
        </row>
        <row r="2368">
          <cell r="A2368" t="str">
            <v>G.HO.0000054</v>
          </cell>
        </row>
        <row r="2369">
          <cell r="A2369" t="str">
            <v>G.HO.0000055</v>
          </cell>
        </row>
        <row r="2370">
          <cell r="A2370" t="str">
            <v>G.HO.0000056</v>
          </cell>
        </row>
        <row r="2371">
          <cell r="A2371" t="str">
            <v>G.HO.0000057</v>
          </cell>
        </row>
        <row r="2372">
          <cell r="A2372" t="str">
            <v>G.HO.0000058</v>
          </cell>
        </row>
        <row r="2373">
          <cell r="A2373" t="str">
            <v>G.HO.0000059</v>
          </cell>
        </row>
        <row r="2374">
          <cell r="A2374" t="str">
            <v>G.HO.0000060</v>
          </cell>
        </row>
        <row r="2375">
          <cell r="A2375" t="str">
            <v>G.HO.0000061</v>
          </cell>
        </row>
        <row r="2376">
          <cell r="A2376" t="str">
            <v>G.HO.0000062</v>
          </cell>
        </row>
        <row r="2377">
          <cell r="A2377" t="str">
            <v>G.HO.0000063</v>
          </cell>
        </row>
        <row r="2378">
          <cell r="A2378" t="str">
            <v>G.HO.0000064</v>
          </cell>
        </row>
        <row r="2379">
          <cell r="A2379" t="str">
            <v>G.HO.0000065</v>
          </cell>
        </row>
        <row r="2380">
          <cell r="A2380" t="str">
            <v>G.HO.0000066</v>
          </cell>
        </row>
        <row r="2381">
          <cell r="A2381" t="str">
            <v>G.HO.0000067</v>
          </cell>
        </row>
        <row r="2382">
          <cell r="A2382" t="str">
            <v>G.HO.0000068</v>
          </cell>
        </row>
        <row r="2383">
          <cell r="A2383" t="str">
            <v>G.HO.0000069</v>
          </cell>
        </row>
        <row r="2384">
          <cell r="A2384" t="str">
            <v>G.HO.0000070</v>
          </cell>
        </row>
        <row r="2385">
          <cell r="A2385" t="str">
            <v>G.HO.0000071</v>
          </cell>
        </row>
        <row r="2386">
          <cell r="A2386" t="str">
            <v>G.HO.0000072</v>
          </cell>
        </row>
        <row r="2387">
          <cell r="A2387" t="str">
            <v>G.HO.0000073</v>
          </cell>
        </row>
        <row r="2388">
          <cell r="A2388" t="str">
            <v>G.HO.0000074</v>
          </cell>
        </row>
        <row r="2389">
          <cell r="A2389" t="str">
            <v>G.HO.0000075</v>
          </cell>
        </row>
        <row r="2390">
          <cell r="A2390" t="str">
            <v>G.HO.0000076</v>
          </cell>
        </row>
        <row r="2391">
          <cell r="A2391" t="str">
            <v>G.HO.0000077</v>
          </cell>
        </row>
        <row r="2392">
          <cell r="A2392" t="str">
            <v>G.HO.0000078</v>
          </cell>
        </row>
        <row r="2393">
          <cell r="A2393" t="str">
            <v>G.HO.0000079</v>
          </cell>
        </row>
        <row r="2394">
          <cell r="A2394" t="str">
            <v>G.HO.0000080</v>
          </cell>
        </row>
        <row r="2395">
          <cell r="A2395" t="str">
            <v>G.HO.0000081</v>
          </cell>
        </row>
        <row r="2396">
          <cell r="A2396" t="str">
            <v>G.HO.0000082</v>
          </cell>
        </row>
        <row r="2397">
          <cell r="A2397" t="str">
            <v>G.HO.0000083</v>
          </cell>
        </row>
        <row r="2398">
          <cell r="A2398" t="str">
            <v>G.HO.0000084</v>
          </cell>
        </row>
        <row r="2399">
          <cell r="A2399" t="str">
            <v>G.HO.0000085</v>
          </cell>
        </row>
        <row r="2400">
          <cell r="A2400" t="str">
            <v>G.HO.0000086</v>
          </cell>
        </row>
        <row r="2401">
          <cell r="A2401" t="str">
            <v>G.HO.0000087</v>
          </cell>
        </row>
        <row r="2402">
          <cell r="A2402" t="str">
            <v>G.HO.0000088</v>
          </cell>
        </row>
        <row r="2403">
          <cell r="A2403" t="str">
            <v>G.HO.0000089</v>
          </cell>
        </row>
        <row r="2404">
          <cell r="A2404" t="str">
            <v>G.HO.0000090</v>
          </cell>
        </row>
        <row r="2405">
          <cell r="A2405" t="str">
            <v>G.HO.0000091</v>
          </cell>
        </row>
        <row r="2406">
          <cell r="A2406" t="str">
            <v>G.HO.0000092</v>
          </cell>
        </row>
        <row r="2407">
          <cell r="A2407" t="str">
            <v>G.HO.0000093</v>
          </cell>
        </row>
        <row r="2408">
          <cell r="A2408" t="str">
            <v>G.HO.0000094</v>
          </cell>
        </row>
        <row r="2409">
          <cell r="A2409" t="str">
            <v>G.HO.0000095</v>
          </cell>
        </row>
        <row r="2410">
          <cell r="A2410" t="str">
            <v>G.HO.0000096</v>
          </cell>
        </row>
        <row r="2411">
          <cell r="A2411" t="str">
            <v>G.HO.0000097</v>
          </cell>
        </row>
        <row r="2412">
          <cell r="A2412" t="str">
            <v>G.HO.0000098</v>
          </cell>
        </row>
        <row r="2413">
          <cell r="A2413" t="str">
            <v>G.HO.0000099</v>
          </cell>
        </row>
        <row r="2414">
          <cell r="A2414" t="str">
            <v>G.HO.0000100</v>
          </cell>
        </row>
        <row r="2415">
          <cell r="A2415" t="str">
            <v>G.HO.0000101</v>
          </cell>
        </row>
        <row r="2416">
          <cell r="A2416" t="str">
            <v>G.HO.0000102</v>
          </cell>
        </row>
        <row r="2417">
          <cell r="A2417" t="str">
            <v>G.HO.0000103</v>
          </cell>
        </row>
        <row r="2418">
          <cell r="A2418" t="str">
            <v>G.HO.0000104</v>
          </cell>
        </row>
        <row r="2419">
          <cell r="A2419" t="str">
            <v>G.HO.0000105</v>
          </cell>
        </row>
        <row r="2420">
          <cell r="A2420" t="str">
            <v>G.HO.0000106</v>
          </cell>
        </row>
        <row r="2421">
          <cell r="A2421" t="str">
            <v>G.HO.0000107</v>
          </cell>
        </row>
        <row r="2422">
          <cell r="A2422" t="str">
            <v>G.HO.0000108</v>
          </cell>
        </row>
        <row r="2424">
          <cell r="A2424" t="str">
            <v>G.MD.0000001</v>
          </cell>
        </row>
        <row r="2425">
          <cell r="A2425" t="str">
            <v>G.MD.0000002</v>
          </cell>
        </row>
        <row r="2426">
          <cell r="A2426" t="str">
            <v>G.MD.0000003</v>
          </cell>
        </row>
        <row r="2427">
          <cell r="A2427" t="str">
            <v>G.MD.0000004</v>
          </cell>
        </row>
        <row r="2428">
          <cell r="A2428" t="str">
            <v>G.MD.0000005</v>
          </cell>
        </row>
        <row r="2429">
          <cell r="A2429" t="str">
            <v>G.MD.0000006</v>
          </cell>
        </row>
        <row r="2430">
          <cell r="A2430" t="str">
            <v>G.MD.0000007</v>
          </cell>
        </row>
        <row r="2431">
          <cell r="A2431" t="str">
            <v>G.MD.0000008</v>
          </cell>
        </row>
        <row r="2432">
          <cell r="A2432" t="str">
            <v>G.MD.0000009</v>
          </cell>
        </row>
        <row r="2433">
          <cell r="A2433" t="str">
            <v>G.MD.0000010</v>
          </cell>
        </row>
        <row r="2434">
          <cell r="A2434" t="str">
            <v>G.MD.0000011</v>
          </cell>
        </row>
        <row r="2435">
          <cell r="A2435" t="str">
            <v>G.MD.0000012</v>
          </cell>
        </row>
        <row r="2436">
          <cell r="A2436" t="str">
            <v>G.MD.0000013</v>
          </cell>
        </row>
        <row r="2437">
          <cell r="A2437" t="str">
            <v>G.MD.0000014</v>
          </cell>
        </row>
        <row r="2438">
          <cell r="A2438" t="str">
            <v>G.MD.0000015</v>
          </cell>
        </row>
        <row r="2439">
          <cell r="A2439" t="str">
            <v>G.MD.0000016</v>
          </cell>
        </row>
        <row r="2440">
          <cell r="A2440" t="str">
            <v>G.MD.0000017</v>
          </cell>
        </row>
        <row r="2441">
          <cell r="A2441" t="str">
            <v>G.MD.0000018</v>
          </cell>
        </row>
        <row r="2442">
          <cell r="A2442" t="str">
            <v>G.MD.0000019</v>
          </cell>
        </row>
        <row r="2443">
          <cell r="A2443" t="str">
            <v>G.MD.0000020</v>
          </cell>
        </row>
        <row r="2444">
          <cell r="A2444" t="str">
            <v>G.MD.0000021</v>
          </cell>
        </row>
        <row r="2445">
          <cell r="A2445" t="str">
            <v>G.MD.0000022</v>
          </cell>
        </row>
        <row r="2446">
          <cell r="A2446" t="str">
            <v>G.MD.0000023</v>
          </cell>
        </row>
        <row r="2447">
          <cell r="A2447" t="str">
            <v>G.MD.0000024</v>
          </cell>
        </row>
        <row r="2448">
          <cell r="A2448" t="str">
            <v>G.MD.0000025</v>
          </cell>
        </row>
        <row r="2449">
          <cell r="A2449" t="str">
            <v>G.MD.0000026</v>
          </cell>
        </row>
        <row r="2450">
          <cell r="A2450" t="str">
            <v>G.MD.0000027</v>
          </cell>
        </row>
        <row r="2451">
          <cell r="A2451" t="str">
            <v>G.MD.0000028</v>
          </cell>
        </row>
        <row r="2452">
          <cell r="A2452" t="str">
            <v>G.MD.0000029</v>
          </cell>
        </row>
        <row r="2453">
          <cell r="A2453" t="str">
            <v>G.MD.0000030</v>
          </cell>
        </row>
        <row r="2454">
          <cell r="A2454" t="str">
            <v>G.MD.0000031</v>
          </cell>
        </row>
        <row r="2455">
          <cell r="A2455" t="str">
            <v>G.MD.0000032</v>
          </cell>
        </row>
        <row r="2456">
          <cell r="A2456" t="str">
            <v>G.MD.0000033</v>
          </cell>
        </row>
        <row r="2457">
          <cell r="A2457" t="str">
            <v>G.MD.0000034</v>
          </cell>
        </row>
        <row r="2458">
          <cell r="A2458" t="str">
            <v>G.MD.0000035</v>
          </cell>
        </row>
        <row r="2459">
          <cell r="A2459" t="str">
            <v>G.MD.0000036</v>
          </cell>
        </row>
        <row r="2460">
          <cell r="A2460" t="str">
            <v>G.MD.0000037</v>
          </cell>
        </row>
        <row r="2461">
          <cell r="A2461" t="str">
            <v>G.MD.0000038</v>
          </cell>
        </row>
        <row r="2462">
          <cell r="A2462" t="str">
            <v>G.MD.0000039</v>
          </cell>
        </row>
        <row r="2463">
          <cell r="A2463" t="str">
            <v>G.MD.0000040</v>
          </cell>
        </row>
        <row r="2464">
          <cell r="A2464" t="str">
            <v>G.MD.0000041</v>
          </cell>
        </row>
        <row r="2465">
          <cell r="A2465" t="str">
            <v>G.MD.0000042</v>
          </cell>
        </row>
        <row r="2466">
          <cell r="A2466" t="str">
            <v>G.MD.0000043</v>
          </cell>
        </row>
        <row r="2467">
          <cell r="A2467" t="str">
            <v>G.MD.0000044</v>
          </cell>
        </row>
        <row r="2468">
          <cell r="A2468" t="str">
            <v>G.MD.0000045</v>
          </cell>
        </row>
        <row r="2469">
          <cell r="A2469" t="str">
            <v>G.MD.0000046</v>
          </cell>
        </row>
        <row r="2470">
          <cell r="A2470" t="str">
            <v>G.MD.0000047</v>
          </cell>
        </row>
        <row r="2471">
          <cell r="A2471" t="str">
            <v>G.MD.0000048</v>
          </cell>
        </row>
        <row r="2472">
          <cell r="A2472" t="str">
            <v>G.MD.0000049</v>
          </cell>
        </row>
        <row r="2473">
          <cell r="A2473" t="str">
            <v>G.MD.0000050</v>
          </cell>
        </row>
        <row r="2474">
          <cell r="A2474" t="str">
            <v>G.MD.0000051</v>
          </cell>
        </row>
        <row r="2475">
          <cell r="A2475" t="str">
            <v>G.MD.0000052</v>
          </cell>
        </row>
        <row r="2476">
          <cell r="A2476" t="str">
            <v>G.MD.0000053</v>
          </cell>
        </row>
        <row r="2477">
          <cell r="A2477" t="str">
            <v>G.MD.0000054</v>
          </cell>
        </row>
        <row r="2478">
          <cell r="A2478" t="str">
            <v>G.MD.0000055</v>
          </cell>
        </row>
        <row r="2479">
          <cell r="A2479" t="str">
            <v>G.MD.0000056</v>
          </cell>
        </row>
        <row r="2480">
          <cell r="A2480" t="str">
            <v>G.MD.0000057</v>
          </cell>
        </row>
        <row r="2481">
          <cell r="A2481" t="str">
            <v>G.MD.0000058</v>
          </cell>
        </row>
        <row r="2482">
          <cell r="A2482" t="str">
            <v>G.MD.0000059</v>
          </cell>
        </row>
        <row r="2483">
          <cell r="A2483" t="str">
            <v>G.MD.0000060</v>
          </cell>
        </row>
        <row r="2484">
          <cell r="A2484" t="str">
            <v>G.MD.0000061</v>
          </cell>
        </row>
        <row r="2485">
          <cell r="A2485" t="str">
            <v>G.MD.0000062</v>
          </cell>
        </row>
        <row r="2486">
          <cell r="A2486" t="str">
            <v>G.MD.0000063</v>
          </cell>
        </row>
        <row r="2487">
          <cell r="A2487" t="str">
            <v>G.MD.0000064</v>
          </cell>
        </row>
        <row r="2488">
          <cell r="A2488" t="str">
            <v>G.MD.0000065</v>
          </cell>
        </row>
        <row r="2489">
          <cell r="A2489" t="str">
            <v>G.MD.0000066</v>
          </cell>
        </row>
        <row r="2490">
          <cell r="A2490" t="str">
            <v>G.MD.0000067</v>
          </cell>
        </row>
        <row r="2491">
          <cell r="A2491" t="str">
            <v>G.MD.0000068</v>
          </cell>
        </row>
        <row r="2492">
          <cell r="A2492" t="str">
            <v>G.MD.0000069</v>
          </cell>
        </row>
        <row r="2493">
          <cell r="A2493" t="str">
            <v>G.MD.0000070</v>
          </cell>
        </row>
        <row r="2494">
          <cell r="A2494" t="str">
            <v>G.MD.0000071</v>
          </cell>
        </row>
        <row r="2495">
          <cell r="A2495" t="str">
            <v>G.MD.0000072</v>
          </cell>
        </row>
        <row r="2496">
          <cell r="A2496" t="str">
            <v>G.MD.0000073</v>
          </cell>
        </row>
        <row r="2497">
          <cell r="A2497" t="str">
            <v>G.MD.0000074</v>
          </cell>
        </row>
        <row r="2498">
          <cell r="A2498" t="str">
            <v>G.MD.0000075</v>
          </cell>
        </row>
        <row r="2499">
          <cell r="A2499" t="str">
            <v>G.MD.0000076</v>
          </cell>
        </row>
        <row r="2500">
          <cell r="A2500" t="str">
            <v>G.MD.0000077</v>
          </cell>
        </row>
        <row r="2501">
          <cell r="A2501" t="str">
            <v>G.MD.0000078</v>
          </cell>
        </row>
        <row r="2502">
          <cell r="A2502" t="str">
            <v>G.MD.0000079</v>
          </cell>
        </row>
        <row r="2503">
          <cell r="A2503" t="str">
            <v>G.MD.0000080</v>
          </cell>
        </row>
        <row r="2504">
          <cell r="A2504" t="str">
            <v>G.MD.0000081</v>
          </cell>
        </row>
        <row r="2505">
          <cell r="A2505" t="str">
            <v>G.MD.0000082</v>
          </cell>
        </row>
        <row r="2506">
          <cell r="A2506" t="str">
            <v>G.MD.0000083</v>
          </cell>
        </row>
        <row r="2507">
          <cell r="A2507" t="str">
            <v>G.MD.0000084</v>
          </cell>
        </row>
        <row r="2508">
          <cell r="A2508" t="str">
            <v>G.MD.0000085</v>
          </cell>
        </row>
        <row r="2509">
          <cell r="A2509" t="str">
            <v>G.MD.0000086</v>
          </cell>
        </row>
        <row r="2510">
          <cell r="A2510" t="str">
            <v>G.MD.0000087</v>
          </cell>
        </row>
        <row r="2511">
          <cell r="A2511" t="str">
            <v>G.MD.0000088</v>
          </cell>
        </row>
        <row r="2512">
          <cell r="A2512" t="str">
            <v>G.MD.0000089</v>
          </cell>
        </row>
        <row r="2513">
          <cell r="A2513" t="str">
            <v>G.MD.0000090</v>
          </cell>
        </row>
        <row r="2514">
          <cell r="A2514" t="str">
            <v>G.MD.0000091</v>
          </cell>
        </row>
        <row r="2515">
          <cell r="A2515" t="str">
            <v>G.MD.0000092</v>
          </cell>
        </row>
        <row r="2516">
          <cell r="A2516" t="str">
            <v>G.MD.0000093</v>
          </cell>
        </row>
        <row r="2517">
          <cell r="A2517" t="str">
            <v>G.MD.0000094</v>
          </cell>
        </row>
        <row r="2518">
          <cell r="A2518" t="str">
            <v>G.MD.0000095</v>
          </cell>
        </row>
        <row r="2519">
          <cell r="A2519" t="str">
            <v>G.MD.0000096</v>
          </cell>
        </row>
        <row r="2520">
          <cell r="A2520" t="str">
            <v>G.MD.0000097</v>
          </cell>
        </row>
        <row r="2521">
          <cell r="A2521" t="str">
            <v>G.MD.0000098</v>
          </cell>
        </row>
        <row r="2522">
          <cell r="A2522" t="str">
            <v>G.MD.0000099</v>
          </cell>
        </row>
        <row r="2524">
          <cell r="A2524" t="str">
            <v>G.SN.0000001</v>
          </cell>
        </row>
        <row r="2525">
          <cell r="A2525" t="str">
            <v>G.SN.0000002</v>
          </cell>
        </row>
        <row r="2526">
          <cell r="A2526" t="str">
            <v>G.SN.0000003</v>
          </cell>
        </row>
        <row r="2527">
          <cell r="A2527" t="str">
            <v>G.SN.0000004</v>
          </cell>
        </row>
        <row r="2528">
          <cell r="A2528" t="str">
            <v>G.SN.0000005</v>
          </cell>
        </row>
        <row r="2529">
          <cell r="A2529" t="str">
            <v>G.SN.0000006</v>
          </cell>
        </row>
        <row r="2530">
          <cell r="A2530" t="str">
            <v>G.SN.0000007</v>
          </cell>
        </row>
        <row r="2531">
          <cell r="A2531" t="str">
            <v>G.SN.0000008</v>
          </cell>
        </row>
        <row r="2532">
          <cell r="A2532" t="str">
            <v>G.SN.0000009</v>
          </cell>
        </row>
        <row r="2533">
          <cell r="A2533" t="str">
            <v>G.SN.0000010</v>
          </cell>
        </row>
        <row r="2534">
          <cell r="A2534" t="str">
            <v>G.SN.0000011</v>
          </cell>
        </row>
        <row r="2535">
          <cell r="A2535" t="str">
            <v>G.SN.0000012</v>
          </cell>
        </row>
        <row r="2536">
          <cell r="A2536" t="str">
            <v>G.SN.0000013</v>
          </cell>
        </row>
        <row r="2537">
          <cell r="A2537" t="str">
            <v>G.SN.0000014</v>
          </cell>
        </row>
        <row r="2538">
          <cell r="A2538" t="str">
            <v>G.SN.0000015</v>
          </cell>
        </row>
        <row r="2539">
          <cell r="A2539" t="str">
            <v>G.SN.0000016</v>
          </cell>
        </row>
        <row r="2540">
          <cell r="A2540" t="str">
            <v>G.SN.0000017</v>
          </cell>
        </row>
        <row r="2541">
          <cell r="A2541" t="str">
            <v>G.SN.0000018</v>
          </cell>
        </row>
        <row r="2542">
          <cell r="A2542" t="str">
            <v>G.SN.0000019</v>
          </cell>
        </row>
        <row r="2543">
          <cell r="A2543" t="str">
            <v>G.SN.0000020</v>
          </cell>
        </row>
        <row r="2544">
          <cell r="A2544" t="str">
            <v>G.SN.0000021</v>
          </cell>
        </row>
        <row r="2545">
          <cell r="A2545" t="str">
            <v>G.SN.0000022</v>
          </cell>
        </row>
        <row r="2546">
          <cell r="A2546" t="str">
            <v>G.SN.0000023</v>
          </cell>
        </row>
        <row r="2547">
          <cell r="A2547" t="str">
            <v>G.SN.0000024</v>
          </cell>
        </row>
        <row r="2548">
          <cell r="A2548" t="str">
            <v>G.SN.0000025</v>
          </cell>
        </row>
        <row r="2549">
          <cell r="A2549" t="str">
            <v>G.SN.0000026</v>
          </cell>
        </row>
        <row r="2550">
          <cell r="A2550" t="str">
            <v>G.SN.0000027</v>
          </cell>
        </row>
        <row r="2551">
          <cell r="A2551" t="str">
            <v>G.SN.0000028</v>
          </cell>
        </row>
        <row r="2552">
          <cell r="A2552" t="str">
            <v>G.SN.0000029</v>
          </cell>
        </row>
        <row r="2553">
          <cell r="A2553" t="str">
            <v>G.SN.0000030</v>
          </cell>
        </row>
        <row r="2554">
          <cell r="A2554" t="str">
            <v>G.SN.0000031</v>
          </cell>
        </row>
        <row r="2555">
          <cell r="A2555" t="str">
            <v>G.SN.0000032</v>
          </cell>
        </row>
        <row r="2556">
          <cell r="A2556" t="str">
            <v>G.SN.0000033</v>
          </cell>
        </row>
        <row r="2557">
          <cell r="A2557" t="str">
            <v>G.SN.0000034</v>
          </cell>
        </row>
        <row r="2558">
          <cell r="A2558" t="str">
            <v>G.SN.0000035</v>
          </cell>
        </row>
        <row r="2559">
          <cell r="A2559" t="str">
            <v>G.SN.0000036</v>
          </cell>
        </row>
        <row r="2560">
          <cell r="A2560" t="str">
            <v>G.SN.0000037</v>
          </cell>
        </row>
        <row r="2561">
          <cell r="A2561" t="str">
            <v>G.SN.0000038</v>
          </cell>
        </row>
        <row r="2562">
          <cell r="A2562" t="str">
            <v>G.SN.0000039</v>
          </cell>
        </row>
        <row r="2563">
          <cell r="A2563" t="str">
            <v>G.SN.0000040</v>
          </cell>
        </row>
        <row r="2564">
          <cell r="A2564" t="str">
            <v>G.SN.0000041</v>
          </cell>
        </row>
        <row r="2565">
          <cell r="A2565" t="str">
            <v>G.SN.0000042</v>
          </cell>
        </row>
        <row r="2566">
          <cell r="A2566" t="str">
            <v>G.SN.0000043</v>
          </cell>
        </row>
        <row r="2567">
          <cell r="A2567" t="str">
            <v>G.SN.0000044</v>
          </cell>
        </row>
        <row r="2568">
          <cell r="A2568" t="str">
            <v>G.SN.0000045</v>
          </cell>
        </row>
        <row r="2569">
          <cell r="A2569" t="str">
            <v>G.SN.0000046</v>
          </cell>
        </row>
        <row r="2570">
          <cell r="A2570" t="str">
            <v>G.SN.0000047</v>
          </cell>
        </row>
        <row r="2571">
          <cell r="A2571" t="str">
            <v>G.SN.0000048</v>
          </cell>
        </row>
        <row r="2572">
          <cell r="A2572" t="str">
            <v>G.SN.0000049</v>
          </cell>
        </row>
        <row r="2573">
          <cell r="A2573" t="str">
            <v>G.SN.0000050</v>
          </cell>
        </row>
        <row r="2574">
          <cell r="A2574" t="str">
            <v>G.SN.0000051</v>
          </cell>
        </row>
        <row r="2575">
          <cell r="A2575" t="str">
            <v>G.SN.0000052</v>
          </cell>
        </row>
        <row r="2576">
          <cell r="A2576" t="str">
            <v>G.SN.0000053</v>
          </cell>
        </row>
        <row r="2577">
          <cell r="A2577" t="str">
            <v>G.SN.0000054</v>
          </cell>
        </row>
        <row r="2578">
          <cell r="A2578" t="str">
            <v>G.SN.0000055</v>
          </cell>
        </row>
        <row r="2579">
          <cell r="A2579" t="str">
            <v>G.SN.0000056</v>
          </cell>
        </row>
        <row r="2580">
          <cell r="A2580" t="str">
            <v>G.SN.0000057</v>
          </cell>
        </row>
        <row r="2581">
          <cell r="A2581" t="str">
            <v>G.SN.0000058</v>
          </cell>
        </row>
        <row r="2582">
          <cell r="A2582" t="str">
            <v>G.SN.0000059</v>
          </cell>
        </row>
        <row r="2583">
          <cell r="A2583" t="str">
            <v>G.SN.0000060</v>
          </cell>
        </row>
        <row r="2584">
          <cell r="A2584" t="str">
            <v>G.SN.0000061</v>
          </cell>
        </row>
        <row r="2585">
          <cell r="A2585" t="str">
            <v>G.SN.0000062</v>
          </cell>
        </row>
        <row r="2586">
          <cell r="A2586" t="str">
            <v>G.SN.0000063</v>
          </cell>
        </row>
        <row r="2587">
          <cell r="A2587" t="str">
            <v>G.SN.0000064</v>
          </cell>
        </row>
        <row r="2588">
          <cell r="A2588" t="str">
            <v>G.SN.0000065</v>
          </cell>
        </row>
        <row r="2589">
          <cell r="A2589" t="str">
            <v>G.SN.0000066</v>
          </cell>
        </row>
        <row r="2590">
          <cell r="A2590" t="str">
            <v>G.SN.0000067</v>
          </cell>
        </row>
        <row r="2591">
          <cell r="A2591" t="str">
            <v>G.SN.0000068</v>
          </cell>
        </row>
        <row r="2592">
          <cell r="A2592" t="str">
            <v>G.SN.0000069</v>
          </cell>
        </row>
        <row r="2593">
          <cell r="A2593" t="str">
            <v>G.SN.0000070</v>
          </cell>
        </row>
        <row r="2594">
          <cell r="A2594" t="str">
            <v>G.SN.0000071</v>
          </cell>
        </row>
        <row r="2595">
          <cell r="A2595" t="str">
            <v>G.SN.0000072</v>
          </cell>
        </row>
        <row r="2596">
          <cell r="A2596" t="str">
            <v>G.SN.0000073</v>
          </cell>
        </row>
        <row r="2597">
          <cell r="A2597" t="str">
            <v>G.SN.0000074</v>
          </cell>
        </row>
        <row r="2598">
          <cell r="A2598" t="str">
            <v>G.SN.0000075</v>
          </cell>
        </row>
        <row r="2599">
          <cell r="A2599" t="str">
            <v>G.SN.0000076</v>
          </cell>
        </row>
        <row r="2600">
          <cell r="A2600" t="str">
            <v>G.SN.0000077</v>
          </cell>
        </row>
        <row r="2601">
          <cell r="A2601" t="str">
            <v>G.SN.0000078</v>
          </cell>
        </row>
        <row r="2602">
          <cell r="A2602" t="str">
            <v>G.SN.0000079</v>
          </cell>
        </row>
        <row r="2603">
          <cell r="A2603" t="str">
            <v>G.SN.0000080</v>
          </cell>
        </row>
        <row r="2604">
          <cell r="A2604" t="str">
            <v>G.SN.0000081</v>
          </cell>
        </row>
        <row r="2605">
          <cell r="A2605" t="str">
            <v>G.SN.0000082</v>
          </cell>
        </row>
        <row r="2606">
          <cell r="A2606" t="str">
            <v>G.SN.0000083</v>
          </cell>
        </row>
        <row r="2607">
          <cell r="A2607" t="str">
            <v>G.SN.0000084</v>
          </cell>
        </row>
        <row r="2608">
          <cell r="A2608" t="str">
            <v>G.SN.0000085</v>
          </cell>
        </row>
        <row r="2609">
          <cell r="A2609" t="str">
            <v>G.SN.0000086</v>
          </cell>
        </row>
        <row r="2610">
          <cell r="A2610" t="str">
            <v>G.SN.0000087</v>
          </cell>
        </row>
        <row r="2611">
          <cell r="A2611" t="str">
            <v>G.SN.0000088</v>
          </cell>
        </row>
        <row r="2612">
          <cell r="A2612" t="str">
            <v>G.SN.0000089</v>
          </cell>
        </row>
        <row r="2613">
          <cell r="A2613" t="str">
            <v>G.SN.0000090</v>
          </cell>
        </row>
        <row r="2614">
          <cell r="A2614" t="str">
            <v>G.SN.0000091</v>
          </cell>
        </row>
        <row r="2615">
          <cell r="A2615" t="str">
            <v>G.SN.0000092</v>
          </cell>
        </row>
        <row r="2616">
          <cell r="A2616" t="str">
            <v>G.SN.0000093</v>
          </cell>
        </row>
        <row r="2617">
          <cell r="A2617" t="str">
            <v>G.SN.0000094</v>
          </cell>
        </row>
        <row r="2618">
          <cell r="A2618" t="str">
            <v>G.SN.0000095</v>
          </cell>
        </row>
        <row r="2619">
          <cell r="A2619" t="str">
            <v>G.SN.0000096</v>
          </cell>
        </row>
        <row r="2620">
          <cell r="A2620" t="str">
            <v>G.SN.0000097</v>
          </cell>
        </row>
        <row r="2621">
          <cell r="A2621" t="str">
            <v>G.SN.0000098</v>
          </cell>
        </row>
        <row r="2622">
          <cell r="A2622" t="str">
            <v>G.SN.0000099</v>
          </cell>
        </row>
        <row r="2623">
          <cell r="A2623" t="str">
            <v>G.SN.0000100</v>
          </cell>
        </row>
        <row r="2624">
          <cell r="A2624" t="str">
            <v>G.SN.0000101</v>
          </cell>
        </row>
        <row r="2625">
          <cell r="A2625" t="str">
            <v>G.SN.0000102</v>
          </cell>
        </row>
        <row r="2626">
          <cell r="A2626" t="str">
            <v>G.SN.0000103</v>
          </cell>
        </row>
        <row r="2627">
          <cell r="A2627" t="str">
            <v>G.SN.0000104</v>
          </cell>
        </row>
        <row r="2628">
          <cell r="A2628" t="str">
            <v>G.SN.0000105</v>
          </cell>
        </row>
        <row r="2629">
          <cell r="A2629" t="str">
            <v>G.SN.0000106</v>
          </cell>
        </row>
        <row r="2630">
          <cell r="A2630" t="str">
            <v>G.SN.0000107</v>
          </cell>
        </row>
        <row r="2631">
          <cell r="A2631" t="str">
            <v>G.SN.0000108</v>
          </cell>
        </row>
        <row r="2632">
          <cell r="A2632" t="str">
            <v>G.SN.0000109</v>
          </cell>
        </row>
        <row r="2633">
          <cell r="A2633" t="str">
            <v>G.SN.0000110</v>
          </cell>
        </row>
        <row r="2634">
          <cell r="A2634" t="str">
            <v>G.SN.0000111</v>
          </cell>
        </row>
        <row r="2635">
          <cell r="A2635" t="str">
            <v>G.SN.0000112</v>
          </cell>
        </row>
        <row r="2636">
          <cell r="A2636" t="str">
            <v>G.SN.0000113</v>
          </cell>
        </row>
        <row r="2637">
          <cell r="A2637" t="str">
            <v>G.SN.0000114</v>
          </cell>
        </row>
        <row r="2638">
          <cell r="A2638" t="str">
            <v>G.SN.0000115</v>
          </cell>
        </row>
        <row r="2639">
          <cell r="A2639" t="str">
            <v>G.SN.0000116</v>
          </cell>
        </row>
        <row r="2640">
          <cell r="A2640" t="str">
            <v>G.SN.0000117</v>
          </cell>
        </row>
        <row r="2641">
          <cell r="A2641" t="str">
            <v>G.SN.0000118</v>
          </cell>
        </row>
        <row r="2642">
          <cell r="A2642" t="str">
            <v>G.SN.0000119</v>
          </cell>
        </row>
        <row r="2643">
          <cell r="A2643" t="str">
            <v>G.SN.0000120</v>
          </cell>
        </row>
        <row r="2644">
          <cell r="A2644" t="str">
            <v>G.SN.0000121</v>
          </cell>
        </row>
        <row r="2645">
          <cell r="A2645" t="str">
            <v>G.SN.0000122</v>
          </cell>
        </row>
        <row r="2646">
          <cell r="A2646" t="str">
            <v>G.SN.0000123</v>
          </cell>
        </row>
        <row r="2647">
          <cell r="A2647" t="str">
            <v>G.SN.0000124</v>
          </cell>
        </row>
        <row r="2648">
          <cell r="A2648" t="str">
            <v>G.SN.0000125</v>
          </cell>
        </row>
        <row r="2649">
          <cell r="A2649" t="str">
            <v>G.SN.0000126</v>
          </cell>
        </row>
        <row r="2650">
          <cell r="A2650" t="str">
            <v>G.SN.0000127</v>
          </cell>
        </row>
        <row r="2651">
          <cell r="A2651" t="str">
            <v>G.SN.0000128</v>
          </cell>
        </row>
        <row r="2652">
          <cell r="A2652" t="str">
            <v>G.SN.0000129</v>
          </cell>
        </row>
        <row r="2654">
          <cell r="A2654" t="str">
            <v>G.ST.0000002</v>
          </cell>
        </row>
        <row r="2655">
          <cell r="A2655" t="str">
            <v>G.ST.0000003</v>
          </cell>
        </row>
        <row r="2656">
          <cell r="A2656" t="str">
            <v>G.ST.0000004</v>
          </cell>
        </row>
        <row r="2657">
          <cell r="A2657" t="str">
            <v>G.ST.0000005</v>
          </cell>
        </row>
        <row r="2658">
          <cell r="A2658" t="str">
            <v>G.ST.0000007</v>
          </cell>
        </row>
        <row r="2659">
          <cell r="A2659" t="str">
            <v>G.ST.0000008</v>
          </cell>
        </row>
        <row r="2660">
          <cell r="A2660" t="str">
            <v>G.ST.0000009</v>
          </cell>
        </row>
        <row r="2661">
          <cell r="A2661" t="str">
            <v>G.ST.0000011</v>
          </cell>
        </row>
        <row r="2662">
          <cell r="A2662" t="str">
            <v>G.ST.0000018</v>
          </cell>
        </row>
        <row r="2663">
          <cell r="A2663" t="str">
            <v>G.ST.0000019</v>
          </cell>
        </row>
        <row r="2664">
          <cell r="A2664" t="str">
            <v>G.ST.0000020</v>
          </cell>
        </row>
        <row r="2665">
          <cell r="A2665" t="str">
            <v>G.ST.0000021</v>
          </cell>
        </row>
        <row r="2666">
          <cell r="A2666" t="str">
            <v>G.ST.0000024</v>
          </cell>
        </row>
        <row r="2667">
          <cell r="A2667" t="str">
            <v>G.ST.0000026</v>
          </cell>
        </row>
        <row r="2668">
          <cell r="A2668" t="str">
            <v>G.ST.0000028</v>
          </cell>
        </row>
        <row r="2669">
          <cell r="A2669" t="str">
            <v>G.ST.0000032</v>
          </cell>
        </row>
        <row r="2670">
          <cell r="A2670" t="str">
            <v>G.ST.0000035</v>
          </cell>
        </row>
        <row r="2671">
          <cell r="A2671" t="str">
            <v>G.ST.0000036</v>
          </cell>
        </row>
        <row r="2672">
          <cell r="A2672" t="str">
            <v>G.ST.0000037</v>
          </cell>
        </row>
        <row r="2673">
          <cell r="A2673" t="str">
            <v>G.ST.0000038</v>
          </cell>
        </row>
        <row r="2674">
          <cell r="A2674" t="str">
            <v>G.ST.0000040</v>
          </cell>
        </row>
        <row r="2675">
          <cell r="A2675" t="str">
            <v>G.ST.0000044</v>
          </cell>
        </row>
        <row r="2676">
          <cell r="A2676" t="str">
            <v>G.ST.0000046</v>
          </cell>
        </row>
        <row r="2677">
          <cell r="A2677" t="str">
            <v>G.ST.0000049</v>
          </cell>
        </row>
        <row r="2678">
          <cell r="A2678" t="str">
            <v>G.ST.0000050</v>
          </cell>
        </row>
        <row r="2679">
          <cell r="A2679" t="str">
            <v>G.ST.0000053</v>
          </cell>
        </row>
        <row r="2680">
          <cell r="A2680" t="str">
            <v>G.ST.0000054</v>
          </cell>
        </row>
        <row r="2681">
          <cell r="A2681" t="str">
            <v>G.ST.0000055</v>
          </cell>
        </row>
        <row r="2682">
          <cell r="A2682" t="str">
            <v>G.ST.0000056</v>
          </cell>
        </row>
        <row r="2683">
          <cell r="A2683" t="str">
            <v>G.ST.0000057</v>
          </cell>
        </row>
        <row r="2684">
          <cell r="A2684" t="str">
            <v>G.ST.0000058</v>
          </cell>
        </row>
        <row r="2685">
          <cell r="A2685" t="str">
            <v>G.ST.0000059</v>
          </cell>
        </row>
        <row r="2686">
          <cell r="A2686" t="str">
            <v>G.ST.0000060</v>
          </cell>
        </row>
        <row r="2687">
          <cell r="A2687" t="str">
            <v>G.ST.0000062</v>
          </cell>
        </row>
        <row r="2688">
          <cell r="A2688" t="str">
            <v>G.ST.0000068</v>
          </cell>
        </row>
        <row r="2689">
          <cell r="A2689" t="str">
            <v>G.ST.0000069</v>
          </cell>
        </row>
        <row r="2690">
          <cell r="A2690" t="str">
            <v>G.ST.0000072</v>
          </cell>
        </row>
        <row r="2691">
          <cell r="A2691" t="str">
            <v>G.ST.0000074</v>
          </cell>
        </row>
        <row r="2692">
          <cell r="A2692" t="str">
            <v>G.ST.0000075</v>
          </cell>
        </row>
        <row r="2693">
          <cell r="A2693" t="str">
            <v>G.ST.0000076</v>
          </cell>
        </row>
        <row r="2694">
          <cell r="A2694" t="str">
            <v>G.ST.0000077</v>
          </cell>
        </row>
        <row r="2695">
          <cell r="A2695" t="str">
            <v>G.ST.0000078</v>
          </cell>
        </row>
        <row r="2696">
          <cell r="A2696" t="str">
            <v>G.ST.0000079</v>
          </cell>
        </row>
        <row r="2697">
          <cell r="A2697" t="str">
            <v>G.ST.0000080</v>
          </cell>
        </row>
        <row r="2698">
          <cell r="A2698" t="str">
            <v>G.ST.0000081</v>
          </cell>
        </row>
        <row r="2699">
          <cell r="A2699" t="str">
            <v>G.ST.0000085</v>
          </cell>
        </row>
        <row r="2700">
          <cell r="A2700" t="str">
            <v>G.ST.0000086</v>
          </cell>
        </row>
        <row r="2701">
          <cell r="A2701" t="str">
            <v>G.ST.0000087</v>
          </cell>
        </row>
        <row r="2702">
          <cell r="A2702" t="str">
            <v>G.ST.0000088</v>
          </cell>
        </row>
        <row r="2703">
          <cell r="A2703" t="str">
            <v>G.ST.0000089</v>
          </cell>
        </row>
        <row r="2704">
          <cell r="A2704" t="str">
            <v>G.ST.0000090</v>
          </cell>
        </row>
        <row r="2705">
          <cell r="A2705" t="str">
            <v>G.ST.0000091</v>
          </cell>
        </row>
        <row r="2706">
          <cell r="A2706" t="str">
            <v>G.ST.0000092</v>
          </cell>
        </row>
        <row r="2707">
          <cell r="A2707" t="str">
            <v>G.ST.0000093</v>
          </cell>
        </row>
        <row r="2708">
          <cell r="A2708" t="str">
            <v>G.ST.0000094</v>
          </cell>
        </row>
        <row r="2709">
          <cell r="A2709" t="str">
            <v>G.ST.0000095</v>
          </cell>
        </row>
        <row r="2710">
          <cell r="A2710" t="str">
            <v>G.ST.0000097</v>
          </cell>
        </row>
        <row r="2711">
          <cell r="A2711" t="str">
            <v>G.ST.0000098</v>
          </cell>
        </row>
        <row r="2712">
          <cell r="A2712" t="str">
            <v>G.ST.0000104</v>
          </cell>
        </row>
        <row r="2713">
          <cell r="A2713" t="str">
            <v>G.ST.0000112</v>
          </cell>
        </row>
        <row r="2714">
          <cell r="A2714" t="str">
            <v>G.ST.0000113</v>
          </cell>
        </row>
        <row r="2715">
          <cell r="A2715" t="str">
            <v>G.ST.0000114</v>
          </cell>
        </row>
        <row r="2716">
          <cell r="A2716" t="str">
            <v>G.ST.0000115</v>
          </cell>
        </row>
        <row r="2717">
          <cell r="A2717" t="str">
            <v>G.ST.0000116</v>
          </cell>
        </row>
        <row r="2718">
          <cell r="A2718" t="str">
            <v>G.ST.0000117</v>
          </cell>
        </row>
        <row r="2719">
          <cell r="A2719" t="str">
            <v>G.ST.0000122</v>
          </cell>
        </row>
        <row r="2720">
          <cell r="A2720" t="str">
            <v>G.ST.0000123</v>
          </cell>
        </row>
        <row r="2721">
          <cell r="A2721" t="str">
            <v>G.ST.0000124</v>
          </cell>
        </row>
        <row r="2722">
          <cell r="A2722" t="str">
            <v>G.ST.0000132</v>
          </cell>
        </row>
        <row r="2723">
          <cell r="A2723" t="str">
            <v>G.ST.0000133</v>
          </cell>
        </row>
        <row r="2724">
          <cell r="A2724" t="str">
            <v>G.ST.0000138</v>
          </cell>
        </row>
        <row r="2725">
          <cell r="A2725" t="str">
            <v>G.ST.0000139</v>
          </cell>
        </row>
        <row r="2726">
          <cell r="A2726" t="str">
            <v>G.ST.0000141</v>
          </cell>
        </row>
        <row r="2727">
          <cell r="A2727" t="str">
            <v>G.ST.0000143</v>
          </cell>
        </row>
        <row r="2728">
          <cell r="A2728" t="str">
            <v>G.ST.0000144</v>
          </cell>
        </row>
        <row r="2729">
          <cell r="A2729" t="str">
            <v>G.ST.0000145</v>
          </cell>
        </row>
        <row r="2730">
          <cell r="A2730" t="str">
            <v>G.ST.0000146</v>
          </cell>
        </row>
        <row r="2731">
          <cell r="A2731" t="str">
            <v>G.ST.0000147</v>
          </cell>
        </row>
        <row r="2732">
          <cell r="A2732" t="str">
            <v>G.ST.0000148</v>
          </cell>
        </row>
        <row r="2733">
          <cell r="A2733" t="str">
            <v>G.ST.0000149</v>
          </cell>
        </row>
        <row r="2734">
          <cell r="A2734" t="str">
            <v>G.ST.0000150</v>
          </cell>
        </row>
        <row r="2735">
          <cell r="A2735" t="str">
            <v>G.ST.0000151</v>
          </cell>
        </row>
        <row r="2736">
          <cell r="A2736" t="str">
            <v>G.ST.0000152</v>
          </cell>
        </row>
        <row r="2737">
          <cell r="A2737" t="str">
            <v>G.ST.0000154</v>
          </cell>
        </row>
        <row r="2738">
          <cell r="A2738" t="str">
            <v>G.ST.0000157</v>
          </cell>
        </row>
        <row r="2739">
          <cell r="A2739" t="str">
            <v>G.ST.0000167</v>
          </cell>
        </row>
        <row r="2740">
          <cell r="A2740" t="str">
            <v>G.ST.0000169</v>
          </cell>
        </row>
        <row r="2741">
          <cell r="A2741" t="str">
            <v>G.ST.0000170</v>
          </cell>
        </row>
        <row r="2742">
          <cell r="A2742" t="str">
            <v>G.ST.0000172</v>
          </cell>
        </row>
        <row r="2743">
          <cell r="A2743" t="str">
            <v>G.ST.0000173</v>
          </cell>
        </row>
        <row r="2744">
          <cell r="A2744" t="str">
            <v>G.ST.0000174</v>
          </cell>
        </row>
        <row r="2745">
          <cell r="A2745" t="str">
            <v>G.ST.0000176</v>
          </cell>
        </row>
        <row r="2746">
          <cell r="A2746" t="str">
            <v>G.ST.0000177</v>
          </cell>
        </row>
        <row r="2747">
          <cell r="A2747" t="str">
            <v>G.ST.0000178</v>
          </cell>
        </row>
        <row r="2748">
          <cell r="A2748" t="str">
            <v>G.ST.0000179</v>
          </cell>
        </row>
        <row r="2749">
          <cell r="A2749" t="str">
            <v>G.ST.0000180</v>
          </cell>
        </row>
        <row r="2750">
          <cell r="A2750" t="str">
            <v>G.ST.0000181</v>
          </cell>
        </row>
        <row r="2751">
          <cell r="A2751" t="str">
            <v>G.ST.0000182</v>
          </cell>
        </row>
        <row r="2752">
          <cell r="A2752" t="str">
            <v>G.ST.0000183</v>
          </cell>
        </row>
        <row r="2753">
          <cell r="A2753" t="str">
            <v>G.ST.0000184</v>
          </cell>
        </row>
        <row r="2754">
          <cell r="A2754" t="str">
            <v>G.ST.0000185</v>
          </cell>
        </row>
        <row r="2755">
          <cell r="A2755" t="str">
            <v>G.ST.0000187</v>
          </cell>
        </row>
        <row r="2756">
          <cell r="A2756" t="str">
            <v>G.ST.0000188</v>
          </cell>
        </row>
        <row r="2757">
          <cell r="A2757" t="str">
            <v>G.ST.0000189</v>
          </cell>
        </row>
        <row r="2758">
          <cell r="A2758" t="str">
            <v>G.ST.0000190</v>
          </cell>
        </row>
        <row r="2759">
          <cell r="A2759" t="str">
            <v>G.ST.0000191</v>
          </cell>
        </row>
        <row r="2760">
          <cell r="A2760" t="str">
            <v>G.ST.0000196</v>
          </cell>
        </row>
        <row r="2761">
          <cell r="A2761" t="str">
            <v>G.ST.0000199</v>
          </cell>
        </row>
        <row r="2762">
          <cell r="A2762" t="str">
            <v>G.ST.0000200</v>
          </cell>
        </row>
        <row r="2763">
          <cell r="A2763" t="str">
            <v>G.ST.0000205</v>
          </cell>
        </row>
        <row r="2764">
          <cell r="A2764" t="str">
            <v>G.ST.0000212</v>
          </cell>
        </row>
        <row r="2765">
          <cell r="A2765" t="str">
            <v>G.ST.0000213</v>
          </cell>
        </row>
        <row r="2766">
          <cell r="A2766" t="str">
            <v>G.ST.0000216</v>
          </cell>
        </row>
        <row r="2767">
          <cell r="A2767" t="str">
            <v>G.ST.0000217</v>
          </cell>
        </row>
        <row r="2768">
          <cell r="A2768" t="str">
            <v>G.ST.0000228</v>
          </cell>
        </row>
        <row r="2769">
          <cell r="A2769" t="str">
            <v>G.ST.0000230</v>
          </cell>
        </row>
        <row r="2770">
          <cell r="A2770" t="str">
            <v>G.ST.0000242</v>
          </cell>
        </row>
        <row r="2771">
          <cell r="A2771" t="str">
            <v>G.ST.0000246</v>
          </cell>
        </row>
        <row r="2772">
          <cell r="A2772" t="str">
            <v>G.ST.0000257</v>
          </cell>
        </row>
        <row r="2773">
          <cell r="A2773" t="str">
            <v>G.ST.0000266</v>
          </cell>
        </row>
        <row r="2774">
          <cell r="A2774" t="str">
            <v>G.ST.0000274</v>
          </cell>
        </row>
        <row r="2775">
          <cell r="A2775" t="str">
            <v>G.ST.0000277</v>
          </cell>
        </row>
        <row r="2776">
          <cell r="A2776" t="str">
            <v>G.ST.0000279</v>
          </cell>
        </row>
        <row r="2777">
          <cell r="A2777" t="str">
            <v>G.ST.0000282</v>
          </cell>
        </row>
        <row r="2778">
          <cell r="A2778" t="str">
            <v>G.ST.0000284</v>
          </cell>
        </row>
        <row r="2779">
          <cell r="A2779" t="str">
            <v>G.ST.0000285</v>
          </cell>
        </row>
        <row r="2780">
          <cell r="A2780" t="str">
            <v>G.ST.0000295</v>
          </cell>
        </row>
        <row r="2781">
          <cell r="A2781" t="str">
            <v>G.ST.0000316</v>
          </cell>
        </row>
        <row r="2782">
          <cell r="A2782" t="str">
            <v>G.ST.0000332</v>
          </cell>
        </row>
        <row r="2783">
          <cell r="A2783" t="str">
            <v>G.ST.0000333</v>
          </cell>
        </row>
        <row r="2784">
          <cell r="A2784" t="str">
            <v>G.ST.0000334</v>
          </cell>
        </row>
        <row r="2785">
          <cell r="A2785" t="str">
            <v>G.ST.0000335</v>
          </cell>
        </row>
        <row r="2786">
          <cell r="A2786" t="str">
            <v>G.ST.0000336</v>
          </cell>
        </row>
        <row r="2787">
          <cell r="A2787" t="str">
            <v>G.ST.0000337</v>
          </cell>
        </row>
        <row r="2788">
          <cell r="A2788" t="str">
            <v>G.ST.0000338</v>
          </cell>
        </row>
        <row r="2789">
          <cell r="A2789" t="str">
            <v>G.ST.0000345</v>
          </cell>
        </row>
        <row r="2790">
          <cell r="A2790" t="str">
            <v>G.ST.0000346</v>
          </cell>
        </row>
        <row r="2791">
          <cell r="A2791" t="str">
            <v>G.ST.0000348</v>
          </cell>
        </row>
        <row r="2792">
          <cell r="A2792" t="str">
            <v>G.ST.0000355</v>
          </cell>
        </row>
        <row r="2793">
          <cell r="A2793" t="str">
            <v>G.ST.0000356</v>
          </cell>
        </row>
        <row r="2794">
          <cell r="A2794" t="str">
            <v>G.ST.0000357</v>
          </cell>
        </row>
        <row r="2795">
          <cell r="A2795" t="str">
            <v>G.ST.0000358</v>
          </cell>
        </row>
        <row r="2796">
          <cell r="A2796" t="str">
            <v>G.ST.0000360</v>
          </cell>
        </row>
        <row r="2797">
          <cell r="A2797" t="str">
            <v>G.ST.0000361</v>
          </cell>
        </row>
        <row r="2798">
          <cell r="A2798" t="str">
            <v>G.ST.0000362</v>
          </cell>
        </row>
        <row r="2799">
          <cell r="A2799" t="str">
            <v>G.ST.0000369</v>
          </cell>
        </row>
        <row r="2800">
          <cell r="A2800" t="str">
            <v>G.ST.0000371</v>
          </cell>
        </row>
        <row r="2801">
          <cell r="A2801" t="str">
            <v>G.ST.0000372</v>
          </cell>
        </row>
        <row r="2802">
          <cell r="A2802" t="str">
            <v>G.ST.0000377</v>
          </cell>
        </row>
        <row r="2803">
          <cell r="A2803" t="str">
            <v>G.ST.0000391</v>
          </cell>
        </row>
        <row r="2804">
          <cell r="A2804" t="str">
            <v>G.ST.0000392</v>
          </cell>
        </row>
        <row r="2805">
          <cell r="A2805" t="str">
            <v>G.ST.0000398</v>
          </cell>
        </row>
        <row r="2806">
          <cell r="A2806" t="str">
            <v>G.ST.0000399</v>
          </cell>
        </row>
        <row r="2807">
          <cell r="A2807" t="str">
            <v>G.ST.0000404</v>
          </cell>
        </row>
        <row r="2808">
          <cell r="A2808" t="str">
            <v>G.ST.0000406</v>
          </cell>
        </row>
        <row r="2809">
          <cell r="A2809" t="str">
            <v>G.ST.0000407</v>
          </cell>
        </row>
        <row r="2810">
          <cell r="A2810" t="str">
            <v>G.ST.0000408</v>
          </cell>
        </row>
        <row r="2811">
          <cell r="A2811" t="str">
            <v>G.ST.0000409</v>
          </cell>
        </row>
        <row r="2812">
          <cell r="A2812" t="str">
            <v>G.ST.0000410</v>
          </cell>
        </row>
        <row r="2813">
          <cell r="A2813" t="str">
            <v>G.ST.0000417</v>
          </cell>
        </row>
        <row r="2814">
          <cell r="A2814" t="str">
            <v>G.ST.0000418</v>
          </cell>
        </row>
        <row r="2815">
          <cell r="A2815" t="str">
            <v>G.ST.0000419</v>
          </cell>
        </row>
        <row r="2816">
          <cell r="A2816" t="str">
            <v>G.ST.0000420</v>
          </cell>
        </row>
        <row r="2817">
          <cell r="A2817" t="str">
            <v>G.ST.0000421</v>
          </cell>
        </row>
        <row r="2818">
          <cell r="A2818" t="str">
            <v>G.ST.0000422</v>
          </cell>
        </row>
        <row r="2819">
          <cell r="A2819" t="str">
            <v>G.ST.0000425</v>
          </cell>
        </row>
        <row r="2820">
          <cell r="A2820" t="str">
            <v>G.ST.0000426</v>
          </cell>
        </row>
        <row r="2821">
          <cell r="A2821" t="str">
            <v>G.ST.0000433</v>
          </cell>
        </row>
        <row r="2822">
          <cell r="A2822" t="str">
            <v>G.ST.0000434</v>
          </cell>
        </row>
        <row r="2823">
          <cell r="A2823" t="str">
            <v>G.ST.0000435</v>
          </cell>
        </row>
        <row r="2824">
          <cell r="A2824" t="str">
            <v>G.ST.0000436</v>
          </cell>
        </row>
        <row r="2825">
          <cell r="A2825" t="str">
            <v>G.ST.0000437</v>
          </cell>
        </row>
        <row r="2826">
          <cell r="A2826" t="str">
            <v>G.ST.0000438</v>
          </cell>
        </row>
        <row r="2827">
          <cell r="A2827" t="str">
            <v>G.ST.0000442</v>
          </cell>
        </row>
        <row r="2828">
          <cell r="A2828" t="str">
            <v>G.ST.0000443</v>
          </cell>
        </row>
        <row r="2829">
          <cell r="A2829" t="str">
            <v>G.ST.0000444</v>
          </cell>
        </row>
        <row r="2830">
          <cell r="A2830" t="str">
            <v>G.ST.0000445</v>
          </cell>
        </row>
        <row r="2831">
          <cell r="A2831" t="str">
            <v>G.ST.0000446</v>
          </cell>
        </row>
        <row r="2832">
          <cell r="A2832" t="str">
            <v>G.ST.0000447</v>
          </cell>
        </row>
        <row r="2833">
          <cell r="A2833" t="str">
            <v>G.ST.0000448</v>
          </cell>
        </row>
        <row r="2834">
          <cell r="A2834" t="str">
            <v>G.ST.0000449</v>
          </cell>
        </row>
        <row r="2835">
          <cell r="A2835" t="str">
            <v>G.ST.0000451</v>
          </cell>
        </row>
        <row r="2836">
          <cell r="A2836" t="str">
            <v>G.ST.0000453</v>
          </cell>
        </row>
        <row r="2837">
          <cell r="A2837" t="str">
            <v>G.ST.0000454</v>
          </cell>
        </row>
        <row r="2838">
          <cell r="A2838" t="str">
            <v>G.ST.0000460</v>
          </cell>
        </row>
        <row r="2839">
          <cell r="A2839" t="str">
            <v>G.ST.0000461</v>
          </cell>
        </row>
        <row r="2840">
          <cell r="A2840" t="str">
            <v>G.ST.0000471</v>
          </cell>
        </row>
        <row r="2841">
          <cell r="A2841" t="str">
            <v>G.ST.0000472</v>
          </cell>
        </row>
        <row r="2842">
          <cell r="A2842" t="str">
            <v>G.ST.0000482</v>
          </cell>
        </row>
        <row r="2843">
          <cell r="A2843" t="str">
            <v>G.ST.0000485</v>
          </cell>
        </row>
        <row r="2844">
          <cell r="A2844" t="str">
            <v>G.ST.0000488</v>
          </cell>
        </row>
        <row r="2845">
          <cell r="A2845" t="str">
            <v>G.ST.0000490</v>
          </cell>
        </row>
        <row r="2846">
          <cell r="A2846" t="str">
            <v>G.ST.0000504</v>
          </cell>
        </row>
        <row r="2847">
          <cell r="A2847" t="str">
            <v>G.ST.0000507</v>
          </cell>
        </row>
        <row r="2848">
          <cell r="A2848" t="str">
            <v>G.ST.0000512</v>
          </cell>
        </row>
        <row r="2849">
          <cell r="A2849" t="str">
            <v>G.ST.0000513</v>
          </cell>
        </row>
        <row r="2850">
          <cell r="A2850" t="str">
            <v>G.ST.0000514</v>
          </cell>
        </row>
        <row r="2851">
          <cell r="A2851" t="str">
            <v>G.ST.0000515</v>
          </cell>
        </row>
        <row r="2852">
          <cell r="A2852" t="str">
            <v>G.ST.0000518</v>
          </cell>
        </row>
        <row r="2853">
          <cell r="A2853" t="str">
            <v>G.ST.0000521</v>
          </cell>
        </row>
        <row r="2854">
          <cell r="A2854" t="str">
            <v>G.ST.0000535</v>
          </cell>
        </row>
        <row r="2855">
          <cell r="A2855" t="str">
            <v>G.ST.0000544</v>
          </cell>
        </row>
        <row r="2856">
          <cell r="A2856" t="str">
            <v>G.ST.0000546</v>
          </cell>
        </row>
        <row r="2857">
          <cell r="A2857" t="str">
            <v>G.ST.0000556</v>
          </cell>
        </row>
        <row r="2858">
          <cell r="A2858" t="str">
            <v>G.ST.0000557</v>
          </cell>
        </row>
        <row r="2859">
          <cell r="A2859" t="str">
            <v>G.ST.0000563</v>
          </cell>
        </row>
        <row r="2860">
          <cell r="A2860" t="str">
            <v>G.ST.0000565</v>
          </cell>
        </row>
        <row r="2861">
          <cell r="A2861" t="str">
            <v>G.ST.0000566</v>
          </cell>
        </row>
        <row r="2862">
          <cell r="A2862" t="str">
            <v>G.ST.0000567</v>
          </cell>
        </row>
        <row r="2863">
          <cell r="A2863" t="str">
            <v>G.ST.0000569</v>
          </cell>
        </row>
        <row r="2864">
          <cell r="A2864" t="str">
            <v>G.ST.0000572</v>
          </cell>
        </row>
        <row r="2865">
          <cell r="A2865" t="str">
            <v>G.ST.0000573</v>
          </cell>
        </row>
        <row r="2866">
          <cell r="A2866" t="str">
            <v>G.ST.0000574</v>
          </cell>
        </row>
        <row r="2867">
          <cell r="A2867" t="str">
            <v>G.ST.0000575</v>
          </cell>
        </row>
        <row r="2868">
          <cell r="A2868" t="str">
            <v>G.ST.0000576</v>
          </cell>
        </row>
        <row r="2869">
          <cell r="A2869" t="str">
            <v>G.ST.0000577</v>
          </cell>
        </row>
        <row r="2870">
          <cell r="A2870" t="str">
            <v>G.ST.0000579</v>
          </cell>
        </row>
        <row r="2871">
          <cell r="A2871" t="str">
            <v>G.ST.0000580</v>
          </cell>
        </row>
        <row r="2872">
          <cell r="A2872" t="str">
            <v>G.ST.0000584</v>
          </cell>
        </row>
        <row r="2873">
          <cell r="A2873" t="str">
            <v>G.ST.0000585</v>
          </cell>
        </row>
        <row r="2874">
          <cell r="A2874" t="str">
            <v>G.ST.0000586</v>
          </cell>
        </row>
        <row r="2875">
          <cell r="A2875" t="str">
            <v>G.ST.0000587</v>
          </cell>
        </row>
        <row r="2876">
          <cell r="A2876" t="str">
            <v>G.ST.0000589</v>
          </cell>
        </row>
        <row r="2877">
          <cell r="A2877" t="str">
            <v>G.ST.0000598</v>
          </cell>
        </row>
        <row r="2878">
          <cell r="A2878" t="str">
            <v>G.ST.0000601</v>
          </cell>
        </row>
        <row r="2879">
          <cell r="A2879" t="str">
            <v>G.ST.0000603</v>
          </cell>
        </row>
        <row r="2880">
          <cell r="A2880" t="str">
            <v>G.ST.0000605</v>
          </cell>
        </row>
        <row r="2881">
          <cell r="A2881" t="str">
            <v>G.ST.0000606</v>
          </cell>
        </row>
        <row r="2882">
          <cell r="A2882" t="str">
            <v>G.ST.0000607</v>
          </cell>
        </row>
        <row r="2883">
          <cell r="A2883" t="str">
            <v>G.ST.0000608</v>
          </cell>
        </row>
        <row r="2884">
          <cell r="A2884" t="str">
            <v>G.ST.0000612</v>
          </cell>
        </row>
        <row r="2885">
          <cell r="A2885" t="str">
            <v>G.ST.0000614</v>
          </cell>
        </row>
        <row r="2886">
          <cell r="A2886" t="str">
            <v>G.ST.0000615</v>
          </cell>
        </row>
        <row r="2887">
          <cell r="A2887" t="str">
            <v>G.ST.0000616</v>
          </cell>
        </row>
        <row r="2888">
          <cell r="A2888" t="str">
            <v>G.ST.0000617</v>
          </cell>
        </row>
        <row r="2889">
          <cell r="A2889" t="str">
            <v>G.ST.0000618</v>
          </cell>
        </row>
        <row r="2890">
          <cell r="A2890" t="str">
            <v>G.ST.0000619</v>
          </cell>
        </row>
        <row r="2891">
          <cell r="A2891" t="str">
            <v>G.ST.0000620</v>
          </cell>
        </row>
        <row r="2892">
          <cell r="A2892" t="str">
            <v>G.ST.0000621</v>
          </cell>
        </row>
        <row r="2893">
          <cell r="A2893" t="str">
            <v>G.ST.0000622</v>
          </cell>
        </row>
        <row r="2894">
          <cell r="A2894" t="str">
            <v>G.ST.0000623</v>
          </cell>
        </row>
        <row r="2895">
          <cell r="A2895" t="str">
            <v>G.ST.0000624</v>
          </cell>
        </row>
        <row r="2896">
          <cell r="A2896" t="str">
            <v>G.ST.0000625</v>
          </cell>
        </row>
        <row r="2897">
          <cell r="A2897" t="str">
            <v>G.ST.0000626</v>
          </cell>
        </row>
        <row r="2899">
          <cell r="A2899" t="str">
            <v>M.AT.0000001</v>
          </cell>
        </row>
        <row r="2900">
          <cell r="A2900" t="str">
            <v>M.AT.0000002</v>
          </cell>
        </row>
        <row r="2901">
          <cell r="A2901" t="str">
            <v>M.AT.0000003</v>
          </cell>
        </row>
        <row r="2902">
          <cell r="A2902" t="str">
            <v>M.AT.0000004</v>
          </cell>
        </row>
        <row r="2903">
          <cell r="A2903" t="str">
            <v>M.AT.0000005</v>
          </cell>
        </row>
        <row r="2904">
          <cell r="A2904" t="str">
            <v>M.AT.0000006</v>
          </cell>
        </row>
        <row r="2905">
          <cell r="A2905" t="str">
            <v>M.AT.0000008</v>
          </cell>
        </row>
        <row r="2906">
          <cell r="A2906" t="str">
            <v>M.AT.0000009</v>
          </cell>
        </row>
        <row r="2907">
          <cell r="A2907" t="str">
            <v>M.AT.0000010</v>
          </cell>
        </row>
        <row r="2908">
          <cell r="A2908" t="str">
            <v>M.AT.0000011</v>
          </cell>
        </row>
        <row r="2909">
          <cell r="A2909" t="str">
            <v>M.AT.0000012</v>
          </cell>
        </row>
        <row r="2910">
          <cell r="A2910" t="str">
            <v>M.AT.0000013</v>
          </cell>
        </row>
        <row r="2912">
          <cell r="A2912" t="str">
            <v>M.CO.0000001</v>
          </cell>
        </row>
        <row r="2913">
          <cell r="A2913" t="str">
            <v>M.CO.0000002</v>
          </cell>
        </row>
        <row r="2914">
          <cell r="A2914" t="str">
            <v>M.CO.0000003</v>
          </cell>
        </row>
        <row r="2915">
          <cell r="A2915" t="str">
            <v>M.CO.0000004</v>
          </cell>
        </row>
        <row r="2916">
          <cell r="A2916" t="str">
            <v>M.CO.0000005</v>
          </cell>
        </row>
        <row r="2917">
          <cell r="A2917" t="str">
            <v>M.CO.0000006</v>
          </cell>
        </row>
        <row r="2918">
          <cell r="A2918" t="str">
            <v>M.CO.0000007</v>
          </cell>
        </row>
        <row r="2919">
          <cell r="A2919" t="str">
            <v>M.CO.0000008</v>
          </cell>
        </row>
        <row r="2920">
          <cell r="A2920" t="str">
            <v>M.CO.0000009</v>
          </cell>
        </row>
        <row r="2921">
          <cell r="A2921" t="str">
            <v>M.CO.0000010</v>
          </cell>
        </row>
        <row r="2922">
          <cell r="A2922" t="str">
            <v>M.CO.0000011</v>
          </cell>
        </row>
        <row r="2923">
          <cell r="A2923" t="str">
            <v>M.CO.0000012</v>
          </cell>
        </row>
        <row r="2924">
          <cell r="A2924" t="str">
            <v>M.CO.0000013</v>
          </cell>
        </row>
        <row r="2925">
          <cell r="A2925" t="str">
            <v>M.CO.0000014</v>
          </cell>
        </row>
        <row r="2926">
          <cell r="A2926" t="str">
            <v>M.CO.0000015</v>
          </cell>
        </row>
        <row r="2927">
          <cell r="A2927" t="str">
            <v>M.CO.0000016</v>
          </cell>
        </row>
        <row r="2928">
          <cell r="A2928" t="str">
            <v>M.CO.0000017</v>
          </cell>
        </row>
        <row r="2929">
          <cell r="A2929" t="str">
            <v>M.CO.0000018</v>
          </cell>
        </row>
        <row r="2930">
          <cell r="A2930" t="str">
            <v>M.CO.0000019</v>
          </cell>
        </row>
        <row r="2931">
          <cell r="A2931" t="str">
            <v>M.CO.0000020</v>
          </cell>
        </row>
        <row r="2932">
          <cell r="A2932" t="str">
            <v>M.CO.0000021</v>
          </cell>
        </row>
        <row r="2933">
          <cell r="A2933" t="str">
            <v>M.CO.0000022</v>
          </cell>
        </row>
        <row r="2934">
          <cell r="A2934" t="str">
            <v>M.CO.0000023</v>
          </cell>
        </row>
        <row r="2935">
          <cell r="A2935" t="str">
            <v>M.CO.0000024</v>
          </cell>
        </row>
        <row r="2936">
          <cell r="A2936" t="str">
            <v>M.CO.0000025</v>
          </cell>
        </row>
        <row r="2937">
          <cell r="A2937" t="str">
            <v>M.CO.0000026</v>
          </cell>
        </row>
        <row r="2938">
          <cell r="A2938" t="str">
            <v>M.CO.0000027</v>
          </cell>
        </row>
        <row r="2939">
          <cell r="A2939" t="str">
            <v>M.CO.0000028</v>
          </cell>
        </row>
        <row r="2940">
          <cell r="A2940" t="str">
            <v>M.CO.0000029</v>
          </cell>
        </row>
        <row r="2941">
          <cell r="A2941" t="str">
            <v>M.CO.0000030</v>
          </cell>
        </row>
        <row r="2942">
          <cell r="A2942" t="str">
            <v>M.CO.0000031</v>
          </cell>
        </row>
        <row r="2943">
          <cell r="A2943" t="str">
            <v>M.CO.0000032</v>
          </cell>
        </row>
        <row r="2944">
          <cell r="A2944" t="str">
            <v>M.CO.0000033</v>
          </cell>
        </row>
        <row r="2945">
          <cell r="A2945" t="str">
            <v>M.CO.0000034</v>
          </cell>
        </row>
        <row r="2946">
          <cell r="A2946" t="str">
            <v>M.CO.0000035</v>
          </cell>
        </row>
        <row r="2947">
          <cell r="A2947" t="str">
            <v>M.CO.0000036</v>
          </cell>
        </row>
        <row r="2948">
          <cell r="A2948" t="str">
            <v>M.CO.0000037</v>
          </cell>
        </row>
        <row r="2949">
          <cell r="A2949" t="str">
            <v>M.CO.0000038</v>
          </cell>
        </row>
        <row r="2950">
          <cell r="A2950" t="str">
            <v>M.CO.0000039</v>
          </cell>
        </row>
        <row r="2951">
          <cell r="A2951" t="str">
            <v>M.CO.0000040</v>
          </cell>
        </row>
        <row r="2952">
          <cell r="A2952" t="str">
            <v>M.CO.0000041</v>
          </cell>
        </row>
        <row r="2953">
          <cell r="A2953" t="str">
            <v>M.CO.0000042</v>
          </cell>
        </row>
        <row r="2954">
          <cell r="A2954" t="str">
            <v>M.CO.0000043</v>
          </cell>
        </row>
        <row r="2955">
          <cell r="A2955" t="str">
            <v>M.CO.0000044</v>
          </cell>
        </row>
        <row r="2956">
          <cell r="A2956" t="str">
            <v>M.CO.0000045</v>
          </cell>
        </row>
        <row r="2957">
          <cell r="A2957" t="str">
            <v>M.CO.0000046</v>
          </cell>
        </row>
        <row r="2958">
          <cell r="A2958" t="str">
            <v>M.CO.0000047</v>
          </cell>
        </row>
        <row r="2959">
          <cell r="A2959" t="str">
            <v>M.CO.0000048</v>
          </cell>
        </row>
        <row r="2960">
          <cell r="A2960" t="str">
            <v>M.CO.0000049</v>
          </cell>
        </row>
        <row r="2961">
          <cell r="A2961" t="str">
            <v>M.CO.0000050</v>
          </cell>
        </row>
        <row r="2962">
          <cell r="A2962" t="str">
            <v>M.CO.0000051</v>
          </cell>
        </row>
        <row r="2963">
          <cell r="A2963" t="str">
            <v>M.CO.0000052</v>
          </cell>
        </row>
        <row r="2964">
          <cell r="A2964" t="str">
            <v>M.CO.0000053</v>
          </cell>
        </row>
        <row r="2965">
          <cell r="A2965" t="str">
            <v>M.CO.0000054</v>
          </cell>
        </row>
        <row r="2966">
          <cell r="A2966" t="str">
            <v>M.CO.0000055</v>
          </cell>
        </row>
        <row r="2967">
          <cell r="A2967" t="str">
            <v>M.CO.0000056</v>
          </cell>
        </row>
        <row r="2968">
          <cell r="A2968" t="str">
            <v>M.CO.0000057</v>
          </cell>
        </row>
        <row r="2969">
          <cell r="A2969" t="str">
            <v>M.CO.0000058</v>
          </cell>
        </row>
        <row r="2970">
          <cell r="A2970" t="str">
            <v>M.CO.0000059</v>
          </cell>
        </row>
        <row r="2971">
          <cell r="A2971" t="str">
            <v>M.CO.0000060</v>
          </cell>
        </row>
        <row r="2972">
          <cell r="A2972" t="str">
            <v>M.CO.0000061</v>
          </cell>
        </row>
        <row r="2973">
          <cell r="A2973" t="str">
            <v>M.CO.0000062</v>
          </cell>
        </row>
        <row r="2974">
          <cell r="A2974" t="str">
            <v>M.CO.0000063</v>
          </cell>
        </row>
        <row r="2975">
          <cell r="A2975" t="str">
            <v>M.CO.0000064</v>
          </cell>
        </row>
        <row r="2976">
          <cell r="A2976" t="str">
            <v>M.CO.0000065</v>
          </cell>
        </row>
        <row r="2977">
          <cell r="A2977" t="str">
            <v>M.CO.0000066</v>
          </cell>
        </row>
        <row r="2978">
          <cell r="A2978" t="str">
            <v>M.CO.0000067</v>
          </cell>
        </row>
        <row r="2979">
          <cell r="A2979" t="str">
            <v>M.CO.0000068</v>
          </cell>
        </row>
        <row r="2980">
          <cell r="A2980" t="str">
            <v>M.CO.0000069</v>
          </cell>
        </row>
        <row r="2981">
          <cell r="A2981" t="str">
            <v>M.CO.0000070</v>
          </cell>
        </row>
        <row r="2982">
          <cell r="A2982" t="str">
            <v>M.CO.0000071</v>
          </cell>
        </row>
        <row r="2983">
          <cell r="A2983" t="str">
            <v>M.CO.0000072</v>
          </cell>
        </row>
        <row r="2984">
          <cell r="A2984" t="str">
            <v>M.CO.0000073</v>
          </cell>
        </row>
        <row r="2985">
          <cell r="A2985" t="str">
            <v>M.CO.0000074</v>
          </cell>
        </row>
        <row r="2986">
          <cell r="A2986" t="str">
            <v>M.CO.0000075</v>
          </cell>
        </row>
        <row r="2987">
          <cell r="A2987" t="str">
            <v>M.CO.0000076</v>
          </cell>
        </row>
        <row r="2988">
          <cell r="A2988" t="str">
            <v>M.CO.0000077</v>
          </cell>
        </row>
        <row r="2989">
          <cell r="A2989" t="str">
            <v>M.CO.0000078</v>
          </cell>
        </row>
        <row r="2990">
          <cell r="A2990" t="str">
            <v>M.CO.0000079</v>
          </cell>
        </row>
        <row r="2991">
          <cell r="A2991" t="str">
            <v>M.CO.0000080</v>
          </cell>
        </row>
        <row r="2992">
          <cell r="A2992" t="str">
            <v>M.CO.0000081</v>
          </cell>
        </row>
        <row r="2993">
          <cell r="A2993" t="str">
            <v>M.CO.0000082</v>
          </cell>
        </row>
        <row r="2994">
          <cell r="A2994" t="str">
            <v>M.CO.0000083</v>
          </cell>
        </row>
        <row r="2995">
          <cell r="A2995" t="str">
            <v>M.CO.0000084</v>
          </cell>
        </row>
        <row r="2996">
          <cell r="A2996" t="str">
            <v>M.CO.0000085</v>
          </cell>
        </row>
        <row r="2997">
          <cell r="A2997" t="str">
            <v>M.CO.0000086</v>
          </cell>
        </row>
        <row r="2998">
          <cell r="A2998" t="str">
            <v>M.CO.0000087</v>
          </cell>
        </row>
        <row r="2999">
          <cell r="A2999" t="str">
            <v>M.CO.0000088</v>
          </cell>
        </row>
        <row r="3000">
          <cell r="A3000" t="str">
            <v>M.CO.0000089</v>
          </cell>
        </row>
        <row r="3001">
          <cell r="A3001" t="str">
            <v>M.CO.0000090</v>
          </cell>
        </row>
        <row r="3002">
          <cell r="A3002" t="str">
            <v>M.CO.0000091</v>
          </cell>
        </row>
        <row r="3003">
          <cell r="A3003" t="str">
            <v>M.CO.0000092</v>
          </cell>
        </row>
        <row r="3004">
          <cell r="A3004" t="str">
            <v>M.CO.0000093</v>
          </cell>
        </row>
        <row r="3005">
          <cell r="A3005" t="str">
            <v>M.CO.0000094</v>
          </cell>
        </row>
        <row r="3006">
          <cell r="A3006" t="str">
            <v>M.CO.0000095</v>
          </cell>
        </row>
        <row r="3007">
          <cell r="A3007" t="str">
            <v>M.CO.0000096</v>
          </cell>
        </row>
        <row r="3008">
          <cell r="A3008" t="str">
            <v>M.CO.0000097</v>
          </cell>
        </row>
        <row r="3009">
          <cell r="A3009" t="str">
            <v>M.CO.0000098</v>
          </cell>
        </row>
        <row r="3010">
          <cell r="A3010" t="str">
            <v>M.CO.0000099</v>
          </cell>
        </row>
        <row r="3011">
          <cell r="A3011" t="str">
            <v>M.CO.0000100</v>
          </cell>
        </row>
        <row r="3012">
          <cell r="A3012" t="str">
            <v>M.CO.0000101</v>
          </cell>
        </row>
        <row r="3013">
          <cell r="A3013" t="str">
            <v>M.CO.0000102</v>
          </cell>
        </row>
        <row r="3014">
          <cell r="A3014" t="str">
            <v>M.CO.0000103</v>
          </cell>
        </row>
        <row r="3015">
          <cell r="A3015" t="str">
            <v>M.CO.0000104</v>
          </cell>
        </row>
        <row r="3016">
          <cell r="A3016" t="str">
            <v>M.CO.0000105</v>
          </cell>
        </row>
        <row r="3017">
          <cell r="A3017" t="str">
            <v>M.CO.0000106</v>
          </cell>
        </row>
        <row r="3018">
          <cell r="A3018" t="str">
            <v>M.CO.0000107</v>
          </cell>
        </row>
        <row r="3019">
          <cell r="A3019" t="str">
            <v>M.CO.0000108</v>
          </cell>
        </row>
        <row r="3020">
          <cell r="A3020" t="str">
            <v>M.CO.0000109</v>
          </cell>
        </row>
        <row r="3021">
          <cell r="A3021" t="str">
            <v>M.CO.0000110</v>
          </cell>
        </row>
        <row r="3022">
          <cell r="A3022" t="str">
            <v>M.CO.0000111</v>
          </cell>
        </row>
        <row r="3023">
          <cell r="A3023" t="str">
            <v>M.CO.0000112</v>
          </cell>
        </row>
        <row r="3024">
          <cell r="A3024" t="str">
            <v>M.CO.0000113</v>
          </cell>
        </row>
        <row r="3025">
          <cell r="A3025" t="str">
            <v>M.CO.0000114</v>
          </cell>
        </row>
        <row r="3026">
          <cell r="A3026" t="str">
            <v>M.CO.0000115</v>
          </cell>
        </row>
        <row r="3027">
          <cell r="A3027" t="str">
            <v>M.CO.0000116</v>
          </cell>
        </row>
        <row r="3028">
          <cell r="A3028" t="str">
            <v>M.CO.0000117</v>
          </cell>
        </row>
        <row r="3029">
          <cell r="A3029" t="str">
            <v>M.CO.0000118</v>
          </cell>
        </row>
        <row r="3030">
          <cell r="A3030" t="str">
            <v>M.CO.0000119</v>
          </cell>
        </row>
        <row r="3031">
          <cell r="A3031" t="str">
            <v>M.CO.0000120</v>
          </cell>
        </row>
        <row r="3032">
          <cell r="A3032" t="str">
            <v>M.CO.0000121</v>
          </cell>
        </row>
        <row r="3033">
          <cell r="A3033" t="str">
            <v>M.CO.0000122</v>
          </cell>
        </row>
        <row r="3034">
          <cell r="A3034" t="str">
            <v>M.CO.0000123</v>
          </cell>
        </row>
        <row r="3035">
          <cell r="A3035" t="str">
            <v>M.CO.0000124</v>
          </cell>
        </row>
        <row r="3036">
          <cell r="A3036" t="str">
            <v>M.CO.0000125</v>
          </cell>
        </row>
        <row r="3037">
          <cell r="A3037" t="str">
            <v>M.CO.0000126</v>
          </cell>
        </row>
        <row r="3038">
          <cell r="A3038" t="str">
            <v>M.CO.0000127</v>
          </cell>
        </row>
        <row r="3039">
          <cell r="A3039" t="str">
            <v>M.CO.0000128</v>
          </cell>
        </row>
        <row r="3040">
          <cell r="A3040" t="str">
            <v>M.CO.0000129</v>
          </cell>
        </row>
        <row r="3041">
          <cell r="A3041" t="str">
            <v>M.CO.0000130</v>
          </cell>
        </row>
        <row r="3042">
          <cell r="A3042" t="str">
            <v>M.CO.0000131</v>
          </cell>
        </row>
        <row r="3043">
          <cell r="A3043" t="str">
            <v>M.CO.0000132</v>
          </cell>
        </row>
        <row r="3044">
          <cell r="A3044" t="str">
            <v>M.CO.0000133</v>
          </cell>
        </row>
        <row r="3045">
          <cell r="A3045" t="str">
            <v>M.CO.0000134</v>
          </cell>
        </row>
        <row r="3046">
          <cell r="A3046" t="str">
            <v>M.CO.0000135</v>
          </cell>
        </row>
        <row r="3047">
          <cell r="A3047" t="str">
            <v>M.CO.0000136</v>
          </cell>
        </row>
        <row r="3048">
          <cell r="A3048" t="str">
            <v>M.CO.0000137</v>
          </cell>
        </row>
        <row r="3049">
          <cell r="A3049" t="str">
            <v>M.CO.0000138</v>
          </cell>
        </row>
        <row r="3050">
          <cell r="A3050" t="str">
            <v>M.CO.0000139</v>
          </cell>
        </row>
        <row r="3051">
          <cell r="A3051" t="str">
            <v>M.CO.0000140</v>
          </cell>
        </row>
        <row r="3052">
          <cell r="A3052" t="str">
            <v>M.CO.0000141</v>
          </cell>
        </row>
        <row r="3053">
          <cell r="A3053" t="str">
            <v>M.CO.0000142</v>
          </cell>
        </row>
        <row r="3054">
          <cell r="A3054" t="str">
            <v>M.CO.0000143</v>
          </cell>
        </row>
        <row r="3055">
          <cell r="A3055" t="str">
            <v>M.CO.0000144</v>
          </cell>
        </row>
        <row r="3056">
          <cell r="A3056" t="str">
            <v>M.CO.0000145</v>
          </cell>
        </row>
        <row r="3057">
          <cell r="A3057" t="str">
            <v>M.CO.0000146</v>
          </cell>
        </row>
        <row r="3058">
          <cell r="A3058" t="str">
            <v>M.CO.0000147</v>
          </cell>
        </row>
        <row r="3059">
          <cell r="A3059" t="str">
            <v>M.CO.0000148</v>
          </cell>
        </row>
        <row r="3060">
          <cell r="A3060" t="str">
            <v>M.CO.0000149</v>
          </cell>
        </row>
        <row r="3061">
          <cell r="A3061" t="str">
            <v>M.CO.0000150</v>
          </cell>
        </row>
        <row r="3062">
          <cell r="A3062" t="str">
            <v>M.CO.0000151</v>
          </cell>
        </row>
        <row r="3063">
          <cell r="A3063" t="str">
            <v>M.CO.0000152</v>
          </cell>
        </row>
        <row r="3064">
          <cell r="A3064" t="str">
            <v>M.CO.0000153</v>
          </cell>
        </row>
        <row r="3065">
          <cell r="A3065" t="str">
            <v>M.CO.0000154</v>
          </cell>
        </row>
        <row r="3066">
          <cell r="A3066" t="str">
            <v>M.CO.0000155</v>
          </cell>
        </row>
        <row r="3067">
          <cell r="A3067" t="str">
            <v>M.CO.0000156</v>
          </cell>
        </row>
        <row r="3068">
          <cell r="A3068" t="str">
            <v>M.CO.0000157</v>
          </cell>
        </row>
        <row r="3069">
          <cell r="A3069" t="str">
            <v>M.CO.0000158</v>
          </cell>
        </row>
        <row r="3070">
          <cell r="A3070" t="str">
            <v>M.CO.0000159</v>
          </cell>
        </row>
        <row r="3071">
          <cell r="A3071" t="str">
            <v>M.CO.0000160</v>
          </cell>
        </row>
        <row r="3072">
          <cell r="A3072" t="str">
            <v>M.CO.0000161</v>
          </cell>
        </row>
        <row r="3073">
          <cell r="A3073" t="str">
            <v>M.CO.0000162</v>
          </cell>
        </row>
        <row r="3074">
          <cell r="A3074" t="str">
            <v>M.CO.0000163</v>
          </cell>
        </row>
        <row r="3075">
          <cell r="A3075" t="str">
            <v>M.CO.0000164</v>
          </cell>
        </row>
        <row r="3076">
          <cell r="A3076" t="str">
            <v>M.CO.0000165</v>
          </cell>
        </row>
        <row r="3077">
          <cell r="A3077" t="str">
            <v>M.CO.0000166</v>
          </cell>
        </row>
        <row r="3078">
          <cell r="A3078" t="str">
            <v>M.CO.0000167</v>
          </cell>
        </row>
        <row r="3079">
          <cell r="A3079" t="str">
            <v>M.CO.0000168</v>
          </cell>
        </row>
        <row r="3080">
          <cell r="A3080" t="str">
            <v>M.CO.0000169</v>
          </cell>
        </row>
        <row r="3081">
          <cell r="A3081" t="str">
            <v>M.CO.0000170</v>
          </cell>
        </row>
        <row r="3082">
          <cell r="A3082" t="str">
            <v>M.CO.0000171</v>
          </cell>
        </row>
        <row r="3083">
          <cell r="A3083" t="str">
            <v>M.CO.0000172</v>
          </cell>
        </row>
        <row r="3084">
          <cell r="A3084" t="str">
            <v>M.CO.0000173</v>
          </cell>
        </row>
        <row r="3085">
          <cell r="A3085" t="str">
            <v>M.CO.0000174</v>
          </cell>
        </row>
        <row r="3086">
          <cell r="A3086" t="str">
            <v>M.CO.0000175</v>
          </cell>
        </row>
        <row r="3087">
          <cell r="A3087" t="str">
            <v>M.CO.0000176</v>
          </cell>
        </row>
        <row r="3088">
          <cell r="A3088" t="str">
            <v>M.CO.0000177</v>
          </cell>
        </row>
        <row r="3089">
          <cell r="A3089" t="str">
            <v>M.CO.0000180</v>
          </cell>
        </row>
        <row r="3090">
          <cell r="A3090" t="str">
            <v>M.CO.0000181</v>
          </cell>
        </row>
        <row r="3091">
          <cell r="A3091" t="str">
            <v>M.CO.0000182</v>
          </cell>
        </row>
        <row r="3092">
          <cell r="A3092" t="str">
            <v>M.CO.0000183</v>
          </cell>
        </row>
        <row r="3093">
          <cell r="A3093" t="str">
            <v>M.CO.0000184</v>
          </cell>
        </row>
        <row r="3094">
          <cell r="A3094" t="str">
            <v>M.CO.0000185</v>
          </cell>
        </row>
        <row r="3095">
          <cell r="A3095" t="str">
            <v>M.CO.0000186</v>
          </cell>
        </row>
        <row r="3096">
          <cell r="A3096" t="str">
            <v>M.CO.0000187</v>
          </cell>
        </row>
        <row r="3097">
          <cell r="A3097" t="str">
            <v>M.CO.0000196</v>
          </cell>
        </row>
        <row r="3098">
          <cell r="A3098" t="str">
            <v>M.CO.0000197</v>
          </cell>
        </row>
        <row r="3099">
          <cell r="A3099" t="str">
            <v>M.CO.0000198</v>
          </cell>
        </row>
        <row r="3100">
          <cell r="A3100" t="str">
            <v>M.CO.0000199</v>
          </cell>
        </row>
        <row r="3101">
          <cell r="A3101" t="str">
            <v>M.CO.0000200</v>
          </cell>
        </row>
        <row r="3102">
          <cell r="A3102" t="str">
            <v>M.CO.0000201</v>
          </cell>
        </row>
        <row r="3103">
          <cell r="A3103" t="str">
            <v>M.CO.0000202</v>
          </cell>
        </row>
        <row r="3104">
          <cell r="A3104" t="str">
            <v>M.CO.0000203</v>
          </cell>
        </row>
        <row r="3105">
          <cell r="A3105" t="str">
            <v>M.CO.0000204</v>
          </cell>
        </row>
        <row r="3106">
          <cell r="A3106" t="str">
            <v>M.CO.0000205</v>
          </cell>
        </row>
        <row r="3107">
          <cell r="A3107" t="str">
            <v>M.CO.0000206</v>
          </cell>
        </row>
        <row r="3108">
          <cell r="A3108" t="str">
            <v>M.CO.0000207</v>
          </cell>
        </row>
        <row r="3109">
          <cell r="A3109" t="str">
            <v>M.CO.0000208</v>
          </cell>
        </row>
        <row r="3110">
          <cell r="A3110" t="str">
            <v>M.CO.0000209</v>
          </cell>
        </row>
        <row r="3111">
          <cell r="A3111" t="str">
            <v>M.CO.0000210</v>
          </cell>
        </row>
        <row r="3112">
          <cell r="A3112" t="str">
            <v>M.CO.0000211</v>
          </cell>
        </row>
        <row r="3113">
          <cell r="A3113" t="str">
            <v>M.CO.0000212</v>
          </cell>
        </row>
        <row r="3114">
          <cell r="A3114" t="str">
            <v>M.CO.0000213</v>
          </cell>
        </row>
        <row r="3115">
          <cell r="A3115" t="str">
            <v>M.CO.0000214</v>
          </cell>
        </row>
        <row r="3116">
          <cell r="A3116" t="str">
            <v>M.CO.0000215</v>
          </cell>
        </row>
        <row r="3117">
          <cell r="A3117" t="str">
            <v>M.CO.0000216</v>
          </cell>
        </row>
        <row r="3118">
          <cell r="A3118" t="str">
            <v>M.CO.0000217</v>
          </cell>
        </row>
        <row r="3119">
          <cell r="A3119" t="str">
            <v>M.CO.0000218</v>
          </cell>
        </row>
        <row r="3120">
          <cell r="A3120" t="str">
            <v>M.CO.0000219</v>
          </cell>
        </row>
        <row r="3121">
          <cell r="A3121" t="str">
            <v>M.CO.0000220</v>
          </cell>
        </row>
        <row r="3122">
          <cell r="A3122" t="str">
            <v>M.CO.0000221</v>
          </cell>
        </row>
        <row r="3123">
          <cell r="A3123" t="str">
            <v>M.CO.0000222</v>
          </cell>
        </row>
        <row r="3124">
          <cell r="A3124" t="str">
            <v>M.CO.0000223</v>
          </cell>
        </row>
        <row r="3125">
          <cell r="A3125" t="str">
            <v>M.CO.0000224</v>
          </cell>
        </row>
        <row r="3126">
          <cell r="A3126" t="str">
            <v>M.CO.0000225</v>
          </cell>
        </row>
        <row r="3127">
          <cell r="A3127" t="str">
            <v>M.CO.0000226</v>
          </cell>
        </row>
        <row r="3128">
          <cell r="A3128" t="str">
            <v>M.CO.0000228</v>
          </cell>
        </row>
        <row r="3129">
          <cell r="A3129" t="str">
            <v>M.CO.0000229</v>
          </cell>
        </row>
        <row r="3130">
          <cell r="A3130" t="str">
            <v>M.CO.0000230</v>
          </cell>
        </row>
        <row r="3131">
          <cell r="A3131" t="str">
            <v>M.CO.0000232</v>
          </cell>
        </row>
        <row r="3132">
          <cell r="A3132" t="str">
            <v>M.CO.0000233</v>
          </cell>
        </row>
        <row r="3133">
          <cell r="A3133" t="str">
            <v>M.CO.0000234</v>
          </cell>
        </row>
        <row r="3134">
          <cell r="A3134" t="str">
            <v>M.CO.0000235</v>
          </cell>
        </row>
        <row r="3135">
          <cell r="A3135" t="str">
            <v>M.CO.0000236</v>
          </cell>
        </row>
        <row r="3136">
          <cell r="A3136" t="str">
            <v>M.CO.0000237</v>
          </cell>
        </row>
        <row r="3137">
          <cell r="A3137" t="str">
            <v>M.CO.0000238</v>
          </cell>
        </row>
        <row r="3138">
          <cell r="A3138" t="str">
            <v>M.CO.0000239</v>
          </cell>
        </row>
        <row r="3139">
          <cell r="A3139" t="str">
            <v>M.CO.0000240</v>
          </cell>
        </row>
        <row r="3140">
          <cell r="A3140" t="str">
            <v>M.CO.0000241</v>
          </cell>
        </row>
        <row r="3141">
          <cell r="A3141" t="str">
            <v>M.CO.0000242</v>
          </cell>
        </row>
        <row r="3142">
          <cell r="A3142" t="str">
            <v>M.CO.0000243</v>
          </cell>
        </row>
        <row r="3143">
          <cell r="A3143" t="str">
            <v>M.CO.0000244</v>
          </cell>
        </row>
        <row r="3144">
          <cell r="A3144" t="str">
            <v>M.CO.0000245</v>
          </cell>
        </row>
        <row r="3145">
          <cell r="A3145" t="str">
            <v>M.CO.0000246</v>
          </cell>
        </row>
        <row r="3146">
          <cell r="A3146" t="str">
            <v>M.CO.0000247</v>
          </cell>
        </row>
        <row r="3147">
          <cell r="A3147" t="str">
            <v>M.CO.0000248</v>
          </cell>
        </row>
        <row r="3148">
          <cell r="A3148" t="str">
            <v>M.CO.0000249</v>
          </cell>
        </row>
        <row r="3149">
          <cell r="A3149" t="str">
            <v>M.CO.0000250</v>
          </cell>
        </row>
        <row r="3150">
          <cell r="A3150" t="str">
            <v>M.CO.0000251</v>
          </cell>
        </row>
        <row r="3151">
          <cell r="A3151" t="str">
            <v>M.CO.0000252</v>
          </cell>
        </row>
        <row r="3152">
          <cell r="A3152" t="str">
            <v>M.CO.0000253</v>
          </cell>
        </row>
        <row r="3153">
          <cell r="A3153" t="str">
            <v>M.CO.0000254</v>
          </cell>
        </row>
        <row r="3154">
          <cell r="A3154" t="str">
            <v>M.CO.0000255</v>
          </cell>
        </row>
        <row r="3155">
          <cell r="A3155" t="str">
            <v>M.CO.0000256</v>
          </cell>
        </row>
        <row r="3156">
          <cell r="A3156" t="str">
            <v>M.CO.0000257</v>
          </cell>
        </row>
        <row r="3157">
          <cell r="A3157" t="str">
            <v>M.CO.0000258</v>
          </cell>
        </row>
        <row r="3158">
          <cell r="A3158" t="str">
            <v>M.CO.0000259</v>
          </cell>
        </row>
        <row r="3159">
          <cell r="A3159" t="str">
            <v>M.CO.0000260</v>
          </cell>
        </row>
        <row r="3160">
          <cell r="A3160" t="str">
            <v>M.CO.0000261</v>
          </cell>
        </row>
        <row r="3161">
          <cell r="A3161" t="str">
            <v>M.CO.0000262</v>
          </cell>
        </row>
        <row r="3162">
          <cell r="A3162" t="str">
            <v>M.CO.0000263</v>
          </cell>
        </row>
        <row r="3163">
          <cell r="A3163" t="str">
            <v>M.CO.0000264</v>
          </cell>
        </row>
        <row r="3164">
          <cell r="A3164" t="str">
            <v>M.CO.0000265</v>
          </cell>
        </row>
        <row r="3165">
          <cell r="A3165" t="str">
            <v>M.CO.0000266</v>
          </cell>
        </row>
        <row r="3166">
          <cell r="A3166" t="str">
            <v>M.CO.0000267</v>
          </cell>
        </row>
        <row r="3167">
          <cell r="A3167" t="str">
            <v>M.CO.0000268</v>
          </cell>
        </row>
        <row r="3168">
          <cell r="A3168" t="str">
            <v>M.CO.0000269</v>
          </cell>
        </row>
        <row r="3169">
          <cell r="A3169" t="str">
            <v>M.CO.0000270</v>
          </cell>
        </row>
        <row r="3170">
          <cell r="A3170" t="str">
            <v>M.CO.0000271</v>
          </cell>
        </row>
        <row r="3171">
          <cell r="A3171" t="str">
            <v>M.CO.0000272</v>
          </cell>
        </row>
        <row r="3172">
          <cell r="A3172" t="str">
            <v>M.CO.0000273</v>
          </cell>
        </row>
        <row r="3173">
          <cell r="A3173" t="str">
            <v>M.CO.0000274</v>
          </cell>
        </row>
        <row r="3174">
          <cell r="A3174" t="str">
            <v>M.CO.0000275</v>
          </cell>
        </row>
        <row r="3175">
          <cell r="A3175" t="str">
            <v>M.CO.0000276</v>
          </cell>
        </row>
        <row r="3176">
          <cell r="A3176" t="str">
            <v>M.CO.0000277</v>
          </cell>
        </row>
        <row r="3177">
          <cell r="A3177" t="str">
            <v>M.CO.0000278</v>
          </cell>
        </row>
        <row r="3178">
          <cell r="A3178" t="str">
            <v>M.CO.0000279</v>
          </cell>
        </row>
        <row r="3179">
          <cell r="A3179" t="str">
            <v>M.CO.0000280</v>
          </cell>
        </row>
        <row r="3180">
          <cell r="A3180" t="str">
            <v>M.CO.0000281</v>
          </cell>
        </row>
        <row r="3181">
          <cell r="A3181" t="str">
            <v>M.CO.0000282</v>
          </cell>
        </row>
        <row r="3182">
          <cell r="A3182" t="str">
            <v>M.CO.0000283</v>
          </cell>
        </row>
        <row r="3183">
          <cell r="A3183" t="str">
            <v>M.CO.0000284</v>
          </cell>
        </row>
        <row r="3184">
          <cell r="A3184" t="str">
            <v>M.CO.0000285</v>
          </cell>
        </row>
        <row r="3185">
          <cell r="A3185" t="str">
            <v>M.CO.0000286</v>
          </cell>
        </row>
        <row r="3186">
          <cell r="A3186" t="str">
            <v>M.CO.0000287</v>
          </cell>
        </row>
        <row r="3187">
          <cell r="A3187" t="str">
            <v>M.CO.0000288</v>
          </cell>
        </row>
        <row r="3188">
          <cell r="A3188" t="str">
            <v>M.CO.0000289</v>
          </cell>
        </row>
        <row r="3189">
          <cell r="A3189" t="str">
            <v>M.CO.0000290</v>
          </cell>
        </row>
        <row r="3190">
          <cell r="A3190" t="str">
            <v>M.CO.0000291</v>
          </cell>
        </row>
        <row r="3191">
          <cell r="A3191" t="str">
            <v>M.CO.0000292</v>
          </cell>
        </row>
        <row r="3192">
          <cell r="A3192" t="str">
            <v>M.CO.0000293</v>
          </cell>
        </row>
        <row r="3193">
          <cell r="A3193" t="str">
            <v>M.CO.0000294</v>
          </cell>
        </row>
        <row r="3194">
          <cell r="A3194" t="str">
            <v>M.CO.0000295</v>
          </cell>
        </row>
        <row r="3195">
          <cell r="A3195" t="str">
            <v>M.CO.0000296</v>
          </cell>
        </row>
        <row r="3196">
          <cell r="A3196" t="str">
            <v>M.CO.0000297</v>
          </cell>
        </row>
        <row r="3197">
          <cell r="A3197" t="str">
            <v>M.CO.0000298</v>
          </cell>
        </row>
        <row r="3198">
          <cell r="A3198" t="str">
            <v>M.CO.0000299</v>
          </cell>
        </row>
        <row r="3199">
          <cell r="A3199" t="str">
            <v>M.CO.0000300</v>
          </cell>
        </row>
        <row r="3200">
          <cell r="A3200" t="str">
            <v>M.CO.0000301</v>
          </cell>
        </row>
        <row r="3201">
          <cell r="A3201" t="str">
            <v>M.CO.0000302</v>
          </cell>
        </row>
        <row r="3202">
          <cell r="A3202" t="str">
            <v>M.CO.0000303</v>
          </cell>
        </row>
        <row r="3203">
          <cell r="A3203" t="str">
            <v>M.CO.0000304</v>
          </cell>
        </row>
        <row r="3204">
          <cell r="A3204" t="str">
            <v>M.CO.0000305</v>
          </cell>
        </row>
        <row r="3205">
          <cell r="A3205" t="str">
            <v>M.CO.0000306</v>
          </cell>
        </row>
        <row r="3206">
          <cell r="A3206" t="str">
            <v>M.CO.0000307</v>
          </cell>
        </row>
        <row r="3207">
          <cell r="A3207" t="str">
            <v>M.CO.0000308</v>
          </cell>
        </row>
        <row r="3208">
          <cell r="A3208" t="str">
            <v>M.CO.0000309</v>
          </cell>
        </row>
        <row r="3209">
          <cell r="A3209" t="str">
            <v>M.CO.0000310</v>
          </cell>
        </row>
        <row r="3210">
          <cell r="A3210" t="str">
            <v>M.CO.0000311</v>
          </cell>
        </row>
        <row r="3211">
          <cell r="A3211" t="str">
            <v>M.CO.0000312</v>
          </cell>
        </row>
        <row r="3212">
          <cell r="A3212" t="str">
            <v>M.CO.0000313</v>
          </cell>
        </row>
        <row r="3213">
          <cell r="A3213" t="str">
            <v>M.CO.0000314</v>
          </cell>
        </row>
        <row r="3214">
          <cell r="A3214" t="str">
            <v>M.CO.0000315</v>
          </cell>
        </row>
        <row r="3215">
          <cell r="A3215" t="str">
            <v>M.CO.0000316</v>
          </cell>
        </row>
        <row r="3216">
          <cell r="A3216" t="str">
            <v>M.CO.0000317</v>
          </cell>
        </row>
        <row r="3217">
          <cell r="A3217" t="str">
            <v>M.CO.0000318</v>
          </cell>
        </row>
        <row r="3218">
          <cell r="A3218" t="str">
            <v>M.CO.0000319</v>
          </cell>
        </row>
        <row r="3219">
          <cell r="A3219" t="str">
            <v>M.CO.0000320</v>
          </cell>
        </row>
        <row r="3220">
          <cell r="A3220" t="str">
            <v>M.CO.0000321</v>
          </cell>
        </row>
        <row r="3221">
          <cell r="A3221" t="str">
            <v>M.CO.0000322</v>
          </cell>
        </row>
        <row r="3222">
          <cell r="A3222" t="str">
            <v>M.CO.0000323</v>
          </cell>
        </row>
        <row r="3223">
          <cell r="A3223" t="str">
            <v>M.CO.0000324</v>
          </cell>
        </row>
        <row r="3224">
          <cell r="A3224" t="str">
            <v>M.CO.0000325</v>
          </cell>
        </row>
        <row r="3225">
          <cell r="A3225" t="str">
            <v>M.CO.0000326</v>
          </cell>
        </row>
        <row r="3226">
          <cell r="A3226" t="str">
            <v>M.CO.0000327</v>
          </cell>
        </row>
        <row r="3227">
          <cell r="A3227" t="str">
            <v>M.CO.0000328</v>
          </cell>
        </row>
        <row r="3228">
          <cell r="A3228" t="str">
            <v>M.CO.0000329</v>
          </cell>
        </row>
        <row r="3229">
          <cell r="A3229" t="str">
            <v>M.CO.0000330</v>
          </cell>
        </row>
        <row r="3230">
          <cell r="A3230" t="str">
            <v>M.CO.0000331</v>
          </cell>
        </row>
        <row r="3231">
          <cell r="A3231" t="str">
            <v>M.CO.0000332</v>
          </cell>
        </row>
        <row r="3232">
          <cell r="A3232" t="str">
            <v>M.CO.0000333</v>
          </cell>
        </row>
        <row r="3233">
          <cell r="A3233" t="str">
            <v>M.CO.0000334</v>
          </cell>
        </row>
        <row r="3234">
          <cell r="A3234" t="str">
            <v>M.CO.0000335</v>
          </cell>
        </row>
        <row r="3235">
          <cell r="A3235" t="str">
            <v>M.CO.0000336</v>
          </cell>
        </row>
        <row r="3236">
          <cell r="A3236" t="str">
            <v>M.CO.0000337</v>
          </cell>
        </row>
        <row r="3237">
          <cell r="A3237" t="str">
            <v>M.CO.0000338</v>
          </cell>
        </row>
        <row r="3238">
          <cell r="A3238" t="str">
            <v>M.CO.0000339</v>
          </cell>
        </row>
        <row r="3239">
          <cell r="A3239" t="str">
            <v>M.CO.0000340</v>
          </cell>
        </row>
        <row r="3240">
          <cell r="A3240" t="str">
            <v>M.CO.0000341</v>
          </cell>
        </row>
        <row r="3241">
          <cell r="A3241" t="str">
            <v>M.CO.0000342</v>
          </cell>
        </row>
        <row r="3242">
          <cell r="A3242" t="str">
            <v>M.CO.0000343</v>
          </cell>
        </row>
        <row r="3243">
          <cell r="A3243" t="str">
            <v>M.CO.0000344</v>
          </cell>
        </row>
        <row r="3244">
          <cell r="A3244" t="str">
            <v>M.CO.0000345</v>
          </cell>
        </row>
        <row r="3245">
          <cell r="A3245" t="str">
            <v>M.CO.0000346</v>
          </cell>
        </row>
        <row r="3246">
          <cell r="A3246" t="str">
            <v>M.CO.0000347</v>
          </cell>
        </row>
        <row r="3247">
          <cell r="A3247" t="str">
            <v>M.CO.0000348</v>
          </cell>
        </row>
        <row r="3248">
          <cell r="A3248" t="str">
            <v>M.CO.0000349</v>
          </cell>
        </row>
        <row r="3249">
          <cell r="A3249" t="str">
            <v>M.CO.0000350</v>
          </cell>
        </row>
        <row r="3250">
          <cell r="A3250" t="str">
            <v>M.CO.0000351</v>
          </cell>
        </row>
        <row r="3251">
          <cell r="A3251" t="str">
            <v>M.CO.0000352</v>
          </cell>
        </row>
        <row r="3252">
          <cell r="A3252" t="str">
            <v>M.CO.0000353</v>
          </cell>
        </row>
        <row r="3253">
          <cell r="A3253" t="str">
            <v>M.CO.0000354</v>
          </cell>
        </row>
        <row r="3254">
          <cell r="A3254" t="str">
            <v>M.CO.0000355</v>
          </cell>
        </row>
        <row r="3255">
          <cell r="A3255" t="str">
            <v>M.CO.0000356</v>
          </cell>
        </row>
        <row r="3256">
          <cell r="A3256" t="str">
            <v>M.CO.0000357</v>
          </cell>
        </row>
        <row r="3257">
          <cell r="A3257" t="str">
            <v>M.CO.0000358</v>
          </cell>
        </row>
        <row r="3258">
          <cell r="A3258" t="str">
            <v>M.CO.0000359</v>
          </cell>
        </row>
        <row r="3259">
          <cell r="A3259" t="str">
            <v>M.CO.0000360</v>
          </cell>
        </row>
        <row r="3260">
          <cell r="A3260" t="str">
            <v>M.CO.0000361</v>
          </cell>
        </row>
        <row r="3261">
          <cell r="A3261" t="str">
            <v>M.CO.0000362</v>
          </cell>
        </row>
        <row r="3262">
          <cell r="A3262" t="str">
            <v>M.CO.0000363</v>
          </cell>
        </row>
        <row r="3263">
          <cell r="A3263" t="str">
            <v>M.CO.0000364</v>
          </cell>
        </row>
        <row r="3264">
          <cell r="A3264" t="str">
            <v>M.CO.0000365</v>
          </cell>
        </row>
        <row r="3265">
          <cell r="A3265" t="str">
            <v>M.CO.0000366</v>
          </cell>
        </row>
        <row r="3266">
          <cell r="A3266" t="str">
            <v>M.CO.0000367</v>
          </cell>
        </row>
        <row r="3267">
          <cell r="A3267" t="str">
            <v>M.CO.0000368</v>
          </cell>
        </row>
        <row r="3268">
          <cell r="A3268" t="str">
            <v>M.CO.0000369</v>
          </cell>
        </row>
        <row r="3269">
          <cell r="A3269" t="str">
            <v>M.CO.0000370</v>
          </cell>
        </row>
        <row r="3270">
          <cell r="A3270" t="str">
            <v>M.CO.0000371</v>
          </cell>
        </row>
        <row r="3271">
          <cell r="A3271" t="str">
            <v>M.CO.0000372</v>
          </cell>
        </row>
        <row r="3272">
          <cell r="A3272" t="str">
            <v>M.CO.0000373</v>
          </cell>
        </row>
        <row r="3273">
          <cell r="A3273" t="str">
            <v>M.CO.0000374</v>
          </cell>
        </row>
        <row r="3274">
          <cell r="A3274" t="str">
            <v>M.CO.0000375</v>
          </cell>
        </row>
        <row r="3275">
          <cell r="A3275" t="str">
            <v>M.CO.0000376</v>
          </cell>
        </row>
        <row r="3276">
          <cell r="A3276" t="str">
            <v>M.CO.0000377</v>
          </cell>
        </row>
        <row r="3277">
          <cell r="A3277" t="str">
            <v>M.CO.0000378</v>
          </cell>
        </row>
        <row r="3278">
          <cell r="A3278" t="str">
            <v>M.CO.0000379</v>
          </cell>
        </row>
        <row r="3279">
          <cell r="A3279" t="str">
            <v>M.CO.0000380</v>
          </cell>
        </row>
        <row r="3280">
          <cell r="A3280" t="str">
            <v>M.CO.0000381</v>
          </cell>
        </row>
        <row r="3281">
          <cell r="A3281" t="str">
            <v>M.CO.0000382</v>
          </cell>
        </row>
        <row r="3282">
          <cell r="A3282" t="str">
            <v>M.CO.0000383</v>
          </cell>
        </row>
        <row r="3283">
          <cell r="A3283" t="str">
            <v>M.CO.0000384</v>
          </cell>
        </row>
        <row r="3284">
          <cell r="A3284" t="str">
            <v>M.CO.0000385</v>
          </cell>
        </row>
        <row r="3285">
          <cell r="A3285" t="str">
            <v>M.CO.0000386</v>
          </cell>
        </row>
        <row r="3286">
          <cell r="A3286" t="str">
            <v>M.CO.0000387</v>
          </cell>
        </row>
        <row r="3287">
          <cell r="A3287" t="str">
            <v>M.CO.0000388</v>
          </cell>
        </row>
        <row r="3288">
          <cell r="A3288" t="str">
            <v>M.CO.0000389</v>
          </cell>
        </row>
        <row r="3289">
          <cell r="A3289" t="str">
            <v>M.CO.0000390</v>
          </cell>
        </row>
        <row r="3290">
          <cell r="A3290" t="str">
            <v>M.CO.0000392</v>
          </cell>
        </row>
        <row r="3291">
          <cell r="A3291" t="str">
            <v>M.CO.0000393</v>
          </cell>
        </row>
        <row r="3292">
          <cell r="A3292" t="str">
            <v>M.CO.0000394</v>
          </cell>
        </row>
        <row r="3293">
          <cell r="A3293" t="str">
            <v>M.CO.0000395</v>
          </cell>
        </row>
        <row r="3294">
          <cell r="A3294" t="str">
            <v>M.CO.0000400</v>
          </cell>
        </row>
        <row r="3295">
          <cell r="A3295" t="str">
            <v>M.CO.0000401</v>
          </cell>
        </row>
        <row r="3296">
          <cell r="A3296" t="str">
            <v>M.CO.0000402</v>
          </cell>
        </row>
        <row r="3297">
          <cell r="A3297" t="str">
            <v>M.CO.0000403</v>
          </cell>
        </row>
        <row r="3298">
          <cell r="A3298" t="str">
            <v>M.CO.0000404</v>
          </cell>
        </row>
        <row r="3299">
          <cell r="A3299" t="str">
            <v>M.CO.0000405</v>
          </cell>
        </row>
        <row r="3300">
          <cell r="A3300" t="str">
            <v>M.CO.0000406</v>
          </cell>
        </row>
        <row r="3301">
          <cell r="A3301" t="str">
            <v>M.CO.0000407</v>
          </cell>
        </row>
        <row r="3302">
          <cell r="A3302" t="str">
            <v>M.CO.0000408</v>
          </cell>
        </row>
        <row r="3303">
          <cell r="A3303" t="str">
            <v>M.CO.0000409</v>
          </cell>
        </row>
        <row r="3304">
          <cell r="A3304" t="str">
            <v>M.CO.0000410</v>
          </cell>
        </row>
        <row r="3305">
          <cell r="A3305" t="str">
            <v>M.CO.0000411</v>
          </cell>
        </row>
        <row r="3306">
          <cell r="A3306" t="str">
            <v>M.CO.0000412</v>
          </cell>
        </row>
        <row r="3307">
          <cell r="A3307" t="str">
            <v>M.CO.0000413</v>
          </cell>
        </row>
        <row r="3308">
          <cell r="A3308" t="str">
            <v>M.CO.0000414</v>
          </cell>
        </row>
        <row r="3309">
          <cell r="A3309" t="str">
            <v>M.CO.0000415</v>
          </cell>
        </row>
        <row r="3310">
          <cell r="A3310" t="str">
            <v>M.CO.0000418</v>
          </cell>
        </row>
        <row r="3311">
          <cell r="A3311" t="str">
            <v>M.CO.0000419</v>
          </cell>
        </row>
        <row r="3312">
          <cell r="A3312" t="str">
            <v>M.CO.0000420</v>
          </cell>
        </row>
        <row r="3313">
          <cell r="A3313" t="str">
            <v>M.CO.0000421</v>
          </cell>
        </row>
        <row r="3314">
          <cell r="A3314" t="str">
            <v>M.CO.0000422</v>
          </cell>
        </row>
        <row r="3315">
          <cell r="A3315" t="str">
            <v>M.CO.0000423</v>
          </cell>
        </row>
        <row r="3316">
          <cell r="A3316" t="str">
            <v>M.CO.0000424</v>
          </cell>
        </row>
        <row r="3317">
          <cell r="A3317" t="str">
            <v>M.CO.0000425</v>
          </cell>
        </row>
        <row r="3318">
          <cell r="A3318" t="str">
            <v>M.CO.0000426</v>
          </cell>
        </row>
        <row r="3319">
          <cell r="A3319" t="str">
            <v>M.CO.0000427</v>
          </cell>
        </row>
        <row r="3320">
          <cell r="A3320" t="str">
            <v>M.CO.0000428</v>
          </cell>
        </row>
        <row r="3321">
          <cell r="A3321" t="str">
            <v>M.CO.0000429</v>
          </cell>
        </row>
        <row r="3322">
          <cell r="A3322" t="str">
            <v>M.CO.0000430</v>
          </cell>
        </row>
        <row r="3323">
          <cell r="A3323" t="str">
            <v>M.CO.0000431</v>
          </cell>
        </row>
        <row r="3324">
          <cell r="A3324" t="str">
            <v>M.CO.0000432</v>
          </cell>
        </row>
        <row r="3325">
          <cell r="A3325" t="str">
            <v>M.CO.0000433</v>
          </cell>
        </row>
        <row r="3326">
          <cell r="A3326" t="str">
            <v>M.CO.0000434</v>
          </cell>
        </row>
        <row r="3327">
          <cell r="A3327" t="str">
            <v>M.CO.0000435</v>
          </cell>
        </row>
        <row r="3328">
          <cell r="A3328" t="str">
            <v>M.CO.0000436</v>
          </cell>
        </row>
        <row r="3329">
          <cell r="A3329" t="str">
            <v>M.CO.0000437</v>
          </cell>
        </row>
        <row r="3330">
          <cell r="A3330" t="str">
            <v>M.CO.0000438</v>
          </cell>
        </row>
        <row r="3331">
          <cell r="A3331" t="str">
            <v>M.CO.0000439</v>
          </cell>
        </row>
        <row r="3332">
          <cell r="A3332" t="str">
            <v>M.CO.0000440</v>
          </cell>
        </row>
        <row r="3333">
          <cell r="A3333" t="str">
            <v>M.CO.0000441</v>
          </cell>
        </row>
        <row r="3334">
          <cell r="A3334" t="str">
            <v>M.CO.0000442</v>
          </cell>
        </row>
        <row r="3335">
          <cell r="A3335" t="str">
            <v>M.CO.0000443</v>
          </cell>
        </row>
        <row r="3336">
          <cell r="A3336" t="str">
            <v>M.CO.0000444</v>
          </cell>
        </row>
        <row r="3337">
          <cell r="A3337" t="str">
            <v>M.CO.0000445</v>
          </cell>
        </row>
        <row r="3338">
          <cell r="A3338" t="str">
            <v>M.CO.0000446</v>
          </cell>
        </row>
        <row r="3339">
          <cell r="A3339" t="str">
            <v>M.CO.0000447</v>
          </cell>
        </row>
        <row r="3340">
          <cell r="A3340" t="str">
            <v>M.CO.0000448</v>
          </cell>
        </row>
        <row r="3341">
          <cell r="A3341" t="str">
            <v>M.CO.0000449</v>
          </cell>
        </row>
        <row r="3342">
          <cell r="A3342" t="str">
            <v>M.CO.0000450</v>
          </cell>
        </row>
        <row r="3343">
          <cell r="A3343" t="str">
            <v>M.CO.0000452</v>
          </cell>
        </row>
        <row r="3344">
          <cell r="A3344" t="str">
            <v>M.CO.0000453</v>
          </cell>
        </row>
        <row r="3345">
          <cell r="A3345" t="str">
            <v>M.CO.0000454</v>
          </cell>
        </row>
        <row r="3346">
          <cell r="A3346" t="str">
            <v>M.CO.0000455</v>
          </cell>
        </row>
        <row r="3347">
          <cell r="A3347" t="str">
            <v>M.CO.0000456</v>
          </cell>
        </row>
        <row r="3348">
          <cell r="A3348" t="str">
            <v>M.CO.0000457</v>
          </cell>
        </row>
        <row r="3349">
          <cell r="A3349" t="str">
            <v>M.CO.0000458</v>
          </cell>
        </row>
        <row r="3350">
          <cell r="A3350" t="str">
            <v>M.CO.0000459</v>
          </cell>
        </row>
        <row r="3351">
          <cell r="A3351" t="str">
            <v>M.CO.0000460</v>
          </cell>
        </row>
        <row r="3352">
          <cell r="A3352" t="str">
            <v>M.CO.0000461</v>
          </cell>
        </row>
        <row r="3353">
          <cell r="A3353" t="str">
            <v>M.CO.0000462</v>
          </cell>
        </row>
        <row r="3354">
          <cell r="A3354" t="str">
            <v>M.CO.0000463</v>
          </cell>
        </row>
        <row r="3355">
          <cell r="A3355" t="str">
            <v>M.CO.0000464</v>
          </cell>
        </row>
        <row r="3356">
          <cell r="A3356" t="str">
            <v>M.CO.0000465</v>
          </cell>
        </row>
        <row r="3357">
          <cell r="A3357" t="str">
            <v>M.CO.0000466</v>
          </cell>
        </row>
        <row r="3358">
          <cell r="A3358" t="str">
            <v>M.CO.0000467</v>
          </cell>
        </row>
        <row r="3359">
          <cell r="A3359" t="str">
            <v>M.CO.0000468</v>
          </cell>
        </row>
        <row r="3360">
          <cell r="A3360" t="str">
            <v>M.CO.0000469</v>
          </cell>
        </row>
        <row r="3361">
          <cell r="A3361" t="str">
            <v>M.CO.0000470</v>
          </cell>
        </row>
        <row r="3362">
          <cell r="A3362" t="str">
            <v>M.CO.0000471</v>
          </cell>
        </row>
        <row r="3363">
          <cell r="A3363" t="str">
            <v>M.CO.0000472</v>
          </cell>
        </row>
        <row r="3364">
          <cell r="A3364" t="str">
            <v>M.CO.0000473</v>
          </cell>
        </row>
        <row r="3365">
          <cell r="A3365" t="str">
            <v>M.CO.0000474</v>
          </cell>
        </row>
        <row r="3366">
          <cell r="A3366" t="str">
            <v>M.CO.0000475</v>
          </cell>
        </row>
        <row r="3367">
          <cell r="A3367" t="str">
            <v>M.CO.0000476</v>
          </cell>
        </row>
        <row r="3368">
          <cell r="A3368" t="str">
            <v>M.CO.0000477</v>
          </cell>
        </row>
        <row r="3369">
          <cell r="A3369" t="str">
            <v>M.CO.0000478</v>
          </cell>
        </row>
        <row r="3370">
          <cell r="A3370" t="str">
            <v>M.CO.0000479</v>
          </cell>
        </row>
        <row r="3371">
          <cell r="A3371" t="str">
            <v>M.CO.0000480</v>
          </cell>
        </row>
        <row r="3372">
          <cell r="A3372" t="str">
            <v>M.CO.0000481</v>
          </cell>
        </row>
        <row r="3373">
          <cell r="A3373" t="str">
            <v>M.CO.0000482</v>
          </cell>
        </row>
        <row r="3374">
          <cell r="A3374" t="str">
            <v>M.CO.0000483</v>
          </cell>
        </row>
        <row r="3375">
          <cell r="A3375" t="str">
            <v>M.CO.0000484</v>
          </cell>
        </row>
        <row r="3376">
          <cell r="A3376" t="str">
            <v>M.CO.0000485</v>
          </cell>
        </row>
        <row r="3377">
          <cell r="A3377" t="str">
            <v>M.CO.0000489</v>
          </cell>
        </row>
        <row r="3378">
          <cell r="A3378" t="str">
            <v>M.CO.0000490</v>
          </cell>
        </row>
        <row r="3379">
          <cell r="A3379" t="str">
            <v>M.CO.0000491</v>
          </cell>
        </row>
        <row r="3380">
          <cell r="A3380" t="str">
            <v>M.CO.0000492</v>
          </cell>
        </row>
        <row r="3381">
          <cell r="A3381" t="str">
            <v>M.CO.0000493</v>
          </cell>
        </row>
        <row r="3382">
          <cell r="A3382" t="str">
            <v>M.CO.0000494</v>
          </cell>
        </row>
        <row r="3383">
          <cell r="A3383" t="str">
            <v>M.CO.0000495</v>
          </cell>
        </row>
        <row r="3384">
          <cell r="A3384" t="str">
            <v>M.CO.0000496</v>
          </cell>
        </row>
        <row r="3385">
          <cell r="A3385" t="str">
            <v>M.CO.0000497</v>
          </cell>
        </row>
        <row r="3386">
          <cell r="A3386" t="str">
            <v>M.CO.0000498</v>
          </cell>
        </row>
        <row r="3387">
          <cell r="A3387" t="str">
            <v>M.CO.0000499</v>
          </cell>
        </row>
        <row r="3388">
          <cell r="A3388" t="str">
            <v>M.CO.0000500</v>
          </cell>
        </row>
        <row r="3389">
          <cell r="A3389" t="str">
            <v>M.CO.0000501</v>
          </cell>
        </row>
        <row r="3390">
          <cell r="A3390" t="str">
            <v>M.CO.0000502</v>
          </cell>
        </row>
        <row r="3391">
          <cell r="A3391" t="str">
            <v>M.CO.0000503</v>
          </cell>
        </row>
        <row r="3392">
          <cell r="A3392" t="str">
            <v>M.CO.0000504</v>
          </cell>
        </row>
        <row r="3393">
          <cell r="A3393" t="str">
            <v>M.CO.0000505</v>
          </cell>
        </row>
        <row r="3394">
          <cell r="A3394" t="str">
            <v>M.CO.0000506</v>
          </cell>
        </row>
        <row r="3395">
          <cell r="A3395" t="str">
            <v>M.CO.0000507</v>
          </cell>
        </row>
        <row r="3396">
          <cell r="A3396" t="str">
            <v>M.CO.0000508</v>
          </cell>
        </row>
        <row r="3397">
          <cell r="A3397" t="str">
            <v>M.CO.0000509</v>
          </cell>
        </row>
        <row r="3398">
          <cell r="A3398" t="str">
            <v>M.CO.0000510</v>
          </cell>
        </row>
        <row r="3399">
          <cell r="A3399" t="str">
            <v>M.CO.0000511</v>
          </cell>
        </row>
        <row r="3400">
          <cell r="A3400" t="str">
            <v>M.CO.0000512</v>
          </cell>
        </row>
        <row r="3401">
          <cell r="A3401" t="str">
            <v>M.CO.0000513</v>
          </cell>
        </row>
        <row r="3402">
          <cell r="A3402" t="str">
            <v>M.CO.0000514</v>
          </cell>
        </row>
        <row r="3403">
          <cell r="A3403" t="str">
            <v>M.CO.0000515</v>
          </cell>
        </row>
        <row r="3404">
          <cell r="A3404" t="str">
            <v>M.CO.0000516</v>
          </cell>
        </row>
        <row r="3405">
          <cell r="A3405" t="str">
            <v>M.CO.0000517</v>
          </cell>
        </row>
        <row r="3406">
          <cell r="A3406" t="str">
            <v>M.CO.0000518</v>
          </cell>
        </row>
        <row r="3407">
          <cell r="A3407" t="str">
            <v>M.CO.0000519</v>
          </cell>
        </row>
        <row r="3408">
          <cell r="A3408" t="str">
            <v>M.CO.0000520</v>
          </cell>
        </row>
        <row r="3409">
          <cell r="A3409" t="str">
            <v>M.CO.0000521</v>
          </cell>
        </row>
        <row r="3410">
          <cell r="A3410" t="str">
            <v>M.CO.0000522</v>
          </cell>
        </row>
        <row r="3411">
          <cell r="A3411" t="str">
            <v>M.CO.0000523</v>
          </cell>
        </row>
        <row r="3412">
          <cell r="A3412" t="str">
            <v>M.CO.0000524</v>
          </cell>
        </row>
        <row r="3413">
          <cell r="A3413" t="str">
            <v>M.CO.0000525</v>
          </cell>
        </row>
        <row r="3414">
          <cell r="A3414" t="str">
            <v>M.CO.0000526</v>
          </cell>
        </row>
        <row r="3415">
          <cell r="A3415" t="str">
            <v>M.CO.0000527</v>
          </cell>
        </row>
        <row r="3416">
          <cell r="A3416" t="str">
            <v>M.CO.0000528</v>
          </cell>
        </row>
        <row r="3417">
          <cell r="A3417" t="str">
            <v>M.CO.0000529</v>
          </cell>
        </row>
        <row r="3418">
          <cell r="A3418" t="str">
            <v>M.CO.0000530</v>
          </cell>
        </row>
        <row r="3419">
          <cell r="A3419" t="str">
            <v>M.CO.0000531</v>
          </cell>
        </row>
        <row r="3420">
          <cell r="A3420" t="str">
            <v>M.CO.0000532</v>
          </cell>
        </row>
        <row r="3421">
          <cell r="A3421" t="str">
            <v>M.CO.0000533</v>
          </cell>
        </row>
        <row r="3422">
          <cell r="A3422" t="str">
            <v>M.CO.0000534</v>
          </cell>
        </row>
        <row r="3423">
          <cell r="A3423" t="str">
            <v>M.CO.0000535</v>
          </cell>
        </row>
        <row r="3424">
          <cell r="A3424" t="str">
            <v>M.CO.0000536</v>
          </cell>
        </row>
        <row r="3425">
          <cell r="A3425" t="str">
            <v>M.CO.0000537</v>
          </cell>
        </row>
        <row r="3426">
          <cell r="A3426" t="str">
            <v>M.CO.0000538</v>
          </cell>
        </row>
        <row r="3427">
          <cell r="A3427" t="str">
            <v>M.CO.0000539</v>
          </cell>
        </row>
        <row r="3428">
          <cell r="A3428" t="str">
            <v>M.CO.0000540</v>
          </cell>
        </row>
        <row r="3429">
          <cell r="A3429" t="str">
            <v>M.CO.0000541</v>
          </cell>
        </row>
        <row r="3430">
          <cell r="A3430" t="str">
            <v>M.CO.0000542</v>
          </cell>
        </row>
        <row r="3431">
          <cell r="A3431" t="str">
            <v>M.CO.0000543</v>
          </cell>
        </row>
        <row r="3432">
          <cell r="A3432" t="str">
            <v>M.CO.0000544</v>
          </cell>
        </row>
        <row r="3433">
          <cell r="A3433" t="str">
            <v>M.CO.0000545</v>
          </cell>
        </row>
        <row r="3434">
          <cell r="A3434" t="str">
            <v>M.CO.0000546</v>
          </cell>
        </row>
        <row r="3435">
          <cell r="A3435" t="str">
            <v>M.CO.0000547</v>
          </cell>
        </row>
        <row r="3436">
          <cell r="A3436" t="str">
            <v>M.CO.0000548</v>
          </cell>
        </row>
        <row r="3437">
          <cell r="A3437" t="str">
            <v>M.CO.0000549</v>
          </cell>
        </row>
        <row r="3438">
          <cell r="A3438" t="str">
            <v>M.CO.0000550</v>
          </cell>
        </row>
        <row r="3439">
          <cell r="A3439" t="str">
            <v>M.CO.0000551</v>
          </cell>
        </row>
        <row r="3440">
          <cell r="A3440" t="str">
            <v>M.CO.0000552</v>
          </cell>
        </row>
        <row r="3441">
          <cell r="A3441" t="str">
            <v>M.CO.0000553</v>
          </cell>
        </row>
        <row r="3442">
          <cell r="A3442" t="str">
            <v>M.CO.0000554</v>
          </cell>
        </row>
        <row r="3443">
          <cell r="A3443" t="str">
            <v>M.CO.0000555</v>
          </cell>
        </row>
        <row r="3444">
          <cell r="A3444" t="str">
            <v>M.CO.0000556</v>
          </cell>
        </row>
        <row r="3445">
          <cell r="A3445" t="str">
            <v>M.CO.0000557</v>
          </cell>
        </row>
        <row r="3446">
          <cell r="A3446" t="str">
            <v>M.CO.0000558</v>
          </cell>
        </row>
        <row r="3447">
          <cell r="A3447" t="str">
            <v>M.CO.0000559</v>
          </cell>
        </row>
        <row r="3448">
          <cell r="A3448" t="str">
            <v>M.CO.0000560</v>
          </cell>
        </row>
        <row r="3449">
          <cell r="A3449" t="str">
            <v>M.CO.0000561</v>
          </cell>
        </row>
        <row r="3450">
          <cell r="A3450" t="str">
            <v>M.CO.0000562</v>
          </cell>
        </row>
        <row r="3451">
          <cell r="A3451" t="str">
            <v>M.CO.0000563</v>
          </cell>
        </row>
        <row r="3452">
          <cell r="A3452" t="str">
            <v>M.CO.0000564</v>
          </cell>
        </row>
        <row r="3453">
          <cell r="A3453" t="str">
            <v>M.CO.0000565</v>
          </cell>
        </row>
        <row r="3454">
          <cell r="A3454" t="str">
            <v>M.CO.0000566</v>
          </cell>
        </row>
        <row r="3455">
          <cell r="A3455" t="str">
            <v>M.CO.0000567</v>
          </cell>
        </row>
        <row r="3456">
          <cell r="A3456" t="str">
            <v>M.CO.0000568</v>
          </cell>
        </row>
        <row r="3457">
          <cell r="A3457" t="str">
            <v>M.CO.0000569</v>
          </cell>
        </row>
        <row r="3458">
          <cell r="A3458" t="str">
            <v>M.CO.0000570</v>
          </cell>
        </row>
        <row r="3459">
          <cell r="A3459" t="str">
            <v>M.CO.0000571</v>
          </cell>
        </row>
        <row r="3460">
          <cell r="A3460" t="str">
            <v>M.CO.0000572</v>
          </cell>
        </row>
        <row r="3461">
          <cell r="A3461" t="str">
            <v>M.CO.0000573</v>
          </cell>
        </row>
        <row r="3462">
          <cell r="A3462" t="str">
            <v>M.CO.0000574</v>
          </cell>
        </row>
        <row r="3463">
          <cell r="A3463" t="str">
            <v>M.CO.0000575</v>
          </cell>
        </row>
        <row r="3464">
          <cell r="A3464" t="str">
            <v>M.CO.0000576</v>
          </cell>
        </row>
        <row r="3465">
          <cell r="A3465" t="str">
            <v>M.CO.0000577</v>
          </cell>
        </row>
        <row r="3466">
          <cell r="A3466" t="str">
            <v>M.CO.0000578</v>
          </cell>
        </row>
        <row r="3467">
          <cell r="A3467" t="str">
            <v>M.CO.0000579</v>
          </cell>
        </row>
        <row r="3468">
          <cell r="A3468" t="str">
            <v>M.CO.0000580</v>
          </cell>
        </row>
        <row r="3469">
          <cell r="A3469" t="str">
            <v>M.CO.0000581</v>
          </cell>
        </row>
        <row r="3470">
          <cell r="A3470" t="str">
            <v>M.CO.0000582</v>
          </cell>
        </row>
        <row r="3471">
          <cell r="A3471" t="str">
            <v>M.CO.0000583</v>
          </cell>
        </row>
        <row r="3472">
          <cell r="A3472" t="str">
            <v>M.CO.0000587</v>
          </cell>
        </row>
        <row r="3473">
          <cell r="A3473" t="str">
            <v>M.CO.0000588</v>
          </cell>
        </row>
        <row r="3474">
          <cell r="A3474" t="str">
            <v>M.CO.0000589</v>
          </cell>
        </row>
        <row r="3475">
          <cell r="A3475" t="str">
            <v>M.CO.0000590</v>
          </cell>
        </row>
        <row r="3476">
          <cell r="A3476" t="str">
            <v>M.CO.0000591</v>
          </cell>
        </row>
        <row r="3477">
          <cell r="A3477" t="str">
            <v>M.CO.0000592</v>
          </cell>
        </row>
        <row r="3478">
          <cell r="A3478" t="str">
            <v>M.CO.0000593</v>
          </cell>
        </row>
        <row r="3479">
          <cell r="A3479" t="str">
            <v>M.CO.0000594</v>
          </cell>
        </row>
        <row r="3480">
          <cell r="A3480" t="str">
            <v>M.CO.0000595</v>
          </cell>
        </row>
        <row r="3481">
          <cell r="A3481" t="str">
            <v>M.CO.0000596</v>
          </cell>
        </row>
        <row r="3482">
          <cell r="A3482" t="str">
            <v>M.CO.0000597</v>
          </cell>
        </row>
        <row r="3483">
          <cell r="A3483" t="str">
            <v>M.CO.0000598</v>
          </cell>
        </row>
        <row r="3484">
          <cell r="A3484" t="str">
            <v>M.CO.0000599</v>
          </cell>
        </row>
        <row r="3485">
          <cell r="A3485" t="str">
            <v>M.CO.0000600</v>
          </cell>
        </row>
        <row r="3486">
          <cell r="A3486" t="str">
            <v>M.CO.0000601</v>
          </cell>
        </row>
        <row r="3487">
          <cell r="A3487" t="str">
            <v>M.CO.0000602</v>
          </cell>
        </row>
        <row r="3488">
          <cell r="A3488" t="str">
            <v>M.CO.0000603</v>
          </cell>
        </row>
        <row r="3489">
          <cell r="A3489" t="str">
            <v>M.CO.0000604</v>
          </cell>
        </row>
        <row r="3490">
          <cell r="A3490" t="str">
            <v>M.CO.0000605</v>
          </cell>
        </row>
        <row r="3491">
          <cell r="A3491" t="str">
            <v>M.CO.0000606</v>
          </cell>
        </row>
        <row r="3492">
          <cell r="A3492" t="str">
            <v>M.CO.0000607</v>
          </cell>
        </row>
        <row r="3493">
          <cell r="A3493" t="str">
            <v>M.CO.0000608</v>
          </cell>
        </row>
        <row r="3494">
          <cell r="A3494" t="str">
            <v>M.CO.0000609</v>
          </cell>
        </row>
        <row r="3495">
          <cell r="A3495" t="str">
            <v>M.CO.0000610</v>
          </cell>
        </row>
        <row r="3496">
          <cell r="A3496" t="str">
            <v>M.CO.0000611</v>
          </cell>
        </row>
        <row r="3497">
          <cell r="A3497" t="str">
            <v>M.CO.0000612</v>
          </cell>
        </row>
        <row r="3498">
          <cell r="A3498" t="str">
            <v>M.CO.0000613</v>
          </cell>
        </row>
        <row r="3499">
          <cell r="A3499" t="str">
            <v>M.CO.0000614</v>
          </cell>
        </row>
        <row r="3500">
          <cell r="A3500" t="str">
            <v>M.CO.0000615</v>
          </cell>
        </row>
        <row r="3501">
          <cell r="A3501" t="str">
            <v>M.CO.0000616</v>
          </cell>
        </row>
        <row r="3502">
          <cell r="A3502" t="str">
            <v>M.CO.0000617</v>
          </cell>
        </row>
        <row r="3503">
          <cell r="A3503" t="str">
            <v>M.CO.0000618</v>
          </cell>
        </row>
        <row r="3504">
          <cell r="A3504" t="str">
            <v>M.CO.0000619</v>
          </cell>
        </row>
        <row r="3505">
          <cell r="A3505" t="str">
            <v>M.CO.0000620</v>
          </cell>
        </row>
        <row r="3506">
          <cell r="A3506" t="str">
            <v>M.CO.0000621</v>
          </cell>
        </row>
        <row r="3507">
          <cell r="A3507" t="str">
            <v>M.CO.0000622</v>
          </cell>
        </row>
        <row r="3508">
          <cell r="A3508" t="str">
            <v>M.CO.0000623</v>
          </cell>
        </row>
        <row r="3509">
          <cell r="A3509" t="str">
            <v>M.CO.0000624</v>
          </cell>
        </row>
        <row r="3510">
          <cell r="A3510" t="str">
            <v>M.CO.0000625</v>
          </cell>
        </row>
        <row r="3511">
          <cell r="A3511" t="str">
            <v>M.CO.0000626</v>
          </cell>
        </row>
        <row r="3512">
          <cell r="A3512" t="str">
            <v>M.CO.0000627</v>
          </cell>
        </row>
        <row r="3513">
          <cell r="A3513" t="str">
            <v>M.CO.0000628</v>
          </cell>
        </row>
        <row r="3514">
          <cell r="A3514" t="str">
            <v>M.CO.0000629</v>
          </cell>
        </row>
        <row r="3515">
          <cell r="A3515" t="str">
            <v>M.CO.0000630</v>
          </cell>
        </row>
        <row r="3516">
          <cell r="A3516" t="str">
            <v>M.CO.0000631</v>
          </cell>
        </row>
        <row r="3517">
          <cell r="A3517" t="str">
            <v>M.CO.0000632</v>
          </cell>
        </row>
        <row r="3518">
          <cell r="A3518" t="str">
            <v>M.CO.0000633</v>
          </cell>
        </row>
        <row r="3519">
          <cell r="A3519" t="str">
            <v>M.CO.0000634</v>
          </cell>
        </row>
        <row r="3520">
          <cell r="A3520" t="str">
            <v>M.CO.0000635</v>
          </cell>
        </row>
        <row r="3521">
          <cell r="A3521" t="str">
            <v>M.CO.0000636</v>
          </cell>
        </row>
        <row r="3522">
          <cell r="A3522" t="str">
            <v>M.CO.0000637</v>
          </cell>
        </row>
        <row r="3523">
          <cell r="A3523" t="str">
            <v>M.CO.0000638</v>
          </cell>
        </row>
        <row r="3524">
          <cell r="A3524" t="str">
            <v>M.CO.0000639</v>
          </cell>
        </row>
        <row r="3525">
          <cell r="A3525" t="str">
            <v>M.CO.0000640</v>
          </cell>
        </row>
        <row r="3526">
          <cell r="A3526" t="str">
            <v>M.CO.0000641</v>
          </cell>
        </row>
        <row r="3527">
          <cell r="A3527" t="str">
            <v>M.CO.0000642</v>
          </cell>
        </row>
        <row r="3528">
          <cell r="A3528" t="str">
            <v>M.CO.0000643</v>
          </cell>
        </row>
        <row r="3529">
          <cell r="A3529" t="str">
            <v>M.CO.0000644</v>
          </cell>
        </row>
        <row r="3530">
          <cell r="A3530" t="str">
            <v>M.CO.0000645</v>
          </cell>
        </row>
        <row r="3531">
          <cell r="A3531" t="str">
            <v>M.CO.0000646</v>
          </cell>
        </row>
        <row r="3532">
          <cell r="A3532" t="str">
            <v>M.CO.0000647</v>
          </cell>
        </row>
        <row r="3533">
          <cell r="A3533" t="str">
            <v>M.CO.0000648</v>
          </cell>
        </row>
        <row r="3534">
          <cell r="A3534" t="str">
            <v>M.CO.0000649</v>
          </cell>
        </row>
        <row r="3535">
          <cell r="A3535" t="str">
            <v>M.CO.0000650</v>
          </cell>
        </row>
        <row r="3536">
          <cell r="A3536" t="str">
            <v>M.CO.0000651</v>
          </cell>
        </row>
        <row r="3537">
          <cell r="A3537" t="str">
            <v>M.CO.0000652</v>
          </cell>
        </row>
        <row r="3538">
          <cell r="A3538" t="str">
            <v>M.CO.0000653</v>
          </cell>
        </row>
        <row r="3539">
          <cell r="A3539" t="str">
            <v>M.CO.0000654</v>
          </cell>
        </row>
        <row r="3540">
          <cell r="A3540" t="str">
            <v>M.CO.0000655</v>
          </cell>
        </row>
        <row r="3541">
          <cell r="A3541" t="str">
            <v>M.CO.0000656</v>
          </cell>
        </row>
        <row r="3542">
          <cell r="A3542" t="str">
            <v>M.CO.0000657</v>
          </cell>
        </row>
        <row r="3543">
          <cell r="A3543" t="str">
            <v>M.CO.0000658</v>
          </cell>
        </row>
        <row r="3544">
          <cell r="A3544" t="str">
            <v>M.CO.0000659</v>
          </cell>
        </row>
        <row r="3545">
          <cell r="A3545" t="str">
            <v>M.CO.0000660</v>
          </cell>
        </row>
        <row r="3546">
          <cell r="A3546" t="str">
            <v>M.CO.0000661</v>
          </cell>
        </row>
        <row r="3547">
          <cell r="A3547" t="str">
            <v>M.CO.0000662</v>
          </cell>
        </row>
        <row r="3548">
          <cell r="A3548" t="str">
            <v>M.CO.0000663</v>
          </cell>
        </row>
        <row r="3549">
          <cell r="A3549" t="str">
            <v>M.CO.0000664</v>
          </cell>
        </row>
        <row r="3550">
          <cell r="A3550" t="str">
            <v>M.CO.0000665</v>
          </cell>
        </row>
        <row r="3551">
          <cell r="A3551" t="str">
            <v>M.CO.0000666</v>
          </cell>
        </row>
        <row r="3552">
          <cell r="A3552" t="str">
            <v>M.CO.0000667</v>
          </cell>
        </row>
        <row r="3553">
          <cell r="A3553" t="str">
            <v>M.CO.0000668</v>
          </cell>
        </row>
        <row r="3554">
          <cell r="A3554" t="str">
            <v>M.CO.0000669</v>
          </cell>
        </row>
        <row r="3555">
          <cell r="A3555" t="str">
            <v>M.CO.0000670</v>
          </cell>
        </row>
        <row r="3556">
          <cell r="A3556" t="str">
            <v>M.CO.0000671</v>
          </cell>
        </row>
        <row r="3557">
          <cell r="A3557" t="str">
            <v>M.CO.0000672</v>
          </cell>
        </row>
        <row r="3558">
          <cell r="A3558" t="str">
            <v>M.CO.0000673</v>
          </cell>
        </row>
        <row r="3559">
          <cell r="A3559" t="str">
            <v>M.CO.0000674</v>
          </cell>
        </row>
        <row r="3560">
          <cell r="A3560" t="str">
            <v>M.CO.0000675</v>
          </cell>
        </row>
        <row r="3561">
          <cell r="A3561" t="str">
            <v>M.CO.0000676</v>
          </cell>
        </row>
        <row r="3562">
          <cell r="A3562" t="str">
            <v>M.CO.0000677</v>
          </cell>
        </row>
        <row r="3563">
          <cell r="A3563" t="str">
            <v>M.CO.0000678</v>
          </cell>
        </row>
        <row r="3564">
          <cell r="A3564" t="str">
            <v>M.CO.0000679</v>
          </cell>
        </row>
        <row r="3565">
          <cell r="A3565" t="str">
            <v>M.CO.0000681</v>
          </cell>
        </row>
        <row r="3566">
          <cell r="A3566" t="str">
            <v>M.CO.0000683</v>
          </cell>
        </row>
        <row r="3567">
          <cell r="A3567" t="str">
            <v>M.CO.0000687</v>
          </cell>
        </row>
        <row r="3568">
          <cell r="A3568" t="str">
            <v>M.CO.0000694</v>
          </cell>
        </row>
        <row r="3569">
          <cell r="A3569" t="str">
            <v>M.CO.0000695</v>
          </cell>
        </row>
        <row r="3570">
          <cell r="A3570" t="str">
            <v>M.CO.0000696</v>
          </cell>
        </row>
        <row r="3571">
          <cell r="A3571" t="str">
            <v>M.CO.0000697</v>
          </cell>
        </row>
        <row r="3572">
          <cell r="A3572" t="str">
            <v>M.CO.0000698</v>
          </cell>
        </row>
        <row r="3573">
          <cell r="A3573" t="str">
            <v>M.CO.0000699</v>
          </cell>
        </row>
        <row r="3574">
          <cell r="A3574" t="str">
            <v>M.CO.0000700</v>
          </cell>
        </row>
        <row r="3575">
          <cell r="A3575" t="str">
            <v>M.CO.0000701</v>
          </cell>
        </row>
        <row r="3576">
          <cell r="A3576" t="str">
            <v>M.CO.0000702</v>
          </cell>
        </row>
        <row r="3577">
          <cell r="A3577" t="str">
            <v>M.CO.0000703</v>
          </cell>
        </row>
        <row r="3578">
          <cell r="A3578" t="str">
            <v>M.CO.0000704</v>
          </cell>
        </row>
        <row r="3579">
          <cell r="A3579" t="str">
            <v>M.CO.0000705</v>
          </cell>
        </row>
        <row r="3580">
          <cell r="A3580" t="str">
            <v>M.CO.0000706</v>
          </cell>
        </row>
        <row r="3581">
          <cell r="A3581" t="str">
            <v>M.CO.0000707</v>
          </cell>
        </row>
        <row r="3582">
          <cell r="A3582" t="str">
            <v>M.CO.0000708</v>
          </cell>
        </row>
        <row r="3583">
          <cell r="A3583" t="str">
            <v>M.CO.0000709</v>
          </cell>
        </row>
        <row r="3584">
          <cell r="A3584" t="str">
            <v>M.CO.0000710</v>
          </cell>
        </row>
        <row r="3585">
          <cell r="A3585" t="str">
            <v>M.CO.0000711</v>
          </cell>
        </row>
        <row r="3586">
          <cell r="A3586" t="str">
            <v>M.CO.0000712</v>
          </cell>
        </row>
        <row r="3587">
          <cell r="A3587" t="str">
            <v>M.CO.0000713</v>
          </cell>
        </row>
        <row r="3588">
          <cell r="A3588" t="str">
            <v>M.CO.0000714</v>
          </cell>
        </row>
        <row r="3589">
          <cell r="A3589" t="str">
            <v>M.CO.0000715</v>
          </cell>
        </row>
        <row r="3590">
          <cell r="A3590" t="str">
            <v>M.CO.0000716</v>
          </cell>
        </row>
        <row r="3591">
          <cell r="A3591" t="str">
            <v>M.CO.0000717</v>
          </cell>
        </row>
        <row r="3592">
          <cell r="A3592" t="str">
            <v>M.CO.0000718</v>
          </cell>
        </row>
        <row r="3593">
          <cell r="A3593" t="str">
            <v>M.CO.0000719</v>
          </cell>
        </row>
        <row r="3594">
          <cell r="A3594" t="str">
            <v>M.CO.0000720</v>
          </cell>
        </row>
        <row r="3595">
          <cell r="A3595" t="str">
            <v>M.CO.0000721</v>
          </cell>
        </row>
        <row r="3596">
          <cell r="A3596" t="str">
            <v>M.CO.0000722</v>
          </cell>
        </row>
        <row r="3597">
          <cell r="A3597" t="str">
            <v>M.CO.0000723</v>
          </cell>
        </row>
        <row r="3598">
          <cell r="A3598" t="str">
            <v>M.CO.0000724</v>
          </cell>
        </row>
        <row r="3599">
          <cell r="A3599" t="str">
            <v>M.CO.0000725</v>
          </cell>
        </row>
        <row r="3600">
          <cell r="A3600" t="str">
            <v>M.CO.0000726</v>
          </cell>
        </row>
        <row r="3601">
          <cell r="A3601" t="str">
            <v>M.CO.0000728</v>
          </cell>
        </row>
        <row r="3602">
          <cell r="A3602" t="str">
            <v>M.CO.0000729</v>
          </cell>
        </row>
        <row r="3603">
          <cell r="A3603" t="str">
            <v>M.CO.0000730</v>
          </cell>
        </row>
        <row r="3604">
          <cell r="A3604" t="str">
            <v>M.CO.0000731</v>
          </cell>
        </row>
        <row r="3605">
          <cell r="A3605" t="str">
            <v>M.CO.0000732</v>
          </cell>
        </row>
        <row r="3606">
          <cell r="A3606" t="str">
            <v>M.CO.0000733</v>
          </cell>
        </row>
        <row r="3607">
          <cell r="A3607" t="str">
            <v>M.CO.0000734</v>
          </cell>
        </row>
        <row r="3608">
          <cell r="A3608" t="str">
            <v>M.CO.0000735</v>
          </cell>
        </row>
        <row r="3609">
          <cell r="A3609" t="str">
            <v>M.CO.0000736</v>
          </cell>
        </row>
        <row r="3610">
          <cell r="A3610" t="str">
            <v>M.CO.0000737</v>
          </cell>
        </row>
        <row r="3611">
          <cell r="A3611" t="str">
            <v>M.CO.0000738</v>
          </cell>
        </row>
        <row r="3612">
          <cell r="A3612" t="str">
            <v>M.CO.0000739</v>
          </cell>
        </row>
        <row r="3613">
          <cell r="A3613" t="str">
            <v>M.CO.0000740</v>
          </cell>
        </row>
        <row r="3614">
          <cell r="A3614" t="str">
            <v>M.CO.0000741</v>
          </cell>
        </row>
        <row r="3615">
          <cell r="A3615" t="str">
            <v>M.CO.0000742</v>
          </cell>
        </row>
        <row r="3616">
          <cell r="A3616" t="str">
            <v>M.CO.0000743</v>
          </cell>
        </row>
        <row r="3617">
          <cell r="A3617" t="str">
            <v>M.CO.0000744</v>
          </cell>
        </row>
        <row r="3618">
          <cell r="A3618" t="str">
            <v>M.CO.0000746</v>
          </cell>
        </row>
        <row r="3619">
          <cell r="A3619" t="str">
            <v>M.CO.0000747</v>
          </cell>
        </row>
        <row r="3620">
          <cell r="A3620" t="str">
            <v>M.CO.0000748</v>
          </cell>
        </row>
        <row r="3621">
          <cell r="A3621" t="str">
            <v>M.CO.0000749</v>
          </cell>
        </row>
        <row r="3622">
          <cell r="A3622" t="str">
            <v>M.CO.0000750</v>
          </cell>
        </row>
        <row r="3623">
          <cell r="A3623" t="str">
            <v>M.CO.0000754</v>
          </cell>
        </row>
        <row r="3624">
          <cell r="A3624" t="str">
            <v>M.CO.0000756</v>
          </cell>
        </row>
        <row r="3625">
          <cell r="A3625" t="str">
            <v>M.CO.0000758</v>
          </cell>
        </row>
        <row r="3626">
          <cell r="A3626" t="str">
            <v>M.CO.0000759</v>
          </cell>
        </row>
        <row r="3627">
          <cell r="A3627" t="str">
            <v>M.CO.0000760</v>
          </cell>
        </row>
        <row r="3628">
          <cell r="A3628" t="str">
            <v>M.CO.0000761</v>
          </cell>
        </row>
        <row r="3629">
          <cell r="A3629" t="str">
            <v>M.CO.0000762</v>
          </cell>
        </row>
        <row r="3630">
          <cell r="A3630" t="str">
            <v>M.CO.0000763</v>
          </cell>
        </row>
        <row r="3631">
          <cell r="A3631" t="str">
            <v>M.CO.0000764</v>
          </cell>
        </row>
        <row r="3632">
          <cell r="A3632" t="str">
            <v>M.CO.0000765</v>
          </cell>
        </row>
        <row r="3633">
          <cell r="A3633" t="str">
            <v>M.CO.0000766</v>
          </cell>
        </row>
        <row r="3634">
          <cell r="A3634" t="str">
            <v>M.CO.0000767</v>
          </cell>
        </row>
        <row r="3635">
          <cell r="A3635" t="str">
            <v>M.CO.0000768</v>
          </cell>
        </row>
        <row r="3636">
          <cell r="A3636" t="str">
            <v>M.CO.0000769</v>
          </cell>
        </row>
        <row r="3637">
          <cell r="A3637" t="str">
            <v>M.CO.0000770</v>
          </cell>
        </row>
        <row r="3638">
          <cell r="A3638" t="str">
            <v>M.CO.0000771</v>
          </cell>
        </row>
        <row r="3639">
          <cell r="A3639" t="str">
            <v>M.CO.0000772</v>
          </cell>
        </row>
        <row r="3640">
          <cell r="A3640" t="str">
            <v>M.CO.0000773</v>
          </cell>
        </row>
        <row r="3641">
          <cell r="A3641" t="str">
            <v>M.CO.0000774</v>
          </cell>
        </row>
        <row r="3642">
          <cell r="A3642" t="str">
            <v>M.CO.0000775</v>
          </cell>
        </row>
        <row r="3643">
          <cell r="A3643" t="str">
            <v>M.CO.0000776</v>
          </cell>
        </row>
        <row r="3644">
          <cell r="A3644" t="str">
            <v>M.CO.0000777</v>
          </cell>
        </row>
        <row r="3645">
          <cell r="A3645" t="str">
            <v>M.CO.0000778</v>
          </cell>
        </row>
        <row r="3646">
          <cell r="A3646" t="str">
            <v>M.CO.0000779</v>
          </cell>
        </row>
        <row r="3647">
          <cell r="A3647" t="str">
            <v>M.CO.0000780</v>
          </cell>
        </row>
        <row r="3648">
          <cell r="A3648" t="str">
            <v>M.CO.0000781</v>
          </cell>
        </row>
        <row r="3649">
          <cell r="A3649" t="str">
            <v>M.CO.0000782</v>
          </cell>
        </row>
        <row r="3650">
          <cell r="A3650" t="str">
            <v>M.CO.0000783</v>
          </cell>
        </row>
        <row r="3651">
          <cell r="A3651" t="str">
            <v>M.CO.0000784</v>
          </cell>
        </row>
        <row r="3652">
          <cell r="A3652" t="str">
            <v>M.CO.0000785</v>
          </cell>
        </row>
        <row r="3653">
          <cell r="A3653" t="str">
            <v>M.CO.0000786</v>
          </cell>
        </row>
        <row r="3654">
          <cell r="A3654" t="str">
            <v>M.CO.0000787</v>
          </cell>
        </row>
        <row r="3655">
          <cell r="A3655" t="str">
            <v>M.CO.0000788</v>
          </cell>
        </row>
        <row r="3656">
          <cell r="A3656" t="str">
            <v>M.CO.0000789</v>
          </cell>
        </row>
        <row r="3657">
          <cell r="A3657" t="str">
            <v>M.CO.0000790</v>
          </cell>
        </row>
        <row r="3658">
          <cell r="A3658" t="str">
            <v>M.CO.0000791</v>
          </cell>
        </row>
        <row r="3659">
          <cell r="A3659" t="str">
            <v>M.CO.0000792</v>
          </cell>
        </row>
        <row r="3660">
          <cell r="A3660" t="str">
            <v>M.CO.0000795</v>
          </cell>
        </row>
        <row r="3661">
          <cell r="A3661" t="str">
            <v>M.CO.0000796</v>
          </cell>
        </row>
        <row r="3662">
          <cell r="A3662" t="str">
            <v>M.CO.0000797</v>
          </cell>
        </row>
        <row r="3663">
          <cell r="A3663" t="str">
            <v>M.CO.0000798</v>
          </cell>
        </row>
        <row r="3664">
          <cell r="A3664" t="str">
            <v>M.CO.0000799</v>
          </cell>
        </row>
        <row r="3665">
          <cell r="A3665" t="str">
            <v>M.CO.0000800</v>
          </cell>
        </row>
        <row r="3666">
          <cell r="A3666" t="str">
            <v>M.CO.0000801</v>
          </cell>
        </row>
        <row r="3667">
          <cell r="A3667" t="str">
            <v>M.CO.0000802</v>
          </cell>
        </row>
        <row r="3668">
          <cell r="A3668" t="str">
            <v>M.CO.0000803</v>
          </cell>
        </row>
        <row r="3669">
          <cell r="A3669" t="str">
            <v>M.CO.0000804</v>
          </cell>
        </row>
        <row r="3670">
          <cell r="A3670" t="str">
            <v>M.CO.0000805</v>
          </cell>
        </row>
        <row r="3671">
          <cell r="A3671" t="str">
            <v>M.CO.0000806</v>
          </cell>
        </row>
        <row r="3672">
          <cell r="A3672" t="str">
            <v>M.CO.0000807</v>
          </cell>
        </row>
        <row r="3673">
          <cell r="A3673" t="str">
            <v>M.CO.0000808</v>
          </cell>
        </row>
        <row r="3674">
          <cell r="A3674" t="str">
            <v>M.CO.0000809</v>
          </cell>
        </row>
        <row r="3675">
          <cell r="A3675" t="str">
            <v>M.CO.0000810</v>
          </cell>
        </row>
        <row r="3676">
          <cell r="A3676" t="str">
            <v>M.CO.0000811</v>
          </cell>
        </row>
        <row r="3677">
          <cell r="A3677" t="str">
            <v>M.CO.0000812</v>
          </cell>
        </row>
        <row r="3678">
          <cell r="A3678" t="str">
            <v>M.CO.0000813</v>
          </cell>
        </row>
        <row r="3679">
          <cell r="A3679" t="str">
            <v>M.CO.0000814</v>
          </cell>
        </row>
        <row r="3680">
          <cell r="A3680" t="str">
            <v>M.CO.0000815</v>
          </cell>
        </row>
        <row r="3681">
          <cell r="A3681" t="str">
            <v>M.CO.0000816</v>
          </cell>
        </row>
        <row r="3682">
          <cell r="A3682" t="str">
            <v>M.CO.0000817</v>
          </cell>
        </row>
        <row r="3683">
          <cell r="A3683" t="str">
            <v>M.CO.0000818</v>
          </cell>
        </row>
        <row r="3684">
          <cell r="A3684" t="str">
            <v>M.CO.0000819</v>
          </cell>
        </row>
        <row r="3685">
          <cell r="A3685" t="str">
            <v>M.CO.0000820</v>
          </cell>
        </row>
        <row r="3686">
          <cell r="A3686" t="str">
            <v>M.CO.0000821</v>
          </cell>
        </row>
        <row r="3687">
          <cell r="A3687" t="str">
            <v>M.CO.0000822</v>
          </cell>
        </row>
        <row r="3688">
          <cell r="A3688" t="str">
            <v>M.CO.0000823</v>
          </cell>
        </row>
        <row r="3689">
          <cell r="A3689" t="str">
            <v>M.CO.0000824</v>
          </cell>
        </row>
        <row r="3690">
          <cell r="A3690" t="str">
            <v>M.CO.0000825</v>
          </cell>
        </row>
        <row r="3691">
          <cell r="A3691" t="str">
            <v>M.CO.0000826</v>
          </cell>
        </row>
        <row r="3692">
          <cell r="A3692" t="str">
            <v>M.CO.0000827</v>
          </cell>
        </row>
        <row r="3693">
          <cell r="A3693" t="str">
            <v>M.CO.0000828</v>
          </cell>
        </row>
        <row r="3694">
          <cell r="A3694" t="str">
            <v>M.CO.0000829</v>
          </cell>
        </row>
        <row r="3695">
          <cell r="A3695" t="str">
            <v>M.CO.0000830</v>
          </cell>
        </row>
        <row r="3696">
          <cell r="A3696" t="str">
            <v>M.CO.0000831</v>
          </cell>
        </row>
        <row r="3697">
          <cell r="A3697" t="str">
            <v>M.CO.0000832</v>
          </cell>
        </row>
        <row r="3698">
          <cell r="A3698" t="str">
            <v>M.CO.0000833</v>
          </cell>
        </row>
        <row r="3699">
          <cell r="A3699" t="str">
            <v>M.CO.0000834</v>
          </cell>
        </row>
        <row r="3700">
          <cell r="A3700" t="str">
            <v>M.CO.0000835</v>
          </cell>
        </row>
        <row r="3701">
          <cell r="A3701" t="str">
            <v>M.CO.0000836</v>
          </cell>
        </row>
        <row r="3702">
          <cell r="A3702" t="str">
            <v>M.CO.0000837</v>
          </cell>
        </row>
        <row r="3703">
          <cell r="A3703" t="str">
            <v>M.CO.0000838</v>
          </cell>
        </row>
        <row r="3704">
          <cell r="A3704" t="str">
            <v>M.CO.0000839</v>
          </cell>
        </row>
        <row r="3705">
          <cell r="A3705" t="str">
            <v>M.CO.0000840</v>
          </cell>
        </row>
        <row r="3706">
          <cell r="A3706" t="str">
            <v>M.CO.0000841</v>
          </cell>
        </row>
        <row r="3707">
          <cell r="A3707" t="str">
            <v>M.CO.0000842</v>
          </cell>
        </row>
        <row r="3708">
          <cell r="A3708" t="str">
            <v>M.CO.0000843</v>
          </cell>
        </row>
        <row r="3709">
          <cell r="A3709" t="str">
            <v>M.CO.0000844</v>
          </cell>
        </row>
        <row r="3710">
          <cell r="A3710" t="str">
            <v>M.CO.0000845</v>
          </cell>
        </row>
        <row r="3711">
          <cell r="A3711" t="str">
            <v>M.CO.0000846</v>
          </cell>
        </row>
        <row r="3712">
          <cell r="A3712" t="str">
            <v>M.CO.0000847</v>
          </cell>
        </row>
        <row r="3713">
          <cell r="A3713" t="str">
            <v>M.CO.0000848</v>
          </cell>
        </row>
        <row r="3714">
          <cell r="A3714" t="str">
            <v>M.CO.0000849</v>
          </cell>
        </row>
        <row r="3715">
          <cell r="A3715" t="str">
            <v>M.CO.0000850</v>
          </cell>
        </row>
        <row r="3716">
          <cell r="A3716" t="str">
            <v>M.CO.0000851</v>
          </cell>
        </row>
        <row r="3717">
          <cell r="A3717" t="str">
            <v>M.CO.0000852</v>
          </cell>
        </row>
        <row r="3718">
          <cell r="A3718" t="str">
            <v>M.CO.0000853</v>
          </cell>
        </row>
        <row r="3719">
          <cell r="A3719" t="str">
            <v>M.CO.0000854</v>
          </cell>
        </row>
        <row r="3720">
          <cell r="A3720" t="str">
            <v>M.CO.0000855</v>
          </cell>
        </row>
        <row r="3721">
          <cell r="A3721" t="str">
            <v>M.CO.0000856</v>
          </cell>
        </row>
        <row r="3722">
          <cell r="A3722" t="str">
            <v>M.CO.0000857</v>
          </cell>
        </row>
        <row r="3723">
          <cell r="A3723" t="str">
            <v>M.CO.0000858</v>
          </cell>
        </row>
        <row r="3724">
          <cell r="A3724" t="str">
            <v>M.CO.0000859</v>
          </cell>
        </row>
        <row r="3725">
          <cell r="A3725" t="str">
            <v>M.CO.0000860</v>
          </cell>
        </row>
        <row r="3726">
          <cell r="A3726" t="str">
            <v>M.CO.0000861</v>
          </cell>
        </row>
        <row r="3727">
          <cell r="A3727" t="str">
            <v>M.CO.0000862</v>
          </cell>
        </row>
        <row r="3728">
          <cell r="A3728" t="str">
            <v>M.CO.0000863</v>
          </cell>
        </row>
        <row r="3729">
          <cell r="A3729" t="str">
            <v>M.CO.0000864</v>
          </cell>
        </row>
        <row r="3730">
          <cell r="A3730" t="str">
            <v>M.CO.0000865</v>
          </cell>
        </row>
        <row r="3731">
          <cell r="A3731" t="str">
            <v>M.CO.0000866</v>
          </cell>
        </row>
        <row r="3732">
          <cell r="A3732" t="str">
            <v>M.CO.0000867</v>
          </cell>
        </row>
        <row r="3733">
          <cell r="A3733" t="str">
            <v>M.CO.0000868</v>
          </cell>
        </row>
        <row r="3734">
          <cell r="A3734" t="str">
            <v>M.CO.0000869</v>
          </cell>
        </row>
        <row r="3735">
          <cell r="A3735" t="str">
            <v>M.CO.0000870</v>
          </cell>
        </row>
        <row r="3736">
          <cell r="A3736" t="str">
            <v>M.CO.0000871</v>
          </cell>
        </row>
        <row r="3737">
          <cell r="A3737" t="str">
            <v>M.CO.0000872</v>
          </cell>
        </row>
        <row r="3738">
          <cell r="A3738" t="str">
            <v>M.CO.0000873</v>
          </cell>
        </row>
        <row r="3739">
          <cell r="A3739" t="str">
            <v>M.CO.0000874</v>
          </cell>
        </row>
        <row r="3740">
          <cell r="A3740" t="str">
            <v>M.CO.0000875</v>
          </cell>
        </row>
        <row r="3741">
          <cell r="A3741" t="str">
            <v>M.CO.0000876</v>
          </cell>
        </row>
        <row r="3742">
          <cell r="A3742" t="str">
            <v>M.CO.0000877</v>
          </cell>
        </row>
        <row r="3743">
          <cell r="A3743" t="str">
            <v>M.CO.0000878</v>
          </cell>
        </row>
        <row r="3744">
          <cell r="A3744" t="str">
            <v>M.CO.0000879</v>
          </cell>
        </row>
        <row r="3745">
          <cell r="A3745" t="str">
            <v>M.CO.0000880</v>
          </cell>
        </row>
        <row r="3746">
          <cell r="A3746" t="str">
            <v>M.CO.0000881</v>
          </cell>
        </row>
        <row r="3747">
          <cell r="A3747" t="str">
            <v>M.CO.0000882</v>
          </cell>
        </row>
        <row r="3748">
          <cell r="A3748" t="str">
            <v>M.CO.0000883</v>
          </cell>
        </row>
        <row r="3749">
          <cell r="A3749" t="str">
            <v>M.CO.0000884</v>
          </cell>
        </row>
        <row r="3750">
          <cell r="A3750" t="str">
            <v>M.CO.0000885</v>
          </cell>
        </row>
        <row r="3751">
          <cell r="A3751" t="str">
            <v>M.CO.0000886</v>
          </cell>
        </row>
        <row r="3752">
          <cell r="A3752" t="str">
            <v>M.CO.0000887</v>
          </cell>
        </row>
        <row r="3753">
          <cell r="A3753" t="str">
            <v>M.CO.0000888</v>
          </cell>
        </row>
        <row r="3754">
          <cell r="A3754" t="str">
            <v>M.CO.0000889</v>
          </cell>
        </row>
        <row r="3755">
          <cell r="A3755" t="str">
            <v>M.CO.0000890</v>
          </cell>
        </row>
        <row r="3756">
          <cell r="A3756" t="str">
            <v>M.CO.0000891</v>
          </cell>
        </row>
        <row r="3757">
          <cell r="A3757" t="str">
            <v>M.CO.0000892</v>
          </cell>
        </row>
        <row r="3758">
          <cell r="A3758" t="str">
            <v>M.CO.0000893</v>
          </cell>
        </row>
        <row r="3759">
          <cell r="A3759" t="str">
            <v>M.CO.0000894</v>
          </cell>
        </row>
        <row r="3760">
          <cell r="A3760" t="str">
            <v>M.CO.0000895</v>
          </cell>
        </row>
        <row r="3761">
          <cell r="A3761" t="str">
            <v>M.CO.0000896</v>
          </cell>
        </row>
        <row r="3762">
          <cell r="A3762" t="str">
            <v>M.CO.0000897</v>
          </cell>
        </row>
        <row r="3763">
          <cell r="A3763" t="str">
            <v>M.CO.0000898</v>
          </cell>
        </row>
        <row r="3764">
          <cell r="A3764" t="str">
            <v>M.CO.0000899</v>
          </cell>
        </row>
        <row r="3765">
          <cell r="A3765" t="str">
            <v>M.CO.0000900</v>
          </cell>
        </row>
        <row r="3766">
          <cell r="A3766" t="str">
            <v>M.CO.0000901</v>
          </cell>
        </row>
        <row r="3767">
          <cell r="A3767" t="str">
            <v>M.CO.0000902</v>
          </cell>
        </row>
        <row r="3768">
          <cell r="A3768" t="str">
            <v>M.CO.0000903</v>
          </cell>
        </row>
        <row r="3769">
          <cell r="A3769" t="str">
            <v>M.CO.0000904</v>
          </cell>
        </row>
        <row r="3770">
          <cell r="A3770" t="str">
            <v>M.CO.0000905</v>
          </cell>
        </row>
        <row r="3771">
          <cell r="A3771" t="str">
            <v>M.CO.0000906</v>
          </cell>
        </row>
        <row r="3772">
          <cell r="A3772" t="str">
            <v>M.CO.0000907</v>
          </cell>
        </row>
        <row r="3773">
          <cell r="A3773" t="str">
            <v>M.CO.0000908</v>
          </cell>
        </row>
        <row r="3774">
          <cell r="A3774" t="str">
            <v>M.CO.0000909</v>
          </cell>
        </row>
        <row r="3775">
          <cell r="A3775" t="str">
            <v>M.CO.0000910</v>
          </cell>
        </row>
        <row r="3776">
          <cell r="A3776" t="str">
            <v>M.CO.0000911</v>
          </cell>
        </row>
        <row r="3777">
          <cell r="A3777" t="str">
            <v>M.CO.0000912</v>
          </cell>
        </row>
        <row r="3778">
          <cell r="A3778" t="str">
            <v>M.CO.0000913</v>
          </cell>
        </row>
        <row r="3779">
          <cell r="A3779" t="str">
            <v>M.CO.0000914</v>
          </cell>
        </row>
        <row r="3780">
          <cell r="A3780" t="str">
            <v>M.CO.0000915</v>
          </cell>
        </row>
        <row r="3781">
          <cell r="A3781" t="str">
            <v>M.CO.0000916</v>
          </cell>
        </row>
        <row r="3782">
          <cell r="A3782" t="str">
            <v>M.CO.0000917</v>
          </cell>
        </row>
        <row r="3783">
          <cell r="A3783" t="str">
            <v>M.CO.0000918</v>
          </cell>
        </row>
        <row r="3784">
          <cell r="A3784" t="str">
            <v>M.CO.0000919</v>
          </cell>
        </row>
        <row r="3785">
          <cell r="A3785" t="str">
            <v>M.CO.0000920</v>
          </cell>
        </row>
        <row r="3786">
          <cell r="A3786" t="str">
            <v>M.CO.0000921</v>
          </cell>
        </row>
        <row r="3787">
          <cell r="A3787" t="str">
            <v>M.CO.0000922</v>
          </cell>
        </row>
        <row r="3788">
          <cell r="A3788" t="str">
            <v>M.CO.0000923</v>
          </cell>
        </row>
        <row r="3789">
          <cell r="A3789" t="str">
            <v>M.CO.0000924</v>
          </cell>
        </row>
        <row r="3790">
          <cell r="A3790" t="str">
            <v>M.CO.0000925</v>
          </cell>
        </row>
        <row r="3791">
          <cell r="A3791" t="str">
            <v>M.CO.0000926</v>
          </cell>
        </row>
        <row r="3792">
          <cell r="A3792" t="str">
            <v>M.CO.0000927</v>
          </cell>
        </row>
        <row r="3793">
          <cell r="A3793" t="str">
            <v>M.CO.0000928</v>
          </cell>
        </row>
        <row r="3794">
          <cell r="A3794" t="str">
            <v>M.CO.0000929</v>
          </cell>
        </row>
        <row r="3795">
          <cell r="A3795" t="str">
            <v>M.CO.0000930</v>
          </cell>
        </row>
        <row r="3796">
          <cell r="A3796" t="str">
            <v>M.CO.0000931</v>
          </cell>
        </row>
        <row r="3797">
          <cell r="A3797" t="str">
            <v>M.CO.0000932</v>
          </cell>
        </row>
        <row r="3798">
          <cell r="A3798" t="str">
            <v>M.CO.0000933</v>
          </cell>
        </row>
        <row r="3799">
          <cell r="A3799" t="str">
            <v>M.CO.0000934</v>
          </cell>
        </row>
        <row r="3800">
          <cell r="A3800" t="str">
            <v>M.CO.0000935</v>
          </cell>
        </row>
        <row r="3801">
          <cell r="A3801" t="str">
            <v>M.CO.0000936</v>
          </cell>
        </row>
        <row r="3802">
          <cell r="A3802" t="str">
            <v>M.CO.0000937</v>
          </cell>
        </row>
        <row r="3803">
          <cell r="A3803" t="str">
            <v>M.CO.0000938</v>
          </cell>
        </row>
        <row r="3804">
          <cell r="A3804" t="str">
            <v>M.CO.0000939</v>
          </cell>
        </row>
        <row r="3805">
          <cell r="A3805" t="str">
            <v>M.CO.0000940</v>
          </cell>
        </row>
        <row r="3806">
          <cell r="A3806" t="str">
            <v>M.CO.0000941</v>
          </cell>
        </row>
        <row r="3807">
          <cell r="A3807" t="str">
            <v>M.CO.0000942</v>
          </cell>
        </row>
        <row r="3808">
          <cell r="A3808" t="str">
            <v>M.CO.0000943</v>
          </cell>
        </row>
        <row r="3809">
          <cell r="A3809" t="str">
            <v>M.CO.0000944</v>
          </cell>
        </row>
        <row r="3810">
          <cell r="A3810" t="str">
            <v>M.CO.0000945</v>
          </cell>
        </row>
        <row r="3811">
          <cell r="A3811" t="str">
            <v>M.CO.0000946</v>
          </cell>
        </row>
        <row r="3812">
          <cell r="A3812" t="str">
            <v>M.CO.0000947</v>
          </cell>
        </row>
        <row r="3813">
          <cell r="A3813" t="str">
            <v>M.CO.0000948</v>
          </cell>
        </row>
        <row r="3814">
          <cell r="A3814" t="str">
            <v>M.CO.0000949</v>
          </cell>
        </row>
        <row r="3815">
          <cell r="A3815" t="str">
            <v>M.CO.0000950</v>
          </cell>
        </row>
        <row r="3816">
          <cell r="A3816" t="str">
            <v>M.CO.0000951</v>
          </cell>
        </row>
        <row r="3817">
          <cell r="A3817" t="str">
            <v>M.CO.0000952</v>
          </cell>
        </row>
        <row r="3818">
          <cell r="A3818" t="str">
            <v>M.CO.0000953</v>
          </cell>
        </row>
        <row r="3819">
          <cell r="A3819" t="str">
            <v>M.CO.0000954</v>
          </cell>
        </row>
        <row r="3820">
          <cell r="A3820" t="str">
            <v>M.CO.0000955</v>
          </cell>
        </row>
        <row r="3821">
          <cell r="A3821" t="str">
            <v>M.CO.0000956</v>
          </cell>
        </row>
        <row r="3822">
          <cell r="A3822" t="str">
            <v>M.CO.0000957</v>
          </cell>
        </row>
        <row r="3823">
          <cell r="A3823" t="str">
            <v>M.CO.0000958</v>
          </cell>
        </row>
        <row r="3824">
          <cell r="A3824" t="str">
            <v>M.CO.0000959</v>
          </cell>
        </row>
        <row r="3825">
          <cell r="A3825" t="str">
            <v>M.CO.0000960</v>
          </cell>
        </row>
        <row r="3826">
          <cell r="A3826" t="str">
            <v>M.CO.0000961</v>
          </cell>
        </row>
        <row r="3827">
          <cell r="A3827" t="str">
            <v>M.CO.0000962</v>
          </cell>
        </row>
        <row r="3828">
          <cell r="A3828" t="str">
            <v>M.CO.0000963</v>
          </cell>
        </row>
        <row r="3829">
          <cell r="A3829" t="str">
            <v>M.CO.0000964</v>
          </cell>
        </row>
        <row r="3830">
          <cell r="A3830" t="str">
            <v>M.CO.0000965</v>
          </cell>
        </row>
        <row r="3831">
          <cell r="A3831" t="str">
            <v>M.CO.0000966</v>
          </cell>
        </row>
        <row r="3832">
          <cell r="A3832" t="str">
            <v>M.CO.0000967</v>
          </cell>
        </row>
        <row r="3833">
          <cell r="A3833" t="str">
            <v>M.CO.0000968</v>
          </cell>
        </row>
        <row r="3834">
          <cell r="A3834" t="str">
            <v>M.CO.0000969</v>
          </cell>
        </row>
        <row r="3835">
          <cell r="A3835" t="str">
            <v>M.CO.0000970</v>
          </cell>
        </row>
        <row r="3836">
          <cell r="A3836" t="str">
            <v>M.CO.0000971</v>
          </cell>
        </row>
        <row r="3837">
          <cell r="A3837" t="str">
            <v>M.CO.0000972</v>
          </cell>
        </row>
        <row r="3838">
          <cell r="A3838" t="str">
            <v>M.CO.0000973</v>
          </cell>
        </row>
        <row r="3839">
          <cell r="A3839" t="str">
            <v>M.CO.0000974</v>
          </cell>
        </row>
        <row r="3840">
          <cell r="A3840" t="str">
            <v>M.CO.0000975</v>
          </cell>
        </row>
        <row r="3841">
          <cell r="A3841" t="str">
            <v>M.CO.0000976</v>
          </cell>
        </row>
        <row r="3842">
          <cell r="A3842" t="str">
            <v>M.CO.0000977</v>
          </cell>
        </row>
        <row r="3843">
          <cell r="A3843" t="str">
            <v>M.CO.0000978</v>
          </cell>
        </row>
        <row r="3844">
          <cell r="A3844" t="str">
            <v>M.CO.0000979</v>
          </cell>
        </row>
        <row r="3845">
          <cell r="A3845" t="str">
            <v>M.CO.0000980</v>
          </cell>
        </row>
        <row r="3846">
          <cell r="A3846" t="str">
            <v>M.CO.0000981</v>
          </cell>
        </row>
        <row r="3847">
          <cell r="A3847" t="str">
            <v>M.CO.0000982</v>
          </cell>
        </row>
        <row r="3848">
          <cell r="A3848" t="str">
            <v>M.CO.0000983</v>
          </cell>
        </row>
        <row r="3849">
          <cell r="A3849" t="str">
            <v>M.CO.0000984</v>
          </cell>
        </row>
        <row r="3850">
          <cell r="A3850" t="str">
            <v>M.CO.0000985</v>
          </cell>
        </row>
        <row r="3851">
          <cell r="A3851" t="str">
            <v>M.CO.0000986</v>
          </cell>
        </row>
        <row r="3852">
          <cell r="A3852" t="str">
            <v>M.CO.0000987</v>
          </cell>
        </row>
        <row r="3853">
          <cell r="A3853" t="str">
            <v>M.CO.0000988</v>
          </cell>
        </row>
        <row r="3854">
          <cell r="A3854" t="str">
            <v>M.CO.0000989</v>
          </cell>
        </row>
        <row r="3855">
          <cell r="A3855" t="str">
            <v>M.CO.0000990</v>
          </cell>
        </row>
        <row r="3856">
          <cell r="A3856" t="str">
            <v>M.CO.0000991</v>
          </cell>
        </row>
        <row r="3857">
          <cell r="A3857" t="str">
            <v>M.CO.0000992</v>
          </cell>
        </row>
        <row r="3858">
          <cell r="A3858" t="str">
            <v>M.CO.0000993</v>
          </cell>
        </row>
        <row r="3859">
          <cell r="A3859" t="str">
            <v>M.CO.0000994</v>
          </cell>
        </row>
        <row r="3860">
          <cell r="A3860" t="str">
            <v>M.CO.0000995</v>
          </cell>
        </row>
        <row r="3861">
          <cell r="A3861" t="str">
            <v>M.CO.0000996</v>
          </cell>
        </row>
        <row r="3862">
          <cell r="A3862" t="str">
            <v>M.CO.0000997</v>
          </cell>
        </row>
        <row r="3863">
          <cell r="A3863" t="str">
            <v>M.CO.0000998</v>
          </cell>
        </row>
        <row r="3864">
          <cell r="A3864" t="str">
            <v>M.CO.0000999</v>
          </cell>
        </row>
        <row r="3865">
          <cell r="A3865" t="str">
            <v>M.CO.0001000</v>
          </cell>
        </row>
        <row r="3866">
          <cell r="A3866" t="str">
            <v>M.CO.0001001</v>
          </cell>
        </row>
        <row r="3867">
          <cell r="A3867" t="str">
            <v>M.CO.0001002</v>
          </cell>
        </row>
        <row r="3868">
          <cell r="A3868" t="str">
            <v>M.CO.0001003</v>
          </cell>
        </row>
        <row r="3869">
          <cell r="A3869" t="str">
            <v>M.CO.0001004</v>
          </cell>
        </row>
        <row r="3870">
          <cell r="A3870" t="str">
            <v>M.CO.0001005</v>
          </cell>
        </row>
        <row r="3871">
          <cell r="A3871" t="str">
            <v>M.CO.0001006</v>
          </cell>
        </row>
        <row r="3872">
          <cell r="A3872" t="str">
            <v>M.CO.0001007</v>
          </cell>
        </row>
        <row r="3873">
          <cell r="A3873" t="str">
            <v>M.CO.0001008</v>
          </cell>
        </row>
        <row r="3875">
          <cell r="A3875" t="str">
            <v>M.PT.0000001</v>
          </cell>
        </row>
        <row r="3876">
          <cell r="A3876" t="str">
            <v>M.PT.0000002</v>
          </cell>
        </row>
        <row r="3877">
          <cell r="A3877" t="str">
            <v>M.PT.0000003</v>
          </cell>
        </row>
        <row r="3878">
          <cell r="A3878" t="str">
            <v>M.PT.0000004</v>
          </cell>
        </row>
        <row r="3879">
          <cell r="A3879" t="str">
            <v>M.PT.0000005</v>
          </cell>
        </row>
        <row r="3880">
          <cell r="A3880" t="str">
            <v>M.PT.0000006</v>
          </cell>
        </row>
        <row r="3881">
          <cell r="A3881" t="str">
            <v>M.PT.0000007</v>
          </cell>
        </row>
        <row r="3882">
          <cell r="A3882" t="str">
            <v>M.PT.0000008</v>
          </cell>
        </row>
        <row r="3883">
          <cell r="A3883" t="str">
            <v>M.PT.0000009</v>
          </cell>
        </row>
        <row r="3884">
          <cell r="A3884" t="str">
            <v>M.PT.0000010</v>
          </cell>
        </row>
        <row r="3885">
          <cell r="A3885" t="str">
            <v>M.PT.0000011</v>
          </cell>
        </row>
        <row r="3886">
          <cell r="A3886" t="str">
            <v>M.PT.0000012</v>
          </cell>
        </row>
        <row r="3887">
          <cell r="A3887" t="str">
            <v>M.PT.0000013</v>
          </cell>
        </row>
        <row r="3888">
          <cell r="A3888" t="str">
            <v>M.PT.0000014</v>
          </cell>
        </row>
        <row r="3889">
          <cell r="A3889" t="str">
            <v>M.PT.0000015</v>
          </cell>
        </row>
        <row r="3890">
          <cell r="A3890" t="str">
            <v>M.PT.0000016</v>
          </cell>
        </row>
        <row r="3891">
          <cell r="A3891" t="str">
            <v>M.PT.0000017</v>
          </cell>
        </row>
        <row r="3892">
          <cell r="A3892" t="str">
            <v>M.PT.0000018</v>
          </cell>
        </row>
        <row r="3893">
          <cell r="A3893" t="str">
            <v>M.PT.0000019</v>
          </cell>
        </row>
        <row r="3894">
          <cell r="A3894" t="str">
            <v>M.PT.0000020</v>
          </cell>
        </row>
        <row r="3895">
          <cell r="A3895" t="str">
            <v>M.PT.0000021</v>
          </cell>
        </row>
        <row r="3896">
          <cell r="A3896" t="str">
            <v>M.PT.0000022</v>
          </cell>
        </row>
        <row r="3897">
          <cell r="A3897" t="str">
            <v>M.PT.0000023</v>
          </cell>
        </row>
        <row r="3898">
          <cell r="A3898" t="str">
            <v>M.PT.0000024</v>
          </cell>
        </row>
        <row r="3899">
          <cell r="A3899" t="str">
            <v>M.PT.0000025</v>
          </cell>
        </row>
        <row r="3900">
          <cell r="A3900" t="str">
            <v>M.PT.0000026</v>
          </cell>
        </row>
        <row r="3901">
          <cell r="A3901" t="str">
            <v>M.PT.0000027</v>
          </cell>
        </row>
        <row r="3902">
          <cell r="A3902" t="str">
            <v>M.PT.0000028</v>
          </cell>
        </row>
        <row r="3903">
          <cell r="A3903" t="str">
            <v>M.PT.0000029</v>
          </cell>
        </row>
        <row r="3904">
          <cell r="A3904" t="str">
            <v>M.PT.0000030</v>
          </cell>
        </row>
        <row r="3905">
          <cell r="A3905" t="str">
            <v>M.PT.0000031</v>
          </cell>
        </row>
        <row r="3906">
          <cell r="A3906" t="str">
            <v>M.PT.0000034</v>
          </cell>
        </row>
        <row r="3907">
          <cell r="A3907" t="str">
            <v>M.PT.0000035</v>
          </cell>
        </row>
        <row r="3908">
          <cell r="A3908" t="str">
            <v>M.PT.0000037</v>
          </cell>
        </row>
        <row r="3909">
          <cell r="A3909" t="str">
            <v>M.PT.0000038</v>
          </cell>
        </row>
        <row r="3910">
          <cell r="A3910" t="str">
            <v>M.PT.0000039</v>
          </cell>
        </row>
        <row r="3911">
          <cell r="A3911" t="str">
            <v>M.PT.0000040</v>
          </cell>
        </row>
        <row r="3912">
          <cell r="A3912" t="str">
            <v>M.PT.0000041</v>
          </cell>
        </row>
        <row r="3913">
          <cell r="A3913" t="str">
            <v>M.PT.0000042</v>
          </cell>
        </row>
        <row r="3914">
          <cell r="A3914" t="str">
            <v>M.PT.0000043</v>
          </cell>
        </row>
        <row r="3915">
          <cell r="A3915" t="str">
            <v>M.PT.0000044</v>
          </cell>
        </row>
        <row r="3916">
          <cell r="A3916" t="str">
            <v>M.PT.0000045</v>
          </cell>
        </row>
        <row r="3917">
          <cell r="A3917" t="str">
            <v>M.PT.0000046</v>
          </cell>
        </row>
        <row r="3918">
          <cell r="A3918" t="str">
            <v>M.PT.0000047</v>
          </cell>
        </row>
        <row r="3919">
          <cell r="A3919" t="str">
            <v>M.PT.0000048</v>
          </cell>
        </row>
        <row r="3920">
          <cell r="A3920" t="str">
            <v>M.PT.0000049</v>
          </cell>
        </row>
        <row r="3921">
          <cell r="A3921" t="str">
            <v>M.PT.0000050</v>
          </cell>
        </row>
        <row r="3922">
          <cell r="A3922" t="str">
            <v>M.PT.0000051</v>
          </cell>
        </row>
        <row r="3923">
          <cell r="A3923" t="str">
            <v>M.PT.0000052</v>
          </cell>
        </row>
        <row r="3924">
          <cell r="A3924" t="str">
            <v>M.PT.0000053</v>
          </cell>
        </row>
        <row r="3925">
          <cell r="A3925" t="str">
            <v>M.PT.0000054</v>
          </cell>
        </row>
        <row r="3926">
          <cell r="A3926" t="str">
            <v>M.PT.0000055</v>
          </cell>
        </row>
        <row r="3927">
          <cell r="A3927" t="str">
            <v>M.PT.0000056</v>
          </cell>
        </row>
        <row r="3928">
          <cell r="A3928" t="str">
            <v>M.PT.0000057</v>
          </cell>
        </row>
        <row r="3929">
          <cell r="A3929" t="str">
            <v>M.PT.0000058</v>
          </cell>
        </row>
        <row r="3930">
          <cell r="A3930" t="str">
            <v>M.PT.0000059</v>
          </cell>
        </row>
        <row r="3931">
          <cell r="A3931" t="str">
            <v>M.PT.0000060</v>
          </cell>
        </row>
        <row r="3932">
          <cell r="A3932" t="str">
            <v>M.PT.0000061</v>
          </cell>
        </row>
        <row r="3933">
          <cell r="A3933" t="str">
            <v>M.PT.0000062</v>
          </cell>
        </row>
        <row r="3934">
          <cell r="A3934" t="str">
            <v>M.PT.0000063</v>
          </cell>
        </row>
        <row r="3935">
          <cell r="A3935" t="str">
            <v>M.PT.0000064</v>
          </cell>
        </row>
        <row r="3936">
          <cell r="A3936" t="str">
            <v>M.PT.0000065</v>
          </cell>
        </row>
        <row r="3937">
          <cell r="A3937" t="str">
            <v>M.PT.0000066</v>
          </cell>
        </row>
        <row r="3938">
          <cell r="A3938" t="str">
            <v>M.PT.0000067</v>
          </cell>
        </row>
        <row r="3939">
          <cell r="A3939" t="str">
            <v>M.PT.0000068</v>
          </cell>
        </row>
        <row r="3940">
          <cell r="A3940" t="str">
            <v>M.PT.0000069</v>
          </cell>
        </row>
        <row r="3941">
          <cell r="A3941" t="str">
            <v>M.PT.0000070</v>
          </cell>
        </row>
        <row r="3942">
          <cell r="A3942" t="str">
            <v>M.PT.0000071</v>
          </cell>
        </row>
        <row r="3943">
          <cell r="A3943" t="str">
            <v>M.PT.0000072</v>
          </cell>
        </row>
        <row r="3944">
          <cell r="A3944" t="str">
            <v>M.PT.0000073</v>
          </cell>
        </row>
        <row r="3945">
          <cell r="A3945" t="str">
            <v>M.PT.0000074</v>
          </cell>
        </row>
        <row r="3946">
          <cell r="A3946" t="str">
            <v>M.PT.0000075</v>
          </cell>
        </row>
        <row r="3947">
          <cell r="A3947" t="str">
            <v>M.PT.0000076</v>
          </cell>
        </row>
        <row r="3948">
          <cell r="A3948" t="str">
            <v>M.PT.0000077</v>
          </cell>
        </row>
        <row r="3949">
          <cell r="A3949" t="str">
            <v>M.PT.0000078</v>
          </cell>
        </row>
        <row r="3950">
          <cell r="A3950" t="str">
            <v>M.PT.0000079</v>
          </cell>
        </row>
        <row r="3951">
          <cell r="A3951" t="str">
            <v>M.PT.0000081</v>
          </cell>
        </row>
        <row r="3952">
          <cell r="A3952" t="str">
            <v>M.PT.0000082</v>
          </cell>
        </row>
        <row r="3953">
          <cell r="A3953" t="str">
            <v>M.PT.0000083</v>
          </cell>
        </row>
        <row r="3954">
          <cell r="A3954" t="str">
            <v>M.PT.0000084</v>
          </cell>
        </row>
        <row r="3955">
          <cell r="A3955" t="str">
            <v>M.PT.0000085</v>
          </cell>
        </row>
        <row r="3956">
          <cell r="A3956" t="str">
            <v>M.PT.0000086</v>
          </cell>
        </row>
        <row r="3957">
          <cell r="A3957" t="str">
            <v>M.PT.0000087</v>
          </cell>
        </row>
        <row r="3958">
          <cell r="A3958" t="str">
            <v>M.PT.0000088</v>
          </cell>
        </row>
        <row r="3959">
          <cell r="A3959" t="str">
            <v>M.PT.0000089</v>
          </cell>
        </row>
        <row r="3960">
          <cell r="A3960" t="str">
            <v>M.PT.0000090</v>
          </cell>
        </row>
        <row r="3961">
          <cell r="A3961" t="str">
            <v>M.PT.0000091</v>
          </cell>
        </row>
        <row r="3962">
          <cell r="A3962" t="str">
            <v>M.PT.0000092</v>
          </cell>
        </row>
        <row r="3963">
          <cell r="A3963" t="str">
            <v>M.PT.0000093</v>
          </cell>
        </row>
        <row r="3964">
          <cell r="A3964" t="str">
            <v>M.PT.0000094</v>
          </cell>
        </row>
        <row r="3965">
          <cell r="A3965" t="str">
            <v>M.PT.0000095</v>
          </cell>
        </row>
        <row r="3966">
          <cell r="A3966" t="str">
            <v>M.PT.0000096</v>
          </cell>
        </row>
        <row r="3967">
          <cell r="A3967" t="str">
            <v>M.PT.0000097</v>
          </cell>
        </row>
        <row r="3968">
          <cell r="A3968" t="str">
            <v>M.PT.0000098</v>
          </cell>
        </row>
        <row r="3969">
          <cell r="A3969" t="str">
            <v>M.PT.0000099</v>
          </cell>
        </row>
        <row r="3970">
          <cell r="A3970" t="str">
            <v>M.PT.0000100</v>
          </cell>
        </row>
        <row r="3971">
          <cell r="A3971" t="str">
            <v>M.PT.0000101</v>
          </cell>
        </row>
        <row r="3972">
          <cell r="A3972" t="str">
            <v>M.PT.0000102</v>
          </cell>
        </row>
        <row r="3973">
          <cell r="A3973" t="str">
            <v>M.PT.0000103</v>
          </cell>
        </row>
        <row r="3974">
          <cell r="A3974" t="str">
            <v>M.PT.0000104</v>
          </cell>
        </row>
        <row r="3975">
          <cell r="A3975" t="str">
            <v>M.PT.0000105</v>
          </cell>
        </row>
        <row r="3976">
          <cell r="A3976" t="str">
            <v>M.PT.0000106</v>
          </cell>
        </row>
        <row r="3977">
          <cell r="A3977" t="str">
            <v>M.PT.0000107</v>
          </cell>
        </row>
        <row r="3978">
          <cell r="A3978" t="str">
            <v>M.PT.0000108</v>
          </cell>
        </row>
        <row r="3979">
          <cell r="A3979" t="str">
            <v>M.PT.0000110</v>
          </cell>
        </row>
        <row r="3980">
          <cell r="A3980" t="str">
            <v>M.PT.0000111</v>
          </cell>
        </row>
        <row r="3981">
          <cell r="A3981" t="str">
            <v>M.PT.0000112</v>
          </cell>
        </row>
        <row r="3982">
          <cell r="A3982" t="str">
            <v>M.PT.0000113</v>
          </cell>
        </row>
        <row r="3983">
          <cell r="A3983" t="str">
            <v>M.PT.0000114</v>
          </cell>
        </row>
        <row r="3984">
          <cell r="A3984" t="str">
            <v>M.PT.0000115</v>
          </cell>
        </row>
        <row r="3985">
          <cell r="A3985" t="str">
            <v>M.PT.0000116</v>
          </cell>
        </row>
        <row r="3986">
          <cell r="A3986" t="str">
            <v>M.PT.0000117</v>
          </cell>
        </row>
        <row r="3987">
          <cell r="A3987" t="str">
            <v>M.PT.0000118</v>
          </cell>
        </row>
        <row r="3988">
          <cell r="A3988" t="str">
            <v>M.PT.0000119</v>
          </cell>
        </row>
        <row r="3989">
          <cell r="A3989" t="str">
            <v>M.PT.0000120</v>
          </cell>
        </row>
        <row r="3990">
          <cell r="A3990" t="str">
            <v>M.PT.0000121</v>
          </cell>
        </row>
        <row r="3991">
          <cell r="A3991" t="str">
            <v>M.PT.0000122</v>
          </cell>
        </row>
        <row r="3992">
          <cell r="A3992" t="str">
            <v>M.PT.0000123</v>
          </cell>
        </row>
        <row r="3993">
          <cell r="A3993" t="str">
            <v>M.PT.0000124</v>
          </cell>
        </row>
        <row r="3994">
          <cell r="A3994" t="str">
            <v>M.PT.0000125</v>
          </cell>
        </row>
        <row r="3995">
          <cell r="A3995" t="str">
            <v>M.PT.0000126</v>
          </cell>
        </row>
        <row r="3996">
          <cell r="A3996" t="str">
            <v>M.PT.0000127</v>
          </cell>
        </row>
        <row r="3997">
          <cell r="A3997" t="str">
            <v>M.PT.0000128</v>
          </cell>
        </row>
        <row r="3998">
          <cell r="A3998" t="str">
            <v>M.PT.0000129</v>
          </cell>
        </row>
        <row r="3999">
          <cell r="A3999" t="str">
            <v>M.PT.0000130</v>
          </cell>
        </row>
        <row r="4000">
          <cell r="A4000" t="str">
            <v>M.PT.0000131</v>
          </cell>
        </row>
        <row r="4001">
          <cell r="A4001" t="str">
            <v>M.PT.0000132</v>
          </cell>
        </row>
        <row r="4002">
          <cell r="A4002" t="str">
            <v>M.PT.0000133</v>
          </cell>
        </row>
        <row r="4003">
          <cell r="A4003" t="str">
            <v>M.PT.0000134</v>
          </cell>
        </row>
        <row r="4004">
          <cell r="A4004" t="str">
            <v>M.PT.0000135</v>
          </cell>
        </row>
        <row r="4005">
          <cell r="A4005" t="str">
            <v>M.PT.0000136</v>
          </cell>
        </row>
        <row r="4006">
          <cell r="A4006" t="str">
            <v>M.PT.0000137</v>
          </cell>
        </row>
        <row r="4007">
          <cell r="A4007" t="str">
            <v>M.PT.0000138</v>
          </cell>
        </row>
        <row r="4008">
          <cell r="A4008" t="str">
            <v>M.PT.0000139</v>
          </cell>
        </row>
        <row r="4009">
          <cell r="A4009" t="str">
            <v>M.PT.0000140</v>
          </cell>
        </row>
        <row r="4010">
          <cell r="A4010" t="str">
            <v>M.PT.0000141</v>
          </cell>
        </row>
        <row r="4011">
          <cell r="A4011" t="str">
            <v>M.PT.0000142</v>
          </cell>
        </row>
        <row r="4012">
          <cell r="A4012" t="str">
            <v>M.PT.0000143</v>
          </cell>
        </row>
        <row r="4013">
          <cell r="A4013" t="str">
            <v>M.PT.0000144</v>
          </cell>
        </row>
        <row r="4014">
          <cell r="A4014" t="str">
            <v>M.PT.0000145</v>
          </cell>
        </row>
        <row r="4015">
          <cell r="A4015" t="str">
            <v>M.PT.0000146</v>
          </cell>
        </row>
        <row r="4016">
          <cell r="A4016" t="str">
            <v>M.PT.0000147</v>
          </cell>
        </row>
        <row r="4017">
          <cell r="A4017" t="str">
            <v>M.PT.0000148</v>
          </cell>
        </row>
        <row r="4018">
          <cell r="A4018" t="str">
            <v>M.PT.0000149</v>
          </cell>
        </row>
        <row r="4019">
          <cell r="A4019" t="str">
            <v>M.PT.0000150</v>
          </cell>
        </row>
        <row r="4020">
          <cell r="A4020" t="str">
            <v>M.PT.0000151</v>
          </cell>
        </row>
        <row r="4021">
          <cell r="A4021" t="str">
            <v>M.PT.0000152</v>
          </cell>
        </row>
        <row r="4022">
          <cell r="A4022" t="str">
            <v>M.PT.0000153</v>
          </cell>
        </row>
        <row r="4023">
          <cell r="A4023" t="str">
            <v>M.PT.0000154</v>
          </cell>
        </row>
        <row r="4024">
          <cell r="A4024" t="str">
            <v>M.PT.0000155</v>
          </cell>
        </row>
        <row r="4025">
          <cell r="A4025" t="str">
            <v>M.PT.0000156</v>
          </cell>
        </row>
        <row r="4026">
          <cell r="A4026" t="str">
            <v>M.PT.0000157</v>
          </cell>
        </row>
        <row r="4027">
          <cell r="A4027" t="str">
            <v>M.PT.0000158</v>
          </cell>
        </row>
        <row r="4028">
          <cell r="A4028" t="str">
            <v>M.PT.0000159</v>
          </cell>
        </row>
        <row r="4029">
          <cell r="A4029" t="str">
            <v>M.PT.0000160</v>
          </cell>
        </row>
        <row r="4030">
          <cell r="A4030" t="str">
            <v>M.PT.0000161</v>
          </cell>
        </row>
        <row r="4031">
          <cell r="A4031" t="str">
            <v>M.PT.0000162</v>
          </cell>
        </row>
        <row r="4032">
          <cell r="A4032" t="str">
            <v>M.PT.0000163</v>
          </cell>
        </row>
        <row r="4033">
          <cell r="A4033" t="str">
            <v>M.PT.0000164</v>
          </cell>
        </row>
        <row r="4034">
          <cell r="A4034" t="str">
            <v>M.PT.0000165</v>
          </cell>
        </row>
        <row r="4035">
          <cell r="A4035" t="str">
            <v>M.PT.0000166</v>
          </cell>
        </row>
        <row r="4036">
          <cell r="A4036" t="str">
            <v>M.PT.0000167</v>
          </cell>
        </row>
        <row r="4037">
          <cell r="A4037" t="str">
            <v>M.PT.0000168</v>
          </cell>
        </row>
        <row r="4038">
          <cell r="A4038" t="str">
            <v>M.PT.0000169</v>
          </cell>
        </row>
        <row r="4039">
          <cell r="A4039" t="str">
            <v>M.PT.0000170</v>
          </cell>
        </row>
        <row r="4040">
          <cell r="A4040" t="str">
            <v>M.PT.0000171</v>
          </cell>
        </row>
        <row r="4041">
          <cell r="A4041" t="str">
            <v>M.PT.0000172</v>
          </cell>
        </row>
        <row r="4042">
          <cell r="A4042" t="str">
            <v>M.PT.0000173</v>
          </cell>
        </row>
        <row r="4043">
          <cell r="A4043" t="str">
            <v>M.PT.0000174</v>
          </cell>
        </row>
        <row r="4044">
          <cell r="A4044" t="str">
            <v>M.PT.0000175</v>
          </cell>
        </row>
        <row r="4045">
          <cell r="A4045" t="str">
            <v>M.PT.0000176</v>
          </cell>
        </row>
        <row r="4046">
          <cell r="A4046" t="str">
            <v>M.PT.0000177</v>
          </cell>
        </row>
        <row r="4047">
          <cell r="A4047" t="str">
            <v>M.PT.0000178</v>
          </cell>
        </row>
        <row r="4048">
          <cell r="A4048" t="str">
            <v>M.PT.0000179</v>
          </cell>
        </row>
        <row r="4049">
          <cell r="A4049" t="str">
            <v>M.PT.0000180</v>
          </cell>
        </row>
        <row r="4050">
          <cell r="A4050" t="str">
            <v>M.PT.0000181</v>
          </cell>
        </row>
        <row r="4051">
          <cell r="A4051" t="str">
            <v>M.PT.0000182</v>
          </cell>
        </row>
        <row r="4052">
          <cell r="A4052" t="str">
            <v>M.PT.0000183</v>
          </cell>
        </row>
        <row r="4053">
          <cell r="A4053" t="str">
            <v>M.PT.0000184</v>
          </cell>
        </row>
        <row r="4054">
          <cell r="A4054" t="str">
            <v>M.PT.0000185</v>
          </cell>
        </row>
        <row r="4055">
          <cell r="A4055" t="str">
            <v>M.PT.0000186</v>
          </cell>
        </row>
        <row r="4056">
          <cell r="A4056" t="str">
            <v>M.PT.0000187</v>
          </cell>
        </row>
        <row r="4057">
          <cell r="A4057" t="str">
            <v>M.PT.0000188</v>
          </cell>
        </row>
        <row r="4058">
          <cell r="A4058" t="str">
            <v>M.PT.0000189</v>
          </cell>
        </row>
        <row r="4059">
          <cell r="A4059" t="str">
            <v>M.PT.0000190</v>
          </cell>
        </row>
        <row r="4060">
          <cell r="A4060" t="str">
            <v>M.PT.0000191</v>
          </cell>
        </row>
        <row r="4061">
          <cell r="A4061" t="str">
            <v>M.PT.0000192</v>
          </cell>
        </row>
        <row r="4062">
          <cell r="A4062" t="str">
            <v>M.PT.0000193</v>
          </cell>
        </row>
        <row r="4063">
          <cell r="A4063" t="str">
            <v>M.PT.0000194</v>
          </cell>
        </row>
        <row r="4064">
          <cell r="A4064" t="str">
            <v>M.PT.0000195</v>
          </cell>
        </row>
        <row r="4065">
          <cell r="A4065" t="str">
            <v>M.PT.0000196</v>
          </cell>
        </row>
        <row r="4066">
          <cell r="A4066" t="str">
            <v>M.PT.0000197</v>
          </cell>
        </row>
        <row r="4067">
          <cell r="A4067" t="str">
            <v>M.PT.0000198</v>
          </cell>
        </row>
        <row r="4068">
          <cell r="A4068" t="str">
            <v>M.PT.0000199</v>
          </cell>
        </row>
        <row r="4069">
          <cell r="A4069" t="str">
            <v>M.PT.0000200</v>
          </cell>
        </row>
        <row r="4070">
          <cell r="A4070" t="str">
            <v>M.PT.0000201</v>
          </cell>
        </row>
        <row r="4071">
          <cell r="A4071" t="str">
            <v>M.PT.0000202</v>
          </cell>
        </row>
        <row r="4072">
          <cell r="A4072" t="str">
            <v>M.PT.0000203</v>
          </cell>
        </row>
        <row r="4073">
          <cell r="A4073" t="str">
            <v>M.PT.0000204</v>
          </cell>
        </row>
        <row r="4074">
          <cell r="A4074" t="str">
            <v>M.PT.0000205</v>
          </cell>
        </row>
        <row r="4075">
          <cell r="A4075" t="str">
            <v>M.PT.0000206</v>
          </cell>
        </row>
        <row r="4076">
          <cell r="A4076" t="str">
            <v>M.PT.0000207</v>
          </cell>
        </row>
        <row r="4077">
          <cell r="A4077" t="str">
            <v>M.PT.0000208</v>
          </cell>
        </row>
        <row r="4078">
          <cell r="A4078" t="str">
            <v>M.PT.0000209</v>
          </cell>
        </row>
        <row r="4079">
          <cell r="A4079" t="str">
            <v>M.PT.0000210</v>
          </cell>
        </row>
        <row r="4080">
          <cell r="A4080" t="str">
            <v>M.PT.0000211</v>
          </cell>
        </row>
        <row r="4081">
          <cell r="A4081" t="str">
            <v>M.PT.0000212</v>
          </cell>
        </row>
        <row r="4082">
          <cell r="A4082" t="str">
            <v>M.PT.0000213</v>
          </cell>
        </row>
        <row r="4083">
          <cell r="A4083" t="str">
            <v>M.PT.0000214</v>
          </cell>
        </row>
        <row r="4084">
          <cell r="A4084" t="str">
            <v>M.PT.0000215</v>
          </cell>
        </row>
        <row r="4085">
          <cell r="A4085" t="str">
            <v>M.PT.0000216</v>
          </cell>
        </row>
        <row r="4086">
          <cell r="A4086" t="str">
            <v>M.PT.0000217</v>
          </cell>
        </row>
        <row r="4087">
          <cell r="A4087" t="str">
            <v>M.PT.0000218</v>
          </cell>
        </row>
        <row r="4088">
          <cell r="A4088" t="str">
            <v>M.PT.0000219</v>
          </cell>
        </row>
        <row r="4089">
          <cell r="A4089" t="str">
            <v>M.PT.0000220</v>
          </cell>
        </row>
        <row r="4090">
          <cell r="A4090" t="str">
            <v>M.PT.0000221</v>
          </cell>
        </row>
        <row r="4091">
          <cell r="A4091" t="str">
            <v>M.PT.0000222</v>
          </cell>
        </row>
        <row r="4092">
          <cell r="A4092" t="str">
            <v>M.PT.0000223</v>
          </cell>
        </row>
        <row r="4093">
          <cell r="A4093" t="str">
            <v>M.PT.0000224</v>
          </cell>
        </row>
        <row r="4094">
          <cell r="A4094" t="str">
            <v>M.PT.0000225</v>
          </cell>
        </row>
        <row r="4095">
          <cell r="A4095" t="str">
            <v>M.PT.0000226</v>
          </cell>
        </row>
        <row r="4096">
          <cell r="A4096" t="str">
            <v>M.PT.0000227</v>
          </cell>
        </row>
        <row r="4097">
          <cell r="A4097" t="str">
            <v>M.PT.0000228</v>
          </cell>
        </row>
        <row r="4098">
          <cell r="A4098" t="str">
            <v>M.PT.0000229</v>
          </cell>
        </row>
        <row r="4099">
          <cell r="A4099" t="str">
            <v>M.PT.0000230</v>
          </cell>
        </row>
        <row r="4100">
          <cell r="A4100" t="str">
            <v>M.PT.0000231</v>
          </cell>
        </row>
        <row r="4101">
          <cell r="A4101" t="str">
            <v>M.PT.0000232</v>
          </cell>
        </row>
        <row r="4102">
          <cell r="A4102" t="str">
            <v>M.PT.0000233</v>
          </cell>
        </row>
        <row r="4103">
          <cell r="A4103" t="str">
            <v>M.PT.0000234</v>
          </cell>
        </row>
        <row r="4104">
          <cell r="A4104" t="str">
            <v>M.PT.0000235</v>
          </cell>
        </row>
        <row r="4105">
          <cell r="A4105" t="str">
            <v>M.PT.0000236</v>
          </cell>
        </row>
        <row r="4106">
          <cell r="A4106" t="str">
            <v>M.PT.0000237</v>
          </cell>
        </row>
        <row r="4107">
          <cell r="A4107" t="str">
            <v>M.PT.0000238</v>
          </cell>
        </row>
        <row r="4108">
          <cell r="A4108" t="str">
            <v>M.PT.0000239</v>
          </cell>
        </row>
        <row r="4109">
          <cell r="A4109" t="str">
            <v>M.PT.0000240</v>
          </cell>
        </row>
        <row r="4110">
          <cell r="A4110" t="str">
            <v>M.PT.0000241</v>
          </cell>
        </row>
        <row r="4111">
          <cell r="A4111" t="str">
            <v>M.PT.0000242</v>
          </cell>
        </row>
        <row r="4112">
          <cell r="A4112" t="str">
            <v>M.PT.0000243</v>
          </cell>
        </row>
        <row r="4113">
          <cell r="A4113" t="str">
            <v>M.PT.0000244</v>
          </cell>
        </row>
        <row r="4114">
          <cell r="A4114" t="str">
            <v>M.PT.0000245</v>
          </cell>
        </row>
        <row r="4115">
          <cell r="A4115" t="str">
            <v>M.PT.0000246</v>
          </cell>
        </row>
        <row r="4116">
          <cell r="A4116" t="str">
            <v>M.PT.0000247</v>
          </cell>
        </row>
        <row r="4117">
          <cell r="A4117" t="str">
            <v>M.PT.0000248</v>
          </cell>
        </row>
        <row r="4118">
          <cell r="A4118" t="str">
            <v>M.PT.0000249</v>
          </cell>
        </row>
        <row r="4119">
          <cell r="A4119" t="str">
            <v>M.PT.0000250</v>
          </cell>
        </row>
        <row r="4120">
          <cell r="A4120" t="str">
            <v>M.PT.0000251</v>
          </cell>
        </row>
        <row r="4121">
          <cell r="A4121" t="str">
            <v>M.PT.0000252</v>
          </cell>
        </row>
        <row r="4122">
          <cell r="A4122" t="str">
            <v>M.PT.0000253</v>
          </cell>
        </row>
        <row r="4123">
          <cell r="A4123" t="str">
            <v>M.PT.0000254</v>
          </cell>
        </row>
        <row r="4124">
          <cell r="A4124" t="str">
            <v>M.PT.0000255</v>
          </cell>
        </row>
        <row r="4125">
          <cell r="A4125" t="str">
            <v>M.PT.0000256</v>
          </cell>
        </row>
        <row r="4126">
          <cell r="A4126" t="str">
            <v>M.PT.0000257</v>
          </cell>
        </row>
        <row r="4127">
          <cell r="A4127" t="str">
            <v>M.PT.0000258</v>
          </cell>
        </row>
        <row r="4128">
          <cell r="A4128" t="str">
            <v>M.PT.0000259</v>
          </cell>
        </row>
        <row r="4129">
          <cell r="A4129" t="str">
            <v>M.PT.0000260</v>
          </cell>
        </row>
        <row r="4130">
          <cell r="A4130" t="str">
            <v>M.PT.0000261</v>
          </cell>
        </row>
        <row r="4131">
          <cell r="A4131" t="str">
            <v>M.PT.0000262</v>
          </cell>
        </row>
        <row r="4132">
          <cell r="A4132" t="str">
            <v>M.PT.0000263</v>
          </cell>
        </row>
        <row r="4133">
          <cell r="A4133" t="str">
            <v>M.PT.0000264</v>
          </cell>
        </row>
        <row r="4134">
          <cell r="A4134" t="str">
            <v>M.PT.0000265</v>
          </cell>
        </row>
        <row r="4135">
          <cell r="A4135" t="str">
            <v>M.PT.0000266</v>
          </cell>
        </row>
        <row r="4136">
          <cell r="A4136" t="str">
            <v>M.PT.0000267</v>
          </cell>
        </row>
        <row r="4137">
          <cell r="A4137" t="str">
            <v>M.PT.0000268</v>
          </cell>
        </row>
        <row r="4138">
          <cell r="A4138" t="str">
            <v>M.PT.0000269</v>
          </cell>
        </row>
        <row r="4139">
          <cell r="A4139" t="str">
            <v>M.PT.0000270</v>
          </cell>
        </row>
        <row r="4140">
          <cell r="A4140" t="str">
            <v>M.PT.0000271</v>
          </cell>
        </row>
        <row r="4141">
          <cell r="A4141" t="str">
            <v>M.PT.0000272</v>
          </cell>
        </row>
        <row r="4142">
          <cell r="A4142" t="str">
            <v>M.PT.0000273</v>
          </cell>
        </row>
        <row r="4143">
          <cell r="A4143" t="str">
            <v>M.PT.0000274</v>
          </cell>
        </row>
        <row r="4144">
          <cell r="A4144" t="str">
            <v>M.PT.0000275</v>
          </cell>
        </row>
        <row r="4145">
          <cell r="A4145" t="str">
            <v>M.PT.0000276</v>
          </cell>
        </row>
        <row r="4146">
          <cell r="A4146" t="str">
            <v>M.PT.0000277</v>
          </cell>
        </row>
        <row r="4147">
          <cell r="A4147" t="str">
            <v>M.PT.0000278</v>
          </cell>
        </row>
        <row r="4148">
          <cell r="A4148" t="str">
            <v>M.PT.0000279</v>
          </cell>
        </row>
        <row r="4149">
          <cell r="A4149" t="str">
            <v>M.PT.0000280</v>
          </cell>
        </row>
        <row r="4150">
          <cell r="A4150" t="str">
            <v>M.PT.0000281</v>
          </cell>
        </row>
        <row r="4151">
          <cell r="A4151" t="str">
            <v>M.PT.0000282</v>
          </cell>
        </row>
        <row r="4152">
          <cell r="A4152" t="str">
            <v>M.PT.0000283</v>
          </cell>
        </row>
        <row r="4153">
          <cell r="A4153" t="str">
            <v>M.PT.0000284</v>
          </cell>
        </row>
        <row r="4154">
          <cell r="A4154" t="str">
            <v>M.PT.0000285</v>
          </cell>
        </row>
        <row r="4155">
          <cell r="A4155" t="str">
            <v>M.PT.0000286</v>
          </cell>
        </row>
        <row r="4156">
          <cell r="A4156" t="str">
            <v>M.PT.0000287</v>
          </cell>
        </row>
        <row r="4157">
          <cell r="A4157" t="str">
            <v>M.PT.0000288</v>
          </cell>
        </row>
        <row r="4158">
          <cell r="A4158" t="str">
            <v>M.PT.0000289</v>
          </cell>
        </row>
        <row r="4159">
          <cell r="A4159" t="str">
            <v>M.PT.0000290</v>
          </cell>
        </row>
        <row r="4160">
          <cell r="A4160" t="str">
            <v>M.PT.0000291</v>
          </cell>
        </row>
        <row r="4161">
          <cell r="A4161" t="str">
            <v>M.PT.0000292</v>
          </cell>
        </row>
        <row r="4162">
          <cell r="A4162" t="str">
            <v>M.PT.0000293</v>
          </cell>
        </row>
        <row r="4163">
          <cell r="A4163" t="str">
            <v>M.PT.0000294</v>
          </cell>
        </row>
        <row r="4164">
          <cell r="A4164" t="str">
            <v>M.PT.0000295</v>
          </cell>
        </row>
        <row r="4165">
          <cell r="A4165" t="str">
            <v>M.PT.0000296</v>
          </cell>
        </row>
        <row r="4166">
          <cell r="A4166" t="str">
            <v>M.PT.0000297</v>
          </cell>
        </row>
        <row r="4167">
          <cell r="A4167" t="str">
            <v>M.PT.0000298</v>
          </cell>
        </row>
        <row r="4168">
          <cell r="A4168" t="str">
            <v>M.PT.0000299</v>
          </cell>
        </row>
        <row r="4169">
          <cell r="A4169" t="str">
            <v>M.PT.0000300</v>
          </cell>
        </row>
        <row r="4170">
          <cell r="A4170" t="str">
            <v>M.PT.0000301</v>
          </cell>
        </row>
        <row r="4171">
          <cell r="A4171" t="str">
            <v>M.PT.0000302</v>
          </cell>
        </row>
        <row r="4172">
          <cell r="A4172" t="str">
            <v>M.PT.0000303</v>
          </cell>
        </row>
        <row r="4173">
          <cell r="A4173" t="str">
            <v>M.PT.0000304</v>
          </cell>
        </row>
        <row r="4174">
          <cell r="A4174" t="str">
            <v>M.PT.0000305</v>
          </cell>
        </row>
        <row r="4175">
          <cell r="A4175" t="str">
            <v>M.PT.0000306</v>
          </cell>
        </row>
        <row r="4176">
          <cell r="A4176" t="str">
            <v>M.PT.0000307</v>
          </cell>
        </row>
        <row r="4177">
          <cell r="A4177" t="str">
            <v>M.PT.0000308</v>
          </cell>
        </row>
        <row r="4178">
          <cell r="A4178" t="str">
            <v>M.PT.0000309</v>
          </cell>
        </row>
        <row r="4179">
          <cell r="A4179" t="str">
            <v>M.PT.0000310</v>
          </cell>
        </row>
        <row r="4180">
          <cell r="A4180" t="str">
            <v>M.PT.0000311</v>
          </cell>
        </row>
        <row r="4181">
          <cell r="A4181" t="str">
            <v>M.PT.0000312</v>
          </cell>
        </row>
        <row r="4182">
          <cell r="A4182" t="str">
            <v>M.PT.0000313</v>
          </cell>
        </row>
        <row r="4183">
          <cell r="A4183" t="str">
            <v>M.PT.0000314</v>
          </cell>
        </row>
        <row r="4184">
          <cell r="A4184" t="str">
            <v>M.PT.0000315</v>
          </cell>
        </row>
        <row r="4185">
          <cell r="A4185" t="str">
            <v>M.PT.0000316</v>
          </cell>
        </row>
        <row r="4186">
          <cell r="A4186" t="str">
            <v>M.PT.0000317</v>
          </cell>
        </row>
        <row r="4187">
          <cell r="A4187" t="str">
            <v>M.PT.0000318</v>
          </cell>
        </row>
        <row r="4188">
          <cell r="A4188" t="str">
            <v>M.PT.0000319</v>
          </cell>
        </row>
        <row r="4189">
          <cell r="A4189" t="str">
            <v>M.PT.0000320</v>
          </cell>
        </row>
        <row r="4190">
          <cell r="A4190" t="str">
            <v>M.PT.0000321</v>
          </cell>
        </row>
        <row r="4191">
          <cell r="A4191" t="str">
            <v>M.PT.0000322</v>
          </cell>
        </row>
        <row r="4192">
          <cell r="A4192" t="str">
            <v>M.PT.0000323</v>
          </cell>
        </row>
        <row r="4193">
          <cell r="A4193" t="str">
            <v>M.PT.0000324</v>
          </cell>
        </row>
        <row r="4194">
          <cell r="A4194" t="str">
            <v>M.PT.0000325</v>
          </cell>
        </row>
        <row r="4195">
          <cell r="A4195" t="str">
            <v>M.PT.0000326</v>
          </cell>
        </row>
        <row r="4196">
          <cell r="A4196" t="str">
            <v>M.PT.0000327</v>
          </cell>
        </row>
        <row r="4197">
          <cell r="A4197" t="str">
            <v>M.PT.0000328</v>
          </cell>
        </row>
        <row r="4198">
          <cell r="A4198" t="str">
            <v>M.PT.0000329</v>
          </cell>
        </row>
        <row r="4199">
          <cell r="A4199" t="str">
            <v>M.PT.0000330</v>
          </cell>
        </row>
        <row r="4200">
          <cell r="A4200" t="str">
            <v>M.PT.0000331</v>
          </cell>
        </row>
        <row r="4201">
          <cell r="A4201" t="str">
            <v>M.PT.0000332</v>
          </cell>
        </row>
        <row r="4202">
          <cell r="A4202" t="str">
            <v>M.PT.0000333</v>
          </cell>
        </row>
        <row r="4203">
          <cell r="A4203" t="str">
            <v>M.PT.0000334</v>
          </cell>
        </row>
        <row r="4204">
          <cell r="A4204" t="str">
            <v>M.PT.0000335</v>
          </cell>
        </row>
        <row r="4205">
          <cell r="A4205" t="str">
            <v>M.PT.0000336</v>
          </cell>
        </row>
        <row r="4206">
          <cell r="A4206" t="str">
            <v>M.PT.0000337</v>
          </cell>
        </row>
        <row r="4207">
          <cell r="A4207" t="str">
            <v>M.PT.0000338</v>
          </cell>
        </row>
        <row r="4208">
          <cell r="A4208" t="str">
            <v>M.PT.0000339</v>
          </cell>
        </row>
        <row r="4209">
          <cell r="A4209" t="str">
            <v>M.PT.0000340</v>
          </cell>
        </row>
        <row r="4210">
          <cell r="A4210" t="str">
            <v>M.PT.0000341</v>
          </cell>
        </row>
        <row r="4211">
          <cell r="A4211" t="str">
            <v>M.PT.0000342</v>
          </cell>
        </row>
        <row r="4212">
          <cell r="A4212" t="str">
            <v>M.PT.0000343</v>
          </cell>
        </row>
        <row r="4213">
          <cell r="A4213" t="str">
            <v>M.PT.0000344</v>
          </cell>
        </row>
        <row r="4214">
          <cell r="A4214" t="str">
            <v>M.PT.0000345</v>
          </cell>
        </row>
        <row r="4215">
          <cell r="A4215" t="str">
            <v>M.PT.0000346</v>
          </cell>
        </row>
        <row r="4216">
          <cell r="A4216" t="str">
            <v>M.PT.0000347</v>
          </cell>
        </row>
        <row r="4217">
          <cell r="A4217" t="str">
            <v>M.PT.0000348</v>
          </cell>
        </row>
        <row r="4218">
          <cell r="A4218" t="str">
            <v>M.PT.0000349</v>
          </cell>
        </row>
        <row r="4219">
          <cell r="A4219" t="str">
            <v>M.PT.0000350</v>
          </cell>
        </row>
        <row r="4220">
          <cell r="A4220" t="str">
            <v>M.PT.0000351</v>
          </cell>
        </row>
        <row r="4221">
          <cell r="A4221" t="str">
            <v>M.PT.0000352</v>
          </cell>
        </row>
        <row r="4222">
          <cell r="A4222" t="str">
            <v>M.PT.0000353</v>
          </cell>
        </row>
        <row r="4223">
          <cell r="A4223" t="str">
            <v>M.PT.0000354</v>
          </cell>
        </row>
        <row r="4224">
          <cell r="A4224" t="str">
            <v>M.PT.0000355</v>
          </cell>
        </row>
        <row r="4225">
          <cell r="A4225" t="str">
            <v>M.PT.0000356</v>
          </cell>
        </row>
        <row r="4226">
          <cell r="A4226" t="str">
            <v>M.PT.0000357</v>
          </cell>
        </row>
        <row r="4227">
          <cell r="A4227" t="str">
            <v>M.PT.0000358</v>
          </cell>
        </row>
        <row r="4228">
          <cell r="A4228" t="str">
            <v>M.PT.0000359</v>
          </cell>
        </row>
        <row r="4229">
          <cell r="A4229" t="str">
            <v>M.PT.0000360</v>
          </cell>
        </row>
        <row r="4230">
          <cell r="A4230" t="str">
            <v>M.PT.0000361</v>
          </cell>
        </row>
        <row r="4231">
          <cell r="A4231" t="str">
            <v>M.PT.0000362</v>
          </cell>
        </row>
        <row r="4232">
          <cell r="A4232" t="str">
            <v>M.PT.0000363</v>
          </cell>
        </row>
        <row r="4233">
          <cell r="A4233" t="str">
            <v>M.PT.0000364</v>
          </cell>
        </row>
        <row r="4234">
          <cell r="A4234" t="str">
            <v>M.PT.0000365</v>
          </cell>
        </row>
        <row r="4235">
          <cell r="A4235" t="str">
            <v>M.PT.0000366</v>
          </cell>
        </row>
        <row r="4236">
          <cell r="A4236" t="str">
            <v>M.PT.0000367</v>
          </cell>
        </row>
        <row r="4237">
          <cell r="A4237" t="str">
            <v>M.PT.0000368</v>
          </cell>
        </row>
        <row r="4238">
          <cell r="A4238" t="str">
            <v>M.PT.0000369</v>
          </cell>
        </row>
        <row r="4239">
          <cell r="A4239" t="str">
            <v>M.PT.0000370</v>
          </cell>
        </row>
        <row r="4240">
          <cell r="A4240" t="str">
            <v>M.PT.0000371</v>
          </cell>
        </row>
        <row r="4241">
          <cell r="A4241" t="str">
            <v>M.PT.0000372</v>
          </cell>
        </row>
        <row r="4242">
          <cell r="A4242" t="str">
            <v>M.PT.0000373</v>
          </cell>
        </row>
        <row r="4243">
          <cell r="A4243" t="str">
            <v>M.PT.0000374</v>
          </cell>
        </row>
        <row r="4244">
          <cell r="A4244" t="str">
            <v>M.PT.0000375</v>
          </cell>
        </row>
        <row r="4245">
          <cell r="A4245" t="str">
            <v>M.PT.0000376</v>
          </cell>
        </row>
        <row r="4246">
          <cell r="A4246" t="str">
            <v>M.PT.0000377</v>
          </cell>
        </row>
        <row r="4247">
          <cell r="A4247" t="str">
            <v>M.PT.0000378</v>
          </cell>
        </row>
        <row r="4248">
          <cell r="A4248" t="str">
            <v>M.PT.0000379</v>
          </cell>
        </row>
        <row r="4249">
          <cell r="A4249" t="str">
            <v>M.PT.0000380</v>
          </cell>
        </row>
        <row r="4250">
          <cell r="A4250" t="str">
            <v>M.PT.0000381</v>
          </cell>
        </row>
        <row r="4251">
          <cell r="A4251" t="str">
            <v>M.PT.0000382</v>
          </cell>
        </row>
        <row r="4252">
          <cell r="A4252" t="str">
            <v>M.PT.0000383</v>
          </cell>
        </row>
        <row r="4253">
          <cell r="A4253" t="str">
            <v>M.PT.0000384</v>
          </cell>
        </row>
        <row r="4254">
          <cell r="A4254" t="str">
            <v>M.PT.0000385</v>
          </cell>
        </row>
        <row r="4255">
          <cell r="A4255" t="str">
            <v>M.PT.0000386</v>
          </cell>
        </row>
        <row r="4256">
          <cell r="A4256" t="str">
            <v>M.PT.0000387</v>
          </cell>
        </row>
        <row r="4257">
          <cell r="A4257" t="str">
            <v>M.PT.0000388</v>
          </cell>
        </row>
        <row r="4258">
          <cell r="A4258" t="str">
            <v>M.PT.0000389</v>
          </cell>
        </row>
        <row r="4259">
          <cell r="A4259" t="str">
            <v>M.PT.0000390</v>
          </cell>
        </row>
        <row r="4260">
          <cell r="A4260" t="str">
            <v>M.PT.0000391</v>
          </cell>
        </row>
        <row r="4261">
          <cell r="A4261" t="str">
            <v>M.PT.0000392</v>
          </cell>
        </row>
        <row r="4262">
          <cell r="A4262" t="str">
            <v>M.PT.0000393</v>
          </cell>
        </row>
        <row r="4263">
          <cell r="A4263" t="str">
            <v>M.PT.0000394</v>
          </cell>
        </row>
        <row r="4264">
          <cell r="A4264" t="str">
            <v>M.PT.0000395</v>
          </cell>
        </row>
        <row r="4265">
          <cell r="A4265" t="str">
            <v>M.PT.0000396</v>
          </cell>
        </row>
        <row r="4266">
          <cell r="A4266" t="str">
            <v>M.PT.0000397</v>
          </cell>
        </row>
        <row r="4267">
          <cell r="A4267" t="str">
            <v>M.PT.0000398</v>
          </cell>
        </row>
        <row r="4268">
          <cell r="A4268" t="str">
            <v>M.PT.0000399</v>
          </cell>
        </row>
        <row r="4269">
          <cell r="A4269" t="str">
            <v>M.PT.0000400</v>
          </cell>
        </row>
        <row r="4270">
          <cell r="A4270" t="str">
            <v>M.PT.0000401</v>
          </cell>
        </row>
        <row r="4271">
          <cell r="A4271" t="str">
            <v>M.PT.0000402</v>
          </cell>
        </row>
        <row r="4272">
          <cell r="A4272" t="str">
            <v>M.PT.0000403</v>
          </cell>
        </row>
        <row r="4273">
          <cell r="A4273" t="str">
            <v>M.PT.0000404</v>
          </cell>
        </row>
        <row r="4274">
          <cell r="A4274" t="str">
            <v>M.PT.0000405</v>
          </cell>
        </row>
        <row r="4275">
          <cell r="A4275" t="str">
            <v>M.PT.0000406</v>
          </cell>
        </row>
        <row r="4276">
          <cell r="A4276" t="str">
            <v>M.PT.0000407</v>
          </cell>
        </row>
        <row r="4277">
          <cell r="A4277" t="str">
            <v>M.PT.0000408</v>
          </cell>
        </row>
        <row r="4278">
          <cell r="A4278" t="str">
            <v>M.PT.0000409</v>
          </cell>
        </row>
        <row r="4279">
          <cell r="A4279" t="str">
            <v>M.PT.0000410</v>
          </cell>
        </row>
        <row r="4280">
          <cell r="A4280" t="str">
            <v>M.PT.0000411</v>
          </cell>
        </row>
        <row r="4281">
          <cell r="A4281" t="str">
            <v>M.PT.0000412</v>
          </cell>
        </row>
        <row r="4282">
          <cell r="A4282" t="str">
            <v>M.PT.0000413</v>
          </cell>
        </row>
        <row r="4283">
          <cell r="A4283" t="str">
            <v>M.PT.0000414</v>
          </cell>
        </row>
        <row r="4284">
          <cell r="A4284" t="str">
            <v>M.PT.0000415</v>
          </cell>
        </row>
        <row r="4285">
          <cell r="A4285" t="str">
            <v>M.PT.0000416</v>
          </cell>
        </row>
        <row r="4286">
          <cell r="A4286" t="str">
            <v>M.PT.0000417</v>
          </cell>
        </row>
        <row r="4287">
          <cell r="A4287" t="str">
            <v>M.PT.0000418</v>
          </cell>
        </row>
        <row r="4288">
          <cell r="A4288" t="str">
            <v>M.PT.0000419</v>
          </cell>
        </row>
        <row r="4289">
          <cell r="A4289" t="str">
            <v>M.PT.0000420</v>
          </cell>
        </row>
        <row r="4290">
          <cell r="A4290" t="str">
            <v>M.PT.0000421</v>
          </cell>
        </row>
        <row r="4291">
          <cell r="A4291" t="str">
            <v>M.PT.0000422</v>
          </cell>
        </row>
        <row r="4292">
          <cell r="A4292" t="str">
            <v>M.PT.0000423</v>
          </cell>
        </row>
        <row r="4293">
          <cell r="A4293" t="str">
            <v>M.PT.0000424</v>
          </cell>
        </row>
        <row r="4294">
          <cell r="A4294" t="str">
            <v>M.PT.0000425</v>
          </cell>
        </row>
        <row r="4295">
          <cell r="A4295" t="str">
            <v>M.PT.0000426</v>
          </cell>
        </row>
        <row r="4296">
          <cell r="A4296" t="str">
            <v>M.PT.0000427</v>
          </cell>
        </row>
        <row r="4297">
          <cell r="A4297" t="str">
            <v>M.PT.0000428</v>
          </cell>
        </row>
        <row r="4298">
          <cell r="A4298" t="str">
            <v>M.PT.0000429</v>
          </cell>
        </row>
        <row r="4299">
          <cell r="A4299" t="str">
            <v>M.PT.0000430</v>
          </cell>
        </row>
        <row r="4300">
          <cell r="A4300" t="str">
            <v>M.PT.0000431</v>
          </cell>
        </row>
        <row r="4301">
          <cell r="A4301" t="str">
            <v>M.PT.0000432</v>
          </cell>
        </row>
        <row r="4302">
          <cell r="A4302" t="str">
            <v>M.PT.0000433</v>
          </cell>
        </row>
        <row r="4303">
          <cell r="A4303" t="str">
            <v>M.PT.0000434</v>
          </cell>
        </row>
        <row r="4304">
          <cell r="A4304" t="str">
            <v>M.PT.0000435</v>
          </cell>
        </row>
        <row r="4305">
          <cell r="A4305" t="str">
            <v>M.PT.0000436</v>
          </cell>
        </row>
        <row r="4306">
          <cell r="A4306" t="str">
            <v>M.PT.0000437</v>
          </cell>
        </row>
        <row r="4307">
          <cell r="A4307" t="str">
            <v>M.PT.0000438</v>
          </cell>
        </row>
        <row r="4308">
          <cell r="A4308" t="str">
            <v>M.PT.0000439</v>
          </cell>
        </row>
        <row r="4309">
          <cell r="A4309" t="str">
            <v>M.PT.0000440</v>
          </cell>
        </row>
        <row r="4310">
          <cell r="A4310" t="str">
            <v>M.PT.0000441</v>
          </cell>
        </row>
        <row r="4311">
          <cell r="A4311" t="str">
            <v>M.PT.0000442</v>
          </cell>
        </row>
        <row r="4312">
          <cell r="A4312" t="str">
            <v>M.PT.0000443</v>
          </cell>
        </row>
        <row r="4313">
          <cell r="A4313" t="str">
            <v>M.PT.0000444</v>
          </cell>
        </row>
        <row r="4314">
          <cell r="A4314" t="str">
            <v>M.PT.0000445</v>
          </cell>
        </row>
        <row r="4315">
          <cell r="A4315" t="str">
            <v>M.PT.0000446</v>
          </cell>
        </row>
        <row r="4316">
          <cell r="A4316" t="str">
            <v>M.PT.0000447</v>
          </cell>
        </row>
        <row r="4317">
          <cell r="A4317" t="str">
            <v>M.PT.0000448</v>
          </cell>
        </row>
        <row r="4318">
          <cell r="A4318" t="str">
            <v>M.PT.0000449</v>
          </cell>
        </row>
        <row r="4319">
          <cell r="A4319" t="str">
            <v>M.PT.0000450</v>
          </cell>
        </row>
        <row r="4320">
          <cell r="A4320" t="str">
            <v>M.PT.0000451</v>
          </cell>
        </row>
        <row r="4321">
          <cell r="A4321" t="str">
            <v>M.PT.0000452</v>
          </cell>
        </row>
        <row r="4322">
          <cell r="A4322" t="str">
            <v>M.PT.0000453</v>
          </cell>
        </row>
        <row r="4323">
          <cell r="A4323" t="str">
            <v>M.PT.0000454</v>
          </cell>
        </row>
        <row r="4324">
          <cell r="A4324" t="str">
            <v>M.PT.0000455</v>
          </cell>
        </row>
        <row r="4325">
          <cell r="A4325" t="str">
            <v>M.PT.0000456</v>
          </cell>
        </row>
        <row r="4326">
          <cell r="A4326" t="str">
            <v>M.PT.0000457</v>
          </cell>
        </row>
        <row r="4327">
          <cell r="A4327" t="str">
            <v>M.PT.0000458</v>
          </cell>
        </row>
        <row r="4328">
          <cell r="A4328" t="str">
            <v>M.PT.0000459</v>
          </cell>
        </row>
        <row r="4329">
          <cell r="A4329" t="str">
            <v>M.PT.0000460</v>
          </cell>
        </row>
        <row r="4330">
          <cell r="A4330" t="str">
            <v>M.PT.0000461</v>
          </cell>
        </row>
        <row r="4331">
          <cell r="A4331" t="str">
            <v>M.PT.0000462</v>
          </cell>
        </row>
        <row r="4332">
          <cell r="A4332" t="str">
            <v>M.PT.0000463</v>
          </cell>
        </row>
        <row r="4333">
          <cell r="A4333" t="str">
            <v>M.PT.0000464</v>
          </cell>
        </row>
        <row r="4334">
          <cell r="A4334" t="str">
            <v>M.PT.0000465</v>
          </cell>
        </row>
        <row r="4335">
          <cell r="A4335" t="str">
            <v>M.PT.0000466</v>
          </cell>
        </row>
        <row r="4336">
          <cell r="A4336" t="str">
            <v>M.PT.0000467</v>
          </cell>
        </row>
        <row r="4337">
          <cell r="A4337" t="str">
            <v>M.PT.0000468</v>
          </cell>
        </row>
        <row r="4338">
          <cell r="A4338" t="str">
            <v>M.PT.0000469</v>
          </cell>
        </row>
        <row r="4339">
          <cell r="A4339" t="str">
            <v>M.PT.0000470</v>
          </cell>
        </row>
        <row r="4340">
          <cell r="A4340" t="str">
            <v>M.PT.0000471</v>
          </cell>
        </row>
        <row r="4341">
          <cell r="A4341" t="str">
            <v>M.PT.0000472</v>
          </cell>
        </row>
        <row r="4342">
          <cell r="A4342" t="str">
            <v>M.PT.0000473</v>
          </cell>
        </row>
        <row r="4343">
          <cell r="A4343" t="str">
            <v>M.PT.0000474</v>
          </cell>
        </row>
        <row r="4344">
          <cell r="A4344" t="str">
            <v>M.PT.0000475</v>
          </cell>
        </row>
        <row r="4345">
          <cell r="A4345" t="str">
            <v>M.PT.0000476</v>
          </cell>
        </row>
        <row r="4346">
          <cell r="A4346" t="str">
            <v>M.PT.0000477</v>
          </cell>
        </row>
        <row r="4347">
          <cell r="A4347" t="str">
            <v>M.PT.0000478</v>
          </cell>
        </row>
        <row r="4348">
          <cell r="A4348" t="str">
            <v>M.PT.0000479</v>
          </cell>
        </row>
        <row r="4349">
          <cell r="A4349" t="str">
            <v>M.PT.0000480</v>
          </cell>
        </row>
        <row r="4350">
          <cell r="A4350" t="str">
            <v>M.PT.0000481</v>
          </cell>
        </row>
        <row r="4351">
          <cell r="A4351" t="str">
            <v>M.PT.0000482</v>
          </cell>
        </row>
        <row r="4352">
          <cell r="A4352" t="str">
            <v>M.PT.0000483</v>
          </cell>
        </row>
        <row r="4353">
          <cell r="A4353" t="str">
            <v>M.PT.0000484</v>
          </cell>
        </row>
        <row r="4354">
          <cell r="A4354" t="str">
            <v>M.PT.0000485</v>
          </cell>
        </row>
        <row r="4355">
          <cell r="A4355" t="str">
            <v>M.PT.0000486</v>
          </cell>
        </row>
        <row r="4356">
          <cell r="A4356" t="str">
            <v>M.PT.0000487</v>
          </cell>
        </row>
        <row r="4357">
          <cell r="A4357" t="str">
            <v>M.PT.0000488</v>
          </cell>
        </row>
        <row r="4358">
          <cell r="A4358" t="str">
            <v>M.PT.0000489</v>
          </cell>
        </row>
        <row r="4359">
          <cell r="A4359" t="str">
            <v>M.PT.0000490</v>
          </cell>
        </row>
        <row r="4360">
          <cell r="A4360" t="str">
            <v>M.PT.0000491</v>
          </cell>
        </row>
        <row r="4361">
          <cell r="A4361" t="str">
            <v>M.PT.0000492</v>
          </cell>
        </row>
        <row r="4362">
          <cell r="A4362" t="str">
            <v>M.PT.0000493</v>
          </cell>
        </row>
        <row r="4363">
          <cell r="A4363" t="str">
            <v>M.PT.0000494</v>
          </cell>
        </row>
        <row r="4364">
          <cell r="A4364" t="str">
            <v>M.PT.0000495</v>
          </cell>
        </row>
        <row r="4365">
          <cell r="A4365" t="str">
            <v>M.PT.0000496</v>
          </cell>
        </row>
        <row r="4366">
          <cell r="A4366" t="str">
            <v>M.PT.0000497</v>
          </cell>
        </row>
        <row r="4367">
          <cell r="A4367" t="str">
            <v>M.PT.0000498</v>
          </cell>
        </row>
        <row r="4368">
          <cell r="A4368" t="str">
            <v>M.PT.0000499</v>
          </cell>
        </row>
        <row r="4369">
          <cell r="A4369" t="str">
            <v>M.PT.0000500</v>
          </cell>
        </row>
        <row r="4370">
          <cell r="A4370" t="str">
            <v>M.PT.0000501</v>
          </cell>
        </row>
        <row r="4371">
          <cell r="A4371" t="str">
            <v>M.PT.0000502</v>
          </cell>
        </row>
        <row r="4372">
          <cell r="A4372" t="str">
            <v>M.PT.0000503</v>
          </cell>
        </row>
        <row r="4373">
          <cell r="A4373" t="str">
            <v>M.PT.0000504</v>
          </cell>
        </row>
        <row r="4374">
          <cell r="A4374" t="str">
            <v>M.PT.0000505</v>
          </cell>
        </row>
        <row r="4375">
          <cell r="A4375" t="str">
            <v>M.PT.0000506</v>
          </cell>
        </row>
        <row r="4376">
          <cell r="A4376" t="str">
            <v>M.PT.0000507</v>
          </cell>
        </row>
        <row r="4377">
          <cell r="A4377" t="str">
            <v>M.PT.0000508</v>
          </cell>
        </row>
        <row r="4378">
          <cell r="A4378" t="str">
            <v>M.PT.0000509</v>
          </cell>
        </row>
        <row r="4379">
          <cell r="A4379" t="str">
            <v>M.PT.0000510</v>
          </cell>
        </row>
        <row r="4380">
          <cell r="A4380" t="str">
            <v>M.PT.0000511</v>
          </cell>
        </row>
        <row r="4381">
          <cell r="A4381" t="str">
            <v>M.PT.0000512</v>
          </cell>
        </row>
        <row r="4382">
          <cell r="A4382" t="str">
            <v>M.PT.0000513</v>
          </cell>
        </row>
        <row r="4383">
          <cell r="A4383" t="str">
            <v>M.PT.0000514</v>
          </cell>
        </row>
        <row r="4384">
          <cell r="A4384" t="str">
            <v>M.PT.0000515</v>
          </cell>
        </row>
        <row r="4385">
          <cell r="A4385" t="str">
            <v>M.PT.0000516</v>
          </cell>
        </row>
        <row r="4386">
          <cell r="A4386" t="str">
            <v>M.PT.0000517</v>
          </cell>
        </row>
        <row r="4387">
          <cell r="A4387" t="str">
            <v>M.PT.0000518</v>
          </cell>
        </row>
        <row r="4388">
          <cell r="A4388" t="str">
            <v>M.PT.0000519</v>
          </cell>
        </row>
        <row r="4389">
          <cell r="A4389" t="str">
            <v>M.PT.0000520</v>
          </cell>
        </row>
        <row r="4390">
          <cell r="A4390" t="str">
            <v>M.PT.0000521</v>
          </cell>
        </row>
        <row r="4391">
          <cell r="A4391" t="str">
            <v>M.PT.0000522</v>
          </cell>
        </row>
        <row r="4392">
          <cell r="A4392" t="str">
            <v>M.PT.0000523</v>
          </cell>
        </row>
        <row r="4393">
          <cell r="A4393" t="str">
            <v>M.PT.0000524</v>
          </cell>
        </row>
        <row r="4394">
          <cell r="A4394" t="str">
            <v>M.PT.0000525</v>
          </cell>
        </row>
        <row r="4395">
          <cell r="A4395" t="str">
            <v>M.PT.0000526</v>
          </cell>
        </row>
        <row r="4396">
          <cell r="A4396" t="str">
            <v>M.PT.0000527</v>
          </cell>
        </row>
        <row r="4397">
          <cell r="A4397" t="str">
            <v>M.PT.0000528</v>
          </cell>
        </row>
        <row r="4398">
          <cell r="A4398" t="str">
            <v>M.PT.0000529</v>
          </cell>
        </row>
        <row r="4399">
          <cell r="A4399" t="str">
            <v>M.PT.0000530</v>
          </cell>
        </row>
        <row r="4400">
          <cell r="A4400" t="str">
            <v>M.PT.0000531</v>
          </cell>
        </row>
        <row r="4401">
          <cell r="A4401" t="str">
            <v>M.PT.0000532</v>
          </cell>
        </row>
        <row r="4402">
          <cell r="A4402" t="str">
            <v>M.PT.0000533</v>
          </cell>
        </row>
        <row r="4403">
          <cell r="A4403" t="str">
            <v>M.PT.0000534</v>
          </cell>
        </row>
        <row r="4404">
          <cell r="A4404" t="str">
            <v>M.PT.0000535</v>
          </cell>
        </row>
        <row r="4405">
          <cell r="A4405" t="str">
            <v>M.PT.0000536</v>
          </cell>
        </row>
        <row r="4406">
          <cell r="A4406" t="str">
            <v>M.PT.0000537</v>
          </cell>
        </row>
        <row r="4407">
          <cell r="A4407" t="str">
            <v>M.PT.0000538</v>
          </cell>
        </row>
        <row r="4408">
          <cell r="A4408" t="str">
            <v>M.PT.0000539</v>
          </cell>
        </row>
        <row r="4409">
          <cell r="A4409" t="str">
            <v>M.PT.0000540</v>
          </cell>
        </row>
        <row r="4410">
          <cell r="A4410" t="str">
            <v>M.PT.0000541</v>
          </cell>
        </row>
        <row r="4411">
          <cell r="A4411" t="str">
            <v>M.PT.0000542</v>
          </cell>
        </row>
        <row r="4412">
          <cell r="A4412" t="str">
            <v>M.PT.0000543</v>
          </cell>
        </row>
        <row r="4413">
          <cell r="A4413" t="str">
            <v>M.PT.0000544</v>
          </cell>
        </row>
        <row r="4414">
          <cell r="A4414" t="str">
            <v>M.PT.0000545</v>
          </cell>
        </row>
        <row r="4415">
          <cell r="A4415" t="str">
            <v>M.PT.0000546</v>
          </cell>
        </row>
        <row r="4416">
          <cell r="A4416" t="str">
            <v>M.PT.0000547</v>
          </cell>
        </row>
        <row r="4417">
          <cell r="A4417" t="str">
            <v>M.PT.0000548</v>
          </cell>
        </row>
        <row r="4418">
          <cell r="A4418" t="str">
            <v>M.PT.0000549</v>
          </cell>
        </row>
        <row r="4419">
          <cell r="A4419" t="str">
            <v>M.PT.0000550</v>
          </cell>
        </row>
        <row r="4420">
          <cell r="A4420" t="str">
            <v>M.PT.0000551</v>
          </cell>
        </row>
        <row r="4421">
          <cell r="A4421" t="str">
            <v>M.PT.0000552</v>
          </cell>
        </row>
        <row r="4422">
          <cell r="A4422" t="str">
            <v>M.PT.0000553</v>
          </cell>
        </row>
        <row r="4423">
          <cell r="A4423" t="str">
            <v>M.PT.0000554</v>
          </cell>
        </row>
        <row r="4424">
          <cell r="A4424" t="str">
            <v>M.PT.0000555</v>
          </cell>
        </row>
        <row r="4425">
          <cell r="A4425" t="str">
            <v>M.PT.0000556</v>
          </cell>
        </row>
        <row r="4426">
          <cell r="A4426" t="str">
            <v>M.PT.0000557</v>
          </cell>
        </row>
        <row r="4427">
          <cell r="A4427" t="str">
            <v>M.PT.0000558</v>
          </cell>
        </row>
        <row r="4428">
          <cell r="A4428" t="str">
            <v>M.PT.0000559</v>
          </cell>
        </row>
        <row r="4429">
          <cell r="A4429" t="str">
            <v>M.PT.0000560</v>
          </cell>
        </row>
        <row r="4430">
          <cell r="A4430" t="str">
            <v>M.PT.0000561</v>
          </cell>
        </row>
        <row r="4431">
          <cell r="A4431" t="str">
            <v>M.PT.0000562</v>
          </cell>
        </row>
        <row r="4432">
          <cell r="A4432" t="str">
            <v>M.PT.0000563</v>
          </cell>
        </row>
        <row r="4433">
          <cell r="A4433" t="str">
            <v>M.PT.0000564</v>
          </cell>
        </row>
        <row r="4434">
          <cell r="A4434" t="str">
            <v>M.PT.0000565</v>
          </cell>
        </row>
        <row r="4435">
          <cell r="A4435" t="str">
            <v>M.PT.0000566</v>
          </cell>
        </row>
        <row r="4436">
          <cell r="A4436" t="str">
            <v>M.PT.0000567</v>
          </cell>
        </row>
        <row r="4437">
          <cell r="A4437" t="str">
            <v>M.PT.0000568</v>
          </cell>
        </row>
        <row r="4438">
          <cell r="A4438" t="str">
            <v>M.PT.0000569</v>
          </cell>
        </row>
        <row r="4439">
          <cell r="A4439" t="str">
            <v>M.PT.0000570</v>
          </cell>
        </row>
        <row r="4440">
          <cell r="A4440" t="str">
            <v>M.PT.0000571</v>
          </cell>
        </row>
        <row r="4441">
          <cell r="A4441" t="str">
            <v>M.PT.0000572</v>
          </cell>
        </row>
        <row r="4442">
          <cell r="A4442" t="str">
            <v>M.PT.0000573</v>
          </cell>
        </row>
        <row r="4443">
          <cell r="A4443" t="str">
            <v>M.PT.0000574</v>
          </cell>
        </row>
        <row r="4444">
          <cell r="A4444" t="str">
            <v>M.PT.0000575</v>
          </cell>
        </row>
        <row r="4445">
          <cell r="A4445" t="str">
            <v>M.PT.0000576</v>
          </cell>
        </row>
        <row r="4446">
          <cell r="A4446" t="str">
            <v>M.PT.0000577</v>
          </cell>
        </row>
        <row r="4447">
          <cell r="A4447" t="str">
            <v>M.PT.0000578</v>
          </cell>
        </row>
        <row r="4448">
          <cell r="A4448" t="str">
            <v>M.PT.0000579</v>
          </cell>
        </row>
        <row r="4449">
          <cell r="A4449" t="str">
            <v>M.PT.0000580</v>
          </cell>
        </row>
        <row r="4450">
          <cell r="A4450" t="str">
            <v>M.PT.0000581</v>
          </cell>
        </row>
        <row r="4451">
          <cell r="A4451" t="str">
            <v>M.PT.0000582</v>
          </cell>
        </row>
        <row r="4452">
          <cell r="A4452" t="str">
            <v>M.PT.0000583</v>
          </cell>
        </row>
        <row r="4453">
          <cell r="A4453" t="str">
            <v>M.PT.0000584</v>
          </cell>
        </row>
        <row r="4454">
          <cell r="A4454" t="str">
            <v>M.PT.0000585</v>
          </cell>
        </row>
        <row r="4455">
          <cell r="A4455" t="str">
            <v>M.PT.0000586</v>
          </cell>
        </row>
        <row r="4456">
          <cell r="A4456" t="str">
            <v>M.PT.0000587</v>
          </cell>
        </row>
        <row r="4457">
          <cell r="A4457" t="str">
            <v>M.PT.0000588</v>
          </cell>
        </row>
        <row r="4458">
          <cell r="A4458" t="str">
            <v>M.PT.0000589</v>
          </cell>
        </row>
        <row r="4459">
          <cell r="A4459" t="str">
            <v>M.PT.0000590</v>
          </cell>
        </row>
        <row r="4460">
          <cell r="A4460" t="str">
            <v>M.PT.0000591</v>
          </cell>
        </row>
        <row r="4461">
          <cell r="A4461" t="str">
            <v>M.PT.0000592</v>
          </cell>
        </row>
        <row r="4462">
          <cell r="A4462" t="str">
            <v>M.PT.0000593</v>
          </cell>
        </row>
        <row r="4463">
          <cell r="A4463" t="str">
            <v>M.PT.0000594</v>
          </cell>
        </row>
        <row r="4464">
          <cell r="A4464" t="str">
            <v>M.PT.0000595</v>
          </cell>
        </row>
        <row r="4465">
          <cell r="A4465" t="str">
            <v>M.PT.0000596</v>
          </cell>
        </row>
        <row r="4466">
          <cell r="A4466" t="str">
            <v>M.PT.0000597</v>
          </cell>
        </row>
        <row r="4467">
          <cell r="A4467" t="str">
            <v>M.PT.0000598</v>
          </cell>
        </row>
        <row r="4468">
          <cell r="A4468" t="str">
            <v>M.PT.0000599</v>
          </cell>
        </row>
        <row r="4469">
          <cell r="A4469" t="str">
            <v>M.PT.0000600</v>
          </cell>
        </row>
        <row r="4470">
          <cell r="A4470" t="str">
            <v>M.PT.0000601</v>
          </cell>
        </row>
        <row r="4471">
          <cell r="A4471" t="str">
            <v>M.PT.0000602</v>
          </cell>
        </row>
        <row r="4472">
          <cell r="A4472" t="str">
            <v>M.PT.0000603</v>
          </cell>
        </row>
        <row r="4473">
          <cell r="A4473" t="str">
            <v>M.PT.0000604</v>
          </cell>
        </row>
        <row r="4474">
          <cell r="A4474" t="str">
            <v>M.PT.0000605</v>
          </cell>
        </row>
        <row r="4475">
          <cell r="A4475" t="str">
            <v>M.PT.0000606</v>
          </cell>
        </row>
        <row r="4476">
          <cell r="A4476" t="str">
            <v>M.PT.0000607</v>
          </cell>
        </row>
        <row r="4477">
          <cell r="A4477" t="str">
            <v>M.PT.0000608</v>
          </cell>
        </row>
        <row r="4478">
          <cell r="A4478" t="str">
            <v>M.PT.0000609</v>
          </cell>
        </row>
        <row r="4479">
          <cell r="A4479" t="str">
            <v>M.PT.0000610</v>
          </cell>
        </row>
        <row r="4480">
          <cell r="A4480" t="str">
            <v>M.PT.0000611</v>
          </cell>
        </row>
        <row r="4481">
          <cell r="A4481" t="str">
            <v>M.PT.0000612</v>
          </cell>
        </row>
        <row r="4482">
          <cell r="A4482" t="str">
            <v>M.PT.0000613</v>
          </cell>
        </row>
        <row r="4483">
          <cell r="A4483" t="str">
            <v>M.PT.0000614</v>
          </cell>
        </row>
        <row r="4484">
          <cell r="A4484" t="str">
            <v>M.PT.0000615</v>
          </cell>
        </row>
        <row r="4485">
          <cell r="A4485" t="str">
            <v>M.PT.0000616</v>
          </cell>
        </row>
        <row r="4486">
          <cell r="A4486" t="str">
            <v>M.PT.0000617</v>
          </cell>
        </row>
        <row r="4487">
          <cell r="A4487" t="str">
            <v>M.PT.0000618</v>
          </cell>
        </row>
        <row r="4488">
          <cell r="A4488" t="str">
            <v>M.PT.0000619</v>
          </cell>
        </row>
        <row r="4489">
          <cell r="A4489" t="str">
            <v>M.PT.0000620</v>
          </cell>
        </row>
        <row r="4490">
          <cell r="A4490" t="str">
            <v>M.PT.0000621</v>
          </cell>
        </row>
        <row r="4491">
          <cell r="A4491" t="str">
            <v>M.PT.0000622</v>
          </cell>
        </row>
        <row r="4492">
          <cell r="A4492" t="str">
            <v>M.PT.0000623</v>
          </cell>
        </row>
        <row r="4493">
          <cell r="A4493" t="str">
            <v>M.PT.0000624</v>
          </cell>
        </row>
        <row r="4494">
          <cell r="A4494" t="str">
            <v>M.PT.0000625</v>
          </cell>
        </row>
        <row r="4495">
          <cell r="A4495" t="str">
            <v>M.PT.0000626</v>
          </cell>
        </row>
        <row r="4496">
          <cell r="A4496" t="str">
            <v>M.PT.0000627</v>
          </cell>
        </row>
        <row r="4497">
          <cell r="A4497" t="str">
            <v>M.PT.0000628</v>
          </cell>
        </row>
        <row r="4498">
          <cell r="A4498" t="str">
            <v>M.PT.0000629</v>
          </cell>
        </row>
        <row r="4499">
          <cell r="A4499" t="str">
            <v>M.PT.0000630</v>
          </cell>
        </row>
        <row r="4500">
          <cell r="A4500" t="str">
            <v>M.PT.0000631</v>
          </cell>
        </row>
        <row r="4501">
          <cell r="A4501" t="str">
            <v>M.PT.0000632</v>
          </cell>
        </row>
        <row r="4502">
          <cell r="A4502" t="str">
            <v>M.PT.0000633</v>
          </cell>
        </row>
        <row r="4503">
          <cell r="A4503" t="str">
            <v>M.PT.0000634</v>
          </cell>
        </row>
        <row r="4504">
          <cell r="A4504" t="str">
            <v>M.PT.0000635</v>
          </cell>
        </row>
        <row r="4505">
          <cell r="A4505" t="str">
            <v>M.PT.0000636</v>
          </cell>
        </row>
        <row r="4506">
          <cell r="A4506" t="str">
            <v>M.PT.0000637</v>
          </cell>
        </row>
        <row r="4507">
          <cell r="A4507" t="str">
            <v>M.PT.0000638</v>
          </cell>
        </row>
        <row r="4508">
          <cell r="A4508" t="str">
            <v>M.PT.0000639</v>
          </cell>
        </row>
        <row r="4509">
          <cell r="A4509" t="str">
            <v>M.PT.0000640</v>
          </cell>
        </row>
        <row r="4510">
          <cell r="A4510" t="str">
            <v>M.PT.0000641</v>
          </cell>
        </row>
        <row r="4511">
          <cell r="A4511" t="str">
            <v>M.PT.0000642</v>
          </cell>
        </row>
        <row r="4512">
          <cell r="A4512" t="str">
            <v>M.PT.0000643</v>
          </cell>
        </row>
        <row r="4513">
          <cell r="A4513" t="str">
            <v>M.PT.0000644</v>
          </cell>
        </row>
        <row r="4514">
          <cell r="A4514" t="str">
            <v>M.PT.0000645</v>
          </cell>
        </row>
        <row r="4515">
          <cell r="A4515" t="str">
            <v>M.PT.0000646</v>
          </cell>
        </row>
        <row r="4516">
          <cell r="A4516" t="str">
            <v>M.PT.0000647</v>
          </cell>
        </row>
        <row r="4517">
          <cell r="A4517" t="str">
            <v>M.PT.0000648</v>
          </cell>
        </row>
        <row r="4518">
          <cell r="A4518" t="str">
            <v>M.PT.0000649</v>
          </cell>
        </row>
        <row r="4519">
          <cell r="A4519" t="str">
            <v>M.PT.0000650</v>
          </cell>
        </row>
        <row r="4520">
          <cell r="A4520" t="str">
            <v>M.PT.0000651</v>
          </cell>
        </row>
        <row r="4521">
          <cell r="A4521" t="str">
            <v>M.PT.0000652</v>
          </cell>
        </row>
        <row r="4522">
          <cell r="A4522" t="str">
            <v>M.PT.0000653</v>
          </cell>
        </row>
        <row r="4523">
          <cell r="A4523" t="str">
            <v>M.PT.0000654</v>
          </cell>
        </row>
        <row r="4524">
          <cell r="A4524" t="str">
            <v>M.PT.0000655</v>
          </cell>
        </row>
        <row r="4525">
          <cell r="A4525" t="str">
            <v>M.PT.0000656</v>
          </cell>
        </row>
        <row r="4526">
          <cell r="A4526" t="str">
            <v>M.PT.0000657</v>
          </cell>
        </row>
        <row r="4527">
          <cell r="A4527" t="str">
            <v>M.PT.0000658</v>
          </cell>
        </row>
        <row r="4528">
          <cell r="A4528" t="str">
            <v>M.PT.0000659</v>
          </cell>
        </row>
        <row r="4529">
          <cell r="A4529" t="str">
            <v>M.PT.0000660</v>
          </cell>
        </row>
        <row r="4530">
          <cell r="A4530" t="str">
            <v>M.PT.0000661</v>
          </cell>
        </row>
        <row r="4531">
          <cell r="A4531" t="str">
            <v>M.PT.0000662</v>
          </cell>
        </row>
        <row r="4532">
          <cell r="A4532" t="str">
            <v>M.PT.0000663</v>
          </cell>
        </row>
        <row r="4533">
          <cell r="A4533" t="str">
            <v>M.PT.0000664</v>
          </cell>
        </row>
        <row r="4534">
          <cell r="A4534" t="str">
            <v>M.PT.0000665</v>
          </cell>
        </row>
        <row r="4535">
          <cell r="A4535" t="str">
            <v>M.PT.0000666</v>
          </cell>
        </row>
        <row r="4536">
          <cell r="A4536" t="str">
            <v>M.PT.0000667</v>
          </cell>
        </row>
        <row r="4537">
          <cell r="A4537" t="str">
            <v>M.PT.0000668</v>
          </cell>
        </row>
        <row r="4538">
          <cell r="A4538" t="str">
            <v>M.PT.0000669</v>
          </cell>
        </row>
        <row r="4539">
          <cell r="A4539" t="str">
            <v>M.PT.0000670</v>
          </cell>
        </row>
        <row r="4540">
          <cell r="A4540" t="str">
            <v>M.PT.0000671</v>
          </cell>
        </row>
        <row r="4541">
          <cell r="A4541" t="str">
            <v>M.PT.0000672</v>
          </cell>
        </row>
        <row r="4542">
          <cell r="A4542" t="str">
            <v>M.PT.0000673</v>
          </cell>
        </row>
        <row r="4543">
          <cell r="A4543" t="str">
            <v>M.PT.0000674</v>
          </cell>
        </row>
        <row r="4544">
          <cell r="A4544" t="str">
            <v>M.PT.0000675</v>
          </cell>
        </row>
        <row r="4545">
          <cell r="A4545" t="str">
            <v>M.PT.0000676</v>
          </cell>
        </row>
        <row r="4546">
          <cell r="A4546" t="str">
            <v>M.PT.0000677</v>
          </cell>
        </row>
        <row r="4547">
          <cell r="A4547" t="str">
            <v>M.PT.0000678</v>
          </cell>
        </row>
        <row r="4548">
          <cell r="A4548" t="str">
            <v>M.PT.0000679</v>
          </cell>
        </row>
        <row r="4549">
          <cell r="A4549" t="str">
            <v>M.PT.0000680</v>
          </cell>
        </row>
        <row r="4550">
          <cell r="A4550" t="str">
            <v>M.PT.0000681</v>
          </cell>
        </row>
        <row r="4551">
          <cell r="A4551" t="str">
            <v>M.PT.0000682</v>
          </cell>
        </row>
        <row r="4552">
          <cell r="A4552" t="str">
            <v>M.PT.0000683</v>
          </cell>
        </row>
        <row r="4553">
          <cell r="A4553" t="str">
            <v>M.PT.0000684</v>
          </cell>
        </row>
        <row r="4554">
          <cell r="A4554" t="str">
            <v>M.PT.0000685</v>
          </cell>
        </row>
        <row r="4555">
          <cell r="A4555" t="str">
            <v>M.PT.0000686</v>
          </cell>
        </row>
        <row r="4556">
          <cell r="A4556" t="str">
            <v>M.PT.0000687</v>
          </cell>
        </row>
        <row r="4557">
          <cell r="A4557" t="str">
            <v>M.PT.0000688</v>
          </cell>
        </row>
        <row r="4558">
          <cell r="A4558" t="str">
            <v>M.PT.0000689</v>
          </cell>
        </row>
        <row r="4559">
          <cell r="A4559" t="str">
            <v>M.PT.0000690</v>
          </cell>
        </row>
        <row r="4560">
          <cell r="A4560" t="str">
            <v>M.PT.0000691</v>
          </cell>
        </row>
        <row r="4561">
          <cell r="A4561" t="str">
            <v>M.PT.0000692</v>
          </cell>
        </row>
        <row r="4562">
          <cell r="A4562" t="str">
            <v>M.PT.0000693</v>
          </cell>
        </row>
        <row r="4563">
          <cell r="A4563" t="str">
            <v>M.PT.0000694</v>
          </cell>
        </row>
        <row r="4564">
          <cell r="A4564" t="str">
            <v>M.PT.0000695</v>
          </cell>
        </row>
        <row r="4565">
          <cell r="A4565" t="str">
            <v>M.PT.0000696</v>
          </cell>
        </row>
        <row r="4566">
          <cell r="A4566" t="str">
            <v>M.PT.0000697</v>
          </cell>
        </row>
        <row r="4567">
          <cell r="A4567" t="str">
            <v>M.PT.0000698</v>
          </cell>
        </row>
        <row r="4568">
          <cell r="A4568" t="str">
            <v>M.PT.0000699</v>
          </cell>
        </row>
        <row r="4569">
          <cell r="A4569" t="str">
            <v>M.PT.0000700</v>
          </cell>
        </row>
        <row r="4570">
          <cell r="A4570" t="str">
            <v>M.PT.0000701</v>
          </cell>
        </row>
        <row r="4571">
          <cell r="A4571" t="str">
            <v>M.PT.0000702</v>
          </cell>
        </row>
        <row r="4572">
          <cell r="A4572" t="str">
            <v>M.PT.0000703</v>
          </cell>
        </row>
        <row r="4573">
          <cell r="A4573" t="str">
            <v>M.PT.0000704</v>
          </cell>
        </row>
        <row r="4574">
          <cell r="A4574" t="str">
            <v>M.PT.0000705</v>
          </cell>
        </row>
        <row r="4575">
          <cell r="A4575" t="str">
            <v>M.PT.0000706</v>
          </cell>
        </row>
        <row r="4576">
          <cell r="A4576" t="str">
            <v>M.PT.0000707</v>
          </cell>
        </row>
        <row r="4577">
          <cell r="A4577" t="str">
            <v>M.PT.0000708</v>
          </cell>
        </row>
        <row r="4578">
          <cell r="A4578" t="str">
            <v>M.PT.0000709</v>
          </cell>
        </row>
        <row r="4579">
          <cell r="A4579" t="str">
            <v>M.PT.0000710</v>
          </cell>
        </row>
        <row r="4580">
          <cell r="A4580" t="str">
            <v>M.PT.0000711</v>
          </cell>
        </row>
        <row r="4581">
          <cell r="A4581" t="str">
            <v>M.PT.0000712</v>
          </cell>
        </row>
        <row r="4582">
          <cell r="A4582" t="str">
            <v>M.PT.0000713</v>
          </cell>
        </row>
        <row r="4583">
          <cell r="A4583" t="str">
            <v>M.PT.0000714</v>
          </cell>
        </row>
        <row r="4584">
          <cell r="A4584" t="str">
            <v>M.PT.0000715</v>
          </cell>
        </row>
        <row r="4585">
          <cell r="A4585" t="str">
            <v>M.PT.0000716</v>
          </cell>
        </row>
        <row r="4586">
          <cell r="A4586" t="str">
            <v>M.PT.0000717</v>
          </cell>
        </row>
        <row r="4587">
          <cell r="A4587" t="str">
            <v>M.PT.0000718</v>
          </cell>
        </row>
        <row r="4588">
          <cell r="A4588" t="str">
            <v>M.PT.0000719</v>
          </cell>
        </row>
        <row r="4589">
          <cell r="A4589" t="str">
            <v>M.PT.0000720</v>
          </cell>
        </row>
        <row r="4590">
          <cell r="A4590" t="str">
            <v>M.PT.0000721</v>
          </cell>
        </row>
        <row r="4591">
          <cell r="A4591" t="str">
            <v>M.PT.0000722</v>
          </cell>
        </row>
        <row r="4592">
          <cell r="A4592" t="str">
            <v>M.PT.0000723</v>
          </cell>
        </row>
        <row r="4593">
          <cell r="A4593" t="str">
            <v>M.PT.0000724</v>
          </cell>
        </row>
        <row r="4594">
          <cell r="A4594" t="str">
            <v>M.PT.0000725</v>
          </cell>
        </row>
        <row r="4595">
          <cell r="A4595" t="str">
            <v>M.PT.0000726</v>
          </cell>
        </row>
        <row r="4596">
          <cell r="A4596" t="str">
            <v>M.PT.0000727</v>
          </cell>
        </row>
        <row r="4597">
          <cell r="A4597" t="str">
            <v>M.PT.0000728</v>
          </cell>
        </row>
        <row r="4598">
          <cell r="A4598" t="str">
            <v>M.PT.0000729</v>
          </cell>
        </row>
        <row r="4599">
          <cell r="A4599" t="str">
            <v>M.PT.0000730</v>
          </cell>
        </row>
        <row r="4600">
          <cell r="A4600" t="str">
            <v>M.PT.0000731</v>
          </cell>
        </row>
        <row r="4601">
          <cell r="A4601" t="str">
            <v>M.PT.0000732</v>
          </cell>
        </row>
        <row r="4602">
          <cell r="A4602" t="str">
            <v>M.PT.0000733</v>
          </cell>
        </row>
        <row r="4603">
          <cell r="A4603" t="str">
            <v>M.PT.0000734</v>
          </cell>
        </row>
        <row r="4604">
          <cell r="A4604" t="str">
            <v>M.PT.0000735</v>
          </cell>
        </row>
        <row r="4605">
          <cell r="A4605" t="str">
            <v>M.PT.0000736</v>
          </cell>
        </row>
        <row r="4606">
          <cell r="A4606" t="str">
            <v>M.PT.0000737</v>
          </cell>
        </row>
        <row r="4607">
          <cell r="A4607" t="str">
            <v>M.PT.0000738</v>
          </cell>
        </row>
        <row r="4608">
          <cell r="A4608" t="str">
            <v>M.PT.0000739</v>
          </cell>
        </row>
        <row r="4609">
          <cell r="A4609" t="str">
            <v>M.PT.0000740</v>
          </cell>
        </row>
        <row r="4610">
          <cell r="A4610" t="str">
            <v>M.PT.0000741</v>
          </cell>
        </row>
        <row r="4611">
          <cell r="A4611" t="str">
            <v>M.PT.0000742</v>
          </cell>
        </row>
        <row r="4612">
          <cell r="A4612" t="str">
            <v>M.PT.0000743</v>
          </cell>
        </row>
        <row r="4613">
          <cell r="A4613" t="str">
            <v>M.PT.0000744</v>
          </cell>
        </row>
        <row r="4614">
          <cell r="A4614" t="str">
            <v>M.PT.0000745</v>
          </cell>
        </row>
        <row r="4615">
          <cell r="A4615" t="str">
            <v>M.PT.0000746</v>
          </cell>
        </row>
        <row r="4616">
          <cell r="A4616" t="str">
            <v>M.PT.0000747</v>
          </cell>
        </row>
        <row r="4617">
          <cell r="A4617" t="str">
            <v>M.PT.0000748</v>
          </cell>
        </row>
        <row r="4618">
          <cell r="A4618" t="str">
            <v>M.PT.0000749</v>
          </cell>
        </row>
        <row r="4619">
          <cell r="A4619" t="str">
            <v>M.PT.0000750</v>
          </cell>
        </row>
        <row r="4620">
          <cell r="A4620" t="str">
            <v>M.PT.0000751</v>
          </cell>
        </row>
        <row r="4621">
          <cell r="A4621" t="str">
            <v>M.PT.0000752</v>
          </cell>
        </row>
        <row r="4622">
          <cell r="A4622" t="str">
            <v>M.PT.0000753</v>
          </cell>
        </row>
        <row r="4623">
          <cell r="A4623" t="str">
            <v>M.PT.0000754</v>
          </cell>
        </row>
        <row r="4624">
          <cell r="A4624" t="str">
            <v>M.PT.0000755</v>
          </cell>
        </row>
        <row r="4625">
          <cell r="A4625" t="str">
            <v>M.PT.0000756</v>
          </cell>
        </row>
        <row r="4626">
          <cell r="A4626" t="str">
            <v>M.PT.0000757</v>
          </cell>
        </row>
        <row r="4627">
          <cell r="A4627" t="str">
            <v>M.PT.0000758</v>
          </cell>
        </row>
        <row r="4628">
          <cell r="A4628" t="str">
            <v>M.PT.0000759</v>
          </cell>
        </row>
        <row r="4629">
          <cell r="A4629" t="str">
            <v>M.PT.0000760</v>
          </cell>
        </row>
        <row r="4630">
          <cell r="A4630" t="str">
            <v>M.PT.0000761</v>
          </cell>
        </row>
        <row r="4631">
          <cell r="A4631" t="str">
            <v>M.PT.0000762</v>
          </cell>
        </row>
        <row r="4632">
          <cell r="A4632" t="str">
            <v>M.PT.0000763</v>
          </cell>
        </row>
        <row r="4633">
          <cell r="A4633" t="str">
            <v>M.PT.0000764</v>
          </cell>
        </row>
        <row r="4634">
          <cell r="A4634" t="str">
            <v>M.PT.0000765</v>
          </cell>
        </row>
        <row r="4635">
          <cell r="A4635" t="str">
            <v>M.PT.0000766</v>
          </cell>
        </row>
        <row r="4636">
          <cell r="A4636" t="str">
            <v>M.PT.0000767</v>
          </cell>
        </row>
        <row r="4637">
          <cell r="A4637" t="str">
            <v>M.PT.0000768</v>
          </cell>
        </row>
        <row r="4638">
          <cell r="A4638" t="str">
            <v>M.PT.0000769</v>
          </cell>
        </row>
        <row r="4639">
          <cell r="A4639" t="str">
            <v>M.PT.0000770</v>
          </cell>
        </row>
        <row r="4640">
          <cell r="A4640" t="str">
            <v>M.PT.0000771</v>
          </cell>
        </row>
        <row r="4641">
          <cell r="A4641" t="str">
            <v>M.PT.0000772</v>
          </cell>
        </row>
        <row r="4642">
          <cell r="A4642" t="str">
            <v>M.PT.0000773</v>
          </cell>
        </row>
        <row r="4643">
          <cell r="A4643" t="str">
            <v>M.PT.0000774</v>
          </cell>
        </row>
        <row r="4644">
          <cell r="A4644" t="str">
            <v>M.PT.0000775</v>
          </cell>
        </row>
        <row r="4645">
          <cell r="A4645" t="str">
            <v>M.PT.0000776</v>
          </cell>
        </row>
        <row r="4646">
          <cell r="A4646" t="str">
            <v>M.PT.0000777</v>
          </cell>
        </row>
        <row r="4647">
          <cell r="A4647" t="str">
            <v>M.PT.0000778</v>
          </cell>
        </row>
        <row r="4648">
          <cell r="A4648" t="str">
            <v>M.PT.0000779</v>
          </cell>
        </row>
        <row r="4649">
          <cell r="A4649" t="str">
            <v>M.PT.0000780</v>
          </cell>
        </row>
        <row r="4650">
          <cell r="A4650" t="str">
            <v>M.PT.0000781</v>
          </cell>
        </row>
        <row r="4651">
          <cell r="A4651" t="str">
            <v>M.PT.0000782</v>
          </cell>
        </row>
        <row r="4652">
          <cell r="A4652" t="str">
            <v>M.PT.0000783</v>
          </cell>
        </row>
        <row r="4653">
          <cell r="A4653" t="str">
            <v>M.PT.0000784</v>
          </cell>
        </row>
        <row r="4654">
          <cell r="A4654" t="str">
            <v>M.PT.0000785</v>
          </cell>
        </row>
        <row r="4655">
          <cell r="A4655" t="str">
            <v>M.PT.0000786</v>
          </cell>
        </row>
        <row r="4656">
          <cell r="A4656" t="str">
            <v>M.PT.0000787</v>
          </cell>
        </row>
        <row r="4657">
          <cell r="A4657" t="str">
            <v>M.PT.0000788</v>
          </cell>
        </row>
        <row r="4658">
          <cell r="A4658" t="str">
            <v>M.PT.0000789</v>
          </cell>
        </row>
        <row r="4659">
          <cell r="A4659" t="str">
            <v>M.PT.0000790</v>
          </cell>
        </row>
        <row r="4660">
          <cell r="A4660" t="str">
            <v>M.PT.0000791</v>
          </cell>
        </row>
        <row r="4661">
          <cell r="A4661" t="str">
            <v>M.PT.0000792</v>
          </cell>
        </row>
        <row r="4662">
          <cell r="A4662" t="str">
            <v>M.PT.0000793</v>
          </cell>
        </row>
        <row r="4663">
          <cell r="A4663" t="str">
            <v>M.PT.0000794</v>
          </cell>
        </row>
        <row r="4664">
          <cell r="A4664" t="str">
            <v>M.PT.0000795</v>
          </cell>
        </row>
        <row r="4665">
          <cell r="A4665" t="str">
            <v>M.PT.0000796</v>
          </cell>
        </row>
        <row r="4666">
          <cell r="A4666" t="str">
            <v>M.PT.0000797</v>
          </cell>
        </row>
        <row r="4667">
          <cell r="A4667" t="str">
            <v>M.PT.0000798</v>
          </cell>
        </row>
        <row r="4668">
          <cell r="A4668" t="str">
            <v>M.PT.0000799</v>
          </cell>
        </row>
        <row r="4669">
          <cell r="A4669" t="str">
            <v>M.PT.0000800</v>
          </cell>
        </row>
        <row r="4670">
          <cell r="A4670" t="str">
            <v>M.PT.0000801</v>
          </cell>
        </row>
        <row r="4671">
          <cell r="A4671" t="str">
            <v>M.PT.0000802</v>
          </cell>
        </row>
        <row r="4672">
          <cell r="A4672" t="str">
            <v>M.PT.0000803</v>
          </cell>
        </row>
        <row r="4673">
          <cell r="A4673" t="str">
            <v>M.PT.0000804</v>
          </cell>
        </row>
        <row r="4674">
          <cell r="A4674" t="str">
            <v>M.PT.0000805</v>
          </cell>
        </row>
        <row r="4675">
          <cell r="A4675" t="str">
            <v>M.PT.0000806</v>
          </cell>
        </row>
        <row r="4676">
          <cell r="A4676" t="str">
            <v>M.PT.0000807</v>
          </cell>
        </row>
        <row r="4677">
          <cell r="A4677" t="str">
            <v>M.PT.0000808</v>
          </cell>
        </row>
        <row r="4678">
          <cell r="A4678" t="str">
            <v>M.PT.0000809</v>
          </cell>
        </row>
        <row r="4679">
          <cell r="A4679" t="str">
            <v>M.PT.0000810</v>
          </cell>
        </row>
        <row r="4680">
          <cell r="A4680" t="str">
            <v>M.PT.0000811</v>
          </cell>
        </row>
        <row r="4681">
          <cell r="A4681" t="str">
            <v>M.PT.0000812</v>
          </cell>
        </row>
        <row r="4682">
          <cell r="A4682" t="str">
            <v>M.PT.0000813</v>
          </cell>
        </row>
        <row r="4683">
          <cell r="A4683" t="str">
            <v>M.PT.0000814</v>
          </cell>
        </row>
        <row r="4684">
          <cell r="A4684" t="str">
            <v>M.PT.0000815</v>
          </cell>
        </row>
        <row r="4685">
          <cell r="A4685" t="str">
            <v>M.PT.0000816</v>
          </cell>
        </row>
        <row r="4686">
          <cell r="A4686" t="str">
            <v>M.PT.0000817</v>
          </cell>
        </row>
        <row r="4687">
          <cell r="A4687" t="str">
            <v>M.PT.0000818</v>
          </cell>
        </row>
        <row r="4688">
          <cell r="A4688" t="str">
            <v>M.PT.0000819</v>
          </cell>
        </row>
        <row r="4689">
          <cell r="A4689" t="str">
            <v>M.PT.0000820</v>
          </cell>
        </row>
        <row r="4690">
          <cell r="A4690" t="str">
            <v>M.PT.0000821</v>
          </cell>
        </row>
        <row r="4691">
          <cell r="A4691" t="str">
            <v>M.PT.0000822</v>
          </cell>
        </row>
        <row r="4692">
          <cell r="A4692" t="str">
            <v>M.PT.0000823</v>
          </cell>
        </row>
        <row r="4693">
          <cell r="A4693" t="str">
            <v>M.PT.0000824</v>
          </cell>
        </row>
        <row r="4694">
          <cell r="A4694" t="str">
            <v>M.PT.0000825</v>
          </cell>
        </row>
        <row r="4695">
          <cell r="A4695" t="str">
            <v>M.PT.0000826</v>
          </cell>
        </row>
        <row r="4696">
          <cell r="A4696" t="str">
            <v>M.PT.0000827</v>
          </cell>
        </row>
        <row r="4697">
          <cell r="A4697" t="str">
            <v>M.PT.0000828</v>
          </cell>
        </row>
        <row r="4698">
          <cell r="A4698" t="str">
            <v>M.PT.0000829</v>
          </cell>
        </row>
        <row r="4699">
          <cell r="A4699" t="str">
            <v>M.PT.0000830</v>
          </cell>
        </row>
        <row r="4700">
          <cell r="A4700" t="str">
            <v>M.PT.0000831</v>
          </cell>
        </row>
        <row r="4701">
          <cell r="A4701" t="str">
            <v>M.PT.0000832</v>
          </cell>
        </row>
        <row r="4702">
          <cell r="A4702" t="str">
            <v>M.PT.0000833</v>
          </cell>
        </row>
        <row r="4703">
          <cell r="A4703" t="str">
            <v>M.PT.0000834</v>
          </cell>
        </row>
        <row r="4704">
          <cell r="A4704" t="str">
            <v>M.PT.0000835</v>
          </cell>
        </row>
        <row r="4705">
          <cell r="A4705" t="str">
            <v>M.PT.0000836</v>
          </cell>
        </row>
        <row r="4706">
          <cell r="A4706" t="str">
            <v>M.PT.0000837</v>
          </cell>
        </row>
        <row r="4707">
          <cell r="A4707" t="str">
            <v>M.PT.0000838</v>
          </cell>
        </row>
        <row r="4708">
          <cell r="A4708" t="str">
            <v>M.PT.0000839</v>
          </cell>
        </row>
        <row r="4709">
          <cell r="A4709" t="str">
            <v>M.PT.0000840</v>
          </cell>
        </row>
        <row r="4710">
          <cell r="A4710" t="str">
            <v>M.PT.0000841</v>
          </cell>
        </row>
        <row r="4711">
          <cell r="A4711" t="str">
            <v>M.PT.0000842</v>
          </cell>
        </row>
        <row r="4712">
          <cell r="A4712" t="str">
            <v>M.PT.0000843</v>
          </cell>
        </row>
        <row r="4713">
          <cell r="A4713" t="str">
            <v>M.PT.0000844</v>
          </cell>
        </row>
        <row r="4714">
          <cell r="A4714" t="str">
            <v>M.PT.0000845</v>
          </cell>
        </row>
        <row r="4715">
          <cell r="A4715" t="str">
            <v>M.PT.0000846</v>
          </cell>
        </row>
        <row r="4716">
          <cell r="A4716" t="str">
            <v>M.PT.0000847</v>
          </cell>
        </row>
        <row r="4717">
          <cell r="A4717" t="str">
            <v>M.PT.0000848</v>
          </cell>
        </row>
        <row r="4718">
          <cell r="A4718" t="str">
            <v>M.PT.0000849</v>
          </cell>
        </row>
        <row r="4719">
          <cell r="A4719" t="str">
            <v>M.PT.0000850</v>
          </cell>
        </row>
        <row r="4720">
          <cell r="A4720" t="str">
            <v>M.PT.0000851</v>
          </cell>
        </row>
        <row r="4721">
          <cell r="A4721" t="str">
            <v>M.PT.0000852</v>
          </cell>
        </row>
        <row r="4722">
          <cell r="A4722" t="str">
            <v>M.PT.0000853</v>
          </cell>
        </row>
        <row r="4723">
          <cell r="A4723" t="str">
            <v>M.PT.0000854</v>
          </cell>
        </row>
        <row r="4724">
          <cell r="A4724" t="str">
            <v>M.PT.0000855</v>
          </cell>
        </row>
        <row r="4725">
          <cell r="A4725" t="str">
            <v>M.PT.0000856</v>
          </cell>
        </row>
        <row r="4726">
          <cell r="A4726" t="str">
            <v>M.PT.0000857</v>
          </cell>
        </row>
        <row r="4727">
          <cell r="A4727" t="str">
            <v>M.PT.0000858</v>
          </cell>
        </row>
        <row r="4728">
          <cell r="A4728" t="str">
            <v>M.PT.0000859</v>
          </cell>
        </row>
        <row r="4729">
          <cell r="A4729" t="str">
            <v>M.PT.0000860</v>
          </cell>
        </row>
        <row r="4730">
          <cell r="A4730" t="str">
            <v>M.PT.0000861</v>
          </cell>
        </row>
        <row r="4731">
          <cell r="A4731" t="str">
            <v>M.PT.0000862</v>
          </cell>
        </row>
        <row r="4732">
          <cell r="A4732" t="str">
            <v>M.PT.0000863</v>
          </cell>
        </row>
        <row r="4733">
          <cell r="A4733" t="str">
            <v>M.PT.0000864</v>
          </cell>
        </row>
        <row r="4734">
          <cell r="A4734" t="str">
            <v>M.PT.0000865</v>
          </cell>
        </row>
        <row r="4735">
          <cell r="A4735" t="str">
            <v>M.PT.0000866</v>
          </cell>
        </row>
        <row r="4736">
          <cell r="A4736" t="str">
            <v>M.PT.0000867</v>
          </cell>
        </row>
        <row r="4737">
          <cell r="A4737" t="str">
            <v>M.PT.0000868</v>
          </cell>
        </row>
        <row r="4738">
          <cell r="A4738" t="str">
            <v>M.PT.0000869</v>
          </cell>
        </row>
        <row r="4739">
          <cell r="A4739" t="str">
            <v>M.PT.0000870</v>
          </cell>
        </row>
        <row r="4740">
          <cell r="A4740" t="str">
            <v>M.PT.0000871</v>
          </cell>
        </row>
        <row r="4741">
          <cell r="A4741" t="str">
            <v>M.PT.0000872</v>
          </cell>
        </row>
        <row r="4742">
          <cell r="A4742" t="str">
            <v>M.PT.0000873</v>
          </cell>
        </row>
        <row r="4743">
          <cell r="A4743" t="str">
            <v>M.PT.0000874</v>
          </cell>
        </row>
        <row r="4744">
          <cell r="A4744" t="str">
            <v>M.PT.0000875</v>
          </cell>
        </row>
        <row r="4745">
          <cell r="A4745" t="str">
            <v>M.PT.0000876</v>
          </cell>
        </row>
        <row r="4746">
          <cell r="A4746" t="str">
            <v>M.PT.0000877</v>
          </cell>
        </row>
        <row r="4747">
          <cell r="A4747" t="str">
            <v>M.PT.0000878</v>
          </cell>
        </row>
        <row r="4748">
          <cell r="A4748" t="str">
            <v>M.PT.0000879</v>
          </cell>
        </row>
        <row r="4749">
          <cell r="A4749" t="str">
            <v>M.PT.0000880</v>
          </cell>
        </row>
        <row r="4750">
          <cell r="A4750" t="str">
            <v>M.PT.0000881</v>
          </cell>
        </row>
        <row r="4751">
          <cell r="A4751" t="str">
            <v>M.PT.0000882</v>
          </cell>
        </row>
        <row r="4752">
          <cell r="A4752" t="str">
            <v>M.PT.0000883</v>
          </cell>
        </row>
        <row r="4753">
          <cell r="A4753" t="str">
            <v>M.PT.0000884</v>
          </cell>
        </row>
        <row r="4754">
          <cell r="A4754" t="str">
            <v>M.PT.0000885</v>
          </cell>
        </row>
        <row r="4755">
          <cell r="A4755" t="str">
            <v>M.PT.0000886</v>
          </cell>
        </row>
        <row r="4756">
          <cell r="A4756" t="str">
            <v>M.PT.0000887</v>
          </cell>
        </row>
        <row r="4757">
          <cell r="A4757" t="str">
            <v>M.PT.0000888</v>
          </cell>
        </row>
        <row r="4758">
          <cell r="A4758" t="str">
            <v>M.PT.0000889</v>
          </cell>
        </row>
        <row r="4759">
          <cell r="A4759" t="str">
            <v>M.PT.0000890</v>
          </cell>
        </row>
        <row r="4760">
          <cell r="A4760" t="str">
            <v>M.PT.0000891</v>
          </cell>
        </row>
        <row r="4761">
          <cell r="A4761" t="str">
            <v>M.PT.0000892</v>
          </cell>
        </row>
        <row r="4762">
          <cell r="A4762" t="str">
            <v>M.PT.0000893</v>
          </cell>
        </row>
        <row r="4763">
          <cell r="A4763" t="str">
            <v>M.PT.0000894</v>
          </cell>
        </row>
        <row r="4764">
          <cell r="A4764" t="str">
            <v>M.PT.0000895</v>
          </cell>
        </row>
        <row r="4765">
          <cell r="A4765" t="str">
            <v>M.PT.0000896</v>
          </cell>
        </row>
        <row r="4766">
          <cell r="A4766" t="str">
            <v>M.PT.0000897</v>
          </cell>
        </row>
        <row r="4767">
          <cell r="A4767" t="str">
            <v>M.PT.0000898</v>
          </cell>
        </row>
        <row r="4768">
          <cell r="A4768" t="str">
            <v>M.PT.0000899</v>
          </cell>
        </row>
        <row r="4769">
          <cell r="A4769" t="str">
            <v>M.PT.0000900</v>
          </cell>
        </row>
        <row r="4770">
          <cell r="A4770" t="str">
            <v>M.PT.0000901</v>
          </cell>
        </row>
        <row r="4771">
          <cell r="A4771" t="str">
            <v>M.PT.0000902</v>
          </cell>
        </row>
        <row r="4772">
          <cell r="A4772" t="str">
            <v>M.PT.0000903</v>
          </cell>
        </row>
        <row r="4773">
          <cell r="A4773" t="str">
            <v>M.PT.0000904</v>
          </cell>
        </row>
        <row r="4774">
          <cell r="A4774" t="str">
            <v>M.PT.0000905</v>
          </cell>
        </row>
        <row r="4775">
          <cell r="A4775" t="str">
            <v>M.PT.0000906</v>
          </cell>
        </row>
        <row r="4776">
          <cell r="A4776" t="str">
            <v>M.PT.0000907</v>
          </cell>
        </row>
        <row r="4777">
          <cell r="A4777" t="str">
            <v>M.PT.0000908</v>
          </cell>
        </row>
        <row r="4778">
          <cell r="A4778" t="str">
            <v>M.PT.0000909</v>
          </cell>
        </row>
        <row r="4779">
          <cell r="A4779" t="str">
            <v>M.PT.0000910</v>
          </cell>
        </row>
        <row r="4780">
          <cell r="A4780" t="str">
            <v>M.PT.0000911</v>
          </cell>
        </row>
        <row r="4781">
          <cell r="A4781" t="str">
            <v>M.PT.0000912</v>
          </cell>
        </row>
        <row r="4782">
          <cell r="A4782" t="str">
            <v>M.PT.0000913</v>
          </cell>
        </row>
        <row r="4783">
          <cell r="A4783" t="str">
            <v>M.PT.0000914</v>
          </cell>
        </row>
        <row r="4784">
          <cell r="A4784" t="str">
            <v>M.PT.0000915</v>
          </cell>
        </row>
        <row r="4785">
          <cell r="A4785" t="str">
            <v>M.PT.0000916</v>
          </cell>
        </row>
        <row r="4786">
          <cell r="A4786" t="str">
            <v>M.PT.0000917</v>
          </cell>
        </row>
        <row r="4787">
          <cell r="A4787" t="str">
            <v>M.PT.0000918</v>
          </cell>
        </row>
        <row r="4788">
          <cell r="A4788" t="str">
            <v>M.PT.0000919</v>
          </cell>
        </row>
        <row r="4789">
          <cell r="A4789" t="str">
            <v>M.PT.0000920</v>
          </cell>
        </row>
        <row r="4790">
          <cell r="A4790" t="str">
            <v>M.PT.0000921</v>
          </cell>
        </row>
        <row r="4791">
          <cell r="A4791" t="str">
            <v>M.PT.0000922</v>
          </cell>
        </row>
        <row r="4792">
          <cell r="A4792" t="str">
            <v>M.PT.0000923</v>
          </cell>
        </row>
        <row r="4793">
          <cell r="A4793" t="str">
            <v>M.PT.0000924</v>
          </cell>
        </row>
        <row r="4794">
          <cell r="A4794" t="str">
            <v>M.PT.0000925</v>
          </cell>
        </row>
        <row r="4795">
          <cell r="A4795" t="str">
            <v>M.PT.0000926</v>
          </cell>
        </row>
        <row r="4796">
          <cell r="A4796" t="str">
            <v>M.PT.0000927</v>
          </cell>
        </row>
        <row r="4797">
          <cell r="A4797" t="str">
            <v>M.PT.0000928</v>
          </cell>
        </row>
        <row r="4798">
          <cell r="A4798" t="str">
            <v>M.PT.0000929</v>
          </cell>
        </row>
        <row r="4799">
          <cell r="A4799" t="str">
            <v>M.PT.0000930</v>
          </cell>
        </row>
        <row r="4800">
          <cell r="A4800" t="str">
            <v>M.PT.0000931</v>
          </cell>
        </row>
        <row r="4801">
          <cell r="A4801" t="str">
            <v>M.PT.0000932</v>
          </cell>
        </row>
        <row r="4802">
          <cell r="A4802" t="str">
            <v>M.PT.0000933</v>
          </cell>
        </row>
        <row r="4803">
          <cell r="A4803" t="str">
            <v>M.PT.0000934</v>
          </cell>
        </row>
        <row r="4804">
          <cell r="A4804" t="str">
            <v>M.PT.0000935</v>
          </cell>
        </row>
        <row r="4805">
          <cell r="A4805" t="str">
            <v>M.PT.0000936</v>
          </cell>
        </row>
        <row r="4806">
          <cell r="A4806" t="str">
            <v>M.PT.0000937</v>
          </cell>
        </row>
        <row r="4807">
          <cell r="A4807" t="str">
            <v>M.PT.0000938</v>
          </cell>
        </row>
        <row r="4808">
          <cell r="A4808" t="str">
            <v>M.PT.0000939</v>
          </cell>
        </row>
        <row r="4809">
          <cell r="A4809" t="str">
            <v>M.PT.0000940</v>
          </cell>
        </row>
        <row r="4810">
          <cell r="A4810" t="str">
            <v>M.PT.0000941</v>
          </cell>
        </row>
        <row r="4811">
          <cell r="A4811" t="str">
            <v>M.PT.0000942</v>
          </cell>
        </row>
        <row r="4812">
          <cell r="A4812" t="str">
            <v>M.PT.0000943</v>
          </cell>
        </row>
        <row r="4813">
          <cell r="A4813" t="str">
            <v>M.PT.0000944</v>
          </cell>
        </row>
        <row r="4814">
          <cell r="A4814" t="str">
            <v>M.PT.0000945</v>
          </cell>
        </row>
        <row r="4815">
          <cell r="A4815" t="str">
            <v>M.PT.0000946</v>
          </cell>
        </row>
        <row r="4816">
          <cell r="A4816" t="str">
            <v>M.PT.0000947</v>
          </cell>
        </row>
        <row r="4817">
          <cell r="A4817" t="str">
            <v>M.PT.0000948</v>
          </cell>
        </row>
        <row r="4818">
          <cell r="A4818" t="str">
            <v>M.PT.0000949</v>
          </cell>
        </row>
        <row r="4819">
          <cell r="A4819" t="str">
            <v>M.PT.0000950</v>
          </cell>
        </row>
        <row r="4820">
          <cell r="A4820" t="str">
            <v>M.PT.0000951</v>
          </cell>
        </row>
        <row r="4821">
          <cell r="A4821" t="str">
            <v>M.PT.0000952</v>
          </cell>
        </row>
        <row r="4822">
          <cell r="A4822" t="str">
            <v>M.PT.0000953</v>
          </cell>
        </row>
        <row r="4823">
          <cell r="A4823" t="str">
            <v>M.PT.0000954</v>
          </cell>
        </row>
        <row r="4824">
          <cell r="A4824" t="str">
            <v>M.PT.0000955</v>
          </cell>
        </row>
        <row r="4825">
          <cell r="A4825" t="str">
            <v>M.PT.0000956</v>
          </cell>
        </row>
        <row r="4826">
          <cell r="A4826" t="str">
            <v>M.PT.0000957</v>
          </cell>
        </row>
        <row r="4827">
          <cell r="A4827" t="str">
            <v>M.PT.0000958</v>
          </cell>
        </row>
        <row r="4828">
          <cell r="A4828" t="str">
            <v>M.PT.0000959</v>
          </cell>
        </row>
        <row r="4829">
          <cell r="A4829" t="str">
            <v>M.PT.0000960</v>
          </cell>
        </row>
        <row r="4830">
          <cell r="A4830" t="str">
            <v>M.PT.0000961</v>
          </cell>
        </row>
        <row r="4831">
          <cell r="A4831" t="str">
            <v>M.PT.0000962</v>
          </cell>
        </row>
        <row r="4832">
          <cell r="A4832" t="str">
            <v>M.PT.0000963</v>
          </cell>
        </row>
        <row r="4833">
          <cell r="A4833" t="str">
            <v>M.PT.0000964</v>
          </cell>
        </row>
        <row r="4834">
          <cell r="A4834" t="str">
            <v>M.PT.0000965</v>
          </cell>
        </row>
        <row r="4835">
          <cell r="A4835" t="str">
            <v>M.PT.0000966</v>
          </cell>
        </row>
        <row r="4836">
          <cell r="A4836" t="str">
            <v>M.PT.0000967</v>
          </cell>
        </row>
        <row r="4837">
          <cell r="A4837" t="str">
            <v>M.PT.0000968</v>
          </cell>
        </row>
        <row r="4838">
          <cell r="A4838" t="str">
            <v>M.PT.0000969</v>
          </cell>
        </row>
        <row r="4839">
          <cell r="A4839" t="str">
            <v>M.PT.0000970</v>
          </cell>
        </row>
        <row r="4840">
          <cell r="A4840" t="str">
            <v>M.PT.0000971</v>
          </cell>
        </row>
        <row r="4841">
          <cell r="A4841" t="str">
            <v>M.PT.0000972</v>
          </cell>
        </row>
        <row r="4842">
          <cell r="A4842" t="str">
            <v>M.PT.0000973</v>
          </cell>
        </row>
        <row r="4843">
          <cell r="A4843" t="str">
            <v>M.PT.0000974</v>
          </cell>
        </row>
        <row r="4844">
          <cell r="A4844" t="str">
            <v>M.PT.0000975</v>
          </cell>
        </row>
        <row r="4845">
          <cell r="A4845" t="str">
            <v>M.PT.0000976</v>
          </cell>
        </row>
        <row r="4846">
          <cell r="A4846" t="str">
            <v>M.PT.0000977</v>
          </cell>
        </row>
        <row r="4847">
          <cell r="A4847" t="str">
            <v>M.PT.0000978</v>
          </cell>
        </row>
        <row r="4848">
          <cell r="A4848" t="str">
            <v>M.PT.0000979</v>
          </cell>
        </row>
        <row r="4849">
          <cell r="A4849" t="str">
            <v>M.PT.0000980</v>
          </cell>
        </row>
        <row r="4850">
          <cell r="A4850" t="str">
            <v>M.PT.0000981</v>
          </cell>
        </row>
        <row r="4851">
          <cell r="A4851" t="str">
            <v>M.PT.0000982</v>
          </cell>
        </row>
        <row r="4852">
          <cell r="A4852" t="str">
            <v>M.PT.0000983</v>
          </cell>
        </row>
        <row r="4853">
          <cell r="A4853" t="str">
            <v>M.PT.0000984</v>
          </cell>
        </row>
        <row r="4854">
          <cell r="A4854" t="str">
            <v>M.PT.0000985</v>
          </cell>
        </row>
        <row r="4855">
          <cell r="A4855" t="str">
            <v>M.PT.0000986</v>
          </cell>
        </row>
        <row r="4856">
          <cell r="A4856" t="str">
            <v>M.PT.0000987</v>
          </cell>
        </row>
        <row r="4857">
          <cell r="A4857" t="str">
            <v>M.PT.0000988</v>
          </cell>
        </row>
        <row r="4858">
          <cell r="A4858" t="str">
            <v>M.PT.0000989</v>
          </cell>
        </row>
        <row r="4859">
          <cell r="A4859" t="str">
            <v>M.PT.0000990</v>
          </cell>
        </row>
        <row r="4860">
          <cell r="A4860" t="str">
            <v>M.PT.0000991</v>
          </cell>
        </row>
        <row r="4861">
          <cell r="A4861" t="str">
            <v>M.PT.0000992</v>
          </cell>
        </row>
        <row r="4862">
          <cell r="A4862" t="str">
            <v>M.PT.0000993</v>
          </cell>
        </row>
        <row r="4863">
          <cell r="A4863" t="str">
            <v>M.PT.0000994</v>
          </cell>
        </row>
        <row r="4864">
          <cell r="A4864" t="str">
            <v>M.PT.0000996</v>
          </cell>
        </row>
        <row r="4865">
          <cell r="A4865" t="str">
            <v>M.PT.0000997</v>
          </cell>
        </row>
        <row r="4866">
          <cell r="A4866" t="str">
            <v>M.PT.0000998</v>
          </cell>
        </row>
        <row r="4867">
          <cell r="A4867" t="str">
            <v>M.PT.0000999</v>
          </cell>
        </row>
        <row r="4868">
          <cell r="A4868" t="str">
            <v>M.PT.0001000</v>
          </cell>
        </row>
        <row r="4869">
          <cell r="A4869" t="str">
            <v>M.PT.0001001</v>
          </cell>
        </row>
        <row r="4870">
          <cell r="A4870" t="str">
            <v>M.PT.0001002</v>
          </cell>
        </row>
        <row r="4871">
          <cell r="A4871" t="str">
            <v>M.PT.0001003</v>
          </cell>
        </row>
        <row r="4872">
          <cell r="A4872" t="str">
            <v>M.PT.0001004</v>
          </cell>
        </row>
        <row r="4873">
          <cell r="A4873" t="str">
            <v>M.PT.0001005</v>
          </cell>
        </row>
        <row r="4874">
          <cell r="A4874" t="str">
            <v>M.PT.0001006</v>
          </cell>
        </row>
        <row r="4875">
          <cell r="A4875" t="str">
            <v>M.PT.0001007</v>
          </cell>
        </row>
        <row r="4876">
          <cell r="A4876" t="str">
            <v>M.PT.0001008</v>
          </cell>
        </row>
        <row r="4877">
          <cell r="A4877" t="str">
            <v>M.PT.0001009</v>
          </cell>
        </row>
        <row r="4878">
          <cell r="A4878" t="str">
            <v>M.PT.0001010</v>
          </cell>
        </row>
        <row r="4879">
          <cell r="A4879" t="str">
            <v>M.PT.0001011</v>
          </cell>
        </row>
        <row r="4880">
          <cell r="A4880" t="str">
            <v>M.PT.0001012</v>
          </cell>
        </row>
        <row r="4881">
          <cell r="A4881" t="str">
            <v>M.PT.0001013</v>
          </cell>
        </row>
        <row r="4882">
          <cell r="A4882" t="str">
            <v>M.PT.0001014</v>
          </cell>
        </row>
        <row r="4883">
          <cell r="A4883" t="str">
            <v>M.PT.0001015</v>
          </cell>
        </row>
        <row r="4884">
          <cell r="A4884" t="str">
            <v>M.PT.0001016</v>
          </cell>
        </row>
        <row r="4885">
          <cell r="A4885" t="str">
            <v>M.PT.0001017</v>
          </cell>
        </row>
        <row r="4886">
          <cell r="A4886" t="str">
            <v>M.PT.0001018</v>
          </cell>
        </row>
        <row r="4887">
          <cell r="A4887" t="str">
            <v>M.PT.0001019</v>
          </cell>
        </row>
        <row r="4888">
          <cell r="A4888" t="str">
            <v>M.PT.0001020</v>
          </cell>
        </row>
        <row r="4889">
          <cell r="A4889" t="str">
            <v>M.PT.0001021</v>
          </cell>
        </row>
        <row r="4890">
          <cell r="A4890" t="str">
            <v>M.PT.0001022</v>
          </cell>
        </row>
        <row r="4891">
          <cell r="A4891" t="str">
            <v>M.PT.0001023</v>
          </cell>
        </row>
        <row r="4892">
          <cell r="A4892" t="str">
            <v>M.PT.0001024</v>
          </cell>
        </row>
        <row r="4893">
          <cell r="A4893" t="str">
            <v>M.PT.0001025</v>
          </cell>
        </row>
        <row r="4894">
          <cell r="A4894" t="str">
            <v>M.PT.0001026</v>
          </cell>
        </row>
        <row r="4895">
          <cell r="A4895" t="str">
            <v>M.PT.0001027</v>
          </cell>
        </row>
        <row r="4896">
          <cell r="A4896" t="str">
            <v>M.PT.0001028</v>
          </cell>
        </row>
        <row r="4897">
          <cell r="A4897" t="str">
            <v>M.PT.0001029</v>
          </cell>
        </row>
        <row r="4898">
          <cell r="A4898" t="str">
            <v>M.PT.0001030</v>
          </cell>
        </row>
        <row r="4899">
          <cell r="A4899" t="str">
            <v>M.PT.0001031</v>
          </cell>
        </row>
        <row r="4900">
          <cell r="A4900" t="str">
            <v>M.PT.0001032</v>
          </cell>
        </row>
        <row r="4901">
          <cell r="A4901" t="str">
            <v>M.PT.0001033</v>
          </cell>
        </row>
        <row r="4902">
          <cell r="A4902" t="str">
            <v>M.PT.0001034</v>
          </cell>
        </row>
        <row r="4903">
          <cell r="A4903" t="str">
            <v>M.PT.0001035</v>
          </cell>
        </row>
        <row r="4904">
          <cell r="A4904" t="str">
            <v>M.PT.0001036</v>
          </cell>
        </row>
        <row r="4905">
          <cell r="A4905" t="str">
            <v>M.PT.0001037</v>
          </cell>
        </row>
        <row r="4906">
          <cell r="A4906" t="str">
            <v>M.PT.0001038</v>
          </cell>
        </row>
        <row r="4907">
          <cell r="A4907" t="str">
            <v>M.PT.0001039</v>
          </cell>
        </row>
        <row r="4908">
          <cell r="A4908" t="str">
            <v>M.PT.0001040</v>
          </cell>
        </row>
        <row r="4909">
          <cell r="A4909" t="str">
            <v>M.PT.0001041</v>
          </cell>
        </row>
        <row r="4910">
          <cell r="A4910" t="str">
            <v>M.PT.0001042</v>
          </cell>
        </row>
        <row r="4911">
          <cell r="A4911" t="str">
            <v>M.PT.0001043</v>
          </cell>
        </row>
        <row r="4912">
          <cell r="A4912" t="str">
            <v>M.PT.0001044</v>
          </cell>
        </row>
        <row r="4913">
          <cell r="A4913" t="str">
            <v>M.PT.0001045</v>
          </cell>
        </row>
        <row r="4914">
          <cell r="A4914" t="str">
            <v>M.PT.0001046</v>
          </cell>
        </row>
        <row r="4915">
          <cell r="A4915" t="str">
            <v>M.PT.0001047</v>
          </cell>
        </row>
        <row r="4916">
          <cell r="A4916" t="str">
            <v>M.PT.0001048</v>
          </cell>
        </row>
        <row r="4917">
          <cell r="A4917" t="str">
            <v>M.PT.0001049</v>
          </cell>
        </row>
        <row r="4918">
          <cell r="A4918" t="str">
            <v>M.PT.0001050</v>
          </cell>
        </row>
        <row r="4919">
          <cell r="A4919" t="str">
            <v>M.PT.0001051</v>
          </cell>
        </row>
        <row r="4920">
          <cell r="A4920" t="str">
            <v>M.PT.0001052</v>
          </cell>
        </row>
        <row r="4921">
          <cell r="A4921" t="str">
            <v>M.PT.0001053</v>
          </cell>
        </row>
        <row r="4922">
          <cell r="A4922" t="str">
            <v>M.PT.0001054</v>
          </cell>
        </row>
        <row r="4923">
          <cell r="A4923" t="str">
            <v>M.PT.0001055</v>
          </cell>
        </row>
        <row r="4924">
          <cell r="A4924" t="str">
            <v>M.PT.0001056</v>
          </cell>
        </row>
        <row r="4925">
          <cell r="A4925" t="str">
            <v>M.PT.0001057</v>
          </cell>
        </row>
        <row r="4926">
          <cell r="A4926" t="str">
            <v>M.PT.0001058</v>
          </cell>
        </row>
        <row r="4927">
          <cell r="A4927" t="str">
            <v>M.PT.0001059</v>
          </cell>
        </row>
        <row r="4928">
          <cell r="A4928" t="str">
            <v>M.PT.0001060</v>
          </cell>
        </row>
        <row r="4929">
          <cell r="A4929" t="str">
            <v>M.PT.0001061</v>
          </cell>
        </row>
        <row r="4930">
          <cell r="A4930" t="str">
            <v>M.PT.0001062</v>
          </cell>
        </row>
        <row r="4931">
          <cell r="A4931" t="str">
            <v>M.PT.0001063</v>
          </cell>
        </row>
        <row r="4932">
          <cell r="A4932" t="str">
            <v>M.PT.0001064</v>
          </cell>
        </row>
        <row r="4933">
          <cell r="A4933" t="str">
            <v>M.PT.0001065</v>
          </cell>
        </row>
        <row r="4934">
          <cell r="A4934" t="str">
            <v>M.PT.0001066</v>
          </cell>
        </row>
        <row r="4935">
          <cell r="A4935" t="str">
            <v>M.PT.0001067</v>
          </cell>
        </row>
        <row r="4936">
          <cell r="A4936" t="str">
            <v>M.PT.0001068</v>
          </cell>
        </row>
        <row r="4937">
          <cell r="A4937" t="str">
            <v>M.PT.0001069</v>
          </cell>
        </row>
        <row r="4938">
          <cell r="A4938" t="str">
            <v>M.PT.0001070</v>
          </cell>
        </row>
        <row r="4939">
          <cell r="A4939" t="str">
            <v>M.PT.0001071</v>
          </cell>
        </row>
        <row r="4940">
          <cell r="A4940" t="str">
            <v>M.PT.0001072</v>
          </cell>
        </row>
        <row r="4941">
          <cell r="A4941" t="str">
            <v>M.PT.0001073</v>
          </cell>
        </row>
        <row r="4942">
          <cell r="A4942" t="str">
            <v>M.PT.0001074</v>
          </cell>
        </row>
        <row r="4943">
          <cell r="A4943" t="str">
            <v>M.PT.0001075</v>
          </cell>
        </row>
        <row r="4944">
          <cell r="A4944" t="str">
            <v>M.PT.0001076</v>
          </cell>
        </row>
        <row r="4945">
          <cell r="A4945" t="str">
            <v>M.PT.0001077</v>
          </cell>
        </row>
        <row r="4946">
          <cell r="A4946" t="str">
            <v>M.PT.0001078</v>
          </cell>
        </row>
        <row r="4947">
          <cell r="A4947" t="str">
            <v>M.PT.0001079</v>
          </cell>
        </row>
        <row r="4948">
          <cell r="A4948" t="str">
            <v>M.PT.0001080</v>
          </cell>
        </row>
        <row r="4949">
          <cell r="A4949" t="str">
            <v>M.PT.0001081</v>
          </cell>
        </row>
        <row r="4950">
          <cell r="A4950" t="str">
            <v>M.PT.0001082</v>
          </cell>
        </row>
        <row r="4951">
          <cell r="A4951" t="str">
            <v>M.PT.0001083</v>
          </cell>
        </row>
        <row r="4952">
          <cell r="A4952" t="str">
            <v>M.PT.0001084</v>
          </cell>
        </row>
        <row r="4953">
          <cell r="A4953" t="str">
            <v>M.PT.0001085</v>
          </cell>
        </row>
        <row r="4954">
          <cell r="A4954" t="str">
            <v>M.PT.0001086</v>
          </cell>
        </row>
        <row r="4955">
          <cell r="A4955" t="str">
            <v>M.PT.0001087</v>
          </cell>
        </row>
        <row r="4956">
          <cell r="A4956" t="str">
            <v>M.PT.0001088</v>
          </cell>
        </row>
        <row r="4957">
          <cell r="A4957" t="str">
            <v>M.PT.0001089</v>
          </cell>
        </row>
        <row r="4958">
          <cell r="A4958" t="str">
            <v>M.PT.0001090</v>
          </cell>
        </row>
        <row r="4959">
          <cell r="A4959" t="str">
            <v>M.PT.0001091</v>
          </cell>
        </row>
        <row r="4960">
          <cell r="A4960" t="str">
            <v>M.PT.0001092</v>
          </cell>
        </row>
        <row r="4961">
          <cell r="A4961" t="str">
            <v>M.PT.0001093</v>
          </cell>
        </row>
        <row r="4962">
          <cell r="A4962" t="str">
            <v>M.PT.0001094</v>
          </cell>
        </row>
        <row r="4963">
          <cell r="A4963" t="str">
            <v>M.PT.0001095</v>
          </cell>
        </row>
        <row r="4964">
          <cell r="A4964" t="str">
            <v>M.PT.0001096</v>
          </cell>
        </row>
        <row r="4965">
          <cell r="A4965" t="str">
            <v>M.PT.0001097</v>
          </cell>
        </row>
        <row r="4966">
          <cell r="A4966" t="str">
            <v>M.PT.0001098</v>
          </cell>
        </row>
        <row r="4967">
          <cell r="A4967" t="str">
            <v>M.PT.0001099</v>
          </cell>
        </row>
        <row r="4968">
          <cell r="A4968" t="str">
            <v>M.PT.0001100</v>
          </cell>
        </row>
        <row r="4969">
          <cell r="A4969" t="str">
            <v>M.PT.0001101</v>
          </cell>
        </row>
        <row r="4970">
          <cell r="A4970" t="str">
            <v>M.PT.0001102</v>
          </cell>
        </row>
        <row r="4971">
          <cell r="A4971" t="str">
            <v>M.PT.0001103</v>
          </cell>
        </row>
        <row r="4972">
          <cell r="A4972" t="str">
            <v>M.PT.0001104</v>
          </cell>
        </row>
        <row r="4973">
          <cell r="A4973" t="str">
            <v>M.PT.0001105</v>
          </cell>
        </row>
        <row r="4974">
          <cell r="A4974" t="str">
            <v>M.PT.0001106</v>
          </cell>
        </row>
        <row r="4975">
          <cell r="A4975" t="str">
            <v>M.PT.0001107</v>
          </cell>
        </row>
        <row r="4976">
          <cell r="A4976" t="str">
            <v>M.PT.0001108</v>
          </cell>
        </row>
        <row r="4977">
          <cell r="A4977" t="str">
            <v>M.PT.0001109</v>
          </cell>
        </row>
        <row r="4978">
          <cell r="A4978" t="str">
            <v>M.PT.0001110</v>
          </cell>
        </row>
        <row r="4979">
          <cell r="A4979" t="str">
            <v>M.PT.0001111</v>
          </cell>
        </row>
        <row r="4980">
          <cell r="A4980" t="str">
            <v>M.PT.0001112</v>
          </cell>
        </row>
        <row r="4981">
          <cell r="A4981" t="str">
            <v>M.PT.0001113</v>
          </cell>
        </row>
        <row r="4982">
          <cell r="A4982" t="str">
            <v>M.PT.0001114</v>
          </cell>
        </row>
        <row r="4983">
          <cell r="A4983" t="str">
            <v>M.PT.0001115</v>
          </cell>
        </row>
        <row r="4984">
          <cell r="A4984" t="str">
            <v>M.PT.0001116</v>
          </cell>
        </row>
        <row r="4985">
          <cell r="A4985" t="str">
            <v>M.PT.0001117</v>
          </cell>
        </row>
        <row r="4986">
          <cell r="A4986" t="str">
            <v>M.PT.0001118</v>
          </cell>
        </row>
        <row r="4987">
          <cell r="A4987" t="str">
            <v>M.PT.0001119</v>
          </cell>
        </row>
        <row r="4988">
          <cell r="A4988" t="str">
            <v>M.PT.0001120</v>
          </cell>
        </row>
        <row r="4989">
          <cell r="A4989" t="str">
            <v>M.PT.0001121</v>
          </cell>
        </row>
        <row r="4990">
          <cell r="A4990" t="str">
            <v>M.PT.0001122</v>
          </cell>
        </row>
        <row r="4991">
          <cell r="A4991" t="str">
            <v>M.PT.0001123</v>
          </cell>
        </row>
        <row r="4992">
          <cell r="A4992" t="str">
            <v>M.PT.0001124</v>
          </cell>
        </row>
        <row r="4993">
          <cell r="A4993" t="str">
            <v>M.PT.0001125</v>
          </cell>
        </row>
        <row r="4994">
          <cell r="A4994" t="str">
            <v>M.PT.0001126</v>
          </cell>
        </row>
        <row r="4995">
          <cell r="A4995" t="str">
            <v>M.PT.0001127</v>
          </cell>
        </row>
        <row r="4996">
          <cell r="A4996" t="str">
            <v>M.PT.0001128</v>
          </cell>
        </row>
        <row r="4997">
          <cell r="A4997" t="str">
            <v>M.PT.0001129</v>
          </cell>
        </row>
        <row r="4998">
          <cell r="A4998" t="str">
            <v>M.PT.0001130</v>
          </cell>
        </row>
        <row r="4999">
          <cell r="A4999" t="str">
            <v>M.PT.0001131</v>
          </cell>
        </row>
        <row r="5000">
          <cell r="A5000" t="str">
            <v>M.PT.0001132</v>
          </cell>
        </row>
        <row r="5001">
          <cell r="A5001" t="str">
            <v>M.PT.0001133</v>
          </cell>
        </row>
        <row r="5002">
          <cell r="A5002" t="str">
            <v>M.PT.0001134</v>
          </cell>
        </row>
        <row r="5003">
          <cell r="A5003" t="str">
            <v>M.PT.0001135</v>
          </cell>
        </row>
        <row r="5004">
          <cell r="A5004" t="str">
            <v>M.PT.0001136</v>
          </cell>
        </row>
        <row r="5005">
          <cell r="A5005" t="str">
            <v>M.PT.0001137</v>
          </cell>
        </row>
        <row r="5006">
          <cell r="A5006" t="str">
            <v>M.PT.0001138</v>
          </cell>
        </row>
        <row r="5007">
          <cell r="A5007" t="str">
            <v>M.PT.0001139</v>
          </cell>
        </row>
        <row r="5008">
          <cell r="A5008" t="str">
            <v>M.PT.0001140</v>
          </cell>
        </row>
        <row r="5009">
          <cell r="A5009" t="str">
            <v>M.PT.0001141</v>
          </cell>
        </row>
        <row r="5010">
          <cell r="A5010" t="str">
            <v>M.PT.0001142</v>
          </cell>
        </row>
        <row r="5011">
          <cell r="A5011" t="str">
            <v>M.PT.0001143</v>
          </cell>
        </row>
        <row r="5012">
          <cell r="A5012" t="str">
            <v>M.PT.0001144</v>
          </cell>
        </row>
        <row r="5013">
          <cell r="A5013" t="str">
            <v>M.PT.0001145</v>
          </cell>
        </row>
        <row r="5014">
          <cell r="A5014" t="str">
            <v>M.PT.0001146</v>
          </cell>
        </row>
        <row r="5015">
          <cell r="A5015" t="str">
            <v>M.PT.0001147</v>
          </cell>
        </row>
        <row r="5016">
          <cell r="A5016" t="str">
            <v>M.PT.0001148</v>
          </cell>
        </row>
        <row r="5017">
          <cell r="A5017" t="str">
            <v>M.PT.0001149</v>
          </cell>
        </row>
        <row r="5018">
          <cell r="A5018" t="str">
            <v>M.PT.0001150</v>
          </cell>
        </row>
        <row r="5019">
          <cell r="A5019" t="str">
            <v>M.PT.0001151</v>
          </cell>
        </row>
        <row r="5020">
          <cell r="A5020" t="str">
            <v>M.PT.0001152</v>
          </cell>
        </row>
        <row r="5021">
          <cell r="A5021" t="str">
            <v>M.PT.0001153</v>
          </cell>
        </row>
        <row r="5022">
          <cell r="A5022" t="str">
            <v>M.PT.0001154</v>
          </cell>
        </row>
        <row r="5023">
          <cell r="A5023" t="str">
            <v>M.PT.0001155</v>
          </cell>
        </row>
        <row r="5024">
          <cell r="A5024" t="str">
            <v>M.PT.0001156</v>
          </cell>
        </row>
        <row r="5025">
          <cell r="A5025" t="str">
            <v>M.PT.0001157</v>
          </cell>
        </row>
        <row r="5026">
          <cell r="A5026" t="str">
            <v>M.PT.0001158</v>
          </cell>
        </row>
        <row r="5027">
          <cell r="A5027" t="str">
            <v>M.PT.0001159</v>
          </cell>
        </row>
        <row r="5028">
          <cell r="A5028" t="str">
            <v>M.PT.0001160</v>
          </cell>
        </row>
        <row r="5029">
          <cell r="A5029" t="str">
            <v>M.PT.0001161</v>
          </cell>
        </row>
        <row r="5030">
          <cell r="A5030" t="str">
            <v>M.PT.0001162</v>
          </cell>
        </row>
        <row r="5031">
          <cell r="A5031" t="str">
            <v>M.PT.0001163</v>
          </cell>
        </row>
        <row r="5032">
          <cell r="A5032" t="str">
            <v>M.PT.0001164</v>
          </cell>
        </row>
        <row r="5033">
          <cell r="A5033" t="str">
            <v>M.PT.0001165</v>
          </cell>
        </row>
        <row r="5034">
          <cell r="A5034" t="str">
            <v>M.PT.0001166</v>
          </cell>
        </row>
        <row r="5035">
          <cell r="A5035" t="str">
            <v>M.PT.0001167</v>
          </cell>
        </row>
        <row r="5036">
          <cell r="A5036" t="str">
            <v>M.PT.0001168</v>
          </cell>
        </row>
        <row r="5037">
          <cell r="A5037" t="str">
            <v>M.PT.0001169</v>
          </cell>
        </row>
        <row r="5038">
          <cell r="A5038" t="str">
            <v>M.PT.0001170</v>
          </cell>
        </row>
        <row r="5039">
          <cell r="A5039" t="str">
            <v>M.PT.0001171</v>
          </cell>
        </row>
        <row r="5040">
          <cell r="A5040" t="str">
            <v>M.PT.0001172</v>
          </cell>
        </row>
        <row r="5041">
          <cell r="A5041" t="str">
            <v>M.PT.0001173</v>
          </cell>
        </row>
        <row r="5042">
          <cell r="A5042" t="str">
            <v>M.PT.0001174</v>
          </cell>
        </row>
        <row r="5043">
          <cell r="A5043" t="str">
            <v>M.PT.0001175</v>
          </cell>
        </row>
        <row r="5044">
          <cell r="A5044" t="str">
            <v>M.PT.0001176</v>
          </cell>
        </row>
        <row r="5045">
          <cell r="A5045" t="str">
            <v>M.PT.0001177</v>
          </cell>
        </row>
        <row r="5046">
          <cell r="A5046" t="str">
            <v>M.PT.0001178</v>
          </cell>
        </row>
        <row r="5047">
          <cell r="A5047" t="str">
            <v>M.PT.0001179</v>
          </cell>
        </row>
        <row r="5048">
          <cell r="A5048" t="str">
            <v>M.PT.0001180</v>
          </cell>
        </row>
        <row r="5049">
          <cell r="A5049" t="str">
            <v>M.PT.0001181</v>
          </cell>
        </row>
        <row r="5050">
          <cell r="A5050" t="str">
            <v>M.PT.0001182</v>
          </cell>
        </row>
        <row r="5051">
          <cell r="A5051" t="str">
            <v>M.PT.0001183</v>
          </cell>
        </row>
        <row r="5052">
          <cell r="A5052" t="str">
            <v>M.PT.0001184</v>
          </cell>
        </row>
        <row r="5053">
          <cell r="A5053" t="str">
            <v>M.PT.0001185</v>
          </cell>
        </row>
        <row r="5054">
          <cell r="A5054" t="str">
            <v>M.PT.0001186</v>
          </cell>
        </row>
        <row r="5055">
          <cell r="A5055" t="str">
            <v>M.PT.0001187</v>
          </cell>
        </row>
        <row r="5056">
          <cell r="A5056" t="str">
            <v>M.PT.0001188</v>
          </cell>
        </row>
        <row r="5057">
          <cell r="A5057" t="str">
            <v>M.PT.0001189</v>
          </cell>
        </row>
        <row r="5058">
          <cell r="A5058" t="str">
            <v>M.PT.0001190</v>
          </cell>
        </row>
        <row r="5059">
          <cell r="A5059" t="str">
            <v>M.PT.0001191</v>
          </cell>
        </row>
        <row r="5060">
          <cell r="A5060" t="str">
            <v>M.PT.0001192</v>
          </cell>
        </row>
        <row r="5061">
          <cell r="A5061" t="str">
            <v>M.PT.0001193</v>
          </cell>
        </row>
        <row r="5062">
          <cell r="A5062" t="str">
            <v>M.PT.0001194</v>
          </cell>
        </row>
        <row r="5063">
          <cell r="A5063" t="str">
            <v>M.PT.0001195</v>
          </cell>
        </row>
        <row r="5064">
          <cell r="A5064" t="str">
            <v>M.PT.0001196</v>
          </cell>
        </row>
        <row r="5065">
          <cell r="A5065" t="str">
            <v>M.PT.0001197</v>
          </cell>
        </row>
        <row r="5066">
          <cell r="A5066" t="str">
            <v>M.PT.0001198</v>
          </cell>
        </row>
        <row r="5067">
          <cell r="A5067" t="str">
            <v>M.PT.0001199</v>
          </cell>
        </row>
        <row r="5068">
          <cell r="A5068" t="str">
            <v>M.PT.0001200</v>
          </cell>
        </row>
        <row r="5069">
          <cell r="A5069" t="str">
            <v>M.PT.0001201</v>
          </cell>
        </row>
        <row r="5070">
          <cell r="A5070" t="str">
            <v>M.PT.0001202</v>
          </cell>
        </row>
        <row r="5071">
          <cell r="A5071" t="str">
            <v>M.PT.0001203</v>
          </cell>
        </row>
        <row r="5072">
          <cell r="A5072" t="str">
            <v>M.PT.0001204</v>
          </cell>
        </row>
        <row r="5073">
          <cell r="A5073" t="str">
            <v>M.PT.0001205</v>
          </cell>
        </row>
        <row r="5074">
          <cell r="A5074" t="str">
            <v>M.PT.0001206</v>
          </cell>
        </row>
        <row r="5075">
          <cell r="A5075" t="str">
            <v>M.PT.0001207</v>
          </cell>
        </row>
        <row r="5076">
          <cell r="A5076" t="str">
            <v>M.PT.0001208</v>
          </cell>
        </row>
        <row r="5077">
          <cell r="A5077" t="str">
            <v>M.PT.0001209</v>
          </cell>
        </row>
        <row r="5078">
          <cell r="A5078" t="str">
            <v>M.PT.0001210</v>
          </cell>
        </row>
        <row r="5079">
          <cell r="A5079" t="str">
            <v>M.PT.0001211</v>
          </cell>
        </row>
        <row r="5080">
          <cell r="A5080" t="str">
            <v>M.PT.0001212</v>
          </cell>
        </row>
        <row r="5081">
          <cell r="A5081" t="str">
            <v>M.PT.0001213</v>
          </cell>
        </row>
        <row r="5082">
          <cell r="A5082" t="str">
            <v>M.PT.0001214</v>
          </cell>
        </row>
        <row r="5083">
          <cell r="A5083" t="str">
            <v>M.PT.0001215</v>
          </cell>
        </row>
        <row r="5084">
          <cell r="A5084" t="str">
            <v>M.PT.0001216</v>
          </cell>
        </row>
        <row r="5085">
          <cell r="A5085" t="str">
            <v>M.PT.0001217</v>
          </cell>
        </row>
        <row r="5086">
          <cell r="A5086" t="str">
            <v>M.PT.0001218</v>
          </cell>
        </row>
        <row r="5087">
          <cell r="A5087" t="str">
            <v>M.PT.0001219</v>
          </cell>
        </row>
        <row r="5088">
          <cell r="A5088" t="str">
            <v>M.PT.0001220</v>
          </cell>
        </row>
        <row r="5089">
          <cell r="A5089" t="str">
            <v>M.PT.0001221</v>
          </cell>
        </row>
        <row r="5090">
          <cell r="A5090" t="str">
            <v>M.PT.0001222</v>
          </cell>
        </row>
        <row r="5091">
          <cell r="A5091" t="str">
            <v>M.PT.0001223</v>
          </cell>
        </row>
        <row r="5092">
          <cell r="A5092" t="str">
            <v>M.PT.0001224</v>
          </cell>
        </row>
        <row r="5093">
          <cell r="A5093" t="str">
            <v>M.PT.0001225</v>
          </cell>
        </row>
        <row r="5094">
          <cell r="A5094" t="str">
            <v>M.PT.0001226</v>
          </cell>
        </row>
        <row r="5095">
          <cell r="A5095" t="str">
            <v>M.PT.0001227</v>
          </cell>
        </row>
        <row r="5096">
          <cell r="A5096" t="str">
            <v>M.PT.0001228</v>
          </cell>
        </row>
        <row r="5097">
          <cell r="A5097" t="str">
            <v>M.PT.0001229</v>
          </cell>
        </row>
        <row r="5098">
          <cell r="A5098" t="str">
            <v>M.PT.0001230</v>
          </cell>
        </row>
        <row r="5099">
          <cell r="A5099" t="str">
            <v>M.PT.0001231</v>
          </cell>
        </row>
        <row r="5100">
          <cell r="A5100" t="str">
            <v>M.PT.0001232</v>
          </cell>
        </row>
        <row r="5101">
          <cell r="A5101" t="str">
            <v>M.PT.0001233</v>
          </cell>
        </row>
        <row r="5102">
          <cell r="A5102" t="str">
            <v>M.PT.0001234</v>
          </cell>
        </row>
        <row r="5103">
          <cell r="A5103" t="str">
            <v>M.PT.0001235</v>
          </cell>
        </row>
        <row r="5104">
          <cell r="A5104" t="str">
            <v>M.PT.0001236</v>
          </cell>
        </row>
        <row r="5105">
          <cell r="A5105" t="str">
            <v>M.PT.0001237</v>
          </cell>
        </row>
        <row r="5106">
          <cell r="A5106" t="str">
            <v>M.PT.0001238</v>
          </cell>
        </row>
        <row r="5107">
          <cell r="A5107" t="str">
            <v>M.PT.0001239</v>
          </cell>
        </row>
        <row r="5108">
          <cell r="A5108" t="str">
            <v>M.PT.0001240</v>
          </cell>
        </row>
        <row r="5109">
          <cell r="A5109" t="str">
            <v>M.PT.0001241</v>
          </cell>
        </row>
        <row r="5110">
          <cell r="A5110" t="str">
            <v>M.PT.0001242</v>
          </cell>
        </row>
        <row r="5111">
          <cell r="A5111" t="str">
            <v>M.PT.0001243</v>
          </cell>
        </row>
        <row r="5112">
          <cell r="A5112" t="str">
            <v>M.PT.0001244</v>
          </cell>
        </row>
        <row r="5113">
          <cell r="A5113" t="str">
            <v>M.PT.0001245</v>
          </cell>
        </row>
        <row r="5114">
          <cell r="A5114" t="str">
            <v>M.PT.0001246</v>
          </cell>
        </row>
        <row r="5115">
          <cell r="A5115" t="str">
            <v>M.PT.0001247</v>
          </cell>
        </row>
        <row r="5116">
          <cell r="A5116" t="str">
            <v>M.PT.0001248</v>
          </cell>
        </row>
        <row r="5117">
          <cell r="A5117" t="str">
            <v>M.PT.0001249</v>
          </cell>
        </row>
        <row r="5118">
          <cell r="A5118" t="str">
            <v>M.PT.0001250</v>
          </cell>
        </row>
        <row r="5119">
          <cell r="A5119" t="str">
            <v>M.PT.0001251</v>
          </cell>
        </row>
        <row r="5120">
          <cell r="A5120" t="str">
            <v>M.PT.0001252</v>
          </cell>
        </row>
        <row r="5121">
          <cell r="A5121" t="str">
            <v>M.PT.0001253</v>
          </cell>
        </row>
        <row r="5122">
          <cell r="A5122" t="str">
            <v>M.PT.0001254</v>
          </cell>
        </row>
        <row r="5123">
          <cell r="A5123" t="str">
            <v>M.PT.0001255</v>
          </cell>
        </row>
        <row r="5124">
          <cell r="A5124" t="str">
            <v>M.PT.0001256</v>
          </cell>
        </row>
        <row r="5125">
          <cell r="A5125" t="str">
            <v>M.PT.0001257</v>
          </cell>
        </row>
        <row r="5126">
          <cell r="A5126" t="str">
            <v>M.PT.0001258</v>
          </cell>
        </row>
        <row r="5127">
          <cell r="A5127" t="str">
            <v>M.PT.0001259</v>
          </cell>
        </row>
        <row r="5128">
          <cell r="A5128" t="str">
            <v>M.PT.0001260</v>
          </cell>
        </row>
        <row r="5129">
          <cell r="A5129" t="str">
            <v>M.PT.0001261</v>
          </cell>
        </row>
        <row r="5130">
          <cell r="A5130" t="str">
            <v>M.PT.0001262</v>
          </cell>
        </row>
        <row r="5131">
          <cell r="A5131" t="str">
            <v>M.PT.0001263</v>
          </cell>
        </row>
        <row r="5132">
          <cell r="A5132" t="str">
            <v>M.PT.0001264</v>
          </cell>
        </row>
        <row r="5133">
          <cell r="A5133" t="str">
            <v>M.PT.0001265</v>
          </cell>
        </row>
        <row r="5134">
          <cell r="A5134" t="str">
            <v>M.PT.0001266</v>
          </cell>
        </row>
        <row r="5135">
          <cell r="A5135" t="str">
            <v>M.PT.0001267</v>
          </cell>
        </row>
        <row r="5136">
          <cell r="A5136" t="str">
            <v>M.PT.0001268</v>
          </cell>
        </row>
        <row r="5137">
          <cell r="A5137" t="str">
            <v>M.PT.0001269</v>
          </cell>
        </row>
        <row r="5138">
          <cell r="A5138" t="str">
            <v>M.PT.0001270</v>
          </cell>
        </row>
        <row r="5139">
          <cell r="A5139" t="str">
            <v>M.PT.0001271</v>
          </cell>
        </row>
        <row r="5140">
          <cell r="A5140" t="str">
            <v>M.PT.0001272</v>
          </cell>
        </row>
        <row r="5141">
          <cell r="A5141" t="str">
            <v>M.PT.0001273</v>
          </cell>
        </row>
        <row r="5142">
          <cell r="A5142" t="str">
            <v>M.PT.0001274</v>
          </cell>
        </row>
        <row r="5143">
          <cell r="A5143" t="str">
            <v>M.PT.0001275</v>
          </cell>
        </row>
        <row r="5144">
          <cell r="A5144" t="str">
            <v>M.PT.0001276</v>
          </cell>
        </row>
        <row r="5145">
          <cell r="A5145" t="str">
            <v>M.PT.0001277</v>
          </cell>
        </row>
        <row r="5146">
          <cell r="A5146" t="str">
            <v>M.PT.0001278</v>
          </cell>
        </row>
        <row r="5147">
          <cell r="A5147" t="str">
            <v>M.PT.0001279</v>
          </cell>
        </row>
        <row r="5148">
          <cell r="A5148" t="str">
            <v>M.PT.0001280</v>
          </cell>
        </row>
        <row r="5149">
          <cell r="A5149" t="str">
            <v>M.PT.0001281</v>
          </cell>
        </row>
        <row r="5150">
          <cell r="A5150" t="str">
            <v>M.PT.0001282</v>
          </cell>
        </row>
        <row r="5151">
          <cell r="A5151" t="str">
            <v>M.PT.0001283</v>
          </cell>
        </row>
        <row r="5152">
          <cell r="A5152" t="str">
            <v>M.PT.0001284</v>
          </cell>
        </row>
        <row r="5153">
          <cell r="A5153" t="str">
            <v>M.PT.0001285</v>
          </cell>
        </row>
        <row r="5154">
          <cell r="A5154" t="str">
            <v>M.PT.0001286</v>
          </cell>
        </row>
        <row r="5155">
          <cell r="A5155" t="str">
            <v>M.PT.0001287</v>
          </cell>
        </row>
        <row r="5156">
          <cell r="A5156" t="str">
            <v>M.PT.0001288</v>
          </cell>
        </row>
        <row r="5157">
          <cell r="A5157" t="str">
            <v>M.PT.0001289</v>
          </cell>
        </row>
        <row r="5158">
          <cell r="A5158" t="str">
            <v>M.PT.0001290</v>
          </cell>
        </row>
        <row r="5159">
          <cell r="A5159" t="str">
            <v>M.PT.0001291</v>
          </cell>
        </row>
        <row r="5160">
          <cell r="A5160" t="str">
            <v>M.PT.0001292</v>
          </cell>
        </row>
        <row r="5161">
          <cell r="A5161" t="str">
            <v>M.PT.0001293</v>
          </cell>
        </row>
        <row r="5162">
          <cell r="A5162" t="str">
            <v>M.PT.0001294</v>
          </cell>
        </row>
        <row r="5163">
          <cell r="A5163" t="str">
            <v>M.PT.0001295</v>
          </cell>
        </row>
        <row r="5164">
          <cell r="A5164" t="str">
            <v>M.PT.0001296</v>
          </cell>
        </row>
        <row r="5165">
          <cell r="A5165" t="str">
            <v>M.PT.0001297</v>
          </cell>
        </row>
        <row r="5166">
          <cell r="A5166" t="str">
            <v>M.PT.0001298</v>
          </cell>
        </row>
        <row r="5167">
          <cell r="A5167" t="str">
            <v>M.PT.0001299</v>
          </cell>
        </row>
        <row r="5168">
          <cell r="A5168" t="str">
            <v>M.PT.0001300</v>
          </cell>
        </row>
        <row r="5169">
          <cell r="A5169" t="str">
            <v>M.PT.0001301</v>
          </cell>
        </row>
        <row r="5170">
          <cell r="A5170" t="str">
            <v>M.PT.0001302</v>
          </cell>
        </row>
        <row r="5171">
          <cell r="A5171" t="str">
            <v>M.PT.0001303</v>
          </cell>
        </row>
        <row r="5172">
          <cell r="A5172" t="str">
            <v>M.PT.0001304</v>
          </cell>
        </row>
        <row r="5173">
          <cell r="A5173" t="str">
            <v>M.PT.0001305</v>
          </cell>
        </row>
        <row r="5174">
          <cell r="A5174" t="str">
            <v>M.PT.0001306</v>
          </cell>
        </row>
        <row r="5175">
          <cell r="A5175" t="str">
            <v>M.PT.0001307</v>
          </cell>
        </row>
        <row r="5176">
          <cell r="A5176" t="str">
            <v>M.PT.0001308</v>
          </cell>
        </row>
        <row r="5177">
          <cell r="A5177" t="str">
            <v>M.PT.0001309</v>
          </cell>
        </row>
        <row r="5178">
          <cell r="A5178" t="str">
            <v>M.PT.0001310</v>
          </cell>
        </row>
        <row r="5179">
          <cell r="A5179" t="str">
            <v>M.PT.0001311</v>
          </cell>
        </row>
        <row r="5180">
          <cell r="A5180" t="str">
            <v>M.PT.0001312</v>
          </cell>
        </row>
        <row r="5181">
          <cell r="A5181" t="str">
            <v>M.PT.0001313</v>
          </cell>
        </row>
        <row r="5182">
          <cell r="A5182" t="str">
            <v>M.PT.0001314</v>
          </cell>
        </row>
        <row r="5183">
          <cell r="A5183" t="str">
            <v>M.PT.0001315</v>
          </cell>
        </row>
        <row r="5184">
          <cell r="A5184" t="str">
            <v>M.PT.0001316</v>
          </cell>
        </row>
        <row r="5185">
          <cell r="A5185" t="str">
            <v>M.PT.0001317</v>
          </cell>
        </row>
        <row r="5186">
          <cell r="A5186" t="str">
            <v>M.PT.0001318</v>
          </cell>
        </row>
        <row r="5187">
          <cell r="A5187" t="str">
            <v>M.PT.0001319</v>
          </cell>
        </row>
        <row r="5188">
          <cell r="A5188" t="str">
            <v>M.PT.0001320</v>
          </cell>
        </row>
        <row r="5189">
          <cell r="A5189" t="str">
            <v>M.PT.0001321</v>
          </cell>
        </row>
        <row r="5190">
          <cell r="A5190" t="str">
            <v>M.PT.0001322</v>
          </cell>
        </row>
        <row r="5191">
          <cell r="A5191" t="str">
            <v>M.PT.0001323</v>
          </cell>
        </row>
        <row r="5192">
          <cell r="A5192" t="str">
            <v>M.PT.0001324</v>
          </cell>
        </row>
        <row r="5193">
          <cell r="A5193" t="str">
            <v>M.PT.0001325</v>
          </cell>
        </row>
        <row r="5194">
          <cell r="A5194" t="str">
            <v>M.PT.0001326</v>
          </cell>
        </row>
        <row r="5195">
          <cell r="A5195" t="str">
            <v>M.PT.0001327</v>
          </cell>
        </row>
        <row r="5196">
          <cell r="A5196" t="str">
            <v>M.PT.0001328</v>
          </cell>
        </row>
        <row r="5197">
          <cell r="A5197" t="str">
            <v>M.PT.0001329</v>
          </cell>
        </row>
        <row r="5198">
          <cell r="A5198" t="str">
            <v>M.PT.0001330</v>
          </cell>
        </row>
        <row r="5199">
          <cell r="A5199" t="str">
            <v>M.PT.0001331</v>
          </cell>
        </row>
        <row r="5200">
          <cell r="A5200" t="str">
            <v>M.PT.0001332</v>
          </cell>
        </row>
        <row r="5201">
          <cell r="A5201" t="str">
            <v>M.PT.0001333</v>
          </cell>
        </row>
        <row r="5202">
          <cell r="A5202" t="str">
            <v>M.PT.0001334</v>
          </cell>
        </row>
        <row r="5203">
          <cell r="A5203" t="str">
            <v>M.PT.0001335</v>
          </cell>
        </row>
        <row r="5204">
          <cell r="A5204" t="str">
            <v>M.PT.0001336</v>
          </cell>
        </row>
        <row r="5205">
          <cell r="A5205" t="str">
            <v>M.PT.0001337</v>
          </cell>
        </row>
        <row r="5206">
          <cell r="A5206" t="str">
            <v>M.PT.0001338</v>
          </cell>
        </row>
        <row r="5207">
          <cell r="A5207" t="str">
            <v>M.PT.0001339</v>
          </cell>
        </row>
        <row r="5208">
          <cell r="A5208" t="str">
            <v>M.PT.0001340</v>
          </cell>
        </row>
        <row r="5209">
          <cell r="A5209" t="str">
            <v>M.PT.0001341</v>
          </cell>
        </row>
        <row r="5210">
          <cell r="A5210" t="str">
            <v>M.PT.0001342</v>
          </cell>
        </row>
        <row r="5211">
          <cell r="A5211" t="str">
            <v>M.PT.0001343</v>
          </cell>
        </row>
        <row r="5212">
          <cell r="A5212" t="str">
            <v>M.PT.0001344</v>
          </cell>
        </row>
        <row r="5213">
          <cell r="A5213" t="str">
            <v>M.PT.0001345</v>
          </cell>
        </row>
        <row r="5214">
          <cell r="A5214" t="str">
            <v>M.PT.0001346</v>
          </cell>
        </row>
        <row r="5215">
          <cell r="A5215" t="str">
            <v>M.PT.0001347</v>
          </cell>
        </row>
        <row r="5216">
          <cell r="A5216" t="str">
            <v>M.PT.0001348</v>
          </cell>
        </row>
        <row r="5217">
          <cell r="A5217" t="str">
            <v>M.PT.0001349</v>
          </cell>
        </row>
        <row r="5218">
          <cell r="A5218" t="str">
            <v>M.PT.0001350</v>
          </cell>
        </row>
        <row r="5219">
          <cell r="A5219" t="str">
            <v>M.PT.0001351</v>
          </cell>
        </row>
        <row r="5220">
          <cell r="A5220" t="str">
            <v>M.PT.0001352</v>
          </cell>
        </row>
        <row r="5221">
          <cell r="A5221" t="str">
            <v>M.PT.0001353</v>
          </cell>
        </row>
        <row r="5222">
          <cell r="A5222" t="str">
            <v>M.PT.0001354</v>
          </cell>
        </row>
        <row r="5223">
          <cell r="A5223" t="str">
            <v>M.PT.0001355</v>
          </cell>
        </row>
        <row r="5224">
          <cell r="A5224" t="str">
            <v>M.PT.0001356</v>
          </cell>
        </row>
        <row r="5225">
          <cell r="A5225" t="str">
            <v>M.PT.0001357</v>
          </cell>
        </row>
        <row r="5226">
          <cell r="A5226" t="str">
            <v>M.PT.0001358</v>
          </cell>
        </row>
        <row r="5227">
          <cell r="A5227" t="str">
            <v>M.PT.0001359</v>
          </cell>
        </row>
        <row r="5228">
          <cell r="A5228" t="str">
            <v>M.PT.0001360</v>
          </cell>
        </row>
        <row r="5229">
          <cell r="A5229" t="str">
            <v>M.PT.0001361</v>
          </cell>
        </row>
        <row r="5230">
          <cell r="A5230" t="str">
            <v>M.PT.0001362</v>
          </cell>
        </row>
        <row r="5231">
          <cell r="A5231" t="str">
            <v>M.PT.0001363</v>
          </cell>
        </row>
        <row r="5232">
          <cell r="A5232" t="str">
            <v>M.PT.0001364</v>
          </cell>
        </row>
        <row r="5233">
          <cell r="A5233" t="str">
            <v>M.PT.0001365</v>
          </cell>
        </row>
        <row r="5234">
          <cell r="A5234" t="str">
            <v>M.PT.0001366</v>
          </cell>
        </row>
        <row r="5235">
          <cell r="A5235" t="str">
            <v>M.PT.0001367</v>
          </cell>
        </row>
        <row r="5236">
          <cell r="A5236" t="str">
            <v>M.PT.0001368</v>
          </cell>
        </row>
        <row r="5237">
          <cell r="A5237" t="str">
            <v>M.PT.0001369</v>
          </cell>
        </row>
        <row r="5238">
          <cell r="A5238" t="str">
            <v>M.PT.0001370</v>
          </cell>
        </row>
        <row r="5239">
          <cell r="A5239" t="str">
            <v>M.PT.0001371</v>
          </cell>
        </row>
        <row r="5240">
          <cell r="A5240" t="str">
            <v>M.PT.0001372</v>
          </cell>
        </row>
        <row r="5241">
          <cell r="A5241" t="str">
            <v>M.PT.0001373</v>
          </cell>
        </row>
        <row r="5242">
          <cell r="A5242" t="str">
            <v>M.PT.0001374</v>
          </cell>
        </row>
        <row r="5243">
          <cell r="A5243" t="str">
            <v>M.PT.0001375</v>
          </cell>
        </row>
        <row r="5244">
          <cell r="A5244" t="str">
            <v>M.PT.0001376</v>
          </cell>
        </row>
        <row r="5245">
          <cell r="A5245" t="str">
            <v>M.PT.0001377</v>
          </cell>
        </row>
        <row r="5246">
          <cell r="A5246" t="str">
            <v>M.PT.0001378</v>
          </cell>
        </row>
        <row r="5247">
          <cell r="A5247" t="str">
            <v>M.PT.0001379</v>
          </cell>
        </row>
        <row r="5248">
          <cell r="A5248" t="str">
            <v>M.PT.0001380</v>
          </cell>
        </row>
        <row r="5249">
          <cell r="A5249" t="str">
            <v>M.PT.0001381</v>
          </cell>
        </row>
        <row r="5250">
          <cell r="A5250" t="str">
            <v>M.PT.0001382</v>
          </cell>
        </row>
        <row r="5251">
          <cell r="A5251" t="str">
            <v>M.PT.0001383</v>
          </cell>
        </row>
        <row r="5252">
          <cell r="A5252" t="str">
            <v>M.PT.0001384</v>
          </cell>
        </row>
        <row r="5253">
          <cell r="A5253" t="str">
            <v>M.PT.0001385</v>
          </cell>
        </row>
        <row r="5254">
          <cell r="A5254" t="str">
            <v>M.PT.0001386</v>
          </cell>
        </row>
        <row r="5255">
          <cell r="A5255" t="str">
            <v>M.PT.0001387</v>
          </cell>
        </row>
        <row r="5256">
          <cell r="A5256" t="str">
            <v>M.PT.0001388</v>
          </cell>
        </row>
        <row r="5257">
          <cell r="A5257" t="str">
            <v>M.PT.0001389</v>
          </cell>
        </row>
        <row r="5258">
          <cell r="A5258" t="str">
            <v>M.PT.0001390</v>
          </cell>
        </row>
        <row r="5259">
          <cell r="A5259" t="str">
            <v>M.PT.0001391</v>
          </cell>
        </row>
        <row r="5260">
          <cell r="A5260" t="str">
            <v>M.PT.0001392</v>
          </cell>
        </row>
        <row r="5261">
          <cell r="A5261" t="str">
            <v>M.PT.0001393</v>
          </cell>
        </row>
        <row r="5262">
          <cell r="A5262" t="str">
            <v>M.PT.0001394</v>
          </cell>
        </row>
        <row r="5263">
          <cell r="A5263" t="str">
            <v>M.PT.0001395</v>
          </cell>
        </row>
        <row r="5264">
          <cell r="A5264" t="str">
            <v>M.PT.0001396</v>
          </cell>
        </row>
        <row r="5265">
          <cell r="A5265" t="str">
            <v>M.PT.0001397</v>
          </cell>
        </row>
        <row r="5266">
          <cell r="A5266" t="str">
            <v>M.PT.0001398</v>
          </cell>
        </row>
        <row r="5267">
          <cell r="A5267" t="str">
            <v>M.PT.0001399</v>
          </cell>
        </row>
        <row r="5268">
          <cell r="A5268" t="str">
            <v>M.PT.0001400</v>
          </cell>
        </row>
        <row r="5269">
          <cell r="A5269" t="str">
            <v>M.PT.0001401</v>
          </cell>
        </row>
        <row r="5270">
          <cell r="A5270" t="str">
            <v>M.PT.0001402</v>
          </cell>
        </row>
        <row r="5271">
          <cell r="A5271" t="str">
            <v>M.PT.0001403</v>
          </cell>
        </row>
        <row r="5272">
          <cell r="A5272" t="str">
            <v>M.PT.0001404</v>
          </cell>
        </row>
        <row r="5273">
          <cell r="A5273" t="str">
            <v>M.PT.0001405</v>
          </cell>
        </row>
        <row r="5274">
          <cell r="A5274" t="str">
            <v>M.PT.0001406</v>
          </cell>
        </row>
        <row r="5275">
          <cell r="A5275" t="str">
            <v>M.PT.0001407</v>
          </cell>
        </row>
        <row r="5276">
          <cell r="A5276" t="str">
            <v>M.PT.0001408</v>
          </cell>
        </row>
        <row r="5277">
          <cell r="A5277" t="str">
            <v>M.PT.0001409</v>
          </cell>
        </row>
        <row r="5278">
          <cell r="A5278" t="str">
            <v>M.PT.0001410</v>
          </cell>
        </row>
        <row r="5279">
          <cell r="A5279" t="str">
            <v>M.PT.0001411</v>
          </cell>
        </row>
        <row r="5280">
          <cell r="A5280" t="str">
            <v>M.PT.0001412</v>
          </cell>
        </row>
        <row r="5281">
          <cell r="A5281" t="str">
            <v>M.PT.0001413</v>
          </cell>
        </row>
        <row r="5282">
          <cell r="A5282" t="str">
            <v>M.PT.0001414</v>
          </cell>
        </row>
        <row r="5283">
          <cell r="A5283" t="str">
            <v>M.PT.0001415</v>
          </cell>
        </row>
        <row r="5284">
          <cell r="A5284" t="str">
            <v>M.PT.0001416</v>
          </cell>
        </row>
        <row r="5285">
          <cell r="A5285" t="str">
            <v>M.PT.0001417</v>
          </cell>
        </row>
        <row r="5286">
          <cell r="A5286" t="str">
            <v>M.PT.0001418</v>
          </cell>
        </row>
        <row r="5287">
          <cell r="A5287" t="str">
            <v>M.PT.0001419</v>
          </cell>
        </row>
        <row r="5288">
          <cell r="A5288" t="str">
            <v>M.PT.0001420</v>
          </cell>
        </row>
        <row r="5289">
          <cell r="A5289" t="str">
            <v>M.PT.0001421</v>
          </cell>
        </row>
        <row r="5290">
          <cell r="A5290" t="str">
            <v>M.PT.0001422</v>
          </cell>
        </row>
        <row r="5291">
          <cell r="A5291" t="str">
            <v>M.PT.0001423</v>
          </cell>
        </row>
        <row r="5292">
          <cell r="A5292" t="str">
            <v>M.PT.0001424</v>
          </cell>
        </row>
        <row r="5293">
          <cell r="A5293" t="str">
            <v>M.PT.0001425</v>
          </cell>
        </row>
        <row r="5294">
          <cell r="A5294" t="str">
            <v>M.PT.0001426</v>
          </cell>
        </row>
        <row r="5295">
          <cell r="A5295" t="str">
            <v>M.PT.0001427</v>
          </cell>
        </row>
        <row r="5296">
          <cell r="A5296" t="str">
            <v>M.PT.0001428</v>
          </cell>
        </row>
        <row r="5297">
          <cell r="A5297" t="str">
            <v>M.PT.0001429</v>
          </cell>
        </row>
        <row r="5298">
          <cell r="A5298" t="str">
            <v>M.PT.0001430</v>
          </cell>
        </row>
        <row r="5299">
          <cell r="A5299" t="str">
            <v>M.PT.0001431</v>
          </cell>
        </row>
        <row r="5300">
          <cell r="A5300" t="str">
            <v>M.PT.0001432</v>
          </cell>
        </row>
        <row r="5301">
          <cell r="A5301" t="str">
            <v>M.PT.0001433</v>
          </cell>
        </row>
        <row r="5302">
          <cell r="A5302" t="str">
            <v>M.PT.0001434</v>
          </cell>
        </row>
        <row r="5303">
          <cell r="A5303" t="str">
            <v>M.PT.0001435</v>
          </cell>
        </row>
        <row r="5304">
          <cell r="A5304" t="str">
            <v>M.PT.0001436</v>
          </cell>
        </row>
        <row r="5305">
          <cell r="A5305" t="str">
            <v>M.PT.0001437</v>
          </cell>
        </row>
        <row r="5306">
          <cell r="A5306" t="str">
            <v>M.PT.0001438</v>
          </cell>
        </row>
        <row r="5307">
          <cell r="A5307" t="str">
            <v>M.PT.0001439</v>
          </cell>
        </row>
        <row r="5308">
          <cell r="A5308" t="str">
            <v>M.PT.0001440</v>
          </cell>
        </row>
        <row r="5309">
          <cell r="A5309" t="str">
            <v>M.PT.0001441</v>
          </cell>
        </row>
        <row r="5310">
          <cell r="A5310" t="str">
            <v>M.PT.0001442</v>
          </cell>
        </row>
        <row r="5311">
          <cell r="A5311" t="str">
            <v>M.PT.0001443</v>
          </cell>
        </row>
        <row r="5312">
          <cell r="A5312" t="str">
            <v>M.PT.0001444</v>
          </cell>
        </row>
        <row r="5313">
          <cell r="A5313" t="str">
            <v>M.PT.0001445</v>
          </cell>
        </row>
        <row r="5314">
          <cell r="A5314" t="str">
            <v>M.PT.0001446</v>
          </cell>
        </row>
        <row r="5315">
          <cell r="A5315" t="str">
            <v>M.PT.0001447</v>
          </cell>
        </row>
        <row r="5316">
          <cell r="A5316" t="str">
            <v>M.PT.0001448</v>
          </cell>
        </row>
        <row r="5317">
          <cell r="A5317" t="str">
            <v>M.PT.0001449</v>
          </cell>
        </row>
        <row r="5318">
          <cell r="A5318" t="str">
            <v>M.PT.0001450</v>
          </cell>
        </row>
        <row r="5319">
          <cell r="A5319" t="str">
            <v>M.PT.0001451</v>
          </cell>
        </row>
        <row r="5320">
          <cell r="A5320" t="str">
            <v>M.PT.0001452</v>
          </cell>
        </row>
        <row r="5321">
          <cell r="A5321" t="str">
            <v>M.PT.0001453</v>
          </cell>
        </row>
        <row r="5322">
          <cell r="A5322" t="str">
            <v>M.PT.0001454</v>
          </cell>
        </row>
        <row r="5323">
          <cell r="A5323" t="str">
            <v>M.PT.0001455</v>
          </cell>
        </row>
        <row r="5324">
          <cell r="A5324" t="str">
            <v>M.PT.0001456</v>
          </cell>
        </row>
        <row r="5325">
          <cell r="A5325" t="str">
            <v>M.PT.0001457</v>
          </cell>
        </row>
        <row r="5326">
          <cell r="A5326" t="str">
            <v>M.PT.0001458</v>
          </cell>
        </row>
        <row r="5327">
          <cell r="A5327" t="str">
            <v>M.PT.0001459</v>
          </cell>
        </row>
        <row r="5328">
          <cell r="A5328" t="str">
            <v>M.PT.0001460</v>
          </cell>
        </row>
        <row r="5329">
          <cell r="A5329" t="str">
            <v>M.PT.0001461</v>
          </cell>
        </row>
        <row r="5330">
          <cell r="A5330" t="str">
            <v>M.PT.0001462</v>
          </cell>
        </row>
        <row r="5331">
          <cell r="A5331" t="str">
            <v>M.PT.0001463</v>
          </cell>
        </row>
        <row r="5332">
          <cell r="A5332" t="str">
            <v>M.PT.0001464</v>
          </cell>
        </row>
        <row r="5333">
          <cell r="A5333" t="str">
            <v>M.PT.0001465</v>
          </cell>
        </row>
        <row r="5334">
          <cell r="A5334" t="str">
            <v>M.PT.0001466</v>
          </cell>
        </row>
        <row r="5335">
          <cell r="A5335" t="str">
            <v>M.PT.0001467</v>
          </cell>
        </row>
        <row r="5336">
          <cell r="A5336" t="str">
            <v>M.PT.0001468</v>
          </cell>
        </row>
        <row r="5337">
          <cell r="A5337" t="str">
            <v>M.PT.0001469</v>
          </cell>
        </row>
        <row r="5338">
          <cell r="A5338" t="str">
            <v>M.PT.0001470</v>
          </cell>
        </row>
        <row r="5339">
          <cell r="A5339" t="str">
            <v>M.PT.0001471</v>
          </cell>
        </row>
        <row r="5340">
          <cell r="A5340" t="str">
            <v>M.PT.0001472</v>
          </cell>
        </row>
        <row r="5341">
          <cell r="A5341" t="str">
            <v>M.PT.0001473</v>
          </cell>
        </row>
        <row r="5342">
          <cell r="A5342" t="str">
            <v>M.PT.0001474</v>
          </cell>
        </row>
        <row r="5343">
          <cell r="A5343" t="str">
            <v>M.PT.0001475</v>
          </cell>
        </row>
        <row r="5344">
          <cell r="A5344" t="str">
            <v>M.PT.0001476</v>
          </cell>
        </row>
        <row r="5345">
          <cell r="A5345" t="str">
            <v>M.PT.0001477</v>
          </cell>
        </row>
        <row r="5346">
          <cell r="A5346" t="str">
            <v>M.PT.0001478</v>
          </cell>
        </row>
        <row r="5347">
          <cell r="A5347" t="str">
            <v>M.PT.0001479</v>
          </cell>
        </row>
        <row r="5348">
          <cell r="A5348" t="str">
            <v>M.PT.0001480</v>
          </cell>
        </row>
        <row r="5349">
          <cell r="A5349" t="str">
            <v>M.PT.0001481</v>
          </cell>
        </row>
        <row r="5350">
          <cell r="A5350" t="str">
            <v>M.PT.0001482</v>
          </cell>
        </row>
        <row r="5351">
          <cell r="A5351" t="str">
            <v>M.PT.0001483</v>
          </cell>
        </row>
        <row r="5352">
          <cell r="A5352" t="str">
            <v>M.PT.0001484</v>
          </cell>
        </row>
        <row r="5353">
          <cell r="A5353" t="str">
            <v>M.PT.0001485</v>
          </cell>
        </row>
        <row r="5354">
          <cell r="A5354" t="str">
            <v>M.PT.0001486</v>
          </cell>
        </row>
        <row r="5355">
          <cell r="A5355" t="str">
            <v>M.PT.0001487</v>
          </cell>
        </row>
        <row r="5356">
          <cell r="A5356" t="str">
            <v>M.PT.0001488</v>
          </cell>
        </row>
        <row r="5357">
          <cell r="A5357" t="str">
            <v>M.PT.0001489</v>
          </cell>
        </row>
        <row r="5358">
          <cell r="A5358" t="str">
            <v>M.PT.0001490</v>
          </cell>
        </row>
        <row r="5359">
          <cell r="A5359" t="str">
            <v>M.PT.0001491</v>
          </cell>
        </row>
        <row r="5360">
          <cell r="A5360" t="str">
            <v>M.PT.0001492</v>
          </cell>
        </row>
        <row r="5361">
          <cell r="A5361" t="str">
            <v>M.PT.0001493</v>
          </cell>
        </row>
        <row r="5362">
          <cell r="A5362" t="str">
            <v>M.PT.0001494</v>
          </cell>
        </row>
        <row r="5363">
          <cell r="A5363" t="str">
            <v>M.PT.0001495</v>
          </cell>
        </row>
        <row r="5364">
          <cell r="A5364" t="str">
            <v>M.PT.0001496</v>
          </cell>
        </row>
        <row r="5365">
          <cell r="A5365" t="str">
            <v>M.PT.0001497</v>
          </cell>
        </row>
        <row r="5366">
          <cell r="A5366" t="str">
            <v>M.PT.0001498</v>
          </cell>
        </row>
        <row r="5367">
          <cell r="A5367" t="str">
            <v>M.PT.0001499</v>
          </cell>
        </row>
        <row r="5368">
          <cell r="A5368" t="str">
            <v>M.PT.0001500</v>
          </cell>
        </row>
        <row r="5369">
          <cell r="A5369" t="str">
            <v>M.PT.0001501</v>
          </cell>
        </row>
        <row r="5370">
          <cell r="A5370" t="str">
            <v>M.PT.0001502</v>
          </cell>
        </row>
        <row r="5371">
          <cell r="A5371" t="str">
            <v>M.PT.0001503</v>
          </cell>
        </row>
        <row r="5372">
          <cell r="A5372" t="str">
            <v>M.PT.0001504</v>
          </cell>
        </row>
        <row r="5373">
          <cell r="A5373" t="str">
            <v>M.PT.0001505</v>
          </cell>
        </row>
        <row r="5374">
          <cell r="A5374" t="str">
            <v>M.PT.0001506</v>
          </cell>
        </row>
        <row r="5375">
          <cell r="A5375" t="str">
            <v>M.PT.0001507</v>
          </cell>
        </row>
        <row r="5376">
          <cell r="A5376" t="str">
            <v>M.PT.0001508</v>
          </cell>
        </row>
        <row r="5377">
          <cell r="A5377" t="str">
            <v>M.PT.0001509</v>
          </cell>
        </row>
        <row r="5378">
          <cell r="A5378" t="str">
            <v>M.PT.0001510</v>
          </cell>
        </row>
        <row r="5379">
          <cell r="A5379" t="str">
            <v>M.PT.0001511</v>
          </cell>
        </row>
        <row r="5380">
          <cell r="A5380" t="str">
            <v>M.PT.0001512</v>
          </cell>
        </row>
        <row r="5381">
          <cell r="A5381" t="str">
            <v>M.PT.0001513</v>
          </cell>
        </row>
        <row r="5382">
          <cell r="A5382" t="str">
            <v>M.PT.0001514</v>
          </cell>
        </row>
        <row r="5383">
          <cell r="A5383" t="str">
            <v>M.PT.0001515</v>
          </cell>
        </row>
        <row r="5384">
          <cell r="A5384" t="str">
            <v>M.PT.0001516</v>
          </cell>
        </row>
        <row r="5385">
          <cell r="A5385" t="str">
            <v>M.PT.0001517</v>
          </cell>
        </row>
        <row r="5386">
          <cell r="A5386" t="str">
            <v>M.PT.0001518</v>
          </cell>
        </row>
        <row r="5387">
          <cell r="A5387" t="str">
            <v>M.PT.0001519</v>
          </cell>
        </row>
        <row r="5388">
          <cell r="A5388" t="str">
            <v>M.PT.0001520</v>
          </cell>
        </row>
        <row r="5389">
          <cell r="A5389" t="str">
            <v>M.PT.0001521</v>
          </cell>
        </row>
        <row r="5390">
          <cell r="A5390" t="str">
            <v>M.PT.0001522</v>
          </cell>
        </row>
        <row r="5391">
          <cell r="A5391" t="str">
            <v>M.PT.0001523</v>
          </cell>
        </row>
        <row r="5392">
          <cell r="A5392" t="str">
            <v>M.PT.0001524</v>
          </cell>
        </row>
        <row r="5393">
          <cell r="A5393" t="str">
            <v>M.PT.0001525</v>
          </cell>
        </row>
        <row r="5394">
          <cell r="A5394" t="str">
            <v>M.PT.0001526</v>
          </cell>
        </row>
        <row r="5395">
          <cell r="A5395" t="str">
            <v>M.PT.0001527</v>
          </cell>
        </row>
        <row r="5396">
          <cell r="A5396" t="str">
            <v>M.PT.0001528</v>
          </cell>
        </row>
        <row r="5397">
          <cell r="A5397" t="str">
            <v>M.PT.0001529</v>
          </cell>
        </row>
        <row r="5398">
          <cell r="A5398" t="str">
            <v>M.PT.0001530</v>
          </cell>
        </row>
        <row r="5399">
          <cell r="A5399" t="str">
            <v>M.PT.0001531</v>
          </cell>
        </row>
        <row r="5400">
          <cell r="A5400" t="str">
            <v>M.PT.0001532</v>
          </cell>
        </row>
        <row r="5401">
          <cell r="A5401" t="str">
            <v>M.PT.0001533</v>
          </cell>
        </row>
        <row r="5402">
          <cell r="A5402" t="str">
            <v>M.PT.0001534</v>
          </cell>
        </row>
        <row r="5403">
          <cell r="A5403" t="str">
            <v>M.PT.0001535</v>
          </cell>
        </row>
        <row r="5404">
          <cell r="A5404" t="str">
            <v>M.PT.0001536</v>
          </cell>
        </row>
        <row r="5405">
          <cell r="A5405" t="str">
            <v>M.PT.0001537</v>
          </cell>
        </row>
        <row r="5406">
          <cell r="A5406" t="str">
            <v>M.PT.0001538</v>
          </cell>
        </row>
        <row r="5407">
          <cell r="A5407" t="str">
            <v>M.PT.0001539</v>
          </cell>
        </row>
        <row r="5408">
          <cell r="A5408" t="str">
            <v>M.PT.0001540</v>
          </cell>
        </row>
        <row r="5409">
          <cell r="A5409" t="str">
            <v>M.PT.0001541</v>
          </cell>
        </row>
        <row r="5410">
          <cell r="A5410" t="str">
            <v>M.PT.0001542</v>
          </cell>
        </row>
        <row r="5411">
          <cell r="A5411" t="str">
            <v>M.PT.0001543</v>
          </cell>
        </row>
        <row r="5412">
          <cell r="A5412" t="str">
            <v>M.PT.0001544</v>
          </cell>
        </row>
        <row r="5413">
          <cell r="A5413" t="str">
            <v>M.PT.0001545</v>
          </cell>
        </row>
        <row r="5414">
          <cell r="A5414" t="str">
            <v>M.PT.0001546</v>
          </cell>
        </row>
        <row r="5415">
          <cell r="A5415" t="str">
            <v>M.PT.0001547</v>
          </cell>
        </row>
        <row r="5416">
          <cell r="A5416" t="str">
            <v>M.PT.0001548</v>
          </cell>
        </row>
        <row r="5417">
          <cell r="A5417" t="str">
            <v>M.PT.0001549</v>
          </cell>
        </row>
        <row r="5418">
          <cell r="A5418" t="str">
            <v>M.PT.0001550</v>
          </cell>
        </row>
        <row r="5419">
          <cell r="A5419" t="str">
            <v>M.PT.0001551</v>
          </cell>
        </row>
        <row r="5420">
          <cell r="A5420" t="str">
            <v>M.PT.0001552</v>
          </cell>
        </row>
        <row r="5421">
          <cell r="A5421" t="str">
            <v>M.PT.0001553</v>
          </cell>
        </row>
        <row r="5422">
          <cell r="A5422" t="str">
            <v>M.PT.0001554</v>
          </cell>
        </row>
        <row r="5423">
          <cell r="A5423" t="str">
            <v>M.PT.0001555</v>
          </cell>
        </row>
        <row r="5424">
          <cell r="A5424" t="str">
            <v>M.PT.0001556</v>
          </cell>
        </row>
        <row r="5425">
          <cell r="A5425" t="str">
            <v>M.PT.0001557</v>
          </cell>
        </row>
        <row r="5426">
          <cell r="A5426" t="str">
            <v>M.PT.0001558</v>
          </cell>
        </row>
        <row r="5427">
          <cell r="A5427" t="str">
            <v>M.PT.0001559</v>
          </cell>
        </row>
        <row r="5428">
          <cell r="A5428" t="str">
            <v>M.PT.0001560</v>
          </cell>
        </row>
        <row r="5429">
          <cell r="A5429" t="str">
            <v>M.PT.0001561</v>
          </cell>
        </row>
        <row r="5430">
          <cell r="A5430" t="str">
            <v>M.PT.0001562</v>
          </cell>
        </row>
        <row r="5431">
          <cell r="A5431" t="str">
            <v>M.PT.0001563</v>
          </cell>
        </row>
        <row r="5432">
          <cell r="A5432" t="str">
            <v>M.PT.0001564</v>
          </cell>
        </row>
        <row r="5433">
          <cell r="A5433" t="str">
            <v>M.PT.0001565</v>
          </cell>
        </row>
        <row r="5434">
          <cell r="A5434" t="str">
            <v>M.PT.0001566</v>
          </cell>
        </row>
        <row r="5435">
          <cell r="A5435" t="str">
            <v>M.PT.0001567</v>
          </cell>
        </row>
        <row r="5436">
          <cell r="A5436" t="str">
            <v>M.PT.0001568</v>
          </cell>
        </row>
        <row r="5437">
          <cell r="A5437" t="str">
            <v>M.PT.0001569</v>
          </cell>
        </row>
        <row r="5438">
          <cell r="A5438" t="str">
            <v>M.PT.0001570</v>
          </cell>
        </row>
        <row r="5439">
          <cell r="A5439" t="str">
            <v>M.PT.0001571</v>
          </cell>
        </row>
        <row r="5440">
          <cell r="A5440" t="str">
            <v>M.PT.0001572</v>
          </cell>
        </row>
        <row r="5441">
          <cell r="A5441" t="str">
            <v>M.PT.0001573</v>
          </cell>
        </row>
        <row r="5442">
          <cell r="A5442" t="str">
            <v>M.PT.0001574</v>
          </cell>
        </row>
        <row r="5443">
          <cell r="A5443" t="str">
            <v>M.PT.0001575</v>
          </cell>
        </row>
        <row r="5444">
          <cell r="A5444" t="str">
            <v>M.PT.0001576</v>
          </cell>
        </row>
        <row r="5445">
          <cell r="A5445" t="str">
            <v>M.PT.0001577</v>
          </cell>
        </row>
        <row r="5446">
          <cell r="A5446" t="str">
            <v>M.PT.0001578</v>
          </cell>
        </row>
        <row r="5447">
          <cell r="A5447" t="str">
            <v>M.PT.0001579</v>
          </cell>
        </row>
        <row r="5448">
          <cell r="A5448" t="str">
            <v>M.PT.0001580</v>
          </cell>
        </row>
        <row r="5449">
          <cell r="A5449" t="str">
            <v>M.PT.0001581</v>
          </cell>
        </row>
        <row r="5450">
          <cell r="A5450" t="str">
            <v>M.PT.0001582</v>
          </cell>
        </row>
        <row r="5451">
          <cell r="A5451" t="str">
            <v>M.PT.0001583</v>
          </cell>
        </row>
        <row r="5452">
          <cell r="A5452" t="str">
            <v>M.PT.0001584</v>
          </cell>
        </row>
        <row r="5453">
          <cell r="A5453" t="str">
            <v>M.PT.0001585</v>
          </cell>
        </row>
        <row r="5454">
          <cell r="A5454" t="str">
            <v>M.PT.0001586</v>
          </cell>
        </row>
        <row r="5455">
          <cell r="A5455" t="str">
            <v>M.PT.0001587</v>
          </cell>
        </row>
        <row r="5456">
          <cell r="A5456" t="str">
            <v>M.PT.0001588</v>
          </cell>
        </row>
        <row r="5457">
          <cell r="A5457" t="str">
            <v>M.PT.0001589</v>
          </cell>
        </row>
        <row r="5458">
          <cell r="A5458" t="str">
            <v>M.PT.0001590</v>
          </cell>
        </row>
        <row r="5459">
          <cell r="A5459" t="str">
            <v>M.PT.0001591</v>
          </cell>
        </row>
        <row r="5460">
          <cell r="A5460" t="str">
            <v>M.PT.0001592</v>
          </cell>
        </row>
        <row r="5461">
          <cell r="A5461" t="str">
            <v>M.PT.0001593</v>
          </cell>
        </row>
        <row r="5462">
          <cell r="A5462" t="str">
            <v>M.PT.0001594</v>
          </cell>
        </row>
        <row r="5463">
          <cell r="A5463" t="str">
            <v>M.PT.0001595</v>
          </cell>
        </row>
        <row r="5464">
          <cell r="A5464" t="str">
            <v>M.PT.0001596</v>
          </cell>
        </row>
        <row r="5465">
          <cell r="A5465" t="str">
            <v>M.PT.0001597</v>
          </cell>
        </row>
        <row r="5466">
          <cell r="A5466" t="str">
            <v>M.PT.0001598</v>
          </cell>
        </row>
        <row r="5467">
          <cell r="A5467" t="str">
            <v>M.PT.0001599</v>
          </cell>
        </row>
        <row r="5468">
          <cell r="A5468" t="str">
            <v>M.PT.0001600</v>
          </cell>
        </row>
        <row r="5469">
          <cell r="A5469" t="str">
            <v>M.PT.0001601</v>
          </cell>
        </row>
        <row r="5470">
          <cell r="A5470" t="str">
            <v>M.PT.0001602</v>
          </cell>
        </row>
        <row r="5471">
          <cell r="A5471" t="str">
            <v>M.PT.0001603</v>
          </cell>
        </row>
        <row r="5472">
          <cell r="A5472" t="str">
            <v>M.PT.0001604</v>
          </cell>
        </row>
        <row r="5473">
          <cell r="A5473" t="str">
            <v>M.PT.0001605</v>
          </cell>
        </row>
        <row r="5474">
          <cell r="A5474" t="str">
            <v>M.PT.0001606</v>
          </cell>
        </row>
        <row r="5475">
          <cell r="A5475" t="str">
            <v>M.PT.0001607</v>
          </cell>
        </row>
        <row r="5476">
          <cell r="A5476" t="str">
            <v>M.PT.0001608</v>
          </cell>
        </row>
        <row r="5477">
          <cell r="A5477" t="str">
            <v>M.PT.0001609</v>
          </cell>
        </row>
        <row r="5478">
          <cell r="A5478" t="str">
            <v>M.PT.0001610</v>
          </cell>
        </row>
        <row r="5479">
          <cell r="A5479" t="str">
            <v>M.PT.0001611</v>
          </cell>
        </row>
        <row r="5480">
          <cell r="A5480" t="str">
            <v>M.PT.0001612</v>
          </cell>
        </row>
        <row r="5481">
          <cell r="A5481" t="str">
            <v>M.PT.0001613</v>
          </cell>
        </row>
        <row r="5482">
          <cell r="A5482" t="str">
            <v>M.PT.0001614</v>
          </cell>
        </row>
        <row r="5483">
          <cell r="A5483" t="str">
            <v>M.PT.0001615</v>
          </cell>
        </row>
        <row r="5484">
          <cell r="A5484" t="str">
            <v>M.PT.0001616</v>
          </cell>
        </row>
        <row r="5485">
          <cell r="A5485" t="str">
            <v>M.PT.0001617</v>
          </cell>
        </row>
        <row r="5486">
          <cell r="A5486" t="str">
            <v>M.PT.0001618</v>
          </cell>
        </row>
        <row r="5487">
          <cell r="A5487" t="str">
            <v>M.PT.0001619</v>
          </cell>
        </row>
        <row r="5488">
          <cell r="A5488" t="str">
            <v>M.PT.0001620</v>
          </cell>
        </row>
        <row r="5489">
          <cell r="A5489" t="str">
            <v>M.PT.0001621</v>
          </cell>
        </row>
        <row r="5490">
          <cell r="A5490" t="str">
            <v>M.PT.0001622</v>
          </cell>
        </row>
        <row r="5491">
          <cell r="A5491" t="str">
            <v>M.PT.0001623</v>
          </cell>
        </row>
        <row r="5492">
          <cell r="A5492" t="str">
            <v>M.PT.0001624</v>
          </cell>
        </row>
        <row r="5493">
          <cell r="A5493" t="str">
            <v>M.PT.0001625</v>
          </cell>
        </row>
        <row r="5494">
          <cell r="A5494" t="str">
            <v>M.PT.0001626</v>
          </cell>
        </row>
        <row r="5495">
          <cell r="A5495" t="str">
            <v>M.PT.0001627</v>
          </cell>
        </row>
        <row r="5496">
          <cell r="A5496" t="str">
            <v>M.PT.0001628</v>
          </cell>
        </row>
        <row r="5497">
          <cell r="A5497" t="str">
            <v>M.PT.0001629</v>
          </cell>
        </row>
        <row r="5498">
          <cell r="A5498" t="str">
            <v>M.PT.0001630</v>
          </cell>
        </row>
        <row r="5499">
          <cell r="A5499" t="str">
            <v>M.PT.0001631</v>
          </cell>
        </row>
        <row r="5500">
          <cell r="A5500" t="str">
            <v>M.PT.0001632</v>
          </cell>
        </row>
        <row r="5501">
          <cell r="A5501" t="str">
            <v>M.PT.0001633</v>
          </cell>
        </row>
        <row r="5502">
          <cell r="A5502" t="str">
            <v>M.PT.0001634</v>
          </cell>
        </row>
        <row r="5503">
          <cell r="A5503" t="str">
            <v>M.PT.0001635</v>
          </cell>
        </row>
        <row r="5504">
          <cell r="A5504" t="str">
            <v>M.PT.0001636</v>
          </cell>
        </row>
        <row r="5505">
          <cell r="A5505" t="str">
            <v>M.PT.0001637</v>
          </cell>
        </row>
        <row r="5506">
          <cell r="A5506" t="str">
            <v>M.PT.0001638</v>
          </cell>
        </row>
        <row r="5507">
          <cell r="A5507" t="str">
            <v>M.PT.0001639</v>
          </cell>
        </row>
        <row r="5508">
          <cell r="A5508" t="str">
            <v>M.PT.0001640</v>
          </cell>
        </row>
        <row r="5509">
          <cell r="A5509" t="str">
            <v>M.PT.0001641</v>
          </cell>
        </row>
        <row r="5510">
          <cell r="A5510" t="str">
            <v>M.PT.0001642</v>
          </cell>
        </row>
        <row r="5511">
          <cell r="A5511" t="str">
            <v>M.PT.0001643</v>
          </cell>
        </row>
        <row r="5512">
          <cell r="A5512" t="str">
            <v>M.PT.0001644</v>
          </cell>
        </row>
        <row r="5513">
          <cell r="A5513" t="str">
            <v>M.PT.0001645</v>
          </cell>
        </row>
        <row r="5514">
          <cell r="A5514" t="str">
            <v>M.PT.0001646</v>
          </cell>
        </row>
        <row r="5515">
          <cell r="A5515" t="str">
            <v>M.PT.0001647</v>
          </cell>
        </row>
        <row r="5516">
          <cell r="A5516" t="str">
            <v>M.PT.0001648</v>
          </cell>
        </row>
        <row r="5517">
          <cell r="A5517" t="str">
            <v>M.PT.0001649</v>
          </cell>
        </row>
        <row r="5518">
          <cell r="A5518" t="str">
            <v>M.PT.0001650</v>
          </cell>
        </row>
        <row r="5519">
          <cell r="A5519" t="str">
            <v>M.PT.0001651</v>
          </cell>
        </row>
        <row r="5520">
          <cell r="A5520" t="str">
            <v>M.PT.0001652</v>
          </cell>
        </row>
        <row r="5521">
          <cell r="A5521" t="str">
            <v>M.PT.0001653</v>
          </cell>
        </row>
        <row r="5522">
          <cell r="A5522" t="str">
            <v>M.PT.0001654</v>
          </cell>
        </row>
        <row r="5523">
          <cell r="A5523" t="str">
            <v>M.PT.0001655</v>
          </cell>
        </row>
        <row r="5524">
          <cell r="A5524" t="str">
            <v>M.PT.0001656</v>
          </cell>
        </row>
        <row r="5525">
          <cell r="A5525" t="str">
            <v>M.PT.0001657</v>
          </cell>
        </row>
        <row r="5526">
          <cell r="A5526" t="str">
            <v>M.PT.0001658</v>
          </cell>
        </row>
        <row r="5527">
          <cell r="A5527" t="str">
            <v>M.PT.0001659</v>
          </cell>
        </row>
        <row r="5528">
          <cell r="A5528" t="str">
            <v>M.PT.0001660</v>
          </cell>
        </row>
        <row r="5529">
          <cell r="A5529" t="str">
            <v>M.PT.0001661</v>
          </cell>
        </row>
        <row r="5530">
          <cell r="A5530" t="str">
            <v>M.PT.0001662</v>
          </cell>
        </row>
        <row r="5531">
          <cell r="A5531" t="str">
            <v>M.PT.0001663</v>
          </cell>
        </row>
        <row r="5532">
          <cell r="A5532" t="str">
            <v>M.PT.0001664</v>
          </cell>
        </row>
        <row r="5533">
          <cell r="A5533" t="str">
            <v>M.PT.0001665</v>
          </cell>
        </row>
        <row r="5534">
          <cell r="A5534" t="str">
            <v>M.PT.0001666</v>
          </cell>
        </row>
        <row r="5535">
          <cell r="A5535" t="str">
            <v>M.PT.0001667</v>
          </cell>
        </row>
        <row r="5536">
          <cell r="A5536" t="str">
            <v>M.PT.0001668</v>
          </cell>
        </row>
        <row r="5537">
          <cell r="A5537" t="str">
            <v>M.PT.0001669</v>
          </cell>
        </row>
        <row r="5538">
          <cell r="A5538" t="str">
            <v>M.PT.0001670</v>
          </cell>
        </row>
        <row r="5539">
          <cell r="A5539" t="str">
            <v>M.PT.0001671</v>
          </cell>
        </row>
        <row r="5540">
          <cell r="A5540" t="str">
            <v>M.PT.0001672</v>
          </cell>
        </row>
        <row r="5541">
          <cell r="A5541" t="str">
            <v>M.PT.0001673</v>
          </cell>
        </row>
        <row r="5542">
          <cell r="A5542" t="str">
            <v>M.PT.0001674</v>
          </cell>
        </row>
        <row r="5543">
          <cell r="A5543" t="str">
            <v>M.PT.0001675</v>
          </cell>
        </row>
        <row r="5544">
          <cell r="A5544" t="str">
            <v>M.PT.0001676</v>
          </cell>
        </row>
        <row r="5545">
          <cell r="A5545" t="str">
            <v>M.PT.0001677</v>
          </cell>
        </row>
        <row r="5546">
          <cell r="A5546" t="str">
            <v>M.PT.0001678</v>
          </cell>
        </row>
        <row r="5547">
          <cell r="A5547" t="str">
            <v>M.PT.0001679</v>
          </cell>
        </row>
        <row r="5548">
          <cell r="A5548" t="str">
            <v>M.PT.0001680</v>
          </cell>
        </row>
        <row r="5549">
          <cell r="A5549" t="str">
            <v>M.PT.0001681</v>
          </cell>
        </row>
        <row r="5550">
          <cell r="A5550" t="str">
            <v>M.PT.0001682</v>
          </cell>
        </row>
        <row r="5551">
          <cell r="A5551" t="str">
            <v>M.PT.0001683</v>
          </cell>
        </row>
        <row r="5552">
          <cell r="A5552" t="str">
            <v>M.PT.0001684</v>
          </cell>
        </row>
        <row r="5553">
          <cell r="A5553" t="str">
            <v>M.PT.0001685</v>
          </cell>
        </row>
        <row r="5554">
          <cell r="A5554" t="str">
            <v>M.PT.0001686</v>
          </cell>
        </row>
        <row r="5555">
          <cell r="A5555" t="str">
            <v>M.PT.0001687</v>
          </cell>
        </row>
        <row r="5556">
          <cell r="A5556" t="str">
            <v>M.PT.0001688</v>
          </cell>
        </row>
        <row r="5557">
          <cell r="A5557" t="str">
            <v>M.PT.0001689</v>
          </cell>
        </row>
        <row r="5558">
          <cell r="A5558" t="str">
            <v>M.PT.0001690</v>
          </cell>
        </row>
        <row r="5559">
          <cell r="A5559" t="str">
            <v>M.PT.0001691</v>
          </cell>
        </row>
        <row r="5560">
          <cell r="A5560" t="str">
            <v>M.PT.0001692</v>
          </cell>
        </row>
        <row r="5561">
          <cell r="A5561" t="str">
            <v>M.PT.0001693</v>
          </cell>
        </row>
        <row r="5562">
          <cell r="A5562" t="str">
            <v>M.PT.0001694</v>
          </cell>
        </row>
        <row r="5563">
          <cell r="A5563" t="str">
            <v>M.PT.0001695</v>
          </cell>
        </row>
        <row r="5564">
          <cell r="A5564" t="str">
            <v>M.PT.0001696</v>
          </cell>
        </row>
        <row r="5565">
          <cell r="A5565" t="str">
            <v>M.PT.0001697</v>
          </cell>
        </row>
        <row r="5566">
          <cell r="A5566" t="str">
            <v>M.PT.0001698</v>
          </cell>
        </row>
        <row r="5567">
          <cell r="A5567" t="str">
            <v>M.PT.0001699</v>
          </cell>
        </row>
        <row r="5568">
          <cell r="A5568" t="str">
            <v>M.PT.0001700</v>
          </cell>
        </row>
        <row r="5569">
          <cell r="A5569" t="str">
            <v>M.PT.0001701</v>
          </cell>
        </row>
        <row r="5570">
          <cell r="A5570" t="str">
            <v>M.PT.0001702</v>
          </cell>
        </row>
        <row r="5571">
          <cell r="A5571" t="str">
            <v>M.PT.0001703</v>
          </cell>
        </row>
        <row r="5572">
          <cell r="A5572" t="str">
            <v>M.PT.0001704</v>
          </cell>
        </row>
        <row r="5573">
          <cell r="A5573" t="str">
            <v>M.PT.0001705</v>
          </cell>
        </row>
        <row r="5574">
          <cell r="A5574" t="str">
            <v>M.PT.0001706</v>
          </cell>
        </row>
        <row r="5575">
          <cell r="A5575" t="str">
            <v>M.PT.0001707</v>
          </cell>
        </row>
        <row r="5576">
          <cell r="A5576" t="str">
            <v>M.PT.0001708</v>
          </cell>
        </row>
        <row r="5577">
          <cell r="A5577" t="str">
            <v>M.PT.0001709</v>
          </cell>
        </row>
        <row r="5578">
          <cell r="A5578" t="str">
            <v>M.PT.0001710</v>
          </cell>
        </row>
        <row r="5579">
          <cell r="A5579" t="str">
            <v>M.PT.0001711</v>
          </cell>
        </row>
        <row r="5580">
          <cell r="A5580" t="str">
            <v>M.PT.0001712</v>
          </cell>
        </row>
        <row r="5581">
          <cell r="A5581" t="str">
            <v>M.PT.0001713</v>
          </cell>
        </row>
        <row r="5582">
          <cell r="A5582" t="str">
            <v>M.PT.0001714</v>
          </cell>
        </row>
        <row r="5583">
          <cell r="A5583" t="str">
            <v>M.PT.0001715</v>
          </cell>
        </row>
        <row r="5584">
          <cell r="A5584" t="str">
            <v>M.PT.0001716</v>
          </cell>
        </row>
        <row r="5585">
          <cell r="A5585" t="str">
            <v>M.PT.0001717</v>
          </cell>
        </row>
        <row r="5586">
          <cell r="A5586" t="str">
            <v>M.PT.0001718</v>
          </cell>
        </row>
        <row r="5587">
          <cell r="A5587" t="str">
            <v>M.PT.0001719</v>
          </cell>
        </row>
        <row r="5588">
          <cell r="A5588" t="str">
            <v>M.PT.0001720</v>
          </cell>
        </row>
        <row r="5589">
          <cell r="A5589" t="str">
            <v>M.PT.0001721</v>
          </cell>
        </row>
        <row r="5590">
          <cell r="A5590" t="str">
            <v>M.PT.0001722</v>
          </cell>
        </row>
        <row r="5591">
          <cell r="A5591" t="str">
            <v>M.PT.0001723</v>
          </cell>
        </row>
        <row r="5592">
          <cell r="A5592" t="str">
            <v>M.PT.0001724</v>
          </cell>
        </row>
        <row r="5593">
          <cell r="A5593" t="str">
            <v>M.PT.0001725</v>
          </cell>
        </row>
        <row r="5594">
          <cell r="A5594" t="str">
            <v>M.PT.0001726</v>
          </cell>
        </row>
        <row r="5595">
          <cell r="A5595" t="str">
            <v>M.PT.0001727</v>
          </cell>
        </row>
        <row r="5596">
          <cell r="A5596" t="str">
            <v>M.PT.0001728</v>
          </cell>
        </row>
        <row r="5597">
          <cell r="A5597" t="str">
            <v>M.PT.0001729</v>
          </cell>
        </row>
        <row r="5598">
          <cell r="A5598" t="str">
            <v>M.PT.0001730</v>
          </cell>
        </row>
        <row r="5599">
          <cell r="A5599" t="str">
            <v>M.PT.0001731</v>
          </cell>
        </row>
        <row r="5600">
          <cell r="A5600" t="str">
            <v>M.PT.0001732</v>
          </cell>
        </row>
        <row r="5601">
          <cell r="A5601" t="str">
            <v>M.PT.0001733</v>
          </cell>
        </row>
        <row r="5602">
          <cell r="A5602" t="str">
            <v>M.PT.0001734</v>
          </cell>
        </row>
        <row r="5603">
          <cell r="A5603" t="str">
            <v>M.PT.0001735</v>
          </cell>
        </row>
        <row r="5604">
          <cell r="A5604" t="str">
            <v>M.PT.0001736</v>
          </cell>
        </row>
        <row r="5605">
          <cell r="A5605" t="str">
            <v>M.PT.0001737</v>
          </cell>
        </row>
        <row r="5606">
          <cell r="A5606" t="str">
            <v>M.PT.0001738</v>
          </cell>
        </row>
        <row r="5607">
          <cell r="A5607" t="str">
            <v>M.PT.0001739</v>
          </cell>
        </row>
        <row r="5608">
          <cell r="A5608" t="str">
            <v>M.PT.0001740</v>
          </cell>
        </row>
        <row r="5609">
          <cell r="A5609" t="str">
            <v>M.PT.0001741</v>
          </cell>
        </row>
        <row r="5610">
          <cell r="A5610" t="str">
            <v>M.PT.0001742</v>
          </cell>
        </row>
        <row r="5611">
          <cell r="A5611" t="str">
            <v>M.PT.0001743</v>
          </cell>
        </row>
        <row r="5612">
          <cell r="A5612" t="str">
            <v>M.PT.0001744</v>
          </cell>
        </row>
        <row r="5613">
          <cell r="A5613" t="str">
            <v>M.PT.0001745</v>
          </cell>
        </row>
        <row r="5614">
          <cell r="A5614" t="str">
            <v>M.PT.0001746</v>
          </cell>
        </row>
        <row r="5615">
          <cell r="A5615" t="str">
            <v>M.PT.0001747</v>
          </cell>
        </row>
        <row r="5616">
          <cell r="A5616" t="str">
            <v>M.PT.0001748</v>
          </cell>
        </row>
        <row r="5617">
          <cell r="A5617" t="str">
            <v>M.PT.0001749</v>
          </cell>
        </row>
        <row r="5618">
          <cell r="A5618" t="str">
            <v>M.PT.0001750</v>
          </cell>
        </row>
        <row r="5619">
          <cell r="A5619" t="str">
            <v>M.PT.0001751</v>
          </cell>
        </row>
        <row r="5620">
          <cell r="A5620" t="str">
            <v>M.PT.0001752</v>
          </cell>
        </row>
        <row r="5621">
          <cell r="A5621" t="str">
            <v>M.PT.0001753</v>
          </cell>
        </row>
        <row r="5622">
          <cell r="A5622" t="str">
            <v>M.PT.0001754</v>
          </cell>
        </row>
        <row r="5623">
          <cell r="A5623" t="str">
            <v>M.PT.0001755</v>
          </cell>
        </row>
        <row r="5624">
          <cell r="A5624" t="str">
            <v>M.PT.0001756</v>
          </cell>
        </row>
        <row r="5625">
          <cell r="A5625" t="str">
            <v>M.PT.0001757</v>
          </cell>
        </row>
        <row r="5626">
          <cell r="A5626" t="str">
            <v>M.PT.0001758</v>
          </cell>
        </row>
        <row r="5627">
          <cell r="A5627" t="str">
            <v>M.PT.0001759</v>
          </cell>
        </row>
        <row r="5628">
          <cell r="A5628" t="str">
            <v>M.PT.0001760</v>
          </cell>
        </row>
        <row r="5629">
          <cell r="A5629" t="str">
            <v>M.PT.0001761</v>
          </cell>
        </row>
        <row r="5630">
          <cell r="A5630" t="str">
            <v>M.PT.0001762</v>
          </cell>
        </row>
        <row r="5631">
          <cell r="A5631" t="str">
            <v>M.PT.0001763</v>
          </cell>
        </row>
        <row r="5632">
          <cell r="A5632" t="str">
            <v>M.PT.0001764</v>
          </cell>
        </row>
        <row r="5633">
          <cell r="A5633" t="str">
            <v>M.PT.0001765</v>
          </cell>
        </row>
        <row r="5634">
          <cell r="A5634" t="str">
            <v>M.PT.0001766</v>
          </cell>
        </row>
        <row r="5635">
          <cell r="A5635" t="str">
            <v>M.PT.0001767</v>
          </cell>
        </row>
        <row r="5636">
          <cell r="A5636" t="str">
            <v>M.PT.0001768</v>
          </cell>
        </row>
        <row r="5637">
          <cell r="A5637" t="str">
            <v>M.PT.0001769</v>
          </cell>
        </row>
        <row r="5638">
          <cell r="A5638" t="str">
            <v>M.PT.0001770</v>
          </cell>
        </row>
        <row r="5639">
          <cell r="A5639" t="str">
            <v>M.PT.0001771</v>
          </cell>
        </row>
        <row r="5640">
          <cell r="A5640" t="str">
            <v>M.PT.0001772</v>
          </cell>
        </row>
        <row r="5641">
          <cell r="A5641" t="str">
            <v>M.PT.0001773</v>
          </cell>
        </row>
        <row r="5642">
          <cell r="A5642" t="str">
            <v>M.PT.0001774</v>
          </cell>
        </row>
        <row r="5643">
          <cell r="A5643" t="str">
            <v>M.PT.0001775</v>
          </cell>
        </row>
        <row r="5644">
          <cell r="A5644" t="str">
            <v>M.PT.0001776</v>
          </cell>
        </row>
        <row r="5645">
          <cell r="A5645" t="str">
            <v>M.PT.0001777</v>
          </cell>
        </row>
        <row r="5646">
          <cell r="A5646" t="str">
            <v>M.PT.0001778</v>
          </cell>
        </row>
        <row r="5647">
          <cell r="A5647" t="str">
            <v>M.PT.0001779</v>
          </cell>
        </row>
        <row r="5648">
          <cell r="A5648" t="str">
            <v>M.PT.0001780</v>
          </cell>
        </row>
        <row r="5649">
          <cell r="A5649" t="str">
            <v>M.PT.0001781</v>
          </cell>
        </row>
        <row r="5650">
          <cell r="A5650" t="str">
            <v>M.PT.0001782</v>
          </cell>
        </row>
        <row r="5651">
          <cell r="A5651" t="str">
            <v>M.PT.0001783</v>
          </cell>
        </row>
        <row r="5652">
          <cell r="A5652" t="str">
            <v>M.PT.0001784</v>
          </cell>
        </row>
        <row r="5653">
          <cell r="A5653" t="str">
            <v>M.PT.0001785</v>
          </cell>
        </row>
        <row r="5654">
          <cell r="A5654" t="str">
            <v>M.PT.0001786</v>
          </cell>
        </row>
        <row r="5655">
          <cell r="A5655" t="str">
            <v>M.PT.0001787</v>
          </cell>
        </row>
        <row r="5656">
          <cell r="A5656" t="str">
            <v>M.PT.0001788</v>
          </cell>
        </row>
        <row r="5657">
          <cell r="A5657" t="str">
            <v>M.PT.0001789</v>
          </cell>
        </row>
        <row r="5658">
          <cell r="A5658" t="str">
            <v>M.PT.0001790</v>
          </cell>
        </row>
        <row r="5659">
          <cell r="A5659" t="str">
            <v>M.PT.0001791</v>
          </cell>
        </row>
        <row r="5660">
          <cell r="A5660" t="str">
            <v>M.PT.0001792</v>
          </cell>
        </row>
        <row r="5661">
          <cell r="A5661" t="str">
            <v>M.PT.0001793</v>
          </cell>
        </row>
        <row r="5662">
          <cell r="A5662" t="str">
            <v>M.PT.0001794</v>
          </cell>
        </row>
        <row r="5663">
          <cell r="A5663" t="str">
            <v>M.PT.0001795</v>
          </cell>
        </row>
        <row r="5664">
          <cell r="A5664" t="str">
            <v>M.PT.0001796</v>
          </cell>
        </row>
        <row r="5665">
          <cell r="A5665" t="str">
            <v>M.PT.0001797</v>
          </cell>
        </row>
        <row r="5666">
          <cell r="A5666" t="str">
            <v>M.PT.0001798</v>
          </cell>
        </row>
        <row r="5667">
          <cell r="A5667" t="str">
            <v>M.PT.0001799</v>
          </cell>
        </row>
        <row r="5668">
          <cell r="A5668" t="str">
            <v>M.PT.0001800</v>
          </cell>
        </row>
        <row r="5669">
          <cell r="A5669" t="str">
            <v>M.PT.0001801</v>
          </cell>
        </row>
        <row r="5670">
          <cell r="A5670" t="str">
            <v>M.PT.0001802</v>
          </cell>
        </row>
        <row r="5671">
          <cell r="A5671" t="str">
            <v>M.PT.0001803</v>
          </cell>
        </row>
        <row r="5672">
          <cell r="A5672" t="str">
            <v>M.PT.0001804</v>
          </cell>
        </row>
        <row r="5673">
          <cell r="A5673" t="str">
            <v>M.PT.0001805</v>
          </cell>
        </row>
        <row r="5674">
          <cell r="A5674" t="str">
            <v>M.PT.0001806</v>
          </cell>
        </row>
        <row r="5675">
          <cell r="A5675" t="str">
            <v>M.PT.0001807</v>
          </cell>
        </row>
        <row r="5676">
          <cell r="A5676" t="str">
            <v>M.PT.0001808</v>
          </cell>
        </row>
        <row r="5677">
          <cell r="A5677" t="str">
            <v>M.PT.0001809</v>
          </cell>
        </row>
        <row r="5678">
          <cell r="A5678" t="str">
            <v>M.PT.0001810</v>
          </cell>
        </row>
        <row r="5679">
          <cell r="A5679" t="str">
            <v>M.PT.0001811</v>
          </cell>
        </row>
        <row r="5680">
          <cell r="A5680" t="str">
            <v>M.PT.0001812</v>
          </cell>
        </row>
        <row r="5681">
          <cell r="A5681" t="str">
            <v>M.PT.0001813</v>
          </cell>
        </row>
        <row r="5682">
          <cell r="A5682" t="str">
            <v>M.PT.0001814</v>
          </cell>
        </row>
        <row r="5683">
          <cell r="A5683" t="str">
            <v>M.PT.0001815</v>
          </cell>
        </row>
        <row r="5684">
          <cell r="A5684" t="str">
            <v>M.PT.0001816</v>
          </cell>
        </row>
        <row r="5685">
          <cell r="A5685" t="str">
            <v>M.PT.0001817</v>
          </cell>
        </row>
        <row r="5686">
          <cell r="A5686" t="str">
            <v>M.PT.0001818</v>
          </cell>
        </row>
        <row r="5687">
          <cell r="A5687" t="str">
            <v>M.PT.0001819</v>
          </cell>
        </row>
        <row r="5688">
          <cell r="A5688" t="str">
            <v>M.PT.0001820</v>
          </cell>
        </row>
        <row r="5689">
          <cell r="A5689" t="str">
            <v>M.PT.0001821</v>
          </cell>
        </row>
        <row r="5690">
          <cell r="A5690" t="str">
            <v>M.PT.0001822</v>
          </cell>
        </row>
        <row r="5691">
          <cell r="A5691" t="str">
            <v>M.PT.0001823</v>
          </cell>
        </row>
        <row r="5692">
          <cell r="A5692" t="str">
            <v>M.PT.0001824</v>
          </cell>
        </row>
        <row r="5693">
          <cell r="A5693" t="str">
            <v>M.PT.0001825</v>
          </cell>
        </row>
        <row r="5694">
          <cell r="A5694" t="str">
            <v>M.PT.0001826</v>
          </cell>
        </row>
        <row r="5695">
          <cell r="A5695" t="str">
            <v>M.PT.0001827</v>
          </cell>
        </row>
        <row r="5696">
          <cell r="A5696" t="str">
            <v>M.PT.0001828</v>
          </cell>
        </row>
        <row r="5697">
          <cell r="A5697" t="str">
            <v>M.PT.0001829</v>
          </cell>
        </row>
        <row r="5698">
          <cell r="A5698" t="str">
            <v>M.PT.0001830</v>
          </cell>
        </row>
        <row r="5699">
          <cell r="A5699" t="str">
            <v>M.PT.0001831</v>
          </cell>
        </row>
        <row r="5700">
          <cell r="A5700" t="str">
            <v>M.PT.0001832</v>
          </cell>
        </row>
        <row r="5701">
          <cell r="A5701" t="str">
            <v>M.PT.0001833</v>
          </cell>
        </row>
        <row r="5702">
          <cell r="A5702" t="str">
            <v>M.PT.0001834</v>
          </cell>
        </row>
        <row r="5703">
          <cell r="A5703" t="str">
            <v>M.PT.0001835</v>
          </cell>
        </row>
        <row r="5704">
          <cell r="A5704" t="str">
            <v>M.PT.0001836</v>
          </cell>
        </row>
        <row r="5705">
          <cell r="A5705" t="str">
            <v>M.PT.0001837</v>
          </cell>
        </row>
        <row r="5706">
          <cell r="A5706" t="str">
            <v>M.PT.0001838</v>
          </cell>
        </row>
        <row r="5707">
          <cell r="A5707" t="str">
            <v>M.PT.0001839</v>
          </cell>
        </row>
        <row r="5708">
          <cell r="A5708" t="str">
            <v>M.PT.0001840</v>
          </cell>
        </row>
        <row r="5709">
          <cell r="A5709" t="str">
            <v>M.PT.0001841</v>
          </cell>
        </row>
        <row r="5710">
          <cell r="A5710" t="str">
            <v>M.PT.0001842</v>
          </cell>
        </row>
        <row r="5711">
          <cell r="A5711" t="str">
            <v>M.PT.0001843</v>
          </cell>
        </row>
        <row r="5712">
          <cell r="A5712" t="str">
            <v>M.PT.0001844</v>
          </cell>
        </row>
        <row r="5713">
          <cell r="A5713" t="str">
            <v>M.PT.0001845</v>
          </cell>
        </row>
        <row r="5714">
          <cell r="A5714" t="str">
            <v>M.PT.0001846</v>
          </cell>
        </row>
        <row r="5715">
          <cell r="A5715" t="str">
            <v>M.PT.0001847</v>
          </cell>
        </row>
        <row r="5716">
          <cell r="A5716" t="str">
            <v>M.PT.0001848</v>
          </cell>
        </row>
        <row r="5717">
          <cell r="A5717" t="str">
            <v>M.PT.0001849</v>
          </cell>
        </row>
        <row r="5718">
          <cell r="A5718" t="str">
            <v>M.PT.0001850</v>
          </cell>
        </row>
        <row r="5719">
          <cell r="A5719" t="str">
            <v>M.PT.0001851</v>
          </cell>
        </row>
        <row r="5720">
          <cell r="A5720" t="str">
            <v>M.PT.0001852</v>
          </cell>
        </row>
        <row r="5721">
          <cell r="A5721" t="str">
            <v>M.PT.0001853</v>
          </cell>
        </row>
        <row r="5722">
          <cell r="A5722" t="str">
            <v>M.PT.0001854</v>
          </cell>
        </row>
        <row r="5723">
          <cell r="A5723" t="str">
            <v>M.PT.0001855</v>
          </cell>
        </row>
        <row r="5724">
          <cell r="A5724" t="str">
            <v>M.PT.0001856</v>
          </cell>
        </row>
        <row r="5725">
          <cell r="A5725" t="str">
            <v>M.PT.0001857</v>
          </cell>
        </row>
        <row r="5726">
          <cell r="A5726" t="str">
            <v>M.PT.0001858</v>
          </cell>
        </row>
        <row r="5727">
          <cell r="A5727" t="str">
            <v>M.PT.0001859</v>
          </cell>
        </row>
        <row r="5728">
          <cell r="A5728" t="str">
            <v>M.PT.0001860</v>
          </cell>
        </row>
        <row r="5729">
          <cell r="A5729" t="str">
            <v>M.PT.0001861</v>
          </cell>
        </row>
        <row r="5730">
          <cell r="A5730" t="str">
            <v>M.PT.0001862</v>
          </cell>
        </row>
        <row r="5731">
          <cell r="A5731" t="str">
            <v>M.PT.0001863</v>
          </cell>
        </row>
        <row r="5732">
          <cell r="A5732" t="str">
            <v>M.PT.0001864</v>
          </cell>
        </row>
        <row r="5733">
          <cell r="A5733" t="str">
            <v>M.PT.0001865</v>
          </cell>
        </row>
        <row r="5734">
          <cell r="A5734" t="str">
            <v>M.PT.0001866</v>
          </cell>
        </row>
        <row r="5735">
          <cell r="A5735" t="str">
            <v>M.PT.0001867</v>
          </cell>
        </row>
        <row r="5736">
          <cell r="A5736" t="str">
            <v>M.PT.0001868</v>
          </cell>
        </row>
        <row r="5737">
          <cell r="A5737" t="str">
            <v>M.PT.0001869</v>
          </cell>
        </row>
        <row r="5738">
          <cell r="A5738" t="str">
            <v>M.PT.0001870</v>
          </cell>
        </row>
        <row r="5739">
          <cell r="A5739" t="str">
            <v>M.PT.0001871</v>
          </cell>
        </row>
        <row r="5740">
          <cell r="A5740" t="str">
            <v>M.PT.0001872</v>
          </cell>
        </row>
        <row r="5741">
          <cell r="A5741" t="str">
            <v>M.PT.0001873</v>
          </cell>
        </row>
        <row r="5742">
          <cell r="A5742" t="str">
            <v>M.PT.0001874</v>
          </cell>
        </row>
        <row r="5743">
          <cell r="A5743" t="str">
            <v>M.PT.0001875</v>
          </cell>
        </row>
        <row r="5744">
          <cell r="A5744" t="str">
            <v>M.PT.0001876</v>
          </cell>
        </row>
        <row r="5745">
          <cell r="A5745" t="str">
            <v>M.PT.0001877</v>
          </cell>
        </row>
        <row r="5746">
          <cell r="A5746" t="str">
            <v>M.PT.0001878</v>
          </cell>
        </row>
        <row r="5747">
          <cell r="A5747" t="str">
            <v>M.PT.0001879</v>
          </cell>
        </row>
        <row r="5748">
          <cell r="A5748" t="str">
            <v>M.PT.0001880</v>
          </cell>
        </row>
        <row r="5749">
          <cell r="A5749" t="str">
            <v>M.PT.0001881</v>
          </cell>
        </row>
        <row r="5750">
          <cell r="A5750" t="str">
            <v>M.PT.0001882</v>
          </cell>
        </row>
        <row r="5751">
          <cell r="A5751" t="str">
            <v>M.PT.0001883</v>
          </cell>
        </row>
        <row r="5752">
          <cell r="A5752" t="str">
            <v>M.PT.0001884</v>
          </cell>
        </row>
        <row r="5753">
          <cell r="A5753" t="str">
            <v>M.PT.0001885</v>
          </cell>
        </row>
        <row r="5754">
          <cell r="A5754" t="str">
            <v>M.PT.0001886</v>
          </cell>
        </row>
        <row r="5755">
          <cell r="A5755" t="str">
            <v>M.PT.0001887</v>
          </cell>
        </row>
        <row r="5756">
          <cell r="A5756" t="str">
            <v>M.PT.0001888</v>
          </cell>
        </row>
        <row r="5757">
          <cell r="A5757" t="str">
            <v>M.PT.0001889</v>
          </cell>
        </row>
        <row r="5758">
          <cell r="A5758" t="str">
            <v>M.PT.0001890</v>
          </cell>
        </row>
        <row r="5759">
          <cell r="A5759" t="str">
            <v>M.PT.0001891</v>
          </cell>
        </row>
        <row r="5760">
          <cell r="A5760" t="str">
            <v>M.PT.0001892</v>
          </cell>
        </row>
        <row r="5761">
          <cell r="A5761" t="str">
            <v>M.PT.0001893</v>
          </cell>
        </row>
        <row r="5762">
          <cell r="A5762" t="str">
            <v>M.PT.0001894</v>
          </cell>
        </row>
        <row r="5763">
          <cell r="A5763" t="str">
            <v>M.PT.0001895</v>
          </cell>
        </row>
        <row r="5764">
          <cell r="A5764" t="str">
            <v>M.PT.0001896</v>
          </cell>
        </row>
        <row r="5765">
          <cell r="A5765" t="str">
            <v>M.PT.0001897</v>
          </cell>
        </row>
        <row r="5766">
          <cell r="A5766" t="str">
            <v>M.PT.0001898</v>
          </cell>
        </row>
        <row r="5767">
          <cell r="A5767" t="str">
            <v>M.PT.0001899</v>
          </cell>
        </row>
        <row r="5768">
          <cell r="A5768" t="str">
            <v>M.PT.0001900</v>
          </cell>
        </row>
        <row r="5769">
          <cell r="A5769" t="str">
            <v>M.PT.0001901</v>
          </cell>
        </row>
        <row r="5770">
          <cell r="A5770" t="str">
            <v>M.PT.0001902</v>
          </cell>
        </row>
        <row r="5771">
          <cell r="A5771" t="str">
            <v>M.PT.0001903</v>
          </cell>
        </row>
        <row r="5772">
          <cell r="A5772" t="str">
            <v>M.PT.0001904</v>
          </cell>
        </row>
        <row r="5773">
          <cell r="A5773" t="str">
            <v>M.PT.0001905</v>
          </cell>
        </row>
        <row r="5774">
          <cell r="A5774" t="str">
            <v>M.PT.0001906</v>
          </cell>
        </row>
        <row r="5775">
          <cell r="A5775" t="str">
            <v>M.PT.0001907</v>
          </cell>
        </row>
        <row r="5776">
          <cell r="A5776" t="str">
            <v>M.PT.0001908</v>
          </cell>
        </row>
        <row r="5777">
          <cell r="A5777" t="str">
            <v>M.PT.0001909</v>
          </cell>
        </row>
        <row r="5778">
          <cell r="A5778" t="str">
            <v>M.PT.0001910</v>
          </cell>
        </row>
        <row r="5779">
          <cell r="A5779" t="str">
            <v>M.PT.0001911</v>
          </cell>
        </row>
        <row r="5780">
          <cell r="A5780" t="str">
            <v>M.PT.0001912</v>
          </cell>
        </row>
        <row r="5781">
          <cell r="A5781" t="str">
            <v>M.PT.0001913</v>
          </cell>
        </row>
        <row r="5782">
          <cell r="A5782" t="str">
            <v>M.PT.0001914</v>
          </cell>
        </row>
        <row r="5783">
          <cell r="A5783" t="str">
            <v>M.PT.0001915</v>
          </cell>
        </row>
        <row r="5784">
          <cell r="A5784" t="str">
            <v>M.PT.0001916</v>
          </cell>
        </row>
        <row r="5785">
          <cell r="A5785" t="str">
            <v>M.PT.0001917</v>
          </cell>
        </row>
        <row r="5786">
          <cell r="A5786" t="str">
            <v>M.PT.0001918</v>
          </cell>
        </row>
        <row r="5787">
          <cell r="A5787" t="str">
            <v>M.PT.0001919</v>
          </cell>
        </row>
        <row r="5788">
          <cell r="A5788" t="str">
            <v>M.PT.0001920</v>
          </cell>
        </row>
        <row r="5789">
          <cell r="A5789" t="str">
            <v>M.PT.0001921</v>
          </cell>
        </row>
        <row r="5790">
          <cell r="A5790" t="str">
            <v>M.PT.0001922</v>
          </cell>
        </row>
        <row r="5791">
          <cell r="A5791" t="str">
            <v>M.PT.0001923</v>
          </cell>
        </row>
        <row r="5792">
          <cell r="A5792" t="str">
            <v>M.PT.0001924</v>
          </cell>
        </row>
        <row r="5793">
          <cell r="A5793" t="str">
            <v>M.PT.0001925</v>
          </cell>
        </row>
        <row r="5794">
          <cell r="A5794" t="str">
            <v>M.PT.0001926</v>
          </cell>
        </row>
        <row r="5795">
          <cell r="A5795" t="str">
            <v>M.PT.0001927</v>
          </cell>
        </row>
        <row r="5796">
          <cell r="A5796" t="str">
            <v>M.PT.0001928</v>
          </cell>
        </row>
        <row r="5797">
          <cell r="A5797" t="str">
            <v>M.PT.0001929</v>
          </cell>
        </row>
        <row r="5798">
          <cell r="A5798" t="str">
            <v>M.PT.0001930</v>
          </cell>
        </row>
        <row r="5799">
          <cell r="A5799" t="str">
            <v>M.PT.0001931</v>
          </cell>
        </row>
        <row r="5800">
          <cell r="A5800" t="str">
            <v>M.PT.0001932</v>
          </cell>
        </row>
        <row r="5801">
          <cell r="A5801" t="str">
            <v>M.PT.0001933</v>
          </cell>
        </row>
        <row r="5802">
          <cell r="A5802" t="str">
            <v>M.PT.0001934</v>
          </cell>
        </row>
        <row r="5803">
          <cell r="A5803" t="str">
            <v>M.PT.0001935</v>
          </cell>
        </row>
        <row r="5804">
          <cell r="A5804" t="str">
            <v>M.PT.0001936</v>
          </cell>
        </row>
        <row r="5805">
          <cell r="A5805" t="str">
            <v>M.PT.0001937</v>
          </cell>
        </row>
        <row r="5806">
          <cell r="A5806" t="str">
            <v>M.PT.0001938</v>
          </cell>
        </row>
        <row r="5807">
          <cell r="A5807" t="str">
            <v>M.PT.0001939</v>
          </cell>
        </row>
        <row r="5808">
          <cell r="A5808" t="str">
            <v>M.PT.0001940</v>
          </cell>
        </row>
        <row r="5809">
          <cell r="A5809" t="str">
            <v>M.PT.0001941</v>
          </cell>
        </row>
        <row r="5810">
          <cell r="A5810" t="str">
            <v>M.PT.0001942</v>
          </cell>
        </row>
        <row r="5811">
          <cell r="A5811" t="str">
            <v>M.PT.0001943</v>
          </cell>
        </row>
        <row r="5812">
          <cell r="A5812" t="str">
            <v>M.PT.0001944</v>
          </cell>
        </row>
        <row r="5813">
          <cell r="A5813" t="str">
            <v>M.PT.0001945</v>
          </cell>
        </row>
        <row r="5814">
          <cell r="A5814" t="str">
            <v>M.PT.0001946</v>
          </cell>
        </row>
        <row r="5815">
          <cell r="A5815" t="str">
            <v>M.PT.0001947</v>
          </cell>
        </row>
        <row r="5816">
          <cell r="A5816" t="str">
            <v>M.PT.0001948</v>
          </cell>
        </row>
        <row r="5817">
          <cell r="A5817" t="str">
            <v>M.PT.0001949</v>
          </cell>
        </row>
        <row r="5818">
          <cell r="A5818" t="str">
            <v>M.PT.0001950</v>
          </cell>
        </row>
        <row r="5819">
          <cell r="A5819" t="str">
            <v>M.PT.0001951</v>
          </cell>
        </row>
        <row r="5820">
          <cell r="A5820" t="str">
            <v>M.PT.0001952</v>
          </cell>
        </row>
        <row r="5821">
          <cell r="A5821" t="str">
            <v>M.PT.0001953</v>
          </cell>
        </row>
        <row r="5822">
          <cell r="A5822" t="str">
            <v>M.PT.0001954</v>
          </cell>
        </row>
        <row r="5823">
          <cell r="A5823" t="str">
            <v>M.PT.0001955</v>
          </cell>
        </row>
        <row r="5824">
          <cell r="A5824" t="str">
            <v>M.PT.0001956</v>
          </cell>
        </row>
        <row r="5825">
          <cell r="A5825" t="str">
            <v>M.PT.0001957</v>
          </cell>
        </row>
        <row r="5826">
          <cell r="A5826" t="str">
            <v>M.PT.0001958</v>
          </cell>
        </row>
        <row r="5827">
          <cell r="A5827" t="str">
            <v>M.PT.0001959</v>
          </cell>
        </row>
        <row r="5828">
          <cell r="A5828" t="str">
            <v>M.PT.0001960</v>
          </cell>
        </row>
        <row r="5829">
          <cell r="A5829" t="str">
            <v>M.PT.0001961</v>
          </cell>
        </row>
        <row r="5830">
          <cell r="A5830" t="str">
            <v>M.PT.0001962</v>
          </cell>
        </row>
        <row r="5831">
          <cell r="A5831" t="str">
            <v>M.PT.0001963</v>
          </cell>
        </row>
        <row r="5832">
          <cell r="A5832" t="str">
            <v>M.PT.0001964</v>
          </cell>
        </row>
        <row r="5833">
          <cell r="A5833" t="str">
            <v>M.PT.0001965</v>
          </cell>
        </row>
        <row r="5834">
          <cell r="A5834" t="str">
            <v>M.PT.0001966</v>
          </cell>
        </row>
        <row r="5835">
          <cell r="A5835" t="str">
            <v>M.PT.0001967</v>
          </cell>
        </row>
        <row r="5836">
          <cell r="A5836" t="str">
            <v>M.PT.0001968</v>
          </cell>
        </row>
        <row r="5837">
          <cell r="A5837" t="str">
            <v>M.PT.0001969</v>
          </cell>
        </row>
        <row r="5838">
          <cell r="A5838" t="str">
            <v>M.PT.0001970</v>
          </cell>
        </row>
        <row r="5839">
          <cell r="A5839" t="str">
            <v>M.PT.0001971</v>
          </cell>
        </row>
        <row r="5840">
          <cell r="A5840" t="str">
            <v>M.PT.0001972</v>
          </cell>
        </row>
        <row r="5841">
          <cell r="A5841" t="str">
            <v>M.PT.0001973</v>
          </cell>
        </row>
        <row r="5842">
          <cell r="A5842" t="str">
            <v>M.PT.0001974</v>
          </cell>
        </row>
        <row r="5843">
          <cell r="A5843" t="str">
            <v>M.PT.0001975</v>
          </cell>
        </row>
        <row r="5844">
          <cell r="A5844" t="str">
            <v>M.PT.0001976</v>
          </cell>
        </row>
        <row r="5845">
          <cell r="A5845" t="str">
            <v>M.PT.0001977</v>
          </cell>
        </row>
        <row r="5846">
          <cell r="A5846" t="str">
            <v>M.PT.0001978</v>
          </cell>
        </row>
        <row r="5847">
          <cell r="A5847" t="str">
            <v>M.PT.0001979</v>
          </cell>
        </row>
        <row r="5848">
          <cell r="A5848" t="str">
            <v>M.PT.0001980</v>
          </cell>
        </row>
        <row r="5849">
          <cell r="A5849" t="str">
            <v>M.PT.0001981</v>
          </cell>
        </row>
        <row r="5850">
          <cell r="A5850" t="str">
            <v>M.PT.0001982</v>
          </cell>
        </row>
        <row r="5851">
          <cell r="A5851" t="str">
            <v>M.PT.0001983</v>
          </cell>
        </row>
        <row r="5852">
          <cell r="A5852" t="str">
            <v>M.PT.0001984</v>
          </cell>
        </row>
        <row r="5853">
          <cell r="A5853" t="str">
            <v>M.PT.0001985</v>
          </cell>
        </row>
        <row r="5854">
          <cell r="A5854" t="str">
            <v>M.PT.0001986</v>
          </cell>
        </row>
        <row r="5855">
          <cell r="A5855" t="str">
            <v>M.PT.0001987</v>
          </cell>
        </row>
        <row r="5856">
          <cell r="A5856" t="str">
            <v>M.PT.0001988</v>
          </cell>
        </row>
        <row r="5857">
          <cell r="A5857" t="str">
            <v>M.PT.0001989</v>
          </cell>
        </row>
        <row r="5858">
          <cell r="A5858" t="str">
            <v>M.PT.0001990</v>
          </cell>
        </row>
        <row r="5859">
          <cell r="A5859" t="str">
            <v>M.PT.0001991</v>
          </cell>
        </row>
        <row r="5860">
          <cell r="A5860" t="str">
            <v>M.PT.0001992</v>
          </cell>
        </row>
        <row r="5861">
          <cell r="A5861" t="str">
            <v>M.PT.0001993</v>
          </cell>
        </row>
        <row r="5862">
          <cell r="A5862" t="str">
            <v>M.PT.0001994</v>
          </cell>
        </row>
        <row r="5863">
          <cell r="A5863" t="str">
            <v>M.PT.0001995</v>
          </cell>
        </row>
        <row r="5864">
          <cell r="A5864" t="str">
            <v>M.PT.0001996</v>
          </cell>
        </row>
        <row r="5865">
          <cell r="A5865" t="str">
            <v>M.PT.0001997</v>
          </cell>
        </row>
        <row r="5866">
          <cell r="A5866" t="str">
            <v>M.PT.0001998</v>
          </cell>
        </row>
        <row r="5867">
          <cell r="A5867" t="str">
            <v>M.PT.0001999</v>
          </cell>
        </row>
        <row r="5868">
          <cell r="A5868" t="str">
            <v>M.PT.0002000</v>
          </cell>
        </row>
        <row r="5869">
          <cell r="A5869" t="str">
            <v>M.PT.0002001</v>
          </cell>
        </row>
        <row r="5870">
          <cell r="A5870" t="str">
            <v>M.PT.0002002</v>
          </cell>
        </row>
        <row r="5871">
          <cell r="A5871" t="str">
            <v>M.PT.0002003</v>
          </cell>
        </row>
        <row r="5872">
          <cell r="A5872" t="str">
            <v>M.PT.0002004</v>
          </cell>
        </row>
        <row r="5873">
          <cell r="A5873" t="str">
            <v>M.PT.0002005</v>
          </cell>
        </row>
        <row r="5874">
          <cell r="A5874" t="str">
            <v>M.PT.0002006</v>
          </cell>
        </row>
        <row r="5875">
          <cell r="A5875" t="str">
            <v>M.PT.0002007</v>
          </cell>
        </row>
        <row r="5876">
          <cell r="A5876" t="str">
            <v>M.PT.0002008</v>
          </cell>
        </row>
        <row r="5877">
          <cell r="A5877" t="str">
            <v>M.PT.0002009</v>
          </cell>
        </row>
        <row r="5878">
          <cell r="A5878" t="str">
            <v>M.PT.0002010</v>
          </cell>
        </row>
        <row r="5879">
          <cell r="A5879" t="str">
            <v>M.PT.0002011</v>
          </cell>
        </row>
        <row r="5880">
          <cell r="A5880" t="str">
            <v>M.PT.0002012</v>
          </cell>
        </row>
        <row r="5881">
          <cell r="A5881" t="str">
            <v>M.PT.0002013</v>
          </cell>
        </row>
        <row r="5882">
          <cell r="A5882" t="str">
            <v>M.PT.0002014</v>
          </cell>
        </row>
        <row r="5883">
          <cell r="A5883" t="str">
            <v>M.PT.0002015</v>
          </cell>
        </row>
        <row r="5884">
          <cell r="A5884" t="str">
            <v>M.PT.0002016</v>
          </cell>
        </row>
        <row r="5885">
          <cell r="A5885" t="str">
            <v>M.PT.0002017</v>
          </cell>
        </row>
        <row r="5886">
          <cell r="A5886" t="str">
            <v>M.PT.0002018</v>
          </cell>
        </row>
        <row r="5887">
          <cell r="A5887" t="str">
            <v>M.PT.0002019</v>
          </cell>
        </row>
        <row r="5888">
          <cell r="A5888" t="str">
            <v>M.PT.0002020</v>
          </cell>
        </row>
        <row r="5889">
          <cell r="A5889" t="str">
            <v>M.PT.0002021</v>
          </cell>
        </row>
        <row r="5890">
          <cell r="A5890" t="str">
            <v>M.PT.0002022</v>
          </cell>
        </row>
        <row r="5891">
          <cell r="A5891" t="str">
            <v>M.PT.0002023</v>
          </cell>
        </row>
        <row r="5892">
          <cell r="A5892" t="str">
            <v>M.PT.0002024</v>
          </cell>
        </row>
        <row r="5893">
          <cell r="A5893" t="str">
            <v>M.PT.0002025</v>
          </cell>
        </row>
        <row r="5894">
          <cell r="A5894" t="str">
            <v>M.PT.0002026</v>
          </cell>
        </row>
        <row r="5895">
          <cell r="A5895" t="str">
            <v>M.PT.0002027</v>
          </cell>
        </row>
        <row r="5896">
          <cell r="A5896" t="str">
            <v>M.PT.0002028</v>
          </cell>
        </row>
        <row r="5897">
          <cell r="A5897" t="str">
            <v>M.PT.0002029</v>
          </cell>
        </row>
        <row r="5898">
          <cell r="A5898" t="str">
            <v>M.PT.0002030</v>
          </cell>
        </row>
        <row r="5899">
          <cell r="A5899" t="str">
            <v>M.PT.0002031</v>
          </cell>
        </row>
        <row r="5900">
          <cell r="A5900" t="str">
            <v>M.PT.0002032</v>
          </cell>
        </row>
        <row r="5901">
          <cell r="A5901" t="str">
            <v>M.PT.0002033</v>
          </cell>
        </row>
        <row r="5902">
          <cell r="A5902" t="str">
            <v>M.PT.0002034</v>
          </cell>
        </row>
        <row r="5903">
          <cell r="A5903" t="str">
            <v>M.PT.0002035</v>
          </cell>
        </row>
        <row r="5904">
          <cell r="A5904" t="str">
            <v>M.PT.0002036</v>
          </cell>
        </row>
        <row r="5905">
          <cell r="A5905" t="str">
            <v>M.PT.0002037</v>
          </cell>
        </row>
        <row r="5906">
          <cell r="A5906" t="str">
            <v>M.PT.0002038</v>
          </cell>
        </row>
        <row r="5907">
          <cell r="A5907" t="str">
            <v>M.PT.0002039</v>
          </cell>
        </row>
        <row r="5908">
          <cell r="A5908" t="str">
            <v>M.PT.0002040</v>
          </cell>
        </row>
        <row r="5909">
          <cell r="A5909" t="str">
            <v>M.PT.0002041</v>
          </cell>
        </row>
        <row r="5910">
          <cell r="A5910" t="str">
            <v>M.PT.0002042</v>
          </cell>
        </row>
        <row r="5911">
          <cell r="A5911" t="str">
            <v>M.PT.0002043</v>
          </cell>
        </row>
        <row r="5912">
          <cell r="A5912" t="str">
            <v>M.PT.0002044</v>
          </cell>
        </row>
        <row r="5913">
          <cell r="A5913" t="str">
            <v>M.PT.0002045</v>
          </cell>
        </row>
        <row r="5914">
          <cell r="A5914" t="str">
            <v>M.PT.0002046</v>
          </cell>
        </row>
        <row r="5915">
          <cell r="A5915" t="str">
            <v>M.PT.0002047</v>
          </cell>
        </row>
        <row r="5916">
          <cell r="A5916" t="str">
            <v>M.PT.0002048</v>
          </cell>
        </row>
        <row r="5917">
          <cell r="A5917" t="str">
            <v>M.PT.0002049</v>
          </cell>
        </row>
        <row r="5918">
          <cell r="A5918" t="str">
            <v>M.PT.0002050</v>
          </cell>
        </row>
        <row r="5919">
          <cell r="A5919" t="str">
            <v>M.PT.0002051</v>
          </cell>
        </row>
        <row r="5920">
          <cell r="A5920" t="str">
            <v>M.PT.0002052</v>
          </cell>
        </row>
        <row r="5921">
          <cell r="A5921" t="str">
            <v>M.PT.0002053</v>
          </cell>
        </row>
        <row r="5922">
          <cell r="A5922" t="str">
            <v>M.PT.0002054</v>
          </cell>
        </row>
        <row r="5923">
          <cell r="A5923" t="str">
            <v>M.PT.0002055</v>
          </cell>
        </row>
        <row r="5924">
          <cell r="A5924" t="str">
            <v>M.PT.0002056</v>
          </cell>
        </row>
        <row r="5925">
          <cell r="A5925" t="str">
            <v>M.PT.0002057</v>
          </cell>
        </row>
        <row r="5926">
          <cell r="A5926" t="str">
            <v>M.PT.0002058</v>
          </cell>
        </row>
        <row r="5927">
          <cell r="A5927" t="str">
            <v>M.PT.0002059</v>
          </cell>
        </row>
        <row r="5928">
          <cell r="A5928" t="str">
            <v>M.PT.0002060</v>
          </cell>
        </row>
        <row r="5929">
          <cell r="A5929" t="str">
            <v>M.PT.0002061</v>
          </cell>
        </row>
        <row r="5930">
          <cell r="A5930" t="str">
            <v>M.PT.0002062</v>
          </cell>
        </row>
        <row r="5931">
          <cell r="A5931" t="str">
            <v>M.PT.0002063</v>
          </cell>
        </row>
        <row r="5932">
          <cell r="A5932" t="str">
            <v>M.PT.0002064</v>
          </cell>
        </row>
        <row r="5933">
          <cell r="A5933" t="str">
            <v>M.PT.0002065</v>
          </cell>
        </row>
        <row r="5934">
          <cell r="A5934" t="str">
            <v>M.PT.0002066</v>
          </cell>
        </row>
        <row r="5935">
          <cell r="A5935" t="str">
            <v>M.PT.0002067</v>
          </cell>
        </row>
        <row r="5936">
          <cell r="A5936" t="str">
            <v>M.PT.0002068</v>
          </cell>
        </row>
        <row r="5937">
          <cell r="A5937" t="str">
            <v>M.PT.0002069</v>
          </cell>
        </row>
        <row r="5938">
          <cell r="A5938" t="str">
            <v>M.PT.0002070</v>
          </cell>
        </row>
        <row r="5939">
          <cell r="A5939" t="str">
            <v>M.PT.0002071</v>
          </cell>
        </row>
        <row r="5940">
          <cell r="A5940" t="str">
            <v>M.PT.0002072</v>
          </cell>
        </row>
        <row r="5941">
          <cell r="A5941" t="str">
            <v>M.PT.0002073</v>
          </cell>
        </row>
        <row r="5942">
          <cell r="A5942" t="str">
            <v>M.PT.0002074</v>
          </cell>
        </row>
        <row r="5943">
          <cell r="A5943" t="str">
            <v>M.PT.0002075</v>
          </cell>
        </row>
        <row r="5944">
          <cell r="A5944" t="str">
            <v>M.PT.0002076</v>
          </cell>
        </row>
        <row r="5945">
          <cell r="A5945" t="str">
            <v>M.PT.0002077</v>
          </cell>
        </row>
        <row r="5946">
          <cell r="A5946" t="str">
            <v>M.PT.0002078</v>
          </cell>
        </row>
        <row r="5947">
          <cell r="A5947" t="str">
            <v>M.PT.0002079</v>
          </cell>
        </row>
        <row r="5948">
          <cell r="A5948" t="str">
            <v>M.PT.0002080</v>
          </cell>
        </row>
        <row r="5949">
          <cell r="A5949" t="str">
            <v>M.PT.0002081</v>
          </cell>
        </row>
        <row r="5950">
          <cell r="A5950" t="str">
            <v>M.PT.0002082</v>
          </cell>
        </row>
        <row r="5951">
          <cell r="A5951" t="str">
            <v>M.PT.0002083</v>
          </cell>
        </row>
        <row r="5952">
          <cell r="A5952" t="str">
            <v>M.PT.0002084</v>
          </cell>
        </row>
        <row r="5953">
          <cell r="A5953" t="str">
            <v>M.PT.0002085</v>
          </cell>
        </row>
        <row r="5954">
          <cell r="A5954" t="str">
            <v>M.PT.0002086</v>
          </cell>
        </row>
        <row r="5955">
          <cell r="A5955" t="str">
            <v>M.PT.0002087</v>
          </cell>
        </row>
        <row r="5956">
          <cell r="A5956" t="str">
            <v>M.PT.0002088</v>
          </cell>
        </row>
        <row r="5957">
          <cell r="A5957" t="str">
            <v>M.PT.0002089</v>
          </cell>
        </row>
        <row r="5958">
          <cell r="A5958" t="str">
            <v>M.PT.0002090</v>
          </cell>
        </row>
        <row r="5959">
          <cell r="A5959" t="str">
            <v>M.PT.0002091</v>
          </cell>
        </row>
        <row r="5960">
          <cell r="A5960" t="str">
            <v>M.PT.0002092</v>
          </cell>
        </row>
        <row r="5961">
          <cell r="A5961" t="str">
            <v>M.PT.0002093</v>
          </cell>
        </row>
        <row r="5962">
          <cell r="A5962" t="str">
            <v>M.PT.0002094</v>
          </cell>
        </row>
        <row r="5963">
          <cell r="A5963" t="str">
            <v>M.PT.0002095</v>
          </cell>
        </row>
        <row r="5964">
          <cell r="A5964" t="str">
            <v>M.PT.0002096</v>
          </cell>
        </row>
        <row r="5965">
          <cell r="A5965" t="str">
            <v>M.PT.0002097</v>
          </cell>
        </row>
        <row r="5966">
          <cell r="A5966" t="str">
            <v>M.PT.0002098</v>
          </cell>
        </row>
        <row r="5967">
          <cell r="A5967" t="str">
            <v>M.PT.0002099</v>
          </cell>
        </row>
        <row r="5968">
          <cell r="A5968" t="str">
            <v>M.PT.0002100</v>
          </cell>
        </row>
        <row r="5969">
          <cell r="A5969" t="str">
            <v>M.PT.0002101</v>
          </cell>
        </row>
        <row r="5970">
          <cell r="A5970" t="str">
            <v>M.PT.0002102</v>
          </cell>
        </row>
        <row r="5971">
          <cell r="A5971" t="str">
            <v>M.PT.0002103</v>
          </cell>
        </row>
        <row r="5972">
          <cell r="A5972" t="str">
            <v>M.PT.0002104</v>
          </cell>
        </row>
        <row r="5973">
          <cell r="A5973" t="str">
            <v>M.PT.0002105</v>
          </cell>
        </row>
        <row r="5974">
          <cell r="A5974" t="str">
            <v>M.PT.0002106</v>
          </cell>
        </row>
        <row r="5975">
          <cell r="A5975" t="str">
            <v>M.PT.0002107</v>
          </cell>
        </row>
        <row r="5976">
          <cell r="A5976" t="str">
            <v>M.PT.0002108</v>
          </cell>
        </row>
        <row r="5977">
          <cell r="A5977" t="str">
            <v>M.PT.0002109</v>
          </cell>
        </row>
        <row r="5978">
          <cell r="A5978" t="str">
            <v>M.PT.0002110</v>
          </cell>
        </row>
        <row r="5979">
          <cell r="A5979" t="str">
            <v>M.PT.0002111</v>
          </cell>
        </row>
        <row r="5980">
          <cell r="A5980" t="str">
            <v>M.PT.0002112</v>
          </cell>
        </row>
        <row r="5981">
          <cell r="A5981" t="str">
            <v>M.PT.0002113</v>
          </cell>
        </row>
        <row r="5982">
          <cell r="A5982" t="str">
            <v>M.PT.0002114</v>
          </cell>
        </row>
        <row r="5983">
          <cell r="A5983" t="str">
            <v>M.PT.0002115</v>
          </cell>
        </row>
        <row r="5984">
          <cell r="A5984" t="str">
            <v>M.PT.0002116</v>
          </cell>
        </row>
        <row r="5985">
          <cell r="A5985" t="str">
            <v>M.PT.0002117</v>
          </cell>
        </row>
        <row r="5986">
          <cell r="A5986" t="str">
            <v>M.PT.0002118</v>
          </cell>
        </row>
        <row r="5987">
          <cell r="A5987" t="str">
            <v>M.PT.0002119</v>
          </cell>
        </row>
        <row r="5988">
          <cell r="A5988" t="str">
            <v>M.PT.0002120</v>
          </cell>
        </row>
        <row r="5989">
          <cell r="A5989" t="str">
            <v>M.PT.0002121</v>
          </cell>
        </row>
        <row r="5990">
          <cell r="A5990" t="str">
            <v>M.PT.0002122</v>
          </cell>
        </row>
        <row r="5991">
          <cell r="A5991" t="str">
            <v>M.PT.0002123</v>
          </cell>
        </row>
        <row r="5992">
          <cell r="A5992" t="str">
            <v>M.PT.0002124</v>
          </cell>
        </row>
        <row r="5993">
          <cell r="A5993" t="str">
            <v>M.PT.0002125</v>
          </cell>
        </row>
        <row r="5994">
          <cell r="A5994" t="str">
            <v>M.PT.0002126</v>
          </cell>
        </row>
        <row r="5995">
          <cell r="A5995" t="str">
            <v>M.PT.0002127</v>
          </cell>
        </row>
        <row r="5996">
          <cell r="A5996" t="str">
            <v>M.PT.0002128</v>
          </cell>
        </row>
        <row r="5997">
          <cell r="A5997" t="str">
            <v>M.PT.0002129</v>
          </cell>
        </row>
        <row r="5998">
          <cell r="A5998" t="str">
            <v>M.PT.0002130</v>
          </cell>
        </row>
        <row r="5999">
          <cell r="A5999" t="str">
            <v>M.PT.0002131</v>
          </cell>
        </row>
        <row r="6000">
          <cell r="A6000" t="str">
            <v>M.PT.0002132</v>
          </cell>
        </row>
        <row r="6001">
          <cell r="A6001" t="str">
            <v>M.PT.0002133</v>
          </cell>
        </row>
        <row r="6002">
          <cell r="A6002" t="str">
            <v>M.PT.0002134</v>
          </cell>
        </row>
        <row r="6003">
          <cell r="A6003" t="str">
            <v>M.PT.0002135</v>
          </cell>
        </row>
        <row r="6004">
          <cell r="A6004" t="str">
            <v>M.PT.0002136</v>
          </cell>
        </row>
        <row r="6005">
          <cell r="A6005" t="str">
            <v>M.PT.0002137</v>
          </cell>
        </row>
        <row r="6006">
          <cell r="A6006" t="str">
            <v>M.PT.0002138</v>
          </cell>
        </row>
        <row r="6007">
          <cell r="A6007" t="str">
            <v>M.PT.0002139</v>
          </cell>
        </row>
        <row r="6008">
          <cell r="A6008" t="str">
            <v>M.PT.0002140</v>
          </cell>
        </row>
        <row r="6009">
          <cell r="A6009" t="str">
            <v>M.PT.0002141</v>
          </cell>
        </row>
        <row r="6010">
          <cell r="A6010" t="str">
            <v>M.PT.0002142</v>
          </cell>
        </row>
        <row r="6011">
          <cell r="A6011" t="str">
            <v>M.PT.0002143</v>
          </cell>
        </row>
        <row r="6012">
          <cell r="A6012" t="str">
            <v>M.PT.0002144</v>
          </cell>
        </row>
        <row r="6013">
          <cell r="A6013" t="str">
            <v>M.PT.0002145</v>
          </cell>
        </row>
        <row r="6014">
          <cell r="A6014" t="str">
            <v>M.PT.0002146</v>
          </cell>
        </row>
        <row r="6015">
          <cell r="A6015" t="str">
            <v>M.PT.0002147</v>
          </cell>
        </row>
        <row r="6016">
          <cell r="A6016" t="str">
            <v>M.PT.0002148</v>
          </cell>
        </row>
        <row r="6017">
          <cell r="A6017" t="str">
            <v>M.PT.0002149</v>
          </cell>
        </row>
        <row r="6018">
          <cell r="A6018" t="str">
            <v>M.PT.0002150</v>
          </cell>
        </row>
        <row r="6019">
          <cell r="A6019" t="str">
            <v>M.PT.0002151</v>
          </cell>
        </row>
        <row r="6020">
          <cell r="A6020" t="str">
            <v>M.PT.0002152</v>
          </cell>
        </row>
        <row r="6021">
          <cell r="A6021" t="str">
            <v>M.PT.0002153</v>
          </cell>
        </row>
        <row r="6022">
          <cell r="A6022" t="str">
            <v>M.PT.0002154</v>
          </cell>
        </row>
        <row r="6023">
          <cell r="A6023" t="str">
            <v>M.PT.0002155</v>
          </cell>
        </row>
        <row r="6024">
          <cell r="A6024" t="str">
            <v>M.PT.0002156</v>
          </cell>
        </row>
        <row r="6025">
          <cell r="A6025" t="str">
            <v>M.PT.0002157</v>
          </cell>
        </row>
        <row r="6026">
          <cell r="A6026" t="str">
            <v>M.PT.0002158</v>
          </cell>
        </row>
        <row r="6027">
          <cell r="A6027" t="str">
            <v>M.PT.0002159</v>
          </cell>
        </row>
        <row r="6028">
          <cell r="A6028" t="str">
            <v>M.PT.0002160</v>
          </cell>
        </row>
        <row r="6029">
          <cell r="A6029" t="str">
            <v>M.PT.0002161</v>
          </cell>
        </row>
        <row r="6030">
          <cell r="A6030" t="str">
            <v>M.PT.0002162</v>
          </cell>
        </row>
        <row r="6031">
          <cell r="A6031" t="str">
            <v>M.PT.0002163</v>
          </cell>
        </row>
        <row r="6032">
          <cell r="A6032" t="str">
            <v>M.PT.0002164</v>
          </cell>
        </row>
        <row r="6033">
          <cell r="A6033" t="str">
            <v>M.PT.0002165</v>
          </cell>
        </row>
        <row r="6034">
          <cell r="A6034" t="str">
            <v>M.PT.0002166</v>
          </cell>
        </row>
        <row r="6035">
          <cell r="A6035" t="str">
            <v>M.PT.0002167</v>
          </cell>
        </row>
        <row r="6036">
          <cell r="A6036" t="str">
            <v>M.PT.0002168</v>
          </cell>
        </row>
        <row r="6037">
          <cell r="A6037" t="str">
            <v>M.PT.0002169</v>
          </cell>
        </row>
        <row r="6038">
          <cell r="A6038" t="str">
            <v>M.PT.0002170</v>
          </cell>
        </row>
        <row r="6039">
          <cell r="A6039" t="str">
            <v>M.PT.0002171</v>
          </cell>
        </row>
        <row r="6040">
          <cell r="A6040" t="str">
            <v>M.PT.0002172</v>
          </cell>
        </row>
        <row r="6041">
          <cell r="A6041" t="str">
            <v>M.PT.0002173</v>
          </cell>
        </row>
        <row r="6042">
          <cell r="A6042" t="str">
            <v>M.PT.0002174</v>
          </cell>
        </row>
        <row r="6043">
          <cell r="A6043" t="str">
            <v>M.PT.0002175</v>
          </cell>
        </row>
        <row r="6044">
          <cell r="A6044" t="str">
            <v>M.PT.0002176</v>
          </cell>
        </row>
        <row r="6045">
          <cell r="A6045" t="str">
            <v>M.PT.0002177</v>
          </cell>
        </row>
        <row r="6046">
          <cell r="A6046" t="str">
            <v>M.PT.0002178</v>
          </cell>
        </row>
        <row r="6047">
          <cell r="A6047" t="str">
            <v>M.PT.0002179</v>
          </cell>
        </row>
        <row r="6048">
          <cell r="A6048" t="str">
            <v>M.PT.0002180</v>
          </cell>
        </row>
        <row r="6049">
          <cell r="A6049" t="str">
            <v>M.PT.0002181</v>
          </cell>
        </row>
        <row r="6050">
          <cell r="A6050" t="str">
            <v>M.PT.0002182</v>
          </cell>
        </row>
        <row r="6051">
          <cell r="A6051" t="str">
            <v>M.PT.0002183</v>
          </cell>
        </row>
        <row r="6052">
          <cell r="A6052" t="str">
            <v>M.PT.0002184</v>
          </cell>
        </row>
        <row r="6053">
          <cell r="A6053" t="str">
            <v>M.PT.0002185</v>
          </cell>
        </row>
        <row r="6054">
          <cell r="A6054" t="str">
            <v>M.PT.0002186</v>
          </cell>
        </row>
        <row r="6055">
          <cell r="A6055" t="str">
            <v>M.PT.0002187</v>
          </cell>
        </row>
        <row r="6056">
          <cell r="A6056" t="str">
            <v>M.PT.0002188</v>
          </cell>
        </row>
        <row r="6057">
          <cell r="A6057" t="str">
            <v>M.PT.0002189</v>
          </cell>
        </row>
        <row r="6058">
          <cell r="A6058" t="str">
            <v>M.PT.0002190</v>
          </cell>
        </row>
        <row r="6059">
          <cell r="A6059" t="str">
            <v>M.PT.0002191</v>
          </cell>
        </row>
        <row r="6060">
          <cell r="A6060" t="str">
            <v>M.PT.0002192</v>
          </cell>
        </row>
        <row r="6061">
          <cell r="A6061" t="str">
            <v>M.PT.0002193</v>
          </cell>
        </row>
        <row r="6062">
          <cell r="A6062" t="str">
            <v>M.PT.0002194</v>
          </cell>
        </row>
        <row r="6063">
          <cell r="A6063" t="str">
            <v>M.PT.0002195</v>
          </cell>
        </row>
        <row r="6064">
          <cell r="A6064" t="str">
            <v>M.PT.0002196</v>
          </cell>
        </row>
        <row r="6065">
          <cell r="A6065" t="str">
            <v>M.PT.0002197</v>
          </cell>
        </row>
        <row r="6066">
          <cell r="A6066" t="str">
            <v>M.PT.0002198</v>
          </cell>
        </row>
        <row r="6067">
          <cell r="A6067" t="str">
            <v>M.PT.0002199</v>
          </cell>
        </row>
        <row r="6068">
          <cell r="A6068" t="str">
            <v>M.PT.0002200</v>
          </cell>
        </row>
        <row r="6069">
          <cell r="A6069" t="str">
            <v>M.PT.0002201</v>
          </cell>
        </row>
        <row r="6070">
          <cell r="A6070" t="str">
            <v>M.PT.0002202</v>
          </cell>
        </row>
        <row r="6071">
          <cell r="A6071" t="str">
            <v>M.PT.0002203</v>
          </cell>
        </row>
        <row r="6072">
          <cell r="A6072" t="str">
            <v>M.PT.0002204</v>
          </cell>
        </row>
        <row r="6073">
          <cell r="A6073" t="str">
            <v>M.PT.0002205</v>
          </cell>
        </row>
        <row r="6074">
          <cell r="A6074" t="str">
            <v>M.PT.0002206</v>
          </cell>
        </row>
        <row r="6075">
          <cell r="A6075" t="str">
            <v>M.PT.0002207</v>
          </cell>
        </row>
        <row r="6076">
          <cell r="A6076" t="str">
            <v>M.PT.0002208</v>
          </cell>
        </row>
        <row r="6077">
          <cell r="A6077" t="str">
            <v>M.PT.0002209</v>
          </cell>
        </row>
        <row r="6078">
          <cell r="A6078" t="str">
            <v>M.PT.0002210</v>
          </cell>
        </row>
        <row r="6079">
          <cell r="A6079" t="str">
            <v>M.PT.0002211</v>
          </cell>
        </row>
        <row r="6080">
          <cell r="A6080" t="str">
            <v>M.PT.0002212</v>
          </cell>
        </row>
        <row r="6081">
          <cell r="A6081" t="str">
            <v>M.PT.0002213</v>
          </cell>
        </row>
        <row r="6082">
          <cell r="A6082" t="str">
            <v>M.PT.0002214</v>
          </cell>
        </row>
        <row r="6083">
          <cell r="A6083" t="str">
            <v>M.PT.0002215</v>
          </cell>
        </row>
        <row r="6084">
          <cell r="A6084" t="str">
            <v>M.PT.0002216</v>
          </cell>
        </row>
        <row r="6085">
          <cell r="A6085" t="str">
            <v>M.PT.0002217</v>
          </cell>
        </row>
        <row r="6086">
          <cell r="A6086" t="str">
            <v>M.PT.0002218</v>
          </cell>
        </row>
        <row r="6087">
          <cell r="A6087" t="str">
            <v>M.PT.0002219</v>
          </cell>
        </row>
        <row r="6088">
          <cell r="A6088" t="str">
            <v>M.PT.0002220</v>
          </cell>
        </row>
        <row r="6089">
          <cell r="A6089" t="str">
            <v>M.PT.0002221</v>
          </cell>
        </row>
        <row r="6090">
          <cell r="A6090" t="str">
            <v>M.PT.0002222</v>
          </cell>
        </row>
        <row r="6091">
          <cell r="A6091" t="str">
            <v>M.PT.0002223</v>
          </cell>
        </row>
        <row r="6092">
          <cell r="A6092" t="str">
            <v>M.PT.0002224</v>
          </cell>
        </row>
        <row r="6093">
          <cell r="A6093" t="str">
            <v>M.PT.0002225</v>
          </cell>
        </row>
        <row r="6094">
          <cell r="A6094" t="str">
            <v>M.PT.0002226</v>
          </cell>
        </row>
        <row r="6095">
          <cell r="A6095" t="str">
            <v>M.PT.0002227</v>
          </cell>
        </row>
        <row r="6096">
          <cell r="A6096" t="str">
            <v>M.PT.0002228</v>
          </cell>
        </row>
        <row r="6097">
          <cell r="A6097" t="str">
            <v>M.PT.0002229</v>
          </cell>
        </row>
        <row r="6098">
          <cell r="A6098" t="str">
            <v>M.PT.0002230</v>
          </cell>
        </row>
        <row r="6099">
          <cell r="A6099" t="str">
            <v>M.PT.0002231</v>
          </cell>
        </row>
        <row r="6100">
          <cell r="A6100" t="str">
            <v>M.PT.0002232</v>
          </cell>
        </row>
        <row r="6101">
          <cell r="A6101" t="str">
            <v>M.PT.0002233</v>
          </cell>
        </row>
        <row r="6102">
          <cell r="A6102" t="str">
            <v>M.PT.0002234</v>
          </cell>
        </row>
        <row r="6103">
          <cell r="A6103" t="str">
            <v>M.PT.0002235</v>
          </cell>
        </row>
        <row r="6104">
          <cell r="A6104" t="str">
            <v>M.PT.0002236</v>
          </cell>
        </row>
        <row r="6105">
          <cell r="A6105" t="str">
            <v>M.PT.0002237</v>
          </cell>
        </row>
        <row r="6106">
          <cell r="A6106" t="str">
            <v>M.PT.0002238</v>
          </cell>
        </row>
        <row r="6107">
          <cell r="A6107" t="str">
            <v>M.PT.0002239</v>
          </cell>
        </row>
        <row r="6108">
          <cell r="A6108" t="str">
            <v>M.PT.0002240</v>
          </cell>
        </row>
        <row r="6109">
          <cell r="A6109" t="str">
            <v>M.PT.0002241</v>
          </cell>
        </row>
        <row r="6110">
          <cell r="A6110" t="str">
            <v>M.PT.0002242</v>
          </cell>
        </row>
        <row r="6111">
          <cell r="A6111" t="str">
            <v>M.PT.0002243</v>
          </cell>
        </row>
        <row r="6112">
          <cell r="A6112" t="str">
            <v>M.PT.0002244</v>
          </cell>
        </row>
        <row r="6113">
          <cell r="A6113" t="str">
            <v>M.PT.0002245</v>
          </cell>
        </row>
        <row r="6114">
          <cell r="A6114" t="str">
            <v>M.PT.0002246</v>
          </cell>
        </row>
        <row r="6115">
          <cell r="A6115" t="str">
            <v>M.PT.0002247</v>
          </cell>
        </row>
        <row r="6116">
          <cell r="A6116" t="str">
            <v>M.PT.0002248</v>
          </cell>
        </row>
        <row r="6117">
          <cell r="A6117" t="str">
            <v>M.PT.0002249</v>
          </cell>
        </row>
        <row r="6118">
          <cell r="A6118" t="str">
            <v>M.PT.0002250</v>
          </cell>
        </row>
        <row r="6119">
          <cell r="A6119" t="str">
            <v>M.PT.0002251</v>
          </cell>
        </row>
        <row r="6120">
          <cell r="A6120" t="str">
            <v>M.PT.0002252</v>
          </cell>
        </row>
        <row r="6121">
          <cell r="A6121" t="str">
            <v>M.PT.0002253</v>
          </cell>
        </row>
        <row r="6122">
          <cell r="A6122" t="str">
            <v>M.PT.0002254</v>
          </cell>
        </row>
        <row r="6123">
          <cell r="A6123" t="str">
            <v>M.PT.0002255</v>
          </cell>
        </row>
        <row r="6124">
          <cell r="A6124" t="str">
            <v>M.PT.0002256</v>
          </cell>
        </row>
        <row r="6125">
          <cell r="A6125" t="str">
            <v>M.PT.0002257</v>
          </cell>
        </row>
        <row r="6126">
          <cell r="A6126" t="str">
            <v>M.PT.0002258</v>
          </cell>
        </row>
        <row r="6127">
          <cell r="A6127" t="str">
            <v>M.PT.0002259</v>
          </cell>
        </row>
        <row r="6128">
          <cell r="A6128" t="str">
            <v>M.PT.0002260</v>
          </cell>
        </row>
        <row r="6129">
          <cell r="A6129" t="str">
            <v>M.PT.0002261</v>
          </cell>
        </row>
        <row r="6130">
          <cell r="A6130" t="str">
            <v>M.PT.0002262</v>
          </cell>
        </row>
        <row r="6131">
          <cell r="A6131" t="str">
            <v>M.PT.0002263</v>
          </cell>
        </row>
        <row r="6132">
          <cell r="A6132" t="str">
            <v>M.PT.0002264</v>
          </cell>
        </row>
        <row r="6133">
          <cell r="A6133" t="str">
            <v>M.PT.0002265</v>
          </cell>
        </row>
        <row r="6134">
          <cell r="A6134" t="str">
            <v>M.PT.0002266</v>
          </cell>
        </row>
        <row r="6135">
          <cell r="A6135" t="str">
            <v>M.PT.0002267</v>
          </cell>
        </row>
        <row r="6136">
          <cell r="A6136" t="str">
            <v>M.PT.0002268</v>
          </cell>
        </row>
        <row r="6137">
          <cell r="A6137" t="str">
            <v>M.PT.0002269</v>
          </cell>
        </row>
        <row r="6138">
          <cell r="A6138" t="str">
            <v>M.PT.0002270</v>
          </cell>
        </row>
        <row r="6139">
          <cell r="A6139" t="str">
            <v>M.PT.0002271</v>
          </cell>
        </row>
        <row r="6140">
          <cell r="A6140" t="str">
            <v>M.PT.0002272</v>
          </cell>
        </row>
        <row r="6141">
          <cell r="A6141" t="str">
            <v>M.PT.0002273</v>
          </cell>
        </row>
        <row r="6142">
          <cell r="A6142" t="str">
            <v>M.PT.0002274</v>
          </cell>
        </row>
        <row r="6143">
          <cell r="A6143" t="str">
            <v>M.PT.0002275</v>
          </cell>
        </row>
        <row r="6144">
          <cell r="A6144" t="str">
            <v>M.PT.0002276</v>
          </cell>
        </row>
        <row r="6145">
          <cell r="A6145" t="str">
            <v>M.PT.0002277</v>
          </cell>
        </row>
        <row r="6146">
          <cell r="A6146" t="str">
            <v>M.PT.0002278</v>
          </cell>
        </row>
        <row r="6147">
          <cell r="A6147" t="str">
            <v>M.PT.0002279</v>
          </cell>
        </row>
        <row r="6148">
          <cell r="A6148" t="str">
            <v>M.PT.0002280</v>
          </cell>
        </row>
        <row r="6149">
          <cell r="A6149" t="str">
            <v>M.PT.0002281</v>
          </cell>
        </row>
        <row r="6150">
          <cell r="A6150" t="str">
            <v>M.PT.0002282</v>
          </cell>
        </row>
        <row r="6151">
          <cell r="A6151" t="str">
            <v>M.PT.0002283</v>
          </cell>
        </row>
        <row r="6152">
          <cell r="A6152" t="str">
            <v>M.PT.0002284</v>
          </cell>
        </row>
        <row r="6153">
          <cell r="A6153" t="str">
            <v>M.PT.0002285</v>
          </cell>
        </row>
        <row r="6154">
          <cell r="A6154" t="str">
            <v>M.PT.0002286</v>
          </cell>
        </row>
        <row r="6155">
          <cell r="A6155" t="str">
            <v>M.PT.0002287</v>
          </cell>
        </row>
        <row r="6156">
          <cell r="A6156" t="str">
            <v>M.PT.0002288</v>
          </cell>
        </row>
        <row r="6157">
          <cell r="A6157" t="str">
            <v>M.PT.0002289</v>
          </cell>
        </row>
        <row r="6158">
          <cell r="A6158" t="str">
            <v>M.PT.0002290</v>
          </cell>
        </row>
        <row r="6159">
          <cell r="A6159" t="str">
            <v>M.PT.0002291</v>
          </cell>
        </row>
        <row r="6160">
          <cell r="A6160" t="str">
            <v>M.PT.0002292</v>
          </cell>
        </row>
        <row r="6161">
          <cell r="A6161" t="str">
            <v>M.PT.0002293</v>
          </cell>
        </row>
        <row r="6162">
          <cell r="A6162" t="str">
            <v>M.PT.0002294</v>
          </cell>
        </row>
        <row r="6163">
          <cell r="A6163" t="str">
            <v>M.PT.0002295</v>
          </cell>
        </row>
        <row r="6164">
          <cell r="A6164" t="str">
            <v>M.PT.0002296</v>
          </cell>
        </row>
        <row r="6165">
          <cell r="A6165" t="str">
            <v>M.PT.0002297</v>
          </cell>
        </row>
        <row r="6166">
          <cell r="A6166" t="str">
            <v>M.PT.0002298</v>
          </cell>
        </row>
        <row r="6167">
          <cell r="A6167" t="str">
            <v>M.PT.0002299</v>
          </cell>
        </row>
        <row r="6168">
          <cell r="A6168" t="str">
            <v>M.PT.0002300</v>
          </cell>
        </row>
        <row r="6169">
          <cell r="A6169" t="str">
            <v>M.PT.0002301</v>
          </cell>
        </row>
        <row r="6170">
          <cell r="A6170" t="str">
            <v>M.PT.0002302</v>
          </cell>
        </row>
        <row r="6171">
          <cell r="A6171" t="str">
            <v>M.PT.0002303</v>
          </cell>
        </row>
        <row r="6172">
          <cell r="A6172" t="str">
            <v>M.PT.0002304</v>
          </cell>
        </row>
        <row r="6173">
          <cell r="A6173" t="str">
            <v>M.PT.0002305</v>
          </cell>
        </row>
        <row r="6174">
          <cell r="A6174" t="str">
            <v>M.PT.0002306</v>
          </cell>
        </row>
        <row r="6175">
          <cell r="A6175" t="str">
            <v>M.PT.0002307</v>
          </cell>
        </row>
        <row r="6176">
          <cell r="A6176" t="str">
            <v>M.PT.0002308</v>
          </cell>
        </row>
        <row r="6177">
          <cell r="A6177" t="str">
            <v>M.PT.0002309</v>
          </cell>
        </row>
        <row r="6178">
          <cell r="A6178" t="str">
            <v>M.PT.0002310</v>
          </cell>
        </row>
        <row r="6179">
          <cell r="A6179" t="str">
            <v>M.PT.0002311</v>
          </cell>
        </row>
        <row r="6180">
          <cell r="A6180" t="str">
            <v>M.PT.0002312</v>
          </cell>
        </row>
        <row r="6181">
          <cell r="A6181" t="str">
            <v>M.PT.0002313</v>
          </cell>
        </row>
        <row r="6182">
          <cell r="A6182" t="str">
            <v>M.PT.0002314</v>
          </cell>
        </row>
        <row r="6183">
          <cell r="A6183" t="str">
            <v>M.PT.0002315</v>
          </cell>
        </row>
        <row r="6184">
          <cell r="A6184" t="str">
            <v>M.PT.0002316</v>
          </cell>
        </row>
        <row r="6185">
          <cell r="A6185" t="str">
            <v>M.PT.0002317</v>
          </cell>
        </row>
        <row r="6186">
          <cell r="A6186" t="str">
            <v>M.PT.0002318</v>
          </cell>
        </row>
        <row r="6187">
          <cell r="A6187" t="str">
            <v>M.PT.0002319</v>
          </cell>
        </row>
        <row r="6188">
          <cell r="A6188" t="str">
            <v>M.PT.0002320</v>
          </cell>
        </row>
        <row r="6189">
          <cell r="A6189" t="str">
            <v>M.PT.0002321</v>
          </cell>
        </row>
        <row r="6190">
          <cell r="A6190" t="str">
            <v>M.PT.0002322</v>
          </cell>
        </row>
        <row r="6191">
          <cell r="A6191" t="str">
            <v>M.PT.0002323</v>
          </cell>
        </row>
        <row r="6192">
          <cell r="A6192" t="str">
            <v>M.PT.0002324</v>
          </cell>
        </row>
        <row r="6193">
          <cell r="A6193" t="str">
            <v>M.PT.0002325</v>
          </cell>
        </row>
        <row r="6194">
          <cell r="A6194" t="str">
            <v>M.PT.0002326</v>
          </cell>
        </row>
        <row r="6195">
          <cell r="A6195" t="str">
            <v>M.PT.0002327</v>
          </cell>
        </row>
        <row r="6196">
          <cell r="A6196" t="str">
            <v>M.PT.0002328</v>
          </cell>
        </row>
        <row r="6197">
          <cell r="A6197" t="str">
            <v>M.PT.0002329</v>
          </cell>
        </row>
        <row r="6198">
          <cell r="A6198" t="str">
            <v>M.PT.0002330</v>
          </cell>
        </row>
        <row r="6199">
          <cell r="A6199" t="str">
            <v>M.PT.0002331</v>
          </cell>
        </row>
        <row r="6200">
          <cell r="A6200" t="str">
            <v>M.PT.0002332</v>
          </cell>
        </row>
        <row r="6201">
          <cell r="A6201" t="str">
            <v>M.PT.0002333</v>
          </cell>
        </row>
        <row r="6202">
          <cell r="A6202" t="str">
            <v>M.PT.0002334</v>
          </cell>
        </row>
        <row r="6203">
          <cell r="A6203" t="str">
            <v>M.PT.0002335</v>
          </cell>
        </row>
        <row r="6204">
          <cell r="A6204" t="str">
            <v>M.PT.0002336</v>
          </cell>
        </row>
        <row r="6205">
          <cell r="A6205" t="str">
            <v>M.PT.0002337</v>
          </cell>
        </row>
        <row r="6206">
          <cell r="A6206" t="str">
            <v>M.PT.0002338</v>
          </cell>
        </row>
        <row r="6207">
          <cell r="A6207" t="str">
            <v>M.PT.0002339</v>
          </cell>
        </row>
        <row r="6208">
          <cell r="A6208" t="str">
            <v>M.PT.0002340</v>
          </cell>
        </row>
        <row r="6209">
          <cell r="A6209" t="str">
            <v>M.PT.0002341</v>
          </cell>
        </row>
        <row r="6210">
          <cell r="A6210" t="str">
            <v>M.PT.0002342</v>
          </cell>
        </row>
        <row r="6211">
          <cell r="A6211" t="str">
            <v>M.PT.0002343</v>
          </cell>
        </row>
        <row r="6212">
          <cell r="A6212" t="str">
            <v>M.PT.0002344</v>
          </cell>
        </row>
        <row r="6213">
          <cell r="A6213" t="str">
            <v>M.PT.0002345</v>
          </cell>
        </row>
        <row r="6214">
          <cell r="A6214" t="str">
            <v>M.PT.0002346</v>
          </cell>
        </row>
        <row r="6215">
          <cell r="A6215" t="str">
            <v>M.PT.0002347</v>
          </cell>
        </row>
        <row r="6216">
          <cell r="A6216" t="str">
            <v>M.PT.0002348</v>
          </cell>
        </row>
        <row r="6217">
          <cell r="A6217" t="str">
            <v>M.PT.0002349</v>
          </cell>
        </row>
        <row r="6218">
          <cell r="A6218" t="str">
            <v>M.PT.0002350</v>
          </cell>
        </row>
        <row r="6219">
          <cell r="A6219" t="str">
            <v>M.PT.0002351</v>
          </cell>
        </row>
        <row r="6220">
          <cell r="A6220" t="str">
            <v>M.PT.0002352</v>
          </cell>
        </row>
        <row r="6221">
          <cell r="A6221" t="str">
            <v>M.PT.0002353</v>
          </cell>
        </row>
        <row r="6222">
          <cell r="A6222" t="str">
            <v>M.PT.0002354</v>
          </cell>
        </row>
        <row r="6223">
          <cell r="A6223" t="str">
            <v>M.PT.0002355</v>
          </cell>
        </row>
        <row r="6224">
          <cell r="A6224" t="str">
            <v>M.PT.0002356</v>
          </cell>
        </row>
        <row r="6225">
          <cell r="A6225" t="str">
            <v>M.PT.0002357</v>
          </cell>
        </row>
        <row r="6226">
          <cell r="A6226" t="str">
            <v>M.PT.0002358</v>
          </cell>
        </row>
        <row r="6227">
          <cell r="A6227" t="str">
            <v>M.PT.0002359</v>
          </cell>
        </row>
        <row r="6228">
          <cell r="A6228" t="str">
            <v>M.PT.0002360</v>
          </cell>
        </row>
        <row r="6229">
          <cell r="A6229" t="str">
            <v>M.PT.0002361</v>
          </cell>
        </row>
        <row r="6230">
          <cell r="A6230" t="str">
            <v>M.PT.0002362</v>
          </cell>
        </row>
        <row r="6231">
          <cell r="A6231" t="str">
            <v>M.PT.0002363</v>
          </cell>
        </row>
        <row r="6232">
          <cell r="A6232" t="str">
            <v>M.PT.0002364</v>
          </cell>
        </row>
        <row r="6233">
          <cell r="A6233" t="str">
            <v>M.PT.0002365</v>
          </cell>
        </row>
        <row r="6234">
          <cell r="A6234" t="str">
            <v>M.PT.0002366</v>
          </cell>
        </row>
        <row r="6235">
          <cell r="A6235" t="str">
            <v>M.PT.0002367</v>
          </cell>
        </row>
        <row r="6236">
          <cell r="A6236" t="str">
            <v>M.PT.0002368</v>
          </cell>
        </row>
        <row r="6237">
          <cell r="A6237" t="str">
            <v>M.PT.0002369</v>
          </cell>
        </row>
        <row r="6238">
          <cell r="A6238" t="str">
            <v>M.PT.0002370</v>
          </cell>
        </row>
        <row r="6239">
          <cell r="A6239" t="str">
            <v>M.PT.0002371</v>
          </cell>
        </row>
        <row r="6240">
          <cell r="A6240" t="str">
            <v>M.PT.0002372</v>
          </cell>
        </row>
        <row r="6241">
          <cell r="A6241" t="str">
            <v>M.PT.0002373</v>
          </cell>
        </row>
        <row r="6242">
          <cell r="A6242" t="str">
            <v>M.PT.0002374</v>
          </cell>
        </row>
        <row r="6243">
          <cell r="A6243" t="str">
            <v>M.PT.0002375</v>
          </cell>
        </row>
        <row r="6244">
          <cell r="A6244" t="str">
            <v>M.PT.0002376</v>
          </cell>
        </row>
        <row r="6245">
          <cell r="A6245" t="str">
            <v>M.PT.0002377</v>
          </cell>
        </row>
        <row r="6246">
          <cell r="A6246" t="str">
            <v>M.PT.0002378</v>
          </cell>
        </row>
        <row r="6247">
          <cell r="A6247" t="str">
            <v>M.PT.0002379</v>
          </cell>
        </row>
        <row r="6248">
          <cell r="A6248" t="str">
            <v>M.PT.0002380</v>
          </cell>
        </row>
        <row r="6249">
          <cell r="A6249" t="str">
            <v>M.PT.0002381</v>
          </cell>
        </row>
        <row r="6250">
          <cell r="A6250" t="str">
            <v>M.PT.0002382</v>
          </cell>
        </row>
        <row r="6251">
          <cell r="A6251" t="str">
            <v>M.PT.0002383</v>
          </cell>
        </row>
        <row r="6252">
          <cell r="A6252" t="str">
            <v>M.PT.0002384</v>
          </cell>
        </row>
        <row r="6253">
          <cell r="A6253" t="str">
            <v>M.PT.0002385</v>
          </cell>
        </row>
        <row r="6254">
          <cell r="A6254" t="str">
            <v>M.PT.0002386</v>
          </cell>
        </row>
        <row r="6255">
          <cell r="A6255" t="str">
            <v>M.PT.0002387</v>
          </cell>
        </row>
        <row r="6256">
          <cell r="A6256" t="str">
            <v>M.PT.0002388</v>
          </cell>
        </row>
        <row r="6257">
          <cell r="A6257" t="str">
            <v>M.PT.0002389</v>
          </cell>
        </row>
        <row r="6258">
          <cell r="A6258" t="str">
            <v>M.PT.0002390</v>
          </cell>
        </row>
        <row r="6259">
          <cell r="A6259" t="str">
            <v>M.PT.0002391</v>
          </cell>
        </row>
        <row r="6260">
          <cell r="A6260" t="str">
            <v>M.PT.0002392</v>
          </cell>
        </row>
        <row r="6261">
          <cell r="A6261" t="str">
            <v>M.PT.0002393</v>
          </cell>
        </row>
        <row r="6262">
          <cell r="A6262" t="str">
            <v>M.PT.0002394</v>
          </cell>
        </row>
        <row r="6263">
          <cell r="A6263" t="str">
            <v>M.PT.0002395</v>
          </cell>
        </row>
        <row r="6264">
          <cell r="A6264" t="str">
            <v>M.PT.0002396</v>
          </cell>
        </row>
        <row r="6265">
          <cell r="A6265" t="str">
            <v>M.PT.0002397</v>
          </cell>
        </row>
        <row r="6266">
          <cell r="A6266" t="str">
            <v>M.PT.0002398</v>
          </cell>
        </row>
        <row r="6267">
          <cell r="A6267" t="str">
            <v>M.PT.0002399</v>
          </cell>
        </row>
        <row r="6268">
          <cell r="A6268" t="str">
            <v>M.PT.0002400</v>
          </cell>
        </row>
        <row r="6269">
          <cell r="A6269" t="str">
            <v>M.PT.0002401</v>
          </cell>
        </row>
        <row r="6270">
          <cell r="A6270" t="str">
            <v>M.PT.0002402</v>
          </cell>
        </row>
        <row r="6271">
          <cell r="A6271" t="str">
            <v>M.PT.0002403</v>
          </cell>
        </row>
        <row r="6272">
          <cell r="A6272" t="str">
            <v>M.PT.0002404</v>
          </cell>
        </row>
        <row r="6273">
          <cell r="A6273" t="str">
            <v>M.PT.0002405</v>
          </cell>
        </row>
        <row r="6274">
          <cell r="A6274" t="str">
            <v>M.PT.0002406</v>
          </cell>
        </row>
        <row r="6275">
          <cell r="A6275" t="str">
            <v>M.PT.0002407</v>
          </cell>
        </row>
        <row r="6276">
          <cell r="A6276" t="str">
            <v>M.PT.0002408</v>
          </cell>
        </row>
        <row r="6277">
          <cell r="A6277" t="str">
            <v>M.PT.0002409</v>
          </cell>
        </row>
        <row r="6278">
          <cell r="A6278" t="str">
            <v>M.PT.0002410</v>
          </cell>
        </row>
        <row r="6279">
          <cell r="A6279" t="str">
            <v>M.PT.0002411</v>
          </cell>
        </row>
        <row r="6280">
          <cell r="A6280" t="str">
            <v>M.PT.0002412</v>
          </cell>
        </row>
        <row r="6281">
          <cell r="A6281" t="str">
            <v>M.PT.0002413</v>
          </cell>
        </row>
        <row r="6282">
          <cell r="A6282" t="str">
            <v>M.PT.0002414</v>
          </cell>
        </row>
        <row r="6283">
          <cell r="A6283" t="str">
            <v>M.PT.0002415</v>
          </cell>
        </row>
        <row r="6284">
          <cell r="A6284" t="str">
            <v>M.PT.0002416</v>
          </cell>
        </row>
        <row r="6285">
          <cell r="A6285" t="str">
            <v>M.PT.0002417</v>
          </cell>
        </row>
        <row r="6286">
          <cell r="A6286" t="str">
            <v>M.PT.0002418</v>
          </cell>
        </row>
        <row r="6287">
          <cell r="A6287" t="str">
            <v>M.PT.0002419</v>
          </cell>
        </row>
        <row r="6288">
          <cell r="A6288" t="str">
            <v>M.PT.0002420</v>
          </cell>
        </row>
        <row r="6289">
          <cell r="A6289" t="str">
            <v>M.PT.0002421</v>
          </cell>
        </row>
        <row r="6290">
          <cell r="A6290" t="str">
            <v>M.PT.0002422</v>
          </cell>
        </row>
        <row r="6291">
          <cell r="A6291" t="str">
            <v>M.PT.0002423</v>
          </cell>
        </row>
        <row r="6292">
          <cell r="A6292" t="str">
            <v>M.PT.0002424</v>
          </cell>
        </row>
        <row r="6293">
          <cell r="A6293" t="str">
            <v>M.PT.0002425</v>
          </cell>
        </row>
        <row r="6294">
          <cell r="A6294" t="str">
            <v>M.PT.0002426</v>
          </cell>
        </row>
        <row r="6295">
          <cell r="A6295" t="str">
            <v>M.PT.0002427</v>
          </cell>
        </row>
        <row r="6296">
          <cell r="A6296" t="str">
            <v>M.PT.0002428</v>
          </cell>
        </row>
        <row r="6297">
          <cell r="A6297" t="str">
            <v>M.PT.0002429</v>
          </cell>
        </row>
        <row r="6298">
          <cell r="A6298" t="str">
            <v>M.PT.0002430</v>
          </cell>
        </row>
        <row r="6299">
          <cell r="A6299" t="str">
            <v>M.PT.0002431</v>
          </cell>
        </row>
        <row r="6300">
          <cell r="A6300" t="str">
            <v>M.PT.0002432</v>
          </cell>
        </row>
        <row r="6301">
          <cell r="A6301" t="str">
            <v>M.PT.0002433</v>
          </cell>
        </row>
        <row r="6302">
          <cell r="A6302" t="str">
            <v>M.PT.0002434</v>
          </cell>
        </row>
        <row r="6303">
          <cell r="A6303" t="str">
            <v>M.PT.0002435</v>
          </cell>
        </row>
        <row r="6304">
          <cell r="A6304" t="str">
            <v>M.PT.0002436</v>
          </cell>
        </row>
        <row r="6305">
          <cell r="A6305" t="str">
            <v>M.PT.0002437</v>
          </cell>
        </row>
        <row r="6306">
          <cell r="A6306" t="str">
            <v>M.PT.0002438</v>
          </cell>
        </row>
        <row r="6307">
          <cell r="A6307" t="str">
            <v>M.PT.0002439</v>
          </cell>
        </row>
        <row r="6308">
          <cell r="A6308" t="str">
            <v>M.PT.0002440</v>
          </cell>
        </row>
        <row r="6309">
          <cell r="A6309" t="str">
            <v>M.PT.0002441</v>
          </cell>
        </row>
        <row r="6310">
          <cell r="A6310" t="str">
            <v>M.PT.0002442</v>
          </cell>
        </row>
        <row r="6311">
          <cell r="A6311" t="str">
            <v>M.PT.0002443</v>
          </cell>
        </row>
        <row r="6312">
          <cell r="A6312" t="str">
            <v>M.PT.0002444</v>
          </cell>
        </row>
        <row r="6313">
          <cell r="A6313" t="str">
            <v>M.PT.0002445</v>
          </cell>
        </row>
        <row r="6314">
          <cell r="A6314" t="str">
            <v>M.PT.0002446</v>
          </cell>
        </row>
        <row r="6315">
          <cell r="A6315" t="str">
            <v>M.PT.0002447</v>
          </cell>
        </row>
        <row r="6316">
          <cell r="A6316" t="str">
            <v>M.PT.0002448</v>
          </cell>
        </row>
        <row r="6317">
          <cell r="A6317" t="str">
            <v>M.PT.0002449</v>
          </cell>
        </row>
        <row r="6318">
          <cell r="A6318" t="str">
            <v>M.PT.0002450</v>
          </cell>
        </row>
        <row r="6319">
          <cell r="A6319" t="str">
            <v>M.PT.0002451</v>
          </cell>
        </row>
        <row r="6320">
          <cell r="A6320" t="str">
            <v>M.PT.0002452</v>
          </cell>
        </row>
        <row r="6321">
          <cell r="A6321" t="str">
            <v>M.PT.0002453</v>
          </cell>
        </row>
        <row r="6322">
          <cell r="A6322" t="str">
            <v>M.PT.0002454</v>
          </cell>
        </row>
        <row r="6323">
          <cell r="A6323" t="str">
            <v>M.PT.0002455</v>
          </cell>
        </row>
        <row r="6324">
          <cell r="A6324" t="str">
            <v>M.PT.0002456</v>
          </cell>
        </row>
        <row r="6325">
          <cell r="A6325" t="str">
            <v>M.PT.0002457</v>
          </cell>
        </row>
        <row r="6326">
          <cell r="A6326" t="str">
            <v>M.PT.0002458</v>
          </cell>
        </row>
        <row r="6327">
          <cell r="A6327" t="str">
            <v>M.PT.0002459</v>
          </cell>
        </row>
        <row r="6328">
          <cell r="A6328" t="str">
            <v>M.PT.0002460</v>
          </cell>
        </row>
        <row r="6329">
          <cell r="A6329" t="str">
            <v>M.PT.0002461</v>
          </cell>
        </row>
        <row r="6330">
          <cell r="A6330" t="str">
            <v>M.PT.0002462</v>
          </cell>
        </row>
        <row r="6331">
          <cell r="A6331" t="str">
            <v>M.PT.0002463</v>
          </cell>
        </row>
        <row r="6332">
          <cell r="A6332" t="str">
            <v>M.PT.0002464</v>
          </cell>
        </row>
        <row r="6333">
          <cell r="A6333" t="str">
            <v>M.PT.0002465</v>
          </cell>
        </row>
        <row r="6334">
          <cell r="A6334" t="str">
            <v>M.PT.0002466</v>
          </cell>
        </row>
        <row r="6335">
          <cell r="A6335" t="str">
            <v>M.PT.0002467</v>
          </cell>
        </row>
        <row r="6336">
          <cell r="A6336" t="str">
            <v>M.PT.0002468</v>
          </cell>
        </row>
        <row r="6337">
          <cell r="A6337" t="str">
            <v>M.PT.0002469</v>
          </cell>
        </row>
        <row r="6338">
          <cell r="A6338" t="str">
            <v>M.PT.0002470</v>
          </cell>
        </row>
        <row r="6339">
          <cell r="A6339" t="str">
            <v>M.PT.0002471</v>
          </cell>
        </row>
        <row r="6340">
          <cell r="A6340" t="str">
            <v>M.PT.0002472</v>
          </cell>
        </row>
        <row r="6341">
          <cell r="A6341" t="str">
            <v>M.PT.0002473</v>
          </cell>
        </row>
        <row r="6342">
          <cell r="A6342" t="str">
            <v>M.PT.0002474</v>
          </cell>
        </row>
        <row r="6343">
          <cell r="A6343" t="str">
            <v>M.PT.0002475</v>
          </cell>
        </row>
        <row r="6344">
          <cell r="A6344" t="str">
            <v>M.PT.0002476</v>
          </cell>
        </row>
        <row r="6345">
          <cell r="A6345" t="str">
            <v>M.PT.0002477</v>
          </cell>
        </row>
        <row r="6346">
          <cell r="A6346" t="str">
            <v>M.PT.0002478</v>
          </cell>
        </row>
        <row r="6347">
          <cell r="A6347" t="str">
            <v>M.PT.0002479</v>
          </cell>
        </row>
        <row r="6348">
          <cell r="A6348" t="str">
            <v>M.PT.0002480</v>
          </cell>
        </row>
        <row r="6349">
          <cell r="A6349" t="str">
            <v>M.PT.0002481</v>
          </cell>
        </row>
        <row r="6350">
          <cell r="A6350" t="str">
            <v>M.PT.0002482</v>
          </cell>
        </row>
        <row r="6351">
          <cell r="A6351" t="str">
            <v>M.PT.0002483</v>
          </cell>
        </row>
        <row r="6352">
          <cell r="A6352" t="str">
            <v>M.PT.0002484</v>
          </cell>
        </row>
        <row r="6353">
          <cell r="A6353" t="str">
            <v>M.PT.0002485</v>
          </cell>
        </row>
        <row r="6354">
          <cell r="A6354" t="str">
            <v>M.PT.0002486</v>
          </cell>
        </row>
        <row r="6355">
          <cell r="A6355" t="str">
            <v>M.PT.0002487</v>
          </cell>
        </row>
        <row r="6356">
          <cell r="A6356" t="str">
            <v>M.PT.0002488</v>
          </cell>
        </row>
        <row r="6357">
          <cell r="A6357" t="str">
            <v>M.PT.0002489</v>
          </cell>
        </row>
        <row r="6358">
          <cell r="A6358" t="str">
            <v>M.PT.0002490</v>
          </cell>
        </row>
        <row r="6359">
          <cell r="A6359" t="str">
            <v>M.PT.0002491</v>
          </cell>
        </row>
        <row r="6360">
          <cell r="A6360" t="str">
            <v>M.PT.0002492</v>
          </cell>
        </row>
        <row r="6361">
          <cell r="A6361" t="str">
            <v>M.PT.0002493</v>
          </cell>
        </row>
        <row r="6362">
          <cell r="A6362" t="str">
            <v>M.PT.0002494</v>
          </cell>
        </row>
        <row r="6363">
          <cell r="A6363" t="str">
            <v>M.PT.0002495</v>
          </cell>
        </row>
        <row r="6364">
          <cell r="A6364" t="str">
            <v>M.PT.0002496</v>
          </cell>
        </row>
        <row r="6365">
          <cell r="A6365" t="str">
            <v>M.PT.0002497</v>
          </cell>
        </row>
        <row r="6366">
          <cell r="A6366" t="str">
            <v>M.PT.0002498</v>
          </cell>
        </row>
        <row r="6367">
          <cell r="A6367" t="str">
            <v>M.PT.0002499</v>
          </cell>
        </row>
        <row r="6368">
          <cell r="A6368" t="str">
            <v>M.PT.0002500</v>
          </cell>
        </row>
        <row r="6369">
          <cell r="A6369" t="str">
            <v>M.PT.0002501</v>
          </cell>
        </row>
        <row r="6370">
          <cell r="A6370" t="str">
            <v>M.PT.0002502</v>
          </cell>
        </row>
        <row r="6371">
          <cell r="A6371" t="str">
            <v>M.PT.0002503</v>
          </cell>
        </row>
        <row r="6372">
          <cell r="A6372" t="str">
            <v>M.PT.0002504</v>
          </cell>
        </row>
        <row r="6373">
          <cell r="A6373" t="str">
            <v>M.PT.0002505</v>
          </cell>
        </row>
        <row r="6374">
          <cell r="A6374" t="str">
            <v>M.PT.0002506</v>
          </cell>
        </row>
        <row r="6375">
          <cell r="A6375" t="str">
            <v>M.PT.0002507</v>
          </cell>
        </row>
        <row r="6376">
          <cell r="A6376" t="str">
            <v>M.PT.0002508</v>
          </cell>
        </row>
        <row r="6377">
          <cell r="A6377" t="str">
            <v>M.PT.0002509</v>
          </cell>
        </row>
        <row r="6378">
          <cell r="A6378" t="str">
            <v>M.PT.0002510</v>
          </cell>
        </row>
        <row r="6379">
          <cell r="A6379" t="str">
            <v>M.PT.0002511</v>
          </cell>
        </row>
        <row r="6380">
          <cell r="A6380" t="str">
            <v>M.PT.0002512</v>
          </cell>
        </row>
        <row r="6381">
          <cell r="A6381" t="str">
            <v>M.PT.0002513</v>
          </cell>
        </row>
        <row r="6382">
          <cell r="A6382" t="str">
            <v>M.PT.0002514</v>
          </cell>
        </row>
        <row r="6383">
          <cell r="A6383" t="str">
            <v>M.PT.0002515</v>
          </cell>
        </row>
        <row r="6384">
          <cell r="A6384" t="str">
            <v>M.PT.0002516</v>
          </cell>
        </row>
        <row r="6385">
          <cell r="A6385" t="str">
            <v>M.PT.0002517</v>
          </cell>
        </row>
        <row r="6386">
          <cell r="A6386" t="str">
            <v>M.PT.0002518</v>
          </cell>
        </row>
        <row r="6387">
          <cell r="A6387" t="str">
            <v>M.PT.0002519</v>
          </cell>
        </row>
        <row r="6388">
          <cell r="A6388" t="str">
            <v>M.PT.0002520</v>
          </cell>
        </row>
        <row r="6389">
          <cell r="A6389" t="str">
            <v>M.PT.0002521</v>
          </cell>
        </row>
        <row r="6390">
          <cell r="A6390" t="str">
            <v>M.PT.0002522</v>
          </cell>
        </row>
        <row r="6391">
          <cell r="A6391" t="str">
            <v>M.PT.0002523</v>
          </cell>
        </row>
        <row r="6392">
          <cell r="A6392" t="str">
            <v>M.PT.0002524</v>
          </cell>
        </row>
        <row r="6393">
          <cell r="A6393" t="str">
            <v>M.PT.0002525</v>
          </cell>
        </row>
        <row r="6394">
          <cell r="A6394" t="str">
            <v>M.PT.0002526</v>
          </cell>
        </row>
        <row r="6395">
          <cell r="A6395" t="str">
            <v>M.PT.0002527</v>
          </cell>
        </row>
        <row r="6396">
          <cell r="A6396" t="str">
            <v>M.PT.0002528</v>
          </cell>
        </row>
        <row r="6397">
          <cell r="A6397" t="str">
            <v>M.PT.0002529</v>
          </cell>
        </row>
        <row r="6398">
          <cell r="A6398" t="str">
            <v>M.PT.0002530</v>
          </cell>
        </row>
        <row r="6399">
          <cell r="A6399" t="str">
            <v>M.PT.0002531</v>
          </cell>
        </row>
        <row r="6400">
          <cell r="A6400" t="str">
            <v>M.PT.0002532</v>
          </cell>
        </row>
        <row r="6401">
          <cell r="A6401" t="str">
            <v>M.PT.0002533</v>
          </cell>
        </row>
        <row r="6402">
          <cell r="A6402" t="str">
            <v>M.PT.0002534</v>
          </cell>
        </row>
        <row r="6403">
          <cell r="A6403" t="str">
            <v>M.PT.0002535</v>
          </cell>
        </row>
        <row r="6404">
          <cell r="A6404" t="str">
            <v>M.PT.0002536</v>
          </cell>
        </row>
        <row r="6405">
          <cell r="A6405" t="str">
            <v>M.PT.0002537</v>
          </cell>
        </row>
        <row r="6406">
          <cell r="A6406" t="str">
            <v>M.PT.0002538</v>
          </cell>
        </row>
        <row r="6407">
          <cell r="A6407" t="str">
            <v>M.PT.0002539</v>
          </cell>
        </row>
        <row r="6408">
          <cell r="A6408" t="str">
            <v>M.PT.0002540</v>
          </cell>
        </row>
        <row r="6409">
          <cell r="A6409" t="str">
            <v>M.PT.0002541</v>
          </cell>
        </row>
        <row r="6410">
          <cell r="A6410" t="str">
            <v>M.PT.0002542</v>
          </cell>
        </row>
        <row r="6411">
          <cell r="A6411" t="str">
            <v>M.PT.0002543</v>
          </cell>
        </row>
        <row r="6412">
          <cell r="A6412" t="str">
            <v>M.PT.0002544</v>
          </cell>
        </row>
        <row r="6413">
          <cell r="A6413" t="str">
            <v>M.PT.0002545</v>
          </cell>
        </row>
        <row r="6414">
          <cell r="A6414" t="str">
            <v>M.PT.0002546</v>
          </cell>
        </row>
        <row r="6415">
          <cell r="A6415" t="str">
            <v>M.PT.0002547</v>
          </cell>
        </row>
        <row r="6416">
          <cell r="A6416" t="str">
            <v>M.PT.0002548</v>
          </cell>
        </row>
        <row r="6417">
          <cell r="A6417" t="str">
            <v>M.PT.0002549</v>
          </cell>
        </row>
        <row r="6418">
          <cell r="A6418" t="str">
            <v>M.PT.0002550</v>
          </cell>
        </row>
        <row r="6419">
          <cell r="A6419" t="str">
            <v>M.PT.0002551</v>
          </cell>
        </row>
        <row r="6420">
          <cell r="A6420" t="str">
            <v>M.PT.0002552</v>
          </cell>
        </row>
        <row r="6421">
          <cell r="A6421" t="str">
            <v>M.PT.0002553</v>
          </cell>
        </row>
        <row r="6422">
          <cell r="A6422" t="str">
            <v>M.PT.0002554</v>
          </cell>
        </row>
        <row r="6423">
          <cell r="A6423" t="str">
            <v>M.PT.0002555</v>
          </cell>
        </row>
        <row r="6424">
          <cell r="A6424" t="str">
            <v>M.PT.0002556</v>
          </cell>
        </row>
        <row r="6425">
          <cell r="A6425" t="str">
            <v>M.PT.0002557</v>
          </cell>
        </row>
        <row r="6426">
          <cell r="A6426" t="str">
            <v>M.PT.0002558</v>
          </cell>
        </row>
        <row r="6427">
          <cell r="A6427" t="str">
            <v>M.PT.0002559</v>
          </cell>
        </row>
        <row r="6428">
          <cell r="A6428" t="str">
            <v>M.PT.0002560</v>
          </cell>
        </row>
        <row r="6429">
          <cell r="A6429" t="str">
            <v>M.PT.0002561</v>
          </cell>
        </row>
        <row r="6430">
          <cell r="A6430" t="str">
            <v>M.PT.0002562</v>
          </cell>
        </row>
        <row r="6431">
          <cell r="A6431" t="str">
            <v>M.PT.0002563</v>
          </cell>
        </row>
        <row r="6432">
          <cell r="A6432" t="str">
            <v>M.PT.0002564</v>
          </cell>
        </row>
        <row r="6433">
          <cell r="A6433" t="str">
            <v>M.PT.0002565</v>
          </cell>
        </row>
        <row r="6434">
          <cell r="A6434" t="str">
            <v>M.PT.0002566</v>
          </cell>
        </row>
        <row r="6435">
          <cell r="A6435" t="str">
            <v>M.PT.0002567</v>
          </cell>
        </row>
        <row r="6436">
          <cell r="A6436" t="str">
            <v>M.PT.0002568</v>
          </cell>
        </row>
        <row r="6437">
          <cell r="A6437" t="str">
            <v>M.PT.0002569</v>
          </cell>
        </row>
        <row r="6438">
          <cell r="A6438" t="str">
            <v>M.PT.0002570</v>
          </cell>
        </row>
        <row r="6439">
          <cell r="A6439" t="str">
            <v>M.PT.0002571</v>
          </cell>
        </row>
        <row r="6440">
          <cell r="A6440" t="str">
            <v>M.PT.0002572</v>
          </cell>
        </row>
        <row r="6441">
          <cell r="A6441" t="str">
            <v>M.PT.0002573</v>
          </cell>
        </row>
        <row r="6442">
          <cell r="A6442" t="str">
            <v>M.PT.0002574</v>
          </cell>
        </row>
        <row r="6443">
          <cell r="A6443" t="str">
            <v>M.PT.0002575</v>
          </cell>
        </row>
        <row r="6444">
          <cell r="A6444" t="str">
            <v>M.PT.0002576</v>
          </cell>
        </row>
        <row r="6445">
          <cell r="A6445" t="str">
            <v>M.PT.0002577</v>
          </cell>
        </row>
        <row r="6446">
          <cell r="A6446" t="str">
            <v>M.PT.0002578</v>
          </cell>
        </row>
        <row r="6447">
          <cell r="A6447" t="str">
            <v>M.PT.0002579</v>
          </cell>
        </row>
        <row r="6448">
          <cell r="A6448" t="str">
            <v>M.PT.0002580</v>
          </cell>
        </row>
        <row r="6449">
          <cell r="A6449" t="str">
            <v>M.PT.0002581</v>
          </cell>
        </row>
        <row r="6450">
          <cell r="A6450" t="str">
            <v>M.PT.0002582</v>
          </cell>
        </row>
        <row r="6451">
          <cell r="A6451" t="str">
            <v>M.PT.0002583</v>
          </cell>
        </row>
        <row r="6452">
          <cell r="A6452" t="str">
            <v>M.PT.0002584</v>
          </cell>
        </row>
        <row r="6453">
          <cell r="A6453" t="str">
            <v>M.PT.0002585</v>
          </cell>
        </row>
        <row r="6454">
          <cell r="A6454" t="str">
            <v>M.PT.0002586</v>
          </cell>
        </row>
        <row r="6455">
          <cell r="A6455" t="str">
            <v>M.PT.0002587</v>
          </cell>
        </row>
        <row r="6456">
          <cell r="A6456" t="str">
            <v>M.PT.0002588</v>
          </cell>
        </row>
        <row r="6457">
          <cell r="A6457" t="str">
            <v>M.PT.0002589</v>
          </cell>
        </row>
        <row r="6458">
          <cell r="A6458" t="str">
            <v>M.PT.0002590</v>
          </cell>
        </row>
        <row r="6459">
          <cell r="A6459" t="str">
            <v>M.PT.0002591</v>
          </cell>
        </row>
        <row r="6460">
          <cell r="A6460" t="str">
            <v>M.PT.0002592</v>
          </cell>
        </row>
        <row r="6461">
          <cell r="A6461" t="str">
            <v>M.PT.0002593</v>
          </cell>
        </row>
        <row r="6462">
          <cell r="A6462" t="str">
            <v>M.PT.0002594</v>
          </cell>
        </row>
        <row r="6463">
          <cell r="A6463" t="str">
            <v>M.PT.0002595</v>
          </cell>
        </row>
        <row r="6464">
          <cell r="A6464" t="str">
            <v>M.PT.0002596</v>
          </cell>
        </row>
        <row r="6465">
          <cell r="A6465" t="str">
            <v>M.PT.0002597</v>
          </cell>
        </row>
        <row r="6466">
          <cell r="A6466" t="str">
            <v>M.PT.0002598</v>
          </cell>
        </row>
        <row r="6467">
          <cell r="A6467" t="str">
            <v>M.PT.0002599</v>
          </cell>
        </row>
        <row r="6468">
          <cell r="A6468" t="str">
            <v>M.PT.0002600</v>
          </cell>
        </row>
        <row r="6469">
          <cell r="A6469" t="str">
            <v>M.PT.0002601</v>
          </cell>
        </row>
        <row r="6470">
          <cell r="A6470" t="str">
            <v>M.PT.0002602</v>
          </cell>
        </row>
        <row r="6471">
          <cell r="A6471" t="str">
            <v>M.PT.0002603</v>
          </cell>
        </row>
        <row r="6472">
          <cell r="A6472" t="str">
            <v>M.PT.0002604</v>
          </cell>
        </row>
        <row r="6473">
          <cell r="A6473" t="str">
            <v>M.PT.0002605</v>
          </cell>
        </row>
        <row r="6474">
          <cell r="A6474" t="str">
            <v>M.PT.0002606</v>
          </cell>
        </row>
        <row r="6475">
          <cell r="A6475" t="str">
            <v>M.PT.0002607</v>
          </cell>
        </row>
        <row r="6476">
          <cell r="A6476" t="str">
            <v>M.PT.0002608</v>
          </cell>
        </row>
        <row r="6477">
          <cell r="A6477" t="str">
            <v>M.PT.0002609</v>
          </cell>
        </row>
        <row r="6478">
          <cell r="A6478" t="str">
            <v>M.PT.0002610</v>
          </cell>
        </row>
        <row r="6479">
          <cell r="A6479" t="str">
            <v>M.PT.0002611</v>
          </cell>
        </row>
        <row r="6480">
          <cell r="A6480" t="str">
            <v>M.PT.0002612</v>
          </cell>
        </row>
        <row r="6481">
          <cell r="A6481" t="str">
            <v>M.PT.0002613</v>
          </cell>
        </row>
        <row r="6482">
          <cell r="A6482" t="str">
            <v>M.PT.0002614</v>
          </cell>
        </row>
        <row r="6483">
          <cell r="A6483" t="str">
            <v>M.PT.0002615</v>
          </cell>
        </row>
        <row r="6484">
          <cell r="A6484" t="str">
            <v>M.PT.0002616</v>
          </cell>
        </row>
        <row r="6485">
          <cell r="A6485" t="str">
            <v>M.PT.0002617</v>
          </cell>
        </row>
        <row r="6486">
          <cell r="A6486" t="str">
            <v>M.PT.0002618</v>
          </cell>
        </row>
        <row r="6487">
          <cell r="A6487" t="str">
            <v>M.PT.0002619</v>
          </cell>
        </row>
        <row r="6488">
          <cell r="A6488" t="str">
            <v>M.PT.0002620</v>
          </cell>
        </row>
        <row r="6489">
          <cell r="A6489" t="str">
            <v>M.PT.0002621</v>
          </cell>
        </row>
        <row r="6490">
          <cell r="A6490" t="str">
            <v>M.PT.0002622</v>
          </cell>
        </row>
        <row r="6491">
          <cell r="A6491" t="str">
            <v>M.PT.0002623</v>
          </cell>
        </row>
        <row r="6492">
          <cell r="A6492" t="str">
            <v>M.PT.0002624</v>
          </cell>
        </row>
        <row r="6493">
          <cell r="A6493" t="str">
            <v>M.PT.0002625</v>
          </cell>
        </row>
        <row r="6494">
          <cell r="A6494" t="str">
            <v>M.PT.0002626</v>
          </cell>
        </row>
        <row r="6495">
          <cell r="A6495" t="str">
            <v>M.PT.0002627</v>
          </cell>
        </row>
        <row r="6496">
          <cell r="A6496" t="str">
            <v>M.PT.0002628</v>
          </cell>
        </row>
        <row r="6497">
          <cell r="A6497" t="str">
            <v>M.PT.0002629</v>
          </cell>
        </row>
        <row r="6498">
          <cell r="A6498" t="str">
            <v>M.PT.0002630</v>
          </cell>
        </row>
        <row r="6499">
          <cell r="A6499" t="str">
            <v>M.PT.0002631</v>
          </cell>
        </row>
        <row r="6500">
          <cell r="A6500" t="str">
            <v>M.PT.0002632</v>
          </cell>
        </row>
        <row r="6501">
          <cell r="A6501" t="str">
            <v>M.PT.0002633</v>
          </cell>
        </row>
        <row r="6502">
          <cell r="A6502" t="str">
            <v>M.PT.0002634</v>
          </cell>
        </row>
        <row r="6503">
          <cell r="A6503" t="str">
            <v>M.PT.0002635</v>
          </cell>
        </row>
        <row r="6504">
          <cell r="A6504" t="str">
            <v>M.PT.0002636</v>
          </cell>
        </row>
        <row r="6505">
          <cell r="A6505" t="str">
            <v>M.PT.0002637</v>
          </cell>
        </row>
        <row r="6506">
          <cell r="A6506" t="str">
            <v>M.PT.0002638</v>
          </cell>
        </row>
        <row r="6507">
          <cell r="A6507" t="str">
            <v>M.PT.0002639</v>
          </cell>
        </row>
        <row r="6508">
          <cell r="A6508" t="str">
            <v>M.PT.0002640</v>
          </cell>
        </row>
        <row r="6509">
          <cell r="A6509" t="str">
            <v>M.PT.0002641</v>
          </cell>
        </row>
        <row r="6510">
          <cell r="A6510" t="str">
            <v>M.PT.0002642</v>
          </cell>
        </row>
        <row r="6511">
          <cell r="A6511" t="str">
            <v>M.PT.0002643</v>
          </cell>
        </row>
        <row r="6512">
          <cell r="A6512" t="str">
            <v>M.PT.0002644</v>
          </cell>
        </row>
        <row r="6513">
          <cell r="A6513" t="str">
            <v>M.PT.0002645</v>
          </cell>
        </row>
        <row r="6514">
          <cell r="A6514" t="str">
            <v>M.PT.0002646</v>
          </cell>
        </row>
        <row r="6515">
          <cell r="A6515" t="str">
            <v>M.PT.0002647</v>
          </cell>
        </row>
        <row r="6516">
          <cell r="A6516" t="str">
            <v>M.PT.0002648</v>
          </cell>
        </row>
        <row r="6517">
          <cell r="A6517" t="str">
            <v>M.PT.0002649</v>
          </cell>
        </row>
        <row r="6518">
          <cell r="A6518" t="str">
            <v>M.PT.0002650</v>
          </cell>
        </row>
        <row r="6519">
          <cell r="A6519" t="str">
            <v>M.PT.0002651</v>
          </cell>
        </row>
        <row r="6520">
          <cell r="A6520" t="str">
            <v>M.PT.0002652</v>
          </cell>
        </row>
        <row r="6521">
          <cell r="A6521" t="str">
            <v>M.PT.0002653</v>
          </cell>
        </row>
        <row r="6522">
          <cell r="A6522" t="str">
            <v>M.PT.0002654</v>
          </cell>
        </row>
        <row r="6523">
          <cell r="A6523" t="str">
            <v>M.PT.0002655</v>
          </cell>
        </row>
        <row r="6524">
          <cell r="A6524" t="str">
            <v>M.PT.0002656</v>
          </cell>
        </row>
        <row r="6525">
          <cell r="A6525" t="str">
            <v>M.PT.0002657</v>
          </cell>
        </row>
        <row r="6526">
          <cell r="A6526" t="str">
            <v>M.PT.0002658</v>
          </cell>
        </row>
        <row r="6527">
          <cell r="A6527" t="str">
            <v>M.PT.0002659</v>
          </cell>
        </row>
        <row r="6528">
          <cell r="A6528" t="str">
            <v>M.PT.0002660</v>
          </cell>
        </row>
        <row r="6529">
          <cell r="A6529" t="str">
            <v>M.PT.0002661</v>
          </cell>
        </row>
        <row r="6530">
          <cell r="A6530" t="str">
            <v>M.PT.0002662</v>
          </cell>
        </row>
        <row r="6531">
          <cell r="A6531" t="str">
            <v>M.PT.0002663</v>
          </cell>
        </row>
        <row r="6532">
          <cell r="A6532" t="str">
            <v>M.PT.0002664</v>
          </cell>
        </row>
        <row r="6533">
          <cell r="A6533" t="str">
            <v>M.PT.0002665</v>
          </cell>
        </row>
        <row r="6534">
          <cell r="A6534" t="str">
            <v>M.PT.0002666</v>
          </cell>
        </row>
        <row r="6535">
          <cell r="A6535" t="str">
            <v>M.PT.0002667</v>
          </cell>
        </row>
        <row r="6536">
          <cell r="A6536" t="str">
            <v>M.PT.0002668</v>
          </cell>
        </row>
        <row r="6537">
          <cell r="A6537" t="str">
            <v>M.PT.0002669</v>
          </cell>
        </row>
        <row r="6538">
          <cell r="A6538" t="str">
            <v>M.PT.0002670</v>
          </cell>
        </row>
        <row r="6539">
          <cell r="A6539" t="str">
            <v>M.PT.0002671</v>
          </cell>
        </row>
        <row r="6540">
          <cell r="A6540" t="str">
            <v>M.PT.0002672</v>
          </cell>
        </row>
        <row r="6541">
          <cell r="A6541" t="str">
            <v>M.PT.0002673</v>
          </cell>
        </row>
        <row r="6542">
          <cell r="A6542" t="str">
            <v>M.PT.0002674</v>
          </cell>
        </row>
        <row r="6543">
          <cell r="A6543" t="str">
            <v>M.PT.0002675</v>
          </cell>
        </row>
        <row r="6544">
          <cell r="A6544" t="str">
            <v>M.PT.0002676</v>
          </cell>
        </row>
        <row r="6545">
          <cell r="A6545" t="str">
            <v>M.PT.0002677</v>
          </cell>
        </row>
        <row r="6546">
          <cell r="A6546" t="str">
            <v>M.PT.0002678</v>
          </cell>
        </row>
        <row r="6547">
          <cell r="A6547" t="str">
            <v>M.PT.0002679</v>
          </cell>
        </row>
        <row r="6548">
          <cell r="A6548" t="str">
            <v>M.PT.0002680</v>
          </cell>
        </row>
        <row r="6549">
          <cell r="A6549" t="str">
            <v>M.PT.0002681</v>
          </cell>
        </row>
        <row r="6550">
          <cell r="A6550" t="str">
            <v>M.PT.0002682</v>
          </cell>
        </row>
        <row r="6551">
          <cell r="A6551" t="str">
            <v>M.PT.0002683</v>
          </cell>
        </row>
        <row r="6552">
          <cell r="A6552" t="str">
            <v>M.PT.0002684</v>
          </cell>
        </row>
        <row r="6553">
          <cell r="A6553" t="str">
            <v>M.PT.0002685</v>
          </cell>
        </row>
        <row r="6554">
          <cell r="A6554" t="str">
            <v>M.PT.0002686</v>
          </cell>
        </row>
        <row r="6555">
          <cell r="A6555" t="str">
            <v>M.PT.0002687</v>
          </cell>
        </row>
        <row r="6556">
          <cell r="A6556" t="str">
            <v>M.PT.0002688</v>
          </cell>
        </row>
        <row r="6557">
          <cell r="A6557" t="str">
            <v>M.PT.0002689</v>
          </cell>
        </row>
        <row r="6558">
          <cell r="A6558" t="str">
            <v>M.PT.0002690</v>
          </cell>
        </row>
        <row r="6559">
          <cell r="A6559" t="str">
            <v>M.PT.0002691</v>
          </cell>
        </row>
        <row r="6560">
          <cell r="A6560" t="str">
            <v>M.PT.0002692</v>
          </cell>
        </row>
        <row r="6561">
          <cell r="A6561" t="str">
            <v>M.PT.0002693</v>
          </cell>
        </row>
        <row r="6562">
          <cell r="A6562" t="str">
            <v>M.PT.0002694</v>
          </cell>
        </row>
        <row r="6563">
          <cell r="A6563" t="str">
            <v>M.PT.0002695</v>
          </cell>
        </row>
        <row r="6564">
          <cell r="A6564" t="str">
            <v>M.PT.0002696</v>
          </cell>
        </row>
        <row r="6565">
          <cell r="A6565" t="str">
            <v>M.PT.0002697</v>
          </cell>
        </row>
        <row r="6566">
          <cell r="A6566" t="str">
            <v>M.PT.0002698</v>
          </cell>
        </row>
        <row r="6567">
          <cell r="A6567" t="str">
            <v>M.PT.0002699</v>
          </cell>
        </row>
        <row r="6568">
          <cell r="A6568" t="str">
            <v>M.PT.0002700</v>
          </cell>
        </row>
        <row r="6569">
          <cell r="A6569" t="str">
            <v>M.PT.0002701</v>
          </cell>
        </row>
        <row r="6570">
          <cell r="A6570" t="str">
            <v>M.PT.0002702</v>
          </cell>
        </row>
        <row r="6571">
          <cell r="A6571" t="str">
            <v>M.PT.0002703</v>
          </cell>
        </row>
        <row r="6572">
          <cell r="A6572" t="str">
            <v>M.PT.0002704</v>
          </cell>
        </row>
        <row r="6573">
          <cell r="A6573" t="str">
            <v>M.PT.0002705</v>
          </cell>
        </row>
        <row r="6574">
          <cell r="A6574" t="str">
            <v>M.PT.0002706</v>
          </cell>
        </row>
        <row r="6575">
          <cell r="A6575" t="str">
            <v>M.PT.0002707</v>
          </cell>
        </row>
        <row r="6576">
          <cell r="A6576" t="str">
            <v>M.PT.0002708</v>
          </cell>
        </row>
        <row r="6577">
          <cell r="A6577" t="str">
            <v>M.PT.0002709</v>
          </cell>
        </row>
        <row r="6578">
          <cell r="A6578" t="str">
            <v>M.PT.0002710</v>
          </cell>
        </row>
        <row r="6579">
          <cell r="A6579" t="str">
            <v>M.PT.0002711</v>
          </cell>
        </row>
        <row r="6580">
          <cell r="A6580" t="str">
            <v>M.PT.0002712</v>
          </cell>
        </row>
        <row r="6581">
          <cell r="A6581" t="str">
            <v>M.PT.0002713</v>
          </cell>
        </row>
        <row r="6582">
          <cell r="A6582" t="str">
            <v>M.PT.0002714</v>
          </cell>
        </row>
        <row r="6583">
          <cell r="A6583" t="str">
            <v>M.PT.0002715</v>
          </cell>
        </row>
        <row r="6584">
          <cell r="A6584" t="str">
            <v>M.PT.0002716</v>
          </cell>
        </row>
        <row r="6585">
          <cell r="A6585" t="str">
            <v>M.PT.0002717</v>
          </cell>
        </row>
        <row r="6586">
          <cell r="A6586" t="str">
            <v>M.PT.0002718</v>
          </cell>
        </row>
        <row r="6587">
          <cell r="A6587" t="str">
            <v>M.PT.0002719</v>
          </cell>
        </row>
        <row r="6588">
          <cell r="A6588" t="str">
            <v>M.PT.0002720</v>
          </cell>
        </row>
        <row r="6589">
          <cell r="A6589" t="str">
            <v>M.PT.0002721</v>
          </cell>
        </row>
        <row r="6590">
          <cell r="A6590" t="str">
            <v>M.PT.0002722</v>
          </cell>
        </row>
        <row r="6591">
          <cell r="A6591" t="str">
            <v>M.PT.0002723</v>
          </cell>
        </row>
        <row r="6592">
          <cell r="A6592" t="str">
            <v>M.PT.0002724</v>
          </cell>
        </row>
        <row r="6593">
          <cell r="A6593" t="str">
            <v>M.PT.0002725</v>
          </cell>
        </row>
        <row r="6594">
          <cell r="A6594" t="str">
            <v>M.PT.0002726</v>
          </cell>
        </row>
        <row r="6595">
          <cell r="A6595" t="str">
            <v>M.PT.0002727</v>
          </cell>
        </row>
        <row r="6596">
          <cell r="A6596" t="str">
            <v>M.PT.0002728</v>
          </cell>
        </row>
        <row r="6597">
          <cell r="A6597" t="str">
            <v>M.PT.0002729</v>
          </cell>
        </row>
        <row r="6598">
          <cell r="A6598" t="str">
            <v>M.PT.0002730</v>
          </cell>
        </row>
        <row r="6599">
          <cell r="A6599" t="str">
            <v>M.PT.0002731</v>
          </cell>
        </row>
        <row r="6600">
          <cell r="A6600" t="str">
            <v>M.PT.0002732</v>
          </cell>
        </row>
        <row r="6601">
          <cell r="A6601" t="str">
            <v>M.PT.0002733</v>
          </cell>
        </row>
        <row r="6602">
          <cell r="A6602" t="str">
            <v>M.PT.0002734</v>
          </cell>
        </row>
        <row r="6603">
          <cell r="A6603" t="str">
            <v>M.PT.0002735</v>
          </cell>
        </row>
        <row r="6604">
          <cell r="A6604" t="str">
            <v>M.PT.0002736</v>
          </cell>
        </row>
        <row r="6605">
          <cell r="A6605" t="str">
            <v>M.PT.0002737</v>
          </cell>
        </row>
        <row r="6606">
          <cell r="A6606" t="str">
            <v>M.PT.0002738</v>
          </cell>
        </row>
        <row r="6607">
          <cell r="A6607" t="str">
            <v>M.PT.0002739</v>
          </cell>
        </row>
        <row r="6608">
          <cell r="A6608" t="str">
            <v>M.PT.0002740</v>
          </cell>
        </row>
        <row r="6609">
          <cell r="A6609" t="str">
            <v>M.PT.0002741</v>
          </cell>
        </row>
        <row r="6610">
          <cell r="A6610" t="str">
            <v>M.PT.0002742</v>
          </cell>
        </row>
        <row r="6611">
          <cell r="A6611" t="str">
            <v>M.PT.0002743</v>
          </cell>
        </row>
        <row r="6612">
          <cell r="A6612" t="str">
            <v>M.PT.0002744</v>
          </cell>
        </row>
        <row r="6613">
          <cell r="A6613" t="str">
            <v>M.PT.0002745</v>
          </cell>
        </row>
        <row r="6614">
          <cell r="A6614" t="str">
            <v>M.PT.0002746</v>
          </cell>
        </row>
        <row r="6615">
          <cell r="A6615" t="str">
            <v>M.PT.0002747</v>
          </cell>
        </row>
        <row r="6616">
          <cell r="A6616" t="str">
            <v>M.PT.0002748</v>
          </cell>
        </row>
        <row r="6617">
          <cell r="A6617" t="str">
            <v>M.PT.0002749</v>
          </cell>
        </row>
        <row r="6618">
          <cell r="A6618" t="str">
            <v>M.PT.0002750</v>
          </cell>
        </row>
        <row r="6619">
          <cell r="A6619" t="str">
            <v>M.PT.0002751</v>
          </cell>
        </row>
        <row r="6620">
          <cell r="A6620" t="str">
            <v>M.PT.0002752</v>
          </cell>
        </row>
        <row r="6621">
          <cell r="A6621" t="str">
            <v>M.PT.0002753</v>
          </cell>
        </row>
        <row r="6622">
          <cell r="A6622" t="str">
            <v>M.PT.0002754</v>
          </cell>
        </row>
        <row r="6623">
          <cell r="A6623" t="str">
            <v>M.PT.0002755</v>
          </cell>
        </row>
        <row r="6624">
          <cell r="A6624" t="str">
            <v>M.PT.0002756</v>
          </cell>
        </row>
        <row r="6625">
          <cell r="A6625" t="str">
            <v>M.PT.0002757</v>
          </cell>
        </row>
        <row r="6626">
          <cell r="A6626" t="str">
            <v>M.PT.0002758</v>
          </cell>
        </row>
        <row r="6627">
          <cell r="A6627" t="str">
            <v>M.PT.0002759</v>
          </cell>
        </row>
        <row r="6628">
          <cell r="A6628" t="str">
            <v>M.PT.0002760</v>
          </cell>
        </row>
        <row r="6629">
          <cell r="A6629" t="str">
            <v>M.PT.0002761</v>
          </cell>
        </row>
        <row r="6630">
          <cell r="A6630" t="str">
            <v>M.PT.0002762</v>
          </cell>
        </row>
        <row r="6631">
          <cell r="A6631" t="str">
            <v>M.PT.0002763</v>
          </cell>
        </row>
        <row r="6632">
          <cell r="A6632" t="str">
            <v>M.PT.0002764</v>
          </cell>
        </row>
        <row r="6633">
          <cell r="A6633" t="str">
            <v>M.PT.0002765</v>
          </cell>
        </row>
        <row r="6634">
          <cell r="A6634" t="str">
            <v>M.PT.0002766</v>
          </cell>
        </row>
        <row r="6635">
          <cell r="A6635" t="str">
            <v>M.PT.0002767</v>
          </cell>
        </row>
        <row r="6636">
          <cell r="A6636" t="str">
            <v>M.PT.0002768</v>
          </cell>
        </row>
        <row r="6637">
          <cell r="A6637" t="str">
            <v>M.PT.0002769</v>
          </cell>
        </row>
        <row r="6638">
          <cell r="A6638" t="str">
            <v>M.PT.0002770</v>
          </cell>
        </row>
        <row r="6639">
          <cell r="A6639" t="str">
            <v>M.PT.0002771</v>
          </cell>
        </row>
        <row r="6640">
          <cell r="A6640" t="str">
            <v>M.PT.0002772</v>
          </cell>
        </row>
        <row r="6641">
          <cell r="A6641" t="str">
            <v>M.PT.0002773</v>
          </cell>
        </row>
        <row r="6642">
          <cell r="A6642" t="str">
            <v>M.PT.0002774</v>
          </cell>
        </row>
        <row r="6643">
          <cell r="A6643" t="str">
            <v>M.PT.0002775</v>
          </cell>
        </row>
        <row r="6644">
          <cell r="A6644" t="str">
            <v>M.PT.0002776</v>
          </cell>
        </row>
        <row r="6645">
          <cell r="A6645" t="str">
            <v>M.PT.0002777</v>
          </cell>
        </row>
        <row r="6646">
          <cell r="A6646" t="str">
            <v>M.PT.0002778</v>
          </cell>
        </row>
        <row r="6647">
          <cell r="A6647" t="str">
            <v>M.PT.0002779</v>
          </cell>
        </row>
        <row r="6648">
          <cell r="A6648" t="str">
            <v>M.PT.0002780</v>
          </cell>
        </row>
        <row r="6649">
          <cell r="A6649" t="str">
            <v>M.PT.0002781</v>
          </cell>
        </row>
        <row r="6650">
          <cell r="A6650" t="str">
            <v>M.PT.0002782</v>
          </cell>
        </row>
        <row r="6651">
          <cell r="A6651" t="str">
            <v>M.PT.0002783</v>
          </cell>
        </row>
        <row r="6652">
          <cell r="A6652" t="str">
            <v>M.PT.0002784</v>
          </cell>
        </row>
        <row r="6653">
          <cell r="A6653" t="str">
            <v>M.PT.0002785</v>
          </cell>
        </row>
        <row r="6654">
          <cell r="A6654" t="str">
            <v>M.PT.0002786</v>
          </cell>
        </row>
        <row r="6655">
          <cell r="A6655" t="str">
            <v>M.PT.0002787</v>
          </cell>
        </row>
        <row r="6656">
          <cell r="A6656" t="str">
            <v>M.PT.0002788</v>
          </cell>
        </row>
        <row r="6657">
          <cell r="A6657" t="str">
            <v>M.PT.0002789</v>
          </cell>
        </row>
        <row r="6658">
          <cell r="A6658" t="str">
            <v>M.PT.0002790</v>
          </cell>
        </row>
        <row r="6659">
          <cell r="A6659" t="str">
            <v>M.PT.0002791</v>
          </cell>
        </row>
        <row r="6660">
          <cell r="A6660" t="str">
            <v>M.PT.0002792</v>
          </cell>
        </row>
        <row r="6661">
          <cell r="A6661" t="str">
            <v>M.PT.0002793</v>
          </cell>
        </row>
        <row r="6662">
          <cell r="A6662" t="str">
            <v>M.PT.0002794</v>
          </cell>
        </row>
        <row r="6663">
          <cell r="A6663" t="str">
            <v>M.PT.0002795</v>
          </cell>
        </row>
        <row r="6664">
          <cell r="A6664" t="str">
            <v>M.PT.0002796</v>
          </cell>
        </row>
        <row r="6665">
          <cell r="A6665" t="str">
            <v>M.PT.0002797</v>
          </cell>
        </row>
        <row r="6666">
          <cell r="A6666" t="str">
            <v>M.PT.0002798</v>
          </cell>
        </row>
        <row r="6667">
          <cell r="A6667" t="str">
            <v>M.PT.0002799</v>
          </cell>
        </row>
        <row r="6668">
          <cell r="A6668" t="str">
            <v>M.PT.0002800</v>
          </cell>
        </row>
        <row r="6669">
          <cell r="A6669" t="str">
            <v>M.PT.0002801</v>
          </cell>
        </row>
        <row r="6670">
          <cell r="A6670" t="str">
            <v>M.PT.0002802</v>
          </cell>
        </row>
        <row r="6671">
          <cell r="A6671" t="str">
            <v>M.PT.0002803</v>
          </cell>
        </row>
        <row r="6672">
          <cell r="A6672" t="str">
            <v>M.PT.0002804</v>
          </cell>
        </row>
        <row r="6673">
          <cell r="A6673" t="str">
            <v>M.PT.0002805</v>
          </cell>
        </row>
        <row r="6674">
          <cell r="A6674" t="str">
            <v>M.PT.0002806</v>
          </cell>
        </row>
        <row r="6675">
          <cell r="A6675" t="str">
            <v>M.PT.0002807</v>
          </cell>
        </row>
        <row r="6676">
          <cell r="A6676" t="str">
            <v>M.PT.0002808</v>
          </cell>
        </row>
        <row r="6677">
          <cell r="A6677" t="str">
            <v>M.PT.0002809</v>
          </cell>
        </row>
        <row r="6678">
          <cell r="A6678" t="str">
            <v>M.PT.0002810</v>
          </cell>
        </row>
        <row r="6679">
          <cell r="A6679" t="str">
            <v>M.PT.0002811</v>
          </cell>
        </row>
        <row r="6680">
          <cell r="A6680" t="str">
            <v>M.PT.0002812</v>
          </cell>
        </row>
        <row r="6681">
          <cell r="A6681" t="str">
            <v>M.PT.0002813</v>
          </cell>
        </row>
        <row r="6682">
          <cell r="A6682" t="str">
            <v>M.PT.0002814</v>
          </cell>
        </row>
        <row r="6683">
          <cell r="A6683" t="str">
            <v>M.PT.0002815</v>
          </cell>
        </row>
        <row r="6684">
          <cell r="A6684" t="str">
            <v>M.PT.0002816</v>
          </cell>
        </row>
        <row r="6685">
          <cell r="A6685" t="str">
            <v>M.PT.0002817</v>
          </cell>
        </row>
        <row r="6686">
          <cell r="A6686" t="str">
            <v>M.PT.0002818</v>
          </cell>
        </row>
        <row r="6687">
          <cell r="A6687" t="str">
            <v>M.PT.0002819</v>
          </cell>
        </row>
        <row r="6688">
          <cell r="A6688" t="str">
            <v>M.PT.0002820</v>
          </cell>
        </row>
        <row r="6689">
          <cell r="A6689" t="str">
            <v>M.PT.0002821</v>
          </cell>
        </row>
        <row r="6690">
          <cell r="A6690" t="str">
            <v>M.PT.0002822</v>
          </cell>
        </row>
        <row r="6691">
          <cell r="A6691" t="str">
            <v>M.PT.0002823</v>
          </cell>
        </row>
        <row r="6692">
          <cell r="A6692" t="str">
            <v>M.PT.0002824</v>
          </cell>
        </row>
        <row r="6693">
          <cell r="A6693" t="str">
            <v>M.PT.0002825</v>
          </cell>
        </row>
        <row r="6694">
          <cell r="A6694" t="str">
            <v>M.PT.0002826</v>
          </cell>
        </row>
        <row r="6695">
          <cell r="A6695" t="str">
            <v>M.PT.0002827</v>
          </cell>
        </row>
        <row r="6696">
          <cell r="A6696" t="str">
            <v>M.PT.0002828</v>
          </cell>
        </row>
        <row r="6697">
          <cell r="A6697" t="str">
            <v>M.PT.0002829</v>
          </cell>
        </row>
        <row r="6698">
          <cell r="A6698" t="str">
            <v>M.PT.0002830</v>
          </cell>
        </row>
        <row r="6699">
          <cell r="A6699" t="str">
            <v>M.PT.0002831</v>
          </cell>
        </row>
        <row r="6700">
          <cell r="A6700" t="str">
            <v>M.PT.0002832</v>
          </cell>
        </row>
        <row r="6701">
          <cell r="A6701" t="str">
            <v>M.PT.0002833</v>
          </cell>
        </row>
        <row r="6702">
          <cell r="A6702" t="str">
            <v>M.PT.0002834</v>
          </cell>
        </row>
        <row r="6703">
          <cell r="A6703" t="str">
            <v>M.PT.0002835</v>
          </cell>
        </row>
        <row r="6704">
          <cell r="A6704" t="str">
            <v>M.PT.0002836</v>
          </cell>
        </row>
        <row r="6705">
          <cell r="A6705" t="str">
            <v>M.PT.0002837</v>
          </cell>
        </row>
        <row r="6706">
          <cell r="A6706" t="str">
            <v>M.PT.0002838</v>
          </cell>
        </row>
        <row r="6707">
          <cell r="A6707" t="str">
            <v>M.PT.0002839</v>
          </cell>
        </row>
        <row r="6708">
          <cell r="A6708" t="str">
            <v>M.PT.0002840</v>
          </cell>
        </row>
        <row r="6709">
          <cell r="A6709" t="str">
            <v>M.PT.0002841</v>
          </cell>
        </row>
        <row r="6710">
          <cell r="A6710" t="str">
            <v>M.PT.0002842</v>
          </cell>
        </row>
        <row r="6711">
          <cell r="A6711" t="str">
            <v>M.PT.0002843</v>
          </cell>
        </row>
        <row r="6712">
          <cell r="A6712" t="str">
            <v>M.PT.0002844</v>
          </cell>
        </row>
        <row r="6713">
          <cell r="A6713" t="str">
            <v>M.PT.0002845</v>
          </cell>
        </row>
        <row r="6714">
          <cell r="A6714" t="str">
            <v>M.PT.0002846</v>
          </cell>
        </row>
        <row r="6715">
          <cell r="A6715" t="str">
            <v>M.PT.0002847</v>
          </cell>
        </row>
        <row r="6716">
          <cell r="A6716" t="str">
            <v>M.PT.0002848</v>
          </cell>
        </row>
        <row r="6717">
          <cell r="A6717" t="str">
            <v>M.PT.0002849</v>
          </cell>
        </row>
        <row r="6718">
          <cell r="A6718" t="str">
            <v>M.PT.0002850</v>
          </cell>
        </row>
        <row r="6719">
          <cell r="A6719" t="str">
            <v>M.PT.0002851</v>
          </cell>
        </row>
        <row r="6720">
          <cell r="A6720" t="str">
            <v>M.PT.0002852</v>
          </cell>
        </row>
        <row r="6721">
          <cell r="A6721" t="str">
            <v>M.PT.0002853</v>
          </cell>
        </row>
        <row r="6722">
          <cell r="A6722" t="str">
            <v>M.PT.0002854</v>
          </cell>
        </row>
        <row r="6723">
          <cell r="A6723" t="str">
            <v>M.PT.0002855</v>
          </cell>
        </row>
        <row r="6724">
          <cell r="A6724" t="str">
            <v>M.PT.0002856</v>
          </cell>
        </row>
        <row r="6725">
          <cell r="A6725" t="str">
            <v>M.PT.0002857</v>
          </cell>
        </row>
        <row r="6726">
          <cell r="A6726" t="str">
            <v>M.PT.0002858</v>
          </cell>
        </row>
        <row r="6727">
          <cell r="A6727" t="str">
            <v>M.PT.0002859</v>
          </cell>
        </row>
        <row r="6728">
          <cell r="A6728" t="str">
            <v>M.PT.0002860</v>
          </cell>
        </row>
        <row r="6729">
          <cell r="A6729" t="str">
            <v>M.PT.0002861</v>
          </cell>
        </row>
        <row r="6730">
          <cell r="A6730" t="str">
            <v>M.PT.0002862</v>
          </cell>
        </row>
        <row r="6731">
          <cell r="A6731" t="str">
            <v>M.PT.0002863</v>
          </cell>
        </row>
        <row r="6732">
          <cell r="A6732" t="str">
            <v>M.PT.0002864</v>
          </cell>
        </row>
        <row r="6733">
          <cell r="A6733" t="str">
            <v>M.PT.0002865</v>
          </cell>
        </row>
        <row r="6734">
          <cell r="A6734" t="str">
            <v>M.PT.0002866</v>
          </cell>
        </row>
        <row r="6735">
          <cell r="A6735" t="str">
            <v>M.PT.0002867</v>
          </cell>
        </row>
        <row r="6736">
          <cell r="A6736" t="str">
            <v>M.PT.0002868</v>
          </cell>
        </row>
        <row r="6737">
          <cell r="A6737" t="str">
            <v>M.PT.0002869</v>
          </cell>
        </row>
        <row r="6738">
          <cell r="A6738" t="str">
            <v>M.PT.0002870</v>
          </cell>
        </row>
        <row r="6739">
          <cell r="A6739" t="str">
            <v>M.PT.0002871</v>
          </cell>
        </row>
        <row r="6740">
          <cell r="A6740" t="str">
            <v>M.PT.0002872</v>
          </cell>
        </row>
        <row r="6741">
          <cell r="A6741" t="str">
            <v>M.PT.0002873</v>
          </cell>
        </row>
        <row r="6742">
          <cell r="A6742" t="str">
            <v>M.PT.0002874</v>
          </cell>
        </row>
        <row r="6743">
          <cell r="A6743" t="str">
            <v>M.PT.0002875</v>
          </cell>
        </row>
        <row r="6744">
          <cell r="A6744" t="str">
            <v>M.PT.0002876</v>
          </cell>
        </row>
        <row r="6745">
          <cell r="A6745" t="str">
            <v>M.PT.0002877</v>
          </cell>
        </row>
        <row r="6746">
          <cell r="A6746" t="str">
            <v>M.PT.0002878</v>
          </cell>
        </row>
        <row r="6747">
          <cell r="A6747" t="str">
            <v>M.PT.0002879</v>
          </cell>
        </row>
        <row r="6748">
          <cell r="A6748" t="str">
            <v>M.PT.0002880</v>
          </cell>
        </row>
        <row r="6749">
          <cell r="A6749" t="str">
            <v>M.PT.0002881</v>
          </cell>
        </row>
        <row r="6750">
          <cell r="A6750" t="str">
            <v>M.PT.0002882</v>
          </cell>
        </row>
        <row r="6751">
          <cell r="A6751" t="str">
            <v>M.PT.0002883</v>
          </cell>
        </row>
        <row r="6752">
          <cell r="A6752" t="str">
            <v>M.PT.0002884</v>
          </cell>
        </row>
        <row r="6753">
          <cell r="A6753" t="str">
            <v>M.PT.0002885</v>
          </cell>
        </row>
        <row r="6754">
          <cell r="A6754" t="str">
            <v>M.PT.0002886</v>
          </cell>
        </row>
        <row r="6755">
          <cell r="A6755" t="str">
            <v>M.PT.0002887</v>
          </cell>
        </row>
        <row r="6756">
          <cell r="A6756" t="str">
            <v>M.PT.0002888</v>
          </cell>
        </row>
        <row r="6757">
          <cell r="A6757" t="str">
            <v>M.PT.0002889</v>
          </cell>
        </row>
        <row r="6758">
          <cell r="A6758" t="str">
            <v>M.PT.0002890</v>
          </cell>
        </row>
        <row r="6759">
          <cell r="A6759" t="str">
            <v>M.PT.0002891</v>
          </cell>
        </row>
        <row r="6760">
          <cell r="A6760" t="str">
            <v>M.PT.0002892</v>
          </cell>
        </row>
        <row r="6761">
          <cell r="A6761" t="str">
            <v>M.PT.0002893</v>
          </cell>
        </row>
        <row r="6762">
          <cell r="A6762" t="str">
            <v>M.PT.0002894</v>
          </cell>
        </row>
        <row r="6763">
          <cell r="A6763" t="str">
            <v>M.PT.0002895</v>
          </cell>
        </row>
        <row r="6764">
          <cell r="A6764" t="str">
            <v>M.PT.0002896</v>
          </cell>
        </row>
        <row r="6765">
          <cell r="A6765" t="str">
            <v>M.PT.0002897</v>
          </cell>
        </row>
        <row r="6766">
          <cell r="A6766" t="str">
            <v>M.PT.0002898</v>
          </cell>
        </row>
        <row r="6767">
          <cell r="A6767" t="str">
            <v>M.PT.0002899</v>
          </cell>
        </row>
        <row r="6768">
          <cell r="A6768" t="str">
            <v>M.PT.0002900</v>
          </cell>
        </row>
        <row r="6769">
          <cell r="A6769" t="str">
            <v>M.PT.0002901</v>
          </cell>
        </row>
        <row r="6770">
          <cell r="A6770" t="str">
            <v>M.PT.0002902</v>
          </cell>
        </row>
        <row r="6771">
          <cell r="A6771" t="str">
            <v>M.PT.0002903</v>
          </cell>
        </row>
        <row r="6772">
          <cell r="A6772" t="str">
            <v>M.PT.0002904</v>
          </cell>
        </row>
        <row r="6773">
          <cell r="A6773" t="str">
            <v>M.PT.0002905</v>
          </cell>
        </row>
        <row r="6774">
          <cell r="A6774" t="str">
            <v>M.PT.0002906</v>
          </cell>
        </row>
        <row r="6775">
          <cell r="A6775" t="str">
            <v>M.PT.0002907</v>
          </cell>
        </row>
        <row r="6776">
          <cell r="A6776" t="str">
            <v>M.PT.0002908</v>
          </cell>
        </row>
        <row r="6777">
          <cell r="A6777" t="str">
            <v>M.PT.0002909</v>
          </cell>
        </row>
        <row r="6778">
          <cell r="A6778" t="str">
            <v>M.PT.0002910</v>
          </cell>
        </row>
        <row r="6779">
          <cell r="A6779" t="str">
            <v>M.PT.0002911</v>
          </cell>
        </row>
        <row r="6780">
          <cell r="A6780" t="str">
            <v>M.PT.0002912</v>
          </cell>
        </row>
        <row r="6781">
          <cell r="A6781" t="str">
            <v>M.PT.0002913</v>
          </cell>
        </row>
        <row r="6782">
          <cell r="A6782" t="str">
            <v>M.PT.0002914</v>
          </cell>
        </row>
        <row r="6783">
          <cell r="A6783" t="str">
            <v>M.PT.0002915</v>
          </cell>
        </row>
        <row r="6784">
          <cell r="A6784" t="str">
            <v>M.PT.0002916</v>
          </cell>
        </row>
        <row r="6785">
          <cell r="A6785" t="str">
            <v>M.PT.0002917</v>
          </cell>
        </row>
        <row r="6786">
          <cell r="A6786" t="str">
            <v>M.PT.0002918</v>
          </cell>
        </row>
        <row r="6787">
          <cell r="A6787" t="str">
            <v>M.PT.0002919</v>
          </cell>
        </row>
        <row r="6788">
          <cell r="A6788" t="str">
            <v>M.PT.0002920</v>
          </cell>
        </row>
        <row r="6789">
          <cell r="A6789" t="str">
            <v>M.PT.0002921</v>
          </cell>
        </row>
        <row r="6790">
          <cell r="A6790" t="str">
            <v>M.PT.0002922</v>
          </cell>
        </row>
        <row r="6791">
          <cell r="A6791" t="str">
            <v>M.PT.0002923</v>
          </cell>
        </row>
        <row r="6792">
          <cell r="A6792" t="str">
            <v>M.PT.0002924</v>
          </cell>
        </row>
        <row r="6793">
          <cell r="A6793" t="str">
            <v>M.PT.0002925</v>
          </cell>
        </row>
        <row r="6794">
          <cell r="A6794" t="str">
            <v>M.PT.0002926</v>
          </cell>
        </row>
        <row r="6795">
          <cell r="A6795" t="str">
            <v>M.PT.0002927</v>
          </cell>
        </row>
        <row r="6796">
          <cell r="A6796" t="str">
            <v>M.PT.0002928</v>
          </cell>
        </row>
        <row r="6797">
          <cell r="A6797" t="str">
            <v>M.PT.0002929</v>
          </cell>
        </row>
        <row r="6798">
          <cell r="A6798" t="str">
            <v>M.PT.0002930</v>
          </cell>
        </row>
        <row r="6799">
          <cell r="A6799" t="str">
            <v>M.PT.0002931</v>
          </cell>
        </row>
        <row r="6800">
          <cell r="A6800" t="str">
            <v>M.PT.0002932</v>
          </cell>
        </row>
        <row r="6801">
          <cell r="A6801" t="str">
            <v>M.PT.0002933</v>
          </cell>
        </row>
        <row r="6802">
          <cell r="A6802" t="str">
            <v>M.PT.0002934</v>
          </cell>
        </row>
        <row r="6803">
          <cell r="A6803" t="str">
            <v>M.PT.0002935</v>
          </cell>
        </row>
        <row r="6804">
          <cell r="A6804" t="str">
            <v>M.PT.0002936</v>
          </cell>
        </row>
        <row r="6805">
          <cell r="A6805" t="str">
            <v>M.PT.0002937</v>
          </cell>
        </row>
        <row r="6806">
          <cell r="A6806" t="str">
            <v>M.PT.0002938</v>
          </cell>
        </row>
        <row r="6807">
          <cell r="A6807" t="str">
            <v>M.PT.0002939</v>
          </cell>
        </row>
        <row r="6808">
          <cell r="A6808" t="str">
            <v>M.PT.0002940</v>
          </cell>
        </row>
        <row r="6809">
          <cell r="A6809" t="str">
            <v>M.PT.0002941</v>
          </cell>
        </row>
        <row r="6810">
          <cell r="A6810" t="str">
            <v>M.PT.0002942</v>
          </cell>
        </row>
        <row r="6811">
          <cell r="A6811" t="str">
            <v>M.PT.0002943</v>
          </cell>
        </row>
        <row r="6812">
          <cell r="A6812" t="str">
            <v>M.PT.0002944</v>
          </cell>
        </row>
        <row r="6813">
          <cell r="A6813" t="str">
            <v>M.PT.0002945</v>
          </cell>
        </row>
        <row r="6814">
          <cell r="A6814" t="str">
            <v>M.PT.0002946</v>
          </cell>
        </row>
        <row r="6815">
          <cell r="A6815" t="str">
            <v>M.PT.0002947</v>
          </cell>
        </row>
        <row r="6816">
          <cell r="A6816" t="str">
            <v>M.PT.0002948</v>
          </cell>
        </row>
        <row r="6817">
          <cell r="A6817" t="str">
            <v>M.PT.0002949</v>
          </cell>
        </row>
        <row r="6818">
          <cell r="A6818" t="str">
            <v>M.PT.0002950</v>
          </cell>
        </row>
        <row r="6819">
          <cell r="A6819" t="str">
            <v>M.PT.0002951</v>
          </cell>
        </row>
        <row r="6820">
          <cell r="A6820" t="str">
            <v>M.PT.0002952</v>
          </cell>
        </row>
        <row r="6821">
          <cell r="A6821" t="str">
            <v>M.PT.0002953</v>
          </cell>
        </row>
        <row r="6822">
          <cell r="A6822" t="str">
            <v>M.PT.0002954</v>
          </cell>
        </row>
        <row r="6823">
          <cell r="A6823" t="str">
            <v>M.PT.0002955</v>
          </cell>
        </row>
        <row r="6824">
          <cell r="A6824" t="str">
            <v>M.PT.0002956</v>
          </cell>
        </row>
        <row r="6825">
          <cell r="A6825" t="str">
            <v>M.PT.0002957</v>
          </cell>
        </row>
        <row r="6826">
          <cell r="A6826" t="str">
            <v>M.PT.0002958</v>
          </cell>
        </row>
        <row r="6827">
          <cell r="A6827" t="str">
            <v>M.PT.0002959</v>
          </cell>
        </row>
        <row r="6828">
          <cell r="A6828" t="str">
            <v>M.PT.0002960</v>
          </cell>
        </row>
        <row r="6829">
          <cell r="A6829" t="str">
            <v>M.PT.0002961</v>
          </cell>
        </row>
        <row r="6830">
          <cell r="A6830" t="str">
            <v>M.PT.0002962</v>
          </cell>
        </row>
        <row r="6831">
          <cell r="A6831" t="str">
            <v>M.PT.0002963</v>
          </cell>
        </row>
        <row r="6832">
          <cell r="A6832" t="str">
            <v>M.PT.0002964</v>
          </cell>
        </row>
        <row r="6833">
          <cell r="A6833" t="str">
            <v>M.PT.0002965</v>
          </cell>
        </row>
        <row r="6834">
          <cell r="A6834" t="str">
            <v>M.PT.0002966</v>
          </cell>
        </row>
        <row r="6835">
          <cell r="A6835" t="str">
            <v>M.PT.0002967</v>
          </cell>
        </row>
        <row r="6836">
          <cell r="A6836" t="str">
            <v>M.PT.0002968</v>
          </cell>
        </row>
        <row r="6837">
          <cell r="A6837" t="str">
            <v>M.PT.0002969</v>
          </cell>
        </row>
        <row r="6838">
          <cell r="A6838" t="str">
            <v>M.PT.0002970</v>
          </cell>
        </row>
        <row r="6839">
          <cell r="A6839" t="str">
            <v>M.PT.0002971</v>
          </cell>
        </row>
        <row r="6840">
          <cell r="A6840" t="str">
            <v>M.PT.0002972</v>
          </cell>
        </row>
        <row r="6841">
          <cell r="A6841" t="str">
            <v>M.PT.0002973</v>
          </cell>
        </row>
        <row r="6842">
          <cell r="A6842" t="str">
            <v>M.PT.0002974</v>
          </cell>
        </row>
        <row r="6843">
          <cell r="A6843" t="str">
            <v>M.PT.0002975</v>
          </cell>
        </row>
        <row r="6844">
          <cell r="A6844" t="str">
            <v>M.PT.0002976</v>
          </cell>
        </row>
        <row r="6845">
          <cell r="A6845" t="str">
            <v>M.PT.0002977</v>
          </cell>
        </row>
        <row r="6846">
          <cell r="A6846" t="str">
            <v>M.PT.0002978</v>
          </cell>
        </row>
        <row r="6847">
          <cell r="A6847" t="str">
            <v>M.PT.0002979</v>
          </cell>
        </row>
        <row r="6848">
          <cell r="A6848" t="str">
            <v>M.PT.0002980</v>
          </cell>
        </row>
        <row r="6849">
          <cell r="A6849" t="str">
            <v>M.PT.0002981</v>
          </cell>
        </row>
        <row r="6850">
          <cell r="A6850" t="str">
            <v>M.PT.0002982</v>
          </cell>
        </row>
        <row r="6851">
          <cell r="A6851" t="str">
            <v>M.PT.0002983</v>
          </cell>
        </row>
        <row r="6852">
          <cell r="A6852" t="str">
            <v>M.PT.0002984</v>
          </cell>
        </row>
        <row r="6853">
          <cell r="A6853" t="str">
            <v>M.PT.0002985</v>
          </cell>
        </row>
        <row r="6854">
          <cell r="A6854" t="str">
            <v>M.PT.0002986</v>
          </cell>
        </row>
        <row r="6855">
          <cell r="A6855" t="str">
            <v>M.PT.0002987</v>
          </cell>
        </row>
        <row r="6856">
          <cell r="A6856" t="str">
            <v>M.PT.0002988</v>
          </cell>
        </row>
        <row r="6857">
          <cell r="A6857" t="str">
            <v>M.PT.0002989</v>
          </cell>
        </row>
        <row r="6858">
          <cell r="A6858" t="str">
            <v>M.PT.0002990</v>
          </cell>
        </row>
        <row r="6859">
          <cell r="A6859" t="str">
            <v>M.PT.0002991</v>
          </cell>
        </row>
        <row r="6860">
          <cell r="A6860" t="str">
            <v>M.PT.0002992</v>
          </cell>
        </row>
        <row r="6861">
          <cell r="A6861" t="str">
            <v>M.PT.0002993</v>
          </cell>
        </row>
        <row r="6862">
          <cell r="A6862" t="str">
            <v>M.PT.0002994</v>
          </cell>
        </row>
        <row r="6863">
          <cell r="A6863" t="str">
            <v>M.PT.0002995</v>
          </cell>
        </row>
        <row r="6864">
          <cell r="A6864" t="str">
            <v>M.PT.0002996</v>
          </cell>
        </row>
        <row r="6865">
          <cell r="A6865" t="str">
            <v>M.PT.0002997</v>
          </cell>
        </row>
        <row r="6866">
          <cell r="A6866" t="str">
            <v>M.PT.0002998</v>
          </cell>
        </row>
        <row r="6867">
          <cell r="A6867" t="str">
            <v>M.PT.0002999</v>
          </cell>
        </row>
        <row r="6868">
          <cell r="A6868" t="str">
            <v>M.PT.0003000</v>
          </cell>
        </row>
        <row r="6869">
          <cell r="A6869" t="str">
            <v>M.PT.0003001</v>
          </cell>
        </row>
        <row r="6870">
          <cell r="A6870" t="str">
            <v>M.PT.0003002</v>
          </cell>
        </row>
        <row r="6871">
          <cell r="A6871" t="str">
            <v>M.PT.0003003</v>
          </cell>
        </row>
        <row r="6872">
          <cell r="A6872" t="str">
            <v>M.PT.0003004</v>
          </cell>
        </row>
        <row r="6873">
          <cell r="A6873" t="str">
            <v>M.PT.0003005</v>
          </cell>
        </row>
        <row r="6874">
          <cell r="A6874" t="str">
            <v>M.PT.0003006</v>
          </cell>
        </row>
        <row r="6875">
          <cell r="A6875" t="str">
            <v>M.PT.0003007</v>
          </cell>
        </row>
        <row r="6876">
          <cell r="A6876" t="str">
            <v>M.PT.0003008</v>
          </cell>
        </row>
        <row r="6877">
          <cell r="A6877" t="str">
            <v>M.PT.0003009</v>
          </cell>
        </row>
        <row r="6878">
          <cell r="A6878" t="str">
            <v>M.PT.0003010</v>
          </cell>
        </row>
        <row r="6879">
          <cell r="A6879" t="str">
            <v>M.PT.0003011</v>
          </cell>
        </row>
        <row r="6880">
          <cell r="A6880" t="str">
            <v>M.PT.0003012</v>
          </cell>
        </row>
        <row r="6881">
          <cell r="A6881" t="str">
            <v>M.PT.0003013</v>
          </cell>
        </row>
        <row r="6882">
          <cell r="A6882" t="str">
            <v>M.PT.0003014</v>
          </cell>
        </row>
        <row r="6883">
          <cell r="A6883" t="str">
            <v>M.PT.0003015</v>
          </cell>
        </row>
        <row r="6884">
          <cell r="A6884" t="str">
            <v>M.PT.0003016</v>
          </cell>
        </row>
        <row r="6885">
          <cell r="A6885" t="str">
            <v>M.PT.0003017</v>
          </cell>
        </row>
        <row r="6886">
          <cell r="A6886" t="str">
            <v>M.PT.0003018</v>
          </cell>
        </row>
        <row r="6887">
          <cell r="A6887" t="str">
            <v>M.PT.0003019</v>
          </cell>
        </row>
        <row r="6888">
          <cell r="A6888" t="str">
            <v>M.PT.0003020</v>
          </cell>
        </row>
        <row r="6889">
          <cell r="A6889" t="str">
            <v>M.PT.0003021</v>
          </cell>
        </row>
        <row r="6890">
          <cell r="A6890" t="str">
            <v>M.PT.0003022</v>
          </cell>
        </row>
        <row r="6891">
          <cell r="A6891" t="str">
            <v>M.PT.0003023</v>
          </cell>
        </row>
        <row r="6892">
          <cell r="A6892" t="str">
            <v>M.PT.0003024</v>
          </cell>
        </row>
        <row r="6893">
          <cell r="A6893" t="str">
            <v>M.PT.0003025</v>
          </cell>
        </row>
        <row r="6894">
          <cell r="A6894" t="str">
            <v>M.PT.0003026</v>
          </cell>
        </row>
        <row r="6895">
          <cell r="A6895" t="str">
            <v>M.PT.0003027</v>
          </cell>
        </row>
        <row r="6896">
          <cell r="A6896" t="str">
            <v>M.PT.0003028</v>
          </cell>
        </row>
        <row r="6897">
          <cell r="A6897" t="str">
            <v>M.PT.0003029</v>
          </cell>
        </row>
        <row r="6898">
          <cell r="A6898" t="str">
            <v>M.PT.0003030</v>
          </cell>
        </row>
        <row r="6899">
          <cell r="A6899" t="str">
            <v>M.PT.0003031</v>
          </cell>
        </row>
        <row r="6900">
          <cell r="A6900" t="str">
            <v>M.PT.0003032</v>
          </cell>
        </row>
        <row r="6901">
          <cell r="A6901" t="str">
            <v>M.PT.0003033</v>
          </cell>
        </row>
        <row r="6902">
          <cell r="A6902" t="str">
            <v>M.PT.0003034</v>
          </cell>
        </row>
        <row r="6903">
          <cell r="A6903" t="str">
            <v>M.PT.0003035</v>
          </cell>
        </row>
        <row r="6904">
          <cell r="A6904" t="str">
            <v>M.PT.0003036</v>
          </cell>
        </row>
        <row r="6905">
          <cell r="A6905" t="str">
            <v>M.PT.0003037</v>
          </cell>
        </row>
        <row r="6906">
          <cell r="A6906" t="str">
            <v>M.PT.0003038</v>
          </cell>
        </row>
        <row r="6907">
          <cell r="A6907" t="str">
            <v>M.PT.0003039</v>
          </cell>
        </row>
        <row r="6908">
          <cell r="A6908" t="str">
            <v>M.PT.0003040</v>
          </cell>
        </row>
        <row r="6909">
          <cell r="A6909" t="str">
            <v>M.PT.0003041</v>
          </cell>
        </row>
        <row r="6910">
          <cell r="A6910" t="str">
            <v>M.PT.0003042</v>
          </cell>
        </row>
        <row r="6911">
          <cell r="A6911" t="str">
            <v>M.PT.0003043</v>
          </cell>
        </row>
        <row r="6912">
          <cell r="A6912" t="str">
            <v>M.PT.0003044</v>
          </cell>
        </row>
        <row r="6913">
          <cell r="A6913" t="str">
            <v>M.PT.0003045</v>
          </cell>
        </row>
        <row r="6914">
          <cell r="A6914" t="str">
            <v>M.PT.0003046</v>
          </cell>
        </row>
        <row r="6915">
          <cell r="A6915" t="str">
            <v>M.PT.0003047</v>
          </cell>
        </row>
        <row r="6916">
          <cell r="A6916" t="str">
            <v>M.PT.0003048</v>
          </cell>
        </row>
        <row r="6917">
          <cell r="A6917" t="str">
            <v>M.PT.0003049</v>
          </cell>
        </row>
        <row r="6918">
          <cell r="A6918" t="str">
            <v>M.PT.0003050</v>
          </cell>
        </row>
        <row r="6919">
          <cell r="A6919" t="str">
            <v>M.PT.0003051</v>
          </cell>
        </row>
        <row r="6920">
          <cell r="A6920" t="str">
            <v>M.PT.0003052</v>
          </cell>
        </row>
        <row r="6921">
          <cell r="A6921" t="str">
            <v>M.PT.0003053</v>
          </cell>
        </row>
        <row r="6922">
          <cell r="A6922" t="str">
            <v>M.PT.0003054</v>
          </cell>
        </row>
        <row r="6923">
          <cell r="A6923" t="str">
            <v>M.PT.0003055</v>
          </cell>
        </row>
        <row r="6924">
          <cell r="A6924" t="str">
            <v>M.PT.0003056</v>
          </cell>
        </row>
        <row r="6925">
          <cell r="A6925" t="str">
            <v>M.PT.0003057</v>
          </cell>
        </row>
        <row r="6926">
          <cell r="A6926" t="str">
            <v>M.PT.0003058</v>
          </cell>
        </row>
        <row r="6927">
          <cell r="A6927" t="str">
            <v>M.PT.0003059</v>
          </cell>
        </row>
        <row r="6928">
          <cell r="A6928" t="str">
            <v>M.PT.0003060</v>
          </cell>
        </row>
        <row r="6929">
          <cell r="A6929" t="str">
            <v>M.PT.0003061</v>
          </cell>
        </row>
        <row r="6930">
          <cell r="A6930" t="str">
            <v>M.PT.0003062</v>
          </cell>
        </row>
        <row r="6931">
          <cell r="A6931" t="str">
            <v>M.PT.0003063</v>
          </cell>
        </row>
        <row r="6932">
          <cell r="A6932" t="str">
            <v>M.PT.0003064</v>
          </cell>
        </row>
        <row r="6933">
          <cell r="A6933" t="str">
            <v>M.PT.0003065</v>
          </cell>
        </row>
        <row r="6934">
          <cell r="A6934" t="str">
            <v>M.PT.0003066</v>
          </cell>
        </row>
        <row r="6935">
          <cell r="A6935" t="str">
            <v>M.PT.0003067</v>
          </cell>
        </row>
        <row r="6936">
          <cell r="A6936" t="str">
            <v>M.PT.0003068</v>
          </cell>
        </row>
        <row r="6937">
          <cell r="A6937" t="str">
            <v>M.PT.0003069</v>
          </cell>
        </row>
        <row r="6938">
          <cell r="A6938" t="str">
            <v>M.PT.0003070</v>
          </cell>
        </row>
        <row r="6939">
          <cell r="A6939" t="str">
            <v>M.PT.0003071</v>
          </cell>
        </row>
        <row r="6940">
          <cell r="A6940" t="str">
            <v>M.PT.0003072</v>
          </cell>
        </row>
        <row r="6941">
          <cell r="A6941" t="str">
            <v>M.PT.0003073</v>
          </cell>
        </row>
        <row r="6942">
          <cell r="A6942" t="str">
            <v>M.PT.0003074</v>
          </cell>
        </row>
        <row r="6943">
          <cell r="A6943" t="str">
            <v>M.PT.0003075</v>
          </cell>
        </row>
        <row r="6944">
          <cell r="A6944" t="str">
            <v>M.PT.0003076</v>
          </cell>
        </row>
        <row r="6945">
          <cell r="A6945" t="str">
            <v>M.PT.0003077</v>
          </cell>
        </row>
        <row r="6946">
          <cell r="A6946" t="str">
            <v>M.PT.0003078</v>
          </cell>
        </row>
        <row r="6947">
          <cell r="A6947" t="str">
            <v>M.PT.0003079</v>
          </cell>
        </row>
        <row r="6948">
          <cell r="A6948" t="str">
            <v>M.PT.0003080</v>
          </cell>
        </row>
        <row r="6949">
          <cell r="A6949" t="str">
            <v>M.PT.0003081</v>
          </cell>
        </row>
        <row r="6950">
          <cell r="A6950" t="str">
            <v>M.PT.0003082</v>
          </cell>
        </row>
        <row r="6951">
          <cell r="A6951" t="str">
            <v>M.PT.0003083</v>
          </cell>
        </row>
        <row r="6952">
          <cell r="A6952" t="str">
            <v>M.PT.0003084</v>
          </cell>
        </row>
        <row r="6953">
          <cell r="A6953" t="str">
            <v>M.PT.0003085</v>
          </cell>
        </row>
        <row r="6954">
          <cell r="A6954" t="str">
            <v>M.PT.0003086</v>
          </cell>
        </row>
        <row r="6955">
          <cell r="A6955" t="str">
            <v>M.PT.0003087</v>
          </cell>
        </row>
        <row r="6956">
          <cell r="A6956" t="str">
            <v>M.PT.0003088</v>
          </cell>
        </row>
        <row r="6957">
          <cell r="A6957" t="str">
            <v>M.PT.0003089</v>
          </cell>
        </row>
        <row r="6958">
          <cell r="A6958" t="str">
            <v>M.PT.0003090</v>
          </cell>
        </row>
        <row r="6959">
          <cell r="A6959" t="str">
            <v>M.PT.0003091</v>
          </cell>
        </row>
        <row r="6960">
          <cell r="A6960" t="str">
            <v>M.PT.0003092</v>
          </cell>
        </row>
        <row r="6961">
          <cell r="A6961" t="str">
            <v>M.PT.0003093</v>
          </cell>
        </row>
        <row r="6962">
          <cell r="A6962" t="str">
            <v>M.PT.0003094</v>
          </cell>
        </row>
        <row r="6963">
          <cell r="A6963" t="str">
            <v>M.PT.0003095</v>
          </cell>
        </row>
        <row r="6964">
          <cell r="A6964" t="str">
            <v>M.PT.0003096</v>
          </cell>
        </row>
        <row r="6965">
          <cell r="A6965" t="str">
            <v>M.PT.0003097</v>
          </cell>
        </row>
        <row r="6966">
          <cell r="A6966" t="str">
            <v>M.PT.0003098</v>
          </cell>
        </row>
        <row r="6967">
          <cell r="A6967" t="str">
            <v>M.PT.0003099</v>
          </cell>
        </row>
        <row r="6968">
          <cell r="A6968" t="str">
            <v>M.PT.0003100</v>
          </cell>
        </row>
        <row r="6969">
          <cell r="A6969" t="str">
            <v>M.PT.0003101</v>
          </cell>
        </row>
        <row r="6970">
          <cell r="A6970" t="str">
            <v>M.PT.0003102</v>
          </cell>
        </row>
        <row r="6971">
          <cell r="A6971" t="str">
            <v>M.PT.0003103</v>
          </cell>
        </row>
        <row r="6972">
          <cell r="A6972" t="str">
            <v>M.PT.0003104</v>
          </cell>
        </row>
        <row r="6973">
          <cell r="A6973" t="str">
            <v>M.PT.0003105</v>
          </cell>
        </row>
        <row r="6974">
          <cell r="A6974" t="str">
            <v>M.PT.0003106</v>
          </cell>
        </row>
        <row r="6975">
          <cell r="A6975" t="str">
            <v>M.PT.0003107</v>
          </cell>
        </row>
        <row r="6976">
          <cell r="A6976" t="str">
            <v>M.PT.0003108</v>
          </cell>
        </row>
        <row r="6977">
          <cell r="A6977" t="str">
            <v>M.PT.0003109</v>
          </cell>
        </row>
        <row r="6978">
          <cell r="A6978" t="str">
            <v>M.PT.0003110</v>
          </cell>
        </row>
        <row r="6979">
          <cell r="A6979" t="str">
            <v>M.PT.0003111</v>
          </cell>
        </row>
        <row r="6980">
          <cell r="A6980" t="str">
            <v>M.PT.0003112</v>
          </cell>
        </row>
        <row r="6981">
          <cell r="A6981" t="str">
            <v>M.PT.0003113</v>
          </cell>
        </row>
        <row r="6982">
          <cell r="A6982" t="str">
            <v>M.PT.0003114</v>
          </cell>
        </row>
        <row r="6983">
          <cell r="A6983" t="str">
            <v>M.PT.0003115</v>
          </cell>
        </row>
        <row r="6984">
          <cell r="A6984" t="str">
            <v>M.PT.0003116</v>
          </cell>
        </row>
        <row r="6985">
          <cell r="A6985" t="str">
            <v>M.PT.0003117</v>
          </cell>
        </row>
        <row r="6986">
          <cell r="A6986" t="str">
            <v>M.PT.0003118</v>
          </cell>
        </row>
        <row r="6987">
          <cell r="A6987" t="str">
            <v>M.PT.0003119</v>
          </cell>
        </row>
        <row r="6988">
          <cell r="A6988" t="str">
            <v>M.PT.0003120</v>
          </cell>
        </row>
        <row r="6989">
          <cell r="A6989" t="str">
            <v>M.PT.0003121</v>
          </cell>
        </row>
        <row r="6990">
          <cell r="A6990" t="str">
            <v>M.PT.0003122</v>
          </cell>
        </row>
        <row r="6991">
          <cell r="A6991" t="str">
            <v>M.PT.0003123</v>
          </cell>
        </row>
        <row r="6992">
          <cell r="A6992" t="str">
            <v>M.PT.0003124</v>
          </cell>
        </row>
        <row r="6993">
          <cell r="A6993" t="str">
            <v>M.PT.0003125</v>
          </cell>
        </row>
        <row r="6994">
          <cell r="A6994" t="str">
            <v>M.PT.0003126</v>
          </cell>
        </row>
        <row r="6995">
          <cell r="A6995" t="str">
            <v>M.PT.0003127</v>
          </cell>
        </row>
        <row r="6996">
          <cell r="A6996" t="str">
            <v>M.PT.0003128</v>
          </cell>
        </row>
        <row r="6997">
          <cell r="A6997" t="str">
            <v>M.PT.0003129</v>
          </cell>
        </row>
        <row r="6998">
          <cell r="A6998" t="str">
            <v>M.PT.0003130</v>
          </cell>
        </row>
        <row r="6999">
          <cell r="A6999" t="str">
            <v>M.PT.0003131</v>
          </cell>
        </row>
        <row r="7000">
          <cell r="A7000" t="str">
            <v>M.PT.0003132</v>
          </cell>
        </row>
        <row r="7001">
          <cell r="A7001" t="str">
            <v>M.PT.0003133</v>
          </cell>
        </row>
        <row r="7002">
          <cell r="A7002" t="str">
            <v>M.PT.0003134</v>
          </cell>
        </row>
        <row r="7003">
          <cell r="A7003" t="str">
            <v>M.PT.0003135</v>
          </cell>
        </row>
        <row r="7004">
          <cell r="A7004" t="str">
            <v>M.PT.0003136</v>
          </cell>
        </row>
        <row r="7005">
          <cell r="A7005" t="str">
            <v>M.PT.0003137</v>
          </cell>
        </row>
        <row r="7006">
          <cell r="A7006" t="str">
            <v>M.PT.0003138</v>
          </cell>
        </row>
        <row r="7007">
          <cell r="A7007" t="str">
            <v>M.PT.0003139</v>
          </cell>
        </row>
        <row r="7008">
          <cell r="A7008" t="str">
            <v>M.PT.0003140</v>
          </cell>
        </row>
        <row r="7009">
          <cell r="A7009" t="str">
            <v>M.PT.0003141</v>
          </cell>
        </row>
        <row r="7010">
          <cell r="A7010" t="str">
            <v>M.PT.0003142</v>
          </cell>
        </row>
        <row r="7011">
          <cell r="A7011" t="str">
            <v>M.PT.0003143</v>
          </cell>
        </row>
        <row r="7012">
          <cell r="A7012" t="str">
            <v>M.PT.0003144</v>
          </cell>
        </row>
        <row r="7013">
          <cell r="A7013" t="str">
            <v>M.PT.0003145</v>
          </cell>
        </row>
        <row r="7014">
          <cell r="A7014" t="str">
            <v>M.PT.0003146</v>
          </cell>
        </row>
        <row r="7015">
          <cell r="A7015" t="str">
            <v>M.PT.0003147</v>
          </cell>
        </row>
        <row r="7016">
          <cell r="A7016" t="str">
            <v>M.PT.0003148</v>
          </cell>
        </row>
        <row r="7017">
          <cell r="A7017" t="str">
            <v>M.PT.0003149</v>
          </cell>
        </row>
        <row r="7018">
          <cell r="A7018" t="str">
            <v>M.PT.0003150</v>
          </cell>
        </row>
        <row r="7019">
          <cell r="A7019" t="str">
            <v>M.PT.0003151</v>
          </cell>
        </row>
        <row r="7020">
          <cell r="A7020" t="str">
            <v>M.PT.0003152</v>
          </cell>
        </row>
        <row r="7021">
          <cell r="A7021" t="str">
            <v>M.PT.0003153</v>
          </cell>
        </row>
        <row r="7022">
          <cell r="A7022" t="str">
            <v>M.PT.0003154</v>
          </cell>
        </row>
        <row r="7023">
          <cell r="A7023" t="str">
            <v>M.PT.0003155</v>
          </cell>
        </row>
        <row r="7024">
          <cell r="A7024" t="str">
            <v>M.PT.0003156</v>
          </cell>
        </row>
        <row r="7025">
          <cell r="A7025" t="str">
            <v>M.PT.0003157</v>
          </cell>
        </row>
        <row r="7026">
          <cell r="A7026" t="str">
            <v>M.PT.0003158</v>
          </cell>
        </row>
        <row r="7027">
          <cell r="A7027" t="str">
            <v>M.PT.0003159</v>
          </cell>
        </row>
        <row r="7028">
          <cell r="A7028" t="str">
            <v>M.PT.0003160</v>
          </cell>
        </row>
        <row r="7029">
          <cell r="A7029" t="str">
            <v>M.PT.0003161</v>
          </cell>
        </row>
        <row r="7030">
          <cell r="A7030" t="str">
            <v>M.PT.0003162</v>
          </cell>
        </row>
        <row r="7031">
          <cell r="A7031" t="str">
            <v>M.PT.0003163</v>
          </cell>
        </row>
        <row r="7032">
          <cell r="A7032" t="str">
            <v>M.PT.0003164</v>
          </cell>
        </row>
        <row r="7033">
          <cell r="A7033" t="str">
            <v>M.PT.0003165</v>
          </cell>
        </row>
        <row r="7034">
          <cell r="A7034" t="str">
            <v>M.PT.0003166</v>
          </cell>
        </row>
        <row r="7035">
          <cell r="A7035" t="str">
            <v>M.PT.0003167</v>
          </cell>
        </row>
        <row r="7036">
          <cell r="A7036" t="str">
            <v>M.PT.0003168</v>
          </cell>
        </row>
        <row r="7037">
          <cell r="A7037" t="str">
            <v>M.PT.0003169</v>
          </cell>
        </row>
        <row r="7038">
          <cell r="A7038" t="str">
            <v>M.PT.0003170</v>
          </cell>
        </row>
        <row r="7039">
          <cell r="A7039" t="str">
            <v>M.PT.0003171</v>
          </cell>
        </row>
        <row r="7040">
          <cell r="A7040" t="str">
            <v>M.PT.0003172</v>
          </cell>
        </row>
        <row r="7041">
          <cell r="A7041" t="str">
            <v>M.PT.0003173</v>
          </cell>
        </row>
        <row r="7042">
          <cell r="A7042" t="str">
            <v>M.PT.0003174</v>
          </cell>
        </row>
        <row r="7043">
          <cell r="A7043" t="str">
            <v>M.PT.0003175</v>
          </cell>
        </row>
        <row r="7044">
          <cell r="A7044" t="str">
            <v>M.PT.0003176</v>
          </cell>
        </row>
        <row r="7045">
          <cell r="A7045" t="str">
            <v>M.PT.0003177</v>
          </cell>
        </row>
        <row r="7046">
          <cell r="A7046" t="str">
            <v>M.PT.0003178</v>
          </cell>
        </row>
        <row r="7047">
          <cell r="A7047" t="str">
            <v>M.PT.0003179</v>
          </cell>
        </row>
        <row r="7048">
          <cell r="A7048" t="str">
            <v>M.PT.0003180</v>
          </cell>
        </row>
        <row r="7049">
          <cell r="A7049" t="str">
            <v>M.PT.0003181</v>
          </cell>
        </row>
        <row r="7050">
          <cell r="A7050" t="str">
            <v>M.PT.0003182</v>
          </cell>
        </row>
        <row r="7051">
          <cell r="A7051" t="str">
            <v>M.PT.0003183</v>
          </cell>
        </row>
        <row r="7052">
          <cell r="A7052" t="str">
            <v>M.PT.0003184</v>
          </cell>
        </row>
        <row r="7053">
          <cell r="A7053" t="str">
            <v>M.PT.0003185</v>
          </cell>
        </row>
        <row r="7054">
          <cell r="A7054" t="str">
            <v>M.PT.0003186</v>
          </cell>
        </row>
        <row r="7055">
          <cell r="A7055" t="str">
            <v>M.PT.0003187</v>
          </cell>
        </row>
        <row r="7056">
          <cell r="A7056" t="str">
            <v>M.PT.0003188</v>
          </cell>
        </row>
        <row r="7057">
          <cell r="A7057" t="str">
            <v>M.PT.0003189</v>
          </cell>
        </row>
        <row r="7058">
          <cell r="A7058" t="str">
            <v>M.PT.0003190</v>
          </cell>
        </row>
        <row r="7059">
          <cell r="A7059" t="str">
            <v>M.PT.0003191</v>
          </cell>
        </row>
        <row r="7060">
          <cell r="A7060" t="str">
            <v>M.PT.0003192</v>
          </cell>
        </row>
        <row r="7061">
          <cell r="A7061" t="str">
            <v>M.PT.0003193</v>
          </cell>
        </row>
        <row r="7062">
          <cell r="A7062" t="str">
            <v>M.PT.0003194</v>
          </cell>
        </row>
        <row r="7063">
          <cell r="A7063" t="str">
            <v>M.PT.0003195</v>
          </cell>
        </row>
        <row r="7064">
          <cell r="A7064" t="str">
            <v>M.PT.0003196</v>
          </cell>
        </row>
        <row r="7065">
          <cell r="A7065" t="str">
            <v>M.PT.0003197</v>
          </cell>
        </row>
        <row r="7066">
          <cell r="A7066" t="str">
            <v>M.PT.0003198</v>
          </cell>
        </row>
        <row r="7067">
          <cell r="A7067" t="str">
            <v>M.PT.0003199</v>
          </cell>
        </row>
        <row r="7068">
          <cell r="A7068" t="str">
            <v>M.PT.0003200</v>
          </cell>
        </row>
        <row r="7069">
          <cell r="A7069" t="str">
            <v>M.PT.0003201</v>
          </cell>
        </row>
        <row r="7070">
          <cell r="A7070" t="str">
            <v>M.PT.0003202</v>
          </cell>
        </row>
        <row r="7071">
          <cell r="A7071" t="str">
            <v>M.PT.0003203</v>
          </cell>
        </row>
        <row r="7072">
          <cell r="A7072" t="str">
            <v>M.PT.0003204</v>
          </cell>
        </row>
        <row r="7073">
          <cell r="A7073" t="str">
            <v>M.PT.0003205</v>
          </cell>
        </row>
        <row r="7074">
          <cell r="A7074" t="str">
            <v>M.PT.0003206</v>
          </cell>
        </row>
        <row r="7075">
          <cell r="A7075" t="str">
            <v>M.PT.0003207</v>
          </cell>
        </row>
        <row r="7076">
          <cell r="A7076" t="str">
            <v>M.PT.0003208</v>
          </cell>
        </row>
        <row r="7077">
          <cell r="A7077" t="str">
            <v>M.PT.0003209</v>
          </cell>
        </row>
        <row r="7078">
          <cell r="A7078" t="str">
            <v>M.PT.0003210</v>
          </cell>
        </row>
        <row r="7079">
          <cell r="A7079" t="str">
            <v>M.PT.0003211</v>
          </cell>
        </row>
        <row r="7080">
          <cell r="A7080" t="str">
            <v>M.PT.0003212</v>
          </cell>
        </row>
        <row r="7081">
          <cell r="A7081" t="str">
            <v>M.PT.0003213</v>
          </cell>
        </row>
        <row r="7082">
          <cell r="A7082" t="str">
            <v>M.PT.0003214</v>
          </cell>
        </row>
        <row r="7083">
          <cell r="A7083" t="str">
            <v>M.PT.0003215</v>
          </cell>
        </row>
        <row r="7084">
          <cell r="A7084" t="str">
            <v>M.PT.0003216</v>
          </cell>
        </row>
        <row r="7085">
          <cell r="A7085" t="str">
            <v>M.PT.0003217</v>
          </cell>
        </row>
        <row r="7086">
          <cell r="A7086" t="str">
            <v>M.PT.0003218</v>
          </cell>
        </row>
        <row r="7087">
          <cell r="A7087" t="str">
            <v>M.PT.0003219</v>
          </cell>
        </row>
        <row r="7088">
          <cell r="A7088" t="str">
            <v>M.PT.0003220</v>
          </cell>
        </row>
        <row r="7089">
          <cell r="A7089" t="str">
            <v>M.PT.0003221</v>
          </cell>
        </row>
        <row r="7090">
          <cell r="A7090" t="str">
            <v>M.PT.0003222</v>
          </cell>
        </row>
        <row r="7091">
          <cell r="A7091" t="str">
            <v>M.PT.0003223</v>
          </cell>
        </row>
        <row r="7092">
          <cell r="A7092" t="str">
            <v>M.PT.0003224</v>
          </cell>
        </row>
        <row r="7093">
          <cell r="A7093" t="str">
            <v>M.PT.0003225</v>
          </cell>
        </row>
        <row r="7094">
          <cell r="A7094" t="str">
            <v>M.PT.0003226</v>
          </cell>
        </row>
        <row r="7095">
          <cell r="A7095" t="str">
            <v>M.PT.0003227</v>
          </cell>
        </row>
        <row r="7096">
          <cell r="A7096" t="str">
            <v>M.PT.0003228</v>
          </cell>
        </row>
        <row r="7097">
          <cell r="A7097" t="str">
            <v>M.PT.0003229</v>
          </cell>
        </row>
        <row r="7098">
          <cell r="A7098" t="str">
            <v>M.PT.0003230</v>
          </cell>
        </row>
        <row r="7099">
          <cell r="A7099" t="str">
            <v>M.PT.0003231</v>
          </cell>
        </row>
        <row r="7100">
          <cell r="A7100" t="str">
            <v>M.PT.0003232</v>
          </cell>
        </row>
        <row r="7101">
          <cell r="A7101" t="str">
            <v>M.PT.0003233</v>
          </cell>
        </row>
        <row r="7102">
          <cell r="A7102" t="str">
            <v>M.PT.0003234</v>
          </cell>
        </row>
        <row r="7103">
          <cell r="A7103" t="str">
            <v>M.PT.0003235</v>
          </cell>
        </row>
        <row r="7104">
          <cell r="A7104" t="str">
            <v>M.PT.0003236</v>
          </cell>
        </row>
        <row r="7105">
          <cell r="A7105" t="str">
            <v>M.PT.0003237</v>
          </cell>
        </row>
        <row r="7106">
          <cell r="A7106" t="str">
            <v>M.PT.0003238</v>
          </cell>
        </row>
        <row r="7107">
          <cell r="A7107" t="str">
            <v>M.PT.0003239</v>
          </cell>
        </row>
        <row r="7108">
          <cell r="A7108" t="str">
            <v>M.PT.0003240</v>
          </cell>
        </row>
        <row r="7109">
          <cell r="A7109" t="str">
            <v>M.PT.0003241</v>
          </cell>
        </row>
        <row r="7110">
          <cell r="A7110" t="str">
            <v>M.PT.0003242</v>
          </cell>
        </row>
        <row r="7111">
          <cell r="A7111" t="str">
            <v>M.PT.0003243</v>
          </cell>
        </row>
        <row r="7112">
          <cell r="A7112" t="str">
            <v>M.PT.0003244</v>
          </cell>
        </row>
        <row r="7113">
          <cell r="A7113" t="str">
            <v>M.PT.0003245</v>
          </cell>
        </row>
        <row r="7114">
          <cell r="A7114" t="str">
            <v>M.PT.0003246</v>
          </cell>
        </row>
        <row r="7115">
          <cell r="A7115" t="str">
            <v>M.PT.0003247</v>
          </cell>
        </row>
        <row r="7116">
          <cell r="A7116" t="str">
            <v>M.PT.0003248</v>
          </cell>
        </row>
        <row r="7117">
          <cell r="A7117" t="str">
            <v>M.PT.0003249</v>
          </cell>
        </row>
        <row r="7118">
          <cell r="A7118" t="str">
            <v>M.PT.0003250</v>
          </cell>
        </row>
        <row r="7119">
          <cell r="A7119" t="str">
            <v>M.PT.0003251</v>
          </cell>
        </row>
        <row r="7120">
          <cell r="A7120" t="str">
            <v>M.PT.0003252</v>
          </cell>
        </row>
        <row r="7121">
          <cell r="A7121" t="str">
            <v>M.PT.0003253</v>
          </cell>
        </row>
        <row r="7122">
          <cell r="A7122" t="str">
            <v>M.PT.0003254</v>
          </cell>
        </row>
        <row r="7123">
          <cell r="A7123" t="str">
            <v>M.PT.0003255</v>
          </cell>
        </row>
        <row r="7124">
          <cell r="A7124" t="str">
            <v>M.PT.0003256</v>
          </cell>
        </row>
        <row r="7125">
          <cell r="A7125" t="str">
            <v>M.PT.0003257</v>
          </cell>
        </row>
        <row r="7126">
          <cell r="A7126" t="str">
            <v>M.PT.0003258</v>
          </cell>
        </row>
        <row r="7127">
          <cell r="A7127" t="str">
            <v>M.PT.0003259</v>
          </cell>
        </row>
        <row r="7128">
          <cell r="A7128" t="str">
            <v>M.PT.0003260</v>
          </cell>
        </row>
        <row r="7129">
          <cell r="A7129" t="str">
            <v>M.PT.0003261</v>
          </cell>
        </row>
        <row r="7130">
          <cell r="A7130" t="str">
            <v>M.PT.0003262</v>
          </cell>
        </row>
        <row r="7131">
          <cell r="A7131" t="str">
            <v>M.PT.0003263</v>
          </cell>
        </row>
        <row r="7132">
          <cell r="A7132" t="str">
            <v>M.PT.0003264</v>
          </cell>
        </row>
        <row r="7133">
          <cell r="A7133" t="str">
            <v>M.PT.0003265</v>
          </cell>
        </row>
        <row r="7134">
          <cell r="A7134" t="str">
            <v>M.PT.0003266</v>
          </cell>
        </row>
        <row r="7135">
          <cell r="A7135" t="str">
            <v>M.PT.0003267</v>
          </cell>
        </row>
        <row r="7136">
          <cell r="A7136" t="str">
            <v>M.PT.0003268</v>
          </cell>
        </row>
        <row r="7137">
          <cell r="A7137" t="str">
            <v>M.PT.0003269</v>
          </cell>
        </row>
        <row r="7138">
          <cell r="A7138" t="str">
            <v>M.PT.0003270</v>
          </cell>
        </row>
        <row r="7139">
          <cell r="A7139" t="str">
            <v>M.PT.0003271</v>
          </cell>
        </row>
        <row r="7140">
          <cell r="A7140" t="str">
            <v>M.PT.0003272</v>
          </cell>
        </row>
        <row r="7141">
          <cell r="A7141" t="str">
            <v>M.PT.0003273</v>
          </cell>
        </row>
        <row r="7142">
          <cell r="A7142" t="str">
            <v>M.PT.0003274</v>
          </cell>
        </row>
        <row r="7143">
          <cell r="A7143" t="str">
            <v>M.PT.0003275</v>
          </cell>
        </row>
        <row r="7144">
          <cell r="A7144" t="str">
            <v>M.PT.0003276</v>
          </cell>
        </row>
        <row r="7145">
          <cell r="A7145" t="str">
            <v>M.PT.0003277</v>
          </cell>
        </row>
        <row r="7146">
          <cell r="A7146" t="str">
            <v>M.PT.0003278</v>
          </cell>
        </row>
        <row r="7147">
          <cell r="A7147" t="str">
            <v>M.PT.0003279</v>
          </cell>
        </row>
        <row r="7148">
          <cell r="A7148" t="str">
            <v>M.PT.0003280</v>
          </cell>
        </row>
        <row r="7149">
          <cell r="A7149" t="str">
            <v>M.PT.0003281</v>
          </cell>
        </row>
        <row r="7150">
          <cell r="A7150" t="str">
            <v>M.PT.0003282</v>
          </cell>
        </row>
        <row r="7151">
          <cell r="A7151" t="str">
            <v>M.PT.0003283</v>
          </cell>
        </row>
        <row r="7152">
          <cell r="A7152" t="str">
            <v>M.PT.0003284</v>
          </cell>
        </row>
        <row r="7153">
          <cell r="A7153" t="str">
            <v>M.PT.0003285</v>
          </cell>
        </row>
        <row r="7154">
          <cell r="A7154" t="str">
            <v>M.PT.0003286</v>
          </cell>
        </row>
        <row r="7155">
          <cell r="A7155" t="str">
            <v>M.PT.0003287</v>
          </cell>
        </row>
        <row r="7156">
          <cell r="A7156" t="str">
            <v>M.PT.0003288</v>
          </cell>
        </row>
        <row r="7157">
          <cell r="A7157" t="str">
            <v>M.PT.0003289</v>
          </cell>
        </row>
        <row r="7158">
          <cell r="A7158" t="str">
            <v>M.PT.0003290</v>
          </cell>
        </row>
        <row r="7159">
          <cell r="A7159" t="str">
            <v>M.PT.0003291</v>
          </cell>
        </row>
        <row r="7160">
          <cell r="A7160" t="str">
            <v>M.PT.0003292</v>
          </cell>
        </row>
        <row r="7161">
          <cell r="A7161" t="str">
            <v>M.PT.0003293</v>
          </cell>
        </row>
        <row r="7162">
          <cell r="A7162" t="str">
            <v>M.PT.0003294</v>
          </cell>
        </row>
        <row r="7163">
          <cell r="A7163" t="str">
            <v>M.PT.0003295</v>
          </cell>
        </row>
        <row r="7164">
          <cell r="A7164" t="str">
            <v>M.PT.0003296</v>
          </cell>
        </row>
        <row r="7165">
          <cell r="A7165" t="str">
            <v>M.PT.0003297</v>
          </cell>
        </row>
        <row r="7166">
          <cell r="A7166" t="str">
            <v>M.PT.0003298</v>
          </cell>
        </row>
        <row r="7167">
          <cell r="A7167" t="str">
            <v>M.PT.0003299</v>
          </cell>
        </row>
        <row r="7168">
          <cell r="A7168" t="str">
            <v>M.PT.0003300</v>
          </cell>
        </row>
        <row r="7169">
          <cell r="A7169" t="str">
            <v>M.PT.0003301</v>
          </cell>
        </row>
        <row r="7170">
          <cell r="A7170" t="str">
            <v>M.PT.0003302</v>
          </cell>
        </row>
        <row r="7171">
          <cell r="A7171" t="str">
            <v>M.PT.0003303</v>
          </cell>
        </row>
        <row r="7172">
          <cell r="A7172" t="str">
            <v>M.PT.0003304</v>
          </cell>
        </row>
        <row r="7173">
          <cell r="A7173" t="str">
            <v>M.PT.0003305</v>
          </cell>
        </row>
        <row r="7174">
          <cell r="A7174" t="str">
            <v>M.PT.0003306</v>
          </cell>
        </row>
        <row r="7175">
          <cell r="A7175" t="str">
            <v>M.PT.0003307</v>
          </cell>
        </row>
        <row r="7176">
          <cell r="A7176" t="str">
            <v>M.PT.0003308</v>
          </cell>
        </row>
        <row r="7177">
          <cell r="A7177" t="str">
            <v>M.PT.0003309</v>
          </cell>
        </row>
        <row r="7178">
          <cell r="A7178" t="str">
            <v>M.PT.0003310</v>
          </cell>
        </row>
        <row r="7179">
          <cell r="A7179" t="str">
            <v>M.PT.0003311</v>
          </cell>
        </row>
        <row r="7180">
          <cell r="A7180" t="str">
            <v>M.PT.0003312</v>
          </cell>
        </row>
        <row r="7181">
          <cell r="A7181" t="str">
            <v>M.PT.0003313</v>
          </cell>
        </row>
        <row r="7182">
          <cell r="A7182" t="str">
            <v>M.PT.0003314</v>
          </cell>
        </row>
        <row r="7183">
          <cell r="A7183" t="str">
            <v>M.PT.0003315</v>
          </cell>
        </row>
        <row r="7184">
          <cell r="A7184" t="str">
            <v>M.PT.0003316</v>
          </cell>
        </row>
        <row r="7185">
          <cell r="A7185" t="str">
            <v>M.PT.0003317</v>
          </cell>
        </row>
        <row r="7186">
          <cell r="A7186" t="str">
            <v>M.PT.0003318</v>
          </cell>
        </row>
        <row r="7187">
          <cell r="A7187" t="str">
            <v>M.PT.0003319</v>
          </cell>
        </row>
        <row r="7188">
          <cell r="A7188" t="str">
            <v>M.PT.0003320</v>
          </cell>
        </row>
        <row r="7189">
          <cell r="A7189" t="str">
            <v>M.PT.0003321</v>
          </cell>
        </row>
        <row r="7190">
          <cell r="A7190" t="str">
            <v>M.PT.0003322</v>
          </cell>
        </row>
        <row r="7191">
          <cell r="A7191" t="str">
            <v>M.PT.0003323</v>
          </cell>
        </row>
        <row r="7192">
          <cell r="A7192" t="str">
            <v>M.PT.0003324</v>
          </cell>
        </row>
        <row r="7193">
          <cell r="A7193" t="str">
            <v>M.PT.0003325</v>
          </cell>
        </row>
        <row r="7194">
          <cell r="A7194" t="str">
            <v>M.PT.0003326</v>
          </cell>
        </row>
        <row r="7195">
          <cell r="A7195" t="str">
            <v>M.PT.0003327</v>
          </cell>
        </row>
        <row r="7196">
          <cell r="A7196" t="str">
            <v>M.PT.0003328</v>
          </cell>
        </row>
        <row r="7197">
          <cell r="A7197" t="str">
            <v>M.PT.0003329</v>
          </cell>
        </row>
        <row r="7198">
          <cell r="A7198" t="str">
            <v>M.PT.0003330</v>
          </cell>
        </row>
        <row r="7199">
          <cell r="A7199" t="str">
            <v>M.PT.0003331</v>
          </cell>
        </row>
        <row r="7200">
          <cell r="A7200" t="str">
            <v>M.PT.0003332</v>
          </cell>
        </row>
        <row r="7201">
          <cell r="A7201" t="str">
            <v>M.PT.0003333</v>
          </cell>
        </row>
        <row r="7202">
          <cell r="A7202" t="str">
            <v>M.PT.0003334</v>
          </cell>
        </row>
        <row r="7203">
          <cell r="A7203" t="str">
            <v>M.PT.0003335</v>
          </cell>
        </row>
        <row r="7204">
          <cell r="A7204" t="str">
            <v>M.PT.0003336</v>
          </cell>
        </row>
        <row r="7205">
          <cell r="A7205" t="str">
            <v>M.PT.0003337</v>
          </cell>
        </row>
        <row r="7206">
          <cell r="A7206" t="str">
            <v>M.PT.0003338</v>
          </cell>
        </row>
        <row r="7207">
          <cell r="A7207" t="str">
            <v>M.PT.0003339</v>
          </cell>
        </row>
        <row r="7208">
          <cell r="A7208" t="str">
            <v>M.PT.0003340</v>
          </cell>
        </row>
        <row r="7209">
          <cell r="A7209" t="str">
            <v>M.PT.0003341</v>
          </cell>
        </row>
        <row r="7210">
          <cell r="A7210" t="str">
            <v>M.PT.0003342</v>
          </cell>
        </row>
        <row r="7211">
          <cell r="A7211" t="str">
            <v>M.PT.0003343</v>
          </cell>
        </row>
        <row r="7212">
          <cell r="A7212" t="str">
            <v>M.PT.0003344</v>
          </cell>
        </row>
        <row r="7213">
          <cell r="A7213" t="str">
            <v>M.PT.0003345</v>
          </cell>
        </row>
        <row r="7214">
          <cell r="A7214" t="str">
            <v>M.PT.0003346</v>
          </cell>
        </row>
        <row r="7215">
          <cell r="A7215" t="str">
            <v>M.PT.0003347</v>
          </cell>
        </row>
        <row r="7216">
          <cell r="A7216" t="str">
            <v>M.PT.0003348</v>
          </cell>
        </row>
        <row r="7217">
          <cell r="A7217" t="str">
            <v>M.PT.0003349</v>
          </cell>
        </row>
        <row r="7218">
          <cell r="A7218" t="str">
            <v>M.PT.0003350</v>
          </cell>
        </row>
        <row r="7219">
          <cell r="A7219" t="str">
            <v>M.PT.0003351</v>
          </cell>
        </row>
        <row r="7220">
          <cell r="A7220" t="str">
            <v>M.PT.0003352</v>
          </cell>
        </row>
        <row r="7221">
          <cell r="A7221" t="str">
            <v>M.PT.0003353</v>
          </cell>
        </row>
        <row r="7222">
          <cell r="A7222" t="str">
            <v>M.PT.0003354</v>
          </cell>
        </row>
        <row r="7223">
          <cell r="A7223" t="str">
            <v>M.PT.0003355</v>
          </cell>
        </row>
        <row r="7224">
          <cell r="A7224" t="str">
            <v>M.PT.0003356</v>
          </cell>
        </row>
        <row r="7225">
          <cell r="A7225" t="str">
            <v>M.PT.0003357</v>
          </cell>
        </row>
        <row r="7226">
          <cell r="A7226" t="str">
            <v>M.PT.0003358</v>
          </cell>
        </row>
        <row r="7227">
          <cell r="A7227" t="str">
            <v>M.PT.0003359</v>
          </cell>
        </row>
        <row r="7228">
          <cell r="A7228" t="str">
            <v>M.PT.0003360</v>
          </cell>
        </row>
        <row r="7229">
          <cell r="A7229" t="str">
            <v>M.PT.0003361</v>
          </cell>
        </row>
        <row r="7230">
          <cell r="A7230" t="str">
            <v>M.PT.0003362</v>
          </cell>
        </row>
        <row r="7231">
          <cell r="A7231" t="str">
            <v>M.PT.0003363</v>
          </cell>
        </row>
        <row r="7232">
          <cell r="A7232" t="str">
            <v>M.PT.0003364</v>
          </cell>
        </row>
        <row r="7233">
          <cell r="A7233" t="str">
            <v>M.PT.0003365</v>
          </cell>
        </row>
        <row r="7234">
          <cell r="A7234" t="str">
            <v>M.PT.0003366</v>
          </cell>
        </row>
        <row r="7235">
          <cell r="A7235" t="str">
            <v>M.PT.0003367</v>
          </cell>
        </row>
        <row r="7236">
          <cell r="A7236" t="str">
            <v>M.PT.0003368</v>
          </cell>
        </row>
        <row r="7237">
          <cell r="A7237" t="str">
            <v>M.PT.0003369</v>
          </cell>
        </row>
        <row r="7238">
          <cell r="A7238" t="str">
            <v>M.PT.0003370</v>
          </cell>
        </row>
        <row r="7239">
          <cell r="A7239" t="str">
            <v>M.PT.0003371</v>
          </cell>
        </row>
        <row r="7240">
          <cell r="A7240" t="str">
            <v>M.PT.0003372</v>
          </cell>
        </row>
        <row r="7241">
          <cell r="A7241" t="str">
            <v>M.PT.0003373</v>
          </cell>
        </row>
        <row r="7242">
          <cell r="A7242" t="str">
            <v>M.PT.0003374</v>
          </cell>
        </row>
        <row r="7243">
          <cell r="A7243" t="str">
            <v>M.PT.0003375</v>
          </cell>
        </row>
        <row r="7244">
          <cell r="A7244" t="str">
            <v>M.PT.0003376</v>
          </cell>
        </row>
        <row r="7245">
          <cell r="A7245" t="str">
            <v>M.PT.0003377</v>
          </cell>
        </row>
        <row r="7246">
          <cell r="A7246" t="str">
            <v>M.PT.0003378</v>
          </cell>
        </row>
        <row r="7247">
          <cell r="A7247" t="str">
            <v>M.PT.0003379</v>
          </cell>
        </row>
        <row r="7248">
          <cell r="A7248" t="str">
            <v>M.PT.0003380</v>
          </cell>
        </row>
        <row r="7249">
          <cell r="A7249" t="str">
            <v>M.PT.0003381</v>
          </cell>
        </row>
        <row r="7250">
          <cell r="A7250" t="str">
            <v>M.PT.0003382</v>
          </cell>
        </row>
        <row r="7251">
          <cell r="A7251" t="str">
            <v>M.PT.0003383</v>
          </cell>
        </row>
        <row r="7252">
          <cell r="A7252" t="str">
            <v>M.PT.0003384</v>
          </cell>
        </row>
        <row r="7253">
          <cell r="A7253" t="str">
            <v>M.PT.0003385</v>
          </cell>
        </row>
        <row r="7254">
          <cell r="A7254" t="str">
            <v>M.PT.0003386</v>
          </cell>
        </row>
        <row r="7255">
          <cell r="A7255" t="str">
            <v>M.PT.0003387</v>
          </cell>
        </row>
        <row r="7256">
          <cell r="A7256" t="str">
            <v>M.PT.0003388</v>
          </cell>
        </row>
        <row r="7257">
          <cell r="A7257" t="str">
            <v>M.PT.0003389</v>
          </cell>
        </row>
        <row r="7258">
          <cell r="A7258" t="str">
            <v>M.PT.0003390</v>
          </cell>
        </row>
        <row r="7259">
          <cell r="A7259" t="str">
            <v>M.PT.0003391</v>
          </cell>
        </row>
        <row r="7260">
          <cell r="A7260" t="str">
            <v>M.PT.0003392</v>
          </cell>
        </row>
        <row r="7261">
          <cell r="A7261" t="str">
            <v>M.PT.0003393</v>
          </cell>
        </row>
        <row r="7262">
          <cell r="A7262" t="str">
            <v>M.PT.0003394</v>
          </cell>
        </row>
        <row r="7263">
          <cell r="A7263" t="str">
            <v>M.PT.0003395</v>
          </cell>
        </row>
        <row r="7264">
          <cell r="A7264" t="str">
            <v>M.PT.0003396</v>
          </cell>
        </row>
        <row r="7265">
          <cell r="A7265" t="str">
            <v>M.PT.0003397</v>
          </cell>
        </row>
        <row r="7266">
          <cell r="A7266" t="str">
            <v>M.PT.0003398</v>
          </cell>
        </row>
        <row r="7267">
          <cell r="A7267" t="str">
            <v>M.PT.0003399</v>
          </cell>
        </row>
        <row r="7268">
          <cell r="A7268" t="str">
            <v>M.PT.0003400</v>
          </cell>
        </row>
        <row r="7269">
          <cell r="A7269" t="str">
            <v>M.PT.0003401</v>
          </cell>
        </row>
        <row r="7270">
          <cell r="A7270" t="str">
            <v>M.PT.0003402</v>
          </cell>
        </row>
        <row r="7271">
          <cell r="A7271" t="str">
            <v>M.PT.0003403</v>
          </cell>
        </row>
        <row r="7272">
          <cell r="A7272" t="str">
            <v>M.PT.0003404</v>
          </cell>
        </row>
        <row r="7273">
          <cell r="A7273" t="str">
            <v>M.PT.0003405</v>
          </cell>
        </row>
        <row r="7274">
          <cell r="A7274" t="str">
            <v>M.PT.0003406</v>
          </cell>
        </row>
        <row r="7275">
          <cell r="A7275" t="str">
            <v>M.PT.0003407</v>
          </cell>
        </row>
        <row r="7276">
          <cell r="A7276" t="str">
            <v>M.PT.0003408</v>
          </cell>
        </row>
        <row r="7277">
          <cell r="A7277" t="str">
            <v>M.PT.0003409</v>
          </cell>
        </row>
        <row r="7278">
          <cell r="A7278" t="str">
            <v>M.PT.0003410</v>
          </cell>
        </row>
        <row r="7279">
          <cell r="A7279" t="str">
            <v>M.PT.0003411</v>
          </cell>
        </row>
        <row r="7280">
          <cell r="A7280" t="str">
            <v>M.PT.0003412</v>
          </cell>
        </row>
        <row r="7281">
          <cell r="A7281" t="str">
            <v>M.PT.0003413</v>
          </cell>
        </row>
        <row r="7282">
          <cell r="A7282" t="str">
            <v>M.PT.0003414</v>
          </cell>
        </row>
        <row r="7283">
          <cell r="A7283" t="str">
            <v>M.PT.0003415</v>
          </cell>
        </row>
        <row r="7284">
          <cell r="A7284" t="str">
            <v>M.PT.0003416</v>
          </cell>
        </row>
        <row r="7285">
          <cell r="A7285" t="str">
            <v>M.PT.0003417</v>
          </cell>
        </row>
        <row r="7286">
          <cell r="A7286" t="str">
            <v>M.PT.0003418</v>
          </cell>
        </row>
        <row r="7287">
          <cell r="A7287" t="str">
            <v>M.PT.0003419</v>
          </cell>
        </row>
        <row r="7288">
          <cell r="A7288" t="str">
            <v>M.PT.0003420</v>
          </cell>
        </row>
        <row r="7289">
          <cell r="A7289" t="str">
            <v>M.PT.0003421</v>
          </cell>
        </row>
        <row r="7290">
          <cell r="A7290" t="str">
            <v>M.PT.0003422</v>
          </cell>
        </row>
        <row r="7291">
          <cell r="A7291" t="str">
            <v>M.PT.0003423</v>
          </cell>
        </row>
        <row r="7292">
          <cell r="A7292" t="str">
            <v>M.PT.0003424</v>
          </cell>
        </row>
        <row r="7293">
          <cell r="A7293" t="str">
            <v>M.PT.0003425</v>
          </cell>
        </row>
        <row r="7294">
          <cell r="A7294" t="str">
            <v>M.PT.0003426</v>
          </cell>
        </row>
        <row r="7295">
          <cell r="A7295" t="str">
            <v>M.PT.0003427</v>
          </cell>
        </row>
        <row r="7296">
          <cell r="A7296" t="str">
            <v>M.PT.0003428</v>
          </cell>
        </row>
        <row r="7297">
          <cell r="A7297" t="str">
            <v>M.PT.0003429</v>
          </cell>
        </row>
        <row r="7298">
          <cell r="A7298" t="str">
            <v>M.PT.0003430</v>
          </cell>
        </row>
        <row r="7299">
          <cell r="A7299" t="str">
            <v>M.PT.0003431</v>
          </cell>
        </row>
        <row r="7300">
          <cell r="A7300" t="str">
            <v>M.PT.0003432</v>
          </cell>
        </row>
        <row r="7301">
          <cell r="A7301" t="str">
            <v>M.PT.0003433</v>
          </cell>
        </row>
        <row r="7302">
          <cell r="A7302" t="str">
            <v>M.PT.0003434</v>
          </cell>
        </row>
        <row r="7303">
          <cell r="A7303" t="str">
            <v>M.PT.0003435</v>
          </cell>
        </row>
        <row r="7304">
          <cell r="A7304" t="str">
            <v>M.PT.0003436</v>
          </cell>
        </row>
        <row r="7305">
          <cell r="A7305" t="str">
            <v>M.PT.0003437</v>
          </cell>
        </row>
        <row r="7306">
          <cell r="A7306" t="str">
            <v>M.PT.0003438</v>
          </cell>
        </row>
        <row r="7307">
          <cell r="A7307" t="str">
            <v>M.PT.0003439</v>
          </cell>
        </row>
        <row r="7308">
          <cell r="A7308" t="str">
            <v>M.PT.0003440</v>
          </cell>
        </row>
        <row r="7309">
          <cell r="A7309" t="str">
            <v>M.PT.0003441</v>
          </cell>
        </row>
        <row r="7310">
          <cell r="A7310" t="str">
            <v>M.PT.0003442</v>
          </cell>
        </row>
        <row r="7311">
          <cell r="A7311" t="str">
            <v>M.PT.0003443</v>
          </cell>
        </row>
        <row r="7312">
          <cell r="A7312" t="str">
            <v>M.PT.0003444</v>
          </cell>
        </row>
        <row r="7313">
          <cell r="A7313" t="str">
            <v>M.PT.0003445</v>
          </cell>
        </row>
        <row r="7314">
          <cell r="A7314" t="str">
            <v>M.PT.0003446</v>
          </cell>
        </row>
        <row r="7315">
          <cell r="A7315" t="str">
            <v>M.PT.0003447</v>
          </cell>
        </row>
        <row r="7316">
          <cell r="A7316" t="str">
            <v>M.PT.0003448</v>
          </cell>
        </row>
        <row r="7317">
          <cell r="A7317" t="str">
            <v>M.PT.0003449</v>
          </cell>
        </row>
        <row r="7318">
          <cell r="A7318" t="str">
            <v>M.PT.0003450</v>
          </cell>
        </row>
        <row r="7319">
          <cell r="A7319" t="str">
            <v>M.PT.0003451</v>
          </cell>
        </row>
        <row r="7320">
          <cell r="A7320" t="str">
            <v>M.PT.0003452</v>
          </cell>
        </row>
        <row r="7321">
          <cell r="A7321" t="str">
            <v>M.PT.0003453</v>
          </cell>
        </row>
        <row r="7322">
          <cell r="A7322" t="str">
            <v>M.PT.0003454</v>
          </cell>
        </row>
        <row r="7323">
          <cell r="A7323" t="str">
            <v>M.PT.0003455</v>
          </cell>
        </row>
        <row r="7324">
          <cell r="A7324" t="str">
            <v>M.PT.0003456</v>
          </cell>
        </row>
        <row r="7325">
          <cell r="A7325" t="str">
            <v>M.PT.0003457</v>
          </cell>
        </row>
        <row r="7326">
          <cell r="A7326" t="str">
            <v>M.PT.0003458</v>
          </cell>
        </row>
        <row r="7327">
          <cell r="A7327" t="str">
            <v>M.PT.0003459</v>
          </cell>
        </row>
        <row r="7328">
          <cell r="A7328" t="str">
            <v>M.PT.0003460</v>
          </cell>
        </row>
        <row r="7329">
          <cell r="A7329" t="str">
            <v>M.PT.0003461</v>
          </cell>
        </row>
        <row r="7330">
          <cell r="A7330" t="str">
            <v>M.PT.0003462</v>
          </cell>
        </row>
        <row r="7331">
          <cell r="A7331" t="str">
            <v>M.PT.0003463</v>
          </cell>
        </row>
        <row r="7332">
          <cell r="A7332" t="str">
            <v>M.PT.0003464</v>
          </cell>
        </row>
        <row r="7333">
          <cell r="A7333" t="str">
            <v>M.PT.0003465</v>
          </cell>
        </row>
        <row r="7334">
          <cell r="A7334" t="str">
            <v>M.PT.0003466</v>
          </cell>
        </row>
        <row r="7335">
          <cell r="A7335" t="str">
            <v>M.PT.0003467</v>
          </cell>
        </row>
        <row r="7336">
          <cell r="A7336" t="str">
            <v>M.PT.0003468</v>
          </cell>
        </row>
        <row r="7337">
          <cell r="A7337" t="str">
            <v>M.PT.0003469</v>
          </cell>
        </row>
        <row r="7338">
          <cell r="A7338" t="str">
            <v>M.PT.0003470</v>
          </cell>
        </row>
        <row r="7339">
          <cell r="A7339" t="str">
            <v>M.PT.0003471</v>
          </cell>
        </row>
        <row r="7340">
          <cell r="A7340" t="str">
            <v>M.PT.0003472</v>
          </cell>
        </row>
        <row r="7341">
          <cell r="A7341" t="str">
            <v>M.PT.0003473</v>
          </cell>
        </row>
        <row r="7342">
          <cell r="A7342" t="str">
            <v>M.PT.0003474</v>
          </cell>
        </row>
        <row r="7343">
          <cell r="A7343" t="str">
            <v>M.PT.0003475</v>
          </cell>
        </row>
        <row r="7344">
          <cell r="A7344" t="str">
            <v>M.PT.0003476</v>
          </cell>
        </row>
        <row r="7345">
          <cell r="A7345" t="str">
            <v>M.PT.0003477</v>
          </cell>
        </row>
        <row r="7346">
          <cell r="A7346" t="str">
            <v>M.PT.0003478</v>
          </cell>
        </row>
        <row r="7347">
          <cell r="A7347" t="str">
            <v>M.PT.0003479</v>
          </cell>
        </row>
        <row r="7348">
          <cell r="A7348" t="str">
            <v>M.PT.0003480</v>
          </cell>
        </row>
        <row r="7349">
          <cell r="A7349" t="str">
            <v>M.PT.0003481</v>
          </cell>
        </row>
        <row r="7350">
          <cell r="A7350" t="str">
            <v>M.PT.0003482</v>
          </cell>
        </row>
        <row r="7351">
          <cell r="A7351" t="str">
            <v>M.PT.0003483</v>
          </cell>
        </row>
        <row r="7352">
          <cell r="A7352" t="str">
            <v>M.PT.0003484</v>
          </cell>
        </row>
        <row r="7353">
          <cell r="A7353" t="str">
            <v>M.PT.0003485</v>
          </cell>
        </row>
        <row r="7354">
          <cell r="A7354" t="str">
            <v>M.PT.0003486</v>
          </cell>
        </row>
        <row r="7355">
          <cell r="A7355" t="str">
            <v>M.PT.0003487</v>
          </cell>
        </row>
        <row r="7356">
          <cell r="A7356" t="str">
            <v>M.PT.0003488</v>
          </cell>
        </row>
        <row r="7357">
          <cell r="A7357" t="str">
            <v>M.PT.0003489</v>
          </cell>
        </row>
        <row r="7358">
          <cell r="A7358" t="str">
            <v>M.PT.0003490</v>
          </cell>
        </row>
        <row r="7359">
          <cell r="A7359" t="str">
            <v>M.PT.0003491</v>
          </cell>
        </row>
        <row r="7360">
          <cell r="A7360" t="str">
            <v>M.PT.0003492</v>
          </cell>
        </row>
        <row r="7361">
          <cell r="A7361" t="str">
            <v>M.PT.0003493</v>
          </cell>
        </row>
        <row r="7362">
          <cell r="A7362" t="str">
            <v>M.PT.0003494</v>
          </cell>
        </row>
        <row r="7363">
          <cell r="A7363" t="str">
            <v>M.PT.0003495</v>
          </cell>
        </row>
        <row r="7364">
          <cell r="A7364" t="str">
            <v>M.PT.0003496</v>
          </cell>
        </row>
        <row r="7365">
          <cell r="A7365" t="str">
            <v>M.PT.0003497</v>
          </cell>
        </row>
        <row r="7366">
          <cell r="A7366" t="str">
            <v>M.PT.0003498</v>
          </cell>
        </row>
        <row r="7367">
          <cell r="A7367" t="str">
            <v>M.PT.0003499</v>
          </cell>
        </row>
        <row r="7368">
          <cell r="A7368" t="str">
            <v>M.PT.0003500</v>
          </cell>
        </row>
        <row r="7369">
          <cell r="A7369" t="str">
            <v>M.PT.0003501</v>
          </cell>
        </row>
        <row r="7370">
          <cell r="A7370" t="str">
            <v>M.PT.0003502</v>
          </cell>
        </row>
        <row r="7371">
          <cell r="A7371" t="str">
            <v>M.PT.0003503</v>
          </cell>
        </row>
        <row r="7372">
          <cell r="A7372" t="str">
            <v>M.PT.0003504</v>
          </cell>
        </row>
        <row r="7373">
          <cell r="A7373" t="str">
            <v>M.PT.0003505</v>
          </cell>
        </row>
        <row r="7374">
          <cell r="A7374" t="str">
            <v>M.PT.0003506</v>
          </cell>
        </row>
        <row r="7375">
          <cell r="A7375" t="str">
            <v>M.PT.0003507</v>
          </cell>
        </row>
        <row r="7376">
          <cell r="A7376" t="str">
            <v>M.PT.0003508</v>
          </cell>
        </row>
        <row r="7377">
          <cell r="A7377" t="str">
            <v>M.PT.0003509</v>
          </cell>
        </row>
        <row r="7378">
          <cell r="A7378" t="str">
            <v>M.PT.0003510</v>
          </cell>
        </row>
        <row r="7379">
          <cell r="A7379" t="str">
            <v>M.PT.0003511</v>
          </cell>
        </row>
        <row r="7380">
          <cell r="A7380" t="str">
            <v>M.PT.0003512</v>
          </cell>
        </row>
        <row r="7381">
          <cell r="A7381" t="str">
            <v>M.PT.0003513</v>
          </cell>
        </row>
        <row r="7382">
          <cell r="A7382" t="str">
            <v>M.PT.0003514</v>
          </cell>
        </row>
        <row r="7383">
          <cell r="A7383" t="str">
            <v>M.PT.0003515</v>
          </cell>
        </row>
        <row r="7384">
          <cell r="A7384" t="str">
            <v>M.PT.0003516</v>
          </cell>
        </row>
        <row r="7385">
          <cell r="A7385" t="str">
            <v>M.PT.0003517</v>
          </cell>
        </row>
        <row r="7386">
          <cell r="A7386" t="str">
            <v>M.PT.0003518</v>
          </cell>
        </row>
        <row r="7387">
          <cell r="A7387" t="str">
            <v>M.PT.0003519</v>
          </cell>
        </row>
        <row r="7388">
          <cell r="A7388" t="str">
            <v>M.PT.0003520</v>
          </cell>
        </row>
        <row r="7389">
          <cell r="A7389" t="str">
            <v>M.PT.0003521</v>
          </cell>
        </row>
        <row r="7390">
          <cell r="A7390" t="str">
            <v>M.PT.0003522</v>
          </cell>
        </row>
        <row r="7391">
          <cell r="A7391" t="str">
            <v>M.PT.0003523</v>
          </cell>
        </row>
        <row r="7392">
          <cell r="A7392" t="str">
            <v>M.PT.0003524</v>
          </cell>
        </row>
        <row r="7393">
          <cell r="A7393" t="str">
            <v>M.PT.0003525</v>
          </cell>
        </row>
        <row r="7394">
          <cell r="A7394" t="str">
            <v>M.PT.0003526</v>
          </cell>
        </row>
        <row r="7395">
          <cell r="A7395" t="str">
            <v>M.PT.0003527</v>
          </cell>
        </row>
        <row r="7396">
          <cell r="A7396" t="str">
            <v>M.PT.0003528</v>
          </cell>
        </row>
        <row r="7397">
          <cell r="A7397" t="str">
            <v>M.PT.0003529</v>
          </cell>
        </row>
        <row r="7398">
          <cell r="A7398" t="str">
            <v>M.PT.0003530</v>
          </cell>
        </row>
        <row r="7399">
          <cell r="A7399" t="str">
            <v>M.PT.0003531</v>
          </cell>
        </row>
        <row r="7400">
          <cell r="A7400" t="str">
            <v>M.PT.0003532</v>
          </cell>
        </row>
        <row r="7401">
          <cell r="A7401" t="str">
            <v>M.PT.0003533</v>
          </cell>
        </row>
        <row r="7402">
          <cell r="A7402" t="str">
            <v>M.PT.0003534</v>
          </cell>
        </row>
        <row r="7403">
          <cell r="A7403" t="str">
            <v>M.PT.0003535</v>
          </cell>
        </row>
        <row r="7404">
          <cell r="A7404" t="str">
            <v>M.PT.0003536</v>
          </cell>
        </row>
        <row r="7405">
          <cell r="A7405" t="str">
            <v>M.PT.0003537</v>
          </cell>
        </row>
        <row r="7406">
          <cell r="A7406" t="str">
            <v>M.PT.0003538</v>
          </cell>
        </row>
        <row r="7407">
          <cell r="A7407" t="str">
            <v>M.PT.0003539</v>
          </cell>
        </row>
        <row r="7408">
          <cell r="A7408" t="str">
            <v>M.PT.0003540</v>
          </cell>
        </row>
        <row r="7409">
          <cell r="A7409" t="str">
            <v>M.PT.0003541</v>
          </cell>
        </row>
        <row r="7410">
          <cell r="A7410" t="str">
            <v>M.PT.0003542</v>
          </cell>
        </row>
        <row r="7411">
          <cell r="A7411" t="str">
            <v>M.PT.0003543</v>
          </cell>
        </row>
        <row r="7412">
          <cell r="A7412" t="str">
            <v>M.PT.0003544</v>
          </cell>
        </row>
        <row r="7413">
          <cell r="A7413" t="str">
            <v>M.PT.0003545</v>
          </cell>
        </row>
        <row r="7414">
          <cell r="A7414" t="str">
            <v>M.PT.0003546</v>
          </cell>
        </row>
        <row r="7415">
          <cell r="A7415" t="str">
            <v>M.PT.0003547</v>
          </cell>
        </row>
        <row r="7416">
          <cell r="A7416" t="str">
            <v>M.PT.0003548</v>
          </cell>
        </row>
        <row r="7417">
          <cell r="A7417" t="str">
            <v>M.PT.0003549</v>
          </cell>
        </row>
        <row r="7418">
          <cell r="A7418" t="str">
            <v>M.PT.0003550</v>
          </cell>
        </row>
        <row r="7419">
          <cell r="A7419" t="str">
            <v>M.PT.0003551</v>
          </cell>
        </row>
        <row r="7420">
          <cell r="A7420" t="str">
            <v>M.PT.0003552</v>
          </cell>
        </row>
        <row r="7421">
          <cell r="A7421" t="str">
            <v>M.PT.0003553</v>
          </cell>
        </row>
        <row r="7422">
          <cell r="A7422" t="str">
            <v>M.PT.0003554</v>
          </cell>
        </row>
        <row r="7423">
          <cell r="A7423" t="str">
            <v>M.PT.0003555</v>
          </cell>
        </row>
        <row r="7424">
          <cell r="A7424" t="str">
            <v>M.PT.0003556</v>
          </cell>
        </row>
        <row r="7425">
          <cell r="A7425" t="str">
            <v>M.PT.0003557</v>
          </cell>
        </row>
        <row r="7426">
          <cell r="A7426" t="str">
            <v>M.PT.0003558</v>
          </cell>
        </row>
        <row r="7427">
          <cell r="A7427" t="str">
            <v>M.PT.0003559</v>
          </cell>
        </row>
        <row r="7428">
          <cell r="A7428" t="str">
            <v>M.PT.0003560</v>
          </cell>
        </row>
        <row r="7429">
          <cell r="A7429" t="str">
            <v>M.PT.0003561</v>
          </cell>
        </row>
        <row r="7430">
          <cell r="A7430" t="str">
            <v>M.PT.0003562</v>
          </cell>
        </row>
        <row r="7431">
          <cell r="A7431" t="str">
            <v>M.PT.0003563</v>
          </cell>
        </row>
        <row r="7432">
          <cell r="A7432" t="str">
            <v>M.PT.0003564</v>
          </cell>
        </row>
        <row r="7433">
          <cell r="A7433" t="str">
            <v>M.PT.0003565</v>
          </cell>
        </row>
        <row r="7434">
          <cell r="A7434" t="str">
            <v>M.PT.0003566</v>
          </cell>
        </row>
        <row r="7435">
          <cell r="A7435" t="str">
            <v>M.PT.0003567</v>
          </cell>
        </row>
        <row r="7436">
          <cell r="A7436" t="str">
            <v>M.PT.0003568</v>
          </cell>
        </row>
        <row r="7437">
          <cell r="A7437" t="str">
            <v>M.PT.0003569</v>
          </cell>
        </row>
        <row r="7438">
          <cell r="A7438" t="str">
            <v>M.PT.0003570</v>
          </cell>
        </row>
        <row r="7439">
          <cell r="A7439" t="str">
            <v>M.PT.0003571</v>
          </cell>
        </row>
        <row r="7440">
          <cell r="A7440" t="str">
            <v>M.PT.0003572</v>
          </cell>
        </row>
        <row r="7441">
          <cell r="A7441" t="str">
            <v>M.PT.0003573</v>
          </cell>
        </row>
        <row r="7442">
          <cell r="A7442" t="str">
            <v>M.PT.0003574</v>
          </cell>
        </row>
        <row r="7443">
          <cell r="A7443" t="str">
            <v>M.PT.0003575</v>
          </cell>
        </row>
        <row r="7444">
          <cell r="A7444" t="str">
            <v>M.PT.0003576</v>
          </cell>
        </row>
        <row r="7445">
          <cell r="A7445" t="str">
            <v>M.PT.0003577</v>
          </cell>
        </row>
        <row r="7446">
          <cell r="A7446" t="str">
            <v>M.PT.0003578</v>
          </cell>
        </row>
        <row r="7447">
          <cell r="A7447" t="str">
            <v>M.PT.0003579</v>
          </cell>
        </row>
        <row r="7448">
          <cell r="A7448" t="str">
            <v>M.PT.0003580</v>
          </cell>
        </row>
        <row r="7449">
          <cell r="A7449" t="str">
            <v>M.PT.0003581</v>
          </cell>
        </row>
        <row r="7450">
          <cell r="A7450" t="str">
            <v>M.PT.0003582</v>
          </cell>
        </row>
        <row r="7451">
          <cell r="A7451" t="str">
            <v>M.PT.0003583</v>
          </cell>
        </row>
        <row r="7452">
          <cell r="A7452" t="str">
            <v>M.PT.0003584</v>
          </cell>
        </row>
        <row r="7453">
          <cell r="A7453" t="str">
            <v>M.PT.0003585</v>
          </cell>
        </row>
        <row r="7454">
          <cell r="A7454" t="str">
            <v>M.PT.0003586</v>
          </cell>
        </row>
        <row r="7455">
          <cell r="A7455" t="str">
            <v>M.PT.0003587</v>
          </cell>
        </row>
        <row r="7456">
          <cell r="A7456" t="str">
            <v>M.PT.0003588</v>
          </cell>
        </row>
        <row r="7457">
          <cell r="A7457" t="str">
            <v>M.PT.0003589</v>
          </cell>
        </row>
        <row r="7458">
          <cell r="A7458" t="str">
            <v>M.PT.0003590</v>
          </cell>
        </row>
        <row r="7459">
          <cell r="A7459" t="str">
            <v>M.PT.0003591</v>
          </cell>
        </row>
        <row r="7460">
          <cell r="A7460" t="str">
            <v>M.PT.0003592</v>
          </cell>
        </row>
        <row r="7461">
          <cell r="A7461" t="str">
            <v>M.PT.0003593</v>
          </cell>
        </row>
        <row r="7462">
          <cell r="A7462" t="str">
            <v>M.PT.0003594</v>
          </cell>
        </row>
        <row r="7463">
          <cell r="A7463" t="str">
            <v>M.PT.0003595</v>
          </cell>
        </row>
        <row r="7464">
          <cell r="A7464" t="str">
            <v>M.PT.0003596</v>
          </cell>
        </row>
        <row r="7465">
          <cell r="A7465" t="str">
            <v>M.PT.0003597</v>
          </cell>
        </row>
        <row r="7466">
          <cell r="A7466" t="str">
            <v>M.PT.0003598</v>
          </cell>
        </row>
        <row r="7467">
          <cell r="A7467" t="str">
            <v>M.PT.0003599</v>
          </cell>
        </row>
        <row r="7468">
          <cell r="A7468" t="str">
            <v>M.PT.0003600</v>
          </cell>
        </row>
        <row r="7469">
          <cell r="A7469" t="str">
            <v>M.PT.0003601</v>
          </cell>
        </row>
        <row r="7470">
          <cell r="A7470" t="str">
            <v>M.PT.0003602</v>
          </cell>
        </row>
        <row r="7471">
          <cell r="A7471" t="str">
            <v>M.PT.0003603</v>
          </cell>
        </row>
        <row r="7472">
          <cell r="A7472" t="str">
            <v>M.PT.0003604</v>
          </cell>
        </row>
        <row r="7473">
          <cell r="A7473" t="str">
            <v>M.PT.0003605</v>
          </cell>
        </row>
        <row r="7474">
          <cell r="A7474" t="str">
            <v>M.PT.0003606</v>
          </cell>
        </row>
        <row r="7475">
          <cell r="A7475" t="str">
            <v>M.PT.0003607</v>
          </cell>
        </row>
        <row r="7476">
          <cell r="A7476" t="str">
            <v>M.PT.0003608</v>
          </cell>
        </row>
        <row r="7477">
          <cell r="A7477" t="str">
            <v>M.PT.0003609</v>
          </cell>
        </row>
        <row r="7478">
          <cell r="A7478" t="str">
            <v>M.PT.0003610</v>
          </cell>
        </row>
        <row r="7479">
          <cell r="A7479" t="str">
            <v>M.PT.0003611</v>
          </cell>
        </row>
        <row r="7480">
          <cell r="A7480" t="str">
            <v>M.PT.0003612</v>
          </cell>
        </row>
        <row r="7481">
          <cell r="A7481" t="str">
            <v>M.PT.0003613</v>
          </cell>
        </row>
        <row r="7482">
          <cell r="A7482" t="str">
            <v>M.PT.0003614</v>
          </cell>
        </row>
        <row r="7483">
          <cell r="A7483" t="str">
            <v>M.PT.0003615</v>
          </cell>
        </row>
        <row r="7484">
          <cell r="A7484" t="str">
            <v>M.PT.0003616</v>
          </cell>
        </row>
        <row r="7485">
          <cell r="A7485" t="str">
            <v>M.PT.0003617</v>
          </cell>
        </row>
        <row r="7486">
          <cell r="A7486" t="str">
            <v>M.PT.0003618</v>
          </cell>
        </row>
        <row r="7487">
          <cell r="A7487" t="str">
            <v>M.PT.0003619</v>
          </cell>
        </row>
        <row r="7488">
          <cell r="A7488" t="str">
            <v>M.PT.0003620</v>
          </cell>
        </row>
        <row r="7489">
          <cell r="A7489" t="str">
            <v>M.PT.0003621</v>
          </cell>
        </row>
        <row r="7490">
          <cell r="A7490" t="str">
            <v>M.PT.0003622</v>
          </cell>
        </row>
        <row r="7491">
          <cell r="A7491" t="str">
            <v>M.PT.0003623</v>
          </cell>
        </row>
        <row r="7492">
          <cell r="A7492" t="str">
            <v>M.PT.0003624</v>
          </cell>
        </row>
        <row r="7493">
          <cell r="A7493" t="str">
            <v>M.PT.0003625</v>
          </cell>
        </row>
        <row r="7494">
          <cell r="A7494" t="str">
            <v>M.PT.0003626</v>
          </cell>
        </row>
        <row r="7495">
          <cell r="A7495" t="str">
            <v>M.PT.0003627</v>
          </cell>
        </row>
        <row r="7496">
          <cell r="A7496" t="str">
            <v>M.PT.0003628</v>
          </cell>
        </row>
        <row r="7497">
          <cell r="A7497" t="str">
            <v>M.PT.0003629</v>
          </cell>
        </row>
        <row r="7498">
          <cell r="A7498" t="str">
            <v>M.PT.0003630</v>
          </cell>
        </row>
        <row r="7499">
          <cell r="A7499" t="str">
            <v>M.PT.0003631</v>
          </cell>
        </row>
        <row r="7500">
          <cell r="A7500" t="str">
            <v>M.PT.0003632</v>
          </cell>
        </row>
        <row r="7501">
          <cell r="A7501" t="str">
            <v>M.PT.0003633</v>
          </cell>
        </row>
        <row r="7502">
          <cell r="A7502" t="str">
            <v>M.PT.0003634</v>
          </cell>
        </row>
        <row r="7503">
          <cell r="A7503" t="str">
            <v>M.PT.0003635</v>
          </cell>
        </row>
        <row r="7504">
          <cell r="A7504" t="str">
            <v>M.PT.0003636</v>
          </cell>
        </row>
        <row r="7505">
          <cell r="A7505" t="str">
            <v>M.PT.0003637</v>
          </cell>
        </row>
        <row r="7506">
          <cell r="A7506" t="str">
            <v>M.PT.0003638</v>
          </cell>
        </row>
        <row r="7507">
          <cell r="A7507" t="str">
            <v>M.PT.0003639</v>
          </cell>
        </row>
        <row r="7508">
          <cell r="A7508" t="str">
            <v>M.PT.0003640</v>
          </cell>
        </row>
        <row r="7509">
          <cell r="A7509" t="str">
            <v>M.PT.0003641</v>
          </cell>
        </row>
        <row r="7510">
          <cell r="A7510" t="str">
            <v>M.PT.0003642</v>
          </cell>
        </row>
        <row r="7511">
          <cell r="A7511" t="str">
            <v>M.PT.0003643</v>
          </cell>
        </row>
        <row r="7512">
          <cell r="A7512" t="str">
            <v>M.PT.0003644</v>
          </cell>
        </row>
        <row r="7513">
          <cell r="A7513" t="str">
            <v>M.PT.0003645</v>
          </cell>
        </row>
        <row r="7514">
          <cell r="A7514" t="str">
            <v>M.PT.0003646</v>
          </cell>
        </row>
        <row r="7515">
          <cell r="A7515" t="str">
            <v>M.PT.0003647</v>
          </cell>
        </row>
        <row r="7516">
          <cell r="A7516" t="str">
            <v>M.PT.0003648</v>
          </cell>
        </row>
        <row r="7517">
          <cell r="A7517" t="str">
            <v>M.PT.0003649</v>
          </cell>
        </row>
        <row r="7518">
          <cell r="A7518" t="str">
            <v>M.PT.0003650</v>
          </cell>
        </row>
        <row r="7519">
          <cell r="A7519" t="str">
            <v>M.PT.0003651</v>
          </cell>
        </row>
        <row r="7520">
          <cell r="A7520" t="str">
            <v>M.PT.0003652</v>
          </cell>
        </row>
        <row r="7521">
          <cell r="A7521" t="str">
            <v>M.PT.0003653</v>
          </cell>
        </row>
        <row r="7522">
          <cell r="A7522" t="str">
            <v>M.PT.0003654</v>
          </cell>
        </row>
        <row r="7523">
          <cell r="A7523" t="str">
            <v>M.PT.0003655</v>
          </cell>
        </row>
        <row r="7524">
          <cell r="A7524" t="str">
            <v>M.PT.0003656</v>
          </cell>
        </row>
        <row r="7525">
          <cell r="A7525" t="str">
            <v>M.PT.0003657</v>
          </cell>
        </row>
        <row r="7526">
          <cell r="A7526" t="str">
            <v>M.PT.0003658</v>
          </cell>
        </row>
        <row r="7527">
          <cell r="A7527" t="str">
            <v>M.PT.0003659</v>
          </cell>
        </row>
        <row r="7528">
          <cell r="A7528" t="str">
            <v>M.PT.0003660</v>
          </cell>
        </row>
        <row r="7529">
          <cell r="A7529" t="str">
            <v>M.PT.0003661</v>
          </cell>
        </row>
        <row r="7530">
          <cell r="A7530" t="str">
            <v>M.PT.0003662</v>
          </cell>
        </row>
        <row r="7531">
          <cell r="A7531" t="str">
            <v>M.PT.0003663</v>
          </cell>
        </row>
        <row r="7532">
          <cell r="A7532" t="str">
            <v>M.PT.0003664</v>
          </cell>
        </row>
        <row r="7533">
          <cell r="A7533" t="str">
            <v>M.PT.0003665</v>
          </cell>
        </row>
        <row r="7534">
          <cell r="A7534" t="str">
            <v>M.PT.0003666</v>
          </cell>
        </row>
        <row r="7535">
          <cell r="A7535" t="str">
            <v>M.PT.0003667</v>
          </cell>
        </row>
        <row r="7536">
          <cell r="A7536" t="str">
            <v>M.PT.0003668</v>
          </cell>
        </row>
        <row r="7537">
          <cell r="A7537" t="str">
            <v>M.PT.0003669</v>
          </cell>
        </row>
        <row r="7538">
          <cell r="A7538" t="str">
            <v>M.PT.0003670</v>
          </cell>
        </row>
        <row r="7539">
          <cell r="A7539" t="str">
            <v>M.PT.0003671</v>
          </cell>
        </row>
        <row r="7540">
          <cell r="A7540" t="str">
            <v>M.PT.0003672</v>
          </cell>
        </row>
        <row r="7541">
          <cell r="A7541" t="str">
            <v>M.PT.0003673</v>
          </cell>
        </row>
        <row r="7542">
          <cell r="A7542" t="str">
            <v>M.PT.0003674</v>
          </cell>
        </row>
        <row r="7543">
          <cell r="A7543" t="str">
            <v>M.PT.0003675</v>
          </cell>
        </row>
        <row r="7544">
          <cell r="A7544" t="str">
            <v>M.PT.0003676</v>
          </cell>
        </row>
        <row r="7545">
          <cell r="A7545" t="str">
            <v>M.PT.0003677</v>
          </cell>
        </row>
        <row r="7546">
          <cell r="A7546" t="str">
            <v>M.PT.0003678</v>
          </cell>
        </row>
        <row r="7547">
          <cell r="A7547" t="str">
            <v>M.PT.0003679</v>
          </cell>
        </row>
        <row r="7548">
          <cell r="A7548" t="str">
            <v>M.PT.0003680</v>
          </cell>
        </row>
        <row r="7549">
          <cell r="A7549" t="str">
            <v>M.PT.0003681</v>
          </cell>
        </row>
        <row r="7550">
          <cell r="A7550" t="str">
            <v>M.PT.0003682</v>
          </cell>
        </row>
        <row r="7551">
          <cell r="A7551" t="str">
            <v>M.PT.0003683</v>
          </cell>
        </row>
        <row r="7552">
          <cell r="A7552" t="str">
            <v>M.PT.0003684</v>
          </cell>
        </row>
        <row r="7553">
          <cell r="A7553" t="str">
            <v>M.PT.0003685</v>
          </cell>
        </row>
        <row r="7554">
          <cell r="A7554" t="str">
            <v>M.PT.0003686</v>
          </cell>
        </row>
        <row r="7555">
          <cell r="A7555" t="str">
            <v>M.PT.0003687</v>
          </cell>
        </row>
        <row r="7556">
          <cell r="A7556" t="str">
            <v>M.PT.0003688</v>
          </cell>
        </row>
        <row r="7557">
          <cell r="A7557" t="str">
            <v>M.PT.0003689</v>
          </cell>
        </row>
        <row r="7558">
          <cell r="A7558" t="str">
            <v>M.PT.0003690</v>
          </cell>
        </row>
        <row r="7559">
          <cell r="A7559" t="str">
            <v>M.PT.0003691</v>
          </cell>
        </row>
        <row r="7560">
          <cell r="A7560" t="str">
            <v>M.PT.0003692</v>
          </cell>
        </row>
        <row r="7561">
          <cell r="A7561" t="str">
            <v>M.PT.0003693</v>
          </cell>
        </row>
        <row r="7562">
          <cell r="A7562" t="str">
            <v>M.PT.0003694</v>
          </cell>
        </row>
        <row r="7563">
          <cell r="A7563" t="str">
            <v>M.PT.0003695</v>
          </cell>
        </row>
        <row r="7564">
          <cell r="A7564" t="str">
            <v>M.PT.0003696</v>
          </cell>
        </row>
        <row r="7565">
          <cell r="A7565" t="str">
            <v>M.PT.0003697</v>
          </cell>
        </row>
        <row r="7566">
          <cell r="A7566" t="str">
            <v>M.PT.0003698</v>
          </cell>
        </row>
        <row r="7567">
          <cell r="A7567" t="str">
            <v>M.PT.0003699</v>
          </cell>
        </row>
        <row r="7568">
          <cell r="A7568" t="str">
            <v>M.PT.0003700</v>
          </cell>
        </row>
        <row r="7569">
          <cell r="A7569" t="str">
            <v>M.PT.0003701</v>
          </cell>
        </row>
        <row r="7570">
          <cell r="A7570" t="str">
            <v>M.PT.0003702</v>
          </cell>
        </row>
        <row r="7571">
          <cell r="A7571" t="str">
            <v>M.PT.0003703</v>
          </cell>
        </row>
        <row r="7572">
          <cell r="A7572" t="str">
            <v>M.PT.0003704</v>
          </cell>
        </row>
        <row r="7573">
          <cell r="A7573" t="str">
            <v>M.PT.0003705</v>
          </cell>
        </row>
        <row r="7574">
          <cell r="A7574" t="str">
            <v>M.PT.0003706</v>
          </cell>
        </row>
        <row r="7575">
          <cell r="A7575" t="str">
            <v>M.PT.0003707</v>
          </cell>
        </row>
        <row r="7576">
          <cell r="A7576" t="str">
            <v>M.PT.0003708</v>
          </cell>
        </row>
        <row r="7577">
          <cell r="A7577" t="str">
            <v>M.PT.0003709</v>
          </cell>
        </row>
        <row r="7578">
          <cell r="A7578" t="str">
            <v>M.PT.0003710</v>
          </cell>
        </row>
        <row r="7579">
          <cell r="A7579" t="str">
            <v>M.PT.0003711</v>
          </cell>
        </row>
        <row r="7580">
          <cell r="A7580" t="str">
            <v>M.PT.0003712</v>
          </cell>
        </row>
        <row r="7581">
          <cell r="A7581" t="str">
            <v>M.PT.0003713</v>
          </cell>
        </row>
        <row r="7582">
          <cell r="A7582" t="str">
            <v>M.PT.0003714</v>
          </cell>
        </row>
        <row r="7583">
          <cell r="A7583" t="str">
            <v>M.PT.0003715</v>
          </cell>
        </row>
        <row r="7584">
          <cell r="A7584" t="str">
            <v>M.PT.0003716</v>
          </cell>
        </row>
        <row r="7585">
          <cell r="A7585" t="str">
            <v>M.PT.0003717</v>
          </cell>
        </row>
        <row r="7586">
          <cell r="A7586" t="str">
            <v>M.PT.0003718</v>
          </cell>
        </row>
        <row r="7587">
          <cell r="A7587" t="str">
            <v>M.PT.0003719</v>
          </cell>
        </row>
        <row r="7588">
          <cell r="A7588" t="str">
            <v>M.PT.0003720</v>
          </cell>
        </row>
        <row r="7589">
          <cell r="A7589" t="str">
            <v>M.PT.0003721</v>
          </cell>
        </row>
        <row r="7590">
          <cell r="A7590" t="str">
            <v>M.PT.0003722</v>
          </cell>
        </row>
        <row r="7591">
          <cell r="A7591" t="str">
            <v>M.PT.0003723</v>
          </cell>
        </row>
        <row r="7592">
          <cell r="A7592" t="str">
            <v>M.PT.0003724</v>
          </cell>
        </row>
        <row r="7593">
          <cell r="A7593" t="str">
            <v>M.PT.0003725</v>
          </cell>
        </row>
        <row r="7594">
          <cell r="A7594" t="str">
            <v>M.PT.0003726</v>
          </cell>
        </row>
        <row r="7595">
          <cell r="A7595" t="str">
            <v>M.PT.0003727</v>
          </cell>
        </row>
        <row r="7596">
          <cell r="A7596" t="str">
            <v>M.PT.0003728</v>
          </cell>
        </row>
        <row r="7597">
          <cell r="A7597" t="str">
            <v>M.PT.0003729</v>
          </cell>
        </row>
        <row r="7598">
          <cell r="A7598" t="str">
            <v>M.PT.0003730</v>
          </cell>
        </row>
        <row r="7599">
          <cell r="A7599" t="str">
            <v>M.PT.0003731</v>
          </cell>
        </row>
        <row r="7600">
          <cell r="A7600" t="str">
            <v>M.PT.0003732</v>
          </cell>
        </row>
        <row r="7601">
          <cell r="A7601" t="str">
            <v>M.PT.0003733</v>
          </cell>
        </row>
        <row r="7602">
          <cell r="A7602" t="str">
            <v>M.PT.0003734</v>
          </cell>
        </row>
        <row r="7603">
          <cell r="A7603" t="str">
            <v>M.PT.0003735</v>
          </cell>
        </row>
        <row r="7604">
          <cell r="A7604" t="str">
            <v>M.PT.0003736</v>
          </cell>
        </row>
        <row r="7605">
          <cell r="A7605" t="str">
            <v>M.PT.0003737</v>
          </cell>
        </row>
        <row r="7606">
          <cell r="A7606" t="str">
            <v>M.PT.0003738</v>
          </cell>
        </row>
        <row r="7607">
          <cell r="A7607" t="str">
            <v>M.PT.0003739</v>
          </cell>
        </row>
        <row r="7608">
          <cell r="A7608" t="str">
            <v>M.PT.0003740</v>
          </cell>
        </row>
        <row r="7609">
          <cell r="A7609" t="str">
            <v>M.PT.0003741</v>
          </cell>
        </row>
        <row r="7610">
          <cell r="A7610" t="str">
            <v>M.PT.0003742</v>
          </cell>
        </row>
        <row r="7611">
          <cell r="A7611" t="str">
            <v>M.PT.0003743</v>
          </cell>
        </row>
        <row r="7612">
          <cell r="A7612" t="str">
            <v>M.PT.0003744</v>
          </cell>
        </row>
        <row r="7613">
          <cell r="A7613" t="str">
            <v>M.PT.0003745</v>
          </cell>
        </row>
        <row r="7614">
          <cell r="A7614" t="str">
            <v>M.PT.0003746</v>
          </cell>
        </row>
        <row r="7615">
          <cell r="A7615" t="str">
            <v>M.PT.0003747</v>
          </cell>
        </row>
        <row r="7616">
          <cell r="A7616" t="str">
            <v>M.PT.0003748</v>
          </cell>
        </row>
        <row r="7617">
          <cell r="A7617" t="str">
            <v>M.PT.0003749</v>
          </cell>
        </row>
        <row r="7618">
          <cell r="A7618" t="str">
            <v>M.PT.0003750</v>
          </cell>
        </row>
        <row r="7619">
          <cell r="A7619" t="str">
            <v>M.PT.0003751</v>
          </cell>
        </row>
        <row r="7620">
          <cell r="A7620" t="str">
            <v>M.PT.0003752</v>
          </cell>
        </row>
        <row r="7621">
          <cell r="A7621" t="str">
            <v>M.PT.0003753</v>
          </cell>
        </row>
        <row r="7622">
          <cell r="A7622" t="str">
            <v>M.PT.0003754</v>
          </cell>
        </row>
        <row r="7623">
          <cell r="A7623" t="str">
            <v>M.PT.0003755</v>
          </cell>
        </row>
        <row r="7624">
          <cell r="A7624" t="str">
            <v>M.PT.0003756</v>
          </cell>
        </row>
        <row r="7625">
          <cell r="A7625" t="str">
            <v>M.PT.0003757</v>
          </cell>
        </row>
        <row r="7626">
          <cell r="A7626" t="str">
            <v>M.PT.0003758</v>
          </cell>
        </row>
        <row r="7627">
          <cell r="A7627" t="str">
            <v>M.PT.0003759</v>
          </cell>
        </row>
        <row r="7628">
          <cell r="A7628" t="str">
            <v>M.PT.0003760</v>
          </cell>
        </row>
        <row r="7629">
          <cell r="A7629" t="str">
            <v>M.PT.0003761</v>
          </cell>
        </row>
        <row r="7630">
          <cell r="A7630" t="str">
            <v>M.PT.0003762</v>
          </cell>
        </row>
        <row r="7631">
          <cell r="A7631" t="str">
            <v>M.PT.0003763</v>
          </cell>
        </row>
        <row r="7632">
          <cell r="A7632" t="str">
            <v>M.PT.0003764</v>
          </cell>
        </row>
        <row r="7633">
          <cell r="A7633" t="str">
            <v>M.PT.0003765</v>
          </cell>
        </row>
        <row r="7634">
          <cell r="A7634" t="str">
            <v>M.PT.0003766</v>
          </cell>
        </row>
        <row r="7635">
          <cell r="A7635" t="str">
            <v>M.PT.0003767</v>
          </cell>
        </row>
        <row r="7636">
          <cell r="A7636" t="str">
            <v>M.PT.0003768</v>
          </cell>
        </row>
        <row r="7637">
          <cell r="A7637" t="str">
            <v>M.PT.0003769</v>
          </cell>
        </row>
        <row r="7638">
          <cell r="A7638" t="str">
            <v>M.PT.0003770</v>
          </cell>
        </row>
        <row r="7639">
          <cell r="A7639" t="str">
            <v>M.PT.0003771</v>
          </cell>
        </row>
        <row r="7640">
          <cell r="A7640" t="str">
            <v>M.PT.0003772</v>
          </cell>
        </row>
        <row r="7641">
          <cell r="A7641" t="str">
            <v>M.PT.0003773</v>
          </cell>
        </row>
        <row r="7642">
          <cell r="A7642" t="str">
            <v>M.PT.0003774</v>
          </cell>
        </row>
        <row r="7643">
          <cell r="A7643" t="str">
            <v>M.PT.0003775</v>
          </cell>
        </row>
        <row r="7644">
          <cell r="A7644" t="str">
            <v>M.PT.0003776</v>
          </cell>
        </row>
        <row r="7645">
          <cell r="A7645" t="str">
            <v>M.PT.0003777</v>
          </cell>
        </row>
        <row r="7646">
          <cell r="A7646" t="str">
            <v>M.PT.0003778</v>
          </cell>
        </row>
        <row r="7647">
          <cell r="A7647" t="str">
            <v>M.PT.0003779</v>
          </cell>
        </row>
        <row r="7648">
          <cell r="A7648" t="str">
            <v>M.PT.0003780</v>
          </cell>
        </row>
        <row r="7649">
          <cell r="A7649" t="str">
            <v>M.PT.0003781</v>
          </cell>
        </row>
        <row r="7650">
          <cell r="A7650" t="str">
            <v>M.PT.0003782</v>
          </cell>
        </row>
        <row r="7651">
          <cell r="A7651" t="str">
            <v>M.PT.0003783</v>
          </cell>
        </row>
        <row r="7652">
          <cell r="A7652" t="str">
            <v>M.PT.0003784</v>
          </cell>
        </row>
        <row r="7653">
          <cell r="A7653" t="str">
            <v>M.PT.0003785</v>
          </cell>
        </row>
        <row r="7654">
          <cell r="A7654" t="str">
            <v>M.PT.0003786</v>
          </cell>
        </row>
        <row r="7655">
          <cell r="A7655" t="str">
            <v>M.PT.0003787</v>
          </cell>
        </row>
        <row r="7656">
          <cell r="A7656" t="str">
            <v>M.PT.0003788</v>
          </cell>
        </row>
        <row r="7657">
          <cell r="A7657" t="str">
            <v>M.PT.0003789</v>
          </cell>
        </row>
        <row r="7658">
          <cell r="A7658" t="str">
            <v>M.PT.0003790</v>
          </cell>
        </row>
        <row r="7659">
          <cell r="A7659" t="str">
            <v>M.PT.0003791</v>
          </cell>
        </row>
        <row r="7660">
          <cell r="A7660" t="str">
            <v>M.PT.0003792</v>
          </cell>
        </row>
        <row r="7661">
          <cell r="A7661" t="str">
            <v>M.PT.0003793</v>
          </cell>
        </row>
        <row r="7662">
          <cell r="A7662" t="str">
            <v>M.PT.0003794</v>
          </cell>
        </row>
        <row r="7663">
          <cell r="A7663" t="str">
            <v>M.PT.0003795</v>
          </cell>
        </row>
        <row r="7664">
          <cell r="A7664" t="str">
            <v>M.PT.0003796</v>
          </cell>
        </row>
        <row r="7665">
          <cell r="A7665" t="str">
            <v>M.PT.0003797</v>
          </cell>
        </row>
        <row r="7666">
          <cell r="A7666" t="str">
            <v>M.PT.0003798</v>
          </cell>
        </row>
        <row r="7667">
          <cell r="A7667" t="str">
            <v>M.PT.0003799</v>
          </cell>
        </row>
        <row r="7668">
          <cell r="A7668" t="str">
            <v>M.PT.0003800</v>
          </cell>
        </row>
        <row r="7669">
          <cell r="A7669" t="str">
            <v>M.PT.0003801</v>
          </cell>
        </row>
        <row r="7670">
          <cell r="A7670" t="str">
            <v>M.PT.0003802</v>
          </cell>
        </row>
        <row r="7671">
          <cell r="A7671" t="str">
            <v>M.PT.0003803</v>
          </cell>
        </row>
        <row r="7672">
          <cell r="A7672" t="str">
            <v>M.PT.0003804</v>
          </cell>
        </row>
        <row r="7673">
          <cell r="A7673" t="str">
            <v>M.PT.0003805</v>
          </cell>
        </row>
        <row r="7674">
          <cell r="A7674" t="str">
            <v>M.PT.0003806</v>
          </cell>
        </row>
        <row r="7675">
          <cell r="A7675" t="str">
            <v>M.PT.0003807</v>
          </cell>
        </row>
        <row r="7676">
          <cell r="A7676" t="str">
            <v>M.PT.0003808</v>
          </cell>
        </row>
        <row r="7677">
          <cell r="A7677" t="str">
            <v>M.PT.0003809</v>
          </cell>
        </row>
        <row r="7678">
          <cell r="A7678" t="str">
            <v>M.PT.0003810</v>
          </cell>
        </row>
        <row r="7679">
          <cell r="A7679" t="str">
            <v>M.PT.0003811</v>
          </cell>
        </row>
        <row r="7680">
          <cell r="A7680" t="str">
            <v>M.PT.0003812</v>
          </cell>
        </row>
        <row r="7681">
          <cell r="A7681" t="str">
            <v>M.PT.0003813</v>
          </cell>
        </row>
        <row r="7682">
          <cell r="A7682" t="str">
            <v>M.PT.0003814</v>
          </cell>
        </row>
        <row r="7683">
          <cell r="A7683" t="str">
            <v>M.PT.0003815</v>
          </cell>
        </row>
        <row r="7684">
          <cell r="A7684" t="str">
            <v>M.PT.0003816</v>
          </cell>
        </row>
        <row r="7685">
          <cell r="A7685" t="str">
            <v>M.PT.0003817</v>
          </cell>
        </row>
        <row r="7686">
          <cell r="A7686" t="str">
            <v>M.PT.0003818</v>
          </cell>
        </row>
        <row r="7687">
          <cell r="A7687" t="str">
            <v>M.PT.0003819</v>
          </cell>
        </row>
        <row r="7688">
          <cell r="A7688" t="str">
            <v>M.PT.0003820</v>
          </cell>
        </row>
        <row r="7689">
          <cell r="A7689" t="str">
            <v>M.PT.0003821</v>
          </cell>
        </row>
        <row r="7690">
          <cell r="A7690" t="str">
            <v>M.PT.0003822</v>
          </cell>
        </row>
        <row r="7691">
          <cell r="A7691" t="str">
            <v>M.PT.0003823</v>
          </cell>
        </row>
        <row r="7692">
          <cell r="A7692" t="str">
            <v>M.PT.0003824</v>
          </cell>
        </row>
        <row r="7693">
          <cell r="A7693" t="str">
            <v>M.PT.0003825</v>
          </cell>
        </row>
        <row r="7694">
          <cell r="A7694" t="str">
            <v>M.PT.0003826</v>
          </cell>
        </row>
        <row r="7695">
          <cell r="A7695" t="str">
            <v>M.PT.0003827</v>
          </cell>
        </row>
        <row r="7696">
          <cell r="A7696" t="str">
            <v>M.PT.0003828</v>
          </cell>
        </row>
        <row r="7697">
          <cell r="A7697" t="str">
            <v>M.PT.0003829</v>
          </cell>
        </row>
        <row r="7698">
          <cell r="A7698" t="str">
            <v>M.PT.0003830</v>
          </cell>
        </row>
        <row r="7699">
          <cell r="A7699" t="str">
            <v>M.PT.0003831</v>
          </cell>
        </row>
        <row r="7700">
          <cell r="A7700" t="str">
            <v>M.PT.0003832</v>
          </cell>
        </row>
        <row r="7701">
          <cell r="A7701" t="str">
            <v>M.PT.0003833</v>
          </cell>
        </row>
        <row r="7702">
          <cell r="A7702" t="str">
            <v>M.PT.0003834</v>
          </cell>
        </row>
        <row r="7703">
          <cell r="A7703" t="str">
            <v>M.PT.0003835</v>
          </cell>
        </row>
        <row r="7704">
          <cell r="A7704" t="str">
            <v>M.PT.0003836</v>
          </cell>
        </row>
        <row r="7705">
          <cell r="A7705" t="str">
            <v>M.PT.0003837</v>
          </cell>
        </row>
        <row r="7706">
          <cell r="A7706" t="str">
            <v>M.PT.0003838</v>
          </cell>
        </row>
        <row r="7707">
          <cell r="A7707" t="str">
            <v>M.PT.0003839</v>
          </cell>
        </row>
        <row r="7708">
          <cell r="A7708" t="str">
            <v>M.PT.0003840</v>
          </cell>
        </row>
        <row r="7709">
          <cell r="A7709" t="str">
            <v>M.PT.0003841</v>
          </cell>
        </row>
        <row r="7710">
          <cell r="A7710" t="str">
            <v>M.PT.0003842</v>
          </cell>
        </row>
        <row r="7711">
          <cell r="A7711" t="str">
            <v>M.PT.0003843</v>
          </cell>
        </row>
        <row r="7712">
          <cell r="A7712" t="str">
            <v>M.PT.0003844</v>
          </cell>
        </row>
        <row r="7713">
          <cell r="A7713" t="str">
            <v>M.PT.0003845</v>
          </cell>
        </row>
        <row r="7714">
          <cell r="A7714" t="str">
            <v>M.PT.0003846</v>
          </cell>
        </row>
        <row r="7715">
          <cell r="A7715" t="str">
            <v>M.PT.0003847</v>
          </cell>
        </row>
        <row r="7716">
          <cell r="A7716" t="str">
            <v>M.PT.0003848</v>
          </cell>
        </row>
        <row r="7717">
          <cell r="A7717" t="str">
            <v>M.PT.0003849</v>
          </cell>
        </row>
        <row r="7718">
          <cell r="A7718" t="str">
            <v>M.PT.0003850</v>
          </cell>
        </row>
        <row r="7719">
          <cell r="A7719" t="str">
            <v>M.PT.0003851</v>
          </cell>
        </row>
        <row r="7720">
          <cell r="A7720" t="str">
            <v>M.PT.0003852</v>
          </cell>
        </row>
        <row r="7721">
          <cell r="A7721" t="str">
            <v>M.PT.0003853</v>
          </cell>
        </row>
        <row r="7722">
          <cell r="A7722" t="str">
            <v>M.PT.0003854</v>
          </cell>
        </row>
        <row r="7723">
          <cell r="A7723" t="str">
            <v>M.PT.0003855</v>
          </cell>
        </row>
        <row r="7724">
          <cell r="A7724" t="str">
            <v>M.PT.0003856</v>
          </cell>
        </row>
        <row r="7725">
          <cell r="A7725" t="str">
            <v>M.PT.0003857</v>
          </cell>
        </row>
        <row r="7726">
          <cell r="A7726" t="str">
            <v>M.PT.0003858</v>
          </cell>
        </row>
        <row r="7727">
          <cell r="A7727" t="str">
            <v>M.PT.0003859</v>
          </cell>
        </row>
        <row r="7728">
          <cell r="A7728" t="str">
            <v>M.PT.0003860</v>
          </cell>
        </row>
        <row r="7729">
          <cell r="A7729" t="str">
            <v>M.PT.0003861</v>
          </cell>
        </row>
        <row r="7730">
          <cell r="A7730" t="str">
            <v>M.PT.0003862</v>
          </cell>
        </row>
        <row r="7731">
          <cell r="A7731" t="str">
            <v>M.PT.0003863</v>
          </cell>
        </row>
        <row r="7732">
          <cell r="A7732" t="str">
            <v>M.PT.0003864</v>
          </cell>
        </row>
        <row r="7733">
          <cell r="A7733" t="str">
            <v>M.PT.0003865</v>
          </cell>
        </row>
        <row r="7734">
          <cell r="A7734" t="str">
            <v>M.PT.0003866</v>
          </cell>
        </row>
        <row r="7735">
          <cell r="A7735" t="str">
            <v>M.PT.0003867</v>
          </cell>
        </row>
        <row r="7736">
          <cell r="A7736" t="str">
            <v>M.PT.0003868</v>
          </cell>
        </row>
        <row r="7737">
          <cell r="A7737" t="str">
            <v>M.PT.0003869</v>
          </cell>
        </row>
        <row r="7738">
          <cell r="A7738" t="str">
            <v>M.PT.0003870</v>
          </cell>
        </row>
        <row r="7739">
          <cell r="A7739" t="str">
            <v>M.PT.0003871</v>
          </cell>
        </row>
        <row r="7740">
          <cell r="A7740" t="str">
            <v>M.PT.0003872</v>
          </cell>
        </row>
        <row r="7741">
          <cell r="A7741" t="str">
            <v>M.PT.0003873</v>
          </cell>
        </row>
        <row r="7742">
          <cell r="A7742" t="str">
            <v>M.PT.0003874</v>
          </cell>
        </row>
        <row r="7743">
          <cell r="A7743" t="str">
            <v>M.PT.0003875</v>
          </cell>
        </row>
        <row r="7744">
          <cell r="A7744" t="str">
            <v>M.PT.0003876</v>
          </cell>
        </row>
        <row r="7745">
          <cell r="A7745" t="str">
            <v>M.PT.0003877</v>
          </cell>
        </row>
        <row r="7746">
          <cell r="A7746" t="str">
            <v>M.PT.0003878</v>
          </cell>
        </row>
        <row r="7747">
          <cell r="A7747" t="str">
            <v>M.PT.0003879</v>
          </cell>
        </row>
        <row r="7748">
          <cell r="A7748" t="str">
            <v>M.PT.0003880</v>
          </cell>
        </row>
        <row r="7749">
          <cell r="A7749" t="str">
            <v>M.PT.0003881</v>
          </cell>
        </row>
        <row r="7750">
          <cell r="A7750" t="str">
            <v>M.PT.0003882</v>
          </cell>
        </row>
        <row r="7751">
          <cell r="A7751" t="str">
            <v>M.PT.0003883</v>
          </cell>
        </row>
        <row r="7752">
          <cell r="A7752" t="str">
            <v>M.PT.0003884</v>
          </cell>
        </row>
        <row r="7753">
          <cell r="A7753" t="str">
            <v>M.PT.0003885</v>
          </cell>
        </row>
        <row r="7754">
          <cell r="A7754" t="str">
            <v>M.PT.0003886</v>
          </cell>
        </row>
        <row r="7755">
          <cell r="A7755" t="str">
            <v>M.PT.0003887</v>
          </cell>
        </row>
        <row r="7756">
          <cell r="A7756" t="str">
            <v>M.PT.0003888</v>
          </cell>
        </row>
        <row r="7757">
          <cell r="A7757" t="str">
            <v>M.PT.0003889</v>
          </cell>
        </row>
        <row r="7758">
          <cell r="A7758" t="str">
            <v>M.PT.0003890</v>
          </cell>
        </row>
        <row r="7759">
          <cell r="A7759" t="str">
            <v>M.PT.0003891</v>
          </cell>
        </row>
        <row r="7760">
          <cell r="A7760" t="str">
            <v>M.PT.0003892</v>
          </cell>
        </row>
        <row r="7761">
          <cell r="A7761" t="str">
            <v>M.PT.0003893</v>
          </cell>
        </row>
        <row r="7762">
          <cell r="A7762" t="str">
            <v>M.PT.0003894</v>
          </cell>
        </row>
        <row r="7763">
          <cell r="A7763" t="str">
            <v>M.PT.0003895</v>
          </cell>
        </row>
        <row r="7764">
          <cell r="A7764" t="str">
            <v>M.PT.0003896</v>
          </cell>
        </row>
        <row r="7765">
          <cell r="A7765" t="str">
            <v>M.PT.0003897</v>
          </cell>
        </row>
        <row r="7766">
          <cell r="A7766" t="str">
            <v>M.PT.0003898</v>
          </cell>
        </row>
        <row r="7767">
          <cell r="A7767" t="str">
            <v>M.PT.0003899</v>
          </cell>
        </row>
        <row r="7768">
          <cell r="A7768" t="str">
            <v>M.PT.0003900</v>
          </cell>
        </row>
        <row r="7769">
          <cell r="A7769" t="str">
            <v>M.PT.0003901</v>
          </cell>
        </row>
        <row r="7770">
          <cell r="A7770" t="str">
            <v>M.PT.0003902</v>
          </cell>
        </row>
        <row r="7771">
          <cell r="A7771" t="str">
            <v>M.PT.0003903</v>
          </cell>
        </row>
        <row r="7772">
          <cell r="A7772" t="str">
            <v>M.PT.0003904</v>
          </cell>
        </row>
        <row r="7773">
          <cell r="A7773" t="str">
            <v>M.PT.0003905</v>
          </cell>
        </row>
        <row r="7774">
          <cell r="A7774" t="str">
            <v>M.PT.0003906</v>
          </cell>
        </row>
        <row r="7775">
          <cell r="A7775" t="str">
            <v>M.PT.0003907</v>
          </cell>
        </row>
        <row r="7776">
          <cell r="A7776" t="str">
            <v>M.PT.0003908</v>
          </cell>
        </row>
        <row r="7777">
          <cell r="A7777" t="str">
            <v>M.PT.0003909</v>
          </cell>
        </row>
        <row r="7778">
          <cell r="A7778" t="str">
            <v>M.PT.0003910</v>
          </cell>
        </row>
        <row r="7779">
          <cell r="A7779" t="str">
            <v>M.PT.0003911</v>
          </cell>
        </row>
        <row r="7780">
          <cell r="A7780" t="str">
            <v>M.PT.0003912</v>
          </cell>
        </row>
        <row r="7781">
          <cell r="A7781" t="str">
            <v>M.PT.0003913</v>
          </cell>
        </row>
        <row r="7782">
          <cell r="A7782" t="str">
            <v>M.PT.0003914</v>
          </cell>
        </row>
        <row r="7783">
          <cell r="A7783" t="str">
            <v>M.PT.0003915</v>
          </cell>
        </row>
        <row r="7784">
          <cell r="A7784" t="str">
            <v>M.PT.0003916</v>
          </cell>
        </row>
        <row r="7785">
          <cell r="A7785" t="str">
            <v>M.PT.0003917</v>
          </cell>
        </row>
        <row r="7786">
          <cell r="A7786" t="str">
            <v>M.PT.0003918</v>
          </cell>
        </row>
        <row r="7787">
          <cell r="A7787" t="str">
            <v>M.PT.0003919</v>
          </cell>
        </row>
        <row r="7788">
          <cell r="A7788" t="str">
            <v>M.PT.0003920</v>
          </cell>
        </row>
        <row r="7789">
          <cell r="A7789" t="str">
            <v>M.PT.0003921</v>
          </cell>
        </row>
        <row r="7790">
          <cell r="A7790" t="str">
            <v>M.PT.0003922</v>
          </cell>
        </row>
        <row r="7791">
          <cell r="A7791" t="str">
            <v>M.PT.0003923</v>
          </cell>
        </row>
        <row r="7792">
          <cell r="A7792" t="str">
            <v>M.PT.0003924</v>
          </cell>
        </row>
        <row r="7793">
          <cell r="A7793" t="str">
            <v>M.PT.0003925</v>
          </cell>
        </row>
        <row r="7794">
          <cell r="A7794" t="str">
            <v>M.PT.0003926</v>
          </cell>
        </row>
        <row r="7795">
          <cell r="A7795" t="str">
            <v>M.PT.0003927</v>
          </cell>
        </row>
        <row r="7796">
          <cell r="A7796" t="str">
            <v>M.PT.0003928</v>
          </cell>
        </row>
        <row r="7797">
          <cell r="A7797" t="str">
            <v>M.PT.0003929</v>
          </cell>
        </row>
        <row r="7798">
          <cell r="A7798" t="str">
            <v>M.PT.0003930</v>
          </cell>
        </row>
        <row r="7799">
          <cell r="A7799" t="str">
            <v>M.PT.0003931</v>
          </cell>
        </row>
        <row r="7800">
          <cell r="A7800" t="str">
            <v>M.PT.0003932</v>
          </cell>
        </row>
        <row r="7801">
          <cell r="A7801" t="str">
            <v>M.PT.0003933</v>
          </cell>
        </row>
        <row r="7802">
          <cell r="A7802" t="str">
            <v>M.PT.0003934</v>
          </cell>
        </row>
        <row r="7803">
          <cell r="A7803" t="str">
            <v>M.PT.0003935</v>
          </cell>
        </row>
        <row r="7804">
          <cell r="A7804" t="str">
            <v>M.PT.0003936</v>
          </cell>
        </row>
        <row r="7805">
          <cell r="A7805" t="str">
            <v>M.PT.0003937</v>
          </cell>
        </row>
        <row r="7806">
          <cell r="A7806" t="str">
            <v>M.PT.0003938</v>
          </cell>
        </row>
        <row r="7807">
          <cell r="A7807" t="str">
            <v>M.PT.0003939</v>
          </cell>
        </row>
        <row r="7808">
          <cell r="A7808" t="str">
            <v>M.PT.0003940</v>
          </cell>
        </row>
        <row r="7809">
          <cell r="A7809" t="str">
            <v>M.PT.0003941</v>
          </cell>
        </row>
        <row r="7810">
          <cell r="A7810" t="str">
            <v>M.PT.0003942</v>
          </cell>
        </row>
        <row r="7811">
          <cell r="A7811" t="str">
            <v>M.PT.0003943</v>
          </cell>
        </row>
        <row r="7812">
          <cell r="A7812" t="str">
            <v>M.PT.0003944</v>
          </cell>
        </row>
        <row r="7813">
          <cell r="A7813" t="str">
            <v>M.PT.0003945</v>
          </cell>
        </row>
        <row r="7814">
          <cell r="A7814" t="str">
            <v>M.PT.0003946</v>
          </cell>
        </row>
        <row r="7815">
          <cell r="A7815" t="str">
            <v>M.PT.0003947</v>
          </cell>
        </row>
        <row r="7816">
          <cell r="A7816" t="str">
            <v>M.PT.0003948</v>
          </cell>
        </row>
        <row r="7817">
          <cell r="A7817" t="str">
            <v>M.PT.0003949</v>
          </cell>
        </row>
        <row r="7818">
          <cell r="A7818" t="str">
            <v>M.PT.0003950</v>
          </cell>
        </row>
        <row r="7819">
          <cell r="A7819" t="str">
            <v>M.PT.0003951</v>
          </cell>
        </row>
        <row r="7820">
          <cell r="A7820" t="str">
            <v>M.PT.0003952</v>
          </cell>
        </row>
        <row r="7821">
          <cell r="A7821" t="str">
            <v>M.PT.0003953</v>
          </cell>
        </row>
        <row r="7822">
          <cell r="A7822" t="str">
            <v>M.PT.0003954</v>
          </cell>
        </row>
        <row r="7823">
          <cell r="A7823" t="str">
            <v>M.PT.0003955</v>
          </cell>
        </row>
        <row r="7824">
          <cell r="A7824" t="str">
            <v>M.PT.0003956</v>
          </cell>
        </row>
        <row r="7825">
          <cell r="A7825" t="str">
            <v>M.PT.0003957</v>
          </cell>
        </row>
        <row r="7826">
          <cell r="A7826" t="str">
            <v>M.PT.0003958</v>
          </cell>
        </row>
        <row r="7827">
          <cell r="A7827" t="str">
            <v>M.PT.0003959</v>
          </cell>
        </row>
        <row r="7828">
          <cell r="A7828" t="str">
            <v>M.PT.0003960</v>
          </cell>
        </row>
        <row r="7829">
          <cell r="A7829" t="str">
            <v>M.PT.0003961</v>
          </cell>
        </row>
        <row r="7830">
          <cell r="A7830" t="str">
            <v>M.PT.0003962</v>
          </cell>
        </row>
        <row r="7831">
          <cell r="A7831" t="str">
            <v>M.PT.0003963</v>
          </cell>
        </row>
        <row r="7832">
          <cell r="A7832" t="str">
            <v>M.PT.0003964</v>
          </cell>
        </row>
        <row r="7833">
          <cell r="A7833" t="str">
            <v>M.PT.0003965</v>
          </cell>
        </row>
        <row r="7834">
          <cell r="A7834" t="str">
            <v>M.PT.0003966</v>
          </cell>
        </row>
        <row r="7835">
          <cell r="A7835" t="str">
            <v>M.PT.0003967</v>
          </cell>
        </row>
        <row r="7836">
          <cell r="A7836" t="str">
            <v>M.PT.0003968</v>
          </cell>
        </row>
        <row r="7837">
          <cell r="A7837" t="str">
            <v>M.PT.0003969</v>
          </cell>
        </row>
        <row r="7838">
          <cell r="A7838" t="str">
            <v>M.PT.0003970</v>
          </cell>
        </row>
        <row r="7839">
          <cell r="A7839" t="str">
            <v>M.PT.0003971</v>
          </cell>
        </row>
        <row r="7840">
          <cell r="A7840" t="str">
            <v>M.PT.0003972</v>
          </cell>
        </row>
        <row r="7841">
          <cell r="A7841" t="str">
            <v>M.PT.0003973</v>
          </cell>
        </row>
        <row r="7842">
          <cell r="A7842" t="str">
            <v>M.PT.0003974</v>
          </cell>
        </row>
        <row r="7843">
          <cell r="A7843" t="str">
            <v>M.PT.0003975</v>
          </cell>
        </row>
        <row r="7844">
          <cell r="A7844" t="str">
            <v>M.PT.0003976</v>
          </cell>
        </row>
        <row r="7845">
          <cell r="A7845" t="str">
            <v>M.PT.0003977</v>
          </cell>
        </row>
        <row r="7846">
          <cell r="A7846" t="str">
            <v>M.PT.0003978</v>
          </cell>
        </row>
        <row r="7847">
          <cell r="A7847" t="str">
            <v>M.PT.0003979</v>
          </cell>
        </row>
        <row r="7848">
          <cell r="A7848" t="str">
            <v>M.PT.0003980</v>
          </cell>
        </row>
        <row r="7849">
          <cell r="A7849" t="str">
            <v>M.PT.0003981</v>
          </cell>
        </row>
        <row r="7850">
          <cell r="A7850" t="str">
            <v>M.PT.0003982</v>
          </cell>
        </row>
        <row r="7851">
          <cell r="A7851" t="str">
            <v>M.PT.0003983</v>
          </cell>
        </row>
        <row r="7852">
          <cell r="A7852" t="str">
            <v>M.PT.0003984</v>
          </cell>
        </row>
        <row r="7853">
          <cell r="A7853" t="str">
            <v>M.PT.0003985</v>
          </cell>
        </row>
        <row r="7854">
          <cell r="A7854" t="str">
            <v>M.PT.0003986</v>
          </cell>
        </row>
        <row r="7855">
          <cell r="A7855" t="str">
            <v>M.PT.0003987</v>
          </cell>
        </row>
        <row r="7856">
          <cell r="A7856" t="str">
            <v>M.PT.0003988</v>
          </cell>
        </row>
        <row r="7857">
          <cell r="A7857" t="str">
            <v>M.PT.0003989</v>
          </cell>
        </row>
        <row r="7858">
          <cell r="A7858" t="str">
            <v>M.PT.0003990</v>
          </cell>
        </row>
        <row r="7859">
          <cell r="A7859" t="str">
            <v>M.PT.0003991</v>
          </cell>
        </row>
        <row r="7860">
          <cell r="A7860" t="str">
            <v>M.PT.0003992</v>
          </cell>
        </row>
        <row r="7861">
          <cell r="A7861" t="str">
            <v>M.PT.0003993</v>
          </cell>
        </row>
        <row r="7862">
          <cell r="A7862" t="str">
            <v>M.PT.0003994</v>
          </cell>
        </row>
        <row r="7863">
          <cell r="A7863" t="str">
            <v>M.PT.0003995</v>
          </cell>
        </row>
        <row r="7864">
          <cell r="A7864" t="str">
            <v>M.PT.0003996</v>
          </cell>
        </row>
        <row r="7865">
          <cell r="A7865" t="str">
            <v>M.PT.0003997</v>
          </cell>
        </row>
        <row r="7866">
          <cell r="A7866" t="str">
            <v>M.PT.0003998</v>
          </cell>
        </row>
        <row r="7867">
          <cell r="A7867" t="str">
            <v>M.PT.0003999</v>
          </cell>
        </row>
        <row r="7868">
          <cell r="A7868" t="str">
            <v>M.PT.0004000</v>
          </cell>
        </row>
        <row r="7869">
          <cell r="A7869" t="str">
            <v>M.PT.0004001</v>
          </cell>
        </row>
        <row r="7870">
          <cell r="A7870" t="str">
            <v>M.PT.0004002</v>
          </cell>
        </row>
        <row r="7871">
          <cell r="A7871" t="str">
            <v>M.PT.0004003</v>
          </cell>
        </row>
        <row r="7872">
          <cell r="A7872" t="str">
            <v>M.PT.0004004</v>
          </cell>
        </row>
        <row r="7873">
          <cell r="A7873" t="str">
            <v>M.PT.0004005</v>
          </cell>
        </row>
        <row r="7874">
          <cell r="A7874" t="str">
            <v>M.PT.0004006</v>
          </cell>
        </row>
        <row r="7875">
          <cell r="A7875" t="str">
            <v>M.PT.0004007</v>
          </cell>
        </row>
        <row r="7876">
          <cell r="A7876" t="str">
            <v>M.PT.0004008</v>
          </cell>
        </row>
        <row r="7877">
          <cell r="A7877" t="str">
            <v>M.PT.0004009</v>
          </cell>
        </row>
        <row r="7878">
          <cell r="A7878" t="str">
            <v>M.PT.0004010</v>
          </cell>
        </row>
        <row r="7879">
          <cell r="A7879" t="str">
            <v>M.PT.0004011</v>
          </cell>
        </row>
        <row r="7880">
          <cell r="A7880" t="str">
            <v>M.PT.0004012</v>
          </cell>
        </row>
        <row r="7881">
          <cell r="A7881" t="str">
            <v>M.PT.0004013</v>
          </cell>
        </row>
        <row r="7882">
          <cell r="A7882" t="str">
            <v>M.PT.0004014</v>
          </cell>
        </row>
        <row r="7883">
          <cell r="A7883" t="str">
            <v>M.PT.0004015</v>
          </cell>
        </row>
        <row r="7884">
          <cell r="A7884" t="str">
            <v>M.PT.0004016</v>
          </cell>
        </row>
        <row r="7885">
          <cell r="A7885" t="str">
            <v>M.PT.0004017</v>
          </cell>
        </row>
        <row r="7886">
          <cell r="A7886" t="str">
            <v>M.PT.0004018</v>
          </cell>
        </row>
        <row r="7887">
          <cell r="A7887" t="str">
            <v>M.PT.0004019</v>
          </cell>
        </row>
        <row r="7888">
          <cell r="A7888" t="str">
            <v>M.PT.0004020</v>
          </cell>
        </row>
        <row r="7889">
          <cell r="A7889" t="str">
            <v>M.PT.0004021</v>
          </cell>
        </row>
        <row r="7890">
          <cell r="A7890" t="str">
            <v>M.PT.0004022</v>
          </cell>
        </row>
        <row r="7891">
          <cell r="A7891" t="str">
            <v>M.PT.0004023</v>
          </cell>
        </row>
        <row r="7892">
          <cell r="A7892" t="str">
            <v>M.PT.0004024</v>
          </cell>
        </row>
        <row r="7893">
          <cell r="A7893" t="str">
            <v>M.PT.0004025</v>
          </cell>
        </row>
        <row r="7894">
          <cell r="A7894" t="str">
            <v>M.PT.0004026</v>
          </cell>
        </row>
        <row r="7895">
          <cell r="A7895" t="str">
            <v>M.PT.0004027</v>
          </cell>
        </row>
        <row r="7896">
          <cell r="A7896" t="str">
            <v>M.PT.0004028</v>
          </cell>
        </row>
        <row r="7897">
          <cell r="A7897" t="str">
            <v>M.PT.0004029</v>
          </cell>
        </row>
        <row r="7898">
          <cell r="A7898" t="str">
            <v>M.PT.0004030</v>
          </cell>
        </row>
        <row r="7899">
          <cell r="A7899" t="str">
            <v>M.PT.0004031</v>
          </cell>
        </row>
        <row r="7900">
          <cell r="A7900" t="str">
            <v>M.PT.0004032</v>
          </cell>
        </row>
        <row r="7901">
          <cell r="A7901" t="str">
            <v>M.PT.0004033</v>
          </cell>
        </row>
        <row r="7902">
          <cell r="A7902" t="str">
            <v>M.PT.0004034</v>
          </cell>
        </row>
        <row r="7903">
          <cell r="A7903" t="str">
            <v>M.PT.0004035</v>
          </cell>
        </row>
        <row r="7904">
          <cell r="A7904" t="str">
            <v>M.PT.0004036</v>
          </cell>
        </row>
        <row r="7905">
          <cell r="A7905" t="str">
            <v>M.PT.0004037</v>
          </cell>
        </row>
        <row r="7906">
          <cell r="A7906" t="str">
            <v>M.PT.0004038</v>
          </cell>
        </row>
        <row r="7907">
          <cell r="A7907" t="str">
            <v>M.PT.0004039</v>
          </cell>
        </row>
        <row r="7908">
          <cell r="A7908" t="str">
            <v>M.PT.0004040</v>
          </cell>
        </row>
        <row r="7909">
          <cell r="A7909" t="str">
            <v>M.PT.0004041</v>
          </cell>
        </row>
        <row r="7910">
          <cell r="A7910" t="str">
            <v>M.PT.0004042</v>
          </cell>
        </row>
        <row r="7911">
          <cell r="A7911" t="str">
            <v>M.PT.0004043</v>
          </cell>
        </row>
        <row r="7912">
          <cell r="A7912" t="str">
            <v>M.PT.0004044</v>
          </cell>
        </row>
        <row r="7913">
          <cell r="A7913" t="str">
            <v>M.PT.0004045</v>
          </cell>
        </row>
        <row r="7914">
          <cell r="A7914" t="str">
            <v>M.PT.0004046</v>
          </cell>
        </row>
        <row r="7915">
          <cell r="A7915" t="str">
            <v>M.PT.0004047</v>
          </cell>
        </row>
        <row r="7916">
          <cell r="A7916" t="str">
            <v>M.PT.0004048</v>
          </cell>
        </row>
        <row r="7917">
          <cell r="A7917" t="str">
            <v>M.PT.0004049</v>
          </cell>
        </row>
        <row r="7918">
          <cell r="A7918" t="str">
            <v>M.PT.0004050</v>
          </cell>
        </row>
        <row r="7919">
          <cell r="A7919" t="str">
            <v>M.PT.0004051</v>
          </cell>
        </row>
        <row r="7920">
          <cell r="A7920" t="str">
            <v>M.PT.0004052</v>
          </cell>
        </row>
        <row r="7921">
          <cell r="A7921" t="str">
            <v>M.PT.0004053</v>
          </cell>
        </row>
        <row r="7922">
          <cell r="A7922" t="str">
            <v>M.PT.0004054</v>
          </cell>
        </row>
        <row r="7923">
          <cell r="A7923" t="str">
            <v>M.PT.0004055</v>
          </cell>
        </row>
        <row r="7924">
          <cell r="A7924" t="str">
            <v>M.PT.0004056</v>
          </cell>
        </row>
        <row r="7925">
          <cell r="A7925" t="str">
            <v>M.PT.0004057</v>
          </cell>
        </row>
        <row r="7926">
          <cell r="A7926" t="str">
            <v>M.PT.0004058</v>
          </cell>
        </row>
        <row r="7927">
          <cell r="A7927" t="str">
            <v>M.PT.0004059</v>
          </cell>
        </row>
        <row r="7928">
          <cell r="A7928" t="str">
            <v>M.PT.0004060</v>
          </cell>
        </row>
        <row r="7929">
          <cell r="A7929" t="str">
            <v>M.PT.0004061</v>
          </cell>
        </row>
        <row r="7930">
          <cell r="A7930" t="str">
            <v>M.PT.0004062</v>
          </cell>
        </row>
        <row r="7931">
          <cell r="A7931" t="str">
            <v>M.PT.0004063</v>
          </cell>
        </row>
        <row r="7932">
          <cell r="A7932" t="str">
            <v>M.PT.0004064</v>
          </cell>
        </row>
        <row r="7933">
          <cell r="A7933" t="str">
            <v>M.PT.0004065</v>
          </cell>
        </row>
        <row r="7934">
          <cell r="A7934" t="str">
            <v>M.PT.0004066</v>
          </cell>
        </row>
        <row r="7935">
          <cell r="A7935" t="str">
            <v>M.PT.0004067</v>
          </cell>
        </row>
        <row r="7936">
          <cell r="A7936" t="str">
            <v>M.PT.0004068</v>
          </cell>
        </row>
        <row r="7937">
          <cell r="A7937" t="str">
            <v>M.PT.0004069</v>
          </cell>
        </row>
        <row r="7938">
          <cell r="A7938" t="str">
            <v>M.PT.0004070</v>
          </cell>
        </row>
        <row r="7939">
          <cell r="A7939" t="str">
            <v>M.PT.0004071</v>
          </cell>
        </row>
        <row r="7940">
          <cell r="A7940" t="str">
            <v>M.PT.0004072</v>
          </cell>
        </row>
        <row r="7941">
          <cell r="A7941" t="str">
            <v>M.PT.0004073</v>
          </cell>
        </row>
        <row r="7942">
          <cell r="A7942" t="str">
            <v>M.PT.0004074</v>
          </cell>
        </row>
        <row r="7943">
          <cell r="A7943" t="str">
            <v>M.PT.0004075</v>
          </cell>
        </row>
        <row r="7944">
          <cell r="A7944" t="str">
            <v>M.PT.0004076</v>
          </cell>
        </row>
        <row r="7945">
          <cell r="A7945" t="str">
            <v>M.PT.0004077</v>
          </cell>
        </row>
        <row r="7946">
          <cell r="A7946" t="str">
            <v>M.PT.0004078</v>
          </cell>
        </row>
        <row r="7947">
          <cell r="A7947" t="str">
            <v>M.PT.0004079</v>
          </cell>
        </row>
        <row r="7948">
          <cell r="A7948" t="str">
            <v>M.PT.0004080</v>
          </cell>
        </row>
        <row r="7949">
          <cell r="A7949" t="str">
            <v>M.PT.0004081</v>
          </cell>
        </row>
        <row r="7950">
          <cell r="A7950" t="str">
            <v>M.PT.0004082</v>
          </cell>
        </row>
        <row r="7951">
          <cell r="A7951" t="str">
            <v>M.PT.0004083</v>
          </cell>
        </row>
        <row r="7952">
          <cell r="A7952" t="str">
            <v>M.PT.0004084</v>
          </cell>
        </row>
        <row r="7953">
          <cell r="A7953" t="str">
            <v>M.PT.0004085</v>
          </cell>
        </row>
        <row r="7954">
          <cell r="A7954" t="str">
            <v>M.PT.0004086</v>
          </cell>
        </row>
        <row r="7955">
          <cell r="A7955" t="str">
            <v>M.PT.0004087</v>
          </cell>
        </row>
        <row r="7956">
          <cell r="A7956" t="str">
            <v>M.PT.0004088</v>
          </cell>
        </row>
        <row r="7957">
          <cell r="A7957" t="str">
            <v>M.PT.0004089</v>
          </cell>
        </row>
        <row r="7958">
          <cell r="A7958" t="str">
            <v>M.PT.0004090</v>
          </cell>
        </row>
        <row r="7959">
          <cell r="A7959" t="str">
            <v>M.PT.0004091</v>
          </cell>
        </row>
        <row r="7960">
          <cell r="A7960" t="str">
            <v>M.PT.0004092</v>
          </cell>
        </row>
        <row r="7961">
          <cell r="A7961" t="str">
            <v>M.PT.0004093</v>
          </cell>
        </row>
        <row r="7962">
          <cell r="A7962" t="str">
            <v>M.PT.0004094</v>
          </cell>
        </row>
        <row r="7963">
          <cell r="A7963" t="str">
            <v>M.PT.0004095</v>
          </cell>
        </row>
        <row r="7964">
          <cell r="A7964" t="str">
            <v>M.PT.0004096</v>
          </cell>
        </row>
        <row r="7965">
          <cell r="A7965" t="str">
            <v>M.PT.0004097</v>
          </cell>
        </row>
        <row r="7966">
          <cell r="A7966" t="str">
            <v>M.PT.0004098</v>
          </cell>
        </row>
        <row r="7967">
          <cell r="A7967" t="str">
            <v>M.PT.0004099</v>
          </cell>
        </row>
        <row r="7968">
          <cell r="A7968" t="str">
            <v>M.PT.0004100</v>
          </cell>
        </row>
        <row r="7969">
          <cell r="A7969" t="str">
            <v>M.PT.0004101</v>
          </cell>
        </row>
        <row r="7970">
          <cell r="A7970" t="str">
            <v>M.PT.0004102</v>
          </cell>
        </row>
        <row r="7971">
          <cell r="A7971" t="str">
            <v>M.PT.0004103</v>
          </cell>
        </row>
        <row r="7972">
          <cell r="A7972" t="str">
            <v>M.PT.0004104</v>
          </cell>
        </row>
        <row r="7973">
          <cell r="A7973" t="str">
            <v>M.PT.0004105</v>
          </cell>
        </row>
        <row r="7974">
          <cell r="A7974" t="str">
            <v>M.PT.0004106</v>
          </cell>
        </row>
        <row r="7975">
          <cell r="A7975" t="str">
            <v>M.PT.0004107</v>
          </cell>
        </row>
        <row r="7976">
          <cell r="A7976" t="str">
            <v>M.PT.0004108</v>
          </cell>
        </row>
        <row r="7977">
          <cell r="A7977" t="str">
            <v>M.PT.0004109</v>
          </cell>
        </row>
        <row r="7978">
          <cell r="A7978" t="str">
            <v>M.PT.0004110</v>
          </cell>
        </row>
        <row r="7979">
          <cell r="A7979" t="str">
            <v>M.PT.0004111</v>
          </cell>
        </row>
        <row r="7980">
          <cell r="A7980" t="str">
            <v>M.PT.0004112</v>
          </cell>
        </row>
        <row r="7981">
          <cell r="A7981" t="str">
            <v>M.PT.0004113</v>
          </cell>
        </row>
        <row r="7982">
          <cell r="A7982" t="str">
            <v>M.PT.0004114</v>
          </cell>
        </row>
        <row r="7983">
          <cell r="A7983" t="str">
            <v>M.PT.0004115</v>
          </cell>
        </row>
        <row r="7984">
          <cell r="A7984" t="str">
            <v>M.PT.0004116</v>
          </cell>
        </row>
        <row r="7985">
          <cell r="A7985" t="str">
            <v>M.PT.0004117</v>
          </cell>
        </row>
        <row r="7986">
          <cell r="A7986" t="str">
            <v>M.PT.0004118</v>
          </cell>
        </row>
        <row r="7987">
          <cell r="A7987" t="str">
            <v>M.PT.0004119</v>
          </cell>
        </row>
        <row r="7988">
          <cell r="A7988" t="str">
            <v>M.PT.0004120</v>
          </cell>
        </row>
        <row r="7989">
          <cell r="A7989" t="str">
            <v>M.PT.0004121</v>
          </cell>
        </row>
        <row r="7990">
          <cell r="A7990" t="str">
            <v>M.PT.0004122</v>
          </cell>
        </row>
        <row r="7991">
          <cell r="A7991" t="str">
            <v>M.PT.0004123</v>
          </cell>
        </row>
        <row r="7992">
          <cell r="A7992" t="str">
            <v>M.PT.0004124</v>
          </cell>
        </row>
        <row r="7993">
          <cell r="A7993" t="str">
            <v>M.PT.0004125</v>
          </cell>
        </row>
        <row r="7994">
          <cell r="A7994" t="str">
            <v>M.PT.0004126</v>
          </cell>
        </row>
        <row r="7995">
          <cell r="A7995" t="str">
            <v>M.PT.0004127</v>
          </cell>
        </row>
        <row r="7996">
          <cell r="A7996" t="str">
            <v>M.PT.0004128</v>
          </cell>
        </row>
        <row r="7997">
          <cell r="A7997" t="str">
            <v>M.PT.0004129</v>
          </cell>
        </row>
        <row r="7998">
          <cell r="A7998" t="str">
            <v>M.PT.0004130</v>
          </cell>
        </row>
        <row r="7999">
          <cell r="A7999" t="str">
            <v>M.PT.0004131</v>
          </cell>
        </row>
        <row r="8000">
          <cell r="A8000" t="str">
            <v>M.PT.0004132</v>
          </cell>
        </row>
        <row r="8001">
          <cell r="A8001" t="str">
            <v>M.PT.0004133</v>
          </cell>
        </row>
        <row r="8002">
          <cell r="A8002" t="str">
            <v>M.PT.0004134</v>
          </cell>
        </row>
        <row r="8003">
          <cell r="A8003" t="str">
            <v>M.PT.0004135</v>
          </cell>
        </row>
        <row r="8004">
          <cell r="A8004" t="str">
            <v>M.PT.0004136</v>
          </cell>
        </row>
        <row r="8005">
          <cell r="A8005" t="str">
            <v>M.PT.0004137</v>
          </cell>
        </row>
        <row r="8006">
          <cell r="A8006" t="str">
            <v>M.PT.0004138</v>
          </cell>
        </row>
        <row r="8007">
          <cell r="A8007" t="str">
            <v>M.PT.0004139</v>
          </cell>
        </row>
        <row r="8008">
          <cell r="A8008" t="str">
            <v>M.PT.0004140</v>
          </cell>
        </row>
        <row r="8009">
          <cell r="A8009" t="str">
            <v>M.PT.0004141</v>
          </cell>
        </row>
        <row r="8010">
          <cell r="A8010" t="str">
            <v>M.PT.0004142</v>
          </cell>
        </row>
        <row r="8011">
          <cell r="A8011" t="str">
            <v>M.PT.0004143</v>
          </cell>
        </row>
        <row r="8012">
          <cell r="A8012" t="str">
            <v>M.PT.0004144</v>
          </cell>
        </row>
        <row r="8013">
          <cell r="A8013" t="str">
            <v>M.PT.0004145</v>
          </cell>
        </row>
        <row r="8014">
          <cell r="A8014" t="str">
            <v>M.PT.0004146</v>
          </cell>
        </row>
        <row r="8015">
          <cell r="A8015" t="str">
            <v>M.PT.0004147</v>
          </cell>
        </row>
        <row r="8016">
          <cell r="A8016" t="str">
            <v>M.PT.0004148</v>
          </cell>
        </row>
        <row r="8017">
          <cell r="A8017" t="str">
            <v>M.PT.0004149</v>
          </cell>
        </row>
        <row r="8018">
          <cell r="A8018" t="str">
            <v>M.PT.0004150</v>
          </cell>
        </row>
        <row r="8019">
          <cell r="A8019" t="str">
            <v>M.PT.0004151</v>
          </cell>
        </row>
        <row r="8020">
          <cell r="A8020" t="str">
            <v>M.PT.0004152</v>
          </cell>
        </row>
        <row r="8021">
          <cell r="A8021" t="str">
            <v>M.PT.0004153</v>
          </cell>
        </row>
        <row r="8022">
          <cell r="A8022" t="str">
            <v>M.PT.0004154</v>
          </cell>
        </row>
        <row r="8023">
          <cell r="A8023" t="str">
            <v>M.PT.0004155</v>
          </cell>
        </row>
        <row r="8024">
          <cell r="A8024" t="str">
            <v>M.PT.0004156</v>
          </cell>
        </row>
        <row r="8025">
          <cell r="A8025" t="str">
            <v>M.PT.0004157</v>
          </cell>
        </row>
        <row r="8026">
          <cell r="A8026" t="str">
            <v>M.PT.0004158</v>
          </cell>
        </row>
        <row r="8027">
          <cell r="A8027" t="str">
            <v>M.PT.0004159</v>
          </cell>
        </row>
        <row r="8028">
          <cell r="A8028" t="str">
            <v>M.PT.0004160</v>
          </cell>
        </row>
        <row r="8029">
          <cell r="A8029" t="str">
            <v>M.PT.0004161</v>
          </cell>
        </row>
        <row r="8030">
          <cell r="A8030" t="str">
            <v>M.PT.0004162</v>
          </cell>
        </row>
        <row r="8031">
          <cell r="A8031" t="str">
            <v>M.PT.0004163</v>
          </cell>
        </row>
        <row r="8032">
          <cell r="A8032" t="str">
            <v>M.PT.0004164</v>
          </cell>
        </row>
        <row r="8033">
          <cell r="A8033" t="str">
            <v>M.PT.0004165</v>
          </cell>
        </row>
        <row r="8034">
          <cell r="A8034" t="str">
            <v>M.PT.0004166</v>
          </cell>
        </row>
        <row r="8035">
          <cell r="A8035" t="str">
            <v>M.PT.0004167</v>
          </cell>
        </row>
        <row r="8036">
          <cell r="A8036" t="str">
            <v>M.PT.0004168</v>
          </cell>
        </row>
        <row r="8037">
          <cell r="A8037" t="str">
            <v>M.PT.0004169</v>
          </cell>
        </row>
        <row r="8038">
          <cell r="A8038" t="str">
            <v>M.PT.0004170</v>
          </cell>
        </row>
        <row r="8039">
          <cell r="A8039" t="str">
            <v>M.PT.0004171</v>
          </cell>
        </row>
        <row r="8040">
          <cell r="A8040" t="str">
            <v>M.PT.0004172</v>
          </cell>
        </row>
        <row r="8041">
          <cell r="A8041" t="str">
            <v>M.PT.0004173</v>
          </cell>
        </row>
        <row r="8042">
          <cell r="A8042" t="str">
            <v>M.PT.0004174</v>
          </cell>
        </row>
        <row r="8043">
          <cell r="A8043" t="str">
            <v>M.PT.0004175</v>
          </cell>
        </row>
        <row r="8044">
          <cell r="A8044" t="str">
            <v>M.PT.0004176</v>
          </cell>
        </row>
        <row r="8045">
          <cell r="A8045" t="str">
            <v>M.PT.0004177</v>
          </cell>
        </row>
        <row r="8046">
          <cell r="A8046" t="str">
            <v>M.PT.0004178</v>
          </cell>
        </row>
        <row r="8047">
          <cell r="A8047" t="str">
            <v>M.PT.0004179</v>
          </cell>
        </row>
        <row r="8048">
          <cell r="A8048" t="str">
            <v>M.PT.0004180</v>
          </cell>
        </row>
        <row r="8049">
          <cell r="A8049" t="str">
            <v>M.PT.0004181</v>
          </cell>
        </row>
        <row r="8050">
          <cell r="A8050" t="str">
            <v>M.PT.0004182</v>
          </cell>
        </row>
        <row r="8051">
          <cell r="A8051" t="str">
            <v>M.PT.0004183</v>
          </cell>
        </row>
        <row r="8052">
          <cell r="A8052" t="str">
            <v>M.PT.0004184</v>
          </cell>
        </row>
        <row r="8053">
          <cell r="A8053" t="str">
            <v>M.PT.0004185</v>
          </cell>
        </row>
        <row r="8054">
          <cell r="A8054" t="str">
            <v>M.PT.0004186</v>
          </cell>
        </row>
        <row r="8055">
          <cell r="A8055" t="str">
            <v>M.PT.0004187</v>
          </cell>
        </row>
        <row r="8056">
          <cell r="A8056" t="str">
            <v>M.PT.0004188</v>
          </cell>
        </row>
        <row r="8057">
          <cell r="A8057" t="str">
            <v>M.PT.0004189</v>
          </cell>
        </row>
        <row r="8058">
          <cell r="A8058" t="str">
            <v>M.PT.0004190</v>
          </cell>
        </row>
        <row r="8059">
          <cell r="A8059" t="str">
            <v>M.PT.0004191</v>
          </cell>
        </row>
        <row r="8060">
          <cell r="A8060" t="str">
            <v>M.PT.0004192</v>
          </cell>
        </row>
        <row r="8061">
          <cell r="A8061" t="str">
            <v>M.PT.0004193</v>
          </cell>
        </row>
        <row r="8062">
          <cell r="A8062" t="str">
            <v>M.PT.0004194</v>
          </cell>
        </row>
        <row r="8063">
          <cell r="A8063" t="str">
            <v>M.PT.0004195</v>
          </cell>
        </row>
        <row r="8064">
          <cell r="A8064" t="str">
            <v>M.PT.0004196</v>
          </cell>
        </row>
        <row r="8065">
          <cell r="A8065" t="str">
            <v>M.PT.0004197</v>
          </cell>
        </row>
        <row r="8066">
          <cell r="A8066" t="str">
            <v>M.PT.0004198</v>
          </cell>
        </row>
        <row r="8067">
          <cell r="A8067" t="str">
            <v>M.PT.0004199</v>
          </cell>
        </row>
        <row r="8068">
          <cell r="A8068" t="str">
            <v>M.PT.0004200</v>
          </cell>
        </row>
        <row r="8069">
          <cell r="A8069" t="str">
            <v>M.PT.0004201</v>
          </cell>
        </row>
        <row r="8070">
          <cell r="A8070" t="str">
            <v>M.PT.0004202</v>
          </cell>
        </row>
        <row r="8071">
          <cell r="A8071" t="str">
            <v>M.PT.0004203</v>
          </cell>
        </row>
        <row r="8072">
          <cell r="A8072" t="str">
            <v>M.PT.0004204</v>
          </cell>
        </row>
        <row r="8073">
          <cell r="A8073" t="str">
            <v>M.PT.0004205</v>
          </cell>
        </row>
        <row r="8074">
          <cell r="A8074" t="str">
            <v>M.PT.0004206</v>
          </cell>
        </row>
        <row r="8075">
          <cell r="A8075" t="str">
            <v>M.PT.0004207</v>
          </cell>
        </row>
        <row r="8076">
          <cell r="A8076" t="str">
            <v>M.PT.0004208</v>
          </cell>
        </row>
        <row r="8077">
          <cell r="A8077" t="str">
            <v>M.PT.0004209</v>
          </cell>
        </row>
        <row r="8078">
          <cell r="A8078" t="str">
            <v>M.PT.0004210</v>
          </cell>
        </row>
        <row r="8079">
          <cell r="A8079" t="str">
            <v>M.PT.0004211</v>
          </cell>
        </row>
        <row r="8080">
          <cell r="A8080" t="str">
            <v>M.PT.0004212</v>
          </cell>
        </row>
        <row r="8081">
          <cell r="A8081" t="str">
            <v>M.PT.0004213</v>
          </cell>
        </row>
        <row r="8082">
          <cell r="A8082" t="str">
            <v>M.PT.0004214</v>
          </cell>
        </row>
        <row r="8083">
          <cell r="A8083" t="str">
            <v>M.PT.0004215</v>
          </cell>
        </row>
        <row r="8084">
          <cell r="A8084" t="str">
            <v>M.PT.0004216</v>
          </cell>
        </row>
        <row r="8085">
          <cell r="A8085" t="str">
            <v>M.PT.0004217</v>
          </cell>
        </row>
        <row r="8086">
          <cell r="A8086" t="str">
            <v>M.PT.0004218</v>
          </cell>
        </row>
        <row r="8087">
          <cell r="A8087" t="str">
            <v>M.PT.0004219</v>
          </cell>
        </row>
        <row r="8088">
          <cell r="A8088" t="str">
            <v>M.PT.0004220</v>
          </cell>
        </row>
        <row r="8089">
          <cell r="A8089" t="str">
            <v>M.PT.0004221</v>
          </cell>
        </row>
        <row r="8090">
          <cell r="A8090" t="str">
            <v>M.PT.0004222</v>
          </cell>
        </row>
        <row r="8091">
          <cell r="A8091" t="str">
            <v>M.PT.0004223</v>
          </cell>
        </row>
        <row r="8092">
          <cell r="A8092" t="str">
            <v>M.PT.0004224</v>
          </cell>
        </row>
        <row r="8093">
          <cell r="A8093" t="str">
            <v>M.PT.0004225</v>
          </cell>
        </row>
        <row r="8094">
          <cell r="A8094" t="str">
            <v>M.PT.0004226</v>
          </cell>
        </row>
        <row r="8095">
          <cell r="A8095" t="str">
            <v>M.PT.0004227</v>
          </cell>
        </row>
        <row r="8096">
          <cell r="A8096" t="str">
            <v>M.PT.0004228</v>
          </cell>
        </row>
        <row r="8097">
          <cell r="A8097" t="str">
            <v>M.PT.0004229</v>
          </cell>
        </row>
        <row r="8098">
          <cell r="A8098" t="str">
            <v>M.PT.0004230</v>
          </cell>
        </row>
        <row r="8099">
          <cell r="A8099" t="str">
            <v>M.PT.0004231</v>
          </cell>
        </row>
        <row r="8100">
          <cell r="A8100" t="str">
            <v>M.PT.0004232</v>
          </cell>
        </row>
        <row r="8101">
          <cell r="A8101" t="str">
            <v>M.PT.0004233</v>
          </cell>
        </row>
        <row r="8102">
          <cell r="A8102" t="str">
            <v>M.PT.0004234</v>
          </cell>
        </row>
        <row r="8103">
          <cell r="A8103" t="str">
            <v>M.PT.0004235</v>
          </cell>
        </row>
        <row r="8104">
          <cell r="A8104" t="str">
            <v>M.PT.0004236</v>
          </cell>
        </row>
        <row r="8105">
          <cell r="A8105" t="str">
            <v>M.PT.0004237</v>
          </cell>
        </row>
        <row r="8106">
          <cell r="A8106" t="str">
            <v>M.PT.0004238</v>
          </cell>
        </row>
        <row r="8107">
          <cell r="A8107" t="str">
            <v>M.PT.0004239</v>
          </cell>
        </row>
        <row r="8108">
          <cell r="A8108" t="str">
            <v>M.PT.0004240</v>
          </cell>
        </row>
        <row r="8109">
          <cell r="A8109" t="str">
            <v>M.PT.0004241</v>
          </cell>
        </row>
        <row r="8110">
          <cell r="A8110" t="str">
            <v>M.PT.0004242</v>
          </cell>
        </row>
        <row r="8111">
          <cell r="A8111" t="str">
            <v>M.PT.0004243</v>
          </cell>
        </row>
        <row r="8112">
          <cell r="A8112" t="str">
            <v>M.PT.0004244</v>
          </cell>
        </row>
        <row r="8113">
          <cell r="A8113" t="str">
            <v>M.PT.0004245</v>
          </cell>
        </row>
        <row r="8114">
          <cell r="A8114" t="str">
            <v>M.PT.0004246</v>
          </cell>
        </row>
        <row r="8115">
          <cell r="A8115" t="str">
            <v>M.PT.0004247</v>
          </cell>
        </row>
        <row r="8116">
          <cell r="A8116" t="str">
            <v>M.PT.0004248</v>
          </cell>
        </row>
        <row r="8117">
          <cell r="A8117" t="str">
            <v>M.PT.0004249</v>
          </cell>
        </row>
        <row r="8118">
          <cell r="A8118" t="str">
            <v>M.PT.0004250</v>
          </cell>
        </row>
        <row r="8119">
          <cell r="A8119" t="str">
            <v>M.PT.0004251</v>
          </cell>
        </row>
        <row r="8120">
          <cell r="A8120" t="str">
            <v>M.PT.0004252</v>
          </cell>
        </row>
        <row r="8121">
          <cell r="A8121" t="str">
            <v>M.PT.0004253</v>
          </cell>
        </row>
        <row r="8122">
          <cell r="A8122" t="str">
            <v>M.PT.0004254</v>
          </cell>
        </row>
        <row r="8123">
          <cell r="A8123" t="str">
            <v>M.PT.0004255</v>
          </cell>
        </row>
        <row r="8124">
          <cell r="A8124" t="str">
            <v>M.PT.0004256</v>
          </cell>
        </row>
        <row r="8125">
          <cell r="A8125" t="str">
            <v>M.PT.0004257</v>
          </cell>
        </row>
        <row r="8126">
          <cell r="A8126" t="str">
            <v>M.PT.0004258</v>
          </cell>
        </row>
        <row r="8127">
          <cell r="A8127" t="str">
            <v>M.PT.0004259</v>
          </cell>
        </row>
        <row r="8128">
          <cell r="A8128" t="str">
            <v>M.PT.0004260</v>
          </cell>
        </row>
        <row r="8129">
          <cell r="A8129" t="str">
            <v>M.PT.0004261</v>
          </cell>
        </row>
        <row r="8130">
          <cell r="A8130" t="str">
            <v>M.PT.0004262</v>
          </cell>
        </row>
        <row r="8131">
          <cell r="A8131" t="str">
            <v>M.PT.0004263</v>
          </cell>
        </row>
        <row r="8132">
          <cell r="A8132" t="str">
            <v>M.PT.0004264</v>
          </cell>
        </row>
        <row r="8133">
          <cell r="A8133" t="str">
            <v>M.PT.0004265</v>
          </cell>
        </row>
        <row r="8134">
          <cell r="A8134" t="str">
            <v>M.PT.0004266</v>
          </cell>
        </row>
        <row r="8135">
          <cell r="A8135" t="str">
            <v>M.PT.0004267</v>
          </cell>
        </row>
        <row r="8136">
          <cell r="A8136" t="str">
            <v>M.PT.0004268</v>
          </cell>
        </row>
        <row r="8137">
          <cell r="A8137" t="str">
            <v>M.PT.0004269</v>
          </cell>
        </row>
        <row r="8138">
          <cell r="A8138" t="str">
            <v>M.PT.0004270</v>
          </cell>
        </row>
        <row r="8139">
          <cell r="A8139" t="str">
            <v>M.PT.0004271</v>
          </cell>
        </row>
        <row r="8140">
          <cell r="A8140" t="str">
            <v>M.PT.0004272</v>
          </cell>
        </row>
        <row r="8141">
          <cell r="A8141" t="str">
            <v>M.PT.0004273</v>
          </cell>
        </row>
        <row r="8142">
          <cell r="A8142" t="str">
            <v>M.PT.0004274</v>
          </cell>
        </row>
        <row r="8143">
          <cell r="A8143" t="str">
            <v>M.PT.0004275</v>
          </cell>
        </row>
        <row r="8144">
          <cell r="A8144" t="str">
            <v>M.PT.0004276</v>
          </cell>
        </row>
        <row r="8145">
          <cell r="A8145" t="str">
            <v>M.PT.0004277</v>
          </cell>
        </row>
        <row r="8146">
          <cell r="A8146" t="str">
            <v>M.PT.0004278</v>
          </cell>
        </row>
        <row r="8147">
          <cell r="A8147" t="str">
            <v>M.PT.0004279</v>
          </cell>
        </row>
        <row r="8148">
          <cell r="A8148" t="str">
            <v>M.PT.0004280</v>
          </cell>
        </row>
        <row r="8149">
          <cell r="A8149" t="str">
            <v>M.PT.0004281</v>
          </cell>
        </row>
        <row r="8150">
          <cell r="A8150" t="str">
            <v>M.PT.0004282</v>
          </cell>
        </row>
        <row r="8151">
          <cell r="A8151" t="str">
            <v>M.PT.0004283</v>
          </cell>
        </row>
        <row r="8152">
          <cell r="A8152" t="str">
            <v>M.PT.0004284</v>
          </cell>
        </row>
        <row r="8153">
          <cell r="A8153" t="str">
            <v>M.PT.0004285</v>
          </cell>
        </row>
        <row r="8154">
          <cell r="A8154" t="str">
            <v>M.PT.0004286</v>
          </cell>
        </row>
        <row r="8155">
          <cell r="A8155" t="str">
            <v>M.PT.0004287</v>
          </cell>
        </row>
        <row r="8156">
          <cell r="A8156" t="str">
            <v>M.PT.0004288</v>
          </cell>
        </row>
        <row r="8157">
          <cell r="A8157" t="str">
            <v>M.PT.0004289</v>
          </cell>
        </row>
        <row r="8158">
          <cell r="A8158" t="str">
            <v>M.PT.0004290</v>
          </cell>
        </row>
        <row r="8159">
          <cell r="A8159" t="str">
            <v>M.PT.0004291</v>
          </cell>
        </row>
        <row r="8160">
          <cell r="A8160" t="str">
            <v>M.PT.0004292</v>
          </cell>
        </row>
        <row r="8161">
          <cell r="A8161" t="str">
            <v>M.PT.0004293</v>
          </cell>
        </row>
        <row r="8162">
          <cell r="A8162" t="str">
            <v>M.PT.0004294</v>
          </cell>
        </row>
        <row r="8163">
          <cell r="A8163" t="str">
            <v>M.PT.0004295</v>
          </cell>
        </row>
        <row r="8164">
          <cell r="A8164" t="str">
            <v>M.PT.0004296</v>
          </cell>
        </row>
        <row r="8165">
          <cell r="A8165" t="str">
            <v>M.PT.0004297</v>
          </cell>
        </row>
        <row r="8166">
          <cell r="A8166" t="str">
            <v>M.PT.0004298</v>
          </cell>
        </row>
        <row r="8167">
          <cell r="A8167" t="str">
            <v>M.PT.0004299</v>
          </cell>
        </row>
        <row r="8168">
          <cell r="A8168" t="str">
            <v>M.PT.0004300</v>
          </cell>
        </row>
        <row r="8169">
          <cell r="A8169" t="str">
            <v>M.PT.0004301</v>
          </cell>
        </row>
        <row r="8170">
          <cell r="A8170" t="str">
            <v>M.PT.0004302</v>
          </cell>
        </row>
        <row r="8171">
          <cell r="A8171" t="str">
            <v>M.PT.0004303</v>
          </cell>
        </row>
        <row r="8172">
          <cell r="A8172" t="str">
            <v>M.PT.0004304</v>
          </cell>
        </row>
        <row r="8173">
          <cell r="A8173" t="str">
            <v>M.PT.0004305</v>
          </cell>
        </row>
        <row r="8174">
          <cell r="A8174" t="str">
            <v>M.PT.0004306</v>
          </cell>
        </row>
        <row r="8175">
          <cell r="A8175" t="str">
            <v>M.PT.0004307</v>
          </cell>
        </row>
        <row r="8176">
          <cell r="A8176" t="str">
            <v>M.PT.0004308</v>
          </cell>
        </row>
        <row r="8177">
          <cell r="A8177" t="str">
            <v>M.PT.0004309</v>
          </cell>
        </row>
        <row r="8178">
          <cell r="A8178" t="str">
            <v>M.PT.0004310</v>
          </cell>
        </row>
        <row r="8179">
          <cell r="A8179" t="str">
            <v>M.PT.0004311</v>
          </cell>
        </row>
        <row r="8180">
          <cell r="A8180" t="str">
            <v>M.PT.0004312</v>
          </cell>
        </row>
        <row r="8181">
          <cell r="A8181" t="str">
            <v>M.PT.0004313</v>
          </cell>
        </row>
        <row r="8182">
          <cell r="A8182" t="str">
            <v>M.PT.0004314</v>
          </cell>
        </row>
        <row r="8183">
          <cell r="A8183" t="str">
            <v>M.PT.0004315</v>
          </cell>
        </row>
        <row r="8184">
          <cell r="A8184" t="str">
            <v>M.PT.0004316</v>
          </cell>
        </row>
        <row r="8185">
          <cell r="A8185" t="str">
            <v>M.PT.0004317</v>
          </cell>
        </row>
        <row r="8186">
          <cell r="A8186" t="str">
            <v>M.PT.0004318</v>
          </cell>
        </row>
        <row r="8187">
          <cell r="A8187" t="str">
            <v>M.PT.0004319</v>
          </cell>
        </row>
        <row r="8188">
          <cell r="A8188" t="str">
            <v>M.PT.0004320</v>
          </cell>
        </row>
        <row r="8189">
          <cell r="A8189" t="str">
            <v>M.PT.0004321</v>
          </cell>
        </row>
        <row r="8190">
          <cell r="A8190" t="str">
            <v>M.PT.0004322</v>
          </cell>
        </row>
        <row r="8191">
          <cell r="A8191" t="str">
            <v>M.PT.0004323</v>
          </cell>
        </row>
        <row r="8192">
          <cell r="A8192" t="str">
            <v>M.PT.0004324</v>
          </cell>
        </row>
        <row r="8193">
          <cell r="A8193" t="str">
            <v>M.PT.0004325</v>
          </cell>
        </row>
        <row r="8194">
          <cell r="A8194" t="str">
            <v>M.PT.0004326</v>
          </cell>
        </row>
        <row r="8195">
          <cell r="A8195" t="str">
            <v>M.PT.0004327</v>
          </cell>
        </row>
        <row r="8196">
          <cell r="A8196" t="str">
            <v>M.PT.0004328</v>
          </cell>
        </row>
        <row r="8197">
          <cell r="A8197" t="str">
            <v>M.PT.0004329</v>
          </cell>
        </row>
        <row r="8198">
          <cell r="A8198" t="str">
            <v>M.PT.0004330</v>
          </cell>
        </row>
        <row r="8199">
          <cell r="A8199" t="str">
            <v>M.PT.0004331</v>
          </cell>
        </row>
        <row r="8200">
          <cell r="A8200" t="str">
            <v>M.PT.0004332</v>
          </cell>
        </row>
        <row r="8201">
          <cell r="A8201" t="str">
            <v>M.PT.0004333</v>
          </cell>
        </row>
        <row r="8202">
          <cell r="A8202" t="str">
            <v>M.PT.0004334</v>
          </cell>
        </row>
        <row r="8203">
          <cell r="A8203" t="str">
            <v>M.PT.0004335</v>
          </cell>
        </row>
        <row r="8204">
          <cell r="A8204" t="str">
            <v>M.PT.0004336</v>
          </cell>
        </row>
        <row r="8205">
          <cell r="A8205" t="str">
            <v>M.PT.0004337</v>
          </cell>
        </row>
        <row r="8206">
          <cell r="A8206" t="str">
            <v>M.PT.0004338</v>
          </cell>
        </row>
        <row r="8207">
          <cell r="A8207" t="str">
            <v>M.PT.0004339</v>
          </cell>
        </row>
        <row r="8208">
          <cell r="A8208" t="str">
            <v>M.PT.0004340</v>
          </cell>
        </row>
        <row r="8209">
          <cell r="A8209" t="str">
            <v>M.PT.0004341</v>
          </cell>
        </row>
        <row r="8210">
          <cell r="A8210" t="str">
            <v>M.PT.0004342</v>
          </cell>
        </row>
        <row r="8211">
          <cell r="A8211" t="str">
            <v>M.PT.0004343</v>
          </cell>
        </row>
        <row r="8212">
          <cell r="A8212" t="str">
            <v>M.PT.0004344</v>
          </cell>
        </row>
        <row r="8213">
          <cell r="A8213" t="str">
            <v>M.PT.0004345</v>
          </cell>
        </row>
        <row r="8214">
          <cell r="A8214" t="str">
            <v>M.PT.0004346</v>
          </cell>
        </row>
        <row r="8215">
          <cell r="A8215" t="str">
            <v>M.PT.0004347</v>
          </cell>
        </row>
        <row r="8216">
          <cell r="A8216" t="str">
            <v>M.PT.0004348</v>
          </cell>
        </row>
        <row r="8217">
          <cell r="A8217" t="str">
            <v>M.PT.0004349</v>
          </cell>
        </row>
        <row r="8218">
          <cell r="A8218" t="str">
            <v>M.PT.0004350</v>
          </cell>
        </row>
        <row r="8219">
          <cell r="A8219" t="str">
            <v>M.PT.0004351</v>
          </cell>
        </row>
        <row r="8220">
          <cell r="A8220" t="str">
            <v>M.PT.0004352</v>
          </cell>
        </row>
        <row r="8221">
          <cell r="A8221" t="str">
            <v>M.PT.0004353</v>
          </cell>
        </row>
        <row r="8222">
          <cell r="A8222" t="str">
            <v>M.PT.0004354</v>
          </cell>
        </row>
        <row r="8223">
          <cell r="A8223" t="str">
            <v>M.PT.0004355</v>
          </cell>
        </row>
        <row r="8224">
          <cell r="A8224" t="str">
            <v>M.PT.0004356</v>
          </cell>
        </row>
        <row r="8225">
          <cell r="A8225" t="str">
            <v>M.PT.0004357</v>
          </cell>
        </row>
        <row r="8226">
          <cell r="A8226" t="str">
            <v>M.PT.0004358</v>
          </cell>
        </row>
        <row r="8227">
          <cell r="A8227" t="str">
            <v>M.PT.0004359</v>
          </cell>
        </row>
        <row r="8228">
          <cell r="A8228" t="str">
            <v>M.PT.0004360</v>
          </cell>
        </row>
        <row r="8229">
          <cell r="A8229" t="str">
            <v>M.PT.0004361</v>
          </cell>
        </row>
        <row r="8230">
          <cell r="A8230" t="str">
            <v>M.PT.0004362</v>
          </cell>
        </row>
        <row r="8231">
          <cell r="A8231" t="str">
            <v>M.PT.0004363</v>
          </cell>
        </row>
        <row r="8232">
          <cell r="A8232" t="str">
            <v>M.PT.0004364</v>
          </cell>
        </row>
        <row r="8233">
          <cell r="A8233" t="str">
            <v>M.PT.0004365</v>
          </cell>
        </row>
        <row r="8234">
          <cell r="A8234" t="str">
            <v>M.PT.0004366</v>
          </cell>
        </row>
        <row r="8235">
          <cell r="A8235" t="str">
            <v>M.PT.0004367</v>
          </cell>
        </row>
        <row r="8236">
          <cell r="A8236" t="str">
            <v>M.PT.0004368</v>
          </cell>
        </row>
        <row r="8237">
          <cell r="A8237" t="str">
            <v>M.PT.0004369</v>
          </cell>
        </row>
        <row r="8238">
          <cell r="A8238" t="str">
            <v>M.PT.0004370</v>
          </cell>
        </row>
        <row r="8239">
          <cell r="A8239" t="str">
            <v>M.PT.0004371</v>
          </cell>
        </row>
        <row r="8240">
          <cell r="A8240" t="str">
            <v>M.PT.0004372</v>
          </cell>
        </row>
        <row r="8241">
          <cell r="A8241" t="str">
            <v>M.PT.0004373</v>
          </cell>
        </row>
        <row r="8242">
          <cell r="A8242" t="str">
            <v>M.PT.0004374</v>
          </cell>
        </row>
        <row r="8243">
          <cell r="A8243" t="str">
            <v>M.PT.0004375</v>
          </cell>
        </row>
        <row r="8244">
          <cell r="A8244" t="str">
            <v>M.PT.0004376</v>
          </cell>
        </row>
        <row r="8245">
          <cell r="A8245" t="str">
            <v>M.PT.0004377</v>
          </cell>
        </row>
        <row r="8246">
          <cell r="A8246" t="str">
            <v>M.PT.0004378</v>
          </cell>
        </row>
        <row r="8247">
          <cell r="A8247" t="str">
            <v>M.PT.0004379</v>
          </cell>
        </row>
        <row r="8248">
          <cell r="A8248" t="str">
            <v>M.PT.0004380</v>
          </cell>
        </row>
        <row r="8249">
          <cell r="A8249" t="str">
            <v>M.PT.0004381</v>
          </cell>
        </row>
        <row r="8250">
          <cell r="A8250" t="str">
            <v>M.PT.0004382</v>
          </cell>
        </row>
        <row r="8251">
          <cell r="A8251" t="str">
            <v>M.PT.0004383</v>
          </cell>
        </row>
        <row r="8252">
          <cell r="A8252" t="str">
            <v>M.PT.0004384</v>
          </cell>
        </row>
        <row r="8253">
          <cell r="A8253" t="str">
            <v>M.PT.0004385</v>
          </cell>
        </row>
        <row r="8254">
          <cell r="A8254" t="str">
            <v>M.PT.0004386</v>
          </cell>
        </row>
        <row r="8255">
          <cell r="A8255" t="str">
            <v>M.PT.0004387</v>
          </cell>
        </row>
        <row r="8256">
          <cell r="A8256" t="str">
            <v>M.PT.0004388</v>
          </cell>
        </row>
        <row r="8257">
          <cell r="A8257" t="str">
            <v>M.PT.0004389</v>
          </cell>
        </row>
        <row r="8258">
          <cell r="A8258" t="str">
            <v>M.PT.0004390</v>
          </cell>
        </row>
        <row r="8259">
          <cell r="A8259" t="str">
            <v>M.PT.0004391</v>
          </cell>
        </row>
        <row r="8260">
          <cell r="A8260" t="str">
            <v>M.PT.0004392</v>
          </cell>
        </row>
        <row r="8261">
          <cell r="A8261" t="str">
            <v>M.PT.0004393</v>
          </cell>
        </row>
        <row r="8262">
          <cell r="A8262" t="str">
            <v>M.PT.0004394</v>
          </cell>
        </row>
        <row r="8263">
          <cell r="A8263" t="str">
            <v>M.PT.0004395</v>
          </cell>
        </row>
        <row r="8264">
          <cell r="A8264" t="str">
            <v>M.PT.0004396</v>
          </cell>
        </row>
        <row r="8265">
          <cell r="A8265" t="str">
            <v>M.PT.0004397</v>
          </cell>
        </row>
        <row r="8266">
          <cell r="A8266" t="str">
            <v>M.PT.0004398</v>
          </cell>
        </row>
        <row r="8267">
          <cell r="A8267" t="str">
            <v>M.PT.0004399</v>
          </cell>
        </row>
        <row r="8268">
          <cell r="A8268" t="str">
            <v>M.PT.0004400</v>
          </cell>
        </row>
        <row r="8269">
          <cell r="A8269" t="str">
            <v>M.PT.0004401</v>
          </cell>
        </row>
        <row r="8270">
          <cell r="A8270" t="str">
            <v>M.PT.0004402</v>
          </cell>
        </row>
        <row r="8271">
          <cell r="A8271" t="str">
            <v>M.PT.0004403</v>
          </cell>
        </row>
        <row r="8272">
          <cell r="A8272" t="str">
            <v>M.PT.0004404</v>
          </cell>
        </row>
        <row r="8273">
          <cell r="A8273" t="str">
            <v>M.PT.0004405</v>
          </cell>
        </row>
        <row r="8274">
          <cell r="A8274" t="str">
            <v>M.PT.0004406</v>
          </cell>
        </row>
        <row r="8275">
          <cell r="A8275" t="str">
            <v>M.PT.0004407</v>
          </cell>
        </row>
        <row r="8276">
          <cell r="A8276" t="str">
            <v>M.PT.0004408</v>
          </cell>
        </row>
        <row r="8277">
          <cell r="A8277" t="str">
            <v>M.PT.0004409</v>
          </cell>
        </row>
        <row r="8278">
          <cell r="A8278" t="str">
            <v>M.PT.0004410</v>
          </cell>
        </row>
        <row r="8279">
          <cell r="A8279" t="str">
            <v>M.PT.0004411</v>
          </cell>
        </row>
        <row r="8280">
          <cell r="A8280" t="str">
            <v>M.PT.0004412</v>
          </cell>
        </row>
        <row r="8281">
          <cell r="A8281" t="str">
            <v>M.PT.0004413</v>
          </cell>
        </row>
        <row r="8282">
          <cell r="A8282" t="str">
            <v>M.PT.0004414</v>
          </cell>
        </row>
        <row r="8283">
          <cell r="A8283" t="str">
            <v>M.PT.0004415</v>
          </cell>
        </row>
        <row r="8284">
          <cell r="A8284" t="str">
            <v>M.PT.0004416</v>
          </cell>
        </row>
        <row r="8285">
          <cell r="A8285" t="str">
            <v>M.PT.0004417</v>
          </cell>
        </row>
        <row r="8286">
          <cell r="A8286" t="str">
            <v>M.PT.0004418</v>
          </cell>
        </row>
        <row r="8287">
          <cell r="A8287" t="str">
            <v>M.PT.0004419</v>
          </cell>
        </row>
        <row r="8288">
          <cell r="A8288" t="str">
            <v>M.PT.0004420</v>
          </cell>
        </row>
        <row r="8289">
          <cell r="A8289" t="str">
            <v>M.PT.0004421</v>
          </cell>
        </row>
        <row r="8290">
          <cell r="A8290" t="str">
            <v>M.PT.0004422</v>
          </cell>
        </row>
        <row r="8291">
          <cell r="A8291" t="str">
            <v>M.PT.0004423</v>
          </cell>
        </row>
        <row r="8292">
          <cell r="A8292" t="str">
            <v>M.PT.0004424</v>
          </cell>
        </row>
        <row r="8293">
          <cell r="A8293" t="str">
            <v>M.PT.0004425</v>
          </cell>
        </row>
        <row r="8294">
          <cell r="A8294" t="str">
            <v>M.PT.0004426</v>
          </cell>
        </row>
        <row r="8295">
          <cell r="A8295" t="str">
            <v>M.PT.0004427</v>
          </cell>
        </row>
        <row r="8296">
          <cell r="A8296" t="str">
            <v>M.PT.0004428</v>
          </cell>
        </row>
        <row r="8297">
          <cell r="A8297" t="str">
            <v>M.PT.0004429</v>
          </cell>
        </row>
        <row r="8298">
          <cell r="A8298" t="str">
            <v>M.PT.0004430</v>
          </cell>
        </row>
        <row r="8299">
          <cell r="A8299" t="str">
            <v>M.PT.0004431</v>
          </cell>
        </row>
        <row r="8300">
          <cell r="A8300" t="str">
            <v>M.PT.0004432</v>
          </cell>
        </row>
        <row r="8301">
          <cell r="A8301" t="str">
            <v>M.PT.0004433</v>
          </cell>
        </row>
        <row r="8302">
          <cell r="A8302" t="str">
            <v>M.PT.0004434</v>
          </cell>
        </row>
        <row r="8303">
          <cell r="A8303" t="str">
            <v>M.PT.0004435</v>
          </cell>
        </row>
        <row r="8304">
          <cell r="A8304" t="str">
            <v>M.PT.0004436</v>
          </cell>
        </row>
        <row r="8305">
          <cell r="A8305" t="str">
            <v>M.PT.0004437</v>
          </cell>
        </row>
        <row r="8306">
          <cell r="A8306" t="str">
            <v>M.PT.0004438</v>
          </cell>
        </row>
        <row r="8307">
          <cell r="A8307" t="str">
            <v>M.PT.0004439</v>
          </cell>
        </row>
        <row r="8308">
          <cell r="A8308" t="str">
            <v>M.PT.0004440</v>
          </cell>
        </row>
        <row r="8309">
          <cell r="A8309" t="str">
            <v>M.PT.0004441</v>
          </cell>
        </row>
        <row r="8310">
          <cell r="A8310" t="str">
            <v>M.PT.0004442</v>
          </cell>
        </row>
        <row r="8311">
          <cell r="A8311" t="str">
            <v>M.PT.0004443</v>
          </cell>
        </row>
        <row r="8312">
          <cell r="A8312" t="str">
            <v>M.PT.0004444</v>
          </cell>
        </row>
        <row r="8313">
          <cell r="A8313" t="str">
            <v>M.PT.0004445</v>
          </cell>
        </row>
        <row r="8314">
          <cell r="A8314" t="str">
            <v>M.PT.0004446</v>
          </cell>
        </row>
        <row r="8315">
          <cell r="A8315" t="str">
            <v>M.PT.0004447</v>
          </cell>
        </row>
        <row r="8316">
          <cell r="A8316" t="str">
            <v>M.PT.0004448</v>
          </cell>
        </row>
        <row r="8317">
          <cell r="A8317" t="str">
            <v>M.PT.0004449</v>
          </cell>
        </row>
        <row r="8318">
          <cell r="A8318" t="str">
            <v>M.PT.0004450</v>
          </cell>
        </row>
        <row r="8319">
          <cell r="A8319" t="str">
            <v>M.PT.0004451</v>
          </cell>
        </row>
        <row r="8320">
          <cell r="A8320" t="str">
            <v>M.PT.0004452</v>
          </cell>
        </row>
        <row r="8321">
          <cell r="A8321" t="str">
            <v>M.PT.0004453</v>
          </cell>
        </row>
        <row r="8322">
          <cell r="A8322" t="str">
            <v>M.PT.0004454</v>
          </cell>
        </row>
        <row r="8323">
          <cell r="A8323" t="str">
            <v>M.PT.0004455</v>
          </cell>
        </row>
        <row r="8324">
          <cell r="A8324" t="str">
            <v>M.PT.0004456</v>
          </cell>
        </row>
        <row r="8325">
          <cell r="A8325" t="str">
            <v>M.PT.0004457</v>
          </cell>
        </row>
        <row r="8326">
          <cell r="A8326" t="str">
            <v>M.PT.0004458</v>
          </cell>
        </row>
        <row r="8327">
          <cell r="A8327" t="str">
            <v>M.PT.0004459</v>
          </cell>
        </row>
        <row r="8328">
          <cell r="A8328" t="str">
            <v>M.PT.0004460</v>
          </cell>
        </row>
        <row r="8329">
          <cell r="A8329" t="str">
            <v>M.PT.0004461</v>
          </cell>
        </row>
        <row r="8330">
          <cell r="A8330" t="str">
            <v>M.PT.0004462</v>
          </cell>
        </row>
        <row r="8331">
          <cell r="A8331" t="str">
            <v>M.PT.0004463</v>
          </cell>
        </row>
        <row r="8332">
          <cell r="A8332" t="str">
            <v>M.PT.0004464</v>
          </cell>
        </row>
        <row r="8333">
          <cell r="A8333" t="str">
            <v>M.PT.0004465</v>
          </cell>
        </row>
        <row r="8334">
          <cell r="A8334" t="str">
            <v>M.PT.0004466</v>
          </cell>
        </row>
        <row r="8335">
          <cell r="A8335" t="str">
            <v>M.PT.0004467</v>
          </cell>
        </row>
        <row r="8336">
          <cell r="A8336" t="str">
            <v>M.PT.0004468</v>
          </cell>
        </row>
        <row r="8337">
          <cell r="A8337" t="str">
            <v>M.PT.0004469</v>
          </cell>
        </row>
        <row r="8338">
          <cell r="A8338" t="str">
            <v>M.PT.0004470</v>
          </cell>
        </row>
        <row r="8339">
          <cell r="A8339" t="str">
            <v>M.PT.0004471</v>
          </cell>
        </row>
        <row r="8340">
          <cell r="A8340" t="str">
            <v>M.PT.0004472</v>
          </cell>
        </row>
        <row r="8341">
          <cell r="A8341" t="str">
            <v>M.PT.0004473</v>
          </cell>
        </row>
        <row r="8342">
          <cell r="A8342" t="str">
            <v>M.PT.0004474</v>
          </cell>
        </row>
        <row r="8343">
          <cell r="A8343" t="str">
            <v>M.PT.0004475</v>
          </cell>
        </row>
        <row r="8344">
          <cell r="A8344" t="str">
            <v>M.PT.0004476</v>
          </cell>
        </row>
        <row r="8345">
          <cell r="A8345" t="str">
            <v>M.PT.0004477</v>
          </cell>
        </row>
        <row r="8346">
          <cell r="A8346" t="str">
            <v>M.PT.0004478</v>
          </cell>
        </row>
        <row r="8347">
          <cell r="A8347" t="str">
            <v>M.PT.0004479</v>
          </cell>
        </row>
        <row r="8348">
          <cell r="A8348" t="str">
            <v>M.PT.0004480</v>
          </cell>
        </row>
        <row r="8349">
          <cell r="A8349" t="str">
            <v>M.PT.0004481</v>
          </cell>
        </row>
        <row r="8350">
          <cell r="A8350" t="str">
            <v>M.PT.0004482</v>
          </cell>
        </row>
        <row r="8351">
          <cell r="A8351" t="str">
            <v>M.PT.0004483</v>
          </cell>
        </row>
        <row r="8352">
          <cell r="A8352" t="str">
            <v>M.PT.0004484</v>
          </cell>
        </row>
        <row r="8353">
          <cell r="A8353" t="str">
            <v>M.PT.0004485</v>
          </cell>
        </row>
        <row r="8354">
          <cell r="A8354" t="str">
            <v>M.PT.0004486</v>
          </cell>
        </row>
        <row r="8355">
          <cell r="A8355" t="str">
            <v>M.PT.0004487</v>
          </cell>
        </row>
        <row r="8356">
          <cell r="A8356" t="str">
            <v>M.PT.0004488</v>
          </cell>
        </row>
        <row r="8357">
          <cell r="A8357" t="str">
            <v>M.PT.0004489</v>
          </cell>
        </row>
        <row r="8358">
          <cell r="A8358" t="str">
            <v>M.PT.0004490</v>
          </cell>
        </row>
        <row r="8359">
          <cell r="A8359" t="str">
            <v>M.PT.0004491</v>
          </cell>
        </row>
        <row r="8360">
          <cell r="A8360" t="str">
            <v>M.PT.0004492</v>
          </cell>
        </row>
        <row r="8361">
          <cell r="A8361" t="str">
            <v>M.PT.0004493</v>
          </cell>
        </row>
        <row r="8362">
          <cell r="A8362" t="str">
            <v>M.PT.0004494</v>
          </cell>
        </row>
        <row r="8363">
          <cell r="A8363" t="str">
            <v>M.PT.0004495</v>
          </cell>
        </row>
        <row r="8364">
          <cell r="A8364" t="str">
            <v>M.PT.0004496</v>
          </cell>
        </row>
        <row r="8365">
          <cell r="A8365" t="str">
            <v>M.PT.0004497</v>
          </cell>
        </row>
        <row r="8366">
          <cell r="A8366" t="str">
            <v>M.PT.0004498</v>
          </cell>
        </row>
        <row r="8367">
          <cell r="A8367" t="str">
            <v>M.PT.0004499</v>
          </cell>
        </row>
        <row r="8368">
          <cell r="A8368" t="str">
            <v>M.PT.0004500</v>
          </cell>
        </row>
        <row r="8369">
          <cell r="A8369" t="str">
            <v>M.PT.0004501</v>
          </cell>
        </row>
        <row r="8370">
          <cell r="A8370" t="str">
            <v>M.PT.0004502</v>
          </cell>
        </row>
        <row r="8371">
          <cell r="A8371" t="str">
            <v>M.PT.0004503</v>
          </cell>
        </row>
        <row r="8372">
          <cell r="A8372" t="str">
            <v>M.PT.0004504</v>
          </cell>
        </row>
        <row r="8373">
          <cell r="A8373" t="str">
            <v>M.PT.0004505</v>
          </cell>
        </row>
        <row r="8374">
          <cell r="A8374" t="str">
            <v>M.PT.0004506</v>
          </cell>
        </row>
        <row r="8375">
          <cell r="A8375" t="str">
            <v>M.PT.0004507</v>
          </cell>
        </row>
        <row r="8376">
          <cell r="A8376" t="str">
            <v>M.PT.0004508</v>
          </cell>
        </row>
        <row r="8377">
          <cell r="A8377" t="str">
            <v>M.PT.0004509</v>
          </cell>
        </row>
        <row r="8378">
          <cell r="A8378" t="str">
            <v>M.PT.0004510</v>
          </cell>
        </row>
        <row r="8379">
          <cell r="A8379" t="str">
            <v>M.PT.0004511</v>
          </cell>
        </row>
        <row r="8380">
          <cell r="A8380" t="str">
            <v>M.PT.0004512</v>
          </cell>
        </row>
        <row r="8381">
          <cell r="A8381" t="str">
            <v>M.PT.0004513</v>
          </cell>
        </row>
        <row r="8382">
          <cell r="A8382" t="str">
            <v>M.PT.0004514</v>
          </cell>
        </row>
        <row r="8383">
          <cell r="A8383" t="str">
            <v>M.PT.0004515</v>
          </cell>
        </row>
        <row r="8384">
          <cell r="A8384" t="str">
            <v>M.PT.0004516</v>
          </cell>
        </row>
        <row r="8385">
          <cell r="A8385" t="str">
            <v>M.PT.0004517</v>
          </cell>
        </row>
        <row r="8386">
          <cell r="A8386" t="str">
            <v>M.PT.0004518</v>
          </cell>
        </row>
        <row r="8387">
          <cell r="A8387" t="str">
            <v>M.PT.0004519</v>
          </cell>
        </row>
        <row r="8388">
          <cell r="A8388" t="str">
            <v>M.PT.0004520</v>
          </cell>
        </row>
        <row r="8389">
          <cell r="A8389" t="str">
            <v>M.PT.0004521</v>
          </cell>
        </row>
        <row r="8390">
          <cell r="A8390" t="str">
            <v>M.PT.0004522</v>
          </cell>
        </row>
        <row r="8391">
          <cell r="A8391" t="str">
            <v>M.PT.0004523</v>
          </cell>
        </row>
        <row r="8392">
          <cell r="A8392" t="str">
            <v>M.PT.0004524</v>
          </cell>
        </row>
        <row r="8393">
          <cell r="A8393" t="str">
            <v>M.PT.0004525</v>
          </cell>
        </row>
        <row r="8394">
          <cell r="A8394" t="str">
            <v>M.PT.0004526</v>
          </cell>
        </row>
        <row r="8395">
          <cell r="A8395" t="str">
            <v>M.PT.0004527</v>
          </cell>
        </row>
        <row r="8396">
          <cell r="A8396" t="str">
            <v>M.PT.0004528</v>
          </cell>
        </row>
        <row r="8397">
          <cell r="A8397" t="str">
            <v>M.PT.0004529</v>
          </cell>
        </row>
        <row r="8398">
          <cell r="A8398" t="str">
            <v>M.PT.0004530</v>
          </cell>
        </row>
        <row r="8399">
          <cell r="A8399" t="str">
            <v>M.PT.0004531</v>
          </cell>
        </row>
        <row r="8400">
          <cell r="A8400" t="str">
            <v>M.PT.0004532</v>
          </cell>
        </row>
        <row r="8401">
          <cell r="A8401" t="str">
            <v>M.PT.0004533</v>
          </cell>
        </row>
        <row r="8402">
          <cell r="A8402" t="str">
            <v>M.PT.0004534</v>
          </cell>
        </row>
        <row r="8403">
          <cell r="A8403" t="str">
            <v>M.PT.0004535</v>
          </cell>
        </row>
        <row r="8404">
          <cell r="A8404" t="str">
            <v>M.PT.0004536</v>
          </cell>
        </row>
        <row r="8405">
          <cell r="A8405" t="str">
            <v>M.PT.0004537</v>
          </cell>
        </row>
        <row r="8406">
          <cell r="A8406" t="str">
            <v>M.PT.0004538</v>
          </cell>
        </row>
        <row r="8407">
          <cell r="A8407" t="str">
            <v>M.PT.0004539</v>
          </cell>
        </row>
        <row r="8408">
          <cell r="A8408" t="str">
            <v>M.PT.0004540</v>
          </cell>
        </row>
        <row r="8409">
          <cell r="A8409" t="str">
            <v>M.PT.0004541</v>
          </cell>
        </row>
        <row r="8410">
          <cell r="A8410" t="str">
            <v>M.PT.0004542</v>
          </cell>
        </row>
        <row r="8411">
          <cell r="A8411" t="str">
            <v>M.PT.0004543</v>
          </cell>
        </row>
        <row r="8412">
          <cell r="A8412" t="str">
            <v>M.PT.0004544</v>
          </cell>
        </row>
        <row r="8413">
          <cell r="A8413" t="str">
            <v>M.PT.0004545</v>
          </cell>
        </row>
        <row r="8414">
          <cell r="A8414" t="str">
            <v>M.PT.0004546</v>
          </cell>
        </row>
        <row r="8415">
          <cell r="A8415" t="str">
            <v>M.PT.0004547</v>
          </cell>
        </row>
        <row r="8416">
          <cell r="A8416" t="str">
            <v>M.PT.0004548</v>
          </cell>
        </row>
        <row r="8417">
          <cell r="A8417" t="str">
            <v>M.PT.0004549</v>
          </cell>
        </row>
        <row r="8418">
          <cell r="A8418" t="str">
            <v>M.PT.0004550</v>
          </cell>
        </row>
        <row r="8419">
          <cell r="A8419" t="str">
            <v>M.PT.0004551</v>
          </cell>
        </row>
        <row r="8420">
          <cell r="A8420" t="str">
            <v>M.PT.0004552</v>
          </cell>
        </row>
        <row r="8421">
          <cell r="A8421" t="str">
            <v>M.PT.0004553</v>
          </cell>
        </row>
        <row r="8422">
          <cell r="A8422" t="str">
            <v>M.PT.0004554</v>
          </cell>
        </row>
        <row r="8423">
          <cell r="A8423" t="str">
            <v>M.PT.0004555</v>
          </cell>
        </row>
        <row r="8424">
          <cell r="A8424" t="str">
            <v>M.PT.0004556</v>
          </cell>
        </row>
        <row r="8425">
          <cell r="A8425" t="str">
            <v>M.PT.0004557</v>
          </cell>
        </row>
        <row r="8426">
          <cell r="A8426" t="str">
            <v>M.PT.0004558</v>
          </cell>
        </row>
        <row r="8427">
          <cell r="A8427" t="str">
            <v>M.PT.0004559</v>
          </cell>
        </row>
        <row r="8428">
          <cell r="A8428" t="str">
            <v>M.PT.0004560</v>
          </cell>
        </row>
        <row r="8429">
          <cell r="A8429" t="str">
            <v>M.PT.0004561</v>
          </cell>
        </row>
        <row r="8430">
          <cell r="A8430" t="str">
            <v>M.PT.0004562</v>
          </cell>
        </row>
        <row r="8431">
          <cell r="A8431" t="str">
            <v>M.PT.0004563</v>
          </cell>
        </row>
        <row r="8432">
          <cell r="A8432" t="str">
            <v>M.PT.0004564</v>
          </cell>
        </row>
        <row r="8433">
          <cell r="A8433" t="str">
            <v>M.PT.0004565</v>
          </cell>
        </row>
        <row r="8434">
          <cell r="A8434" t="str">
            <v>M.PT.0004566</v>
          </cell>
        </row>
        <row r="8435">
          <cell r="A8435" t="str">
            <v>M.PT.0004567</v>
          </cell>
        </row>
        <row r="8436">
          <cell r="A8436" t="str">
            <v>M.PT.0004568</v>
          </cell>
        </row>
        <row r="8437">
          <cell r="A8437" t="str">
            <v>M.PT.0004569</v>
          </cell>
        </row>
        <row r="8438">
          <cell r="A8438" t="str">
            <v>M.PT.0004570</v>
          </cell>
        </row>
        <row r="8439">
          <cell r="A8439" t="str">
            <v>M.PT.0004571</v>
          </cell>
        </row>
        <row r="8440">
          <cell r="A8440" t="str">
            <v>M.PT.0004572</v>
          </cell>
        </row>
        <row r="8441">
          <cell r="A8441" t="str">
            <v>M.PT.0004573</v>
          </cell>
        </row>
        <row r="8442">
          <cell r="A8442" t="str">
            <v>M.PT.0004574</v>
          </cell>
        </row>
        <row r="8443">
          <cell r="A8443" t="str">
            <v>M.PT.0004575</v>
          </cell>
        </row>
        <row r="8444">
          <cell r="A8444" t="str">
            <v>M.PT.0004576</v>
          </cell>
        </row>
        <row r="8445">
          <cell r="A8445" t="str">
            <v>M.PT.0004577</v>
          </cell>
        </row>
        <row r="8446">
          <cell r="A8446" t="str">
            <v>M.PT.0004578</v>
          </cell>
        </row>
        <row r="8447">
          <cell r="A8447" t="str">
            <v>M.PT.0004579</v>
          </cell>
        </row>
        <row r="8448">
          <cell r="A8448" t="str">
            <v>M.PT.0004580</v>
          </cell>
        </row>
        <row r="8449">
          <cell r="A8449" t="str">
            <v>M.PT.0004581</v>
          </cell>
        </row>
        <row r="8450">
          <cell r="A8450" t="str">
            <v>M.PT.0004582</v>
          </cell>
        </row>
        <row r="8451">
          <cell r="A8451" t="str">
            <v>M.PT.0004583</v>
          </cell>
        </row>
        <row r="8452">
          <cell r="A8452" t="str">
            <v>M.PT.0004584</v>
          </cell>
        </row>
        <row r="8453">
          <cell r="A8453" t="str">
            <v>M.PT.0004585</v>
          </cell>
        </row>
        <row r="8454">
          <cell r="A8454" t="str">
            <v>M.PT.0004586</v>
          </cell>
        </row>
        <row r="8455">
          <cell r="A8455" t="str">
            <v>M.PT.0004587</v>
          </cell>
        </row>
        <row r="8456">
          <cell r="A8456" t="str">
            <v>M.PT.0004588</v>
          </cell>
        </row>
        <row r="8457">
          <cell r="A8457" t="str">
            <v>M.PT.0004589</v>
          </cell>
        </row>
        <row r="8458">
          <cell r="A8458" t="str">
            <v>M.PT.0004590</v>
          </cell>
        </row>
        <row r="8459">
          <cell r="A8459" t="str">
            <v>M.PT.0004591</v>
          </cell>
        </row>
        <row r="8460">
          <cell r="A8460" t="str">
            <v>M.PT.0004592</v>
          </cell>
        </row>
        <row r="8461">
          <cell r="A8461" t="str">
            <v>M.PT.0004593</v>
          </cell>
        </row>
        <row r="8462">
          <cell r="A8462" t="str">
            <v>M.PT.0004594</v>
          </cell>
        </row>
        <row r="8463">
          <cell r="A8463" t="str">
            <v>M.PT.0004595</v>
          </cell>
        </row>
        <row r="8464">
          <cell r="A8464" t="str">
            <v>M.PT.0004596</v>
          </cell>
        </row>
        <row r="8465">
          <cell r="A8465" t="str">
            <v>M.PT.0004597</v>
          </cell>
        </row>
        <row r="8466">
          <cell r="A8466" t="str">
            <v>M.PT.0004598</v>
          </cell>
        </row>
        <row r="8467">
          <cell r="A8467" t="str">
            <v>M.PT.0004599</v>
          </cell>
        </row>
        <row r="8468">
          <cell r="A8468" t="str">
            <v>M.PT.0004600</v>
          </cell>
        </row>
        <row r="8469">
          <cell r="A8469" t="str">
            <v>M.PT.0004601</v>
          </cell>
        </row>
        <row r="8470">
          <cell r="A8470" t="str">
            <v>M.PT.0004602</v>
          </cell>
        </row>
        <row r="8471">
          <cell r="A8471" t="str">
            <v>M.PT.0004603</v>
          </cell>
        </row>
        <row r="8472">
          <cell r="A8472" t="str">
            <v>M.PT.0004604</v>
          </cell>
        </row>
        <row r="8473">
          <cell r="A8473" t="str">
            <v>M.PT.0004605</v>
          </cell>
        </row>
        <row r="8474">
          <cell r="A8474" t="str">
            <v>M.PT.0004606</v>
          </cell>
        </row>
        <row r="8475">
          <cell r="A8475" t="str">
            <v>M.PT.0004607</v>
          </cell>
        </row>
        <row r="8476">
          <cell r="A8476" t="str">
            <v>M.PT.0004608</v>
          </cell>
        </row>
        <row r="8477">
          <cell r="A8477" t="str">
            <v>M.PT.0004609</v>
          </cell>
        </row>
        <row r="8478">
          <cell r="A8478" t="str">
            <v>M.PT.0004610</v>
          </cell>
        </row>
        <row r="8479">
          <cell r="A8479" t="str">
            <v>M.PT.0004611</v>
          </cell>
        </row>
        <row r="8480">
          <cell r="A8480" t="str">
            <v>M.PT.0004612</v>
          </cell>
        </row>
        <row r="8481">
          <cell r="A8481" t="str">
            <v>M.PT.0004613</v>
          </cell>
        </row>
        <row r="8482">
          <cell r="A8482" t="str">
            <v>M.PT.0004614</v>
          </cell>
        </row>
        <row r="8483">
          <cell r="A8483" t="str">
            <v>M.PT.0004615</v>
          </cell>
        </row>
        <row r="8484">
          <cell r="A8484" t="str">
            <v>M.PT.0004616</v>
          </cell>
        </row>
        <row r="8485">
          <cell r="A8485" t="str">
            <v>M.PT.0004617</v>
          </cell>
        </row>
        <row r="8486">
          <cell r="A8486" t="str">
            <v>M.PT.0004618</v>
          </cell>
        </row>
        <row r="8487">
          <cell r="A8487" t="str">
            <v>M.PT.0004619</v>
          </cell>
        </row>
        <row r="8488">
          <cell r="A8488" t="str">
            <v>M.PT.0004620</v>
          </cell>
        </row>
        <row r="8489">
          <cell r="A8489" t="str">
            <v>M.PT.0004621</v>
          </cell>
        </row>
        <row r="8490">
          <cell r="A8490" t="str">
            <v>M.PT.0004622</v>
          </cell>
        </row>
        <row r="8491">
          <cell r="A8491" t="str">
            <v>M.PT.0004623</v>
          </cell>
        </row>
        <row r="8492">
          <cell r="A8492" t="str">
            <v>M.PT.0004624</v>
          </cell>
        </row>
        <row r="8493">
          <cell r="A8493" t="str">
            <v>M.PT.0004625</v>
          </cell>
        </row>
        <row r="8494">
          <cell r="A8494" t="str">
            <v>M.PT.0004626</v>
          </cell>
        </row>
        <row r="8495">
          <cell r="A8495" t="str">
            <v>M.PT.0004627</v>
          </cell>
        </row>
        <row r="8496">
          <cell r="A8496" t="str">
            <v>M.PT.0004628</v>
          </cell>
        </row>
        <row r="8497">
          <cell r="A8497" t="str">
            <v>M.PT.0004629</v>
          </cell>
        </row>
        <row r="8498">
          <cell r="A8498" t="str">
            <v>M.PT.0004630</v>
          </cell>
        </row>
        <row r="8499">
          <cell r="A8499" t="str">
            <v>M.PT.0004631</v>
          </cell>
        </row>
        <row r="8500">
          <cell r="A8500" t="str">
            <v>M.PT.0004632</v>
          </cell>
        </row>
        <row r="8501">
          <cell r="A8501" t="str">
            <v>M.PT.0004633</v>
          </cell>
        </row>
        <row r="8502">
          <cell r="A8502" t="str">
            <v>M.PT.0004634</v>
          </cell>
        </row>
        <row r="8503">
          <cell r="A8503" t="str">
            <v>M.PT.0004635</v>
          </cell>
        </row>
        <row r="8504">
          <cell r="A8504" t="str">
            <v>M.PT.0004636</v>
          </cell>
        </row>
        <row r="8505">
          <cell r="A8505" t="str">
            <v>M.PT.0004637</v>
          </cell>
        </row>
        <row r="8506">
          <cell r="A8506" t="str">
            <v>M.PT.0004638</v>
          </cell>
        </row>
        <row r="8507">
          <cell r="A8507" t="str">
            <v>M.PT.0004639</v>
          </cell>
        </row>
        <row r="8508">
          <cell r="A8508" t="str">
            <v>M.PT.0004640</v>
          </cell>
        </row>
        <row r="8509">
          <cell r="A8509" t="str">
            <v>M.PT.0004641</v>
          </cell>
        </row>
        <row r="8510">
          <cell r="A8510" t="str">
            <v>M.PT.0004642</v>
          </cell>
        </row>
        <row r="8511">
          <cell r="A8511" t="str">
            <v>M.PT.0004643</v>
          </cell>
        </row>
        <row r="8512">
          <cell r="A8512" t="str">
            <v>M.PT.0004644</v>
          </cell>
        </row>
        <row r="8513">
          <cell r="A8513" t="str">
            <v>M.PT.0004645</v>
          </cell>
        </row>
        <row r="8514">
          <cell r="A8514" t="str">
            <v>M.PT.0004646</v>
          </cell>
        </row>
        <row r="8515">
          <cell r="A8515" t="str">
            <v>M.PT.0004647</v>
          </cell>
        </row>
        <row r="8516">
          <cell r="A8516" t="str">
            <v>M.PT.0004648</v>
          </cell>
        </row>
        <row r="8517">
          <cell r="A8517" t="str">
            <v>M.PT.0004649</v>
          </cell>
        </row>
        <row r="8518">
          <cell r="A8518" t="str">
            <v>M.PT.0004650</v>
          </cell>
        </row>
        <row r="8519">
          <cell r="A8519" t="str">
            <v>M.PT.0004651</v>
          </cell>
        </row>
        <row r="8520">
          <cell r="A8520" t="str">
            <v>M.PT.0004652</v>
          </cell>
        </row>
        <row r="8521">
          <cell r="A8521" t="str">
            <v>M.PT.0004653</v>
          </cell>
        </row>
        <row r="8522">
          <cell r="A8522" t="str">
            <v>M.PT.0004654</v>
          </cell>
        </row>
        <row r="8523">
          <cell r="A8523" t="str">
            <v>M.PT.0004655</v>
          </cell>
        </row>
        <row r="8524">
          <cell r="A8524" t="str">
            <v>M.PT.0004656</v>
          </cell>
        </row>
        <row r="8525">
          <cell r="A8525" t="str">
            <v>M.PT.0004657</v>
          </cell>
        </row>
        <row r="8526">
          <cell r="A8526" t="str">
            <v>M.PT.0004658</v>
          </cell>
        </row>
        <row r="8527">
          <cell r="A8527" t="str">
            <v>M.PT.0004659</v>
          </cell>
        </row>
        <row r="8528">
          <cell r="A8528" t="str">
            <v>M.PT.0004660</v>
          </cell>
        </row>
        <row r="8529">
          <cell r="A8529" t="str">
            <v>M.PT.0004661</v>
          </cell>
        </row>
        <row r="8530">
          <cell r="A8530" t="str">
            <v>M.PT.0004662</v>
          </cell>
        </row>
        <row r="8531">
          <cell r="A8531" t="str">
            <v>M.PT.0004663</v>
          </cell>
        </row>
        <row r="8532">
          <cell r="A8532" t="str">
            <v>M.PT.0004664</v>
          </cell>
        </row>
        <row r="8533">
          <cell r="A8533" t="str">
            <v>M.PT.0004665</v>
          </cell>
        </row>
        <row r="8534">
          <cell r="A8534" t="str">
            <v>M.PT.0004666</v>
          </cell>
        </row>
        <row r="8535">
          <cell r="A8535" t="str">
            <v>M.PT.0004667</v>
          </cell>
        </row>
        <row r="8536">
          <cell r="A8536" t="str">
            <v>M.PT.0004668</v>
          </cell>
        </row>
        <row r="8537">
          <cell r="A8537" t="str">
            <v>M.PT.0004669</v>
          </cell>
        </row>
        <row r="8538">
          <cell r="A8538" t="str">
            <v>M.PT.0004670</v>
          </cell>
        </row>
        <row r="8539">
          <cell r="A8539" t="str">
            <v>M.PT.0004671</v>
          </cell>
        </row>
        <row r="8540">
          <cell r="A8540" t="str">
            <v>M.PT.0004672</v>
          </cell>
        </row>
        <row r="8541">
          <cell r="A8541" t="str">
            <v>M.PT.0004673</v>
          </cell>
        </row>
        <row r="8542">
          <cell r="A8542" t="str">
            <v>M.PT.0004674</v>
          </cell>
        </row>
        <row r="8543">
          <cell r="A8543" t="str">
            <v>M.PT.0004675</v>
          </cell>
        </row>
        <row r="8544">
          <cell r="A8544" t="str">
            <v>M.PT.0004676</v>
          </cell>
        </row>
        <row r="8545">
          <cell r="A8545" t="str">
            <v>M.PT.0004677</v>
          </cell>
        </row>
        <row r="8546">
          <cell r="A8546" t="str">
            <v>M.PT.0004678</v>
          </cell>
        </row>
        <row r="8547">
          <cell r="A8547" t="str">
            <v>M.PT.0004679</v>
          </cell>
        </row>
        <row r="8548">
          <cell r="A8548" t="str">
            <v>M.PT.0004680</v>
          </cell>
        </row>
        <row r="8549">
          <cell r="A8549" t="str">
            <v>M.PT.0004681</v>
          </cell>
        </row>
        <row r="8550">
          <cell r="A8550" t="str">
            <v>M.PT.0004682</v>
          </cell>
        </row>
        <row r="8551">
          <cell r="A8551" t="str">
            <v>M.PT.0004683</v>
          </cell>
        </row>
        <row r="8552">
          <cell r="A8552" t="str">
            <v>M.PT.0004684</v>
          </cell>
        </row>
        <row r="8553">
          <cell r="A8553" t="str">
            <v>M.PT.0004685</v>
          </cell>
        </row>
        <row r="8554">
          <cell r="A8554" t="str">
            <v>M.PT.0004686</v>
          </cell>
        </row>
        <row r="8555">
          <cell r="A8555" t="str">
            <v>M.PT.0004687</v>
          </cell>
        </row>
        <row r="8556">
          <cell r="A8556" t="str">
            <v>M.PT.0004688</v>
          </cell>
        </row>
        <row r="8557">
          <cell r="A8557" t="str">
            <v>M.PT.0004689</v>
          </cell>
        </row>
        <row r="8558">
          <cell r="A8558" t="str">
            <v>M.PT.0004690</v>
          </cell>
        </row>
        <row r="8559">
          <cell r="A8559" t="str">
            <v>M.PT.0004691</v>
          </cell>
        </row>
        <row r="8560">
          <cell r="A8560" t="str">
            <v>M.PT.0004692</v>
          </cell>
        </row>
        <row r="8561">
          <cell r="A8561" t="str">
            <v>M.PT.0004693</v>
          </cell>
        </row>
        <row r="8562">
          <cell r="A8562" t="str">
            <v>M.PT.0004694</v>
          </cell>
        </row>
        <row r="8563">
          <cell r="A8563" t="str">
            <v>M.PT.0004695</v>
          </cell>
        </row>
        <row r="8564">
          <cell r="A8564" t="str">
            <v>M.PT.0004696</v>
          </cell>
        </row>
        <row r="8565">
          <cell r="A8565" t="str">
            <v>M.PT.0004697</v>
          </cell>
        </row>
        <row r="8566">
          <cell r="A8566" t="str">
            <v>M.PT.0004698</v>
          </cell>
        </row>
        <row r="8567">
          <cell r="A8567" t="str">
            <v>M.PT.0004699</v>
          </cell>
        </row>
        <row r="8568">
          <cell r="A8568" t="str">
            <v>M.PT.0004700</v>
          </cell>
        </row>
        <row r="8569">
          <cell r="A8569" t="str">
            <v>M.PT.0004701</v>
          </cell>
        </row>
        <row r="8570">
          <cell r="A8570" t="str">
            <v>M.PT.0004702</v>
          </cell>
        </row>
        <row r="8571">
          <cell r="A8571" t="str">
            <v>M.PT.0004703</v>
          </cell>
        </row>
        <row r="8572">
          <cell r="A8572" t="str">
            <v>M.PT.0004704</v>
          </cell>
        </row>
        <row r="8573">
          <cell r="A8573" t="str">
            <v>M.PT.0004705</v>
          </cell>
        </row>
        <row r="8574">
          <cell r="A8574" t="str">
            <v>M.PT.0004706</v>
          </cell>
        </row>
        <row r="8575">
          <cell r="A8575" t="str">
            <v>M.PT.0004707</v>
          </cell>
        </row>
        <row r="8576">
          <cell r="A8576" t="str">
            <v>M.PT.0004708</v>
          </cell>
        </row>
        <row r="8577">
          <cell r="A8577" t="str">
            <v>M.PT.0004709</v>
          </cell>
        </row>
        <row r="8578">
          <cell r="A8578" t="str">
            <v>M.PT.0004710</v>
          </cell>
        </row>
        <row r="8579">
          <cell r="A8579" t="str">
            <v>M.PT.0004711</v>
          </cell>
        </row>
        <row r="8580">
          <cell r="A8580" t="str">
            <v>M.PT.0004712</v>
          </cell>
        </row>
        <row r="8581">
          <cell r="A8581" t="str">
            <v>M.PT.0004713</v>
          </cell>
        </row>
        <row r="8582">
          <cell r="A8582" t="str">
            <v>M.PT.0004714</v>
          </cell>
        </row>
        <row r="8583">
          <cell r="A8583" t="str">
            <v>M.PT.0004715</v>
          </cell>
        </row>
        <row r="8584">
          <cell r="A8584" t="str">
            <v>M.PT.0004716</v>
          </cell>
        </row>
        <row r="8585">
          <cell r="A8585" t="str">
            <v>M.PT.0004717</v>
          </cell>
        </row>
        <row r="8586">
          <cell r="A8586" t="str">
            <v>M.PT.0004718</v>
          </cell>
        </row>
        <row r="8587">
          <cell r="A8587" t="str">
            <v>M.PT.0004719</v>
          </cell>
        </row>
        <row r="8588">
          <cell r="A8588" t="str">
            <v>M.PT.0004720</v>
          </cell>
        </row>
        <row r="8589">
          <cell r="A8589" t="str">
            <v>M.PT.0004721</v>
          </cell>
        </row>
        <row r="8590">
          <cell r="A8590" t="str">
            <v>M.PT.0004722</v>
          </cell>
        </row>
        <row r="8591">
          <cell r="A8591" t="str">
            <v>M.PT.0004723</v>
          </cell>
        </row>
        <row r="8592">
          <cell r="A8592" t="str">
            <v>M.PT.0004724</v>
          </cell>
        </row>
        <row r="8593">
          <cell r="A8593" t="str">
            <v>M.PT.0004725</v>
          </cell>
        </row>
        <row r="8594">
          <cell r="A8594" t="str">
            <v>M.PT.0004726</v>
          </cell>
        </row>
        <row r="8595">
          <cell r="A8595" t="str">
            <v>M.PT.0004727</v>
          </cell>
        </row>
        <row r="8596">
          <cell r="A8596" t="str">
            <v>M.PT.0004728</v>
          </cell>
        </row>
        <row r="8597">
          <cell r="A8597" t="str">
            <v>M.PT.0004729</v>
          </cell>
        </row>
        <row r="8598">
          <cell r="A8598" t="str">
            <v>M.PT.0004730</v>
          </cell>
        </row>
        <row r="8599">
          <cell r="A8599" t="str">
            <v>M.PT.0004731</v>
          </cell>
        </row>
        <row r="8600">
          <cell r="A8600" t="str">
            <v>M.PT.0004732</v>
          </cell>
        </row>
        <row r="8601">
          <cell r="A8601" t="str">
            <v>M.PT.0004733</v>
          </cell>
        </row>
        <row r="8602">
          <cell r="A8602" t="str">
            <v>M.PT.0004734</v>
          </cell>
        </row>
        <row r="8603">
          <cell r="A8603" t="str">
            <v>M.PT.0004735</v>
          </cell>
        </row>
        <row r="8604">
          <cell r="A8604" t="str">
            <v>M.PT.0004736</v>
          </cell>
        </row>
        <row r="8605">
          <cell r="A8605" t="str">
            <v>M.PT.0004737</v>
          </cell>
        </row>
        <row r="8606">
          <cell r="A8606" t="str">
            <v>M.PT.0004738</v>
          </cell>
        </row>
        <row r="8607">
          <cell r="A8607" t="str">
            <v>M.PT.0004739</v>
          </cell>
        </row>
        <row r="8608">
          <cell r="A8608" t="str">
            <v>M.PT.0004740</v>
          </cell>
        </row>
        <row r="8609">
          <cell r="A8609" t="str">
            <v>M.PT.0004741</v>
          </cell>
        </row>
        <row r="8610">
          <cell r="A8610" t="str">
            <v>M.PT.0004742</v>
          </cell>
        </row>
        <row r="8611">
          <cell r="A8611" t="str">
            <v>M.PT.0004743</v>
          </cell>
        </row>
        <row r="8612">
          <cell r="A8612" t="str">
            <v>M.PT.0004744</v>
          </cell>
        </row>
        <row r="8613">
          <cell r="A8613" t="str">
            <v>M.PT.0004745</v>
          </cell>
        </row>
        <row r="8614">
          <cell r="A8614" t="str">
            <v>M.PT.0004746</v>
          </cell>
        </row>
        <row r="8615">
          <cell r="A8615" t="str">
            <v>M.PT.0004747</v>
          </cell>
        </row>
        <row r="8616">
          <cell r="A8616" t="str">
            <v>M.PT.0004748</v>
          </cell>
        </row>
        <row r="8617">
          <cell r="A8617" t="str">
            <v>M.PT.0004749</v>
          </cell>
        </row>
        <row r="8618">
          <cell r="A8618" t="str">
            <v>M.PT.0004750</v>
          </cell>
        </row>
        <row r="8619">
          <cell r="A8619" t="str">
            <v>M.PT.0004751</v>
          </cell>
        </row>
        <row r="8620">
          <cell r="A8620" t="str">
            <v>M.PT.0004752</v>
          </cell>
        </row>
        <row r="8621">
          <cell r="A8621" t="str">
            <v>M.PT.0004753</v>
          </cell>
        </row>
        <row r="8622">
          <cell r="A8622" t="str">
            <v>M.PT.0004754</v>
          </cell>
        </row>
        <row r="8623">
          <cell r="A8623" t="str">
            <v>M.PT.0004755</v>
          </cell>
        </row>
        <row r="8624">
          <cell r="A8624" t="str">
            <v>M.PT.0004756</v>
          </cell>
        </row>
        <row r="8625">
          <cell r="A8625" t="str">
            <v>M.PT.0004757</v>
          </cell>
        </row>
        <row r="8626">
          <cell r="A8626" t="str">
            <v>M.PT.0004758</v>
          </cell>
        </row>
        <row r="8627">
          <cell r="A8627" t="str">
            <v>M.PT.0004759</v>
          </cell>
        </row>
        <row r="8628">
          <cell r="A8628" t="str">
            <v>M.PT.0004760</v>
          </cell>
        </row>
        <row r="8629">
          <cell r="A8629" t="str">
            <v>M.PT.0004761</v>
          </cell>
        </row>
        <row r="8630">
          <cell r="A8630" t="str">
            <v>M.PT.0004762</v>
          </cell>
        </row>
        <row r="8631">
          <cell r="A8631" t="str">
            <v>M.PT.0004763</v>
          </cell>
        </row>
        <row r="8632">
          <cell r="A8632" t="str">
            <v>M.PT.0004764</v>
          </cell>
        </row>
        <row r="8633">
          <cell r="A8633" t="str">
            <v>M.PT.0004765</v>
          </cell>
        </row>
        <row r="8634">
          <cell r="A8634" t="str">
            <v>M.PT.0004766</v>
          </cell>
        </row>
        <row r="8635">
          <cell r="A8635" t="str">
            <v>M.PT.0004767</v>
          </cell>
        </row>
        <row r="8636">
          <cell r="A8636" t="str">
            <v>M.PT.0004768</v>
          </cell>
        </row>
        <row r="8637">
          <cell r="A8637" t="str">
            <v>M.PT.0004769</v>
          </cell>
        </row>
        <row r="8638">
          <cell r="A8638" t="str">
            <v>M.PT.0004770</v>
          </cell>
        </row>
        <row r="8639">
          <cell r="A8639" t="str">
            <v>M.PT.0004771</v>
          </cell>
        </row>
        <row r="8640">
          <cell r="A8640" t="str">
            <v>M.PT.0004772</v>
          </cell>
        </row>
        <row r="8641">
          <cell r="A8641" t="str">
            <v>M.PT.0004773</v>
          </cell>
        </row>
        <row r="8642">
          <cell r="A8642" t="str">
            <v>M.PT.0004774</v>
          </cell>
        </row>
        <row r="8643">
          <cell r="A8643" t="str">
            <v>M.PT.0004775</v>
          </cell>
        </row>
        <row r="8644">
          <cell r="A8644" t="str">
            <v>M.PT.0004776</v>
          </cell>
        </row>
        <row r="8645">
          <cell r="A8645" t="str">
            <v>M.PT.0004777</v>
          </cell>
        </row>
        <row r="8646">
          <cell r="A8646" t="str">
            <v>M.PT.0004778</v>
          </cell>
        </row>
        <row r="8647">
          <cell r="A8647" t="str">
            <v>M.PT.0004779</v>
          </cell>
        </row>
        <row r="8648">
          <cell r="A8648" t="str">
            <v>M.PT.0004780</v>
          </cell>
        </row>
        <row r="8649">
          <cell r="A8649" t="str">
            <v>M.PT.0004781</v>
          </cell>
        </row>
        <row r="8650">
          <cell r="A8650" t="str">
            <v>M.PT.0004782</v>
          </cell>
        </row>
        <row r="8651">
          <cell r="A8651" t="str">
            <v>M.PT.0004783</v>
          </cell>
        </row>
        <row r="8652">
          <cell r="A8652" t="str">
            <v>M.PT.0004784</v>
          </cell>
        </row>
        <row r="8653">
          <cell r="A8653" t="str">
            <v>M.PT.0004785</v>
          </cell>
        </row>
        <row r="8654">
          <cell r="A8654" t="str">
            <v>M.PT.0004786</v>
          </cell>
        </row>
        <row r="8655">
          <cell r="A8655" t="str">
            <v>M.PT.0004787</v>
          </cell>
        </row>
        <row r="8656">
          <cell r="A8656" t="str">
            <v>M.PT.0004788</v>
          </cell>
        </row>
        <row r="8657">
          <cell r="A8657" t="str">
            <v>M.PT.0004789</v>
          </cell>
        </row>
        <row r="8658">
          <cell r="A8658" t="str">
            <v>M.PT.0004790</v>
          </cell>
        </row>
        <row r="8659">
          <cell r="A8659" t="str">
            <v>M.PT.0004791</v>
          </cell>
        </row>
        <row r="8660">
          <cell r="A8660" t="str">
            <v>M.PT.0004792</v>
          </cell>
        </row>
        <row r="8661">
          <cell r="A8661" t="str">
            <v>M.PT.0004793</v>
          </cell>
        </row>
        <row r="8662">
          <cell r="A8662" t="str">
            <v>M.PT.0004794</v>
          </cell>
        </row>
        <row r="8663">
          <cell r="A8663" t="str">
            <v>M.PT.0004795</v>
          </cell>
        </row>
        <row r="8664">
          <cell r="A8664" t="str">
            <v>M.PT.0004796</v>
          </cell>
        </row>
        <row r="8665">
          <cell r="A8665" t="str">
            <v>M.PT.0004797</v>
          </cell>
        </row>
        <row r="8666">
          <cell r="A8666" t="str">
            <v>M.PT.0004798</v>
          </cell>
        </row>
        <row r="8667">
          <cell r="A8667" t="str">
            <v>M.PT.0004799</v>
          </cell>
        </row>
        <row r="8668">
          <cell r="A8668" t="str">
            <v>M.PT.0004800</v>
          </cell>
        </row>
        <row r="8669">
          <cell r="A8669" t="str">
            <v>M.PT.0004801</v>
          </cell>
        </row>
        <row r="8670">
          <cell r="A8670" t="str">
            <v>M.PT.0004802</v>
          </cell>
        </row>
        <row r="8671">
          <cell r="A8671" t="str">
            <v>M.PT.0004803</v>
          </cell>
        </row>
        <row r="8672">
          <cell r="A8672" t="str">
            <v>M.PT.0004804</v>
          </cell>
        </row>
        <row r="8673">
          <cell r="A8673" t="str">
            <v>M.PT.0004805</v>
          </cell>
        </row>
        <row r="8674">
          <cell r="A8674" t="str">
            <v>M.PT.0004806</v>
          </cell>
        </row>
        <row r="8675">
          <cell r="A8675" t="str">
            <v>M.PT.0004807</v>
          </cell>
        </row>
        <row r="8676">
          <cell r="A8676" t="str">
            <v>M.PT.0004808</v>
          </cell>
        </row>
        <row r="8677">
          <cell r="A8677" t="str">
            <v>M.PT.0004809</v>
          </cell>
        </row>
        <row r="8678">
          <cell r="A8678" t="str">
            <v>M.PT.0004810</v>
          </cell>
        </row>
        <row r="8679">
          <cell r="A8679" t="str">
            <v>M.PT.0004811</v>
          </cell>
        </row>
        <row r="8680">
          <cell r="A8680" t="str">
            <v>M.PT.0004812</v>
          </cell>
        </row>
        <row r="8681">
          <cell r="A8681" t="str">
            <v>M.PT.0004813</v>
          </cell>
        </row>
        <row r="8682">
          <cell r="A8682" t="str">
            <v>M.PT.0004814</v>
          </cell>
        </row>
        <row r="8683">
          <cell r="A8683" t="str">
            <v>M.PT.0004815</v>
          </cell>
        </row>
        <row r="8684">
          <cell r="A8684" t="str">
            <v>M.PT.0004816</v>
          </cell>
        </row>
        <row r="8685">
          <cell r="A8685" t="str">
            <v>M.PT.0004817</v>
          </cell>
        </row>
        <row r="8686">
          <cell r="A8686" t="str">
            <v>M.PT.0004818</v>
          </cell>
        </row>
        <row r="8687">
          <cell r="A8687" t="str">
            <v>M.PT.0004819</v>
          </cell>
        </row>
        <row r="8688">
          <cell r="A8688" t="str">
            <v>M.PT.0004820</v>
          </cell>
        </row>
        <row r="8689">
          <cell r="A8689" t="str">
            <v>M.PT.0004821</v>
          </cell>
        </row>
        <row r="8690">
          <cell r="A8690" t="str">
            <v>M.PT.0004822</v>
          </cell>
        </row>
        <row r="8691">
          <cell r="A8691" t="str">
            <v>M.PT.0004823</v>
          </cell>
        </row>
        <row r="8692">
          <cell r="A8692" t="str">
            <v>M.PT.0004824</v>
          </cell>
        </row>
        <row r="8693">
          <cell r="A8693" t="str">
            <v>M.PT.0004825</v>
          </cell>
        </row>
        <row r="8694">
          <cell r="A8694" t="str">
            <v>M.PT.0004826</v>
          </cell>
        </row>
        <row r="8695">
          <cell r="A8695" t="str">
            <v>M.PT.0004827</v>
          </cell>
        </row>
        <row r="8696">
          <cell r="A8696" t="str">
            <v>M.PT.0004828</v>
          </cell>
        </row>
        <row r="8697">
          <cell r="A8697" t="str">
            <v>M.PT.0004829</v>
          </cell>
        </row>
        <row r="8698">
          <cell r="A8698" t="str">
            <v>M.PT.0004830</v>
          </cell>
        </row>
        <row r="8699">
          <cell r="A8699" t="str">
            <v>M.PT.0004831</v>
          </cell>
        </row>
        <row r="8700">
          <cell r="A8700" t="str">
            <v>M.PT.0004832</v>
          </cell>
        </row>
        <row r="8701">
          <cell r="A8701" t="str">
            <v>M.PT.0004833</v>
          </cell>
        </row>
        <row r="8702">
          <cell r="A8702" t="str">
            <v>M.PT.0004834</v>
          </cell>
        </row>
        <row r="8703">
          <cell r="A8703" t="str">
            <v>M.PT.0004835</v>
          </cell>
        </row>
        <row r="8704">
          <cell r="A8704" t="str">
            <v>M.PT.0004836</v>
          </cell>
        </row>
        <row r="8705">
          <cell r="A8705" t="str">
            <v>M.PT.0004837</v>
          </cell>
        </row>
        <row r="8706">
          <cell r="A8706" t="str">
            <v>M.PT.0004838</v>
          </cell>
        </row>
        <row r="8707">
          <cell r="A8707" t="str">
            <v>M.PT.0004839</v>
          </cell>
        </row>
        <row r="8708">
          <cell r="A8708" t="str">
            <v>M.PT.0004840</v>
          </cell>
        </row>
        <row r="8709">
          <cell r="A8709" t="str">
            <v>M.PT.0004841</v>
          </cell>
        </row>
        <row r="8710">
          <cell r="A8710" t="str">
            <v>M.PT.0004842</v>
          </cell>
        </row>
        <row r="8711">
          <cell r="A8711" t="str">
            <v>M.PT.0004843</v>
          </cell>
        </row>
        <row r="8712">
          <cell r="A8712" t="str">
            <v>M.PT.0004844</v>
          </cell>
        </row>
        <row r="8713">
          <cell r="A8713" t="str">
            <v>M.PT.0004845</v>
          </cell>
        </row>
        <row r="8714">
          <cell r="A8714" t="str">
            <v>M.PT.0004846</v>
          </cell>
        </row>
        <row r="8715">
          <cell r="A8715" t="str">
            <v>M.PT.0004847</v>
          </cell>
        </row>
        <row r="8716">
          <cell r="A8716" t="str">
            <v>M.PT.0004848</v>
          </cell>
        </row>
        <row r="8717">
          <cell r="A8717" t="str">
            <v>M.PT.0004849</v>
          </cell>
        </row>
        <row r="8718">
          <cell r="A8718" t="str">
            <v>M.PT.0004850</v>
          </cell>
        </row>
        <row r="8719">
          <cell r="A8719" t="str">
            <v>M.PT.0004851</v>
          </cell>
        </row>
        <row r="8720">
          <cell r="A8720" t="str">
            <v>M.PT.0004852</v>
          </cell>
        </row>
        <row r="8721">
          <cell r="A8721" t="str">
            <v>M.PT.0004853</v>
          </cell>
        </row>
        <row r="8722">
          <cell r="A8722" t="str">
            <v>M.PT.0004854</v>
          </cell>
        </row>
        <row r="8723">
          <cell r="A8723" t="str">
            <v>M.PT.0004855</v>
          </cell>
        </row>
        <row r="8724">
          <cell r="A8724" t="str">
            <v>M.PT.0004856</v>
          </cell>
        </row>
        <row r="8725">
          <cell r="A8725" t="str">
            <v>M.PT.0004857</v>
          </cell>
        </row>
        <row r="8726">
          <cell r="A8726" t="str">
            <v>M.PT.0004858</v>
          </cell>
        </row>
        <row r="8727">
          <cell r="A8727" t="str">
            <v>M.PT.0004859</v>
          </cell>
        </row>
        <row r="8728">
          <cell r="A8728" t="str">
            <v>M.PT.0004860</v>
          </cell>
        </row>
        <row r="8729">
          <cell r="A8729" t="str">
            <v>M.PT.0004861</v>
          </cell>
        </row>
        <row r="8730">
          <cell r="A8730" t="str">
            <v>M.PT.0004862</v>
          </cell>
        </row>
        <row r="8731">
          <cell r="A8731" t="str">
            <v>M.PT.0004863</v>
          </cell>
        </row>
        <row r="8732">
          <cell r="A8732" t="str">
            <v>M.PT.0004864</v>
          </cell>
        </row>
        <row r="8733">
          <cell r="A8733" t="str">
            <v>M.PT.0004865</v>
          </cell>
        </row>
        <row r="8734">
          <cell r="A8734" t="str">
            <v>M.PT.0004866</v>
          </cell>
        </row>
        <row r="8735">
          <cell r="A8735" t="str">
            <v>M.PT.0004867</v>
          </cell>
        </row>
        <row r="8736">
          <cell r="A8736" t="str">
            <v>M.PT.0004868</v>
          </cell>
        </row>
        <row r="8737">
          <cell r="A8737" t="str">
            <v>M.PT.0004869</v>
          </cell>
        </row>
        <row r="8738">
          <cell r="A8738" t="str">
            <v>M.PT.0004870</v>
          </cell>
        </row>
        <row r="8739">
          <cell r="A8739" t="str">
            <v>M.PT.0004871</v>
          </cell>
        </row>
        <row r="8740">
          <cell r="A8740" t="str">
            <v>M.PT.0004872</v>
          </cell>
        </row>
        <row r="8741">
          <cell r="A8741" t="str">
            <v>M.PT.0004873</v>
          </cell>
        </row>
        <row r="8742">
          <cell r="A8742" t="str">
            <v>M.PT.0004874</v>
          </cell>
        </row>
        <row r="8743">
          <cell r="A8743" t="str">
            <v>M.PT.0004875</v>
          </cell>
        </row>
        <row r="8744">
          <cell r="A8744" t="str">
            <v>M.PT.0004876</v>
          </cell>
        </row>
        <row r="8745">
          <cell r="A8745" t="str">
            <v>M.PT.0004877</v>
          </cell>
        </row>
        <row r="8746">
          <cell r="A8746" t="str">
            <v>M.PT.0004878</v>
          </cell>
        </row>
        <row r="8747">
          <cell r="A8747" t="str">
            <v>M.PT.0004879</v>
          </cell>
        </row>
        <row r="8748">
          <cell r="A8748" t="str">
            <v>M.PT.0004880</v>
          </cell>
        </row>
        <row r="8749">
          <cell r="A8749" t="str">
            <v>M.PT.0004881</v>
          </cell>
        </row>
        <row r="8750">
          <cell r="A8750" t="str">
            <v>M.PT.0004882</v>
          </cell>
        </row>
        <row r="8751">
          <cell r="A8751" t="str">
            <v>M.PT.0004883</v>
          </cell>
        </row>
        <row r="8752">
          <cell r="A8752" t="str">
            <v>M.PT.0004884</v>
          </cell>
        </row>
        <row r="8753">
          <cell r="A8753" t="str">
            <v>M.PT.0004885</v>
          </cell>
        </row>
        <row r="8754">
          <cell r="A8754" t="str">
            <v>M.PT.0004886</v>
          </cell>
        </row>
        <row r="8755">
          <cell r="A8755" t="str">
            <v>M.PT.0004887</v>
          </cell>
        </row>
        <row r="8756">
          <cell r="A8756" t="str">
            <v>M.PT.0004888</v>
          </cell>
        </row>
        <row r="8757">
          <cell r="A8757" t="str">
            <v>M.PT.0004889</v>
          </cell>
        </row>
        <row r="8758">
          <cell r="A8758" t="str">
            <v>M.PT.0004890</v>
          </cell>
        </row>
        <row r="8759">
          <cell r="A8759" t="str">
            <v>M.PT.0004891</v>
          </cell>
        </row>
        <row r="8760">
          <cell r="A8760" t="str">
            <v>M.PT.0004892</v>
          </cell>
        </row>
        <row r="8761">
          <cell r="A8761" t="str">
            <v>M.PT.0004893</v>
          </cell>
        </row>
        <row r="8762">
          <cell r="A8762" t="str">
            <v>M.PT.0004894</v>
          </cell>
        </row>
        <row r="8763">
          <cell r="A8763" t="str">
            <v>M.PT.0004895</v>
          </cell>
        </row>
        <row r="8764">
          <cell r="A8764" t="str">
            <v>M.PT.0004896</v>
          </cell>
        </row>
        <row r="8765">
          <cell r="A8765" t="str">
            <v>M.PT.0004897</v>
          </cell>
        </row>
        <row r="8766">
          <cell r="A8766" t="str">
            <v>M.PT.0004898</v>
          </cell>
        </row>
        <row r="8767">
          <cell r="A8767" t="str">
            <v>M.PT.0004899</v>
          </cell>
        </row>
        <row r="8768">
          <cell r="A8768" t="str">
            <v>M.PT.0004900</v>
          </cell>
        </row>
        <row r="8769">
          <cell r="A8769" t="str">
            <v>M.PT.0004901</v>
          </cell>
        </row>
        <row r="8770">
          <cell r="A8770" t="str">
            <v>M.PT.0004902</v>
          </cell>
        </row>
        <row r="8771">
          <cell r="A8771" t="str">
            <v>M.PT.0004903</v>
          </cell>
        </row>
        <row r="8772">
          <cell r="A8772" t="str">
            <v>M.PT.0004904</v>
          </cell>
        </row>
        <row r="8773">
          <cell r="A8773" t="str">
            <v>M.PT.0004905</v>
          </cell>
        </row>
        <row r="8774">
          <cell r="A8774" t="str">
            <v>M.PT.0004906</v>
          </cell>
        </row>
        <row r="8775">
          <cell r="A8775" t="str">
            <v>M.PT.0004907</v>
          </cell>
        </row>
        <row r="8776">
          <cell r="A8776" t="str">
            <v>M.PT.0004908</v>
          </cell>
        </row>
        <row r="8777">
          <cell r="A8777" t="str">
            <v>M.PT.0004909</v>
          </cell>
        </row>
        <row r="8778">
          <cell r="A8778" t="str">
            <v>M.PT.0004910</v>
          </cell>
        </row>
        <row r="8779">
          <cell r="A8779" t="str">
            <v>M.PT.0004911</v>
          </cell>
        </row>
        <row r="8780">
          <cell r="A8780" t="str">
            <v>M.PT.0004912</v>
          </cell>
        </row>
        <row r="8781">
          <cell r="A8781" t="str">
            <v>M.PT.0004913</v>
          </cell>
        </row>
        <row r="8782">
          <cell r="A8782" t="str">
            <v>M.PT.0004914</v>
          </cell>
        </row>
        <row r="8783">
          <cell r="A8783" t="str">
            <v>M.PT.0004915</v>
          </cell>
        </row>
        <row r="8784">
          <cell r="A8784" t="str">
            <v>M.PT.0004916</v>
          </cell>
        </row>
        <row r="8785">
          <cell r="A8785" t="str">
            <v>M.PT.0004917</v>
          </cell>
        </row>
        <row r="8786">
          <cell r="A8786" t="str">
            <v>M.PT.0004918</v>
          </cell>
        </row>
        <row r="8787">
          <cell r="A8787" t="str">
            <v>M.PT.0004919</v>
          </cell>
        </row>
        <row r="8788">
          <cell r="A8788" t="str">
            <v>M.PT.0004920</v>
          </cell>
        </row>
        <row r="8789">
          <cell r="A8789" t="str">
            <v>M.PT.0004921</v>
          </cell>
        </row>
        <row r="8790">
          <cell r="A8790" t="str">
            <v>M.PT.0004922</v>
          </cell>
        </row>
        <row r="8791">
          <cell r="A8791" t="str">
            <v>M.PT.0004923</v>
          </cell>
        </row>
        <row r="8792">
          <cell r="A8792" t="str">
            <v>M.PT.0004924</v>
          </cell>
        </row>
        <row r="8793">
          <cell r="A8793" t="str">
            <v>M.PT.0004925</v>
          </cell>
        </row>
        <row r="8794">
          <cell r="A8794" t="str">
            <v>M.PT.0004926</v>
          </cell>
        </row>
        <row r="8795">
          <cell r="A8795" t="str">
            <v>M.PT.0004927</v>
          </cell>
        </row>
        <row r="8796">
          <cell r="A8796" t="str">
            <v>M.PT.0004928</v>
          </cell>
        </row>
        <row r="8797">
          <cell r="A8797" t="str">
            <v>M.PT.0004929</v>
          </cell>
        </row>
        <row r="8798">
          <cell r="A8798" t="str">
            <v>M.PT.0004930</v>
          </cell>
        </row>
        <row r="8799">
          <cell r="A8799" t="str">
            <v>M.PT.0004931</v>
          </cell>
        </row>
        <row r="8800">
          <cell r="A8800" t="str">
            <v>M.PT.0004932</v>
          </cell>
        </row>
        <row r="8801">
          <cell r="A8801" t="str">
            <v>M.PT.0004933</v>
          </cell>
        </row>
        <row r="8802">
          <cell r="A8802" t="str">
            <v>M.PT.0004934</v>
          </cell>
        </row>
        <row r="8803">
          <cell r="A8803" t="str">
            <v>M.PT.0004935</v>
          </cell>
        </row>
        <row r="8804">
          <cell r="A8804" t="str">
            <v>M.PT.0004936</v>
          </cell>
        </row>
        <row r="8805">
          <cell r="A8805" t="str">
            <v>M.PT.0004937</v>
          </cell>
        </row>
        <row r="8806">
          <cell r="A8806" t="str">
            <v>M.PT.0004938</v>
          </cell>
        </row>
        <row r="8807">
          <cell r="A8807" t="str">
            <v>M.PT.0004939</v>
          </cell>
        </row>
        <row r="8808">
          <cell r="A8808" t="str">
            <v>M.PT.0004940</v>
          </cell>
        </row>
        <row r="8809">
          <cell r="A8809" t="str">
            <v>M.PT.0004941</v>
          </cell>
        </row>
        <row r="8810">
          <cell r="A8810" t="str">
            <v>M.PT.0004942</v>
          </cell>
        </row>
        <row r="8811">
          <cell r="A8811" t="str">
            <v>M.PT.0004943</v>
          </cell>
        </row>
        <row r="8812">
          <cell r="A8812" t="str">
            <v>M.PT.0004944</v>
          </cell>
        </row>
        <row r="8813">
          <cell r="A8813" t="str">
            <v>M.PT.0004945</v>
          </cell>
        </row>
        <row r="8814">
          <cell r="A8814" t="str">
            <v>M.PT.0004946</v>
          </cell>
        </row>
        <row r="8815">
          <cell r="A8815" t="str">
            <v>M.PT.0004947</v>
          </cell>
        </row>
        <row r="8816">
          <cell r="A8816" t="str">
            <v>M.PT.0004948</v>
          </cell>
        </row>
        <row r="8817">
          <cell r="A8817" t="str">
            <v>M.PT.0004949</v>
          </cell>
        </row>
        <row r="8818">
          <cell r="A8818" t="str">
            <v>M.PT.0004950</v>
          </cell>
        </row>
        <row r="8819">
          <cell r="A8819" t="str">
            <v>M.PT.0004951</v>
          </cell>
        </row>
        <row r="8820">
          <cell r="A8820" t="str">
            <v>M.PT.0004952</v>
          </cell>
        </row>
        <row r="8821">
          <cell r="A8821" t="str">
            <v>M.PT.0004953</v>
          </cell>
        </row>
        <row r="8822">
          <cell r="A8822" t="str">
            <v>M.PT.0004954</v>
          </cell>
        </row>
        <row r="8823">
          <cell r="A8823" t="str">
            <v>M.PT.0004955</v>
          </cell>
        </row>
        <row r="8824">
          <cell r="A8824" t="str">
            <v>M.PT.0004956</v>
          </cell>
        </row>
        <row r="8825">
          <cell r="A8825" t="str">
            <v>M.PT.0004957</v>
          </cell>
        </row>
        <row r="8826">
          <cell r="A8826" t="str">
            <v>M.PT.0004958</v>
          </cell>
        </row>
        <row r="8827">
          <cell r="A8827" t="str">
            <v>M.PT.0004959</v>
          </cell>
        </row>
        <row r="8828">
          <cell r="A8828" t="str">
            <v>M.PT.0004960</v>
          </cell>
        </row>
        <row r="8829">
          <cell r="A8829" t="str">
            <v>M.PT.0004961</v>
          </cell>
        </row>
        <row r="8830">
          <cell r="A8830" t="str">
            <v>M.PT.0004962</v>
          </cell>
        </row>
        <row r="8831">
          <cell r="A8831" t="str">
            <v>M.PT.0004963</v>
          </cell>
        </row>
        <row r="8832">
          <cell r="A8832" t="str">
            <v>M.PT.0004964</v>
          </cell>
        </row>
        <row r="8833">
          <cell r="A8833" t="str">
            <v>M.PT.0004965</v>
          </cell>
        </row>
        <row r="8834">
          <cell r="A8834" t="str">
            <v>M.PT.0004966</v>
          </cell>
        </row>
        <row r="8835">
          <cell r="A8835" t="str">
            <v>M.PT.0004967</v>
          </cell>
        </row>
        <row r="8836">
          <cell r="A8836" t="str">
            <v>M.PT.0004968</v>
          </cell>
        </row>
        <row r="8837">
          <cell r="A8837" t="str">
            <v>M.PT.0004969</v>
          </cell>
        </row>
        <row r="8838">
          <cell r="A8838" t="str">
            <v>M.PT.0004970</v>
          </cell>
        </row>
        <row r="8839">
          <cell r="A8839" t="str">
            <v>M.PT.0004971</v>
          </cell>
        </row>
        <row r="8840">
          <cell r="A8840" t="str">
            <v>M.PT.0004972</v>
          </cell>
        </row>
        <row r="8841">
          <cell r="A8841" t="str">
            <v>M.PT.0004973</v>
          </cell>
        </row>
        <row r="8842">
          <cell r="A8842" t="str">
            <v>M.PT.0004974</v>
          </cell>
        </row>
        <row r="8843">
          <cell r="A8843" t="str">
            <v>M.PT.0004975</v>
          </cell>
        </row>
        <row r="8844">
          <cell r="A8844" t="str">
            <v>M.PT.0004976</v>
          </cell>
        </row>
        <row r="8845">
          <cell r="A8845" t="str">
            <v>M.PT.0004977</v>
          </cell>
        </row>
        <row r="8846">
          <cell r="A8846" t="str">
            <v>M.PT.0004978</v>
          </cell>
        </row>
        <row r="8847">
          <cell r="A8847" t="str">
            <v>M.PT.0004979</v>
          </cell>
        </row>
        <row r="8848">
          <cell r="A8848" t="str">
            <v>M.PT.0004980</v>
          </cell>
        </row>
        <row r="8849">
          <cell r="A8849" t="str">
            <v>M.PT.0004981</v>
          </cell>
        </row>
        <row r="8850">
          <cell r="A8850" t="str">
            <v>M.PT.0004982</v>
          </cell>
        </row>
        <row r="8851">
          <cell r="A8851" t="str">
            <v>M.PT.0004983</v>
          </cell>
        </row>
        <row r="8852">
          <cell r="A8852" t="str">
            <v>M.PT.0004984</v>
          </cell>
        </row>
        <row r="8853">
          <cell r="A8853" t="str">
            <v>M.PT.0004985</v>
          </cell>
        </row>
        <row r="8854">
          <cell r="A8854" t="str">
            <v>M.PT.0004986</v>
          </cell>
        </row>
        <row r="8855">
          <cell r="A8855" t="str">
            <v>M.PT.0004987</v>
          </cell>
        </row>
        <row r="8856">
          <cell r="A8856" t="str">
            <v>M.PT.0004988</v>
          </cell>
        </row>
        <row r="8857">
          <cell r="A8857" t="str">
            <v>M.PT.0004989</v>
          </cell>
        </row>
        <row r="8858">
          <cell r="A8858" t="str">
            <v>M.PT.0004990</v>
          </cell>
        </row>
        <row r="8859">
          <cell r="A8859" t="str">
            <v>M.PT.0004991</v>
          </cell>
        </row>
        <row r="8860">
          <cell r="A8860" t="str">
            <v>M.PT.0004992</v>
          </cell>
        </row>
        <row r="8861">
          <cell r="A8861" t="str">
            <v>M.PT.0004993</v>
          </cell>
        </row>
        <row r="8862">
          <cell r="A8862" t="str">
            <v>M.PT.0004994</v>
          </cell>
        </row>
        <row r="8863">
          <cell r="A8863" t="str">
            <v>M.PT.0004995</v>
          </cell>
        </row>
        <row r="8864">
          <cell r="A8864" t="str">
            <v>M.PT.0004996</v>
          </cell>
        </row>
        <row r="8865">
          <cell r="A8865" t="str">
            <v>M.PT.0004997</v>
          </cell>
        </row>
        <row r="8866">
          <cell r="A8866" t="str">
            <v>M.PT.0004998</v>
          </cell>
        </row>
        <row r="8867">
          <cell r="A8867" t="str">
            <v>M.PT.0004999</v>
          </cell>
        </row>
        <row r="8868">
          <cell r="A8868" t="str">
            <v>M.PT.0005000</v>
          </cell>
        </row>
        <row r="8869">
          <cell r="A8869" t="str">
            <v>M.PT.0005001</v>
          </cell>
        </row>
        <row r="8870">
          <cell r="A8870" t="str">
            <v>M.PT.0005002</v>
          </cell>
        </row>
        <row r="8871">
          <cell r="A8871" t="str">
            <v>M.PT.0005003</v>
          </cell>
        </row>
        <row r="8872">
          <cell r="A8872" t="str">
            <v>M.PT.0005004</v>
          </cell>
        </row>
        <row r="8873">
          <cell r="A8873" t="str">
            <v>M.PT.0005005</v>
          </cell>
        </row>
        <row r="8874">
          <cell r="A8874" t="str">
            <v>M.PT.0005006</v>
          </cell>
        </row>
        <row r="8875">
          <cell r="A8875" t="str">
            <v>M.PT.0005007</v>
          </cell>
        </row>
        <row r="8876">
          <cell r="A8876" t="str">
            <v>M.PT.0005008</v>
          </cell>
        </row>
        <row r="8877">
          <cell r="A8877" t="str">
            <v>M.PT.0005009</v>
          </cell>
        </row>
        <row r="8878">
          <cell r="A8878" t="str">
            <v>M.PT.0005010</v>
          </cell>
        </row>
        <row r="8879">
          <cell r="A8879" t="str">
            <v>M.PT.0005011</v>
          </cell>
        </row>
        <row r="8880">
          <cell r="A8880" t="str">
            <v>M.PT.0005012</v>
          </cell>
        </row>
        <row r="8881">
          <cell r="A8881" t="str">
            <v>M.PT.0005013</v>
          </cell>
        </row>
        <row r="8882">
          <cell r="A8882" t="str">
            <v>M.PT.0005014</v>
          </cell>
        </row>
        <row r="8883">
          <cell r="A8883" t="str">
            <v>M.PT.0005015</v>
          </cell>
        </row>
        <row r="8884">
          <cell r="A8884" t="str">
            <v>M.PT.0005016</v>
          </cell>
        </row>
        <row r="8885">
          <cell r="A8885" t="str">
            <v>M.PT.0005017</v>
          </cell>
        </row>
        <row r="8886">
          <cell r="A8886" t="str">
            <v>M.PT.0005018</v>
          </cell>
        </row>
        <row r="8887">
          <cell r="A8887" t="str">
            <v>M.PT.0005019</v>
          </cell>
        </row>
        <row r="8888">
          <cell r="A8888" t="str">
            <v>M.PT.0005020</v>
          </cell>
        </row>
        <row r="8889">
          <cell r="A8889" t="str">
            <v>M.PT.0005021</v>
          </cell>
        </row>
        <row r="8890">
          <cell r="A8890" t="str">
            <v>M.PT.0005022</v>
          </cell>
        </row>
        <row r="8891">
          <cell r="A8891" t="str">
            <v>M.PT.0005023</v>
          </cell>
        </row>
        <row r="8892">
          <cell r="A8892" t="str">
            <v>M.PT.0005024</v>
          </cell>
        </row>
        <row r="8893">
          <cell r="A8893" t="str">
            <v>M.PT.0005025</v>
          </cell>
        </row>
        <row r="8894">
          <cell r="A8894" t="str">
            <v>M.PT.0005026</v>
          </cell>
        </row>
        <row r="8895">
          <cell r="A8895" t="str">
            <v>M.PT.0005027</v>
          </cell>
        </row>
        <row r="8896">
          <cell r="A8896" t="str">
            <v>M.PT.0005028</v>
          </cell>
        </row>
        <row r="8897">
          <cell r="A8897" t="str">
            <v>M.PT.0005029</v>
          </cell>
        </row>
        <row r="8898">
          <cell r="A8898" t="str">
            <v>M.PT.0005030</v>
          </cell>
        </row>
        <row r="8899">
          <cell r="A8899" t="str">
            <v>M.PT.0005031</v>
          </cell>
        </row>
        <row r="8900">
          <cell r="A8900" t="str">
            <v>M.PT.0005032</v>
          </cell>
        </row>
        <row r="8901">
          <cell r="A8901" t="str">
            <v>M.PT.0005033</v>
          </cell>
        </row>
        <row r="8902">
          <cell r="A8902" t="str">
            <v>M.PT.0005034</v>
          </cell>
        </row>
        <row r="8903">
          <cell r="A8903" t="str">
            <v>M.PT.0005035</v>
          </cell>
        </row>
        <row r="8904">
          <cell r="A8904" t="str">
            <v>M.PT.0005036</v>
          </cell>
        </row>
        <row r="8905">
          <cell r="A8905" t="str">
            <v>M.PT.0005037</v>
          </cell>
        </row>
        <row r="8906">
          <cell r="A8906" t="str">
            <v>M.PT.0005038</v>
          </cell>
        </row>
        <row r="8907">
          <cell r="A8907" t="str">
            <v>M.PT.0005039</v>
          </cell>
        </row>
        <row r="8908">
          <cell r="A8908" t="str">
            <v>M.PT.0005040</v>
          </cell>
        </row>
        <row r="8909">
          <cell r="A8909" t="str">
            <v>M.PT.0005041</v>
          </cell>
        </row>
        <row r="8910">
          <cell r="A8910" t="str">
            <v>M.PT.0005042</v>
          </cell>
        </row>
        <row r="8911">
          <cell r="A8911" t="str">
            <v>M.PT.0005043</v>
          </cell>
        </row>
        <row r="8912">
          <cell r="A8912" t="str">
            <v>M.PT.0005044</v>
          </cell>
        </row>
        <row r="8913">
          <cell r="A8913" t="str">
            <v>M.PT.0005045</v>
          </cell>
        </row>
        <row r="8914">
          <cell r="A8914" t="str">
            <v>M.PT.0005046</v>
          </cell>
        </row>
        <row r="8915">
          <cell r="A8915" t="str">
            <v>M.PT.0005047</v>
          </cell>
        </row>
        <row r="8916">
          <cell r="A8916" t="str">
            <v>M.PT.0005048</v>
          </cell>
        </row>
        <row r="8917">
          <cell r="A8917" t="str">
            <v>M.PT.0005049</v>
          </cell>
        </row>
        <row r="8918">
          <cell r="A8918" t="str">
            <v>M.PT.0005050</v>
          </cell>
        </row>
        <row r="8919">
          <cell r="A8919" t="str">
            <v>M.PT.0005051</v>
          </cell>
        </row>
        <row r="8920">
          <cell r="A8920" t="str">
            <v>M.PT.0005052</v>
          </cell>
        </row>
        <row r="8921">
          <cell r="A8921" t="str">
            <v>M.PT.0005053</v>
          </cell>
        </row>
        <row r="8922">
          <cell r="A8922" t="str">
            <v>M.PT.0005054</v>
          </cell>
        </row>
        <row r="8923">
          <cell r="A8923" t="str">
            <v>M.PT.0005055</v>
          </cell>
        </row>
        <row r="8924">
          <cell r="A8924" t="str">
            <v>M.PT.0005056</v>
          </cell>
        </row>
        <row r="8925">
          <cell r="A8925" t="str">
            <v>M.PT.0005057</v>
          </cell>
        </row>
        <row r="8926">
          <cell r="A8926" t="str">
            <v>M.PT.0005058</v>
          </cell>
        </row>
        <row r="8927">
          <cell r="A8927" t="str">
            <v>M.PT.0005059</v>
          </cell>
        </row>
        <row r="8928">
          <cell r="A8928" t="str">
            <v>M.PT.0005060</v>
          </cell>
        </row>
        <row r="8929">
          <cell r="A8929" t="str">
            <v>M.PT.0005061</v>
          </cell>
        </row>
        <row r="8930">
          <cell r="A8930" t="str">
            <v>M.PT.0005062</v>
          </cell>
        </row>
        <row r="8931">
          <cell r="A8931" t="str">
            <v>M.PT.0005063</v>
          </cell>
        </row>
        <row r="8932">
          <cell r="A8932" t="str">
            <v>M.PT.0005064</v>
          </cell>
        </row>
        <row r="8933">
          <cell r="A8933" t="str">
            <v>M.PT.0005065</v>
          </cell>
        </row>
        <row r="8934">
          <cell r="A8934" t="str">
            <v>M.PT.0005066</v>
          </cell>
        </row>
        <row r="8935">
          <cell r="A8935" t="str">
            <v>M.PT.0005067</v>
          </cell>
        </row>
        <row r="8936">
          <cell r="A8936" t="str">
            <v>M.PT.0005068</v>
          </cell>
        </row>
        <row r="8937">
          <cell r="A8937" t="str">
            <v>M.PT.0005069</v>
          </cell>
        </row>
        <row r="8938">
          <cell r="A8938" t="str">
            <v>M.PT.0005071</v>
          </cell>
        </row>
        <row r="8939">
          <cell r="A8939" t="str">
            <v>M.PT.0005072</v>
          </cell>
        </row>
        <row r="8940">
          <cell r="A8940" t="str">
            <v>M.PT.0005073</v>
          </cell>
        </row>
        <row r="8941">
          <cell r="A8941" t="str">
            <v>M.PT.0005074</v>
          </cell>
        </row>
        <row r="8942">
          <cell r="A8942" t="str">
            <v>M.PT.0005075</v>
          </cell>
        </row>
        <row r="8943">
          <cell r="A8943" t="str">
            <v>M.PT.0005076</v>
          </cell>
        </row>
        <row r="8944">
          <cell r="A8944" t="str">
            <v>M.PT.0005077</v>
          </cell>
        </row>
        <row r="8945">
          <cell r="A8945" t="str">
            <v>M.PT.0005078</v>
          </cell>
        </row>
        <row r="8946">
          <cell r="A8946" t="str">
            <v>M.PT.0005079</v>
          </cell>
        </row>
        <row r="8947">
          <cell r="A8947" t="str">
            <v>M.PT.0005080</v>
          </cell>
        </row>
        <row r="8948">
          <cell r="A8948" t="str">
            <v>M.PT.0005081</v>
          </cell>
        </row>
        <row r="8949">
          <cell r="A8949" t="str">
            <v>M.PT.0005082</v>
          </cell>
        </row>
        <row r="8950">
          <cell r="A8950" t="str">
            <v>M.PT.0005083</v>
          </cell>
        </row>
        <row r="8951">
          <cell r="A8951" t="str">
            <v>M.PT.0005084</v>
          </cell>
        </row>
        <row r="8952">
          <cell r="A8952" t="str">
            <v>M.PT.0005085</v>
          </cell>
        </row>
        <row r="8953">
          <cell r="A8953" t="str">
            <v>M.PT.0005086</v>
          </cell>
        </row>
        <row r="8954">
          <cell r="A8954" t="str">
            <v>M.PT.0005087</v>
          </cell>
        </row>
        <row r="8955">
          <cell r="A8955" t="str">
            <v>M.PT.0005088</v>
          </cell>
        </row>
        <row r="8956">
          <cell r="A8956" t="str">
            <v>M.PT.0005089</v>
          </cell>
        </row>
        <row r="8957">
          <cell r="A8957" t="str">
            <v>M.PT.0005090</v>
          </cell>
        </row>
        <row r="8958">
          <cell r="A8958" t="str">
            <v>M.PT.0005091</v>
          </cell>
        </row>
        <row r="8959">
          <cell r="A8959" t="str">
            <v>M.PT.0005092</v>
          </cell>
        </row>
        <row r="8960">
          <cell r="A8960" t="str">
            <v>M.PT.0005093</v>
          </cell>
        </row>
        <row r="8961">
          <cell r="A8961" t="str">
            <v>M.PT.0005094</v>
          </cell>
        </row>
        <row r="8962">
          <cell r="A8962" t="str">
            <v>M.PT.0005095</v>
          </cell>
        </row>
        <row r="8963">
          <cell r="A8963" t="str">
            <v>M.PT.0005096</v>
          </cell>
        </row>
        <row r="8964">
          <cell r="A8964" t="str">
            <v>M.PT.0005097</v>
          </cell>
        </row>
        <row r="8965">
          <cell r="A8965" t="str">
            <v>M.PT.0005098</v>
          </cell>
        </row>
        <row r="8966">
          <cell r="A8966" t="str">
            <v>M.PT.0005099</v>
          </cell>
        </row>
        <row r="8967">
          <cell r="A8967" t="str">
            <v>M.PT.0005100</v>
          </cell>
        </row>
        <row r="8968">
          <cell r="A8968" t="str">
            <v>M.PT.0005101</v>
          </cell>
        </row>
        <row r="8969">
          <cell r="A8969" t="str">
            <v>M.PT.0005102</v>
          </cell>
        </row>
        <row r="8970">
          <cell r="A8970" t="str">
            <v>M.PT.0005103</v>
          </cell>
        </row>
        <row r="8971">
          <cell r="A8971" t="str">
            <v>M.PT.0005104</v>
          </cell>
        </row>
        <row r="8972">
          <cell r="A8972" t="str">
            <v>M.PT.0005105</v>
          </cell>
        </row>
        <row r="8973">
          <cell r="A8973" t="str">
            <v>M.PT.0005106</v>
          </cell>
        </row>
        <row r="8974">
          <cell r="A8974" t="str">
            <v>M.PT.0005107</v>
          </cell>
        </row>
        <row r="8975">
          <cell r="A8975" t="str">
            <v>M.PT.0005108</v>
          </cell>
        </row>
        <row r="8976">
          <cell r="A8976" t="str">
            <v>M.PT.0005109</v>
          </cell>
        </row>
        <row r="8977">
          <cell r="A8977" t="str">
            <v>M.PT.0005110</v>
          </cell>
        </row>
        <row r="8978">
          <cell r="A8978" t="str">
            <v>M.PT.0005111</v>
          </cell>
        </row>
        <row r="8979">
          <cell r="A8979" t="str">
            <v>M.PT.0005112</v>
          </cell>
        </row>
        <row r="8980">
          <cell r="A8980" t="str">
            <v>M.PT.0005113</v>
          </cell>
        </row>
        <row r="8981">
          <cell r="A8981" t="str">
            <v>M.PT.0005114</v>
          </cell>
        </row>
        <row r="8982">
          <cell r="A8982" t="str">
            <v>M.PT.0005115</v>
          </cell>
        </row>
        <row r="8983">
          <cell r="A8983" t="str">
            <v>M.PT.0005116</v>
          </cell>
        </row>
        <row r="8984">
          <cell r="A8984" t="str">
            <v>M.PT.0005117</v>
          </cell>
        </row>
        <row r="8985">
          <cell r="A8985" t="str">
            <v>M.PT.0005118</v>
          </cell>
        </row>
        <row r="8986">
          <cell r="A8986" t="str">
            <v>M.PT.0005119</v>
          </cell>
        </row>
        <row r="8987">
          <cell r="A8987" t="str">
            <v>M.PT.0005120</v>
          </cell>
        </row>
        <row r="8988">
          <cell r="A8988" t="str">
            <v>M.PT.0005121</v>
          </cell>
        </row>
        <row r="8989">
          <cell r="A8989" t="str">
            <v>M.PT.0005122</v>
          </cell>
        </row>
        <row r="8990">
          <cell r="A8990" t="str">
            <v>M.PT.0005123</v>
          </cell>
        </row>
        <row r="8991">
          <cell r="A8991" t="str">
            <v>M.PT.0005124</v>
          </cell>
        </row>
        <row r="8992">
          <cell r="A8992" t="str">
            <v>M.PT.0005125</v>
          </cell>
        </row>
        <row r="8993">
          <cell r="A8993" t="str">
            <v>M.PT.0005126</v>
          </cell>
        </row>
        <row r="8994">
          <cell r="A8994" t="str">
            <v>M.PT.0005127</v>
          </cell>
        </row>
        <row r="8995">
          <cell r="A8995" t="str">
            <v>M.PT.0005128</v>
          </cell>
        </row>
        <row r="8996">
          <cell r="A8996" t="str">
            <v>M.PT.0005129</v>
          </cell>
        </row>
        <row r="8997">
          <cell r="A8997" t="str">
            <v>M.PT.0005130</v>
          </cell>
        </row>
        <row r="8998">
          <cell r="A8998" t="str">
            <v>M.PT.0005131</v>
          </cell>
        </row>
        <row r="8999">
          <cell r="A8999" t="str">
            <v>M.PT.0005132</v>
          </cell>
        </row>
        <row r="9000">
          <cell r="A9000" t="str">
            <v>M.PT.0005133</v>
          </cell>
        </row>
        <row r="9001">
          <cell r="A9001" t="str">
            <v>M.PT.0005134</v>
          </cell>
        </row>
        <row r="9002">
          <cell r="A9002" t="str">
            <v>M.PT.0005135</v>
          </cell>
        </row>
        <row r="9003">
          <cell r="A9003" t="str">
            <v>M.PT.0005136</v>
          </cell>
        </row>
        <row r="9004">
          <cell r="A9004" t="str">
            <v>M.PT.0005137</v>
          </cell>
        </row>
        <row r="9005">
          <cell r="A9005" t="str">
            <v>M.PT.0005138</v>
          </cell>
        </row>
        <row r="9006">
          <cell r="A9006" t="str">
            <v>M.PT.0005139</v>
          </cell>
        </row>
        <row r="9007">
          <cell r="A9007" t="str">
            <v>M.PT.0005140</v>
          </cell>
        </row>
        <row r="9008">
          <cell r="A9008" t="str">
            <v>M.PT.0005141</v>
          </cell>
        </row>
        <row r="9009">
          <cell r="A9009" t="str">
            <v>M.PT.0005142</v>
          </cell>
        </row>
        <row r="9010">
          <cell r="A9010" t="str">
            <v>M.PT.0005143</v>
          </cell>
        </row>
        <row r="9011">
          <cell r="A9011" t="str">
            <v>M.PT.0005144</v>
          </cell>
        </row>
        <row r="9012">
          <cell r="A9012" t="str">
            <v>M.PT.0005145</v>
          </cell>
        </row>
        <row r="9013">
          <cell r="A9013" t="str">
            <v>M.PT.0005146</v>
          </cell>
        </row>
        <row r="9014">
          <cell r="A9014" t="str">
            <v>M.PT.0005147</v>
          </cell>
        </row>
        <row r="9015">
          <cell r="A9015" t="str">
            <v>M.PT.0005148</v>
          </cell>
        </row>
        <row r="9016">
          <cell r="A9016" t="str">
            <v>M.PT.0005149</v>
          </cell>
        </row>
        <row r="9017">
          <cell r="A9017" t="str">
            <v>M.PT.0005150</v>
          </cell>
        </row>
        <row r="9018">
          <cell r="A9018" t="str">
            <v>M.PT.0005151</v>
          </cell>
        </row>
        <row r="9019">
          <cell r="A9019" t="str">
            <v>M.PT.0005152</v>
          </cell>
        </row>
        <row r="9020">
          <cell r="A9020" t="str">
            <v>M.PT.0005153</v>
          </cell>
        </row>
        <row r="9021">
          <cell r="A9021" t="str">
            <v>M.PT.0005154</v>
          </cell>
        </row>
        <row r="9022">
          <cell r="A9022" t="str">
            <v>M.PT.0005155</v>
          </cell>
        </row>
        <row r="9023">
          <cell r="A9023" t="str">
            <v>M.PT.0005156</v>
          </cell>
        </row>
        <row r="9024">
          <cell r="A9024" t="str">
            <v>M.PT.0005157</v>
          </cell>
        </row>
        <row r="9025">
          <cell r="A9025" t="str">
            <v>M.PT.0005158</v>
          </cell>
        </row>
        <row r="9026">
          <cell r="A9026" t="str">
            <v>M.PT.0005159</v>
          </cell>
        </row>
        <row r="9027">
          <cell r="A9027" t="str">
            <v>M.PT.0005160</v>
          </cell>
        </row>
        <row r="9028">
          <cell r="A9028" t="str">
            <v>M.PT.0005161</v>
          </cell>
        </row>
        <row r="9029">
          <cell r="A9029" t="str">
            <v>M.PT.0005162</v>
          </cell>
        </row>
        <row r="9030">
          <cell r="A9030" t="str">
            <v>M.PT.0005163</v>
          </cell>
        </row>
        <row r="9031">
          <cell r="A9031" t="str">
            <v>M.PT.0005164</v>
          </cell>
        </row>
        <row r="9032">
          <cell r="A9032" t="str">
            <v>M.PT.0005165</v>
          </cell>
        </row>
        <row r="9033">
          <cell r="A9033" t="str">
            <v>M.PT.0005166</v>
          </cell>
        </row>
        <row r="9034">
          <cell r="A9034" t="str">
            <v>M.PT.0005167</v>
          </cell>
        </row>
        <row r="9035">
          <cell r="A9035" t="str">
            <v>M.PT.0005168</v>
          </cell>
        </row>
        <row r="9036">
          <cell r="A9036" t="str">
            <v>M.PT.0005169</v>
          </cell>
        </row>
        <row r="9037">
          <cell r="A9037" t="str">
            <v>M.PT.0005170</v>
          </cell>
        </row>
        <row r="9038">
          <cell r="A9038" t="str">
            <v>M.PT.0005171</v>
          </cell>
        </row>
        <row r="9039">
          <cell r="A9039" t="str">
            <v>M.PT.0005172</v>
          </cell>
        </row>
        <row r="9040">
          <cell r="A9040" t="str">
            <v>M.PT.0005173</v>
          </cell>
        </row>
        <row r="9041">
          <cell r="A9041" t="str">
            <v>M.PT.0005174</v>
          </cell>
        </row>
        <row r="9042">
          <cell r="A9042" t="str">
            <v>M.PT.0005175</v>
          </cell>
        </row>
        <row r="9043">
          <cell r="A9043" t="str">
            <v>M.PT.0005176</v>
          </cell>
        </row>
        <row r="9044">
          <cell r="A9044" t="str">
            <v>M.PT.0005177</v>
          </cell>
        </row>
        <row r="9045">
          <cell r="A9045" t="str">
            <v>M.PT.0005178</v>
          </cell>
        </row>
        <row r="9046">
          <cell r="A9046" t="str">
            <v>M.PT.0005179</v>
          </cell>
        </row>
        <row r="9047">
          <cell r="A9047" t="str">
            <v>M.PT.0005180</v>
          </cell>
        </row>
        <row r="9048">
          <cell r="A9048" t="str">
            <v>M.PT.0005181</v>
          </cell>
        </row>
        <row r="9049">
          <cell r="A9049" t="str">
            <v>M.PT.0005182</v>
          </cell>
        </row>
        <row r="9050">
          <cell r="A9050" t="str">
            <v>M.PT.0005183</v>
          </cell>
        </row>
        <row r="9051">
          <cell r="A9051" t="str">
            <v>M.PT.0005184</v>
          </cell>
        </row>
        <row r="9052">
          <cell r="A9052" t="str">
            <v>M.PT.0005185</v>
          </cell>
        </row>
        <row r="9053">
          <cell r="A9053" t="str">
            <v>M.PT.0005186</v>
          </cell>
        </row>
        <row r="9054">
          <cell r="A9054" t="str">
            <v>M.PT.0005187</v>
          </cell>
        </row>
        <row r="9055">
          <cell r="A9055" t="str">
            <v>M.PT.0005188</v>
          </cell>
        </row>
        <row r="9056">
          <cell r="A9056" t="str">
            <v>M.PT.0005189</v>
          </cell>
        </row>
        <row r="9057">
          <cell r="A9057" t="str">
            <v>M.PT.0005190</v>
          </cell>
        </row>
        <row r="9058">
          <cell r="A9058" t="str">
            <v>M.PT.0005191</v>
          </cell>
        </row>
        <row r="9059">
          <cell r="A9059" t="str">
            <v>M.PT.0005192</v>
          </cell>
        </row>
        <row r="9060">
          <cell r="A9060" t="str">
            <v>M.PT.0005193</v>
          </cell>
        </row>
        <row r="9061">
          <cell r="A9061" t="str">
            <v>M.PT.0005194</v>
          </cell>
        </row>
        <row r="9062">
          <cell r="A9062" t="str">
            <v>M.PT.0005195</v>
          </cell>
        </row>
        <row r="9063">
          <cell r="A9063" t="str">
            <v>M.PT.0005196</v>
          </cell>
        </row>
        <row r="9064">
          <cell r="A9064" t="str">
            <v>M.PT.0005197</v>
          </cell>
        </row>
        <row r="9065">
          <cell r="A9065" t="str">
            <v>M.PT.0005198</v>
          </cell>
        </row>
        <row r="9066">
          <cell r="A9066" t="str">
            <v>M.PT.0005199</v>
          </cell>
        </row>
        <row r="9067">
          <cell r="A9067" t="str">
            <v>M.PT.0005200</v>
          </cell>
        </row>
        <row r="9068">
          <cell r="A9068" t="str">
            <v>M.PT.0005201</v>
          </cell>
        </row>
        <row r="9069">
          <cell r="A9069" t="str">
            <v>M.PT.0005202</v>
          </cell>
        </row>
        <row r="9070">
          <cell r="A9070" t="str">
            <v>M.PT.0005203</v>
          </cell>
        </row>
        <row r="9071">
          <cell r="A9071" t="str">
            <v>M.PT.0005204</v>
          </cell>
        </row>
        <row r="9072">
          <cell r="A9072" t="str">
            <v>M.PT.0005205</v>
          </cell>
        </row>
        <row r="9073">
          <cell r="A9073" t="str">
            <v>M.PT.0005206</v>
          </cell>
        </row>
        <row r="9074">
          <cell r="A9074" t="str">
            <v>M.PT.0005207</v>
          </cell>
        </row>
        <row r="9075">
          <cell r="A9075" t="str">
            <v>M.PT.0005208</v>
          </cell>
        </row>
        <row r="9076">
          <cell r="A9076" t="str">
            <v>M.PT.0005209</v>
          </cell>
        </row>
        <row r="9077">
          <cell r="A9077" t="str">
            <v>M.PT.0005210</v>
          </cell>
        </row>
        <row r="9078">
          <cell r="A9078" t="str">
            <v>M.PT.0005211</v>
          </cell>
        </row>
        <row r="9079">
          <cell r="A9079" t="str">
            <v>M.PT.0005212</v>
          </cell>
        </row>
        <row r="9080">
          <cell r="A9080" t="str">
            <v>M.PT.0005213</v>
          </cell>
        </row>
        <row r="9081">
          <cell r="A9081" t="str">
            <v>M.PT.0005214</v>
          </cell>
        </row>
        <row r="9082">
          <cell r="A9082" t="str">
            <v>M.PT.0005215</v>
          </cell>
        </row>
        <row r="9083">
          <cell r="A9083" t="str">
            <v>M.PT.0005216</v>
          </cell>
        </row>
        <row r="9084">
          <cell r="A9084" t="str">
            <v>M.PT.0005217</v>
          </cell>
        </row>
        <row r="9085">
          <cell r="A9085" t="str">
            <v>M.PT.0005218</v>
          </cell>
        </row>
        <row r="9086">
          <cell r="A9086" t="str">
            <v>M.PT.0005219</v>
          </cell>
        </row>
        <row r="9087">
          <cell r="A9087" t="str">
            <v>M.PT.0005220</v>
          </cell>
        </row>
        <row r="9088">
          <cell r="A9088" t="str">
            <v>M.PT.0005221</v>
          </cell>
        </row>
        <row r="9089">
          <cell r="A9089" t="str">
            <v>M.PT.0005222</v>
          </cell>
        </row>
        <row r="9090">
          <cell r="A9090" t="str">
            <v>M.PT.0005223</v>
          </cell>
        </row>
        <row r="9091">
          <cell r="A9091" t="str">
            <v>M.PT.0005224</v>
          </cell>
        </row>
        <row r="9092">
          <cell r="A9092" t="str">
            <v>M.PT.0005225</v>
          </cell>
        </row>
        <row r="9093">
          <cell r="A9093" t="str">
            <v>M.PT.0005226</v>
          </cell>
        </row>
        <row r="9094">
          <cell r="A9094" t="str">
            <v>M.PT.0005227</v>
          </cell>
        </row>
        <row r="9095">
          <cell r="A9095" t="str">
            <v>M.PT.0005228</v>
          </cell>
        </row>
        <row r="9096">
          <cell r="A9096" t="str">
            <v>M.PT.0005229</v>
          </cell>
        </row>
        <row r="9097">
          <cell r="A9097" t="str">
            <v>M.PT.0005230</v>
          </cell>
        </row>
        <row r="9098">
          <cell r="A9098" t="str">
            <v>M.PT.0005231</v>
          </cell>
        </row>
        <row r="9099">
          <cell r="A9099" t="str">
            <v>M.PT.0005232</v>
          </cell>
        </row>
        <row r="9100">
          <cell r="A9100" t="str">
            <v>M.PT.0005233</v>
          </cell>
        </row>
        <row r="9101">
          <cell r="A9101" t="str">
            <v>M.PT.0005234</v>
          </cell>
        </row>
        <row r="9102">
          <cell r="A9102" t="str">
            <v>M.PT.0005235</v>
          </cell>
        </row>
        <row r="9103">
          <cell r="A9103" t="str">
            <v>M.PT.0005236</v>
          </cell>
        </row>
        <row r="9104">
          <cell r="A9104" t="str">
            <v>M.PT.0005237</v>
          </cell>
        </row>
        <row r="9105">
          <cell r="A9105" t="str">
            <v>M.PT.0005238</v>
          </cell>
        </row>
        <row r="9106">
          <cell r="A9106" t="str">
            <v>M.PT.0005239</v>
          </cell>
        </row>
        <row r="9107">
          <cell r="A9107" t="str">
            <v>M.PT.0005240</v>
          </cell>
        </row>
        <row r="9108">
          <cell r="A9108" t="str">
            <v>M.PT.0005241</v>
          </cell>
        </row>
        <row r="9109">
          <cell r="A9109" t="str">
            <v>M.PT.0005242</v>
          </cell>
        </row>
        <row r="9110">
          <cell r="A9110" t="str">
            <v>M.PT.0005243</v>
          </cell>
        </row>
        <row r="9111">
          <cell r="A9111" t="str">
            <v>M.PT.0005244</v>
          </cell>
        </row>
        <row r="9112">
          <cell r="A9112" t="str">
            <v>M.PT.0005245</v>
          </cell>
        </row>
        <row r="9113">
          <cell r="A9113" t="str">
            <v>M.PT.0005246</v>
          </cell>
        </row>
        <row r="9114">
          <cell r="A9114" t="str">
            <v>M.PT.0005247</v>
          </cell>
        </row>
        <row r="9115">
          <cell r="A9115" t="str">
            <v>M.PT.0005248</v>
          </cell>
        </row>
        <row r="9116">
          <cell r="A9116" t="str">
            <v>M.PT.0005249</v>
          </cell>
        </row>
        <row r="9117">
          <cell r="A9117" t="str">
            <v>M.PT.0005250</v>
          </cell>
        </row>
        <row r="9118">
          <cell r="A9118" t="str">
            <v>M.PT.0005251</v>
          </cell>
        </row>
        <row r="9119">
          <cell r="A9119" t="str">
            <v>M.PT.0005252</v>
          </cell>
        </row>
        <row r="9120">
          <cell r="A9120" t="str">
            <v>M.PT.0005253</v>
          </cell>
        </row>
        <row r="9121">
          <cell r="A9121" t="str">
            <v>M.PT.0005254</v>
          </cell>
        </row>
        <row r="9122">
          <cell r="A9122" t="str">
            <v>M.PT.0005255</v>
          </cell>
        </row>
        <row r="9123">
          <cell r="A9123" t="str">
            <v>M.PT.0005256</v>
          </cell>
        </row>
        <row r="9124">
          <cell r="A9124" t="str">
            <v>M.PT.0005257</v>
          </cell>
        </row>
        <row r="9125">
          <cell r="A9125" t="str">
            <v>M.PT.0005258</v>
          </cell>
        </row>
        <row r="9126">
          <cell r="A9126" t="str">
            <v>M.PT.0005259</v>
          </cell>
        </row>
        <row r="9127">
          <cell r="A9127" t="str">
            <v>M.PT.0005260</v>
          </cell>
        </row>
        <row r="9128">
          <cell r="A9128" t="str">
            <v>M.PT.0005261</v>
          </cell>
        </row>
        <row r="9129">
          <cell r="A9129" t="str">
            <v>M.PT.0005262</v>
          </cell>
        </row>
        <row r="9130">
          <cell r="A9130" t="str">
            <v>M.PT.0005263</v>
          </cell>
        </row>
        <row r="9131">
          <cell r="A9131" t="str">
            <v>M.PT.0005264</v>
          </cell>
        </row>
        <row r="9132">
          <cell r="A9132" t="str">
            <v>M.PT.0005265</v>
          </cell>
        </row>
        <row r="9133">
          <cell r="A9133" t="str">
            <v>M.PT.0005268</v>
          </cell>
        </row>
        <row r="9134">
          <cell r="A9134" t="str">
            <v>M.PT.0005269</v>
          </cell>
        </row>
        <row r="9135">
          <cell r="A9135" t="str">
            <v>M.PT.0005270</v>
          </cell>
        </row>
        <row r="9136">
          <cell r="A9136" t="str">
            <v>M.PT.0005271</v>
          </cell>
        </row>
        <row r="9137">
          <cell r="A9137" t="str">
            <v>M.PT.0005272</v>
          </cell>
        </row>
        <row r="9138">
          <cell r="A9138" t="str">
            <v>M.PT.0005273</v>
          </cell>
        </row>
        <row r="9139">
          <cell r="A9139" t="str">
            <v>M.PT.0005274</v>
          </cell>
        </row>
        <row r="9140">
          <cell r="A9140" t="str">
            <v>M.PT.0005275</v>
          </cell>
        </row>
        <row r="9141">
          <cell r="A9141" t="str">
            <v>M.PT.0005276</v>
          </cell>
        </row>
        <row r="9142">
          <cell r="A9142" t="str">
            <v>M.PT.0005277</v>
          </cell>
        </row>
        <row r="9143">
          <cell r="A9143" t="str">
            <v>M.PT.0005278</v>
          </cell>
        </row>
        <row r="9144">
          <cell r="A9144" t="str">
            <v>M.PT.0005279</v>
          </cell>
        </row>
        <row r="9145">
          <cell r="A9145" t="str">
            <v>M.PT.0005280</v>
          </cell>
        </row>
        <row r="9146">
          <cell r="A9146" t="str">
            <v>M.PT.0005281</v>
          </cell>
        </row>
        <row r="9147">
          <cell r="A9147" t="str">
            <v>M.PT.0005282</v>
          </cell>
        </row>
        <row r="9148">
          <cell r="A9148" t="str">
            <v>M.PT.0005283</v>
          </cell>
        </row>
        <row r="9149">
          <cell r="A9149" t="str">
            <v>M.PT.0005284</v>
          </cell>
        </row>
        <row r="9150">
          <cell r="A9150" t="str">
            <v>M.PT.0005285</v>
          </cell>
        </row>
        <row r="9151">
          <cell r="A9151" t="str">
            <v>M.PT.0005286</v>
          </cell>
        </row>
        <row r="9152">
          <cell r="A9152" t="str">
            <v>M.PT.0005287</v>
          </cell>
        </row>
        <row r="9153">
          <cell r="A9153" t="str">
            <v>M.PT.0005288</v>
          </cell>
        </row>
        <row r="9154">
          <cell r="A9154" t="str">
            <v>M.PT.0005289</v>
          </cell>
        </row>
        <row r="9155">
          <cell r="A9155" t="str">
            <v>M.PT.0005290</v>
          </cell>
        </row>
        <row r="9156">
          <cell r="A9156" t="str">
            <v>M.PT.0005291</v>
          </cell>
        </row>
        <row r="9157">
          <cell r="A9157" t="str">
            <v>M.PT.0005292</v>
          </cell>
        </row>
        <row r="9158">
          <cell r="A9158" t="str">
            <v>M.PT.0005293</v>
          </cell>
        </row>
        <row r="9159">
          <cell r="A9159" t="str">
            <v>M.PT.0005294</v>
          </cell>
        </row>
        <row r="9160">
          <cell r="A9160" t="str">
            <v>M.PT.0005295</v>
          </cell>
        </row>
        <row r="9161">
          <cell r="A9161" t="str">
            <v>M.PT.0005296</v>
          </cell>
        </row>
        <row r="9162">
          <cell r="A9162" t="str">
            <v>M.PT.0005297</v>
          </cell>
        </row>
        <row r="9163">
          <cell r="A9163" t="str">
            <v>M.PT.0005298</v>
          </cell>
        </row>
        <row r="9164">
          <cell r="A9164" t="str">
            <v>M.PT.0005299</v>
          </cell>
        </row>
        <row r="9165">
          <cell r="A9165" t="str">
            <v>M.PT.0005300</v>
          </cell>
        </row>
        <row r="9166">
          <cell r="A9166" t="str">
            <v>M.PT.0005301</v>
          </cell>
        </row>
        <row r="9167">
          <cell r="A9167" t="str">
            <v>M.PT.0005303</v>
          </cell>
        </row>
        <row r="9168">
          <cell r="A9168" t="str">
            <v>M.PT.0005304</v>
          </cell>
        </row>
        <row r="9169">
          <cell r="A9169" t="str">
            <v>M.PT.0005305</v>
          </cell>
        </row>
        <row r="9170">
          <cell r="A9170" t="str">
            <v>M.PT.0005306</v>
          </cell>
        </row>
        <row r="9171">
          <cell r="A9171" t="str">
            <v>M.PT.0005307</v>
          </cell>
        </row>
        <row r="9172">
          <cell r="A9172" t="str">
            <v>M.PT.0005308</v>
          </cell>
        </row>
        <row r="9173">
          <cell r="A9173" t="str">
            <v>M.PT.0005309</v>
          </cell>
        </row>
        <row r="9174">
          <cell r="A9174" t="str">
            <v>M.PT.0005310</v>
          </cell>
        </row>
        <row r="9175">
          <cell r="A9175" t="str">
            <v>M.PT.0005311</v>
          </cell>
        </row>
        <row r="9176">
          <cell r="A9176" t="str">
            <v>M.PT.0005312</v>
          </cell>
        </row>
        <row r="9177">
          <cell r="A9177" t="str">
            <v>M.PT.0005313</v>
          </cell>
        </row>
        <row r="9178">
          <cell r="A9178" t="str">
            <v>M.PT.0005314</v>
          </cell>
        </row>
        <row r="9179">
          <cell r="A9179" t="str">
            <v>M.PT.0005315</v>
          </cell>
        </row>
        <row r="9180">
          <cell r="A9180" t="str">
            <v>M.PT.0005316</v>
          </cell>
        </row>
        <row r="9181">
          <cell r="A9181" t="str">
            <v>M.PT.0005317</v>
          </cell>
        </row>
        <row r="9182">
          <cell r="A9182" t="str">
            <v>M.PT.0005318</v>
          </cell>
        </row>
        <row r="9183">
          <cell r="A9183" t="str">
            <v>M.PT.0005319</v>
          </cell>
        </row>
        <row r="9184">
          <cell r="A9184" t="str">
            <v>M.PT.0005320</v>
          </cell>
        </row>
        <row r="9185">
          <cell r="A9185" t="str">
            <v>M.PT.0005322</v>
          </cell>
        </row>
        <row r="9186">
          <cell r="A9186" t="str">
            <v>M.PT.0005323</v>
          </cell>
        </row>
        <row r="9187">
          <cell r="A9187" t="str">
            <v>M.PT.0005324</v>
          </cell>
        </row>
        <row r="9188">
          <cell r="A9188" t="str">
            <v>M.PT.0005325</v>
          </cell>
        </row>
        <row r="9189">
          <cell r="A9189" t="str">
            <v>M.PT.0005326</v>
          </cell>
        </row>
        <row r="9190">
          <cell r="A9190" t="str">
            <v>M.PT.0005327</v>
          </cell>
        </row>
        <row r="9191">
          <cell r="A9191" t="str">
            <v>M.PT.0005328</v>
          </cell>
        </row>
        <row r="9192">
          <cell r="A9192" t="str">
            <v>M.PT.0005329</v>
          </cell>
        </row>
        <row r="9193">
          <cell r="A9193" t="str">
            <v>M.PT.0005330</v>
          </cell>
        </row>
        <row r="9194">
          <cell r="A9194" t="str">
            <v>M.PT.0005331</v>
          </cell>
        </row>
        <row r="9195">
          <cell r="A9195" t="str">
            <v>M.PT.0005332</v>
          </cell>
        </row>
        <row r="9196">
          <cell r="A9196" t="str">
            <v>M.PT.0005333</v>
          </cell>
        </row>
        <row r="9197">
          <cell r="A9197" t="str">
            <v>M.PT.0005334</v>
          </cell>
        </row>
        <row r="9198">
          <cell r="A9198" t="str">
            <v>M.PT.0005335</v>
          </cell>
        </row>
        <row r="9199">
          <cell r="A9199" t="str">
            <v>M.PT.0005336</v>
          </cell>
        </row>
        <row r="9200">
          <cell r="A9200" t="str">
            <v>M.PT.0005337</v>
          </cell>
        </row>
        <row r="9201">
          <cell r="A9201" t="str">
            <v>M.PT.0005338</v>
          </cell>
        </row>
        <row r="9202">
          <cell r="A9202" t="str">
            <v>M.PT.0005339</v>
          </cell>
        </row>
        <row r="9203">
          <cell r="A9203" t="str">
            <v>M.PT.0005340</v>
          </cell>
        </row>
        <row r="9204">
          <cell r="A9204" t="str">
            <v>M.PT.0005341</v>
          </cell>
        </row>
        <row r="9205">
          <cell r="A9205" t="str">
            <v>M.PT.0005342</v>
          </cell>
        </row>
        <row r="9206">
          <cell r="A9206" t="str">
            <v>M.PT.0005343</v>
          </cell>
        </row>
        <row r="9207">
          <cell r="A9207" t="str">
            <v>M.PT.0005344</v>
          </cell>
        </row>
        <row r="9208">
          <cell r="A9208" t="str">
            <v>M.PT.0005345</v>
          </cell>
        </row>
        <row r="9209">
          <cell r="A9209" t="str">
            <v>M.PT.0005346</v>
          </cell>
        </row>
        <row r="9210">
          <cell r="A9210" t="str">
            <v>M.PT.0005347</v>
          </cell>
        </row>
        <row r="9211">
          <cell r="A9211" t="str">
            <v>M.PT.0005348</v>
          </cell>
        </row>
        <row r="9212">
          <cell r="A9212" t="str">
            <v>M.PT.0005349</v>
          </cell>
        </row>
        <row r="9213">
          <cell r="A9213" t="str">
            <v>M.PT.0005350</v>
          </cell>
        </row>
        <row r="9214">
          <cell r="A9214" t="str">
            <v>M.PT.0005351</v>
          </cell>
        </row>
        <row r="9215">
          <cell r="A9215" t="str">
            <v>M.PT.0005352</v>
          </cell>
        </row>
        <row r="9216">
          <cell r="A9216" t="str">
            <v>M.PT.0005353</v>
          </cell>
        </row>
        <row r="9217">
          <cell r="A9217" t="str">
            <v>M.PT.0005354</v>
          </cell>
        </row>
        <row r="9218">
          <cell r="A9218" t="str">
            <v>M.PT.0005355</v>
          </cell>
        </row>
        <row r="9219">
          <cell r="A9219" t="str">
            <v>M.PT.0005356</v>
          </cell>
        </row>
        <row r="9220">
          <cell r="A9220" t="str">
            <v>M.PT.0005357</v>
          </cell>
        </row>
        <row r="9221">
          <cell r="A9221" t="str">
            <v>M.PT.0005358</v>
          </cell>
        </row>
        <row r="9222">
          <cell r="A9222" t="str">
            <v>M.PT.0005359</v>
          </cell>
        </row>
        <row r="9223">
          <cell r="A9223" t="str">
            <v>M.PT.0005360</v>
          </cell>
        </row>
        <row r="9224">
          <cell r="A9224" t="str">
            <v>M.PT.0005361</v>
          </cell>
        </row>
        <row r="9225">
          <cell r="A9225" t="str">
            <v>M.PT.0005362</v>
          </cell>
        </row>
        <row r="9226">
          <cell r="A9226" t="str">
            <v>M.PT.0005363</v>
          </cell>
        </row>
        <row r="9227">
          <cell r="A9227" t="str">
            <v>M.PT.0005364</v>
          </cell>
        </row>
        <row r="9228">
          <cell r="A9228" t="str">
            <v>M.PT.0005365</v>
          </cell>
        </row>
        <row r="9229">
          <cell r="A9229" t="str">
            <v>M.PT.0005366</v>
          </cell>
        </row>
        <row r="9230">
          <cell r="A9230" t="str">
            <v>M.PT.0005367</v>
          </cell>
        </row>
        <row r="9231">
          <cell r="A9231" t="str">
            <v>M.PT.0005368</v>
          </cell>
        </row>
        <row r="9232">
          <cell r="A9232" t="str">
            <v>M.PT.0005369</v>
          </cell>
        </row>
        <row r="9233">
          <cell r="A9233" t="str">
            <v>M.PT.0005370</v>
          </cell>
        </row>
        <row r="9234">
          <cell r="A9234" t="str">
            <v>M.PT.0005371</v>
          </cell>
        </row>
        <row r="9235">
          <cell r="A9235" t="str">
            <v>M.PT.0005372</v>
          </cell>
        </row>
        <row r="9236">
          <cell r="A9236" t="str">
            <v>M.PT.0005373</v>
          </cell>
        </row>
        <row r="9237">
          <cell r="A9237" t="str">
            <v>M.PT.0005374</v>
          </cell>
        </row>
        <row r="9238">
          <cell r="A9238" t="str">
            <v>M.PT.0005375</v>
          </cell>
        </row>
        <row r="9239">
          <cell r="A9239" t="str">
            <v>M.PT.0005376</v>
          </cell>
        </row>
        <row r="9240">
          <cell r="A9240" t="str">
            <v>M.PT.0005377</v>
          </cell>
        </row>
        <row r="9241">
          <cell r="A9241" t="str">
            <v>M.PT.0005378</v>
          </cell>
        </row>
        <row r="9242">
          <cell r="A9242" t="str">
            <v>M.PT.0005379</v>
          </cell>
        </row>
        <row r="9243">
          <cell r="A9243" t="str">
            <v>M.PT.0005380</v>
          </cell>
        </row>
        <row r="9244">
          <cell r="A9244" t="str">
            <v>M.PT.0005381</v>
          </cell>
        </row>
        <row r="9245">
          <cell r="A9245" t="str">
            <v>M.PT.0005382</v>
          </cell>
        </row>
        <row r="9246">
          <cell r="A9246" t="str">
            <v>M.PT.0005383</v>
          </cell>
        </row>
        <row r="9247">
          <cell r="A9247" t="str">
            <v>M.PT.0005384</v>
          </cell>
        </row>
        <row r="9248">
          <cell r="A9248" t="str">
            <v>M.PT.0005385</v>
          </cell>
        </row>
        <row r="9249">
          <cell r="A9249" t="str">
            <v>M.PT.0005386</v>
          </cell>
        </row>
        <row r="9250">
          <cell r="A9250" t="str">
            <v>M.PT.0005387</v>
          </cell>
        </row>
        <row r="9251">
          <cell r="A9251" t="str">
            <v>M.PT.0005388</v>
          </cell>
        </row>
        <row r="9252">
          <cell r="A9252" t="str">
            <v>M.PT.0005389</v>
          </cell>
        </row>
        <row r="9253">
          <cell r="A9253" t="str">
            <v>M.PT.0005390</v>
          </cell>
        </row>
        <row r="9254">
          <cell r="A9254" t="str">
            <v>M.PT.0005391</v>
          </cell>
        </row>
        <row r="9255">
          <cell r="A9255" t="str">
            <v>M.PT.0005392</v>
          </cell>
        </row>
        <row r="9256">
          <cell r="A9256" t="str">
            <v>M.PT.0005393</v>
          </cell>
        </row>
        <row r="9257">
          <cell r="A9257" t="str">
            <v>M.PT.0005394</v>
          </cell>
        </row>
        <row r="9258">
          <cell r="A9258" t="str">
            <v>M.PT.0005395</v>
          </cell>
        </row>
        <row r="9259">
          <cell r="A9259" t="str">
            <v>M.PT.0005396</v>
          </cell>
        </row>
        <row r="9260">
          <cell r="A9260" t="str">
            <v>M.PT.0005397</v>
          </cell>
        </row>
        <row r="9261">
          <cell r="A9261" t="str">
            <v>M.PT.0005398</v>
          </cell>
        </row>
        <row r="9262">
          <cell r="A9262" t="str">
            <v>M.PT.0005399</v>
          </cell>
        </row>
        <row r="9263">
          <cell r="A9263" t="str">
            <v>M.PT.0005400</v>
          </cell>
        </row>
        <row r="9264">
          <cell r="A9264" t="str">
            <v>M.PT.0005401</v>
          </cell>
        </row>
        <row r="9265">
          <cell r="A9265" t="str">
            <v>M.PT.0005402</v>
          </cell>
        </row>
        <row r="9266">
          <cell r="A9266" t="str">
            <v>M.PT.0005403</v>
          </cell>
        </row>
        <row r="9267">
          <cell r="A9267" t="str">
            <v>M.PT.0005404</v>
          </cell>
        </row>
        <row r="9268">
          <cell r="A9268" t="str">
            <v>M.PT.0005405</v>
          </cell>
        </row>
        <row r="9269">
          <cell r="A9269" t="str">
            <v>M.PT.0005406</v>
          </cell>
        </row>
        <row r="9270">
          <cell r="A9270" t="str">
            <v>M.PT.0005407</v>
          </cell>
        </row>
        <row r="9271">
          <cell r="A9271" t="str">
            <v>M.PT.0005408</v>
          </cell>
        </row>
        <row r="9272">
          <cell r="A9272" t="str">
            <v>M.PT.0005409</v>
          </cell>
        </row>
        <row r="9273">
          <cell r="A9273" t="str">
            <v>M.PT.0005410</v>
          </cell>
        </row>
        <row r="9274">
          <cell r="A9274" t="str">
            <v>M.PT.0005411</v>
          </cell>
        </row>
        <row r="9275">
          <cell r="A9275" t="str">
            <v>M.PT.0005412</v>
          </cell>
        </row>
        <row r="9276">
          <cell r="A9276" t="str">
            <v>M.PT.0005413</v>
          </cell>
        </row>
        <row r="9277">
          <cell r="A9277" t="str">
            <v>M.PT.0005414</v>
          </cell>
        </row>
        <row r="9278">
          <cell r="A9278" t="str">
            <v>M.PT.0005415</v>
          </cell>
        </row>
        <row r="9279">
          <cell r="A9279" t="str">
            <v>M.PT.0005416</v>
          </cell>
        </row>
        <row r="9280">
          <cell r="A9280" t="str">
            <v>M.PT.0005417</v>
          </cell>
        </row>
        <row r="9281">
          <cell r="A9281" t="str">
            <v>M.PT.0005418</v>
          </cell>
        </row>
        <row r="9282">
          <cell r="A9282" t="str">
            <v>M.PT.0005419</v>
          </cell>
        </row>
        <row r="9283">
          <cell r="A9283" t="str">
            <v>M.PT.0005420</v>
          </cell>
        </row>
        <row r="9284">
          <cell r="A9284" t="str">
            <v>M.PT.0005421</v>
          </cell>
        </row>
        <row r="9285">
          <cell r="A9285" t="str">
            <v>M.PT.0005422</v>
          </cell>
        </row>
        <row r="9286">
          <cell r="A9286" t="str">
            <v>M.PT.0005423</v>
          </cell>
        </row>
        <row r="9287">
          <cell r="A9287" t="str">
            <v>M.PT.0005424</v>
          </cell>
        </row>
        <row r="9288">
          <cell r="A9288" t="str">
            <v>M.PT.0005425</v>
          </cell>
        </row>
        <row r="9289">
          <cell r="A9289" t="str">
            <v>M.PT.0005426</v>
          </cell>
        </row>
        <row r="9290">
          <cell r="A9290" t="str">
            <v>M.PT.0005427</v>
          </cell>
        </row>
        <row r="9291">
          <cell r="A9291" t="str">
            <v>M.PT.0005428</v>
          </cell>
        </row>
        <row r="9292">
          <cell r="A9292" t="str">
            <v>M.PT.0005429</v>
          </cell>
        </row>
        <row r="9293">
          <cell r="A9293" t="str">
            <v>M.PT.0005430</v>
          </cell>
        </row>
        <row r="9294">
          <cell r="A9294" t="str">
            <v>M.PT.0005431</v>
          </cell>
        </row>
        <row r="9295">
          <cell r="A9295" t="str">
            <v>M.PT.0005432</v>
          </cell>
        </row>
        <row r="9296">
          <cell r="A9296" t="str">
            <v>M.PT.0005433</v>
          </cell>
        </row>
        <row r="9297">
          <cell r="A9297" t="str">
            <v>M.PT.0005434</v>
          </cell>
        </row>
        <row r="9298">
          <cell r="A9298" t="str">
            <v>M.PT.0005435</v>
          </cell>
        </row>
        <row r="9299">
          <cell r="A9299" t="str">
            <v>M.PT.0005436</v>
          </cell>
        </row>
        <row r="9300">
          <cell r="A9300" t="str">
            <v>M.PT.0005437</v>
          </cell>
        </row>
        <row r="9301">
          <cell r="A9301" t="str">
            <v>M.PT.0005438</v>
          </cell>
        </row>
        <row r="9302">
          <cell r="A9302" t="str">
            <v>M.PT.0005439</v>
          </cell>
        </row>
        <row r="9303">
          <cell r="A9303" t="str">
            <v>M.PT.0005440</v>
          </cell>
        </row>
        <row r="9304">
          <cell r="A9304" t="str">
            <v>M.PT.0005441</v>
          </cell>
        </row>
        <row r="9305">
          <cell r="A9305" t="str">
            <v>M.PT.0005442</v>
          </cell>
        </row>
        <row r="9306">
          <cell r="A9306" t="str">
            <v>M.PT.0005443</v>
          </cell>
        </row>
        <row r="9307">
          <cell r="A9307" t="str">
            <v>M.PT.0005444</v>
          </cell>
        </row>
        <row r="9308">
          <cell r="A9308" t="str">
            <v>M.PT.0005445</v>
          </cell>
        </row>
        <row r="9309">
          <cell r="A9309" t="str">
            <v>M.PT.0005446</v>
          </cell>
        </row>
        <row r="9310">
          <cell r="A9310" t="str">
            <v>M.PT.0005447</v>
          </cell>
        </row>
        <row r="9311">
          <cell r="A9311" t="str">
            <v>M.PT.0005448</v>
          </cell>
        </row>
        <row r="9312">
          <cell r="A9312" t="str">
            <v>M.PT.0005449</v>
          </cell>
        </row>
        <row r="9313">
          <cell r="A9313" t="str">
            <v>M.PT.0005450</v>
          </cell>
        </row>
        <row r="9314">
          <cell r="A9314" t="str">
            <v>M.PT.0005451</v>
          </cell>
        </row>
        <row r="9315">
          <cell r="A9315" t="str">
            <v>M.PT.0005452</v>
          </cell>
        </row>
        <row r="9316">
          <cell r="A9316" t="str">
            <v>M.PT.0005453</v>
          </cell>
        </row>
        <row r="9317">
          <cell r="A9317" t="str">
            <v>M.PT.0005454</v>
          </cell>
        </row>
        <row r="9318">
          <cell r="A9318" t="str">
            <v>M.PT.0005455</v>
          </cell>
        </row>
        <row r="9319">
          <cell r="A9319" t="str">
            <v>M.PT.0005456</v>
          </cell>
        </row>
        <row r="9320">
          <cell r="A9320" t="str">
            <v>M.PT.0005457</v>
          </cell>
        </row>
        <row r="9321">
          <cell r="A9321" t="str">
            <v>M.PT.0005458</v>
          </cell>
        </row>
        <row r="9322">
          <cell r="A9322" t="str">
            <v>M.PT.0005459</v>
          </cell>
        </row>
        <row r="9323">
          <cell r="A9323" t="str">
            <v>M.PT.0005460</v>
          </cell>
        </row>
        <row r="9324">
          <cell r="A9324" t="str">
            <v>M.PT.0005461</v>
          </cell>
        </row>
        <row r="9325">
          <cell r="A9325" t="str">
            <v>M.PT.0005462</v>
          </cell>
        </row>
        <row r="9326">
          <cell r="A9326" t="str">
            <v>M.PT.0005463</v>
          </cell>
        </row>
        <row r="9327">
          <cell r="A9327" t="str">
            <v>M.PT.0005464</v>
          </cell>
        </row>
        <row r="9328">
          <cell r="A9328" t="str">
            <v>M.PT.0005465</v>
          </cell>
        </row>
        <row r="9329">
          <cell r="A9329" t="str">
            <v>M.PT.0005466</v>
          </cell>
        </row>
        <row r="9330">
          <cell r="A9330" t="str">
            <v>M.PT.0005467</v>
          </cell>
        </row>
        <row r="9331">
          <cell r="A9331" t="str">
            <v>M.PT.0005468</v>
          </cell>
        </row>
        <row r="9332">
          <cell r="A9332" t="str">
            <v>M.PT.0005469</v>
          </cell>
        </row>
        <row r="9333">
          <cell r="A9333" t="str">
            <v>M.PT.0005470</v>
          </cell>
        </row>
        <row r="9334">
          <cell r="A9334" t="str">
            <v>M.PT.0005471</v>
          </cell>
        </row>
        <row r="9335">
          <cell r="A9335" t="str">
            <v>M.PT.0005472</v>
          </cell>
        </row>
        <row r="9336">
          <cell r="A9336" t="str">
            <v>M.PT.0005473</v>
          </cell>
        </row>
        <row r="9337">
          <cell r="A9337" t="str">
            <v>M.PT.0005474</v>
          </cell>
        </row>
        <row r="9338">
          <cell r="A9338" t="str">
            <v>M.PT.0005475</v>
          </cell>
        </row>
        <row r="9339">
          <cell r="A9339" t="str">
            <v>M.PT.0005476</v>
          </cell>
        </row>
        <row r="9340">
          <cell r="A9340" t="str">
            <v>M.PT.0005477</v>
          </cell>
        </row>
        <row r="9341">
          <cell r="A9341" t="str">
            <v>M.PT.0005478</v>
          </cell>
        </row>
        <row r="9342">
          <cell r="A9342" t="str">
            <v>M.PT.0005479</v>
          </cell>
        </row>
        <row r="9343">
          <cell r="A9343" t="str">
            <v>M.PT.0005480</v>
          </cell>
        </row>
        <row r="9344">
          <cell r="A9344" t="str">
            <v>M.PT.0005481</v>
          </cell>
        </row>
        <row r="9345">
          <cell r="A9345" t="str">
            <v>M.PT.0005482</v>
          </cell>
        </row>
        <row r="9346">
          <cell r="A9346" t="str">
            <v>M.PT.0005483</v>
          </cell>
        </row>
        <row r="9347">
          <cell r="A9347" t="str">
            <v>M.PT.0005484</v>
          </cell>
        </row>
        <row r="9348">
          <cell r="A9348" t="str">
            <v>M.PT.0005485</v>
          </cell>
        </row>
        <row r="9349">
          <cell r="A9349" t="str">
            <v>M.PT.0005486</v>
          </cell>
        </row>
        <row r="9350">
          <cell r="A9350" t="str">
            <v>M.PT.0005487</v>
          </cell>
        </row>
        <row r="9351">
          <cell r="A9351" t="str">
            <v>M.PT.0005488</v>
          </cell>
        </row>
        <row r="9352">
          <cell r="A9352" t="str">
            <v>M.PT.0005489</v>
          </cell>
        </row>
        <row r="9353">
          <cell r="A9353" t="str">
            <v>M.PT.0005490</v>
          </cell>
        </row>
        <row r="9354">
          <cell r="A9354" t="str">
            <v>M.PT.0005491</v>
          </cell>
        </row>
        <row r="9355">
          <cell r="A9355" t="str">
            <v>M.PT.0005492</v>
          </cell>
        </row>
        <row r="9356">
          <cell r="A9356" t="str">
            <v>M.PT.0005493</v>
          </cell>
        </row>
        <row r="9357">
          <cell r="A9357" t="str">
            <v>M.PT.0005494</v>
          </cell>
        </row>
        <row r="9358">
          <cell r="A9358" t="str">
            <v>M.PT.0005495</v>
          </cell>
        </row>
        <row r="9359">
          <cell r="A9359" t="str">
            <v>M.PT.0005496</v>
          </cell>
        </row>
        <row r="9360">
          <cell r="A9360" t="str">
            <v>M.PT.0005497</v>
          </cell>
        </row>
        <row r="9361">
          <cell r="A9361" t="str">
            <v>M.PT.0005498</v>
          </cell>
        </row>
        <row r="9362">
          <cell r="A9362" t="str">
            <v>M.PT.0005499</v>
          </cell>
        </row>
        <row r="9363">
          <cell r="A9363" t="str">
            <v>M.PT.0005500</v>
          </cell>
        </row>
        <row r="9364">
          <cell r="A9364" t="str">
            <v>M.PT.0005501</v>
          </cell>
        </row>
        <row r="9365">
          <cell r="A9365" t="str">
            <v>M.PT.0005502</v>
          </cell>
        </row>
        <row r="9366">
          <cell r="A9366" t="str">
            <v>M.PT.0005503</v>
          </cell>
        </row>
        <row r="9367">
          <cell r="A9367" t="str">
            <v>M.PT.0005504</v>
          </cell>
        </row>
        <row r="9368">
          <cell r="A9368" t="str">
            <v>M.PT.0005505</v>
          </cell>
        </row>
        <row r="9369">
          <cell r="A9369" t="str">
            <v>M.PT.0005506</v>
          </cell>
        </row>
        <row r="9370">
          <cell r="A9370" t="str">
            <v>M.PT.0005507</v>
          </cell>
        </row>
        <row r="9371">
          <cell r="A9371" t="str">
            <v>M.PT.0005508</v>
          </cell>
        </row>
        <row r="9372">
          <cell r="A9372" t="str">
            <v>M.PT.0005510</v>
          </cell>
        </row>
        <row r="9373">
          <cell r="A9373" t="str">
            <v>M.PT.0005511</v>
          </cell>
        </row>
        <row r="9374">
          <cell r="A9374" t="str">
            <v>M.PT.0005512</v>
          </cell>
        </row>
        <row r="9375">
          <cell r="A9375" t="str">
            <v>M.PT.0005513</v>
          </cell>
        </row>
        <row r="9376">
          <cell r="A9376" t="str">
            <v>M.PT.0005514</v>
          </cell>
        </row>
        <row r="9377">
          <cell r="A9377" t="str">
            <v>M.PT.0005515</v>
          </cell>
        </row>
        <row r="9378">
          <cell r="A9378" t="str">
            <v>M.PT.0005516</v>
          </cell>
        </row>
        <row r="9379">
          <cell r="A9379" t="str">
            <v>M.PT.0005517</v>
          </cell>
        </row>
        <row r="9380">
          <cell r="A9380" t="str">
            <v>M.PT.0005518</v>
          </cell>
        </row>
        <row r="9381">
          <cell r="A9381" t="str">
            <v>M.PT.0005519</v>
          </cell>
        </row>
        <row r="9382">
          <cell r="A9382" t="str">
            <v>M.PT.0005520</v>
          </cell>
        </row>
        <row r="9383">
          <cell r="A9383" t="str">
            <v>M.PT.0005521</v>
          </cell>
        </row>
        <row r="9384">
          <cell r="A9384" t="str">
            <v>M.PT.0005522</v>
          </cell>
        </row>
        <row r="9385">
          <cell r="A9385" t="str">
            <v>M.PT.0005523</v>
          </cell>
        </row>
        <row r="9386">
          <cell r="A9386" t="str">
            <v>M.PT.0005524</v>
          </cell>
        </row>
        <row r="9387">
          <cell r="A9387" t="str">
            <v>M.PT.0005525</v>
          </cell>
        </row>
        <row r="9388">
          <cell r="A9388" t="str">
            <v>M.PT.0005526</v>
          </cell>
        </row>
        <row r="9389">
          <cell r="A9389" t="str">
            <v>M.PT.0005527</v>
          </cell>
        </row>
        <row r="9390">
          <cell r="A9390" t="str">
            <v>M.PT.0005528</v>
          </cell>
        </row>
        <row r="9391">
          <cell r="A9391" t="str">
            <v>M.PT.0005529</v>
          </cell>
        </row>
        <row r="9392">
          <cell r="A9392" t="str">
            <v>M.PT.0005530</v>
          </cell>
        </row>
        <row r="9393">
          <cell r="A9393" t="str">
            <v>M.PT.0005531</v>
          </cell>
        </row>
        <row r="9394">
          <cell r="A9394" t="str">
            <v>M.PT.0005532</v>
          </cell>
        </row>
        <row r="9395">
          <cell r="A9395" t="str">
            <v>M.PT.0005533</v>
          </cell>
        </row>
        <row r="9396">
          <cell r="A9396" t="str">
            <v>M.PT.0005534</v>
          </cell>
        </row>
        <row r="9397">
          <cell r="A9397" t="str">
            <v>M.PT.0005535</v>
          </cell>
        </row>
        <row r="9398">
          <cell r="A9398" t="str">
            <v>M.PT.0005536</v>
          </cell>
        </row>
        <row r="9399">
          <cell r="A9399" t="str">
            <v>M.PT.0005537</v>
          </cell>
        </row>
        <row r="9400">
          <cell r="A9400" t="str">
            <v>M.PT.0005538</v>
          </cell>
        </row>
        <row r="9401">
          <cell r="A9401" t="str">
            <v>M.PT.0005539</v>
          </cell>
        </row>
        <row r="9402">
          <cell r="A9402" t="str">
            <v>M.PT.0005540</v>
          </cell>
        </row>
        <row r="9403">
          <cell r="A9403" t="str">
            <v>M.PT.0005541</v>
          </cell>
        </row>
        <row r="9404">
          <cell r="A9404" t="str">
            <v>M.PT.0005542</v>
          </cell>
        </row>
        <row r="9405">
          <cell r="A9405" t="str">
            <v>M.PT.0005543</v>
          </cell>
        </row>
        <row r="9406">
          <cell r="A9406" t="str">
            <v>M.PT.0005544</v>
          </cell>
        </row>
        <row r="9407">
          <cell r="A9407" t="str">
            <v>M.PT.0005545</v>
          </cell>
        </row>
        <row r="9408">
          <cell r="A9408" t="str">
            <v>M.PT.0005546</v>
          </cell>
        </row>
        <row r="9409">
          <cell r="A9409" t="str">
            <v>M.PT.0005547</v>
          </cell>
        </row>
        <row r="9410">
          <cell r="A9410" t="str">
            <v>M.PT.0005548</v>
          </cell>
        </row>
        <row r="9411">
          <cell r="A9411" t="str">
            <v>M.PT.0005549</v>
          </cell>
        </row>
        <row r="9412">
          <cell r="A9412" t="str">
            <v>M.PT.0005550</v>
          </cell>
        </row>
        <row r="9413">
          <cell r="A9413" t="str">
            <v>M.PT.0005551</v>
          </cell>
        </row>
        <row r="9414">
          <cell r="A9414" t="str">
            <v>M.PT.0005552</v>
          </cell>
        </row>
        <row r="9415">
          <cell r="A9415" t="str">
            <v>M.PT.0005553</v>
          </cell>
        </row>
        <row r="9416">
          <cell r="A9416" t="str">
            <v>M.PT.0005554</v>
          </cell>
        </row>
        <row r="9417">
          <cell r="A9417" t="str">
            <v>M.PT.0005555</v>
          </cell>
        </row>
        <row r="9418">
          <cell r="A9418" t="str">
            <v>M.PT.0005556</v>
          </cell>
        </row>
        <row r="9419">
          <cell r="A9419" t="str">
            <v>M.PT.0005557</v>
          </cell>
        </row>
        <row r="9420">
          <cell r="A9420" t="str">
            <v>M.PT.0005558</v>
          </cell>
        </row>
        <row r="9421">
          <cell r="A9421" t="str">
            <v>M.PT.0005559</v>
          </cell>
        </row>
        <row r="9422">
          <cell r="A9422" t="str">
            <v>M.PT.0005560</v>
          </cell>
        </row>
        <row r="9423">
          <cell r="A9423" t="str">
            <v>M.PT.0005561</v>
          </cell>
        </row>
        <row r="9424">
          <cell r="A9424" t="str">
            <v>M.PT.0005562</v>
          </cell>
        </row>
        <row r="9425">
          <cell r="A9425" t="str">
            <v>M.PT.0005563</v>
          </cell>
        </row>
        <row r="9426">
          <cell r="A9426" t="str">
            <v>M.PT.0005564</v>
          </cell>
        </row>
        <row r="9427">
          <cell r="A9427" t="str">
            <v>M.PT.0005565</v>
          </cell>
        </row>
        <row r="9428">
          <cell r="A9428" t="str">
            <v>M.PT.0005566</v>
          </cell>
        </row>
        <row r="9429">
          <cell r="A9429" t="str">
            <v>M.PT.0005567</v>
          </cell>
        </row>
        <row r="9430">
          <cell r="A9430" t="str">
            <v>M.PT.0005568</v>
          </cell>
        </row>
        <row r="9431">
          <cell r="A9431" t="str">
            <v>M.PT.0005569</v>
          </cell>
        </row>
        <row r="9432">
          <cell r="A9432" t="str">
            <v>M.PT.0005570</v>
          </cell>
        </row>
        <row r="9433">
          <cell r="A9433" t="str">
            <v>M.PT.0005571</v>
          </cell>
        </row>
        <row r="9434">
          <cell r="A9434" t="str">
            <v>M.PT.0005572</v>
          </cell>
        </row>
        <row r="9435">
          <cell r="A9435" t="str">
            <v>M.PT.0005573</v>
          </cell>
        </row>
        <row r="9436">
          <cell r="A9436" t="str">
            <v>M.PT.0005574</v>
          </cell>
        </row>
        <row r="9437">
          <cell r="A9437" t="str">
            <v>M.PT.0005575</v>
          </cell>
        </row>
        <row r="9438">
          <cell r="A9438" t="str">
            <v>M.PT.0005576</v>
          </cell>
        </row>
        <row r="9439">
          <cell r="A9439" t="str">
            <v>M.PT.0005577</v>
          </cell>
        </row>
        <row r="9440">
          <cell r="A9440" t="str">
            <v>M.PT.0005578</v>
          </cell>
        </row>
        <row r="9441">
          <cell r="A9441" t="str">
            <v>M.PT.0005579</v>
          </cell>
        </row>
        <row r="9442">
          <cell r="A9442" t="str">
            <v>M.PT.0005580</v>
          </cell>
        </row>
        <row r="9443">
          <cell r="A9443" t="str">
            <v>M.PT.0005581</v>
          </cell>
        </row>
        <row r="9444">
          <cell r="A9444" t="str">
            <v>M.PT.0005582</v>
          </cell>
        </row>
        <row r="9445">
          <cell r="A9445" t="str">
            <v>M.PT.0005583</v>
          </cell>
        </row>
        <row r="9446">
          <cell r="A9446" t="str">
            <v>M.PT.0005584</v>
          </cell>
        </row>
        <row r="9447">
          <cell r="A9447" t="str">
            <v>M.PT.0005585</v>
          </cell>
        </row>
        <row r="9448">
          <cell r="A9448" t="str">
            <v>M.PT.0005586</v>
          </cell>
        </row>
        <row r="9449">
          <cell r="A9449" t="str">
            <v>M.PT.0005587</v>
          </cell>
        </row>
        <row r="9450">
          <cell r="A9450" t="str">
            <v>M.PT.0005588</v>
          </cell>
        </row>
        <row r="9451">
          <cell r="A9451" t="str">
            <v>M.PT.0005589</v>
          </cell>
        </row>
        <row r="9452">
          <cell r="A9452" t="str">
            <v>M.PT.0005590</v>
          </cell>
        </row>
        <row r="9453">
          <cell r="A9453" t="str">
            <v>M.PT.0005591</v>
          </cell>
        </row>
        <row r="9454">
          <cell r="A9454" t="str">
            <v>M.PT.0005592</v>
          </cell>
        </row>
        <row r="9455">
          <cell r="A9455" t="str">
            <v>M.PT.0005593</v>
          </cell>
        </row>
        <row r="9456">
          <cell r="A9456" t="str">
            <v>M.PT.0005594</v>
          </cell>
        </row>
        <row r="9457">
          <cell r="A9457" t="str">
            <v>M.PT.0005595</v>
          </cell>
        </row>
        <row r="9458">
          <cell r="A9458" t="str">
            <v>M.PT.0005596</v>
          </cell>
        </row>
        <row r="9459">
          <cell r="A9459" t="str">
            <v>M.PT.0005597</v>
          </cell>
        </row>
        <row r="9460">
          <cell r="A9460" t="str">
            <v>M.PT.0005598</v>
          </cell>
        </row>
        <row r="9461">
          <cell r="A9461" t="str">
            <v>M.PT.0005599</v>
          </cell>
        </row>
        <row r="9462">
          <cell r="A9462" t="str">
            <v>M.PT.0005600</v>
          </cell>
        </row>
        <row r="9463">
          <cell r="A9463" t="str">
            <v>M.PT.0005601</v>
          </cell>
        </row>
        <row r="9464">
          <cell r="A9464" t="str">
            <v>M.PT.0005602</v>
          </cell>
        </row>
        <row r="9465">
          <cell r="A9465" t="str">
            <v>M.PT.0005603</v>
          </cell>
        </row>
        <row r="9466">
          <cell r="A9466" t="str">
            <v>M.PT.0005604</v>
          </cell>
        </row>
        <row r="9467">
          <cell r="A9467" t="str">
            <v>M.PT.0005605</v>
          </cell>
        </row>
        <row r="9468">
          <cell r="A9468" t="str">
            <v>M.PT.0005606</v>
          </cell>
        </row>
        <row r="9469">
          <cell r="A9469" t="str">
            <v>M.PT.0005607</v>
          </cell>
        </row>
        <row r="9470">
          <cell r="A9470" t="str">
            <v>M.PT.0005608</v>
          </cell>
        </row>
        <row r="9471">
          <cell r="A9471" t="str">
            <v>M.PT.0005609</v>
          </cell>
        </row>
        <row r="9472">
          <cell r="A9472" t="str">
            <v>M.PT.0005610</v>
          </cell>
        </row>
        <row r="9473">
          <cell r="A9473" t="str">
            <v>M.PT.0005611</v>
          </cell>
        </row>
        <row r="9474">
          <cell r="A9474" t="str">
            <v>M.PT.0005612</v>
          </cell>
        </row>
        <row r="9475">
          <cell r="A9475" t="str">
            <v>M.PT.0005613</v>
          </cell>
        </row>
        <row r="9476">
          <cell r="A9476" t="str">
            <v>M.PT.0005614</v>
          </cell>
        </row>
        <row r="9477">
          <cell r="A9477" t="str">
            <v>M.PT.0005615</v>
          </cell>
        </row>
        <row r="9478">
          <cell r="A9478" t="str">
            <v>M.PT.0005616</v>
          </cell>
        </row>
        <row r="9479">
          <cell r="A9479" t="str">
            <v>M.PT.0005617</v>
          </cell>
        </row>
        <row r="9480">
          <cell r="A9480" t="str">
            <v>M.PT.0005618</v>
          </cell>
        </row>
        <row r="9481">
          <cell r="A9481" t="str">
            <v>M.PT.0005619</v>
          </cell>
        </row>
        <row r="9482">
          <cell r="A9482" t="str">
            <v>M.PT.0005620</v>
          </cell>
        </row>
        <row r="9483">
          <cell r="A9483" t="str">
            <v>M.PT.0005621</v>
          </cell>
        </row>
        <row r="9484">
          <cell r="A9484" t="str">
            <v>M.PT.0005622</v>
          </cell>
        </row>
        <row r="9485">
          <cell r="A9485" t="str">
            <v>M.PT.0005623</v>
          </cell>
        </row>
        <row r="9486">
          <cell r="A9486" t="str">
            <v>M.PT.0005624</v>
          </cell>
        </row>
        <row r="9487">
          <cell r="A9487" t="str">
            <v>M.PT.0005625</v>
          </cell>
        </row>
        <row r="9488">
          <cell r="A9488" t="str">
            <v>M.PT.0005626</v>
          </cell>
        </row>
        <row r="9489">
          <cell r="A9489" t="str">
            <v>M.PT.0005627</v>
          </cell>
        </row>
        <row r="9490">
          <cell r="A9490" t="str">
            <v>M.PT.0005628</v>
          </cell>
        </row>
        <row r="9491">
          <cell r="A9491" t="str">
            <v>M.PT.0005629</v>
          </cell>
        </row>
        <row r="9492">
          <cell r="A9492" t="str">
            <v>M.PT.0005630</v>
          </cell>
        </row>
        <row r="9493">
          <cell r="A9493" t="str">
            <v>M.PT.0005631</v>
          </cell>
        </row>
        <row r="9494">
          <cell r="A9494" t="str">
            <v>M.PT.0005632</v>
          </cell>
        </row>
        <row r="9495">
          <cell r="A9495" t="str">
            <v>M.PT.0005633</v>
          </cell>
        </row>
        <row r="9496">
          <cell r="A9496" t="str">
            <v>M.PT.0005634</v>
          </cell>
        </row>
        <row r="9497">
          <cell r="A9497" t="str">
            <v>M.PT.0005635</v>
          </cell>
        </row>
        <row r="9498">
          <cell r="A9498" t="str">
            <v>M.PT.0005636</v>
          </cell>
        </row>
        <row r="9499">
          <cell r="A9499" t="str">
            <v>M.PT.0005637</v>
          </cell>
        </row>
        <row r="9500">
          <cell r="A9500" t="str">
            <v>M.PT.0005638</v>
          </cell>
        </row>
        <row r="9501">
          <cell r="A9501" t="str">
            <v>M.PT.0005639</v>
          </cell>
        </row>
        <row r="9502">
          <cell r="A9502" t="str">
            <v>M.PT.0005640</v>
          </cell>
        </row>
        <row r="9503">
          <cell r="A9503" t="str">
            <v>M.PT.0005641</v>
          </cell>
        </row>
        <row r="9504">
          <cell r="A9504" t="str">
            <v>M.PT.0005642</v>
          </cell>
        </row>
        <row r="9505">
          <cell r="A9505" t="str">
            <v>M.PT.0005643</v>
          </cell>
        </row>
        <row r="9506">
          <cell r="A9506" t="str">
            <v>M.PT.0005644</v>
          </cell>
        </row>
        <row r="9507">
          <cell r="A9507" t="str">
            <v>M.PT.0005645</v>
          </cell>
        </row>
        <row r="9508">
          <cell r="A9508" t="str">
            <v>M.PT.0005646</v>
          </cell>
        </row>
        <row r="9509">
          <cell r="A9509" t="str">
            <v>M.PT.0005647</v>
          </cell>
        </row>
        <row r="9510">
          <cell r="A9510" t="str">
            <v>M.PT.0005648</v>
          </cell>
        </row>
        <row r="9511">
          <cell r="A9511" t="str">
            <v>M.PT.0005649</v>
          </cell>
        </row>
        <row r="9512">
          <cell r="A9512" t="str">
            <v>M.PT.0005650</v>
          </cell>
        </row>
        <row r="9513">
          <cell r="A9513" t="str">
            <v>M.PT.0005651</v>
          </cell>
        </row>
        <row r="9514">
          <cell r="A9514" t="str">
            <v>M.PT.0005652</v>
          </cell>
        </row>
        <row r="9515">
          <cell r="A9515" t="str">
            <v>M.PT.0005653</v>
          </cell>
        </row>
        <row r="9516">
          <cell r="A9516" t="str">
            <v>M.PT.0005654</v>
          </cell>
        </row>
        <row r="9517">
          <cell r="A9517" t="str">
            <v>M.PT.0005655</v>
          </cell>
        </row>
        <row r="9518">
          <cell r="A9518" t="str">
            <v>M.PT.0005656</v>
          </cell>
        </row>
        <row r="9519">
          <cell r="A9519" t="str">
            <v>M.PT.0005657</v>
          </cell>
        </row>
        <row r="9520">
          <cell r="A9520" t="str">
            <v>M.PT.0005658</v>
          </cell>
        </row>
        <row r="9521">
          <cell r="A9521" t="str">
            <v>M.PT.0005659</v>
          </cell>
        </row>
        <row r="9522">
          <cell r="A9522" t="str">
            <v>M.PT.0005660</v>
          </cell>
        </row>
        <row r="9523">
          <cell r="A9523" t="str">
            <v>M.PT.0005661</v>
          </cell>
        </row>
        <row r="9524">
          <cell r="A9524" t="str">
            <v>M.PT.0005662</v>
          </cell>
        </row>
        <row r="9525">
          <cell r="A9525" t="str">
            <v>M.PT.0005663</v>
          </cell>
        </row>
        <row r="9526">
          <cell r="A9526" t="str">
            <v>M.PT.0005664</v>
          </cell>
        </row>
        <row r="9527">
          <cell r="A9527" t="str">
            <v>M.PT.0005665</v>
          </cell>
        </row>
        <row r="9528">
          <cell r="A9528" t="str">
            <v>M.PT.0005666</v>
          </cell>
        </row>
        <row r="9529">
          <cell r="A9529" t="str">
            <v>M.PT.0005667</v>
          </cell>
        </row>
        <row r="9530">
          <cell r="A9530" t="str">
            <v>M.PT.0005668</v>
          </cell>
        </row>
        <row r="9531">
          <cell r="A9531" t="str">
            <v>M.PT.0005669</v>
          </cell>
        </row>
        <row r="9532">
          <cell r="A9532" t="str">
            <v>M.PT.0005670</v>
          </cell>
        </row>
        <row r="9533">
          <cell r="A9533" t="str">
            <v>M.PT.0005671</v>
          </cell>
        </row>
        <row r="9534">
          <cell r="A9534" t="str">
            <v>M.PT.0005672</v>
          </cell>
        </row>
        <row r="9535">
          <cell r="A9535" t="str">
            <v>M.PT.0005673</v>
          </cell>
        </row>
        <row r="9536">
          <cell r="A9536" t="str">
            <v>M.PT.0005674</v>
          </cell>
        </row>
        <row r="9537">
          <cell r="A9537" t="str">
            <v>M.PT.0005675</v>
          </cell>
        </row>
        <row r="9538">
          <cell r="A9538" t="str">
            <v>M.PT.0005676</v>
          </cell>
        </row>
        <row r="9539">
          <cell r="A9539" t="str">
            <v>M.PT.0005677</v>
          </cell>
        </row>
        <row r="9540">
          <cell r="A9540" t="str">
            <v>M.PT.0005678</v>
          </cell>
        </row>
        <row r="9541">
          <cell r="A9541" t="str">
            <v>M.PT.0005679</v>
          </cell>
        </row>
        <row r="9542">
          <cell r="A9542" t="str">
            <v>M.PT.0005680</v>
          </cell>
        </row>
        <row r="9543">
          <cell r="A9543" t="str">
            <v>M.PT.0005681</v>
          </cell>
        </row>
        <row r="9544">
          <cell r="A9544" t="str">
            <v>M.PT.0005682</v>
          </cell>
        </row>
        <row r="9545">
          <cell r="A9545" t="str">
            <v>M.PT.0005683</v>
          </cell>
        </row>
        <row r="9546">
          <cell r="A9546" t="str">
            <v>M.PT.0005684</v>
          </cell>
        </row>
        <row r="9547">
          <cell r="A9547" t="str">
            <v>M.PT.0005685</v>
          </cell>
        </row>
        <row r="9548">
          <cell r="A9548" t="str">
            <v>M.PT.0005686</v>
          </cell>
        </row>
        <row r="9549">
          <cell r="A9549" t="str">
            <v>M.PT.0005687</v>
          </cell>
        </row>
        <row r="9550">
          <cell r="A9550" t="str">
            <v>M.PT.0005688</v>
          </cell>
        </row>
        <row r="9551">
          <cell r="A9551" t="str">
            <v>M.PT.0005689</v>
          </cell>
        </row>
        <row r="9552">
          <cell r="A9552" t="str">
            <v>M.PT.0005690</v>
          </cell>
        </row>
        <row r="9553">
          <cell r="A9553" t="str">
            <v>M.PT.0005691</v>
          </cell>
        </row>
        <row r="9554">
          <cell r="A9554" t="str">
            <v>M.PT.0005692</v>
          </cell>
        </row>
        <row r="9555">
          <cell r="A9555" t="str">
            <v>M.PT.0005693</v>
          </cell>
        </row>
        <row r="9556">
          <cell r="A9556" t="str">
            <v>M.PT.0005694</v>
          </cell>
        </row>
        <row r="9557">
          <cell r="A9557" t="str">
            <v>M.PT.0005695</v>
          </cell>
        </row>
        <row r="9558">
          <cell r="A9558" t="str">
            <v>M.PT.0005696</v>
          </cell>
        </row>
        <row r="9559">
          <cell r="A9559" t="str">
            <v>M.PT.0005697</v>
          </cell>
        </row>
        <row r="9560">
          <cell r="A9560" t="str">
            <v>M.PT.0005698</v>
          </cell>
        </row>
        <row r="9561">
          <cell r="A9561" t="str">
            <v>M.PT.0005699</v>
          </cell>
        </row>
        <row r="9562">
          <cell r="A9562" t="str">
            <v>M.PT.0005700</v>
          </cell>
        </row>
        <row r="9563">
          <cell r="A9563" t="str">
            <v>M.PT.0005701</v>
          </cell>
        </row>
        <row r="9564">
          <cell r="A9564" t="str">
            <v>M.PT.0005702</v>
          </cell>
        </row>
        <row r="9565">
          <cell r="A9565" t="str">
            <v>M.PT.0005703</v>
          </cell>
        </row>
        <row r="9566">
          <cell r="A9566" t="str">
            <v>M.PT.0005704</v>
          </cell>
        </row>
        <row r="9567">
          <cell r="A9567" t="str">
            <v>M.PT.0005705</v>
          </cell>
        </row>
        <row r="9568">
          <cell r="A9568" t="str">
            <v>M.PT.0005706</v>
          </cell>
        </row>
        <row r="9569">
          <cell r="A9569" t="str">
            <v>M.PT.0005707</v>
          </cell>
        </row>
        <row r="9570">
          <cell r="A9570" t="str">
            <v>M.PT.0005708</v>
          </cell>
        </row>
        <row r="9571">
          <cell r="A9571" t="str">
            <v>M.PT.0005709</v>
          </cell>
        </row>
        <row r="9572">
          <cell r="A9572" t="str">
            <v>M.PT.0005710</v>
          </cell>
        </row>
        <row r="9573">
          <cell r="A9573" t="str">
            <v>M.PT.0005711</v>
          </cell>
        </row>
        <row r="9574">
          <cell r="A9574" t="str">
            <v>M.PT.0005712</v>
          </cell>
        </row>
        <row r="9575">
          <cell r="A9575" t="str">
            <v>M.PT.0005713</v>
          </cell>
        </row>
        <row r="9576">
          <cell r="A9576" t="str">
            <v>M.PT.0005714</v>
          </cell>
        </row>
        <row r="9577">
          <cell r="A9577" t="str">
            <v>M.PT.0005715</v>
          </cell>
        </row>
        <row r="9578">
          <cell r="A9578" t="str">
            <v>M.PT.0005716</v>
          </cell>
        </row>
        <row r="9579">
          <cell r="A9579" t="str">
            <v>M.PT.0005717</v>
          </cell>
        </row>
        <row r="9580">
          <cell r="A9580" t="str">
            <v>M.PT.0005718</v>
          </cell>
        </row>
        <row r="9581">
          <cell r="A9581" t="str">
            <v>M.PT.0005719</v>
          </cell>
        </row>
        <row r="9582">
          <cell r="A9582" t="str">
            <v>M.PT.0005720</v>
          </cell>
        </row>
        <row r="9583">
          <cell r="A9583" t="str">
            <v>M.PT.0005721</v>
          </cell>
        </row>
        <row r="9584">
          <cell r="A9584" t="str">
            <v>M.PT.0005722</v>
          </cell>
        </row>
        <row r="9585">
          <cell r="A9585" t="str">
            <v>M.PT.0005723</v>
          </cell>
        </row>
        <row r="9586">
          <cell r="A9586" t="str">
            <v>M.PT.0005724</v>
          </cell>
        </row>
        <row r="9587">
          <cell r="A9587" t="str">
            <v>M.PT.0005725</v>
          </cell>
        </row>
        <row r="9588">
          <cell r="A9588" t="str">
            <v>M.PT.0005726</v>
          </cell>
        </row>
        <row r="9589">
          <cell r="A9589" t="str">
            <v>M.PT.0005727</v>
          </cell>
        </row>
        <row r="9590">
          <cell r="A9590" t="str">
            <v>M.PT.0005728</v>
          </cell>
        </row>
        <row r="9591">
          <cell r="A9591" t="str">
            <v>M.PT.0005729</v>
          </cell>
        </row>
        <row r="9592">
          <cell r="A9592" t="str">
            <v>M.PT.0005730</v>
          </cell>
        </row>
        <row r="9593">
          <cell r="A9593" t="str">
            <v>M.PT.0005731</v>
          </cell>
        </row>
        <row r="9594">
          <cell r="A9594" t="str">
            <v>M.PT.0005732</v>
          </cell>
        </row>
        <row r="9595">
          <cell r="A9595" t="str">
            <v>M.PT.0005733</v>
          </cell>
        </row>
        <row r="9596">
          <cell r="A9596" t="str">
            <v>M.PT.0005734</v>
          </cell>
        </row>
        <row r="9597">
          <cell r="A9597" t="str">
            <v>M.PT.0005735</v>
          </cell>
        </row>
        <row r="9598">
          <cell r="A9598" t="str">
            <v>M.PT.0005736</v>
          </cell>
        </row>
        <row r="9599">
          <cell r="A9599" t="str">
            <v>M.PT.0005737</v>
          </cell>
        </row>
        <row r="9600">
          <cell r="A9600" t="str">
            <v>M.PT.0005738</v>
          </cell>
        </row>
        <row r="9601">
          <cell r="A9601" t="str">
            <v>M.PT.0005739</v>
          </cell>
        </row>
        <row r="9602">
          <cell r="A9602" t="str">
            <v>M.PT.0005740</v>
          </cell>
        </row>
        <row r="9603">
          <cell r="A9603" t="str">
            <v>M.PT.0005741</v>
          </cell>
        </row>
        <row r="9604">
          <cell r="A9604" t="str">
            <v>M.PT.0005742</v>
          </cell>
        </row>
        <row r="9605">
          <cell r="A9605" t="str">
            <v>M.PT.0005743</v>
          </cell>
        </row>
        <row r="9606">
          <cell r="A9606" t="str">
            <v>M.PT.0005744</v>
          </cell>
        </row>
        <row r="9607">
          <cell r="A9607" t="str">
            <v>M.PT.0005745</v>
          </cell>
        </row>
        <row r="9608">
          <cell r="A9608" t="str">
            <v>M.PT.0005746</v>
          </cell>
        </row>
        <row r="9609">
          <cell r="A9609" t="str">
            <v>M.PT.0005747</v>
          </cell>
        </row>
        <row r="9610">
          <cell r="A9610" t="str">
            <v>M.PT.0005748</v>
          </cell>
        </row>
        <row r="9611">
          <cell r="A9611" t="str">
            <v>M.PT.0005749</v>
          </cell>
        </row>
        <row r="9612">
          <cell r="A9612" t="str">
            <v>M.PT.0005750</v>
          </cell>
        </row>
        <row r="9613">
          <cell r="A9613" t="str">
            <v>M.PT.0005751</v>
          </cell>
        </row>
        <row r="9614">
          <cell r="A9614" t="str">
            <v>M.PT.0005752</v>
          </cell>
        </row>
        <row r="9615">
          <cell r="A9615" t="str">
            <v>M.PT.0005753</v>
          </cell>
        </row>
        <row r="9616">
          <cell r="A9616" t="str">
            <v>M.PT.0005754</v>
          </cell>
        </row>
        <row r="9617">
          <cell r="A9617" t="str">
            <v>M.PT.0005755</v>
          </cell>
        </row>
        <row r="9618">
          <cell r="A9618" t="str">
            <v>M.PT.0005756</v>
          </cell>
        </row>
        <row r="9619">
          <cell r="A9619" t="str">
            <v>M.PT.0005757</v>
          </cell>
        </row>
        <row r="9620">
          <cell r="A9620" t="str">
            <v>M.PT.0005758</v>
          </cell>
        </row>
        <row r="9621">
          <cell r="A9621" t="str">
            <v>M.PT.0005759</v>
          </cell>
        </row>
        <row r="9622">
          <cell r="A9622" t="str">
            <v>M.PT.0005760</v>
          </cell>
        </row>
        <row r="9623">
          <cell r="A9623" t="str">
            <v>M.PT.0005761</v>
          </cell>
        </row>
        <row r="9624">
          <cell r="A9624" t="str">
            <v>M.PT.0005762</v>
          </cell>
        </row>
        <row r="9625">
          <cell r="A9625" t="str">
            <v>M.PT.0005763</v>
          </cell>
        </row>
        <row r="9626">
          <cell r="A9626" t="str">
            <v>M.PT.0005764</v>
          </cell>
        </row>
        <row r="9627">
          <cell r="A9627" t="str">
            <v>M.PT.0005765</v>
          </cell>
        </row>
        <row r="9628">
          <cell r="A9628" t="str">
            <v>M.PT.0005766</v>
          </cell>
        </row>
        <row r="9629">
          <cell r="A9629" t="str">
            <v>M.PT.0005767</v>
          </cell>
        </row>
        <row r="9630">
          <cell r="A9630" t="str">
            <v>M.PT.0005768</v>
          </cell>
        </row>
        <row r="9631">
          <cell r="A9631" t="str">
            <v>M.PT.0005769</v>
          </cell>
        </row>
        <row r="9632">
          <cell r="A9632" t="str">
            <v>M.PT.0005770</v>
          </cell>
        </row>
        <row r="9633">
          <cell r="A9633" t="str">
            <v>M.PT.0005771</v>
          </cell>
        </row>
        <row r="9634">
          <cell r="A9634" t="str">
            <v>M.PT.0005772</v>
          </cell>
        </row>
        <row r="9635">
          <cell r="A9635" t="str">
            <v>M.PT.0005773</v>
          </cell>
        </row>
        <row r="9636">
          <cell r="A9636" t="str">
            <v>M.PT.0005774</v>
          </cell>
        </row>
        <row r="9637">
          <cell r="A9637" t="str">
            <v>M.PT.0005775</v>
          </cell>
        </row>
        <row r="9638">
          <cell r="A9638" t="str">
            <v>M.PT.0005776</v>
          </cell>
        </row>
        <row r="9639">
          <cell r="A9639" t="str">
            <v>M.PT.0005777</v>
          </cell>
        </row>
        <row r="9640">
          <cell r="A9640" t="str">
            <v>M.PT.0005778</v>
          </cell>
        </row>
        <row r="9641">
          <cell r="A9641" t="str">
            <v>M.PT.0005780</v>
          </cell>
        </row>
        <row r="9642">
          <cell r="A9642" t="str">
            <v>M.PT.0005781</v>
          </cell>
        </row>
        <row r="9643">
          <cell r="A9643" t="str">
            <v>M.PT.0005782</v>
          </cell>
        </row>
        <row r="9644">
          <cell r="A9644" t="str">
            <v>M.PT.0005783</v>
          </cell>
        </row>
        <row r="9645">
          <cell r="A9645" t="str">
            <v>M.PT.0005784</v>
          </cell>
        </row>
        <row r="9646">
          <cell r="A9646" t="str">
            <v>M.PT.0005785</v>
          </cell>
        </row>
        <row r="9647">
          <cell r="A9647" t="str">
            <v>M.PT.0005786</v>
          </cell>
        </row>
        <row r="9648">
          <cell r="A9648" t="str">
            <v>M.PT.0005787</v>
          </cell>
        </row>
        <row r="9649">
          <cell r="A9649" t="str">
            <v>M.PT.0005788</v>
          </cell>
        </row>
        <row r="9650">
          <cell r="A9650" t="str">
            <v>M.PT.0005789</v>
          </cell>
        </row>
        <row r="9651">
          <cell r="A9651" t="str">
            <v>M.PT.0005790</v>
          </cell>
        </row>
        <row r="9652">
          <cell r="A9652" t="str">
            <v>M.PT.0005791</v>
          </cell>
        </row>
        <row r="9653">
          <cell r="A9653" t="str">
            <v>M.PT.0005792</v>
          </cell>
        </row>
        <row r="9654">
          <cell r="A9654" t="str">
            <v>M.PT.0005793</v>
          </cell>
        </row>
        <row r="9655">
          <cell r="A9655" t="str">
            <v>M.PT.0005794</v>
          </cell>
        </row>
        <row r="9656">
          <cell r="A9656" t="str">
            <v>M.PT.0005795</v>
          </cell>
        </row>
        <row r="9657">
          <cell r="A9657" t="str">
            <v>M.PT.0005796</v>
          </cell>
        </row>
        <row r="9658">
          <cell r="A9658" t="str">
            <v>M.PT.0005797</v>
          </cell>
        </row>
        <row r="9659">
          <cell r="A9659" t="str">
            <v>M.PT.0005798</v>
          </cell>
        </row>
        <row r="9660">
          <cell r="A9660" t="str">
            <v>M.PT.0005799</v>
          </cell>
        </row>
        <row r="9661">
          <cell r="A9661" t="str">
            <v>M.PT.0005800</v>
          </cell>
        </row>
        <row r="9662">
          <cell r="A9662" t="str">
            <v>M.PT.0005801</v>
          </cell>
        </row>
        <row r="9663">
          <cell r="A9663" t="str">
            <v>M.PT.0005802</v>
          </cell>
        </row>
        <row r="9664">
          <cell r="A9664" t="str">
            <v>M.PT.0005803</v>
          </cell>
        </row>
        <row r="9665">
          <cell r="A9665" t="str">
            <v>M.PT.0005804</v>
          </cell>
        </row>
        <row r="9666">
          <cell r="A9666" t="str">
            <v>M.PT.0005805</v>
          </cell>
        </row>
        <row r="9667">
          <cell r="A9667" t="str">
            <v>M.PT.0005806</v>
          </cell>
        </row>
        <row r="9668">
          <cell r="A9668" t="str">
            <v>M.PT.0005807</v>
          </cell>
        </row>
        <row r="9669">
          <cell r="A9669" t="str">
            <v>M.PT.0005808</v>
          </cell>
        </row>
        <row r="9670">
          <cell r="A9670" t="str">
            <v>M.PT.0005809</v>
          </cell>
        </row>
        <row r="9671">
          <cell r="A9671" t="str">
            <v>M.PT.0005810</v>
          </cell>
        </row>
        <row r="9672">
          <cell r="A9672" t="str">
            <v>M.PT.0005811</v>
          </cell>
        </row>
        <row r="9673">
          <cell r="A9673" t="str">
            <v>M.PT.0005812</v>
          </cell>
        </row>
        <row r="9674">
          <cell r="A9674" t="str">
            <v>M.PT.0005813</v>
          </cell>
        </row>
        <row r="9675">
          <cell r="A9675" t="str">
            <v>M.PT.0005814</v>
          </cell>
        </row>
        <row r="9676">
          <cell r="A9676" t="str">
            <v>M.PT.0005815</v>
          </cell>
        </row>
        <row r="9677">
          <cell r="A9677" t="str">
            <v>M.PT.0005816</v>
          </cell>
        </row>
        <row r="9678">
          <cell r="A9678" t="str">
            <v>M.PT.0005817</v>
          </cell>
        </row>
        <row r="9679">
          <cell r="A9679" t="str">
            <v>M.PT.0005818</v>
          </cell>
        </row>
        <row r="9680">
          <cell r="A9680" t="str">
            <v>M.PT.0005819</v>
          </cell>
        </row>
        <row r="9681">
          <cell r="A9681" t="str">
            <v>M.PT.0005820</v>
          </cell>
        </row>
        <row r="9682">
          <cell r="A9682" t="str">
            <v>M.PT.0005821</v>
          </cell>
        </row>
        <row r="9683">
          <cell r="A9683" t="str">
            <v>M.PT.0005822</v>
          </cell>
        </row>
        <row r="9684">
          <cell r="A9684" t="str">
            <v>M.PT.0005823</v>
          </cell>
        </row>
        <row r="9685">
          <cell r="A9685" t="str">
            <v>M.PT.0005824</v>
          </cell>
        </row>
        <row r="9686">
          <cell r="A9686" t="str">
            <v>M.PT.0005825</v>
          </cell>
        </row>
        <row r="9687">
          <cell r="A9687" t="str">
            <v>M.PT.0005826</v>
          </cell>
        </row>
        <row r="9688">
          <cell r="A9688" t="str">
            <v>M.PT.0005827</v>
          </cell>
        </row>
        <row r="9689">
          <cell r="A9689" t="str">
            <v>M.PT.0005828</v>
          </cell>
        </row>
        <row r="9690">
          <cell r="A9690" t="str">
            <v>M.PT.0005829</v>
          </cell>
        </row>
        <row r="9691">
          <cell r="A9691" t="str">
            <v>M.PT.0005830</v>
          </cell>
        </row>
        <row r="9692">
          <cell r="A9692" t="str">
            <v>M.PT.0005831</v>
          </cell>
        </row>
        <row r="9693">
          <cell r="A9693" t="str">
            <v>M.PT.0005832</v>
          </cell>
        </row>
        <row r="9694">
          <cell r="A9694" t="str">
            <v>M.PT.0005833</v>
          </cell>
        </row>
        <row r="9695">
          <cell r="A9695" t="str">
            <v>M.PT.0005834</v>
          </cell>
        </row>
        <row r="9696">
          <cell r="A9696" t="str">
            <v>M.PT.0005835</v>
          </cell>
        </row>
        <row r="9697">
          <cell r="A9697" t="str">
            <v>M.PT.0005836</v>
          </cell>
        </row>
        <row r="9698">
          <cell r="A9698" t="str">
            <v>M.PT.0005837</v>
          </cell>
        </row>
        <row r="9699">
          <cell r="A9699" t="str">
            <v>M.PT.0005838</v>
          </cell>
        </row>
        <row r="9700">
          <cell r="A9700" t="str">
            <v>M.PT.0005839</v>
          </cell>
        </row>
        <row r="9701">
          <cell r="A9701" t="str">
            <v>M.PT.0005840</v>
          </cell>
        </row>
        <row r="9702">
          <cell r="A9702" t="str">
            <v>M.PT.0005841</v>
          </cell>
        </row>
        <row r="9703">
          <cell r="A9703" t="str">
            <v>M.PT.0005842</v>
          </cell>
        </row>
        <row r="9704">
          <cell r="A9704" t="str">
            <v>M.PT.0005843</v>
          </cell>
        </row>
        <row r="9705">
          <cell r="A9705" t="str">
            <v>M.PT.0005844</v>
          </cell>
        </row>
        <row r="9706">
          <cell r="A9706" t="str">
            <v>M.PT.0005845</v>
          </cell>
        </row>
        <row r="9707">
          <cell r="A9707" t="str">
            <v>M.PT.0005846</v>
          </cell>
        </row>
        <row r="9708">
          <cell r="A9708" t="str">
            <v>M.PT.0005847</v>
          </cell>
        </row>
        <row r="9709">
          <cell r="A9709" t="str">
            <v>M.PT.0005848</v>
          </cell>
        </row>
        <row r="9710">
          <cell r="A9710" t="str">
            <v>M.PT.0005849</v>
          </cell>
        </row>
        <row r="9711">
          <cell r="A9711" t="str">
            <v>M.PT.0005850</v>
          </cell>
        </row>
        <row r="9712">
          <cell r="A9712" t="str">
            <v>M.PT.0005851</v>
          </cell>
        </row>
        <row r="9713">
          <cell r="A9713" t="str">
            <v>M.PT.0005852</v>
          </cell>
        </row>
        <row r="9714">
          <cell r="A9714" t="str">
            <v>M.PT.0005853</v>
          </cell>
        </row>
        <row r="9715">
          <cell r="A9715" t="str">
            <v>M.PT.0005854</v>
          </cell>
        </row>
        <row r="9716">
          <cell r="A9716" t="str">
            <v>M.PT.0005855</v>
          </cell>
        </row>
        <row r="9717">
          <cell r="A9717" t="str">
            <v>M.PT.0005856</v>
          </cell>
        </row>
        <row r="9718">
          <cell r="A9718" t="str">
            <v>M.PT.0005857</v>
          </cell>
        </row>
        <row r="9719">
          <cell r="A9719" t="str">
            <v>M.PT.0005858</v>
          </cell>
        </row>
        <row r="9720">
          <cell r="A9720" t="str">
            <v>M.PT.0005859</v>
          </cell>
        </row>
        <row r="9721">
          <cell r="A9721" t="str">
            <v>M.PT.0005860</v>
          </cell>
        </row>
        <row r="9722">
          <cell r="A9722" t="str">
            <v>M.PT.0005861</v>
          </cell>
        </row>
        <row r="9723">
          <cell r="A9723" t="str">
            <v>M.PT.0005862</v>
          </cell>
        </row>
        <row r="9724">
          <cell r="A9724" t="str">
            <v>M.PT.0005863</v>
          </cell>
        </row>
        <row r="9725">
          <cell r="A9725" t="str">
            <v>M.PT.0005864</v>
          </cell>
        </row>
        <row r="9726">
          <cell r="A9726" t="str">
            <v>M.PT.0005865</v>
          </cell>
        </row>
        <row r="9727">
          <cell r="A9727" t="str">
            <v>M.PT.0005866</v>
          </cell>
        </row>
        <row r="9728">
          <cell r="A9728" t="str">
            <v>M.PT.0005867</v>
          </cell>
        </row>
        <row r="9729">
          <cell r="A9729" t="str">
            <v>M.PT.0005868</v>
          </cell>
        </row>
        <row r="9730">
          <cell r="A9730" t="str">
            <v>M.PT.0005869</v>
          </cell>
        </row>
        <row r="9731">
          <cell r="A9731" t="str">
            <v>M.PT.0005870</v>
          </cell>
        </row>
        <row r="9732">
          <cell r="A9732" t="str">
            <v>M.PT.0005871</v>
          </cell>
        </row>
        <row r="9733">
          <cell r="A9733" t="str">
            <v>M.PT.0005872</v>
          </cell>
        </row>
        <row r="9734">
          <cell r="A9734" t="str">
            <v>M.PT.0005873</v>
          </cell>
        </row>
        <row r="9735">
          <cell r="A9735" t="str">
            <v>M.PT.0005874</v>
          </cell>
        </row>
        <row r="9736">
          <cell r="A9736" t="str">
            <v>M.PT.0005875</v>
          </cell>
        </row>
        <row r="9737">
          <cell r="A9737" t="str">
            <v>M.PT.0005876</v>
          </cell>
        </row>
        <row r="9738">
          <cell r="A9738" t="str">
            <v>M.PT.0005877</v>
          </cell>
        </row>
        <row r="9739">
          <cell r="A9739" t="str">
            <v>M.PT.0005878</v>
          </cell>
        </row>
        <row r="9740">
          <cell r="A9740" t="str">
            <v>M.PT.0005879</v>
          </cell>
        </row>
        <row r="9741">
          <cell r="A9741" t="str">
            <v>M.PT.0005880</v>
          </cell>
        </row>
        <row r="9742">
          <cell r="A9742" t="str">
            <v>M.PT.0005881</v>
          </cell>
        </row>
        <row r="9743">
          <cell r="A9743" t="str">
            <v>M.PT.0005882</v>
          </cell>
        </row>
        <row r="9744">
          <cell r="A9744" t="str">
            <v>M.PT.0005883</v>
          </cell>
        </row>
        <row r="9745">
          <cell r="A9745" t="str">
            <v>M.PT.0005884</v>
          </cell>
        </row>
        <row r="9746">
          <cell r="A9746" t="str">
            <v>M.PT.0005885</v>
          </cell>
        </row>
        <row r="9747">
          <cell r="A9747" t="str">
            <v>M.PT.0005886</v>
          </cell>
        </row>
        <row r="9748">
          <cell r="A9748" t="str">
            <v>M.PT.0005887</v>
          </cell>
        </row>
        <row r="9749">
          <cell r="A9749" t="str">
            <v>M.PT.0005888</v>
          </cell>
        </row>
        <row r="9750">
          <cell r="A9750" t="str">
            <v>M.PT.0005889</v>
          </cell>
        </row>
        <row r="9751">
          <cell r="A9751" t="str">
            <v>M.PT.0005890</v>
          </cell>
        </row>
        <row r="9752">
          <cell r="A9752" t="str">
            <v>M.PT.0005891</v>
          </cell>
        </row>
        <row r="9753">
          <cell r="A9753" t="str">
            <v>M.PT.0005892</v>
          </cell>
        </row>
        <row r="9754">
          <cell r="A9754" t="str">
            <v>M.PT.0005893</v>
          </cell>
        </row>
        <row r="9755">
          <cell r="A9755" t="str">
            <v>M.PT.0005894</v>
          </cell>
        </row>
        <row r="9756">
          <cell r="A9756" t="str">
            <v>M.PT.0005895</v>
          </cell>
        </row>
        <row r="9757">
          <cell r="A9757" t="str">
            <v>M.PT.0005896</v>
          </cell>
        </row>
        <row r="9758">
          <cell r="A9758" t="str">
            <v>M.PT.0005897</v>
          </cell>
        </row>
        <row r="9759">
          <cell r="A9759" t="str">
            <v>M.PT.0005898</v>
          </cell>
        </row>
        <row r="9760">
          <cell r="A9760" t="str">
            <v>M.PT.0005899</v>
          </cell>
        </row>
        <row r="9761">
          <cell r="A9761" t="str">
            <v>M.PT.0005900</v>
          </cell>
        </row>
        <row r="9762">
          <cell r="A9762" t="str">
            <v>M.PT.0005901</v>
          </cell>
        </row>
        <row r="9763">
          <cell r="A9763" t="str">
            <v>M.PT.0005902</v>
          </cell>
        </row>
        <row r="9764">
          <cell r="A9764" t="str">
            <v>M.PT.0005903</v>
          </cell>
        </row>
        <row r="9765">
          <cell r="A9765" t="str">
            <v>M.PT.0005904</v>
          </cell>
        </row>
        <row r="9766">
          <cell r="A9766" t="str">
            <v>M.PT.0005905</v>
          </cell>
        </row>
        <row r="9767">
          <cell r="A9767" t="str">
            <v>M.PT.0005906</v>
          </cell>
        </row>
        <row r="9768">
          <cell r="A9768" t="str">
            <v>M.PT.0005907</v>
          </cell>
        </row>
        <row r="9769">
          <cell r="A9769" t="str">
            <v>M.PT.0005908</v>
          </cell>
        </row>
        <row r="9770">
          <cell r="A9770" t="str">
            <v>M.PT.0005909</v>
          </cell>
        </row>
        <row r="9771">
          <cell r="A9771" t="str">
            <v>M.PT.0005910</v>
          </cell>
        </row>
        <row r="9772">
          <cell r="A9772" t="str">
            <v>M.PT.0005911</v>
          </cell>
        </row>
        <row r="9773">
          <cell r="A9773" t="str">
            <v>M.PT.0005912</v>
          </cell>
        </row>
        <row r="9774">
          <cell r="A9774" t="str">
            <v>M.PT.0005913</v>
          </cell>
        </row>
        <row r="9775">
          <cell r="A9775" t="str">
            <v>M.PT.0005914</v>
          </cell>
        </row>
        <row r="9776">
          <cell r="A9776" t="str">
            <v>M.PT.0005915</v>
          </cell>
        </row>
        <row r="9777">
          <cell r="A9777" t="str">
            <v>M.PT.0005916</v>
          </cell>
        </row>
        <row r="9778">
          <cell r="A9778" t="str">
            <v>M.PT.0005917</v>
          </cell>
        </row>
        <row r="9779">
          <cell r="A9779" t="str">
            <v>M.PT.0005918</v>
          </cell>
        </row>
        <row r="9780">
          <cell r="A9780" t="str">
            <v>M.PT.0005919</v>
          </cell>
        </row>
        <row r="9781">
          <cell r="A9781" t="str">
            <v>M.PT.0005920</v>
          </cell>
        </row>
        <row r="9782">
          <cell r="A9782" t="str">
            <v>M.PT.0005921</v>
          </cell>
        </row>
        <row r="9783">
          <cell r="A9783" t="str">
            <v>M.PT.0005922</v>
          </cell>
        </row>
        <row r="9784">
          <cell r="A9784" t="str">
            <v>M.PT.0005923</v>
          </cell>
        </row>
        <row r="9785">
          <cell r="A9785" t="str">
            <v>M.PT.0005924</v>
          </cell>
        </row>
        <row r="9786">
          <cell r="A9786" t="str">
            <v>M.PT.0005925</v>
          </cell>
        </row>
        <row r="9787">
          <cell r="A9787" t="str">
            <v>M.PT.0005926</v>
          </cell>
        </row>
        <row r="9788">
          <cell r="A9788" t="str">
            <v>M.PT.0005927</v>
          </cell>
        </row>
        <row r="9789">
          <cell r="A9789" t="str">
            <v>M.PT.0005928</v>
          </cell>
        </row>
        <row r="9790">
          <cell r="A9790" t="str">
            <v>M.PT.0005929</v>
          </cell>
        </row>
        <row r="9791">
          <cell r="A9791" t="str">
            <v>M.PT.0005930</v>
          </cell>
        </row>
        <row r="9792">
          <cell r="A9792" t="str">
            <v>M.PT.0005931</v>
          </cell>
        </row>
        <row r="9793">
          <cell r="A9793" t="str">
            <v>M.PT.0005932</v>
          </cell>
        </row>
        <row r="9794">
          <cell r="A9794" t="str">
            <v>M.PT.0005933</v>
          </cell>
        </row>
        <row r="9795">
          <cell r="A9795" t="str">
            <v>M.PT.0005934</v>
          </cell>
        </row>
        <row r="9796">
          <cell r="A9796" t="str">
            <v>M.PT.0005935</v>
          </cell>
        </row>
        <row r="9797">
          <cell r="A9797" t="str">
            <v>M.PT.0005936</v>
          </cell>
        </row>
        <row r="9798">
          <cell r="A9798" t="str">
            <v>M.PT.0005937</v>
          </cell>
        </row>
        <row r="9799">
          <cell r="A9799" t="str">
            <v>M.PT.0005938</v>
          </cell>
        </row>
        <row r="9800">
          <cell r="A9800" t="str">
            <v>M.PT.0005939</v>
          </cell>
        </row>
        <row r="9801">
          <cell r="A9801" t="str">
            <v>M.PT.0005940</v>
          </cell>
        </row>
        <row r="9802">
          <cell r="A9802" t="str">
            <v>M.PT.0005941</v>
          </cell>
        </row>
        <row r="9803">
          <cell r="A9803" t="str">
            <v>M.PT.0005942</v>
          </cell>
        </row>
        <row r="9804">
          <cell r="A9804" t="str">
            <v>M.PT.0005943</v>
          </cell>
        </row>
        <row r="9805">
          <cell r="A9805" t="str">
            <v>M.PT.0005944</v>
          </cell>
        </row>
        <row r="9806">
          <cell r="A9806" t="str">
            <v>M.PT.0005945</v>
          </cell>
        </row>
        <row r="9807">
          <cell r="A9807" t="str">
            <v>M.PT.0005946</v>
          </cell>
        </row>
        <row r="9808">
          <cell r="A9808" t="str">
            <v>M.PT.0005947</v>
          </cell>
        </row>
        <row r="9809">
          <cell r="A9809" t="str">
            <v>M.PT.0005948</v>
          </cell>
        </row>
        <row r="9810">
          <cell r="A9810" t="str">
            <v>M.PT.0005949</v>
          </cell>
        </row>
        <row r="9811">
          <cell r="A9811" t="str">
            <v>M.PT.0005950</v>
          </cell>
        </row>
        <row r="9812">
          <cell r="A9812" t="str">
            <v>M.PT.0005951</v>
          </cell>
        </row>
        <row r="9813">
          <cell r="A9813" t="str">
            <v>M.PT.0005952</v>
          </cell>
        </row>
        <row r="9814">
          <cell r="A9814" t="str">
            <v>M.PT.0005953</v>
          </cell>
        </row>
        <row r="9815">
          <cell r="A9815" t="str">
            <v>M.PT.0005954</v>
          </cell>
        </row>
        <row r="9816">
          <cell r="A9816" t="str">
            <v>M.PT.0005955</v>
          </cell>
        </row>
        <row r="9817">
          <cell r="A9817" t="str">
            <v>M.PT.0005956</v>
          </cell>
        </row>
        <row r="9818">
          <cell r="A9818" t="str">
            <v>M.PT.0005957</v>
          </cell>
        </row>
        <row r="9819">
          <cell r="A9819" t="str">
            <v>M.PT.0005958</v>
          </cell>
        </row>
        <row r="9820">
          <cell r="A9820" t="str">
            <v>M.PT.0005959</v>
          </cell>
        </row>
        <row r="9821">
          <cell r="A9821" t="str">
            <v>M.PT.0005960</v>
          </cell>
        </row>
        <row r="9822">
          <cell r="A9822" t="str">
            <v>M.PT.0005961</v>
          </cell>
        </row>
        <row r="9823">
          <cell r="A9823" t="str">
            <v>M.PT.0005962</v>
          </cell>
        </row>
        <row r="9824">
          <cell r="A9824" t="str">
            <v>M.PT.0005963</v>
          </cell>
        </row>
        <row r="9825">
          <cell r="A9825" t="str">
            <v>M.PT.0005964</v>
          </cell>
        </row>
        <row r="9826">
          <cell r="A9826" t="str">
            <v>M.PT.0005965</v>
          </cell>
        </row>
        <row r="9827">
          <cell r="A9827" t="str">
            <v>M.PT.0005966</v>
          </cell>
        </row>
        <row r="9828">
          <cell r="A9828" t="str">
            <v>M.PT.0005967</v>
          </cell>
        </row>
        <row r="9829">
          <cell r="A9829" t="str">
            <v>M.PT.0005968</v>
          </cell>
        </row>
        <row r="9830">
          <cell r="A9830" t="str">
            <v>M.PT.0005969</v>
          </cell>
        </row>
        <row r="9831">
          <cell r="A9831" t="str">
            <v>M.PT.0005970</v>
          </cell>
        </row>
        <row r="9832">
          <cell r="A9832" t="str">
            <v>M.PT.0005971</v>
          </cell>
        </row>
        <row r="9833">
          <cell r="A9833" t="str">
            <v>M.PT.0005972</v>
          </cell>
        </row>
        <row r="9834">
          <cell r="A9834" t="str">
            <v>M.PT.0005973</v>
          </cell>
        </row>
        <row r="9835">
          <cell r="A9835" t="str">
            <v>M.PT.0005974</v>
          </cell>
        </row>
        <row r="9836">
          <cell r="A9836" t="str">
            <v>M.PT.0005975</v>
          </cell>
        </row>
        <row r="9837">
          <cell r="A9837" t="str">
            <v>M.PT.0005976</v>
          </cell>
        </row>
        <row r="9838">
          <cell r="A9838" t="str">
            <v>M.PT.0005977</v>
          </cell>
        </row>
        <row r="9839">
          <cell r="A9839" t="str">
            <v>M.PT.0005978</v>
          </cell>
        </row>
        <row r="9840">
          <cell r="A9840" t="str">
            <v>M.PT.0005979</v>
          </cell>
        </row>
        <row r="9841">
          <cell r="A9841" t="str">
            <v>M.PT.0005980</v>
          </cell>
        </row>
        <row r="9842">
          <cell r="A9842" t="str">
            <v>M.PT.0005981</v>
          </cell>
        </row>
        <row r="9843">
          <cell r="A9843" t="str">
            <v>M.PT.0005982</v>
          </cell>
        </row>
        <row r="9844">
          <cell r="A9844" t="str">
            <v>M.PT.0005983</v>
          </cell>
        </row>
        <row r="9845">
          <cell r="A9845" t="str">
            <v>M.PT.0005984</v>
          </cell>
        </row>
        <row r="9846">
          <cell r="A9846" t="str">
            <v>M.PT.0005985</v>
          </cell>
        </row>
        <row r="9847">
          <cell r="A9847" t="str">
            <v>M.PT.0005986</v>
          </cell>
        </row>
        <row r="9848">
          <cell r="A9848" t="str">
            <v>M.PT.0005987</v>
          </cell>
        </row>
        <row r="9849">
          <cell r="A9849" t="str">
            <v>M.PT.0005988</v>
          </cell>
        </row>
        <row r="9850">
          <cell r="A9850" t="str">
            <v>M.PT.0005989</v>
          </cell>
        </row>
        <row r="9851">
          <cell r="A9851" t="str">
            <v>M.PT.0005990</v>
          </cell>
        </row>
        <row r="9852">
          <cell r="A9852" t="str">
            <v>M.PT.0005991</v>
          </cell>
        </row>
        <row r="9853">
          <cell r="A9853" t="str">
            <v>M.PT.0005992</v>
          </cell>
        </row>
        <row r="9854">
          <cell r="A9854" t="str">
            <v>M.PT.0005993</v>
          </cell>
        </row>
        <row r="9855">
          <cell r="A9855" t="str">
            <v>M.PT.0005994</v>
          </cell>
        </row>
        <row r="9856">
          <cell r="A9856" t="str">
            <v>M.PT.0005995</v>
          </cell>
        </row>
        <row r="9857">
          <cell r="A9857" t="str">
            <v>M.PT.0005996</v>
          </cell>
        </row>
        <row r="9858">
          <cell r="A9858" t="str">
            <v>M.PT.0005997</v>
          </cell>
        </row>
        <row r="9859">
          <cell r="A9859" t="str">
            <v>M.PT.0005998</v>
          </cell>
        </row>
        <row r="9860">
          <cell r="A9860" t="str">
            <v>M.PT.0005999</v>
          </cell>
        </row>
        <row r="9861">
          <cell r="A9861" t="str">
            <v>M.PT.0006000</v>
          </cell>
        </row>
        <row r="9862">
          <cell r="A9862" t="str">
            <v>M.PT.0006001</v>
          </cell>
        </row>
        <row r="9863">
          <cell r="A9863" t="str">
            <v>M.PT.0006002</v>
          </cell>
        </row>
        <row r="9864">
          <cell r="A9864" t="str">
            <v>M.PT.0006003</v>
          </cell>
        </row>
        <row r="9865">
          <cell r="A9865" t="str">
            <v>M.PT.0006004</v>
          </cell>
        </row>
        <row r="9866">
          <cell r="A9866" t="str">
            <v>M.PT.0006005</v>
          </cell>
        </row>
        <row r="9867">
          <cell r="A9867" t="str">
            <v>M.PT.0006006</v>
          </cell>
        </row>
        <row r="9868">
          <cell r="A9868" t="str">
            <v>M.PT.0006007</v>
          </cell>
        </row>
        <row r="9869">
          <cell r="A9869" t="str">
            <v>M.PT.0006008</v>
          </cell>
        </row>
        <row r="9870">
          <cell r="A9870" t="str">
            <v>M.PT.0006009</v>
          </cell>
        </row>
        <row r="9871">
          <cell r="A9871" t="str">
            <v>M.PT.0006010</v>
          </cell>
        </row>
        <row r="9872">
          <cell r="A9872" t="str">
            <v>M.PT.0006011</v>
          </cell>
        </row>
        <row r="9873">
          <cell r="A9873" t="str">
            <v>M.PT.0006012</v>
          </cell>
        </row>
        <row r="9874">
          <cell r="A9874" t="str">
            <v>M.PT.0006013</v>
          </cell>
        </row>
        <row r="9875">
          <cell r="A9875" t="str">
            <v>M.PT.0006014</v>
          </cell>
        </row>
        <row r="9876">
          <cell r="A9876" t="str">
            <v>M.PT.0006015</v>
          </cell>
        </row>
        <row r="9877">
          <cell r="A9877" t="str">
            <v>M.PT.0006016</v>
          </cell>
        </row>
        <row r="9878">
          <cell r="A9878" t="str">
            <v>M.PT.0006017</v>
          </cell>
        </row>
        <row r="9879">
          <cell r="A9879" t="str">
            <v>M.PT.0006018</v>
          </cell>
        </row>
        <row r="9880">
          <cell r="A9880" t="str">
            <v>M.PT.0006019</v>
          </cell>
        </row>
        <row r="9881">
          <cell r="A9881" t="str">
            <v>M.PT.0006020</v>
          </cell>
        </row>
        <row r="9882">
          <cell r="A9882" t="str">
            <v>M.PT.0006021</v>
          </cell>
        </row>
        <row r="9883">
          <cell r="A9883" t="str">
            <v>M.PT.0006022</v>
          </cell>
        </row>
        <row r="9884">
          <cell r="A9884" t="str">
            <v>M.PT.0006023</v>
          </cell>
        </row>
        <row r="9885">
          <cell r="A9885" t="str">
            <v>M.PT.0006024</v>
          </cell>
        </row>
        <row r="9886">
          <cell r="A9886" t="str">
            <v>M.PT.0006025</v>
          </cell>
        </row>
        <row r="9887">
          <cell r="A9887" t="str">
            <v>M.PT.0006026</v>
          </cell>
        </row>
        <row r="9888">
          <cell r="A9888" t="str">
            <v>M.PT.0006027</v>
          </cell>
        </row>
        <row r="9889">
          <cell r="A9889" t="str">
            <v>M.PT.0006028</v>
          </cell>
        </row>
        <row r="9890">
          <cell r="A9890" t="str">
            <v>M.PT.0006029</v>
          </cell>
        </row>
        <row r="9891">
          <cell r="A9891" t="str">
            <v>M.PT.0006030</v>
          </cell>
        </row>
        <row r="9892">
          <cell r="A9892" t="str">
            <v>M.PT.0006031</v>
          </cell>
        </row>
        <row r="9893">
          <cell r="A9893" t="str">
            <v>M.PT.0006032</v>
          </cell>
        </row>
        <row r="9894">
          <cell r="A9894" t="str">
            <v>M.PT.0006033</v>
          </cell>
        </row>
        <row r="9895">
          <cell r="A9895" t="str">
            <v>M.PT.0006034</v>
          </cell>
        </row>
        <row r="9896">
          <cell r="A9896" t="str">
            <v>M.PT.0006035</v>
          </cell>
        </row>
        <row r="9897">
          <cell r="A9897" t="str">
            <v>M.PT.0006036</v>
          </cell>
        </row>
        <row r="9898">
          <cell r="A9898" t="str">
            <v>M.PT.0006037</v>
          </cell>
        </row>
        <row r="9899">
          <cell r="A9899" t="str">
            <v>M.PT.0006038</v>
          </cell>
        </row>
        <row r="9900">
          <cell r="A9900" t="str">
            <v>M.PT.0006039</v>
          </cell>
        </row>
        <row r="9901">
          <cell r="A9901" t="str">
            <v>M.PT.0006040</v>
          </cell>
        </row>
        <row r="9902">
          <cell r="A9902" t="str">
            <v>M.PT.0006041</v>
          </cell>
        </row>
        <row r="9903">
          <cell r="A9903" t="str">
            <v>M.PT.0006042</v>
          </cell>
        </row>
        <row r="9904">
          <cell r="A9904" t="str">
            <v>M.PT.0006043</v>
          </cell>
        </row>
        <row r="9905">
          <cell r="A9905" t="str">
            <v>M.PT.0006044</v>
          </cell>
        </row>
        <row r="9906">
          <cell r="A9906" t="str">
            <v>M.PT.0006045</v>
          </cell>
        </row>
        <row r="9907">
          <cell r="A9907" t="str">
            <v>M.PT.0006046</v>
          </cell>
        </row>
        <row r="9908">
          <cell r="A9908" t="str">
            <v>M.PT.0006047</v>
          </cell>
        </row>
        <row r="9909">
          <cell r="A9909" t="str">
            <v>M.PT.0006048</v>
          </cell>
        </row>
        <row r="9910">
          <cell r="A9910" t="str">
            <v>M.PT.0006049</v>
          </cell>
        </row>
        <row r="9911">
          <cell r="A9911" t="str">
            <v>M.PT.0006050</v>
          </cell>
        </row>
        <row r="9912">
          <cell r="A9912" t="str">
            <v>M.PT.0006051</v>
          </cell>
        </row>
        <row r="9913">
          <cell r="A9913" t="str">
            <v>M.PT.0006052</v>
          </cell>
        </row>
        <row r="9914">
          <cell r="A9914" t="str">
            <v>M.PT.0006053</v>
          </cell>
        </row>
        <row r="9915">
          <cell r="A9915" t="str">
            <v>M.PT.0006054</v>
          </cell>
        </row>
        <row r="9916">
          <cell r="A9916" t="str">
            <v>M.PT.0006055</v>
          </cell>
        </row>
        <row r="9917">
          <cell r="A9917" t="str">
            <v>M.PT.0006056</v>
          </cell>
        </row>
        <row r="9918">
          <cell r="A9918" t="str">
            <v>M.PT.0006057</v>
          </cell>
        </row>
        <row r="9919">
          <cell r="A9919" t="str">
            <v>M.PT.0006058</v>
          </cell>
        </row>
        <row r="9920">
          <cell r="A9920" t="str">
            <v>M.PT.0006059</v>
          </cell>
        </row>
        <row r="9921">
          <cell r="A9921" t="str">
            <v>M.PT.0006060</v>
          </cell>
        </row>
        <row r="9922">
          <cell r="A9922" t="str">
            <v>M.PT.0006061</v>
          </cell>
        </row>
        <row r="9923">
          <cell r="A9923" t="str">
            <v>M.PT.0006062</v>
          </cell>
        </row>
        <row r="9924">
          <cell r="A9924" t="str">
            <v>M.PT.0006063</v>
          </cell>
        </row>
        <row r="9925">
          <cell r="A9925" t="str">
            <v>M.PT.0006064</v>
          </cell>
        </row>
        <row r="9926">
          <cell r="A9926" t="str">
            <v>M.PT.0006065</v>
          </cell>
        </row>
        <row r="9927">
          <cell r="A9927" t="str">
            <v>M.PT.0006066</v>
          </cell>
        </row>
        <row r="9928">
          <cell r="A9928" t="str">
            <v>M.PT.0006067</v>
          </cell>
        </row>
        <row r="9929">
          <cell r="A9929" t="str">
            <v>M.PT.0006068</v>
          </cell>
        </row>
        <row r="9930">
          <cell r="A9930" t="str">
            <v>M.PT.0006069</v>
          </cell>
        </row>
        <row r="9931">
          <cell r="A9931" t="str">
            <v>M.PT.0006070</v>
          </cell>
        </row>
        <row r="9932">
          <cell r="A9932" t="str">
            <v>M.PT.0006071</v>
          </cell>
        </row>
        <row r="9933">
          <cell r="A9933" t="str">
            <v>M.PT.0006072</v>
          </cell>
        </row>
        <row r="9934">
          <cell r="A9934" t="str">
            <v>M.PT.0006073</v>
          </cell>
        </row>
        <row r="9935">
          <cell r="A9935" t="str">
            <v>M.PT.0006074</v>
          </cell>
        </row>
        <row r="9936">
          <cell r="A9936" t="str">
            <v>M.PT.0006075</v>
          </cell>
        </row>
        <row r="9937">
          <cell r="A9937" t="str">
            <v>M.PT.0006076</v>
          </cell>
        </row>
        <row r="9938">
          <cell r="A9938" t="str">
            <v>M.PT.0006077</v>
          </cell>
        </row>
        <row r="9939">
          <cell r="A9939" t="str">
            <v>M.PT.0006078</v>
          </cell>
        </row>
        <row r="9940">
          <cell r="A9940" t="str">
            <v>M.PT.0006079</v>
          </cell>
        </row>
        <row r="9941">
          <cell r="A9941" t="str">
            <v>M.PT.0006080</v>
          </cell>
        </row>
        <row r="9942">
          <cell r="A9942" t="str">
            <v>M.PT.0006081</v>
          </cell>
        </row>
        <row r="9943">
          <cell r="A9943" t="str">
            <v>M.PT.0006082</v>
          </cell>
        </row>
        <row r="9944">
          <cell r="A9944" t="str">
            <v>M.PT.0006083</v>
          </cell>
        </row>
        <row r="9945">
          <cell r="A9945" t="str">
            <v>M.PT.0006084</v>
          </cell>
        </row>
        <row r="9946">
          <cell r="A9946" t="str">
            <v>M.PT.0006085</v>
          </cell>
        </row>
        <row r="9947">
          <cell r="A9947" t="str">
            <v>M.PT.0006086</v>
          </cell>
        </row>
        <row r="9948">
          <cell r="A9948" t="str">
            <v>M.PT.0006087</v>
          </cell>
        </row>
        <row r="9949">
          <cell r="A9949" t="str">
            <v>M.PT.0006088</v>
          </cell>
        </row>
        <row r="9950">
          <cell r="A9950" t="str">
            <v>M.PT.0006089</v>
          </cell>
        </row>
        <row r="9951">
          <cell r="A9951" t="str">
            <v>M.PT.0006090</v>
          </cell>
        </row>
        <row r="9952">
          <cell r="A9952" t="str">
            <v>M.PT.0006091</v>
          </cell>
        </row>
        <row r="9953">
          <cell r="A9953" t="str">
            <v>M.PT.0006092</v>
          </cell>
        </row>
        <row r="9954">
          <cell r="A9954" t="str">
            <v>M.PT.0006093</v>
          </cell>
        </row>
        <row r="9955">
          <cell r="A9955" t="str">
            <v>M.PT.0006094</v>
          </cell>
        </row>
        <row r="9956">
          <cell r="A9956" t="str">
            <v>M.PT.0006095</v>
          </cell>
        </row>
        <row r="9957">
          <cell r="A9957" t="str">
            <v>M.PT.0006096</v>
          </cell>
        </row>
        <row r="9958">
          <cell r="A9958" t="str">
            <v>M.PT.0006097</v>
          </cell>
        </row>
        <row r="9959">
          <cell r="A9959" t="str">
            <v>M.PT.0006098</v>
          </cell>
        </row>
        <row r="9960">
          <cell r="A9960" t="str">
            <v>M.PT.0006099</v>
          </cell>
        </row>
        <row r="9961">
          <cell r="A9961" t="str">
            <v>M.PT.0006100</v>
          </cell>
        </row>
        <row r="9962">
          <cell r="A9962" t="str">
            <v>M.PT.0006101</v>
          </cell>
        </row>
        <row r="9963">
          <cell r="A9963" t="str">
            <v>M.PT.0006102</v>
          </cell>
        </row>
        <row r="9964">
          <cell r="A9964" t="str">
            <v>M.PT.0006103</v>
          </cell>
        </row>
        <row r="9965">
          <cell r="A9965" t="str">
            <v>M.PT.0006104</v>
          </cell>
        </row>
        <row r="9966">
          <cell r="A9966" t="str">
            <v>M.PT.0006105</v>
          </cell>
        </row>
        <row r="9967">
          <cell r="A9967" t="str">
            <v>M.PT.0006106</v>
          </cell>
        </row>
        <row r="9968">
          <cell r="A9968" t="str">
            <v>M.PT.0006107</v>
          </cell>
        </row>
        <row r="9969">
          <cell r="A9969" t="str">
            <v>M.PT.0006108</v>
          </cell>
        </row>
        <row r="9970">
          <cell r="A9970" t="str">
            <v>M.PT.0006109</v>
          </cell>
        </row>
        <row r="9971">
          <cell r="A9971" t="str">
            <v>M.PT.0006110</v>
          </cell>
        </row>
        <row r="9972">
          <cell r="A9972" t="str">
            <v>M.PT.0006111</v>
          </cell>
        </row>
        <row r="9973">
          <cell r="A9973" t="str">
            <v>M.PT.0006112</v>
          </cell>
        </row>
        <row r="9974">
          <cell r="A9974" t="str">
            <v>M.PT.0006113</v>
          </cell>
        </row>
        <row r="9975">
          <cell r="A9975" t="str">
            <v>M.PT.0006114</v>
          </cell>
        </row>
        <row r="9976">
          <cell r="A9976" t="str">
            <v>M.PT.0006115</v>
          </cell>
        </row>
        <row r="9977">
          <cell r="A9977" t="str">
            <v>M.PT.0006116</v>
          </cell>
        </row>
        <row r="9978">
          <cell r="A9978" t="str">
            <v>M.PT.0006117</v>
          </cell>
        </row>
        <row r="9979">
          <cell r="A9979" t="str">
            <v>M.PT.0006118</v>
          </cell>
        </row>
        <row r="9980">
          <cell r="A9980" t="str">
            <v>M.PT.0006119</v>
          </cell>
        </row>
        <row r="9981">
          <cell r="A9981" t="str">
            <v>M.PT.0006120</v>
          </cell>
        </row>
        <row r="9982">
          <cell r="A9982" t="str">
            <v>M.PT.0006121</v>
          </cell>
        </row>
        <row r="9983">
          <cell r="A9983" t="str">
            <v>M.PT.0006122</v>
          </cell>
        </row>
        <row r="9984">
          <cell r="A9984" t="str">
            <v>M.PT.0006123</v>
          </cell>
        </row>
        <row r="9985">
          <cell r="A9985" t="str">
            <v>M.PT.0006124</v>
          </cell>
        </row>
        <row r="9986">
          <cell r="A9986" t="str">
            <v>M.PT.0006125</v>
          </cell>
        </row>
        <row r="9987">
          <cell r="A9987" t="str">
            <v>M.PT.0006126</v>
          </cell>
        </row>
        <row r="9988">
          <cell r="A9988" t="str">
            <v>M.PT.0006127</v>
          </cell>
        </row>
        <row r="9989">
          <cell r="A9989" t="str">
            <v>M.PT.0006128</v>
          </cell>
        </row>
        <row r="9990">
          <cell r="A9990" t="str">
            <v>M.PT.0006129</v>
          </cell>
        </row>
        <row r="9991">
          <cell r="A9991" t="str">
            <v>M.PT.0006130</v>
          </cell>
        </row>
        <row r="9992">
          <cell r="A9992" t="str">
            <v>M.PT.0006131</v>
          </cell>
        </row>
        <row r="9993">
          <cell r="A9993" t="str">
            <v>M.PT.0006132</v>
          </cell>
        </row>
        <row r="9994">
          <cell r="A9994" t="str">
            <v>M.PT.0006133</v>
          </cell>
        </row>
        <row r="9995">
          <cell r="A9995" t="str">
            <v>M.PT.0006134</v>
          </cell>
        </row>
        <row r="9996">
          <cell r="A9996" t="str">
            <v>M.PT.0006135</v>
          </cell>
        </row>
        <row r="9997">
          <cell r="A9997" t="str">
            <v>M.PT.0006136</v>
          </cell>
        </row>
        <row r="9998">
          <cell r="A9998" t="str">
            <v>M.PT.0006137</v>
          </cell>
        </row>
        <row r="9999">
          <cell r="A9999" t="str">
            <v>M.PT.0006138</v>
          </cell>
        </row>
        <row r="10000">
          <cell r="A10000" t="str">
            <v>M.PT.0006139</v>
          </cell>
        </row>
        <row r="10001">
          <cell r="A10001" t="str">
            <v>M.PT.0006140</v>
          </cell>
        </row>
        <row r="10002">
          <cell r="A10002" t="str">
            <v>M.PT.0006141</v>
          </cell>
        </row>
        <row r="10003">
          <cell r="A10003" t="str">
            <v>M.PT.0006142</v>
          </cell>
        </row>
        <row r="10004">
          <cell r="A10004" t="str">
            <v>M.PT.0006143</v>
          </cell>
        </row>
        <row r="10005">
          <cell r="A10005" t="str">
            <v>M.PT.0006144</v>
          </cell>
        </row>
        <row r="10006">
          <cell r="A10006" t="str">
            <v>M.PT.0006145</v>
          </cell>
        </row>
        <row r="10007">
          <cell r="A10007" t="str">
            <v>M.PT.0006146</v>
          </cell>
        </row>
        <row r="10008">
          <cell r="A10008" t="str">
            <v>M.PT.0006147</v>
          </cell>
        </row>
        <row r="10009">
          <cell r="A10009" t="str">
            <v>M.PT.0006148</v>
          </cell>
        </row>
        <row r="10010">
          <cell r="A10010" t="str">
            <v>M.PT.0006149</v>
          </cell>
        </row>
        <row r="10011">
          <cell r="A10011" t="str">
            <v>M.PT.0006150</v>
          </cell>
        </row>
        <row r="10012">
          <cell r="A10012" t="str">
            <v>M.PT.0006151</v>
          </cell>
        </row>
        <row r="10013">
          <cell r="A10013" t="str">
            <v>M.PT.0006152</v>
          </cell>
        </row>
        <row r="10014">
          <cell r="A10014" t="str">
            <v>M.PT.0006153</v>
          </cell>
        </row>
        <row r="10015">
          <cell r="A10015" t="str">
            <v>M.PT.0006154</v>
          </cell>
        </row>
        <row r="10016">
          <cell r="A10016" t="str">
            <v>M.PT.0006155</v>
          </cell>
        </row>
        <row r="10017">
          <cell r="A10017" t="str">
            <v>M.PT.0006156</v>
          </cell>
        </row>
        <row r="10018">
          <cell r="A10018" t="str">
            <v>M.PT.0006157</v>
          </cell>
        </row>
        <row r="10019">
          <cell r="A10019" t="str">
            <v>M.PT.0006158</v>
          </cell>
        </row>
        <row r="10020">
          <cell r="A10020" t="str">
            <v>M.PT.0006159</v>
          </cell>
        </row>
        <row r="10021">
          <cell r="A10021" t="str">
            <v>M.PT.0006160</v>
          </cell>
        </row>
        <row r="10022">
          <cell r="A10022" t="str">
            <v>M.PT.0006161</v>
          </cell>
        </row>
        <row r="10023">
          <cell r="A10023" t="str">
            <v>M.PT.0006162</v>
          </cell>
        </row>
        <row r="10024">
          <cell r="A10024" t="str">
            <v>M.PT.0006163</v>
          </cell>
        </row>
        <row r="10025">
          <cell r="A10025" t="str">
            <v>M.PT.0006164</v>
          </cell>
        </row>
        <row r="10026">
          <cell r="A10026" t="str">
            <v>M.PT.0006165</v>
          </cell>
        </row>
        <row r="10027">
          <cell r="A10027" t="str">
            <v>M.PT.0006166</v>
          </cell>
        </row>
        <row r="10028">
          <cell r="A10028" t="str">
            <v>M.PT.0006167</v>
          </cell>
        </row>
        <row r="10029">
          <cell r="A10029" t="str">
            <v>M.PT.0006168</v>
          </cell>
        </row>
        <row r="10030">
          <cell r="A10030" t="str">
            <v>M.PT.0006169</v>
          </cell>
        </row>
        <row r="10031">
          <cell r="A10031" t="str">
            <v>M.PT.0006170</v>
          </cell>
        </row>
        <row r="10032">
          <cell r="A10032" t="str">
            <v>M.PT.0006171</v>
          </cell>
        </row>
        <row r="10033">
          <cell r="A10033" t="str">
            <v>M.PT.0006172</v>
          </cell>
        </row>
        <row r="10034">
          <cell r="A10034" t="str">
            <v>M.PT.0006173</v>
          </cell>
        </row>
        <row r="10035">
          <cell r="A10035" t="str">
            <v>M.PT.0006174</v>
          </cell>
        </row>
        <row r="10036">
          <cell r="A10036" t="str">
            <v>M.PT.0006175</v>
          </cell>
        </row>
        <row r="10037">
          <cell r="A10037" t="str">
            <v>M.PT.0006176</v>
          </cell>
        </row>
        <row r="10038">
          <cell r="A10038" t="str">
            <v>M.PT.0006177</v>
          </cell>
        </row>
        <row r="10039">
          <cell r="A10039" t="str">
            <v>M.PT.0006178</v>
          </cell>
        </row>
        <row r="10040">
          <cell r="A10040" t="str">
            <v>M.PT.0006179</v>
          </cell>
        </row>
        <row r="10041">
          <cell r="A10041" t="str">
            <v>M.PT.0006180</v>
          </cell>
        </row>
        <row r="10042">
          <cell r="A10042" t="str">
            <v>M.PT.0006181</v>
          </cell>
        </row>
        <row r="10043">
          <cell r="A10043" t="str">
            <v>M.PT.0006182</v>
          </cell>
        </row>
        <row r="10044">
          <cell r="A10044" t="str">
            <v>M.PT.0006183</v>
          </cell>
        </row>
        <row r="10045">
          <cell r="A10045" t="str">
            <v>M.PT.0006184</v>
          </cell>
        </row>
        <row r="10046">
          <cell r="A10046" t="str">
            <v>M.PT.0006185</v>
          </cell>
        </row>
        <row r="10047">
          <cell r="A10047" t="str">
            <v>M.PT.0006186</v>
          </cell>
        </row>
        <row r="10048">
          <cell r="A10048" t="str">
            <v>M.PT.0006187</v>
          </cell>
        </row>
        <row r="10049">
          <cell r="A10049" t="str">
            <v>M.PT.0006188</v>
          </cell>
        </row>
        <row r="10050">
          <cell r="A10050" t="str">
            <v>M.PT.0006189</v>
          </cell>
        </row>
        <row r="10051">
          <cell r="A10051" t="str">
            <v>M.PT.0006190</v>
          </cell>
        </row>
        <row r="10052">
          <cell r="A10052" t="str">
            <v>M.PT.0006191</v>
          </cell>
        </row>
        <row r="10053">
          <cell r="A10053" t="str">
            <v>M.PT.0006192</v>
          </cell>
        </row>
        <row r="10054">
          <cell r="A10054" t="str">
            <v>M.PT.0006193</v>
          </cell>
        </row>
        <row r="10055">
          <cell r="A10055" t="str">
            <v>M.PT.0006194</v>
          </cell>
        </row>
        <row r="10056">
          <cell r="A10056" t="str">
            <v>M.PT.0006195</v>
          </cell>
        </row>
        <row r="10057">
          <cell r="A10057" t="str">
            <v>M.PT.0006196</v>
          </cell>
        </row>
        <row r="10058">
          <cell r="A10058" t="str">
            <v>M.PT.0006197</v>
          </cell>
        </row>
        <row r="10059">
          <cell r="A10059" t="str">
            <v>M.PT.0006198</v>
          </cell>
        </row>
        <row r="10060">
          <cell r="A10060" t="str">
            <v>M.PT.0006199</v>
          </cell>
        </row>
        <row r="10061">
          <cell r="A10061" t="str">
            <v>M.PT.0006200</v>
          </cell>
        </row>
        <row r="10062">
          <cell r="A10062" t="str">
            <v>M.PT.0006201</v>
          </cell>
        </row>
        <row r="10063">
          <cell r="A10063" t="str">
            <v>M.PT.0006202</v>
          </cell>
        </row>
        <row r="10064">
          <cell r="A10064" t="str">
            <v>M.PT.0006203</v>
          </cell>
        </row>
        <row r="10065">
          <cell r="A10065" t="str">
            <v>M.PT.0006204</v>
          </cell>
        </row>
        <row r="10066">
          <cell r="A10066" t="str">
            <v>M.PT.0006205</v>
          </cell>
        </row>
        <row r="10067">
          <cell r="A10067" t="str">
            <v>M.PT.0006206</v>
          </cell>
        </row>
        <row r="10068">
          <cell r="A10068" t="str">
            <v>M.PT.0006207</v>
          </cell>
        </row>
        <row r="10069">
          <cell r="A10069" t="str">
            <v>M.PT.0006208</v>
          </cell>
        </row>
        <row r="10070">
          <cell r="A10070" t="str">
            <v>M.PT.0006209</v>
          </cell>
        </row>
        <row r="10071">
          <cell r="A10071" t="str">
            <v>M.PT.0006210</v>
          </cell>
        </row>
        <row r="10072">
          <cell r="A10072" t="str">
            <v>M.PT.0006211</v>
          </cell>
        </row>
        <row r="10073">
          <cell r="A10073" t="str">
            <v>M.PT.0006212</v>
          </cell>
        </row>
        <row r="10074">
          <cell r="A10074" t="str">
            <v>M.PT.0006213</v>
          </cell>
        </row>
        <row r="10075">
          <cell r="A10075" t="str">
            <v>M.PT.0006214</v>
          </cell>
        </row>
        <row r="10076">
          <cell r="A10076" t="str">
            <v>M.PT.0006215</v>
          </cell>
        </row>
        <row r="10077">
          <cell r="A10077" t="str">
            <v>M.PT.0006216</v>
          </cell>
        </row>
        <row r="10078">
          <cell r="A10078" t="str">
            <v>M.PT.0006217</v>
          </cell>
        </row>
        <row r="10079">
          <cell r="A10079" t="str">
            <v>M.PT.0006218</v>
          </cell>
        </row>
        <row r="10080">
          <cell r="A10080" t="str">
            <v>M.PT.0006219</v>
          </cell>
        </row>
        <row r="10081">
          <cell r="A10081" t="str">
            <v>M.PT.0006220</v>
          </cell>
        </row>
        <row r="10082">
          <cell r="A10082" t="str">
            <v>M.PT.0006221</v>
          </cell>
        </row>
        <row r="10083">
          <cell r="A10083" t="str">
            <v>M.PT.0006222</v>
          </cell>
        </row>
        <row r="10084">
          <cell r="A10084" t="str">
            <v>M.PT.0006223</v>
          </cell>
        </row>
        <row r="10085">
          <cell r="A10085" t="str">
            <v>M.PT.0006224</v>
          </cell>
        </row>
        <row r="10086">
          <cell r="A10086" t="str">
            <v>M.PT.0006225</v>
          </cell>
        </row>
        <row r="10087">
          <cell r="A10087" t="str">
            <v>M.PT.0006226</v>
          </cell>
        </row>
        <row r="10088">
          <cell r="A10088" t="str">
            <v>M.PT.0006227</v>
          </cell>
        </row>
        <row r="10089">
          <cell r="A10089" t="str">
            <v>M.PT.0006228</v>
          </cell>
        </row>
        <row r="10090">
          <cell r="A10090" t="str">
            <v>M.PT.0006229</v>
          </cell>
        </row>
        <row r="10091">
          <cell r="A10091" t="str">
            <v>M.PT.0006230</v>
          </cell>
        </row>
        <row r="10092">
          <cell r="A10092" t="str">
            <v>M.PT.0006231</v>
          </cell>
        </row>
        <row r="10093">
          <cell r="A10093" t="str">
            <v>M.PT.0006232</v>
          </cell>
        </row>
        <row r="10094">
          <cell r="A10094" t="str">
            <v>M.PT.0006233</v>
          </cell>
        </row>
        <row r="10095">
          <cell r="A10095" t="str">
            <v>M.PT.0006234</v>
          </cell>
        </row>
        <row r="10096">
          <cell r="A10096" t="str">
            <v>M.PT.0006235</v>
          </cell>
        </row>
        <row r="10097">
          <cell r="A10097" t="str">
            <v>M.PT.0006236</v>
          </cell>
        </row>
        <row r="10098">
          <cell r="A10098" t="str">
            <v>M.PT.0006237</v>
          </cell>
        </row>
        <row r="10099">
          <cell r="A10099" t="str">
            <v>M.PT.0006238</v>
          </cell>
        </row>
        <row r="10100">
          <cell r="A10100" t="str">
            <v>M.PT.0006239</v>
          </cell>
        </row>
        <row r="10101">
          <cell r="A10101" t="str">
            <v>M.PT.0006240</v>
          </cell>
        </row>
        <row r="10102">
          <cell r="A10102" t="str">
            <v>M.PT.0006241</v>
          </cell>
        </row>
        <row r="10103">
          <cell r="A10103" t="str">
            <v>M.PT.0006242</v>
          </cell>
        </row>
        <row r="10104">
          <cell r="A10104" t="str">
            <v>M.PT.0006243</v>
          </cell>
        </row>
        <row r="10105">
          <cell r="A10105" t="str">
            <v>M.PT.0006244</v>
          </cell>
        </row>
        <row r="10106">
          <cell r="A10106" t="str">
            <v>M.PT.0006245</v>
          </cell>
        </row>
        <row r="10107">
          <cell r="A10107" t="str">
            <v>M.PT.0006246</v>
          </cell>
        </row>
        <row r="10108">
          <cell r="A10108" t="str">
            <v>M.PT.0006247</v>
          </cell>
        </row>
        <row r="10109">
          <cell r="A10109" t="str">
            <v>M.PT.0006248</v>
          </cell>
        </row>
        <row r="10110">
          <cell r="A10110" t="str">
            <v>M.PT.0006249</v>
          </cell>
        </row>
        <row r="10111">
          <cell r="A10111" t="str">
            <v>M.PT.0006250</v>
          </cell>
        </row>
        <row r="10112">
          <cell r="A10112" t="str">
            <v>M.PT.0006251</v>
          </cell>
        </row>
        <row r="10113">
          <cell r="A10113" t="str">
            <v>M.PT.0006252</v>
          </cell>
        </row>
        <row r="10114">
          <cell r="A10114" t="str">
            <v>M.PT.0006253</v>
          </cell>
        </row>
        <row r="10115">
          <cell r="A10115" t="str">
            <v>M.PT.0006254</v>
          </cell>
        </row>
        <row r="10116">
          <cell r="A10116" t="str">
            <v>M.PT.0006255</v>
          </cell>
        </row>
        <row r="10117">
          <cell r="A10117" t="str">
            <v>M.PT.0006256</v>
          </cell>
        </row>
        <row r="10118">
          <cell r="A10118" t="str">
            <v>M.PT.0006257</v>
          </cell>
        </row>
        <row r="10119">
          <cell r="A10119" t="str">
            <v>M.PT.0006258</v>
          </cell>
        </row>
        <row r="10120">
          <cell r="A10120" t="str">
            <v>M.PT.0006259</v>
          </cell>
        </row>
        <row r="10121">
          <cell r="A10121" t="str">
            <v>M.PT.0006260</v>
          </cell>
        </row>
        <row r="10122">
          <cell r="A10122" t="str">
            <v>M.PT.0006261</v>
          </cell>
        </row>
        <row r="10123">
          <cell r="A10123" t="str">
            <v>M.PT.0006262</v>
          </cell>
        </row>
        <row r="10124">
          <cell r="A10124" t="str">
            <v>M.PT.0006263</v>
          </cell>
        </row>
        <row r="10125">
          <cell r="A10125" t="str">
            <v>M.PT.0006264</v>
          </cell>
        </row>
        <row r="10126">
          <cell r="A10126" t="str">
            <v>M.PT.0006265</v>
          </cell>
        </row>
        <row r="10127">
          <cell r="A10127" t="str">
            <v>M.PT.0006266</v>
          </cell>
        </row>
        <row r="10128">
          <cell r="A10128" t="str">
            <v>M.PT.0006267</v>
          </cell>
        </row>
        <row r="10129">
          <cell r="A10129" t="str">
            <v>M.PT.0006268</v>
          </cell>
        </row>
        <row r="10130">
          <cell r="A10130" t="str">
            <v>M.PT.0006269</v>
          </cell>
        </row>
        <row r="10131">
          <cell r="A10131" t="str">
            <v>M.PT.0006270</v>
          </cell>
        </row>
        <row r="10132">
          <cell r="A10132" t="str">
            <v>M.PT.0006271</v>
          </cell>
        </row>
        <row r="10133">
          <cell r="A10133" t="str">
            <v>M.PT.0006272</v>
          </cell>
        </row>
        <row r="10134">
          <cell r="A10134" t="str">
            <v>M.PT.0006273</v>
          </cell>
        </row>
        <row r="10135">
          <cell r="A10135" t="str">
            <v>M.PT.0006274</v>
          </cell>
        </row>
        <row r="10136">
          <cell r="A10136" t="str">
            <v>M.PT.0006275</v>
          </cell>
        </row>
        <row r="10137">
          <cell r="A10137" t="str">
            <v>M.PT.0006276</v>
          </cell>
        </row>
        <row r="10138">
          <cell r="A10138" t="str">
            <v>M.PT.0006277</v>
          </cell>
        </row>
        <row r="10139">
          <cell r="A10139" t="str">
            <v>M.PT.0006278</v>
          </cell>
        </row>
        <row r="10140">
          <cell r="A10140" t="str">
            <v>M.PT.0006279</v>
          </cell>
        </row>
        <row r="10141">
          <cell r="A10141" t="str">
            <v>M.PT.0006280</v>
          </cell>
        </row>
        <row r="10142">
          <cell r="A10142" t="str">
            <v>M.PT.0006281</v>
          </cell>
        </row>
        <row r="10143">
          <cell r="A10143" t="str">
            <v>M.PT.0006282</v>
          </cell>
        </row>
        <row r="10144">
          <cell r="A10144" t="str">
            <v>M.PT.0006283</v>
          </cell>
        </row>
        <row r="10145">
          <cell r="A10145" t="str">
            <v>M.PT.0006284</v>
          </cell>
        </row>
        <row r="10146">
          <cell r="A10146" t="str">
            <v>M.PT.0006285</v>
          </cell>
        </row>
        <row r="10147">
          <cell r="A10147" t="str">
            <v>M.PT.0006286</v>
          </cell>
        </row>
        <row r="10148">
          <cell r="A10148" t="str">
            <v>M.PT.0006287</v>
          </cell>
        </row>
        <row r="10149">
          <cell r="A10149" t="str">
            <v>M.PT.0006288</v>
          </cell>
        </row>
        <row r="10150">
          <cell r="A10150" t="str">
            <v>M.PT.0006289</v>
          </cell>
        </row>
        <row r="10151">
          <cell r="A10151" t="str">
            <v>M.PT.0006290</v>
          </cell>
        </row>
        <row r="10152">
          <cell r="A10152" t="str">
            <v>M.PT.0006291</v>
          </cell>
        </row>
        <row r="10153">
          <cell r="A10153" t="str">
            <v>M.PT.0006292</v>
          </cell>
        </row>
        <row r="10154">
          <cell r="A10154" t="str">
            <v>M.PT.0006293</v>
          </cell>
        </row>
        <row r="10155">
          <cell r="A10155" t="str">
            <v>M.PT.0006294</v>
          </cell>
        </row>
        <row r="10156">
          <cell r="A10156" t="str">
            <v>M.PT.0006295</v>
          </cell>
        </row>
        <row r="10157">
          <cell r="A10157" t="str">
            <v>M.PT.0006296</v>
          </cell>
        </row>
        <row r="10158">
          <cell r="A10158" t="str">
            <v>M.PT.0006297</v>
          </cell>
        </row>
        <row r="10159">
          <cell r="A10159" t="str">
            <v>M.PT.0006298</v>
          </cell>
        </row>
        <row r="10160">
          <cell r="A10160" t="str">
            <v>M.PT.0006299</v>
          </cell>
        </row>
        <row r="10161">
          <cell r="A10161" t="str">
            <v>M.PT.0006300</v>
          </cell>
        </row>
        <row r="10162">
          <cell r="A10162" t="str">
            <v>M.PT.0006301</v>
          </cell>
        </row>
        <row r="10163">
          <cell r="A10163" t="str">
            <v>M.PT.0006302</v>
          </cell>
        </row>
        <row r="10164">
          <cell r="A10164" t="str">
            <v>M.PT.0006303</v>
          </cell>
        </row>
        <row r="10165">
          <cell r="A10165" t="str">
            <v>M.PT.0006304</v>
          </cell>
        </row>
        <row r="10166">
          <cell r="A10166" t="str">
            <v>M.PT.0006305</v>
          </cell>
        </row>
        <row r="10167">
          <cell r="A10167" t="str">
            <v>M.PT.0006306</v>
          </cell>
        </row>
        <row r="10168">
          <cell r="A10168" t="str">
            <v>M.PT.0006307</v>
          </cell>
        </row>
        <row r="10169">
          <cell r="A10169" t="str">
            <v>M.PT.0006308</v>
          </cell>
        </row>
        <row r="10170">
          <cell r="A10170" t="str">
            <v>M.PT.0006309</v>
          </cell>
        </row>
        <row r="10171">
          <cell r="A10171" t="str">
            <v>M.PT.0006310</v>
          </cell>
        </row>
        <row r="10172">
          <cell r="A10172" t="str">
            <v>M.PT.0006311</v>
          </cell>
        </row>
        <row r="10173">
          <cell r="A10173" t="str">
            <v>M.PT.0006312</v>
          </cell>
        </row>
        <row r="10174">
          <cell r="A10174" t="str">
            <v>M.PT.0006313</v>
          </cell>
        </row>
        <row r="10175">
          <cell r="A10175" t="str">
            <v>M.PT.0006314</v>
          </cell>
        </row>
        <row r="10176">
          <cell r="A10176" t="str">
            <v>M.PT.0006315</v>
          </cell>
        </row>
        <row r="10177">
          <cell r="A10177" t="str">
            <v>M.PT.0006316</v>
          </cell>
        </row>
        <row r="10178">
          <cell r="A10178" t="str">
            <v>M.PT.0006317</v>
          </cell>
        </row>
        <row r="10179">
          <cell r="A10179" t="str">
            <v>M.PT.0006318</v>
          </cell>
        </row>
        <row r="10180">
          <cell r="A10180" t="str">
            <v>M.PT.0006319</v>
          </cell>
        </row>
        <row r="10181">
          <cell r="A10181" t="str">
            <v>M.PT.0006320</v>
          </cell>
        </row>
        <row r="10182">
          <cell r="A10182" t="str">
            <v>M.PT.0006321</v>
          </cell>
        </row>
        <row r="10183">
          <cell r="A10183" t="str">
            <v>M.PT.0006322</v>
          </cell>
        </row>
        <row r="10184">
          <cell r="A10184" t="str">
            <v>M.PT.0006323</v>
          </cell>
        </row>
        <row r="10185">
          <cell r="A10185" t="str">
            <v>M.PT.0006324</v>
          </cell>
        </row>
        <row r="10186">
          <cell r="A10186" t="str">
            <v>M.PT.0006325</v>
          </cell>
        </row>
        <row r="10187">
          <cell r="A10187" t="str">
            <v>M.PT.0006326</v>
          </cell>
        </row>
        <row r="10188">
          <cell r="A10188" t="str">
            <v>M.PT.0006327</v>
          </cell>
        </row>
        <row r="10189">
          <cell r="A10189" t="str">
            <v>M.PT.0006328</v>
          </cell>
        </row>
        <row r="10190">
          <cell r="A10190" t="str">
            <v>M.PT.0006329</v>
          </cell>
        </row>
        <row r="10191">
          <cell r="A10191" t="str">
            <v>M.PT.0006330</v>
          </cell>
        </row>
        <row r="10192">
          <cell r="A10192" t="str">
            <v>M.PT.0006331</v>
          </cell>
        </row>
        <row r="10193">
          <cell r="A10193" t="str">
            <v>M.PT.0006332</v>
          </cell>
        </row>
        <row r="10194">
          <cell r="A10194" t="str">
            <v>M.PT.0006333</v>
          </cell>
        </row>
        <row r="10195">
          <cell r="A10195" t="str">
            <v>M.PT.0006334</v>
          </cell>
        </row>
        <row r="10196">
          <cell r="A10196" t="str">
            <v>M.PT.0006335</v>
          </cell>
        </row>
        <row r="10197">
          <cell r="A10197" t="str">
            <v>M.PT.0006336</v>
          </cell>
        </row>
        <row r="10198">
          <cell r="A10198" t="str">
            <v>M.PT.0006337</v>
          </cell>
        </row>
        <row r="10199">
          <cell r="A10199" t="str">
            <v>M.PT.0006338</v>
          </cell>
        </row>
        <row r="10200">
          <cell r="A10200" t="str">
            <v>M.PT.0006339</v>
          </cell>
        </row>
        <row r="10201">
          <cell r="A10201" t="str">
            <v>M.PT.0006340</v>
          </cell>
        </row>
        <row r="10202">
          <cell r="A10202" t="str">
            <v>M.PT.0006341</v>
          </cell>
        </row>
        <row r="10203">
          <cell r="A10203" t="str">
            <v>M.PT.0006342</v>
          </cell>
        </row>
        <row r="10204">
          <cell r="A10204" t="str">
            <v>M.PT.0006343</v>
          </cell>
        </row>
        <row r="10205">
          <cell r="A10205" t="str">
            <v>M.PT.0006344</v>
          </cell>
        </row>
        <row r="10206">
          <cell r="A10206" t="str">
            <v>M.PT.0006345</v>
          </cell>
        </row>
        <row r="10207">
          <cell r="A10207" t="str">
            <v>M.PT.0006346</v>
          </cell>
        </row>
        <row r="10208">
          <cell r="A10208" t="str">
            <v>M.PT.0006347</v>
          </cell>
        </row>
        <row r="10209">
          <cell r="A10209" t="str">
            <v>M.PT.0006348</v>
          </cell>
        </row>
        <row r="10210">
          <cell r="A10210" t="str">
            <v>M.PT.0006349</v>
          </cell>
        </row>
        <row r="10211">
          <cell r="A10211" t="str">
            <v>M.PT.0006350</v>
          </cell>
        </row>
        <row r="10212">
          <cell r="A10212" t="str">
            <v>M.PT.0006351</v>
          </cell>
        </row>
        <row r="10213">
          <cell r="A10213" t="str">
            <v>M.PT.0006352</v>
          </cell>
        </row>
        <row r="10214">
          <cell r="A10214" t="str">
            <v>M.PT.0006353</v>
          </cell>
        </row>
        <row r="10215">
          <cell r="A10215" t="str">
            <v>M.PT.0006354</v>
          </cell>
        </row>
        <row r="10216">
          <cell r="A10216" t="str">
            <v>M.PT.0006355</v>
          </cell>
        </row>
        <row r="10217">
          <cell r="A10217" t="str">
            <v>M.PT.0006356</v>
          </cell>
        </row>
        <row r="10218">
          <cell r="A10218" t="str">
            <v>M.PT.0006357</v>
          </cell>
        </row>
        <row r="10219">
          <cell r="A10219" t="str">
            <v>M.PT.0006358</v>
          </cell>
        </row>
        <row r="10220">
          <cell r="A10220" t="str">
            <v>M.PT.0006359</v>
          </cell>
        </row>
        <row r="10221">
          <cell r="A10221" t="str">
            <v>M.PT.0006360</v>
          </cell>
        </row>
        <row r="10222">
          <cell r="A10222" t="str">
            <v>M.PT.0006361</v>
          </cell>
        </row>
        <row r="10223">
          <cell r="A10223" t="str">
            <v>M.PT.0006362</v>
          </cell>
        </row>
        <row r="10224">
          <cell r="A10224" t="str">
            <v>M.PT.0006363</v>
          </cell>
        </row>
        <row r="10225">
          <cell r="A10225" t="str">
            <v>M.PT.0006364</v>
          </cell>
        </row>
        <row r="10226">
          <cell r="A10226" t="str">
            <v>M.PT.0006365</v>
          </cell>
        </row>
        <row r="10227">
          <cell r="A10227" t="str">
            <v>M.PT.0006366</v>
          </cell>
        </row>
        <row r="10228">
          <cell r="A10228" t="str">
            <v>M.PT.0006367</v>
          </cell>
        </row>
        <row r="10229">
          <cell r="A10229" t="str">
            <v>M.PT.0006368</v>
          </cell>
        </row>
        <row r="10230">
          <cell r="A10230" t="str">
            <v>M.PT.0006369</v>
          </cell>
        </row>
        <row r="10231">
          <cell r="A10231" t="str">
            <v>M.PT.0006370</v>
          </cell>
        </row>
        <row r="10232">
          <cell r="A10232" t="str">
            <v>M.PT.0006371</v>
          </cell>
        </row>
        <row r="10233">
          <cell r="A10233" t="str">
            <v>M.PT.0006372</v>
          </cell>
        </row>
        <row r="10234">
          <cell r="A10234" t="str">
            <v>M.PT.0006373</v>
          </cell>
        </row>
        <row r="10235">
          <cell r="A10235" t="str">
            <v>M.PT.0006374</v>
          </cell>
        </row>
        <row r="10236">
          <cell r="A10236" t="str">
            <v>M.PT.0006375</v>
          </cell>
        </row>
        <row r="10237">
          <cell r="A10237" t="str">
            <v>M.PT.0006376</v>
          </cell>
        </row>
        <row r="10238">
          <cell r="A10238" t="str">
            <v>M.PT.0006377</v>
          </cell>
        </row>
        <row r="10239">
          <cell r="A10239" t="str">
            <v>M.PT.0006378</v>
          </cell>
        </row>
        <row r="10240">
          <cell r="A10240" t="str">
            <v>M.PT.0006379</v>
          </cell>
        </row>
        <row r="10241">
          <cell r="A10241" t="str">
            <v>M.PT.0006380</v>
          </cell>
        </row>
        <row r="10242">
          <cell r="A10242" t="str">
            <v>M.PT.0006381</v>
          </cell>
        </row>
        <row r="10243">
          <cell r="A10243" t="str">
            <v>M.PT.0006382</v>
          </cell>
        </row>
        <row r="10244">
          <cell r="A10244" t="str">
            <v>M.PT.0006383</v>
          </cell>
        </row>
        <row r="10245">
          <cell r="A10245" t="str">
            <v>M.PT.0006384</v>
          </cell>
        </row>
        <row r="10246">
          <cell r="A10246" t="str">
            <v>M.PT.0006385</v>
          </cell>
        </row>
        <row r="10247">
          <cell r="A10247" t="str">
            <v>M.PT.0006386</v>
          </cell>
        </row>
        <row r="10248">
          <cell r="A10248" t="str">
            <v>M.PT.0006387</v>
          </cell>
        </row>
        <row r="10249">
          <cell r="A10249" t="str">
            <v>M.PT.0006388</v>
          </cell>
        </row>
        <row r="10250">
          <cell r="A10250" t="str">
            <v>M.PT.0006389</v>
          </cell>
        </row>
        <row r="10251">
          <cell r="A10251" t="str">
            <v>M.PT.0006390</v>
          </cell>
        </row>
        <row r="10252">
          <cell r="A10252" t="str">
            <v>M.PT.0006391</v>
          </cell>
        </row>
        <row r="10253">
          <cell r="A10253" t="str">
            <v>M.PT.0006392</v>
          </cell>
        </row>
        <row r="10254">
          <cell r="A10254" t="str">
            <v>M.PT.0006393</v>
          </cell>
        </row>
        <row r="10255">
          <cell r="A10255" t="str">
            <v>M.PT.0006394</v>
          </cell>
        </row>
        <row r="10256">
          <cell r="A10256" t="str">
            <v>M.PT.0006395</v>
          </cell>
        </row>
        <row r="10257">
          <cell r="A10257" t="str">
            <v>M.PT.0006396</v>
          </cell>
        </row>
        <row r="10258">
          <cell r="A10258" t="str">
            <v>M.PT.0006397</v>
          </cell>
        </row>
        <row r="10259">
          <cell r="A10259" t="str">
            <v>M.PT.0006398</v>
          </cell>
        </row>
        <row r="10260">
          <cell r="A10260" t="str">
            <v>M.PT.0006399</v>
          </cell>
        </row>
        <row r="10261">
          <cell r="A10261" t="str">
            <v>M.PT.0006400</v>
          </cell>
        </row>
        <row r="10262">
          <cell r="A10262" t="str">
            <v>M.PT.0006401</v>
          </cell>
        </row>
        <row r="10263">
          <cell r="A10263" t="str">
            <v>M.PT.0006402</v>
          </cell>
        </row>
        <row r="10264">
          <cell r="A10264" t="str">
            <v>M.PT.0006403</v>
          </cell>
        </row>
        <row r="10265">
          <cell r="A10265" t="str">
            <v>M.PT.0006404</v>
          </cell>
        </row>
        <row r="10266">
          <cell r="A10266" t="str">
            <v>M.PT.0006405</v>
          </cell>
        </row>
        <row r="10267">
          <cell r="A10267" t="str">
            <v>M.PT.0006406</v>
          </cell>
        </row>
        <row r="10268">
          <cell r="A10268" t="str">
            <v>M.PT.0006407</v>
          </cell>
        </row>
        <row r="10269">
          <cell r="A10269" t="str">
            <v>M.PT.0006408</v>
          </cell>
        </row>
        <row r="10270">
          <cell r="A10270" t="str">
            <v>M.PT.0006409</v>
          </cell>
        </row>
        <row r="10271">
          <cell r="A10271" t="str">
            <v>M.PT.0006410</v>
          </cell>
        </row>
        <row r="10272">
          <cell r="A10272" t="str">
            <v>M.PT.0006411</v>
          </cell>
        </row>
        <row r="10273">
          <cell r="A10273" t="str">
            <v>M.PT.0006412</v>
          </cell>
        </row>
        <row r="10274">
          <cell r="A10274" t="str">
            <v>M.PT.0006413</v>
          </cell>
        </row>
        <row r="10275">
          <cell r="A10275" t="str">
            <v>M.PT.0006414</v>
          </cell>
        </row>
        <row r="10276">
          <cell r="A10276" t="str">
            <v>M.PT.0006415</v>
          </cell>
        </row>
        <row r="10277">
          <cell r="A10277" t="str">
            <v>M.PT.0006416</v>
          </cell>
        </row>
        <row r="10278">
          <cell r="A10278" t="str">
            <v>M.PT.0006417</v>
          </cell>
        </row>
        <row r="10279">
          <cell r="A10279" t="str">
            <v>M.PT.0006418</v>
          </cell>
        </row>
        <row r="10280">
          <cell r="A10280" t="str">
            <v>M.PT.0006419</v>
          </cell>
        </row>
        <row r="10281">
          <cell r="A10281" t="str">
            <v>M.PT.0006420</v>
          </cell>
        </row>
        <row r="10282">
          <cell r="A10282" t="str">
            <v>M.PT.0006421</v>
          </cell>
        </row>
        <row r="10283">
          <cell r="A10283" t="str">
            <v>M.PT.0006422</v>
          </cell>
        </row>
        <row r="10284">
          <cell r="A10284" t="str">
            <v>M.PT.0006423</v>
          </cell>
        </row>
        <row r="10285">
          <cell r="A10285" t="str">
            <v>M.PT.0006424</v>
          </cell>
        </row>
        <row r="10286">
          <cell r="A10286" t="str">
            <v>M.PT.0006425</v>
          </cell>
        </row>
        <row r="10287">
          <cell r="A10287" t="str">
            <v>M.PT.0006426</v>
          </cell>
        </row>
        <row r="10288">
          <cell r="A10288" t="str">
            <v>M.PT.0006427</v>
          </cell>
        </row>
        <row r="10289">
          <cell r="A10289" t="str">
            <v>M.PT.0006428</v>
          </cell>
        </row>
        <row r="10290">
          <cell r="A10290" t="str">
            <v>M.PT.0006429</v>
          </cell>
        </row>
        <row r="10291">
          <cell r="A10291" t="str">
            <v>M.PT.0006430</v>
          </cell>
        </row>
        <row r="10292">
          <cell r="A10292" t="str">
            <v>M.PT.0006431</v>
          </cell>
        </row>
        <row r="10293">
          <cell r="A10293" t="str">
            <v>M.PT.0006432</v>
          </cell>
        </row>
        <row r="10294">
          <cell r="A10294" t="str">
            <v>M.PT.0006433</v>
          </cell>
        </row>
        <row r="10295">
          <cell r="A10295" t="str">
            <v>M.PT.0006434</v>
          </cell>
        </row>
        <row r="10296">
          <cell r="A10296" t="str">
            <v>M.PT.0006435</v>
          </cell>
        </row>
        <row r="10297">
          <cell r="A10297" t="str">
            <v>M.PT.0006436</v>
          </cell>
        </row>
        <row r="10298">
          <cell r="A10298" t="str">
            <v>M.PT.0006437</v>
          </cell>
        </row>
        <row r="10299">
          <cell r="A10299" t="str">
            <v>M.PT.0006438</v>
          </cell>
        </row>
        <row r="10300">
          <cell r="A10300" t="str">
            <v>M.PT.0006439</v>
          </cell>
        </row>
        <row r="10301">
          <cell r="A10301" t="str">
            <v>M.PT.0006440</v>
          </cell>
        </row>
        <row r="10302">
          <cell r="A10302" t="str">
            <v>M.PT.0006441</v>
          </cell>
        </row>
        <row r="10303">
          <cell r="A10303" t="str">
            <v>M.PT.0006442</v>
          </cell>
        </row>
        <row r="10304">
          <cell r="A10304" t="str">
            <v>M.PT.0006443</v>
          </cell>
        </row>
        <row r="10305">
          <cell r="A10305" t="str">
            <v>M.PT.0006444</v>
          </cell>
        </row>
        <row r="10306">
          <cell r="A10306" t="str">
            <v>M.PT.0006445</v>
          </cell>
        </row>
        <row r="10307">
          <cell r="A10307" t="str">
            <v>M.PT.0006446</v>
          </cell>
        </row>
        <row r="10308">
          <cell r="A10308" t="str">
            <v>M.PT.0006447</v>
          </cell>
        </row>
        <row r="10309">
          <cell r="A10309" t="str">
            <v>M.PT.0006448</v>
          </cell>
        </row>
        <row r="10310">
          <cell r="A10310" t="str">
            <v>M.PT.0006449</v>
          </cell>
        </row>
        <row r="10311">
          <cell r="A10311" t="str">
            <v>M.PT.0006450</v>
          </cell>
        </row>
        <row r="10312">
          <cell r="A10312" t="str">
            <v>M.PT.0006451</v>
          </cell>
        </row>
        <row r="10313">
          <cell r="A10313" t="str">
            <v>M.PT.0006452</v>
          </cell>
        </row>
        <row r="10314">
          <cell r="A10314" t="str">
            <v>M.PT.0006453</v>
          </cell>
        </row>
        <row r="10315">
          <cell r="A10315" t="str">
            <v>M.PT.0006454</v>
          </cell>
        </row>
        <row r="10316">
          <cell r="A10316" t="str">
            <v>M.PT.0006455</v>
          </cell>
        </row>
        <row r="10317">
          <cell r="A10317" t="str">
            <v>M.PT.0006456</v>
          </cell>
        </row>
        <row r="10318">
          <cell r="A10318" t="str">
            <v>M.PT.0006457</v>
          </cell>
        </row>
        <row r="10319">
          <cell r="A10319" t="str">
            <v>M.PT.0006458</v>
          </cell>
        </row>
        <row r="10320">
          <cell r="A10320" t="str">
            <v>M.PT.0006459</v>
          </cell>
        </row>
        <row r="10321">
          <cell r="A10321" t="str">
            <v>M.PT.0006460</v>
          </cell>
        </row>
        <row r="10322">
          <cell r="A10322" t="str">
            <v>M.PT.0006461</v>
          </cell>
        </row>
        <row r="10323">
          <cell r="A10323" t="str">
            <v>M.PT.0006462</v>
          </cell>
        </row>
        <row r="10324">
          <cell r="A10324" t="str">
            <v>M.PT.0006463</v>
          </cell>
        </row>
        <row r="10325">
          <cell r="A10325" t="str">
            <v>M.PT.0006464</v>
          </cell>
        </row>
        <row r="10326">
          <cell r="A10326" t="str">
            <v>M.PT.0006465</v>
          </cell>
        </row>
        <row r="10327">
          <cell r="A10327" t="str">
            <v>M.PT.0006466</v>
          </cell>
        </row>
        <row r="10328">
          <cell r="A10328" t="str">
            <v>M.PT.0006467</v>
          </cell>
        </row>
        <row r="10329">
          <cell r="A10329" t="str">
            <v>M.PT.0006468</v>
          </cell>
        </row>
        <row r="10330">
          <cell r="A10330" t="str">
            <v>M.PT.0006469</v>
          </cell>
        </row>
        <row r="10331">
          <cell r="A10331" t="str">
            <v>M.PT.0006470</v>
          </cell>
        </row>
        <row r="10332">
          <cell r="A10332" t="str">
            <v>M.PT.0006471</v>
          </cell>
        </row>
        <row r="10333">
          <cell r="A10333" t="str">
            <v>M.PT.0006472</v>
          </cell>
        </row>
        <row r="10334">
          <cell r="A10334" t="str">
            <v>M.PT.0006473</v>
          </cell>
        </row>
        <row r="10335">
          <cell r="A10335" t="str">
            <v>M.PT.0006474</v>
          </cell>
        </row>
        <row r="10336">
          <cell r="A10336" t="str">
            <v>M.PT.0006475</v>
          </cell>
        </row>
        <row r="10337">
          <cell r="A10337" t="str">
            <v>M.PT.0006476</v>
          </cell>
        </row>
        <row r="10338">
          <cell r="A10338" t="str">
            <v>M.PT.0006477</v>
          </cell>
        </row>
        <row r="10339">
          <cell r="A10339" t="str">
            <v>M.PT.0006478</v>
          </cell>
        </row>
        <row r="10340">
          <cell r="A10340" t="str">
            <v>M.PT.0006479</v>
          </cell>
        </row>
        <row r="10341">
          <cell r="A10341" t="str">
            <v>M.PT.0006480</v>
          </cell>
        </row>
        <row r="10342">
          <cell r="A10342" t="str">
            <v>M.PT.0006481</v>
          </cell>
        </row>
        <row r="10343">
          <cell r="A10343" t="str">
            <v>M.PT.0006482</v>
          </cell>
        </row>
        <row r="10344">
          <cell r="A10344" t="str">
            <v>M.PT.0006483</v>
          </cell>
        </row>
        <row r="10345">
          <cell r="A10345" t="str">
            <v>M.PT.0006484</v>
          </cell>
        </row>
        <row r="10346">
          <cell r="A10346" t="str">
            <v>M.PT.0006485</v>
          </cell>
        </row>
        <row r="10347">
          <cell r="A10347" t="str">
            <v>M.PT.0006486</v>
          </cell>
        </row>
        <row r="10348">
          <cell r="A10348" t="str">
            <v>M.PT.0006487</v>
          </cell>
        </row>
        <row r="10349">
          <cell r="A10349" t="str">
            <v>M.PT.0006488</v>
          </cell>
        </row>
        <row r="10350">
          <cell r="A10350" t="str">
            <v>M.PT.0006489</v>
          </cell>
        </row>
        <row r="10351">
          <cell r="A10351" t="str">
            <v>M.PT.0006490</v>
          </cell>
        </row>
        <row r="10352">
          <cell r="A10352" t="str">
            <v>M.PT.0006491</v>
          </cell>
        </row>
        <row r="10353">
          <cell r="A10353" t="str">
            <v>M.PT.0006492</v>
          </cell>
        </row>
        <row r="10354">
          <cell r="A10354" t="str">
            <v>M.PT.0006493</v>
          </cell>
        </row>
        <row r="10355">
          <cell r="A10355" t="str">
            <v>M.PT.0006494</v>
          </cell>
        </row>
        <row r="10356">
          <cell r="A10356" t="str">
            <v>M.PT.0006495</v>
          </cell>
        </row>
        <row r="10357">
          <cell r="A10357" t="str">
            <v>M.PT.0006496</v>
          </cell>
        </row>
        <row r="10358">
          <cell r="A10358" t="str">
            <v>M.PT.0006497</v>
          </cell>
        </row>
        <row r="10359">
          <cell r="A10359" t="str">
            <v>M.PT.0006498</v>
          </cell>
        </row>
        <row r="10360">
          <cell r="A10360" t="str">
            <v>M.PT.0006499</v>
          </cell>
        </row>
        <row r="10361">
          <cell r="A10361" t="str">
            <v>M.PT.0006500</v>
          </cell>
        </row>
        <row r="10362">
          <cell r="A10362" t="str">
            <v>M.PT.0006501</v>
          </cell>
        </row>
        <row r="10363">
          <cell r="A10363" t="str">
            <v>M.PT.0006502</v>
          </cell>
        </row>
        <row r="10364">
          <cell r="A10364" t="str">
            <v>M.PT.0006503</v>
          </cell>
        </row>
        <row r="10365">
          <cell r="A10365" t="str">
            <v>M.PT.0006504</v>
          </cell>
        </row>
        <row r="10366">
          <cell r="A10366" t="str">
            <v>M.PT.0006505</v>
          </cell>
        </row>
        <row r="10367">
          <cell r="A10367" t="str">
            <v>M.PT.0006506</v>
          </cell>
        </row>
        <row r="10368">
          <cell r="A10368" t="str">
            <v>M.PT.0006507</v>
          </cell>
        </row>
        <row r="10369">
          <cell r="A10369" t="str">
            <v>M.PT.0006508</v>
          </cell>
        </row>
        <row r="10370">
          <cell r="A10370" t="str">
            <v>M.PT.0006509</v>
          </cell>
        </row>
        <row r="10371">
          <cell r="A10371" t="str">
            <v>M.PT.0006510</v>
          </cell>
        </row>
        <row r="10372">
          <cell r="A10372" t="str">
            <v>M.PT.0006511</v>
          </cell>
        </row>
        <row r="10373">
          <cell r="A10373" t="str">
            <v>M.PT.0006512</v>
          </cell>
        </row>
        <row r="10374">
          <cell r="A10374" t="str">
            <v>M.PT.0006513</v>
          </cell>
        </row>
        <row r="10375">
          <cell r="A10375" t="str">
            <v>M.PT.0006514</v>
          </cell>
        </row>
        <row r="10376">
          <cell r="A10376" t="str">
            <v>M.PT.0006515</v>
          </cell>
        </row>
        <row r="10377">
          <cell r="A10377" t="str">
            <v>M.PT.0006516</v>
          </cell>
        </row>
        <row r="10378">
          <cell r="A10378" t="str">
            <v>M.PT.0006517</v>
          </cell>
        </row>
        <row r="10379">
          <cell r="A10379" t="str">
            <v>M.PT.0006518</v>
          </cell>
        </row>
        <row r="10380">
          <cell r="A10380" t="str">
            <v>M.PT.0006519</v>
          </cell>
        </row>
        <row r="10381">
          <cell r="A10381" t="str">
            <v>M.PT.0006520</v>
          </cell>
        </row>
        <row r="10382">
          <cell r="A10382" t="str">
            <v>M.PT.0006521</v>
          </cell>
        </row>
        <row r="10383">
          <cell r="A10383" t="str">
            <v>M.PT.0006522</v>
          </cell>
        </row>
        <row r="10384">
          <cell r="A10384" t="str">
            <v>M.PT.0006523</v>
          </cell>
        </row>
        <row r="10385">
          <cell r="A10385" t="str">
            <v>M.PT.0006524</v>
          </cell>
        </row>
        <row r="10386">
          <cell r="A10386" t="str">
            <v>M.PT.0006525</v>
          </cell>
        </row>
        <row r="10387">
          <cell r="A10387" t="str">
            <v>M.PT.0006526</v>
          </cell>
        </row>
        <row r="10388">
          <cell r="A10388" t="str">
            <v>M.PT.0006527</v>
          </cell>
        </row>
        <row r="10389">
          <cell r="A10389" t="str">
            <v>M.PT.0006528</v>
          </cell>
        </row>
        <row r="10390">
          <cell r="A10390" t="str">
            <v>M.PT.0006529</v>
          </cell>
        </row>
        <row r="10391">
          <cell r="A10391" t="str">
            <v>M.PT.0006530</v>
          </cell>
        </row>
        <row r="10392">
          <cell r="A10392" t="str">
            <v>M.PT.0006531</v>
          </cell>
        </row>
        <row r="10393">
          <cell r="A10393" t="str">
            <v>M.PT.0006532</v>
          </cell>
        </row>
        <row r="10394">
          <cell r="A10394" t="str">
            <v>M.PT.0006533</v>
          </cell>
        </row>
        <row r="10395">
          <cell r="A10395" t="str">
            <v>M.PT.0006534</v>
          </cell>
        </row>
        <row r="10396">
          <cell r="A10396" t="str">
            <v>M.PT.0006535</v>
          </cell>
        </row>
        <row r="10397">
          <cell r="A10397" t="str">
            <v>M.PT.0006536</v>
          </cell>
        </row>
        <row r="10398">
          <cell r="A10398" t="str">
            <v>M.PT.0006537</v>
          </cell>
        </row>
        <row r="10399">
          <cell r="A10399" t="str">
            <v>M.PT.0006538</v>
          </cell>
        </row>
        <row r="10400">
          <cell r="A10400" t="str">
            <v>M.PT.0006539</v>
          </cell>
        </row>
        <row r="10401">
          <cell r="A10401" t="str">
            <v>M.PT.0006540</v>
          </cell>
        </row>
        <row r="10402">
          <cell r="A10402" t="str">
            <v>M.PT.0006541</v>
          </cell>
        </row>
        <row r="10403">
          <cell r="A10403" t="str">
            <v>M.PT.0006542</v>
          </cell>
        </row>
        <row r="10404">
          <cell r="A10404" t="str">
            <v>M.PT.0006543</v>
          </cell>
        </row>
        <row r="10405">
          <cell r="A10405" t="str">
            <v>M.PT.0006544</v>
          </cell>
        </row>
        <row r="10406">
          <cell r="A10406" t="str">
            <v>M.PT.0006545</v>
          </cell>
        </row>
        <row r="10407">
          <cell r="A10407" t="str">
            <v>M.PT.0006546</v>
          </cell>
        </row>
        <row r="10408">
          <cell r="A10408" t="str">
            <v>M.PT.0006547</v>
          </cell>
        </row>
        <row r="10409">
          <cell r="A10409" t="str">
            <v>M.PT.0006548</v>
          </cell>
        </row>
        <row r="10410">
          <cell r="A10410" t="str">
            <v>M.PT.0006549</v>
          </cell>
        </row>
        <row r="10411">
          <cell r="A10411" t="str">
            <v>M.PT.0006550</v>
          </cell>
        </row>
        <row r="10412">
          <cell r="A10412" t="str">
            <v>M.PT.0006551</v>
          </cell>
        </row>
        <row r="10413">
          <cell r="A10413" t="str">
            <v>M.PT.0006552</v>
          </cell>
        </row>
        <row r="10414">
          <cell r="A10414" t="str">
            <v>M.PT.0006553</v>
          </cell>
        </row>
        <row r="10415">
          <cell r="A10415" t="str">
            <v>M.PT.0006554</v>
          </cell>
        </row>
        <row r="10416">
          <cell r="A10416" t="str">
            <v>M.PT.0006555</v>
          </cell>
        </row>
        <row r="10417">
          <cell r="A10417" t="str">
            <v>M.PT.0006556</v>
          </cell>
        </row>
        <row r="10418">
          <cell r="A10418" t="str">
            <v>M.PT.0006557</v>
          </cell>
        </row>
        <row r="10419">
          <cell r="A10419" t="str">
            <v>M.PT.0006558</v>
          </cell>
        </row>
        <row r="10420">
          <cell r="A10420" t="str">
            <v>M.PT.0006559</v>
          </cell>
        </row>
        <row r="10421">
          <cell r="A10421" t="str">
            <v>M.PT.0006560</v>
          </cell>
        </row>
        <row r="10422">
          <cell r="A10422" t="str">
            <v>M.PT.0006561</v>
          </cell>
        </row>
        <row r="10423">
          <cell r="A10423" t="str">
            <v>M.PT.0006562</v>
          </cell>
        </row>
        <row r="10424">
          <cell r="A10424" t="str">
            <v>M.PT.0006563</v>
          </cell>
        </row>
        <row r="10425">
          <cell r="A10425" t="str">
            <v>M.PT.0006564</v>
          </cell>
        </row>
        <row r="10426">
          <cell r="A10426" t="str">
            <v>M.PT.0006565</v>
          </cell>
        </row>
        <row r="10427">
          <cell r="A10427" t="str">
            <v>M.PT.0006566</v>
          </cell>
        </row>
        <row r="10428">
          <cell r="A10428" t="str">
            <v>M.PT.0006567</v>
          </cell>
        </row>
        <row r="10429">
          <cell r="A10429" t="str">
            <v>M.PT.0006568</v>
          </cell>
        </row>
        <row r="10430">
          <cell r="A10430" t="str">
            <v>M.PT.0006569</v>
          </cell>
        </row>
        <row r="10431">
          <cell r="A10431" t="str">
            <v>M.PT.0006570</v>
          </cell>
        </row>
        <row r="10432">
          <cell r="A10432" t="str">
            <v>M.PT.0006571</v>
          </cell>
        </row>
        <row r="10433">
          <cell r="A10433" t="str">
            <v>M.PT.0006572</v>
          </cell>
        </row>
        <row r="10434">
          <cell r="A10434" t="str">
            <v>M.PT.0006573</v>
          </cell>
        </row>
        <row r="10435">
          <cell r="A10435" t="str">
            <v>M.PT.0006574</v>
          </cell>
        </row>
        <row r="10436">
          <cell r="A10436" t="str">
            <v>M.PT.0006575</v>
          </cell>
        </row>
        <row r="10437">
          <cell r="A10437" t="str">
            <v>M.PT.0006576</v>
          </cell>
        </row>
        <row r="10438">
          <cell r="A10438" t="str">
            <v>M.PT.0006577</v>
          </cell>
        </row>
        <row r="10439">
          <cell r="A10439" t="str">
            <v>M.PT.0006578</v>
          </cell>
        </row>
        <row r="10440">
          <cell r="A10440" t="str">
            <v>M.PT.0006579</v>
          </cell>
        </row>
        <row r="10441">
          <cell r="A10441" t="str">
            <v>M.PT.0006580</v>
          </cell>
        </row>
        <row r="10442">
          <cell r="A10442" t="str">
            <v>M.PT.0006581</v>
          </cell>
        </row>
        <row r="10443">
          <cell r="A10443" t="str">
            <v>M.PT.0006582</v>
          </cell>
        </row>
        <row r="10444">
          <cell r="A10444" t="str">
            <v>M.PT.0006583</v>
          </cell>
        </row>
        <row r="10445">
          <cell r="A10445" t="str">
            <v>M.PT.0006584</v>
          </cell>
        </row>
        <row r="10446">
          <cell r="A10446" t="str">
            <v>M.PT.0006585</v>
          </cell>
        </row>
        <row r="10447">
          <cell r="A10447" t="str">
            <v>M.PT.0006586</v>
          </cell>
        </row>
        <row r="10448">
          <cell r="A10448" t="str">
            <v>M.PT.0006587</v>
          </cell>
        </row>
        <row r="10449">
          <cell r="A10449" t="str">
            <v>M.PT.0006588</v>
          </cell>
        </row>
        <row r="10450">
          <cell r="A10450" t="str">
            <v>M.PT.0006589</v>
          </cell>
        </row>
        <row r="10451">
          <cell r="A10451" t="str">
            <v>M.PT.0006590</v>
          </cell>
        </row>
        <row r="10452">
          <cell r="A10452" t="str">
            <v>M.PT.0006591</v>
          </cell>
        </row>
        <row r="10453">
          <cell r="A10453" t="str">
            <v>M.PT.0006592</v>
          </cell>
        </row>
        <row r="10454">
          <cell r="A10454" t="str">
            <v>M.PT.0006593</v>
          </cell>
        </row>
        <row r="10455">
          <cell r="A10455" t="str">
            <v>M.PT.0006594</v>
          </cell>
        </row>
        <row r="10456">
          <cell r="A10456" t="str">
            <v>M.PT.0006595</v>
          </cell>
        </row>
        <row r="10457">
          <cell r="A10457" t="str">
            <v>M.PT.0006596</v>
          </cell>
        </row>
        <row r="10458">
          <cell r="A10458" t="str">
            <v>M.PT.0006597</v>
          </cell>
        </row>
        <row r="10459">
          <cell r="A10459" t="str">
            <v>M.PT.0006598</v>
          </cell>
        </row>
        <row r="10460">
          <cell r="A10460" t="str">
            <v>M.PT.0006599</v>
          </cell>
        </row>
        <row r="10461">
          <cell r="A10461" t="str">
            <v>M.PT.0006600</v>
          </cell>
        </row>
        <row r="10462">
          <cell r="A10462" t="str">
            <v>M.PT.0006601</v>
          </cell>
        </row>
        <row r="10463">
          <cell r="A10463" t="str">
            <v>M.PT.0006602</v>
          </cell>
        </row>
        <row r="10464">
          <cell r="A10464" t="str">
            <v>M.PT.0006603</v>
          </cell>
        </row>
        <row r="10465">
          <cell r="A10465" t="str">
            <v>M.PT.0006604</v>
          </cell>
        </row>
        <row r="10466">
          <cell r="A10466" t="str">
            <v>M.PT.0006605</v>
          </cell>
        </row>
        <row r="10467">
          <cell r="A10467" t="str">
            <v>M.PT.0006606</v>
          </cell>
        </row>
        <row r="10468">
          <cell r="A10468" t="str">
            <v>M.PT.0006607</v>
          </cell>
        </row>
        <row r="10469">
          <cell r="A10469" t="str">
            <v>M.PT.0006608</v>
          </cell>
        </row>
        <row r="10470">
          <cell r="A10470" t="str">
            <v>M.PT.0006609</v>
          </cell>
        </row>
        <row r="10471">
          <cell r="A10471" t="str">
            <v>M.PT.0006610</v>
          </cell>
        </row>
        <row r="10472">
          <cell r="A10472" t="str">
            <v>M.PT.0006611</v>
          </cell>
        </row>
        <row r="10473">
          <cell r="A10473" t="str">
            <v>M.PT.0006612</v>
          </cell>
        </row>
        <row r="10474">
          <cell r="A10474" t="str">
            <v>M.PT.0006613</v>
          </cell>
        </row>
        <row r="10475">
          <cell r="A10475" t="str">
            <v>M.PT.0006614</v>
          </cell>
        </row>
        <row r="10476">
          <cell r="A10476" t="str">
            <v>M.PT.0006615</v>
          </cell>
        </row>
        <row r="10477">
          <cell r="A10477" t="str">
            <v>M.PT.0006616</v>
          </cell>
        </row>
        <row r="10478">
          <cell r="A10478" t="str">
            <v>M.PT.0006617</v>
          </cell>
        </row>
        <row r="10479">
          <cell r="A10479" t="str">
            <v>M.PT.0006618</v>
          </cell>
        </row>
        <row r="10480">
          <cell r="A10480" t="str">
            <v>M.PT.0006619</v>
          </cell>
        </row>
        <row r="10481">
          <cell r="A10481" t="str">
            <v>M.PT.0006620</v>
          </cell>
        </row>
        <row r="10482">
          <cell r="A10482" t="str">
            <v>M.PT.0006621</v>
          </cell>
        </row>
        <row r="10483">
          <cell r="A10483" t="str">
            <v>M.PT.0006622</v>
          </cell>
        </row>
        <row r="10484">
          <cell r="A10484" t="str">
            <v>M.PT.0006623</v>
          </cell>
        </row>
        <row r="10485">
          <cell r="A10485" t="str">
            <v>M.PT.0006624</v>
          </cell>
        </row>
        <row r="10486">
          <cell r="A10486" t="str">
            <v>M.PT.0006625</v>
          </cell>
        </row>
        <row r="10487">
          <cell r="A10487" t="str">
            <v>M.PT.0006626</v>
          </cell>
        </row>
        <row r="10488">
          <cell r="A10488" t="str">
            <v>M.PT.0006627</v>
          </cell>
        </row>
        <row r="10489">
          <cell r="A10489" t="str">
            <v>M.PT.0006628</v>
          </cell>
        </row>
        <row r="10490">
          <cell r="A10490" t="str">
            <v>M.PT.0006629</v>
          </cell>
        </row>
        <row r="10491">
          <cell r="A10491" t="str">
            <v>M.PT.0006630</v>
          </cell>
        </row>
        <row r="10492">
          <cell r="A10492" t="str">
            <v>M.PT.0006631</v>
          </cell>
        </row>
        <row r="10493">
          <cell r="A10493" t="str">
            <v>M.PT.0006632</v>
          </cell>
        </row>
        <row r="10494">
          <cell r="A10494" t="str">
            <v>M.PT.0006633</v>
          </cell>
        </row>
        <row r="10495">
          <cell r="A10495" t="str">
            <v>M.PT.0006634</v>
          </cell>
        </row>
        <row r="10496">
          <cell r="A10496" t="str">
            <v>M.PT.0006635</v>
          </cell>
        </row>
        <row r="10497">
          <cell r="A10497" t="str">
            <v>M.PT.0006636</v>
          </cell>
        </row>
        <row r="10498">
          <cell r="A10498" t="str">
            <v>M.PT.0006637</v>
          </cell>
        </row>
        <row r="10499">
          <cell r="A10499" t="str">
            <v>M.PT.0006638</v>
          </cell>
        </row>
        <row r="10500">
          <cell r="A10500" t="str">
            <v>M.PT.0006639</v>
          </cell>
        </row>
        <row r="10501">
          <cell r="A10501" t="str">
            <v>M.PT.0006640</v>
          </cell>
        </row>
        <row r="10502">
          <cell r="A10502" t="str">
            <v>M.PT.0006641</v>
          </cell>
        </row>
        <row r="10503">
          <cell r="A10503" t="str">
            <v>M.PT.0006642</v>
          </cell>
        </row>
        <row r="10504">
          <cell r="A10504" t="str">
            <v>M.PT.0006643</v>
          </cell>
        </row>
        <row r="10505">
          <cell r="A10505" t="str">
            <v>M.PT.0006644</v>
          </cell>
        </row>
        <row r="10506">
          <cell r="A10506" t="str">
            <v>M.PT.0006646</v>
          </cell>
        </row>
        <row r="10507">
          <cell r="A10507" t="str">
            <v>M.PT.0006647</v>
          </cell>
        </row>
        <row r="10508">
          <cell r="A10508" t="str">
            <v>M.PT.0006648</v>
          </cell>
        </row>
        <row r="10509">
          <cell r="A10509" t="str">
            <v>M.PT.0006649</v>
          </cell>
        </row>
        <row r="10510">
          <cell r="A10510" t="str">
            <v>M.PT.0006650</v>
          </cell>
        </row>
        <row r="10511">
          <cell r="A10511" t="str">
            <v>M.PT.0006651</v>
          </cell>
        </row>
        <row r="10512">
          <cell r="A10512" t="str">
            <v>M.PT.0006652</v>
          </cell>
        </row>
        <row r="10513">
          <cell r="A10513" t="str">
            <v>M.PT.0006653</v>
          </cell>
        </row>
        <row r="10514">
          <cell r="A10514" t="str">
            <v>M.PT.0006654</v>
          </cell>
        </row>
        <row r="10515">
          <cell r="A10515" t="str">
            <v>M.PT.0006655</v>
          </cell>
        </row>
        <row r="10516">
          <cell r="A10516" t="str">
            <v>M.PT.0006656</v>
          </cell>
        </row>
        <row r="10517">
          <cell r="A10517" t="str">
            <v>M.PT.0006657</v>
          </cell>
        </row>
        <row r="10518">
          <cell r="A10518" t="str">
            <v>M.PT.0006658</v>
          </cell>
        </row>
        <row r="10519">
          <cell r="A10519" t="str">
            <v>M.PT.0006659</v>
          </cell>
        </row>
        <row r="10520">
          <cell r="A10520" t="str">
            <v>M.PT.0006660</v>
          </cell>
        </row>
        <row r="10521">
          <cell r="A10521" t="str">
            <v>M.PT.0006661</v>
          </cell>
        </row>
        <row r="10522">
          <cell r="A10522" t="str">
            <v>M.PT.0006662</v>
          </cell>
        </row>
        <row r="10523">
          <cell r="A10523" t="str">
            <v>M.PT.0006663</v>
          </cell>
        </row>
        <row r="10524">
          <cell r="A10524" t="str">
            <v>M.PT.0006664</v>
          </cell>
        </row>
        <row r="10525">
          <cell r="A10525" t="str">
            <v>M.PT.0006665</v>
          </cell>
        </row>
        <row r="10526">
          <cell r="A10526" t="str">
            <v>M.PT.0006666</v>
          </cell>
        </row>
        <row r="10527">
          <cell r="A10527" t="str">
            <v>M.PT.0006667</v>
          </cell>
        </row>
        <row r="10528">
          <cell r="A10528" t="str">
            <v>M.PT.0006668</v>
          </cell>
        </row>
        <row r="10529">
          <cell r="A10529" t="str">
            <v>M.PT.0006669</v>
          </cell>
        </row>
        <row r="10530">
          <cell r="A10530" t="str">
            <v>M.PT.0006670</v>
          </cell>
        </row>
        <row r="10531">
          <cell r="A10531" t="str">
            <v>M.PT.0006671</v>
          </cell>
        </row>
        <row r="10532">
          <cell r="A10532" t="str">
            <v>M.PT.0006672</v>
          </cell>
        </row>
        <row r="10533">
          <cell r="A10533" t="str">
            <v>M.PT.0006673</v>
          </cell>
        </row>
        <row r="10534">
          <cell r="A10534" t="str">
            <v>M.PT.0006674</v>
          </cell>
        </row>
        <row r="10535">
          <cell r="A10535" t="str">
            <v>M.PT.0006675</v>
          </cell>
        </row>
        <row r="10536">
          <cell r="A10536" t="str">
            <v>M.PT.0006676</v>
          </cell>
        </row>
        <row r="10537">
          <cell r="A10537" t="str">
            <v>M.PT.0006677</v>
          </cell>
        </row>
        <row r="10538">
          <cell r="A10538" t="str">
            <v>M.PT.0006678</v>
          </cell>
        </row>
        <row r="10539">
          <cell r="A10539" t="str">
            <v>M.PT.0006679</v>
          </cell>
        </row>
        <row r="10540">
          <cell r="A10540" t="str">
            <v>M.PT.0006680</v>
          </cell>
        </row>
        <row r="10541">
          <cell r="A10541" t="str">
            <v>M.PT.0006681</v>
          </cell>
        </row>
        <row r="10542">
          <cell r="A10542" t="str">
            <v>M.PT.0006682</v>
          </cell>
        </row>
        <row r="10543">
          <cell r="A10543" t="str">
            <v>M.PT.0006683</v>
          </cell>
        </row>
        <row r="10544">
          <cell r="A10544" t="str">
            <v>M.PT.0006684</v>
          </cell>
        </row>
        <row r="10545">
          <cell r="A10545" t="str">
            <v>M.PT.0006685</v>
          </cell>
        </row>
        <row r="10546">
          <cell r="A10546" t="str">
            <v>M.PT.0006686</v>
          </cell>
        </row>
        <row r="10547">
          <cell r="A10547" t="str">
            <v>M.PT.0006687</v>
          </cell>
        </row>
        <row r="10548">
          <cell r="A10548" t="str">
            <v>M.PT.0006688</v>
          </cell>
        </row>
        <row r="10549">
          <cell r="A10549" t="str">
            <v>M.PT.0006689</v>
          </cell>
        </row>
        <row r="10550">
          <cell r="A10550" t="str">
            <v>M.PT.0006690</v>
          </cell>
        </row>
        <row r="10551">
          <cell r="A10551" t="str">
            <v>M.PT.0006691</v>
          </cell>
        </row>
        <row r="10552">
          <cell r="A10552" t="str">
            <v>M.PT.0006692</v>
          </cell>
        </row>
        <row r="10553">
          <cell r="A10553" t="str">
            <v>M.PT.0006693</v>
          </cell>
        </row>
        <row r="10554">
          <cell r="A10554" t="str">
            <v>M.PT.0006694</v>
          </cell>
        </row>
        <row r="10555">
          <cell r="A10555" t="str">
            <v>M.PT.0006695</v>
          </cell>
        </row>
        <row r="10556">
          <cell r="A10556" t="str">
            <v>M.PT.0006696</v>
          </cell>
        </row>
        <row r="10557">
          <cell r="A10557" t="str">
            <v>M.PT.0006697</v>
          </cell>
        </row>
        <row r="10558">
          <cell r="A10558" t="str">
            <v>M.PT.0006698</v>
          </cell>
        </row>
        <row r="10559">
          <cell r="A10559" t="str">
            <v>M.PT.0006699</v>
          </cell>
        </row>
        <row r="10560">
          <cell r="A10560" t="str">
            <v>M.PT.0006700</v>
          </cell>
        </row>
        <row r="10561">
          <cell r="A10561" t="str">
            <v>M.PT.0006701</v>
          </cell>
        </row>
        <row r="10562">
          <cell r="A10562" t="str">
            <v>M.PT.0006702</v>
          </cell>
        </row>
        <row r="10563">
          <cell r="A10563" t="str">
            <v>M.PT.0006703</v>
          </cell>
        </row>
        <row r="10564">
          <cell r="A10564" t="str">
            <v>M.PT.0006704</v>
          </cell>
        </row>
        <row r="10565">
          <cell r="A10565" t="str">
            <v>M.PT.0006705</v>
          </cell>
        </row>
        <row r="10566">
          <cell r="A10566" t="str">
            <v>M.PT.0006706</v>
          </cell>
        </row>
        <row r="10567">
          <cell r="A10567" t="str">
            <v>M.PT.0006707</v>
          </cell>
        </row>
        <row r="10568">
          <cell r="A10568" t="str">
            <v>M.PT.0006708</v>
          </cell>
        </row>
        <row r="10569">
          <cell r="A10569" t="str">
            <v>M.PT.0006709</v>
          </cell>
        </row>
        <row r="10570">
          <cell r="A10570" t="str">
            <v>M.PT.0006710</v>
          </cell>
        </row>
        <row r="10571">
          <cell r="A10571" t="str">
            <v>M.PT.0006711</v>
          </cell>
        </row>
        <row r="10572">
          <cell r="A10572" t="str">
            <v>M.PT.0006712</v>
          </cell>
        </row>
        <row r="10573">
          <cell r="A10573" t="str">
            <v>M.PT.0006713</v>
          </cell>
        </row>
        <row r="10574">
          <cell r="A10574" t="str">
            <v>M.PT.0006714</v>
          </cell>
        </row>
        <row r="10575">
          <cell r="A10575" t="str">
            <v>M.PT.0006715</v>
          </cell>
        </row>
        <row r="10576">
          <cell r="A10576" t="str">
            <v>M.PT.0006716</v>
          </cell>
        </row>
        <row r="10577">
          <cell r="A10577" t="str">
            <v>M.PT.0006717</v>
          </cell>
        </row>
        <row r="10578">
          <cell r="A10578" t="str">
            <v>M.PT.0006718</v>
          </cell>
        </row>
        <row r="10579">
          <cell r="A10579" t="str">
            <v>M.PT.0006719</v>
          </cell>
        </row>
        <row r="10580">
          <cell r="A10580" t="str">
            <v>M.PT.0006720</v>
          </cell>
        </row>
        <row r="10581">
          <cell r="A10581" t="str">
            <v>M.PT.0006722</v>
          </cell>
        </row>
        <row r="10582">
          <cell r="A10582" t="str">
            <v>M.PT.0006723</v>
          </cell>
        </row>
        <row r="10583">
          <cell r="A10583" t="str">
            <v>M.PT.0006724</v>
          </cell>
        </row>
        <row r="10584">
          <cell r="A10584" t="str">
            <v>M.PT.0006725</v>
          </cell>
        </row>
        <row r="10585">
          <cell r="A10585" t="str">
            <v>M.PT.0006726</v>
          </cell>
        </row>
        <row r="10586">
          <cell r="A10586" t="str">
            <v>M.PT.0006727</v>
          </cell>
        </row>
        <row r="10587">
          <cell r="A10587" t="str">
            <v>M.PT.0006728</v>
          </cell>
        </row>
        <row r="10588">
          <cell r="A10588" t="str">
            <v>M.PT.0006729</v>
          </cell>
        </row>
        <row r="10589">
          <cell r="A10589" t="str">
            <v>M.PT.0006730</v>
          </cell>
        </row>
        <row r="10590">
          <cell r="A10590" t="str">
            <v>M.PT.0006731</v>
          </cell>
        </row>
        <row r="10591">
          <cell r="A10591" t="str">
            <v>M.PT.0006733</v>
          </cell>
        </row>
        <row r="10592">
          <cell r="A10592" t="str">
            <v>M.PT.0006734</v>
          </cell>
        </row>
        <row r="10593">
          <cell r="A10593" t="str">
            <v>M.PT.0006735</v>
          </cell>
        </row>
        <row r="10594">
          <cell r="A10594" t="str">
            <v>M.PT.0006736</v>
          </cell>
        </row>
        <row r="10595">
          <cell r="A10595" t="str">
            <v>M.PT.0006737</v>
          </cell>
        </row>
        <row r="10596">
          <cell r="A10596" t="str">
            <v>M.PT.0006738</v>
          </cell>
        </row>
        <row r="10597">
          <cell r="A10597" t="str">
            <v>M.PT.0006739</v>
          </cell>
        </row>
        <row r="10598">
          <cell r="A10598" t="str">
            <v>M.PT.0006740</v>
          </cell>
        </row>
        <row r="10599">
          <cell r="A10599" t="str">
            <v>M.PT.0006741</v>
          </cell>
        </row>
        <row r="10600">
          <cell r="A10600" t="str">
            <v>M.PT.0006742</v>
          </cell>
        </row>
        <row r="10601">
          <cell r="A10601" t="str">
            <v>M.PT.0006743</v>
          </cell>
        </row>
        <row r="10602">
          <cell r="A10602" t="str">
            <v>M.PT.0006744</v>
          </cell>
        </row>
        <row r="10603">
          <cell r="A10603" t="str">
            <v>M.PT.0006745</v>
          </cell>
        </row>
        <row r="10604">
          <cell r="A10604" t="str">
            <v>M.PT.0006746</v>
          </cell>
        </row>
        <row r="10605">
          <cell r="A10605" t="str">
            <v>M.PT.0006747</v>
          </cell>
        </row>
        <row r="10606">
          <cell r="A10606" t="str">
            <v>M.PT.0006748</v>
          </cell>
        </row>
        <row r="10607">
          <cell r="A10607" t="str">
            <v>M.PT.0006749</v>
          </cell>
        </row>
        <row r="10608">
          <cell r="A10608" t="str">
            <v>M.PT.0006750</v>
          </cell>
        </row>
        <row r="10609">
          <cell r="A10609" t="str">
            <v>M.PT.0006751</v>
          </cell>
        </row>
        <row r="10610">
          <cell r="A10610" t="str">
            <v>M.PT.0006752</v>
          </cell>
        </row>
        <row r="10611">
          <cell r="A10611" t="str">
            <v>M.PT.0006753</v>
          </cell>
        </row>
        <row r="10612">
          <cell r="A10612" t="str">
            <v>M.PT.0006754</v>
          </cell>
        </row>
        <row r="10613">
          <cell r="A10613" t="str">
            <v>M.PT.0006755</v>
          </cell>
        </row>
        <row r="10614">
          <cell r="A10614" t="str">
            <v>M.PT.0006756</v>
          </cell>
        </row>
        <row r="10615">
          <cell r="A10615" t="str">
            <v>M.PT.0006757</v>
          </cell>
        </row>
        <row r="10616">
          <cell r="A10616" t="str">
            <v>M.PT.0006758</v>
          </cell>
        </row>
        <row r="10617">
          <cell r="A10617" t="str">
            <v>M.PT.0006759</v>
          </cell>
        </row>
        <row r="10618">
          <cell r="A10618" t="str">
            <v>M.PT.0006760</v>
          </cell>
        </row>
        <row r="10619">
          <cell r="A10619" t="str">
            <v>M.PT.0006761</v>
          </cell>
        </row>
        <row r="10620">
          <cell r="A10620" t="str">
            <v>M.PT.0006762</v>
          </cell>
        </row>
        <row r="10621">
          <cell r="A10621" t="str">
            <v>M.PT.0006763</v>
          </cell>
        </row>
        <row r="10622">
          <cell r="A10622" t="str">
            <v>M.PT.0006764</v>
          </cell>
        </row>
        <row r="10623">
          <cell r="A10623" t="str">
            <v>M.PT.0006765</v>
          </cell>
        </row>
        <row r="10624">
          <cell r="A10624" t="str">
            <v>M.PT.0006766</v>
          </cell>
        </row>
        <row r="10625">
          <cell r="A10625" t="str">
            <v>M.PT.0006767</v>
          </cell>
        </row>
        <row r="10626">
          <cell r="A10626" t="str">
            <v>M.PT.0006768</v>
          </cell>
        </row>
        <row r="10627">
          <cell r="A10627" t="str">
            <v>M.PT.0006769</v>
          </cell>
        </row>
        <row r="10628">
          <cell r="A10628" t="str">
            <v>M.PT.0006770</v>
          </cell>
        </row>
        <row r="10629">
          <cell r="A10629" t="str">
            <v>M.PT.0006771</v>
          </cell>
        </row>
        <row r="10630">
          <cell r="A10630" t="str">
            <v>M.PT.0006772</v>
          </cell>
        </row>
        <row r="10631">
          <cell r="A10631" t="str">
            <v>M.PT.0006773</v>
          </cell>
        </row>
        <row r="10632">
          <cell r="A10632" t="str">
            <v>M.PT.0006774</v>
          </cell>
        </row>
        <row r="10633">
          <cell r="A10633" t="str">
            <v>M.PT.0006775</v>
          </cell>
        </row>
        <row r="10634">
          <cell r="A10634" t="str">
            <v>M.PT.0006776</v>
          </cell>
        </row>
        <row r="10635">
          <cell r="A10635" t="str">
            <v>M.PT.0006777</v>
          </cell>
        </row>
        <row r="10636">
          <cell r="A10636" t="str">
            <v>M.PT.0006778</v>
          </cell>
        </row>
        <row r="10637">
          <cell r="A10637" t="str">
            <v>M.PT.0006779</v>
          </cell>
        </row>
        <row r="10638">
          <cell r="A10638" t="str">
            <v>M.PT.0006780</v>
          </cell>
        </row>
        <row r="10639">
          <cell r="A10639" t="str">
            <v>M.PT.0006781</v>
          </cell>
        </row>
        <row r="10640">
          <cell r="A10640" t="str">
            <v>M.PT.0006782</v>
          </cell>
        </row>
        <row r="10641">
          <cell r="A10641" t="str">
            <v>M.PT.0006783</v>
          </cell>
        </row>
        <row r="10642">
          <cell r="A10642" t="str">
            <v>M.PT.0006784</v>
          </cell>
        </row>
        <row r="10643">
          <cell r="A10643" t="str">
            <v>M.PT.0006785</v>
          </cell>
        </row>
        <row r="10644">
          <cell r="A10644" t="str">
            <v>M.PT.0006786</v>
          </cell>
        </row>
        <row r="10645">
          <cell r="A10645" t="str">
            <v>M.PT.0006787</v>
          </cell>
        </row>
        <row r="10646">
          <cell r="A10646" t="str">
            <v>M.PT.0006788</v>
          </cell>
        </row>
        <row r="10647">
          <cell r="A10647" t="str">
            <v>M.PT.0006789</v>
          </cell>
        </row>
        <row r="10648">
          <cell r="A10648" t="str">
            <v>M.PT.0006790</v>
          </cell>
        </row>
        <row r="10649">
          <cell r="A10649" t="str">
            <v>M.PT.0006791</v>
          </cell>
        </row>
        <row r="10650">
          <cell r="A10650" t="str">
            <v>M.PT.0006792</v>
          </cell>
        </row>
        <row r="10651">
          <cell r="A10651" t="str">
            <v>M.PT.0006793</v>
          </cell>
        </row>
        <row r="10652">
          <cell r="A10652" t="str">
            <v>M.PT.0006794</v>
          </cell>
        </row>
        <row r="10653">
          <cell r="A10653" t="str">
            <v>M.PT.0006795</v>
          </cell>
        </row>
        <row r="10654">
          <cell r="A10654" t="str">
            <v>M.PT.0006796</v>
          </cell>
        </row>
        <row r="10655">
          <cell r="A10655" t="str">
            <v>M.PT.0006797</v>
          </cell>
        </row>
        <row r="10656">
          <cell r="A10656" t="str">
            <v>M.PT.0006798</v>
          </cell>
        </row>
        <row r="10657">
          <cell r="A10657" t="str">
            <v>M.PT.0006799</v>
          </cell>
        </row>
        <row r="10658">
          <cell r="A10658" t="str">
            <v>M.PT.0006800</v>
          </cell>
        </row>
        <row r="10659">
          <cell r="A10659" t="str">
            <v>M.PT.0006801</v>
          </cell>
        </row>
        <row r="10660">
          <cell r="A10660" t="str">
            <v>M.PT.0006802</v>
          </cell>
        </row>
        <row r="10661">
          <cell r="A10661" t="str">
            <v>M.PT.0006803</v>
          </cell>
        </row>
        <row r="10662">
          <cell r="A10662" t="str">
            <v>M.PT.0006804</v>
          </cell>
        </row>
        <row r="10663">
          <cell r="A10663" t="str">
            <v>M.PT.0006805</v>
          </cell>
        </row>
        <row r="10664">
          <cell r="A10664" t="str">
            <v>M.PT.0006806</v>
          </cell>
        </row>
        <row r="10665">
          <cell r="A10665" t="str">
            <v>M.PT.0006807</v>
          </cell>
        </row>
        <row r="10666">
          <cell r="A10666" t="str">
            <v>M.PT.0006808</v>
          </cell>
        </row>
        <row r="10667">
          <cell r="A10667" t="str">
            <v>M.PT.0006809</v>
          </cell>
        </row>
        <row r="10668">
          <cell r="A10668" t="str">
            <v>M.PT.0006810</v>
          </cell>
        </row>
        <row r="10669">
          <cell r="A10669" t="str">
            <v>M.PT.0006811</v>
          </cell>
        </row>
        <row r="10670">
          <cell r="A10670" t="str">
            <v>M.PT.0006812</v>
          </cell>
        </row>
        <row r="10671">
          <cell r="A10671" t="str">
            <v>M.PT.0006813</v>
          </cell>
        </row>
        <row r="10672">
          <cell r="A10672" t="str">
            <v>M.PT.0006814</v>
          </cell>
        </row>
        <row r="10673">
          <cell r="A10673" t="str">
            <v>M.PT.0006815</v>
          </cell>
        </row>
        <row r="10674">
          <cell r="A10674" t="str">
            <v>M.PT.0006816</v>
          </cell>
        </row>
        <row r="10675">
          <cell r="A10675" t="str">
            <v>M.PT.0006817</v>
          </cell>
        </row>
        <row r="10676">
          <cell r="A10676" t="str">
            <v>M.PT.0006818</v>
          </cell>
        </row>
        <row r="10677">
          <cell r="A10677" t="str">
            <v>M.PT.0006819</v>
          </cell>
        </row>
        <row r="10678">
          <cell r="A10678" t="str">
            <v>M.PT.0006820</v>
          </cell>
        </row>
        <row r="10679">
          <cell r="A10679" t="str">
            <v>M.PT.0006821</v>
          </cell>
        </row>
        <row r="10680">
          <cell r="A10680" t="str">
            <v>M.PT.0006822</v>
          </cell>
        </row>
        <row r="10681">
          <cell r="A10681" t="str">
            <v>M.PT.0006823</v>
          </cell>
        </row>
        <row r="10682">
          <cell r="A10682" t="str">
            <v>M.PT.0006824</v>
          </cell>
        </row>
        <row r="10683">
          <cell r="A10683" t="str">
            <v>M.PT.0006825</v>
          </cell>
        </row>
        <row r="10684">
          <cell r="A10684" t="str">
            <v>M.PT.0006826</v>
          </cell>
        </row>
        <row r="10685">
          <cell r="A10685" t="str">
            <v>M.PT.0006827</v>
          </cell>
        </row>
        <row r="10686">
          <cell r="A10686" t="str">
            <v>M.PT.0006828</v>
          </cell>
        </row>
        <row r="10687">
          <cell r="A10687" t="str">
            <v>M.PT.0006829</v>
          </cell>
        </row>
        <row r="10688">
          <cell r="A10688" t="str">
            <v>M.PT.0006830</v>
          </cell>
        </row>
        <row r="10689">
          <cell r="A10689" t="str">
            <v>M.PT.0006831</v>
          </cell>
        </row>
        <row r="10690">
          <cell r="A10690" t="str">
            <v>M.PT.0006832</v>
          </cell>
        </row>
        <row r="10691">
          <cell r="A10691" t="str">
            <v>M.PT.0006833</v>
          </cell>
        </row>
        <row r="10692">
          <cell r="A10692" t="str">
            <v>M.PT.0006834</v>
          </cell>
        </row>
        <row r="10693">
          <cell r="A10693" t="str">
            <v>M.PT.0006835</v>
          </cell>
        </row>
        <row r="10694">
          <cell r="A10694" t="str">
            <v>M.PT.0006836</v>
          </cell>
        </row>
        <row r="10695">
          <cell r="A10695" t="str">
            <v>M.PT.0006837</v>
          </cell>
        </row>
        <row r="10696">
          <cell r="A10696" t="str">
            <v>M.PT.0006838</v>
          </cell>
        </row>
        <row r="10697">
          <cell r="A10697" t="str">
            <v>M.PT.0006839</v>
          </cell>
        </row>
        <row r="10698">
          <cell r="A10698" t="str">
            <v>M.PT.0006840</v>
          </cell>
        </row>
        <row r="10699">
          <cell r="A10699" t="str">
            <v>M.PT.0006841</v>
          </cell>
        </row>
        <row r="10700">
          <cell r="A10700" t="str">
            <v>M.PT.0006842</v>
          </cell>
        </row>
        <row r="10701">
          <cell r="A10701" t="str">
            <v>M.PT.0006843</v>
          </cell>
        </row>
        <row r="10702">
          <cell r="A10702" t="str">
            <v>M.PT.0006844</v>
          </cell>
        </row>
        <row r="10703">
          <cell r="A10703" t="str">
            <v>M.PT.0006845</v>
          </cell>
        </row>
        <row r="10704">
          <cell r="A10704" t="str">
            <v>M.PT.0006846</v>
          </cell>
        </row>
        <row r="10705">
          <cell r="A10705" t="str">
            <v>M.PT.0006847</v>
          </cell>
        </row>
        <row r="10706">
          <cell r="A10706" t="str">
            <v>M.PT.0006848</v>
          </cell>
        </row>
        <row r="10707">
          <cell r="A10707" t="str">
            <v>M.PT.0006849</v>
          </cell>
        </row>
        <row r="10708">
          <cell r="A10708" t="str">
            <v>M.PT.0006850</v>
          </cell>
        </row>
        <row r="10709">
          <cell r="A10709" t="str">
            <v>M.PT.0006851</v>
          </cell>
        </row>
        <row r="10710">
          <cell r="A10710" t="str">
            <v>M.PT.0006852</v>
          </cell>
        </row>
        <row r="10711">
          <cell r="A10711" t="str">
            <v>M.PT.0006853</v>
          </cell>
        </row>
        <row r="10712">
          <cell r="A10712" t="str">
            <v>M.PT.0006854</v>
          </cell>
        </row>
        <row r="10713">
          <cell r="A10713" t="str">
            <v>M.PT.0006855</v>
          </cell>
        </row>
        <row r="10714">
          <cell r="A10714" t="str">
            <v>M.PT.0006856</v>
          </cell>
        </row>
        <row r="10715">
          <cell r="A10715" t="str">
            <v>M.PT.0006857</v>
          </cell>
        </row>
        <row r="10716">
          <cell r="A10716" t="str">
            <v>M.PT.0006858</v>
          </cell>
        </row>
        <row r="10717">
          <cell r="A10717" t="str">
            <v>M.PT.0006859</v>
          </cell>
        </row>
        <row r="10718">
          <cell r="A10718" t="str">
            <v>M.PT.0006860</v>
          </cell>
        </row>
        <row r="10719">
          <cell r="A10719" t="str">
            <v>M.PT.0006861</v>
          </cell>
        </row>
        <row r="10720">
          <cell r="A10720" t="str">
            <v>M.PT.0006862</v>
          </cell>
        </row>
        <row r="10721">
          <cell r="A10721" t="str">
            <v>M.PT.0006863</v>
          </cell>
        </row>
        <row r="10722">
          <cell r="A10722" t="str">
            <v>M.PT.0006864</v>
          </cell>
        </row>
        <row r="10723">
          <cell r="A10723" t="str">
            <v>M.PT.0006865</v>
          </cell>
        </row>
        <row r="10724">
          <cell r="A10724" t="str">
            <v>M.PT.0006866</v>
          </cell>
        </row>
        <row r="10725">
          <cell r="A10725" t="str">
            <v>M.PT.0006867</v>
          </cell>
        </row>
        <row r="10726">
          <cell r="A10726" t="str">
            <v>M.PT.0006868</v>
          </cell>
        </row>
        <row r="10727">
          <cell r="A10727" t="str">
            <v>M.PT.0006869</v>
          </cell>
        </row>
        <row r="10728">
          <cell r="A10728" t="str">
            <v>M.PT.0006870</v>
          </cell>
        </row>
        <row r="10729">
          <cell r="A10729" t="str">
            <v>M.PT.0006871</v>
          </cell>
        </row>
        <row r="10730">
          <cell r="A10730" t="str">
            <v>M.PT.0006872</v>
          </cell>
        </row>
        <row r="10731">
          <cell r="A10731" t="str">
            <v>M.PT.0006873</v>
          </cell>
        </row>
        <row r="10732">
          <cell r="A10732" t="str">
            <v>M.PT.0006874</v>
          </cell>
        </row>
        <row r="10733">
          <cell r="A10733" t="str">
            <v>M.PT.0006875</v>
          </cell>
        </row>
        <row r="10734">
          <cell r="A10734" t="str">
            <v>M.PT.0006876</v>
          </cell>
        </row>
        <row r="10735">
          <cell r="A10735" t="str">
            <v>M.PT.0006877</v>
          </cell>
        </row>
        <row r="10736">
          <cell r="A10736" t="str">
            <v>M.PT.0006878</v>
          </cell>
        </row>
        <row r="10737">
          <cell r="A10737" t="str">
            <v>M.PT.0006879</v>
          </cell>
        </row>
        <row r="10738">
          <cell r="A10738" t="str">
            <v>M.PT.0006880</v>
          </cell>
        </row>
        <row r="10739">
          <cell r="A10739" t="str">
            <v>M.PT.0006881</v>
          </cell>
        </row>
        <row r="10740">
          <cell r="A10740" t="str">
            <v>M.PT.0006882</v>
          </cell>
        </row>
        <row r="10741">
          <cell r="A10741" t="str">
            <v>M.PT.0006883</v>
          </cell>
        </row>
        <row r="10742">
          <cell r="A10742" t="str">
            <v>M.PT.0006884</v>
          </cell>
        </row>
        <row r="10743">
          <cell r="A10743" t="str">
            <v>M.PT.0006885</v>
          </cell>
        </row>
        <row r="10744">
          <cell r="A10744" t="str">
            <v>M.PT.0006886</v>
          </cell>
        </row>
        <row r="10745">
          <cell r="A10745" t="str">
            <v>M.PT.0006887</v>
          </cell>
        </row>
        <row r="10746">
          <cell r="A10746" t="str">
            <v>M.PT.0006888</v>
          </cell>
        </row>
        <row r="10747">
          <cell r="A10747" t="str">
            <v>M.PT.0006889</v>
          </cell>
        </row>
        <row r="10748">
          <cell r="A10748" t="str">
            <v>M.PT.0006890</v>
          </cell>
        </row>
        <row r="10749">
          <cell r="A10749" t="str">
            <v>M.PT.0006891</v>
          </cell>
        </row>
        <row r="10750">
          <cell r="A10750" t="str">
            <v>M.PT.0006892</v>
          </cell>
        </row>
        <row r="10751">
          <cell r="A10751" t="str">
            <v>M.PT.0006893</v>
          </cell>
        </row>
        <row r="10752">
          <cell r="A10752" t="str">
            <v>M.PT.0006894</v>
          </cell>
        </row>
        <row r="10753">
          <cell r="A10753" t="str">
            <v>M.PT.0006895</v>
          </cell>
        </row>
        <row r="10754">
          <cell r="A10754" t="str">
            <v>M.PT.0006896</v>
          </cell>
        </row>
        <row r="10755">
          <cell r="A10755" t="str">
            <v>M.PT.0006897</v>
          </cell>
        </row>
        <row r="10756">
          <cell r="A10756" t="str">
            <v>M.PT.0006898</v>
          </cell>
        </row>
        <row r="10757">
          <cell r="A10757" t="str">
            <v>M.PT.0006899</v>
          </cell>
        </row>
        <row r="10758">
          <cell r="A10758" t="str">
            <v>M.PT.0006900</v>
          </cell>
        </row>
        <row r="10759">
          <cell r="A10759" t="str">
            <v>M.PT.0006901</v>
          </cell>
        </row>
        <row r="10760">
          <cell r="A10760" t="str">
            <v>M.PT.0006902</v>
          </cell>
        </row>
        <row r="10761">
          <cell r="A10761" t="str">
            <v>M.PT.0006903</v>
          </cell>
        </row>
        <row r="10762">
          <cell r="A10762" t="str">
            <v>M.PT.0006904</v>
          </cell>
        </row>
        <row r="10763">
          <cell r="A10763" t="str">
            <v>M.PT.0006905</v>
          </cell>
        </row>
        <row r="10764">
          <cell r="A10764" t="str">
            <v>M.PT.0006906</v>
          </cell>
        </row>
        <row r="10765">
          <cell r="A10765" t="str">
            <v>M.PT.0006907</v>
          </cell>
        </row>
        <row r="10766">
          <cell r="A10766" t="str">
            <v>M.PT.0006908</v>
          </cell>
        </row>
        <row r="10767">
          <cell r="A10767" t="str">
            <v>M.PT.0006909</v>
          </cell>
        </row>
        <row r="10768">
          <cell r="A10768" t="str">
            <v>M.PT.0006910</v>
          </cell>
        </row>
        <row r="10769">
          <cell r="A10769" t="str">
            <v>M.PT.0006911</v>
          </cell>
        </row>
        <row r="10770">
          <cell r="A10770" t="str">
            <v>M.PT.0006912</v>
          </cell>
        </row>
        <row r="10771">
          <cell r="A10771" t="str">
            <v>M.PT.0006913</v>
          </cell>
        </row>
        <row r="10772">
          <cell r="A10772" t="str">
            <v>M.PT.0006914</v>
          </cell>
        </row>
        <row r="10773">
          <cell r="A10773" t="str">
            <v>M.PT.0006915</v>
          </cell>
        </row>
        <row r="10774">
          <cell r="A10774" t="str">
            <v>M.PT.0006916</v>
          </cell>
        </row>
        <row r="10775">
          <cell r="A10775" t="str">
            <v>M.PT.0006917</v>
          </cell>
        </row>
        <row r="10776">
          <cell r="A10776" t="str">
            <v>M.PT.0006918</v>
          </cell>
        </row>
        <row r="10777">
          <cell r="A10777" t="str">
            <v>M.PT.0006919</v>
          </cell>
        </row>
        <row r="10778">
          <cell r="A10778" t="str">
            <v>M.PT.0006920</v>
          </cell>
        </row>
        <row r="10779">
          <cell r="A10779" t="str">
            <v>M.PT.0006921</v>
          </cell>
        </row>
        <row r="10780">
          <cell r="A10780" t="str">
            <v>M.PT.0006922</v>
          </cell>
        </row>
        <row r="10781">
          <cell r="A10781" t="str">
            <v>M.PT.0006923</v>
          </cell>
        </row>
        <row r="10782">
          <cell r="A10782" t="str">
            <v>M.PT.0006924</v>
          </cell>
        </row>
        <row r="10783">
          <cell r="A10783" t="str">
            <v>M.PT.0006925</v>
          </cell>
        </row>
        <row r="10784">
          <cell r="A10784" t="str">
            <v>M.PT.0006926</v>
          </cell>
        </row>
        <row r="10785">
          <cell r="A10785" t="str">
            <v>M.PT.0006927</v>
          </cell>
        </row>
        <row r="10786">
          <cell r="A10786" t="str">
            <v>M.PT.0006928</v>
          </cell>
        </row>
        <row r="10787">
          <cell r="A10787" t="str">
            <v>M.PT.0006929</v>
          </cell>
        </row>
        <row r="10788">
          <cell r="A10788" t="str">
            <v>M.PT.0006930</v>
          </cell>
        </row>
        <row r="10789">
          <cell r="A10789" t="str">
            <v>M.PT.0006931</v>
          </cell>
        </row>
        <row r="10790">
          <cell r="A10790" t="str">
            <v>M.PT.0006932</v>
          </cell>
        </row>
        <row r="10791">
          <cell r="A10791" t="str">
            <v>M.PT.0006933</v>
          </cell>
        </row>
        <row r="10792">
          <cell r="A10792" t="str">
            <v>M.PT.0006934</v>
          </cell>
        </row>
        <row r="10793">
          <cell r="A10793" t="str">
            <v>M.PT.0006935</v>
          </cell>
        </row>
        <row r="10794">
          <cell r="A10794" t="str">
            <v>M.PT.0006936</v>
          </cell>
        </row>
        <row r="10795">
          <cell r="A10795" t="str">
            <v>M.PT.0006937</v>
          </cell>
        </row>
        <row r="10796">
          <cell r="A10796" t="str">
            <v>M.PT.0006938</v>
          </cell>
        </row>
        <row r="10797">
          <cell r="A10797" t="str">
            <v>M.PT.0006939</v>
          </cell>
        </row>
        <row r="10798">
          <cell r="A10798" t="str">
            <v>M.PT.0006940</v>
          </cell>
        </row>
        <row r="10799">
          <cell r="A10799" t="str">
            <v>M.PT.0006941</v>
          </cell>
        </row>
        <row r="10800">
          <cell r="A10800" t="str">
            <v>M.PT.0006942</v>
          </cell>
        </row>
        <row r="10801">
          <cell r="A10801" t="str">
            <v>M.PT.0006943</v>
          </cell>
        </row>
        <row r="10802">
          <cell r="A10802" t="str">
            <v>M.PT.0006944</v>
          </cell>
        </row>
        <row r="10803">
          <cell r="A10803" t="str">
            <v>M.PT.0006945</v>
          </cell>
        </row>
        <row r="10804">
          <cell r="A10804" t="str">
            <v>M.PT.0006946</v>
          </cell>
        </row>
        <row r="10805">
          <cell r="A10805" t="str">
            <v>M.PT.0006947</v>
          </cell>
        </row>
        <row r="10806">
          <cell r="A10806" t="str">
            <v>M.PT.0006948</v>
          </cell>
        </row>
        <row r="10807">
          <cell r="A10807" t="str">
            <v>M.PT.0006949</v>
          </cell>
        </row>
        <row r="10808">
          <cell r="A10808" t="str">
            <v>M.PT.0006950</v>
          </cell>
        </row>
        <row r="10809">
          <cell r="A10809" t="str">
            <v>M.PT.0006951</v>
          </cell>
        </row>
        <row r="10810">
          <cell r="A10810" t="str">
            <v>M.PT.0006952</v>
          </cell>
        </row>
        <row r="10811">
          <cell r="A10811" t="str">
            <v>M.PT.0006953</v>
          </cell>
        </row>
        <row r="10812">
          <cell r="A10812" t="str">
            <v>M.PT.0006954</v>
          </cell>
        </row>
        <row r="10813">
          <cell r="A10813" t="str">
            <v>M.PT.0006955</v>
          </cell>
        </row>
        <row r="10814">
          <cell r="A10814" t="str">
            <v>M.PT.0006956</v>
          </cell>
        </row>
        <row r="10815">
          <cell r="A10815" t="str">
            <v>M.PT.0006957</v>
          </cell>
        </row>
        <row r="10816">
          <cell r="A10816" t="str">
            <v>M.PT.0006958</v>
          </cell>
        </row>
        <row r="10817">
          <cell r="A10817" t="str">
            <v>M.PT.0006959</v>
          </cell>
        </row>
        <row r="10818">
          <cell r="A10818" t="str">
            <v>M.PT.0006960</v>
          </cell>
        </row>
        <row r="10819">
          <cell r="A10819" t="str">
            <v>M.PT.0006961</v>
          </cell>
        </row>
        <row r="10820">
          <cell r="A10820" t="str">
            <v>M.PT.0006962</v>
          </cell>
        </row>
        <row r="10821">
          <cell r="A10821" t="str">
            <v>M.PT.0006963</v>
          </cell>
        </row>
        <row r="10822">
          <cell r="A10822" t="str">
            <v>M.PT.0006964</v>
          </cell>
        </row>
        <row r="10823">
          <cell r="A10823" t="str">
            <v>M.PT.0006965</v>
          </cell>
        </row>
        <row r="10824">
          <cell r="A10824" t="str">
            <v>M.PT.0006966</v>
          </cell>
        </row>
        <row r="10825">
          <cell r="A10825" t="str">
            <v>M.PT.0006967</v>
          </cell>
        </row>
        <row r="10826">
          <cell r="A10826" t="str">
            <v>M.PT.0006968</v>
          </cell>
        </row>
        <row r="10827">
          <cell r="A10827" t="str">
            <v>M.PT.0006969</v>
          </cell>
        </row>
        <row r="10828">
          <cell r="A10828" t="str">
            <v>M.PT.0006970</v>
          </cell>
        </row>
        <row r="10829">
          <cell r="A10829" t="str">
            <v>M.PT.0006971</v>
          </cell>
        </row>
        <row r="10830">
          <cell r="A10830" t="str">
            <v>M.PT.0006972</v>
          </cell>
        </row>
        <row r="10831">
          <cell r="A10831" t="str">
            <v>M.PT.0006973</v>
          </cell>
        </row>
        <row r="10832">
          <cell r="A10832" t="str">
            <v>M.PT.0006974</v>
          </cell>
        </row>
        <row r="10833">
          <cell r="A10833" t="str">
            <v>M.PT.0006975</v>
          </cell>
        </row>
        <row r="10834">
          <cell r="A10834" t="str">
            <v>M.PT.0006976</v>
          </cell>
        </row>
        <row r="10835">
          <cell r="A10835" t="str">
            <v>M.PT.0006977</v>
          </cell>
        </row>
        <row r="10836">
          <cell r="A10836" t="str">
            <v>M.PT.0006978</v>
          </cell>
        </row>
        <row r="10837">
          <cell r="A10837" t="str">
            <v>M.PT.0006979</v>
          </cell>
        </row>
        <row r="10838">
          <cell r="A10838" t="str">
            <v>M.PT.0006980</v>
          </cell>
        </row>
        <row r="10839">
          <cell r="A10839" t="str">
            <v>M.PT.0006981</v>
          </cell>
        </row>
        <row r="10840">
          <cell r="A10840" t="str">
            <v>M.PT.0006982</v>
          </cell>
        </row>
        <row r="10841">
          <cell r="A10841" t="str">
            <v>M.PT.0006983</v>
          </cell>
        </row>
        <row r="10842">
          <cell r="A10842" t="str">
            <v>M.PT.0006984</v>
          </cell>
        </row>
        <row r="10843">
          <cell r="A10843" t="str">
            <v>M.PT.0006985</v>
          </cell>
        </row>
        <row r="10844">
          <cell r="A10844" t="str">
            <v>M.PT.0006986</v>
          </cell>
        </row>
        <row r="10845">
          <cell r="A10845" t="str">
            <v>M.PT.0006987</v>
          </cell>
        </row>
        <row r="10846">
          <cell r="A10846" t="str">
            <v>M.PT.0006988</v>
          </cell>
        </row>
        <row r="10847">
          <cell r="A10847" t="str">
            <v>M.PT.0006989</v>
          </cell>
        </row>
        <row r="10848">
          <cell r="A10848" t="str">
            <v>M.PT.0006990</v>
          </cell>
        </row>
        <row r="10849">
          <cell r="A10849" t="str">
            <v>M.PT.0006991</v>
          </cell>
        </row>
        <row r="10850">
          <cell r="A10850" t="str">
            <v>M.PT.0006992</v>
          </cell>
        </row>
        <row r="10851">
          <cell r="A10851" t="str">
            <v>M.PT.0006993</v>
          </cell>
        </row>
        <row r="10852">
          <cell r="A10852" t="str">
            <v>M.PT.0006994</v>
          </cell>
        </row>
        <row r="10853">
          <cell r="A10853" t="str">
            <v>M.PT.0006995</v>
          </cell>
        </row>
        <row r="10854">
          <cell r="A10854" t="str">
            <v>M.PT.0006996</v>
          </cell>
        </row>
        <row r="10855">
          <cell r="A10855" t="str">
            <v>M.PT.0006997</v>
          </cell>
        </row>
        <row r="10856">
          <cell r="A10856" t="str">
            <v>M.PT.0006998</v>
          </cell>
        </row>
        <row r="10857">
          <cell r="A10857" t="str">
            <v>M.PT.0006999</v>
          </cell>
        </row>
        <row r="10858">
          <cell r="A10858" t="str">
            <v>M.PT.0007000</v>
          </cell>
        </row>
        <row r="10859">
          <cell r="A10859" t="str">
            <v>M.PT.0007001</v>
          </cell>
        </row>
        <row r="10860">
          <cell r="A10860" t="str">
            <v>M.PT.0007002</v>
          </cell>
        </row>
        <row r="10861">
          <cell r="A10861" t="str">
            <v>M.PT.0007003</v>
          </cell>
        </row>
        <row r="10862">
          <cell r="A10862" t="str">
            <v>M.PT.0007004</v>
          </cell>
        </row>
        <row r="10863">
          <cell r="A10863" t="str">
            <v>M.PT.0007005</v>
          </cell>
        </row>
        <row r="10864">
          <cell r="A10864" t="str">
            <v>M.PT.0007006</v>
          </cell>
        </row>
        <row r="10865">
          <cell r="A10865" t="str">
            <v>M.PT.0007007</v>
          </cell>
        </row>
        <row r="10866">
          <cell r="A10866" t="str">
            <v>M.PT.0007008</v>
          </cell>
        </row>
        <row r="10867">
          <cell r="A10867" t="str">
            <v>M.PT.0007009</v>
          </cell>
        </row>
        <row r="10868">
          <cell r="A10868" t="str">
            <v>M.PT.0007010</v>
          </cell>
        </row>
        <row r="10869">
          <cell r="A10869" t="str">
            <v>M.PT.0007011</v>
          </cell>
        </row>
        <row r="10870">
          <cell r="A10870" t="str">
            <v>M.PT.0007012</v>
          </cell>
        </row>
        <row r="10871">
          <cell r="A10871" t="str">
            <v>M.PT.0007013</v>
          </cell>
        </row>
        <row r="10872">
          <cell r="A10872" t="str">
            <v>M.PT.0007014</v>
          </cell>
        </row>
        <row r="10873">
          <cell r="A10873" t="str">
            <v>M.PT.0007015</v>
          </cell>
        </row>
        <row r="10874">
          <cell r="A10874" t="str">
            <v>M.PT.0007016</v>
          </cell>
        </row>
        <row r="10875">
          <cell r="A10875" t="str">
            <v>M.PT.0007017</v>
          </cell>
        </row>
        <row r="10876">
          <cell r="A10876" t="str">
            <v>M.PT.0007018</v>
          </cell>
        </row>
        <row r="10877">
          <cell r="A10877" t="str">
            <v>M.PT.0007019</v>
          </cell>
        </row>
        <row r="10878">
          <cell r="A10878" t="str">
            <v>M.PT.0007020</v>
          </cell>
        </row>
        <row r="10879">
          <cell r="A10879" t="str">
            <v>M.PT.0007021</v>
          </cell>
        </row>
        <row r="10880">
          <cell r="A10880" t="str">
            <v>M.PT.0007022</v>
          </cell>
        </row>
        <row r="10881">
          <cell r="A10881" t="str">
            <v>M.PT.0007023</v>
          </cell>
        </row>
        <row r="10882">
          <cell r="A10882" t="str">
            <v>M.PT.0007024</v>
          </cell>
        </row>
        <row r="10883">
          <cell r="A10883" t="str">
            <v>M.PT.0007025</v>
          </cell>
        </row>
        <row r="10884">
          <cell r="A10884" t="str">
            <v>M.PT.0007026</v>
          </cell>
        </row>
        <row r="10885">
          <cell r="A10885" t="str">
            <v>M.PT.0007027</v>
          </cell>
        </row>
        <row r="10886">
          <cell r="A10886" t="str">
            <v>M.PT.0007028</v>
          </cell>
        </row>
        <row r="10887">
          <cell r="A10887" t="str">
            <v>M.PT.0007029</v>
          </cell>
        </row>
        <row r="10888">
          <cell r="A10888" t="str">
            <v>M.PT.0007030</v>
          </cell>
        </row>
        <row r="10889">
          <cell r="A10889" t="str">
            <v>M.PT.0007031</v>
          </cell>
        </row>
        <row r="10890">
          <cell r="A10890" t="str">
            <v>M.PT.0007032</v>
          </cell>
        </row>
        <row r="10891">
          <cell r="A10891" t="str">
            <v>M.PT.0007033</v>
          </cell>
        </row>
        <row r="10892">
          <cell r="A10892" t="str">
            <v>M.PT.0007034</v>
          </cell>
        </row>
        <row r="10893">
          <cell r="A10893" t="str">
            <v>M.PT.0007035</v>
          </cell>
        </row>
        <row r="10894">
          <cell r="A10894" t="str">
            <v>M.PT.0007036</v>
          </cell>
        </row>
        <row r="10895">
          <cell r="A10895" t="str">
            <v>M.PT.0007037</v>
          </cell>
        </row>
        <row r="10896">
          <cell r="A10896" t="str">
            <v>M.PT.0007038</v>
          </cell>
        </row>
        <row r="10897">
          <cell r="A10897" t="str">
            <v>M.PT.0007039</v>
          </cell>
        </row>
        <row r="10898">
          <cell r="A10898" t="str">
            <v>M.PT.0007040</v>
          </cell>
        </row>
        <row r="10899">
          <cell r="A10899" t="str">
            <v>M.PT.0007041</v>
          </cell>
        </row>
        <row r="10900">
          <cell r="A10900" t="str">
            <v>M.PT.0007042</v>
          </cell>
        </row>
        <row r="10901">
          <cell r="A10901" t="str">
            <v>M.PT.0007043</v>
          </cell>
        </row>
        <row r="10902">
          <cell r="A10902" t="str">
            <v>M.PT.0007044</v>
          </cell>
        </row>
        <row r="10903">
          <cell r="A10903" t="str">
            <v>M.PT.0007045</v>
          </cell>
        </row>
        <row r="10904">
          <cell r="A10904" t="str">
            <v>M.PT.0007046</v>
          </cell>
        </row>
        <row r="10905">
          <cell r="A10905" t="str">
            <v>M.PT.0007047</v>
          </cell>
        </row>
        <row r="10906">
          <cell r="A10906" t="str">
            <v>M.PT.0007048</v>
          </cell>
        </row>
        <row r="10907">
          <cell r="A10907" t="str">
            <v>M.PT.0007049</v>
          </cell>
        </row>
        <row r="10908">
          <cell r="A10908" t="str">
            <v>M.PT.0007050</v>
          </cell>
        </row>
        <row r="10909">
          <cell r="A10909" t="str">
            <v>M.PT.0007051</v>
          </cell>
        </row>
        <row r="10910">
          <cell r="A10910" t="str">
            <v>M.PT.0007052</v>
          </cell>
        </row>
        <row r="10911">
          <cell r="A10911" t="str">
            <v>M.PT.0007053</v>
          </cell>
        </row>
        <row r="10913">
          <cell r="A10913" t="str">
            <v>M.SM.0000001</v>
          </cell>
        </row>
        <row r="10914">
          <cell r="A10914" t="str">
            <v>M.SM.0000002</v>
          </cell>
        </row>
        <row r="10915">
          <cell r="A10915" t="str">
            <v>M.SM.0000003</v>
          </cell>
        </row>
        <row r="10916">
          <cell r="A10916" t="str">
            <v>M.SM.0000004</v>
          </cell>
        </row>
        <row r="10917">
          <cell r="A10917" t="str">
            <v>M.SM.0000005</v>
          </cell>
        </row>
        <row r="10918">
          <cell r="A10918" t="str">
            <v>M.SM.0000006</v>
          </cell>
        </row>
        <row r="10919">
          <cell r="A10919" t="str">
            <v>M.SM.0000007</v>
          </cell>
        </row>
        <row r="10920">
          <cell r="A10920" t="str">
            <v>M.SM.0000008</v>
          </cell>
        </row>
        <row r="10921">
          <cell r="A10921" t="str">
            <v>M.SM.0000009</v>
          </cell>
        </row>
        <row r="10922">
          <cell r="A10922" t="str">
            <v>M.SM.0000010</v>
          </cell>
        </row>
        <row r="10923">
          <cell r="A10923" t="str">
            <v>M.SM.0000011</v>
          </cell>
        </row>
        <row r="10924">
          <cell r="A10924" t="str">
            <v>M.SM.0000012</v>
          </cell>
        </row>
        <row r="10925">
          <cell r="A10925" t="str">
            <v>M.SM.0000013</v>
          </cell>
        </row>
        <row r="10926">
          <cell r="A10926" t="str">
            <v>M.SM.0000014</v>
          </cell>
        </row>
        <row r="10927">
          <cell r="A10927" t="str">
            <v>M.SM.0000015</v>
          </cell>
        </row>
        <row r="10928">
          <cell r="A10928" t="str">
            <v>M.SM.0000016</v>
          </cell>
        </row>
        <row r="10929">
          <cell r="A10929" t="str">
            <v>M.SM.0000017</v>
          </cell>
        </row>
        <row r="10930">
          <cell r="A10930" t="str">
            <v>M.SM.0000018</v>
          </cell>
        </row>
        <row r="10931">
          <cell r="A10931" t="str">
            <v>M.SM.0000019</v>
          </cell>
        </row>
        <row r="10932">
          <cell r="A10932" t="str">
            <v>M.SM.0000020</v>
          </cell>
        </row>
        <row r="10933">
          <cell r="A10933" t="str">
            <v>M.SM.0000021</v>
          </cell>
        </row>
        <row r="10934">
          <cell r="A10934" t="str">
            <v>M.SM.0000022</v>
          </cell>
        </row>
        <row r="10935">
          <cell r="A10935" t="str">
            <v>M.SM.0000023</v>
          </cell>
        </row>
        <row r="10936">
          <cell r="A10936" t="str">
            <v>M.SM.0000024</v>
          </cell>
        </row>
        <row r="10937">
          <cell r="A10937" t="str">
            <v>M.SM.0000025</v>
          </cell>
        </row>
        <row r="10938">
          <cell r="A10938" t="str">
            <v>M.SM.0000026</v>
          </cell>
        </row>
        <row r="10939">
          <cell r="A10939" t="str">
            <v>M.SM.0000027</v>
          </cell>
        </row>
        <row r="10940">
          <cell r="A10940" t="str">
            <v>M.SM.0000028</v>
          </cell>
        </row>
        <row r="10941">
          <cell r="A10941" t="str">
            <v>M.SM.0000029</v>
          </cell>
        </row>
        <row r="10942">
          <cell r="A10942" t="str">
            <v>M.SM.0000030</v>
          </cell>
        </row>
        <row r="10943">
          <cell r="A10943" t="str">
            <v>M.SM.0000031</v>
          </cell>
        </row>
        <row r="10944">
          <cell r="A10944" t="str">
            <v>M.SM.0000032</v>
          </cell>
        </row>
        <row r="10945">
          <cell r="A10945" t="str">
            <v>M.SM.0000033</v>
          </cell>
        </row>
        <row r="10946">
          <cell r="A10946" t="str">
            <v>M.SM.0000034</v>
          </cell>
        </row>
        <row r="10947">
          <cell r="A10947" t="str">
            <v>M.SM.0000035</v>
          </cell>
        </row>
        <row r="10948">
          <cell r="A10948" t="str">
            <v>M.SM.0000036</v>
          </cell>
        </row>
        <row r="10949">
          <cell r="A10949" t="str">
            <v>M.SM.0000037</v>
          </cell>
        </row>
        <row r="10950">
          <cell r="A10950" t="str">
            <v>M.SM.0000038</v>
          </cell>
        </row>
        <row r="10951">
          <cell r="A10951" t="str">
            <v>M.SM.0000039</v>
          </cell>
        </row>
        <row r="10952">
          <cell r="A10952" t="str">
            <v>M.SM.0000040</v>
          </cell>
        </row>
        <row r="10953">
          <cell r="A10953" t="str">
            <v>M.SM.0000041</v>
          </cell>
        </row>
        <row r="10954">
          <cell r="A10954" t="str">
            <v>M.SM.0000042</v>
          </cell>
        </row>
        <row r="10955">
          <cell r="A10955" t="str">
            <v>M.SM.0000043</v>
          </cell>
        </row>
        <row r="10956">
          <cell r="A10956" t="str">
            <v>M.SM.0000044</v>
          </cell>
        </row>
        <row r="10957">
          <cell r="A10957" t="str">
            <v>M.SM.0000045</v>
          </cell>
        </row>
        <row r="10958">
          <cell r="A10958" t="str">
            <v>M.SM.0000046</v>
          </cell>
        </row>
        <row r="10959">
          <cell r="A10959" t="str">
            <v>M.SM.0000047</v>
          </cell>
        </row>
        <row r="10960">
          <cell r="A10960" t="str">
            <v>M.SM.0000048</v>
          </cell>
        </row>
        <row r="10961">
          <cell r="A10961" t="str">
            <v>M.SM.0000049</v>
          </cell>
        </row>
        <row r="10962">
          <cell r="A10962" t="str">
            <v>M.SM.0000050</v>
          </cell>
        </row>
        <row r="10963">
          <cell r="A10963" t="str">
            <v>M.SM.0000051</v>
          </cell>
        </row>
        <row r="10964">
          <cell r="A10964" t="str">
            <v>M.SM.0000052</v>
          </cell>
        </row>
        <row r="10965">
          <cell r="A10965" t="str">
            <v>M.SM.0000053</v>
          </cell>
        </row>
        <row r="10966">
          <cell r="A10966" t="str">
            <v>M.SM.0000054</v>
          </cell>
        </row>
        <row r="10967">
          <cell r="A10967" t="str">
            <v>M.SM.0000055</v>
          </cell>
        </row>
        <row r="10968">
          <cell r="A10968" t="str">
            <v>M.SM.0000056</v>
          </cell>
        </row>
        <row r="10969">
          <cell r="A10969" t="str">
            <v>M.SM.0000057</v>
          </cell>
        </row>
        <row r="10970">
          <cell r="A10970" t="str">
            <v>M.SM.0000058</v>
          </cell>
        </row>
        <row r="10971">
          <cell r="A10971" t="str">
            <v>M.SM.0000059</v>
          </cell>
        </row>
        <row r="10972">
          <cell r="A10972" t="str">
            <v>M.SM.0000060</v>
          </cell>
        </row>
        <row r="10973">
          <cell r="A10973" t="str">
            <v>M.SM.0000061</v>
          </cell>
        </row>
        <row r="10974">
          <cell r="A10974" t="str">
            <v>M.SM.0000062</v>
          </cell>
        </row>
        <row r="10975">
          <cell r="A10975" t="str">
            <v>M.SM.0000063</v>
          </cell>
        </row>
        <row r="10976">
          <cell r="A10976" t="str">
            <v>M.SM.0000064</v>
          </cell>
        </row>
        <row r="10977">
          <cell r="A10977" t="str">
            <v>M.SM.0000065</v>
          </cell>
        </row>
        <row r="10978">
          <cell r="A10978" t="str">
            <v>M.SM.0000066</v>
          </cell>
        </row>
        <row r="10979">
          <cell r="A10979" t="str">
            <v>M.SM.0000067</v>
          </cell>
        </row>
        <row r="10980">
          <cell r="A10980" t="str">
            <v>M.SM.0000068</v>
          </cell>
        </row>
        <row r="10981">
          <cell r="A10981" t="str">
            <v>M.SM.0000069</v>
          </cell>
        </row>
        <row r="10982">
          <cell r="A10982" t="str">
            <v>M.SM.0000070</v>
          </cell>
        </row>
        <row r="10983">
          <cell r="A10983" t="str">
            <v>M.SM.0000071</v>
          </cell>
        </row>
        <row r="10984">
          <cell r="A10984" t="str">
            <v>M.SM.0000072</v>
          </cell>
        </row>
        <row r="10985">
          <cell r="A10985" t="str">
            <v>M.SM.0000073</v>
          </cell>
        </row>
        <row r="10986">
          <cell r="A10986" t="str">
            <v>M.SM.0000074</v>
          </cell>
        </row>
        <row r="10987">
          <cell r="A10987" t="str">
            <v>M.SM.0000075</v>
          </cell>
        </row>
        <row r="10988">
          <cell r="A10988" t="str">
            <v>M.SM.0000076</v>
          </cell>
        </row>
        <row r="10989">
          <cell r="A10989" t="str">
            <v>M.SM.0000077</v>
          </cell>
        </row>
        <row r="10990">
          <cell r="A10990" t="str">
            <v>M.SM.0000078</v>
          </cell>
        </row>
        <row r="10991">
          <cell r="A10991" t="str">
            <v>M.SM.0000079</v>
          </cell>
        </row>
        <row r="10992">
          <cell r="A10992" t="str">
            <v>M.SM.0000080</v>
          </cell>
        </row>
        <row r="10993">
          <cell r="A10993" t="str">
            <v>M.SM.0000081</v>
          </cell>
        </row>
        <row r="10994">
          <cell r="A10994" t="str">
            <v>M.SM.0000082</v>
          </cell>
        </row>
        <row r="10995">
          <cell r="A10995" t="str">
            <v>M.SM.0000083</v>
          </cell>
        </row>
        <row r="10996">
          <cell r="A10996" t="str">
            <v>M.SM.0000084</v>
          </cell>
        </row>
        <row r="10997">
          <cell r="A10997" t="str">
            <v>M.SM.0000085</v>
          </cell>
        </row>
        <row r="10998">
          <cell r="A10998" t="str">
            <v>M.SM.0000086</v>
          </cell>
        </row>
        <row r="10999">
          <cell r="A10999" t="str">
            <v>M.SM.0000087</v>
          </cell>
        </row>
        <row r="11000">
          <cell r="A11000" t="str">
            <v>M.SM.0000088</v>
          </cell>
        </row>
        <row r="11001">
          <cell r="A11001" t="str">
            <v>M.SM.0000094</v>
          </cell>
        </row>
        <row r="11002">
          <cell r="A11002" t="str">
            <v>M.SM.0000095</v>
          </cell>
        </row>
        <row r="11003">
          <cell r="A11003" t="str">
            <v>M.SM.0000096</v>
          </cell>
        </row>
        <row r="11004">
          <cell r="A11004" t="str">
            <v>M.SM.0000097</v>
          </cell>
        </row>
        <row r="11005">
          <cell r="A11005" t="str">
            <v>M.SM.0000098</v>
          </cell>
        </row>
        <row r="11006">
          <cell r="A11006" t="str">
            <v>M.SM.0000099</v>
          </cell>
        </row>
        <row r="11007">
          <cell r="A11007" t="str">
            <v>M.SM.0000100</v>
          </cell>
        </row>
        <row r="11008">
          <cell r="A11008" t="str">
            <v>M.SM.0000101</v>
          </cell>
        </row>
        <row r="11009">
          <cell r="A11009" t="str">
            <v>M.SM.0000102</v>
          </cell>
        </row>
        <row r="11010">
          <cell r="A11010" t="str">
            <v>M.SM.0000103</v>
          </cell>
        </row>
        <row r="11011">
          <cell r="A11011" t="str">
            <v>M.SM.0000104</v>
          </cell>
        </row>
        <row r="11012">
          <cell r="A11012" t="str">
            <v>M.SM.0000105</v>
          </cell>
        </row>
        <row r="11013">
          <cell r="A11013" t="str">
            <v>M.SM.0000106</v>
          </cell>
        </row>
        <row r="11014">
          <cell r="A11014" t="str">
            <v>M.SM.0000107</v>
          </cell>
        </row>
        <row r="11015">
          <cell r="A11015" t="str">
            <v>M.SM.0000108</v>
          </cell>
        </row>
        <row r="11016">
          <cell r="A11016" t="str">
            <v>M.SM.0000109</v>
          </cell>
        </row>
        <row r="11017">
          <cell r="A11017" t="str">
            <v>M.SM.0000110</v>
          </cell>
        </row>
        <row r="11018">
          <cell r="A11018" t="str">
            <v>M.SM.0000111</v>
          </cell>
        </row>
        <row r="11019">
          <cell r="A11019" t="str">
            <v>M.SM.0000112</v>
          </cell>
        </row>
        <row r="11020">
          <cell r="A11020" t="str">
            <v>M.SM.0000113</v>
          </cell>
        </row>
        <row r="11021">
          <cell r="A11021" t="str">
            <v>M.SM.0000114</v>
          </cell>
        </row>
        <row r="11022">
          <cell r="A11022" t="str">
            <v>M.SM.0000115</v>
          </cell>
        </row>
        <row r="11023">
          <cell r="A11023" t="str">
            <v>M.SM.0000116</v>
          </cell>
        </row>
        <row r="11024">
          <cell r="A11024" t="str">
            <v>M.SM.0000117</v>
          </cell>
        </row>
        <row r="11025">
          <cell r="A11025" t="str">
            <v>M.SM.0000118</v>
          </cell>
        </row>
        <row r="11026">
          <cell r="A11026" t="str">
            <v>M.SM.0000119</v>
          </cell>
        </row>
        <row r="11027">
          <cell r="A11027" t="str">
            <v>M.SM.0000120</v>
          </cell>
        </row>
        <row r="11028">
          <cell r="A11028" t="str">
            <v>M.SM.0000121</v>
          </cell>
        </row>
        <row r="11029">
          <cell r="A11029" t="str">
            <v>M.SM.0000122</v>
          </cell>
        </row>
        <row r="11030">
          <cell r="A11030" t="str">
            <v>M.SM.0000123</v>
          </cell>
        </row>
        <row r="11031">
          <cell r="A11031" t="str">
            <v>M.SM.0000124</v>
          </cell>
        </row>
        <row r="11032">
          <cell r="A11032" t="str">
            <v>M.SM.0000125</v>
          </cell>
        </row>
        <row r="11033">
          <cell r="A11033" t="str">
            <v>M.SM.0000126</v>
          </cell>
        </row>
        <row r="11034">
          <cell r="A11034" t="str">
            <v>M.SM.0000127</v>
          </cell>
        </row>
        <row r="11035">
          <cell r="A11035" t="str">
            <v>M.SM.0000128</v>
          </cell>
        </row>
        <row r="11036">
          <cell r="A11036" t="str">
            <v>M.SM.0000129</v>
          </cell>
        </row>
        <row r="11037">
          <cell r="A11037" t="str">
            <v>M.SM.0000130</v>
          </cell>
        </row>
        <row r="11038">
          <cell r="A11038" t="str">
            <v>M.SM.0000131</v>
          </cell>
        </row>
        <row r="11039">
          <cell r="A11039" t="str">
            <v>M.SM.0000132</v>
          </cell>
        </row>
        <row r="11040">
          <cell r="A11040" t="str">
            <v>M.SM.0000133</v>
          </cell>
        </row>
        <row r="11041">
          <cell r="A11041" t="str">
            <v>M.SM.0000134</v>
          </cell>
        </row>
        <row r="11042">
          <cell r="A11042" t="str">
            <v>M.SM.0000135</v>
          </cell>
        </row>
        <row r="11043">
          <cell r="A11043" t="str">
            <v>M.SM.0000136</v>
          </cell>
        </row>
        <row r="11044">
          <cell r="A11044" t="str">
            <v>M.SM.0000137</v>
          </cell>
        </row>
        <row r="11045">
          <cell r="A11045" t="str">
            <v>M.SM.0000138</v>
          </cell>
        </row>
        <row r="11046">
          <cell r="A11046" t="str">
            <v>M.SM.0000139</v>
          </cell>
        </row>
        <row r="11047">
          <cell r="A11047" t="str">
            <v>M.SM.0000140</v>
          </cell>
        </row>
        <row r="11049">
          <cell r="A11049" t="str">
            <v>M.TO.0000001</v>
          </cell>
        </row>
        <row r="11050">
          <cell r="A11050" t="str">
            <v>M.TO.0000002</v>
          </cell>
        </row>
        <row r="11051">
          <cell r="A11051" t="str">
            <v>M.TO.0000003</v>
          </cell>
        </row>
        <row r="11052">
          <cell r="A11052" t="str">
            <v>M.TO.0000004</v>
          </cell>
        </row>
        <row r="11053">
          <cell r="A11053" t="str">
            <v>M.TO.0000005</v>
          </cell>
        </row>
        <row r="11054">
          <cell r="A11054" t="str">
            <v>M.TO.0000006</v>
          </cell>
        </row>
        <row r="11055">
          <cell r="A11055" t="str">
            <v>M.TO.0000007</v>
          </cell>
        </row>
        <row r="11056">
          <cell r="A11056" t="str">
            <v>M.TO.0000009</v>
          </cell>
        </row>
        <row r="11057">
          <cell r="A11057" t="str">
            <v>M.TO.0000010</v>
          </cell>
        </row>
        <row r="11058">
          <cell r="A11058" t="str">
            <v>M.TO.0000011</v>
          </cell>
        </row>
        <row r="11059">
          <cell r="A11059" t="str">
            <v>M.TO.0000012</v>
          </cell>
        </row>
        <row r="11060">
          <cell r="A11060" t="str">
            <v>M.TO.0000013</v>
          </cell>
        </row>
        <row r="11061">
          <cell r="A11061" t="str">
            <v>M.TO.0000014</v>
          </cell>
        </row>
        <row r="11062">
          <cell r="A11062" t="str">
            <v>M.TO.0000015</v>
          </cell>
        </row>
        <row r="11063">
          <cell r="A11063" t="str">
            <v>M.TO.0000016</v>
          </cell>
        </row>
        <row r="11064">
          <cell r="A11064" t="str">
            <v>M.TO.0000017</v>
          </cell>
        </row>
        <row r="11065">
          <cell r="A11065" t="str">
            <v>M.TO.0000018</v>
          </cell>
        </row>
        <row r="11066">
          <cell r="A11066" t="str">
            <v>M.TO.0000019</v>
          </cell>
        </row>
        <row r="11067">
          <cell r="A11067" t="str">
            <v>M.TO.0000020</v>
          </cell>
        </row>
        <row r="11068">
          <cell r="A11068" t="str">
            <v>M.TO.0000021</v>
          </cell>
        </row>
        <row r="11069">
          <cell r="A11069" t="str">
            <v>M.TO.0000022</v>
          </cell>
        </row>
        <row r="11070">
          <cell r="A11070" t="str">
            <v>M.TO.0000023</v>
          </cell>
        </row>
        <row r="11071">
          <cell r="A11071" t="str">
            <v>M.TO.0000024</v>
          </cell>
        </row>
        <row r="11072">
          <cell r="A11072" t="str">
            <v>M.TO.0000025</v>
          </cell>
        </row>
        <row r="11073">
          <cell r="A11073" t="str">
            <v>M.TO.0000026</v>
          </cell>
        </row>
        <row r="11074">
          <cell r="A11074" t="str">
            <v>M.TO.0000027</v>
          </cell>
        </row>
        <row r="11075">
          <cell r="A11075" t="str">
            <v>M.TO.0000028</v>
          </cell>
        </row>
        <row r="11076">
          <cell r="A11076" t="str">
            <v>M.TO.0000029</v>
          </cell>
        </row>
        <row r="11077">
          <cell r="A11077" t="str">
            <v>M.TO.0000030</v>
          </cell>
        </row>
        <row r="11078">
          <cell r="A11078" t="str">
            <v>M.TO.0000031</v>
          </cell>
        </row>
        <row r="11079">
          <cell r="A11079" t="str">
            <v>M.TO.0000032</v>
          </cell>
        </row>
        <row r="11080">
          <cell r="A11080" t="str">
            <v>M.TO.0000033</v>
          </cell>
        </row>
        <row r="11081">
          <cell r="A11081" t="str">
            <v>M.TO.0000034</v>
          </cell>
        </row>
        <row r="11082">
          <cell r="A11082" t="str">
            <v>M.TO.0000035</v>
          </cell>
        </row>
        <row r="11083">
          <cell r="A11083" t="str">
            <v>M.TO.0000036</v>
          </cell>
        </row>
        <row r="11084">
          <cell r="A11084" t="str">
            <v>M.TO.0000038</v>
          </cell>
        </row>
        <row r="11085">
          <cell r="A11085" t="str">
            <v>M.TO.0000039</v>
          </cell>
        </row>
        <row r="11086">
          <cell r="A11086" t="str">
            <v>M.TO.0000040</v>
          </cell>
        </row>
        <row r="11087">
          <cell r="A11087" t="str">
            <v>M.TO.0000041</v>
          </cell>
        </row>
        <row r="11088">
          <cell r="A11088" t="str">
            <v>M.TO.0000042</v>
          </cell>
        </row>
        <row r="11089">
          <cell r="A11089" t="str">
            <v>M.TO.0000043</v>
          </cell>
        </row>
        <row r="11090">
          <cell r="A11090" t="str">
            <v>M.TO.0000044</v>
          </cell>
        </row>
        <row r="11091">
          <cell r="A11091" t="str">
            <v>M.TO.0000045</v>
          </cell>
        </row>
        <row r="11092">
          <cell r="A11092" t="str">
            <v>M.TO.0000046</v>
          </cell>
        </row>
        <row r="11093">
          <cell r="A11093" t="str">
            <v>M.TO.0000047</v>
          </cell>
        </row>
        <row r="11094">
          <cell r="A11094" t="str">
            <v>M.TO.0000048</v>
          </cell>
        </row>
        <row r="11095">
          <cell r="A11095" t="str">
            <v>M.TO.0000049</v>
          </cell>
        </row>
        <row r="11096">
          <cell r="A11096" t="str">
            <v>M.TO.0000050</v>
          </cell>
        </row>
        <row r="11097">
          <cell r="A11097" t="str">
            <v>M.TO.0000051</v>
          </cell>
        </row>
        <row r="11098">
          <cell r="A11098" t="str">
            <v>M.TO.0000052</v>
          </cell>
        </row>
        <row r="11099">
          <cell r="A11099" t="str">
            <v>M.TO.0000053</v>
          </cell>
        </row>
        <row r="11100">
          <cell r="A11100" t="str">
            <v>M.TO.0000054</v>
          </cell>
        </row>
        <row r="11101">
          <cell r="A11101" t="str">
            <v>M.TO.0000055</v>
          </cell>
        </row>
        <row r="11102">
          <cell r="A11102" t="str">
            <v>M.TO.0000056</v>
          </cell>
        </row>
        <row r="11103">
          <cell r="A11103" t="str">
            <v>M.TO.0000057</v>
          </cell>
        </row>
        <row r="11104">
          <cell r="A11104" t="str">
            <v>M.TO.0000058</v>
          </cell>
        </row>
        <row r="11105">
          <cell r="A11105" t="str">
            <v>M.TO.0000059</v>
          </cell>
        </row>
        <row r="11106">
          <cell r="A11106" t="str">
            <v>M.TO.0000060</v>
          </cell>
        </row>
        <row r="11107">
          <cell r="A11107" t="str">
            <v>M.TO.0000061</v>
          </cell>
        </row>
        <row r="11108">
          <cell r="A11108" t="str">
            <v>M.TO.0000062</v>
          </cell>
        </row>
        <row r="11109">
          <cell r="A11109" t="str">
            <v>M.TO.0000063</v>
          </cell>
        </row>
        <row r="11110">
          <cell r="A11110" t="str">
            <v>M.TO.0000064</v>
          </cell>
        </row>
        <row r="11111">
          <cell r="A11111" t="str">
            <v>M.TO.0000065</v>
          </cell>
        </row>
        <row r="11112">
          <cell r="A11112" t="str">
            <v>M.TO.0000066</v>
          </cell>
        </row>
        <row r="11113">
          <cell r="A11113" t="str">
            <v>M.TO.0000067</v>
          </cell>
        </row>
        <row r="11114">
          <cell r="A11114" t="str">
            <v>M.TO.0000068</v>
          </cell>
        </row>
        <row r="11115">
          <cell r="A11115" t="str">
            <v>M.TO.0000070</v>
          </cell>
        </row>
        <row r="11116">
          <cell r="A11116" t="str">
            <v>M.TO.0000071</v>
          </cell>
        </row>
        <row r="11117">
          <cell r="A11117" t="str">
            <v>M.TO.0000072</v>
          </cell>
        </row>
        <row r="11118">
          <cell r="A11118" t="str">
            <v>M.TO.0000073</v>
          </cell>
        </row>
        <row r="11119">
          <cell r="A11119" t="str">
            <v>M.TO.0000074</v>
          </cell>
        </row>
        <row r="11120">
          <cell r="A11120" t="str">
            <v>M.TO.0000075</v>
          </cell>
        </row>
        <row r="11121">
          <cell r="A11121" t="str">
            <v>M.TO.0000076</v>
          </cell>
        </row>
        <row r="11122">
          <cell r="A11122" t="str">
            <v>M.TO.0000077</v>
          </cell>
        </row>
        <row r="11123">
          <cell r="A11123" t="str">
            <v>M.TO.0000078</v>
          </cell>
        </row>
        <row r="11124">
          <cell r="A11124" t="str">
            <v>M.TO.0000079</v>
          </cell>
        </row>
        <row r="11125">
          <cell r="A11125" t="str">
            <v>M.TO.0000080</v>
          </cell>
        </row>
        <row r="11126">
          <cell r="A11126" t="str">
            <v>M.TO.0000081</v>
          </cell>
        </row>
        <row r="11127">
          <cell r="A11127" t="str">
            <v>M.TO.0000082</v>
          </cell>
        </row>
        <row r="11128">
          <cell r="A11128" t="str">
            <v>M.TO.0000083</v>
          </cell>
        </row>
        <row r="11129">
          <cell r="A11129" t="str">
            <v>M.TO.0000084</v>
          </cell>
        </row>
        <row r="11130">
          <cell r="A11130" t="str">
            <v>M.TO.0000085</v>
          </cell>
        </row>
        <row r="11131">
          <cell r="A11131" t="str">
            <v>M.TO.0000086</v>
          </cell>
        </row>
        <row r="11132">
          <cell r="A11132" t="str">
            <v>M.TO.0000087</v>
          </cell>
        </row>
        <row r="11133">
          <cell r="A11133" t="str">
            <v>M.TO.0000088</v>
          </cell>
        </row>
        <row r="11134">
          <cell r="A11134" t="str">
            <v>M.TO.0000089</v>
          </cell>
        </row>
        <row r="11135">
          <cell r="A11135" t="str">
            <v>M.TO.0000090</v>
          </cell>
        </row>
        <row r="11136">
          <cell r="A11136" t="str">
            <v>M.TO.0000091</v>
          </cell>
        </row>
        <row r="11137">
          <cell r="A11137" t="str">
            <v>M.TO.0000092</v>
          </cell>
        </row>
        <row r="11138">
          <cell r="A11138" t="str">
            <v>M.TO.0000093</v>
          </cell>
        </row>
        <row r="11139">
          <cell r="A11139" t="str">
            <v>M.TO.0000094</v>
          </cell>
        </row>
        <row r="11140">
          <cell r="A11140" t="str">
            <v>M.TO.0000095</v>
          </cell>
        </row>
        <row r="11141">
          <cell r="A11141" t="str">
            <v>M.TO.0000096</v>
          </cell>
        </row>
        <row r="11142">
          <cell r="A11142" t="str">
            <v>M.TO.0000097</v>
          </cell>
        </row>
        <row r="11143">
          <cell r="A11143" t="str">
            <v>M.TO.0000098</v>
          </cell>
        </row>
        <row r="11144">
          <cell r="A11144" t="str">
            <v>M.TO.0000099</v>
          </cell>
        </row>
        <row r="11145">
          <cell r="A11145" t="str">
            <v>M.TO.0000100</v>
          </cell>
        </row>
        <row r="11146">
          <cell r="A11146" t="str">
            <v>M.TO.0000101</v>
          </cell>
        </row>
        <row r="11147">
          <cell r="A11147" t="str">
            <v>M.TO.0000102</v>
          </cell>
        </row>
        <row r="11148">
          <cell r="A11148" t="str">
            <v>M.TO.0000103</v>
          </cell>
        </row>
        <row r="11149">
          <cell r="A11149" t="str">
            <v>M.TO.0000104</v>
          </cell>
        </row>
        <row r="11150">
          <cell r="A11150" t="str">
            <v>M.TO.0000105</v>
          </cell>
        </row>
        <row r="11151">
          <cell r="A11151" t="str">
            <v>M.TO.0000106</v>
          </cell>
        </row>
        <row r="11152">
          <cell r="A11152" t="str">
            <v>M.TO.0000107</v>
          </cell>
        </row>
        <row r="11153">
          <cell r="A11153" t="str">
            <v>M.TO.0000108</v>
          </cell>
        </row>
        <row r="11155">
          <cell r="A11155" t="str">
            <v>M.TR.0000001</v>
          </cell>
        </row>
        <row r="11156">
          <cell r="A11156" t="str">
            <v>M.TR.0000002</v>
          </cell>
        </row>
        <row r="11157">
          <cell r="A11157" t="str">
            <v>M.TR.0000003</v>
          </cell>
        </row>
        <row r="11158">
          <cell r="A11158" t="str">
            <v>M.TR.0000004</v>
          </cell>
        </row>
        <row r="11159">
          <cell r="A11159" t="str">
            <v>M.TR.0000005</v>
          </cell>
        </row>
        <row r="11160">
          <cell r="A11160" t="str">
            <v>M.TR.0000006</v>
          </cell>
        </row>
        <row r="11161">
          <cell r="A11161" t="str">
            <v>M.TR.0000007</v>
          </cell>
        </row>
        <row r="11162">
          <cell r="A11162" t="str">
            <v>M.TR.0000008</v>
          </cell>
        </row>
        <row r="11163">
          <cell r="A11163" t="str">
            <v>M.TR.0000009</v>
          </cell>
        </row>
        <row r="11165">
          <cell r="A11165" t="str">
            <v>M.TS.0000001</v>
          </cell>
        </row>
        <row r="11167">
          <cell r="A11167" t="str">
            <v>M.TV.0000001</v>
          </cell>
        </row>
        <row r="11168">
          <cell r="A11168" t="str">
            <v>M.TV.0000002</v>
          </cell>
        </row>
        <row r="11169">
          <cell r="A11169" t="str">
            <v>M.TV.0000003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gu 3"/>
      <sheetName val="Mgu 4"/>
    </sheetNames>
    <sheetDataSet>
      <sheetData sheetId="0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Items"/>
      <sheetName val="Table"/>
    </sheetNames>
    <sheetDataSet>
      <sheetData sheetId="0"/>
      <sheetData sheetId="1" refreshError="1"/>
      <sheetData sheetId="2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 Package"/>
      <sheetName val="Package"/>
      <sheetName val="Grafik Bulk"/>
      <sheetName val="Bulk"/>
      <sheetName val="Grafik Exim"/>
      <sheetName val="Exim"/>
      <sheetName val="Exim Ytd"/>
      <sheetName val="Exim De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1">
          <cell r="H21">
            <v>1</v>
          </cell>
          <cell r="J21">
            <v>13</v>
          </cell>
        </row>
        <row r="22">
          <cell r="C22">
            <v>43466</v>
          </cell>
        </row>
        <row r="23">
          <cell r="C23">
            <v>7303.5494609999987</v>
          </cell>
        </row>
        <row r="24">
          <cell r="C24">
            <v>2195.1379480000001</v>
          </cell>
        </row>
        <row r="25">
          <cell r="C25">
            <v>2775.3105266499997</v>
          </cell>
        </row>
        <row r="75">
          <cell r="K75">
            <v>1</v>
          </cell>
          <cell r="M75">
            <v>13</v>
          </cell>
        </row>
        <row r="76">
          <cell r="C76">
            <v>43466</v>
          </cell>
        </row>
        <row r="77">
          <cell r="C77">
            <v>1321.9634000000001</v>
          </cell>
        </row>
        <row r="78">
          <cell r="C78">
            <v>685.684439</v>
          </cell>
        </row>
        <row r="79">
          <cell r="C79">
            <v>843.96741904170733</v>
          </cell>
        </row>
        <row r="122">
          <cell r="J122">
            <v>1</v>
          </cell>
          <cell r="L122">
            <v>13</v>
          </cell>
        </row>
        <row r="123">
          <cell r="C123">
            <v>43466</v>
          </cell>
        </row>
        <row r="124">
          <cell r="C124">
            <v>635.32505400000002</v>
          </cell>
        </row>
        <row r="125">
          <cell r="C125">
            <v>399.78876500000007</v>
          </cell>
        </row>
        <row r="126">
          <cell r="C126">
            <v>480.24079860709548</v>
          </cell>
        </row>
      </sheetData>
      <sheetData sheetId="5">
        <row r="6">
          <cell r="G6">
            <v>618.094516</v>
          </cell>
        </row>
      </sheetData>
      <sheetData sheetId="6" refreshError="1"/>
      <sheetData sheetId="7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K2003"/>
      <sheetName val="REKONSILIASI"/>
      <sheetName val="Sale FA"/>
      <sheetName val="summary"/>
      <sheetName val="Depr 2003 (rev)"/>
      <sheetName val="TB-WP"/>
      <sheetName val="Daf. KPP"/>
      <sheetName val="GeneralInfo"/>
      <sheetName val="DAFINV"/>
      <sheetName val="F1771"/>
      <sheetName val="Sheet4"/>
      <sheetName val="Opening"/>
      <sheetName val="Ex_Rate"/>
      <sheetName val="INFORMATION"/>
      <sheetName val="Checker"/>
      <sheetName val="Worksheet-03"/>
      <sheetName val="EYAS Standar"/>
      <sheetName val="Daftar Upah "/>
      <sheetName val="1996-1997"/>
      <sheetName val="TB"/>
      <sheetName val="gg.1"/>
      <sheetName val="BARS"/>
      <sheetName val="Okt"/>
      <sheetName val="Marshal"/>
      <sheetName val="A"/>
      <sheetName val="Master Plan"/>
      <sheetName val="Rangk Bgr_Dpk"/>
      <sheetName val="GL SA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K2003"/>
      <sheetName val="REKONSILIASI"/>
      <sheetName val="Sale FA"/>
      <sheetName val="summary"/>
      <sheetName val="Depr 2003 (rev)"/>
      <sheetName val="TB-WP"/>
      <sheetName val="Daf. KPP"/>
      <sheetName val="GeneralInfo"/>
      <sheetName val="DAFINV"/>
      <sheetName val="F1771"/>
      <sheetName val="Sheet4"/>
      <sheetName val="Opening"/>
      <sheetName val="Ex_Rate"/>
      <sheetName val="INFORMATION"/>
      <sheetName val="Checker"/>
      <sheetName val="Worksheet-03"/>
      <sheetName val="EYAS Standar"/>
      <sheetName val="Daftar Upah "/>
      <sheetName val="1996-1997"/>
      <sheetName val="TB"/>
      <sheetName val="gg.1"/>
      <sheetName val="BARS"/>
      <sheetName val="Okt"/>
      <sheetName val="Marshal"/>
      <sheetName val="A"/>
      <sheetName val="Master Plan"/>
      <sheetName val="Rangk Bgr_Dpk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 cover"/>
      <sheetName val="WS COMPARE"/>
      <sheetName val="CFS "/>
      <sheetName val="Note to account"/>
      <sheetName val="PPE"/>
      <sheetName val="CJE"/>
      <sheetName val="Proof of other reserves"/>
      <sheetName val="Interco Bal Elimination"/>
      <sheetName val="Notes to accounts"/>
      <sheetName val="Goodwill"/>
      <sheetName val="procedure"/>
      <sheetName val="INVESTMENT LGI 2008"/>
      <sheetName val="0100309 EDIT JOURNAL INV LGI"/>
      <sheetName val="Adj Fr Interfreight"/>
      <sheetName val="Interfreight Audit Adjustment"/>
      <sheetName val="TB Int after Audit (OKE)"/>
      <sheetName val="YTD P&amp;LDEC2008 (SRI)"/>
      <sheetName val="ELVIA (UPDATE)"/>
      <sheetName val="TB DETAIL DEC'08 (LGI WS DEC'09"/>
      <sheetName val="JV0812-009- LIT"/>
      <sheetName val="JV0812-010 LIT"/>
      <sheetName val="JV0902-001 LIT"/>
      <sheetName val="Sum PL Account (Audit Adj LIT)"/>
      <sheetName val="WS LIT (SRI)"/>
      <sheetName val="OS CML-1 (Ori&amp;SGD)"/>
      <sheetName val="OS CML-2(Ori&amp;SGD)"/>
      <sheetName val="BS CML-1(Ori&amp;SGD)"/>
      <sheetName val="BS CML-2 (Ori&amp;SGD)"/>
      <sheetName val="Mapping Int (bef aqcui)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atio"/>
      <sheetName val="FS"/>
      <sheetName val="AJE"/>
      <sheetName val="RJE"/>
      <sheetName val="CF"/>
      <sheetName val="NTA"/>
      <sheetName val="audited BS"/>
      <sheetName val="audited CF"/>
      <sheetName val="audited PL"/>
      <sheetName val="audited detailPL"/>
      <sheetName val="ClientTB"/>
      <sheetName val="ClientBS"/>
      <sheetName val="ClientPL"/>
      <sheetName val="procedure"/>
    </sheetNames>
    <sheetDataSet>
      <sheetData sheetId="0"/>
      <sheetData sheetId="1"/>
      <sheetData sheetId="2" refreshError="1">
        <row r="1">
          <cell r="B1" t="str">
            <v>Client  : BDP FORWARDING SDN BHD</v>
          </cell>
        </row>
        <row r="2">
          <cell r="B2" t="str">
            <v>(Incorporated in the Malaysia</v>
          </cell>
        </row>
        <row r="4">
          <cell r="B4" t="str">
            <v>INCOME STATEMENT FOR THE FINANCIAL YEAR ENDED 31 DECEMBER 2005</v>
          </cell>
        </row>
        <row r="5">
          <cell r="E5" t="str">
            <v>&lt;Test Check ( Account balance )&gt;</v>
          </cell>
          <cell r="F5">
            <v>-0.15000000002328306</v>
          </cell>
          <cell r="H5">
            <v>0</v>
          </cell>
          <cell r="J5">
            <v>0</v>
          </cell>
          <cell r="K5">
            <v>-0.15000000002328306</v>
          </cell>
          <cell r="O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  <cell r="M7" t="str">
            <v>audited</v>
          </cell>
          <cell r="O7" t="str">
            <v>audited</v>
          </cell>
        </row>
        <row r="8">
          <cell r="D8" t="str">
            <v>WP REF</v>
          </cell>
          <cell r="F8" t="str">
            <v>31.12.2005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 t="str">
            <v>31.12.2005</v>
          </cell>
          <cell r="M8" t="str">
            <v>31.12.2005</v>
          </cell>
          <cell r="O8" t="str">
            <v>31.12.2004</v>
          </cell>
        </row>
        <row r="9">
          <cell r="F9" t="str">
            <v>RM</v>
          </cell>
          <cell r="G9" t="str">
            <v>RM</v>
          </cell>
          <cell r="H9" t="str">
            <v>RM</v>
          </cell>
          <cell r="I9" t="str">
            <v>RM</v>
          </cell>
          <cell r="J9" t="str">
            <v>RM</v>
          </cell>
          <cell r="K9" t="str">
            <v>RM</v>
          </cell>
          <cell r="M9" t="str">
            <v>S$</v>
          </cell>
          <cell r="O9" t="str">
            <v>RM</v>
          </cell>
        </row>
        <row r="11">
          <cell r="A11" t="str">
            <v>Sales</v>
          </cell>
          <cell r="B11" t="str">
            <v>Turnover</v>
          </cell>
          <cell r="F11">
            <v>183035.67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183035.67</v>
          </cell>
          <cell r="L11" t="str">
            <v>ok</v>
          </cell>
          <cell r="M11">
            <v>80497.25730930001</v>
          </cell>
          <cell r="O11">
            <v>0</v>
          </cell>
        </row>
        <row r="12">
          <cell r="M12" t="str">
            <v xml:space="preserve"> </v>
          </cell>
        </row>
        <row r="13">
          <cell r="A13" t="str">
            <v>COS</v>
          </cell>
          <cell r="B13" t="str">
            <v>Cost of sales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M13" t="str">
            <v xml:space="preserve"> </v>
          </cell>
          <cell r="O13">
            <v>0</v>
          </cell>
        </row>
        <row r="14">
          <cell r="M14" t="str">
            <v xml:space="preserve"> </v>
          </cell>
        </row>
        <row r="15">
          <cell r="A15" t="str">
            <v>GP</v>
          </cell>
          <cell r="B15" t="str">
            <v>Gross profit</v>
          </cell>
          <cell r="F15">
            <v>183035.67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183035.67</v>
          </cell>
          <cell r="M15">
            <v>80497.25730930001</v>
          </cell>
          <cell r="O15">
            <v>0</v>
          </cell>
        </row>
        <row r="16">
          <cell r="M16" t="str">
            <v xml:space="preserve"> </v>
          </cell>
        </row>
        <row r="17">
          <cell r="A17">
            <v>30000</v>
          </cell>
          <cell r="B17" t="str">
            <v>Other income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M17" t="str">
            <v xml:space="preserve"> </v>
          </cell>
          <cell r="O17">
            <v>0</v>
          </cell>
        </row>
        <row r="18">
          <cell r="K18">
            <v>0</v>
          </cell>
          <cell r="M18" t="str">
            <v xml:space="preserve"> </v>
          </cell>
        </row>
        <row r="19">
          <cell r="A19" t="str">
            <v>SC</v>
          </cell>
          <cell r="B19" t="str">
            <v>Staff costs</v>
          </cell>
          <cell r="F19">
            <v>-143017.82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-143017.82</v>
          </cell>
          <cell r="L19" t="str">
            <v>ok</v>
          </cell>
          <cell r="M19">
            <v>-62897.807057800004</v>
          </cell>
          <cell r="O19">
            <v>0</v>
          </cell>
        </row>
        <row r="20">
          <cell r="K20">
            <v>0</v>
          </cell>
          <cell r="M20" t="str">
            <v xml:space="preserve"> </v>
          </cell>
        </row>
        <row r="21">
          <cell r="A21" t="str">
            <v>RE</v>
          </cell>
          <cell r="B21" t="str">
            <v>Rental expenses</v>
          </cell>
          <cell r="F21">
            <v>-6207.33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-6207.33</v>
          </cell>
          <cell r="L21" t="str">
            <v>ok</v>
          </cell>
          <cell r="M21">
            <v>-2729.9216606999998</v>
          </cell>
          <cell r="O21">
            <v>0</v>
          </cell>
        </row>
        <row r="22">
          <cell r="K22">
            <v>0</v>
          </cell>
          <cell r="M22" t="str">
            <v xml:space="preserve"> </v>
          </cell>
        </row>
        <row r="23">
          <cell r="A23" t="str">
            <v>DEP</v>
          </cell>
          <cell r="B23" t="str">
            <v>Depreciation and amortisation</v>
          </cell>
          <cell r="F23">
            <v>-4030</v>
          </cell>
          <cell r="G23">
            <v>0</v>
          </cell>
          <cell r="H23">
            <v>122</v>
          </cell>
          <cell r="I23">
            <v>0</v>
          </cell>
          <cell r="J23">
            <v>0</v>
          </cell>
          <cell r="K23">
            <v>-3908</v>
          </cell>
          <cell r="L23" t="str">
            <v>ok</v>
          </cell>
          <cell r="M23">
            <v>-1717.6993199999999</v>
          </cell>
          <cell r="O23">
            <v>0</v>
          </cell>
        </row>
        <row r="24">
          <cell r="K24">
            <v>0</v>
          </cell>
          <cell r="M24" t="str">
            <v xml:space="preserve"> </v>
          </cell>
        </row>
        <row r="25">
          <cell r="A25" t="str">
            <v>OOE</v>
          </cell>
          <cell r="B25" t="str">
            <v>Other operating expenses</v>
          </cell>
          <cell r="F25">
            <v>-28818.97</v>
          </cell>
          <cell r="G25">
            <v>122</v>
          </cell>
          <cell r="H25">
            <v>0</v>
          </cell>
          <cell r="I25">
            <v>0</v>
          </cell>
          <cell r="J25">
            <v>0</v>
          </cell>
          <cell r="K25">
            <v>-28940.97</v>
          </cell>
          <cell r="L25" t="str">
            <v>ok</v>
          </cell>
          <cell r="M25">
            <v>-12727.9491963</v>
          </cell>
          <cell r="O25">
            <v>0</v>
          </cell>
        </row>
        <row r="26">
          <cell r="K26">
            <v>0</v>
          </cell>
          <cell r="M26" t="str">
            <v xml:space="preserve"> </v>
          </cell>
        </row>
        <row r="27">
          <cell r="A27" t="str">
            <v>FI</v>
          </cell>
          <cell r="B27" t="str">
            <v>Finance income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 t="str">
            <v xml:space="preserve"> </v>
          </cell>
          <cell r="O27">
            <v>0</v>
          </cell>
        </row>
        <row r="28">
          <cell r="K28">
            <v>0</v>
          </cell>
          <cell r="M28" t="str">
            <v xml:space="preserve"> </v>
          </cell>
        </row>
        <row r="29">
          <cell r="A29" t="str">
            <v>fincost</v>
          </cell>
          <cell r="B29" t="str">
            <v>Finance costs</v>
          </cell>
          <cell r="F29">
            <v>-421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-421</v>
          </cell>
          <cell r="L29" t="str">
            <v>ok</v>
          </cell>
          <cell r="M29">
            <v>-185.15159</v>
          </cell>
          <cell r="O29">
            <v>0</v>
          </cell>
        </row>
        <row r="30">
          <cell r="M30" t="str">
            <v xml:space="preserve"> </v>
          </cell>
        </row>
        <row r="31">
          <cell r="A31" t="str">
            <v>PBT</v>
          </cell>
          <cell r="B31" t="str">
            <v xml:space="preserve">Profit for the year before share of results of </v>
          </cell>
          <cell r="F31">
            <v>540.55000000000291</v>
          </cell>
          <cell r="G31">
            <v>122</v>
          </cell>
          <cell r="H31">
            <v>122</v>
          </cell>
          <cell r="I31">
            <v>0</v>
          </cell>
          <cell r="J31">
            <v>0</v>
          </cell>
          <cell r="K31">
            <v>540.55000000000291</v>
          </cell>
          <cell r="M31">
            <v>237.72848450000129</v>
          </cell>
          <cell r="O31">
            <v>0</v>
          </cell>
        </row>
        <row r="32">
          <cell r="B32" t="str">
            <v>joint ventures and subsidiary</v>
          </cell>
          <cell r="M32" t="str">
            <v xml:space="preserve"> </v>
          </cell>
        </row>
        <row r="33">
          <cell r="M33" t="str">
            <v xml:space="preserve"> </v>
          </cell>
        </row>
        <row r="34">
          <cell r="B34" t="str">
            <v>Share of results of an unconsolidated subsidiary</v>
          </cell>
          <cell r="M34" t="str">
            <v xml:space="preserve"> </v>
          </cell>
          <cell r="O34">
            <v>0</v>
          </cell>
        </row>
        <row r="35">
          <cell r="B35" t="str">
            <v>Share of results of joint ventures</v>
          </cell>
          <cell r="M35" t="str">
            <v xml:space="preserve"> </v>
          </cell>
          <cell r="O35">
            <v>0</v>
          </cell>
        </row>
        <row r="36">
          <cell r="M36" t="str">
            <v xml:space="preserve"> </v>
          </cell>
        </row>
        <row r="37">
          <cell r="B37" t="str">
            <v>Profit for the year before taxation</v>
          </cell>
          <cell r="F37">
            <v>540.55000000000291</v>
          </cell>
          <cell r="G37">
            <v>122</v>
          </cell>
          <cell r="H37">
            <v>122</v>
          </cell>
          <cell r="I37">
            <v>0</v>
          </cell>
          <cell r="J37">
            <v>0</v>
          </cell>
          <cell r="K37">
            <v>540.55000000000291</v>
          </cell>
          <cell r="M37">
            <v>237.72848450000129</v>
          </cell>
          <cell r="O37">
            <v>0</v>
          </cell>
        </row>
        <row r="38">
          <cell r="A38">
            <v>70000</v>
          </cell>
          <cell r="B38" t="str">
            <v>Taxation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 t="str">
            <v xml:space="preserve"> </v>
          </cell>
          <cell r="O38">
            <v>0</v>
          </cell>
        </row>
        <row r="39">
          <cell r="M39" t="str">
            <v xml:space="preserve"> </v>
          </cell>
        </row>
        <row r="40">
          <cell r="A40" t="str">
            <v>PAT</v>
          </cell>
          <cell r="B40" t="str">
            <v>Profit for the year after taxation before MI</v>
          </cell>
          <cell r="F40">
            <v>540.55000000000291</v>
          </cell>
          <cell r="G40">
            <v>122</v>
          </cell>
          <cell r="H40">
            <v>122</v>
          </cell>
          <cell r="I40">
            <v>0</v>
          </cell>
          <cell r="J40">
            <v>0</v>
          </cell>
          <cell r="K40">
            <v>540.55000000000291</v>
          </cell>
          <cell r="M40">
            <v>237.72848450000129</v>
          </cell>
          <cell r="O40">
            <v>0</v>
          </cell>
        </row>
        <row r="41">
          <cell r="A41">
            <v>80000</v>
          </cell>
          <cell r="B41" t="str">
            <v>Minority Interest</v>
          </cell>
          <cell r="M41" t="str">
            <v xml:space="preserve"> </v>
          </cell>
        </row>
        <row r="42">
          <cell r="M42" t="str">
            <v xml:space="preserve"> </v>
          </cell>
        </row>
        <row r="43">
          <cell r="B43" t="str">
            <v>Profit attributable to shareholders</v>
          </cell>
          <cell r="F43">
            <v>540.55000000000291</v>
          </cell>
          <cell r="G43">
            <v>122</v>
          </cell>
          <cell r="H43">
            <v>122</v>
          </cell>
          <cell r="I43">
            <v>0</v>
          </cell>
          <cell r="J43">
            <v>0</v>
          </cell>
          <cell r="K43">
            <v>540.55000000000291</v>
          </cell>
          <cell r="L43" t="str">
            <v>ok</v>
          </cell>
          <cell r="M43">
            <v>237.72848450000129</v>
          </cell>
          <cell r="N43" t="str">
            <v>ok</v>
          </cell>
          <cell r="O43">
            <v>0</v>
          </cell>
        </row>
        <row r="44">
          <cell r="M44" t="str">
            <v xml:space="preserve"> </v>
          </cell>
        </row>
        <row r="45">
          <cell r="G45" t="str">
            <v>total AJE in Dr</v>
          </cell>
          <cell r="H45" t="str">
            <v>total AJE in Cr</v>
          </cell>
          <cell r="I45" t="str">
            <v>total RJE in Dr</v>
          </cell>
          <cell r="J45" t="str">
            <v>total RJE in Cr</v>
          </cell>
          <cell r="K45">
            <v>0</v>
          </cell>
        </row>
        <row r="49">
          <cell r="B49" t="str">
            <v>Client  : BDP FORWARDING SDN BHD</v>
          </cell>
        </row>
        <row r="50">
          <cell r="B50" t="str">
            <v>(Incorporated in the Malaysia</v>
          </cell>
        </row>
        <row r="52">
          <cell r="B52" t="str">
            <v>BALANCE SHEET AS AT 31 DECEMBER 2005</v>
          </cell>
        </row>
        <row r="53">
          <cell r="F53" t="str">
            <v>unaudited</v>
          </cell>
          <cell r="G53" t="str">
            <v>Audit Adjustment (AJE)</v>
          </cell>
          <cell r="I53" t="str">
            <v>Reclassification (RJE)</v>
          </cell>
          <cell r="K53" t="str">
            <v>audited</v>
          </cell>
          <cell r="M53" t="str">
            <v>audited</v>
          </cell>
          <cell r="O53" t="str">
            <v>audited</v>
          </cell>
        </row>
        <row r="54">
          <cell r="D54" t="str">
            <v>WP REF</v>
          </cell>
          <cell r="F54" t="str">
            <v>31.12.2005</v>
          </cell>
          <cell r="G54" t="str">
            <v>DR</v>
          </cell>
          <cell r="H54" t="str">
            <v>CR</v>
          </cell>
          <cell r="I54" t="str">
            <v>DR</v>
          </cell>
          <cell r="J54" t="str">
            <v>CR</v>
          </cell>
          <cell r="K54" t="str">
            <v>31.12.2005</v>
          </cell>
          <cell r="M54" t="str">
            <v>31.12.2005</v>
          </cell>
          <cell r="O54" t="str">
            <v>31.12.2004</v>
          </cell>
        </row>
        <row r="55">
          <cell r="F55" t="str">
            <v>RM</v>
          </cell>
          <cell r="G55" t="str">
            <v>RM</v>
          </cell>
          <cell r="H55" t="str">
            <v>RM</v>
          </cell>
          <cell r="I55" t="str">
            <v>RM</v>
          </cell>
          <cell r="J55" t="str">
            <v>RM</v>
          </cell>
          <cell r="K55" t="str">
            <v>RM</v>
          </cell>
          <cell r="M55" t="str">
            <v>S$</v>
          </cell>
          <cell r="O55" t="str">
            <v>RM</v>
          </cell>
        </row>
        <row r="56">
          <cell r="B56" t="str">
            <v>ASSETS</v>
          </cell>
        </row>
        <row r="57">
          <cell r="B57" t="str">
            <v>Non-current assets</v>
          </cell>
          <cell r="K57">
            <v>0</v>
          </cell>
        </row>
        <row r="58">
          <cell r="A58">
            <v>1000</v>
          </cell>
          <cell r="B58" t="str">
            <v xml:space="preserve">    Property, plant and equipment </v>
          </cell>
          <cell r="F58">
            <v>50639.6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50639.6</v>
          </cell>
          <cell r="L58" t="str">
            <v>ok</v>
          </cell>
          <cell r="M58">
            <v>22301.679840000001</v>
          </cell>
          <cell r="N58" t="str">
            <v>ok</v>
          </cell>
          <cell r="O58">
            <v>0</v>
          </cell>
        </row>
        <row r="59">
          <cell r="A59">
            <v>1200</v>
          </cell>
          <cell r="B59" t="str">
            <v xml:space="preserve">    Investment in subsidiary companies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</row>
        <row r="60">
          <cell r="A60">
            <v>1300</v>
          </cell>
          <cell r="B60" t="str">
            <v xml:space="preserve">    Investment in joint ventures</v>
          </cell>
          <cell r="F60">
            <v>0</v>
          </cell>
          <cell r="M60">
            <v>0</v>
          </cell>
          <cell r="O60">
            <v>0</v>
          </cell>
        </row>
        <row r="61">
          <cell r="A61">
            <v>1400</v>
          </cell>
          <cell r="B61" t="str">
            <v xml:space="preserve">    Deferred tax assets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</row>
        <row r="62"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Current assets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2100</v>
          </cell>
          <cell r="B64" t="str">
            <v xml:space="preserve">    Trade debtors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</row>
        <row r="65">
          <cell r="A65">
            <v>2200</v>
          </cell>
          <cell r="B65" t="str">
            <v xml:space="preserve">    Other debtors, deposit and prepayments </v>
          </cell>
          <cell r="F65">
            <v>95500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95500</v>
          </cell>
          <cell r="L65" t="str">
            <v>ok</v>
          </cell>
          <cell r="M65">
            <v>42058.200000000004</v>
          </cell>
          <cell r="N65" t="str">
            <v>ok</v>
          </cell>
          <cell r="O65">
            <v>0</v>
          </cell>
        </row>
        <row r="66">
          <cell r="A66">
            <v>5001</v>
          </cell>
          <cell r="B66" t="str">
            <v xml:space="preserve">    Amount due from ultimate holding company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</row>
        <row r="67">
          <cell r="A67">
            <v>5201</v>
          </cell>
          <cell r="B67" t="str">
            <v xml:space="preserve">    Amount due from immediate holding company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</row>
        <row r="68">
          <cell r="A68">
            <v>5301</v>
          </cell>
          <cell r="B68" t="str">
            <v xml:space="preserve">    Amount due from BDP Singapore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</row>
        <row r="69">
          <cell r="A69">
            <v>5302</v>
          </cell>
          <cell r="B69" t="str">
            <v xml:space="preserve">    Amount due from BDP Malaysia</v>
          </cell>
          <cell r="G69">
            <v>0</v>
          </cell>
          <cell r="H69">
            <v>0</v>
          </cell>
          <cell r="I69">
            <v>122644</v>
          </cell>
          <cell r="J69">
            <v>0</v>
          </cell>
          <cell r="K69">
            <v>122644</v>
          </cell>
          <cell r="M69">
            <v>54013.417600000001</v>
          </cell>
          <cell r="O69">
            <v>0</v>
          </cell>
        </row>
        <row r="70">
          <cell r="A70">
            <v>5303</v>
          </cell>
          <cell r="B70" t="str">
            <v xml:space="preserve">    Amount due from BDP Thai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</row>
        <row r="71">
          <cell r="A71">
            <v>5304</v>
          </cell>
          <cell r="B71" t="str">
            <v xml:space="preserve">    Amount due from BDP Aus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</row>
        <row r="72">
          <cell r="A72">
            <v>5305</v>
          </cell>
          <cell r="B72" t="str">
            <v xml:space="preserve">    Amount due from BDP Shanghai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</row>
        <row r="73">
          <cell r="A73">
            <v>5306</v>
          </cell>
          <cell r="B73" t="str">
            <v xml:space="preserve">    Amount due from Taiwan branch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</row>
        <row r="74">
          <cell r="A74">
            <v>5307</v>
          </cell>
          <cell r="B74" t="str">
            <v xml:space="preserve">    Amount due from BDP FRD Mal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</row>
        <row r="75">
          <cell r="A75">
            <v>5501</v>
          </cell>
          <cell r="B75" t="str">
            <v xml:space="preserve">    Amount due from related companies</v>
          </cell>
          <cell r="F75">
            <v>122644</v>
          </cell>
          <cell r="G75">
            <v>0</v>
          </cell>
          <cell r="H75">
            <v>0</v>
          </cell>
          <cell r="I75">
            <v>0</v>
          </cell>
          <cell r="J75">
            <v>122644</v>
          </cell>
          <cell r="K75">
            <v>0</v>
          </cell>
          <cell r="L75" t="str">
            <v>ok</v>
          </cell>
          <cell r="M75">
            <v>0</v>
          </cell>
          <cell r="N75" t="str">
            <v>ok</v>
          </cell>
          <cell r="O75">
            <v>0</v>
          </cell>
        </row>
        <row r="76">
          <cell r="A76">
            <v>2401</v>
          </cell>
          <cell r="B76" t="str">
            <v xml:space="preserve">    Fixed deposit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M76">
            <v>0</v>
          </cell>
          <cell r="O76">
            <v>0</v>
          </cell>
        </row>
        <row r="77">
          <cell r="A77">
            <v>2400</v>
          </cell>
          <cell r="B77" t="str">
            <v xml:space="preserve">    Cash at bank</v>
          </cell>
          <cell r="F77">
            <v>69277.97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69277.97</v>
          </cell>
          <cell r="L77" t="str">
            <v>ok</v>
          </cell>
          <cell r="M77">
            <v>30510.017988000003</v>
          </cell>
          <cell r="N77" t="str">
            <v>ok</v>
          </cell>
          <cell r="O77">
            <v>0</v>
          </cell>
        </row>
        <row r="78">
          <cell r="K78">
            <v>0</v>
          </cell>
        </row>
        <row r="79">
          <cell r="A79" t="str">
            <v>CA</v>
          </cell>
          <cell r="F79">
            <v>287421.96999999997</v>
          </cell>
          <cell r="G79">
            <v>0</v>
          </cell>
          <cell r="H79">
            <v>0</v>
          </cell>
          <cell r="I79">
            <v>122644</v>
          </cell>
          <cell r="J79">
            <v>122644</v>
          </cell>
          <cell r="K79">
            <v>287421.96999999997</v>
          </cell>
          <cell r="M79">
            <v>126580.635588</v>
          </cell>
          <cell r="O79">
            <v>0</v>
          </cell>
        </row>
        <row r="80">
          <cell r="K80">
            <v>0</v>
          </cell>
        </row>
        <row r="81">
          <cell r="A81" t="str">
            <v>TA</v>
          </cell>
          <cell r="B81" t="str">
            <v>TOTAL ASSETS</v>
          </cell>
          <cell r="F81">
            <v>338061.56999999995</v>
          </cell>
          <cell r="G81">
            <v>0</v>
          </cell>
          <cell r="H81">
            <v>0</v>
          </cell>
          <cell r="I81">
            <v>122644</v>
          </cell>
          <cell r="J81">
            <v>122644</v>
          </cell>
          <cell r="K81">
            <v>338061.56999999995</v>
          </cell>
          <cell r="L81" t="str">
            <v>ok</v>
          </cell>
          <cell r="M81">
            <v>148883.315428</v>
          </cell>
          <cell r="O81">
            <v>0</v>
          </cell>
        </row>
        <row r="82">
          <cell r="K82">
            <v>0</v>
          </cell>
        </row>
        <row r="83">
          <cell r="B83" t="str">
            <v>EQUITY AND LIABILITIES</v>
          </cell>
          <cell r="K83">
            <v>0</v>
          </cell>
        </row>
        <row r="84">
          <cell r="B84" t="str">
            <v>Capital and reserves</v>
          </cell>
          <cell r="K84">
            <v>0</v>
          </cell>
        </row>
        <row r="85">
          <cell r="A85">
            <v>6000</v>
          </cell>
          <cell r="B85" t="str">
            <v xml:space="preserve">    Share capital</v>
          </cell>
          <cell r="F85">
            <v>50000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50000</v>
          </cell>
          <cell r="L85" t="str">
            <v>ok</v>
          </cell>
          <cell r="M85">
            <v>22200</v>
          </cell>
          <cell r="N85" t="str">
            <v>ok</v>
          </cell>
          <cell r="O85">
            <v>0</v>
          </cell>
        </row>
        <row r="86">
          <cell r="A86">
            <v>6100</v>
          </cell>
          <cell r="B86" t="str">
            <v xml:space="preserve">     Reserves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 t="str">
            <v xml:space="preserve"> </v>
          </cell>
          <cell r="O86">
            <v>0</v>
          </cell>
        </row>
        <row r="87">
          <cell r="A87">
            <v>6101</v>
          </cell>
          <cell r="C87" t="str">
            <v>RETAINED EARNINGS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O87">
            <v>0</v>
          </cell>
        </row>
        <row r="88">
          <cell r="A88">
            <v>6103</v>
          </cell>
          <cell r="C88" t="str">
            <v>PROPOSED DIVIDEND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O88">
            <v>0</v>
          </cell>
        </row>
        <row r="89">
          <cell r="A89">
            <v>6102</v>
          </cell>
          <cell r="C89" t="str">
            <v>PROFIT (LOSS) FOR PERIOD</v>
          </cell>
          <cell r="F89">
            <v>540.55000000000291</v>
          </cell>
          <cell r="G89">
            <v>122</v>
          </cell>
          <cell r="H89">
            <v>122</v>
          </cell>
          <cell r="I89">
            <v>0</v>
          </cell>
          <cell r="J89">
            <v>0</v>
          </cell>
          <cell r="K89">
            <v>540.55000000000291</v>
          </cell>
          <cell r="L89" t="str">
            <v>ok</v>
          </cell>
          <cell r="M89">
            <v>237.72848450000623</v>
          </cell>
          <cell r="N89" t="str">
            <v>ok</v>
          </cell>
          <cell r="O89">
            <v>0</v>
          </cell>
        </row>
        <row r="90">
          <cell r="A90">
            <v>6200</v>
          </cell>
          <cell r="B90" t="str">
            <v xml:space="preserve">    Retained earnings</v>
          </cell>
          <cell r="F90">
            <v>540.55000000000291</v>
          </cell>
          <cell r="G90">
            <v>122</v>
          </cell>
          <cell r="H90">
            <v>122</v>
          </cell>
          <cell r="I90">
            <v>0</v>
          </cell>
          <cell r="J90">
            <v>0</v>
          </cell>
          <cell r="K90">
            <v>540.54999999999995</v>
          </cell>
          <cell r="M90">
            <v>237.72848450000623</v>
          </cell>
          <cell r="O90">
            <v>0</v>
          </cell>
        </row>
        <row r="91">
          <cell r="A91">
            <v>6300</v>
          </cell>
          <cell r="B91" t="str">
            <v xml:space="preserve">    Translation reserves</v>
          </cell>
          <cell r="M91">
            <v>-179</v>
          </cell>
          <cell r="N91" t="str">
            <v>ok</v>
          </cell>
          <cell r="O91">
            <v>0</v>
          </cell>
          <cell r="P91" t="str">
            <v xml:space="preserve"> </v>
          </cell>
          <cell r="Q91" t="str">
            <v xml:space="preserve"> </v>
          </cell>
        </row>
        <row r="93">
          <cell r="A93" t="str">
            <v>TEQ</v>
          </cell>
          <cell r="F93">
            <v>50540.55</v>
          </cell>
          <cell r="G93">
            <v>122</v>
          </cell>
          <cell r="H93">
            <v>122</v>
          </cell>
          <cell r="I93">
            <v>0</v>
          </cell>
          <cell r="J93">
            <v>0</v>
          </cell>
          <cell r="K93">
            <v>50540.55</v>
          </cell>
          <cell r="M93">
            <v>22258.728484500007</v>
          </cell>
          <cell r="O93">
            <v>0</v>
          </cell>
        </row>
        <row r="94">
          <cell r="B94" t="str">
            <v>Non-current liabilities</v>
          </cell>
          <cell r="K94">
            <v>0</v>
          </cell>
        </row>
        <row r="95">
          <cell r="A95">
            <v>4301</v>
          </cell>
          <cell r="B95" t="str">
            <v xml:space="preserve">    Hire purchase creditors (after 12 months)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</row>
        <row r="96">
          <cell r="A96">
            <v>4302</v>
          </cell>
          <cell r="B96" t="str">
            <v xml:space="preserve">    Deferred taxation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</row>
        <row r="97">
          <cell r="A97" t="str">
            <v>LTL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</row>
        <row r="98">
          <cell r="B98" t="str">
            <v>Current liabilities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 t="str">
            <v xml:space="preserve"> </v>
          </cell>
        </row>
        <row r="99">
          <cell r="A99">
            <v>3002</v>
          </cell>
          <cell r="B99" t="str">
            <v xml:space="preserve">    Trade creditors </v>
          </cell>
          <cell r="F99">
            <v>3764.67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3764.67</v>
          </cell>
          <cell r="L99" t="str">
            <v>ok</v>
          </cell>
          <cell r="M99">
            <v>1657.9606680000002</v>
          </cell>
          <cell r="N99" t="str">
            <v>ok</v>
          </cell>
          <cell r="O99">
            <v>0</v>
          </cell>
        </row>
        <row r="100">
          <cell r="A100">
            <v>3101</v>
          </cell>
          <cell r="B100" t="str">
            <v xml:space="preserve">    Other creditors and accruals</v>
          </cell>
          <cell r="F100">
            <v>10961.5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10961.5</v>
          </cell>
          <cell r="L100" t="str">
            <v>ok</v>
          </cell>
          <cell r="M100">
            <v>4827.4445999999998</v>
          </cell>
          <cell r="N100" t="str">
            <v>ok</v>
          </cell>
          <cell r="O100">
            <v>0</v>
          </cell>
        </row>
        <row r="101">
          <cell r="A101">
            <v>5002</v>
          </cell>
          <cell r="B101" t="str">
            <v xml:space="preserve">    Amount due to ultimate holding company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</row>
        <row r="102">
          <cell r="A102">
            <v>5202</v>
          </cell>
          <cell r="B102" t="str">
            <v xml:space="preserve">    Amount due to immediate holding company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</row>
        <row r="103">
          <cell r="A103">
            <v>5308</v>
          </cell>
          <cell r="B103" t="str">
            <v xml:space="preserve">    Amount due to BDP Singapore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</row>
        <row r="104">
          <cell r="A104">
            <v>5309</v>
          </cell>
          <cell r="B104" t="str">
            <v xml:space="preserve">    Amount due to BDP Malaysia</v>
          </cell>
          <cell r="G104">
            <v>0</v>
          </cell>
          <cell r="H104">
            <v>0</v>
          </cell>
          <cell r="I104">
            <v>0</v>
          </cell>
          <cell r="J104">
            <v>272795</v>
          </cell>
          <cell r="K104">
            <v>272795</v>
          </cell>
          <cell r="M104">
            <v>120138.91800000001</v>
          </cell>
          <cell r="O104">
            <v>0</v>
          </cell>
        </row>
        <row r="105">
          <cell r="A105">
            <v>5310</v>
          </cell>
          <cell r="B105" t="str">
            <v xml:space="preserve">    Amount due to BDP Thai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</row>
        <row r="106">
          <cell r="A106">
            <v>5311</v>
          </cell>
          <cell r="B106" t="str">
            <v xml:space="preserve">    Amount due to BDP Aus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</row>
        <row r="107">
          <cell r="A107">
            <v>5312</v>
          </cell>
          <cell r="B107" t="str">
            <v xml:space="preserve">    Amount due to BDP Shanghai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</row>
        <row r="108">
          <cell r="A108">
            <v>5313</v>
          </cell>
          <cell r="B108" t="str">
            <v xml:space="preserve">    Amount due to Taiwan branch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</row>
        <row r="109">
          <cell r="A109">
            <v>5314</v>
          </cell>
          <cell r="B109" t="str">
            <v xml:space="preserve">    Amount due to BDP FRD Mal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</row>
        <row r="110">
          <cell r="A110">
            <v>5502</v>
          </cell>
          <cell r="B110" t="str">
            <v xml:space="preserve">    Amount due to related companies</v>
          </cell>
          <cell r="F110">
            <v>272795</v>
          </cell>
          <cell r="G110">
            <v>0</v>
          </cell>
          <cell r="H110">
            <v>0</v>
          </cell>
          <cell r="I110">
            <v>272795</v>
          </cell>
          <cell r="J110">
            <v>0</v>
          </cell>
          <cell r="K110">
            <v>0</v>
          </cell>
          <cell r="L110" t="str">
            <v>ok</v>
          </cell>
          <cell r="M110">
            <v>0</v>
          </cell>
          <cell r="N110" t="str">
            <v>ok</v>
          </cell>
          <cell r="O110">
            <v>0</v>
          </cell>
        </row>
        <row r="111">
          <cell r="A111">
            <v>5602</v>
          </cell>
          <cell r="B111" t="str">
            <v xml:space="preserve">    Amount due to directors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</row>
        <row r="112">
          <cell r="A112" t="str">
            <v>4301A</v>
          </cell>
          <cell r="B112" t="str">
            <v xml:space="preserve">    Hire purchase creditors (within 12 months)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</row>
        <row r="113">
          <cell r="A113">
            <v>4400</v>
          </cell>
          <cell r="B113" t="str">
            <v xml:space="preserve">    Bank overdraft (Secured)</v>
          </cell>
          <cell r="M113">
            <v>0</v>
          </cell>
          <cell r="O113">
            <v>0</v>
          </cell>
        </row>
        <row r="114">
          <cell r="A114">
            <v>4450</v>
          </cell>
          <cell r="B114" t="str">
            <v xml:space="preserve">    Short term loan (Secured)</v>
          </cell>
          <cell r="M114">
            <v>0</v>
          </cell>
          <cell r="O114">
            <v>0</v>
          </cell>
        </row>
        <row r="115">
          <cell r="A115">
            <v>4460</v>
          </cell>
          <cell r="B115" t="str">
            <v xml:space="preserve">    Proposed dividends</v>
          </cell>
          <cell r="M115">
            <v>0</v>
          </cell>
          <cell r="O115">
            <v>0</v>
          </cell>
        </row>
        <row r="116">
          <cell r="A116">
            <v>3201</v>
          </cell>
          <cell r="B116" t="str">
            <v xml:space="preserve">    Provision for taxation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O116">
            <v>0</v>
          </cell>
        </row>
        <row r="117">
          <cell r="K117">
            <v>0</v>
          </cell>
        </row>
        <row r="118">
          <cell r="A118" t="str">
            <v>CL</v>
          </cell>
          <cell r="F118">
            <v>287521.17</v>
          </cell>
          <cell r="G118">
            <v>0</v>
          </cell>
          <cell r="H118">
            <v>0</v>
          </cell>
          <cell r="I118">
            <v>272795</v>
          </cell>
          <cell r="J118">
            <v>272795</v>
          </cell>
          <cell r="K118">
            <v>287521.17</v>
          </cell>
          <cell r="M118">
            <v>126624.32326800001</v>
          </cell>
          <cell r="O118">
            <v>0</v>
          </cell>
        </row>
        <row r="120">
          <cell r="B120" t="str">
            <v>TOTAL EQUITY AND LIABILITIES</v>
          </cell>
          <cell r="F120">
            <v>338061.72</v>
          </cell>
          <cell r="G120">
            <v>122</v>
          </cell>
          <cell r="H120">
            <v>122</v>
          </cell>
          <cell r="I120">
            <v>272795</v>
          </cell>
          <cell r="J120">
            <v>272795</v>
          </cell>
          <cell r="K120">
            <v>338061.72</v>
          </cell>
          <cell r="L120" t="str">
            <v>ok</v>
          </cell>
          <cell r="M120">
            <v>148883.0517525</v>
          </cell>
          <cell r="N120" t="str">
            <v>ok</v>
          </cell>
          <cell r="O120">
            <v>0</v>
          </cell>
        </row>
        <row r="121">
          <cell r="C121" t="str">
            <v>Test check</v>
          </cell>
          <cell r="F121">
            <v>-0.15000000002328306</v>
          </cell>
          <cell r="H121">
            <v>0</v>
          </cell>
          <cell r="J121">
            <v>0</v>
          </cell>
          <cell r="K121">
            <v>-0.15000000002328306</v>
          </cell>
          <cell r="O121">
            <v>0</v>
          </cell>
        </row>
        <row r="123">
          <cell r="C123" t="str">
            <v>Client  : BDP FORWARDING SDN BHD</v>
          </cell>
        </row>
        <row r="124">
          <cell r="C124" t="str">
            <v>(Incorporated in the Malaysia</v>
          </cell>
        </row>
        <row r="126">
          <cell r="Q126" t="str">
            <v xml:space="preserve"> </v>
          </cell>
        </row>
        <row r="127">
          <cell r="C127" t="str">
            <v>DETAILED TRADING, PROFIT &amp; LOSS ACCOUNT FOR THE FINANCIAL YEAR ENDED 31 DECEMBER 2005</v>
          </cell>
          <cell r="Q127" t="str">
            <v xml:space="preserve"> </v>
          </cell>
        </row>
        <row r="128">
          <cell r="F128" t="str">
            <v>unaudited</v>
          </cell>
          <cell r="G128" t="str">
            <v>Audit Adjustment (AJE)</v>
          </cell>
          <cell r="I128" t="str">
            <v>Reclassification (RJE)</v>
          </cell>
          <cell r="K128" t="str">
            <v>audited</v>
          </cell>
          <cell r="M128" t="str">
            <v>audited</v>
          </cell>
          <cell r="O128" t="str">
            <v>audited</v>
          </cell>
        </row>
        <row r="129">
          <cell r="D129" t="str">
            <v>WP REF</v>
          </cell>
          <cell r="F129" t="str">
            <v>31.12.2005</v>
          </cell>
          <cell r="G129" t="str">
            <v>DR</v>
          </cell>
          <cell r="H129" t="str">
            <v>CR</v>
          </cell>
          <cell r="I129" t="str">
            <v>DR</v>
          </cell>
          <cell r="J129" t="str">
            <v>CR</v>
          </cell>
          <cell r="K129" t="str">
            <v>31.12.2005</v>
          </cell>
          <cell r="M129" t="str">
            <v>31.12.2005</v>
          </cell>
          <cell r="O129" t="str">
            <v>31.12.2004</v>
          </cell>
        </row>
        <row r="130">
          <cell r="F130" t="str">
            <v>RM</v>
          </cell>
          <cell r="G130" t="str">
            <v>RM</v>
          </cell>
          <cell r="H130" t="str">
            <v>RM</v>
          </cell>
          <cell r="I130" t="str">
            <v>RM</v>
          </cell>
          <cell r="J130" t="str">
            <v>RM</v>
          </cell>
          <cell r="K130" t="str">
            <v>RM</v>
          </cell>
          <cell r="M130" t="str">
            <v>S$</v>
          </cell>
          <cell r="O130" t="str">
            <v>RM</v>
          </cell>
        </row>
        <row r="131">
          <cell r="A131" t="str">
            <v>Sales</v>
          </cell>
          <cell r="B131" t="str">
            <v>SALES</v>
          </cell>
          <cell r="F131">
            <v>183035.67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183035.67</v>
          </cell>
          <cell r="L131" t="str">
            <v>ok</v>
          </cell>
          <cell r="M131">
            <v>80497.25730930001</v>
          </cell>
          <cell r="N131" t="str">
            <v>ok</v>
          </cell>
          <cell r="O131">
            <v>0</v>
          </cell>
          <cell r="Q131">
            <v>1</v>
          </cell>
        </row>
        <row r="132">
          <cell r="A132" t="str">
            <v>COS</v>
          </cell>
          <cell r="B132" t="str">
            <v>COST OF SALES</v>
          </cell>
          <cell r="F132">
            <v>0</v>
          </cell>
          <cell r="K132">
            <v>0</v>
          </cell>
          <cell r="M132">
            <v>0</v>
          </cell>
          <cell r="O132">
            <v>0</v>
          </cell>
          <cell r="Q132" t="str">
            <v xml:space="preserve"> </v>
          </cell>
        </row>
        <row r="133">
          <cell r="F133">
            <v>183035.67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183035.67</v>
          </cell>
          <cell r="M133">
            <v>80497.25730930001</v>
          </cell>
          <cell r="O133">
            <v>0</v>
          </cell>
        </row>
        <row r="134">
          <cell r="A134" t="str">
            <v>GP</v>
          </cell>
          <cell r="B134" t="str">
            <v>GROSS PROFIT</v>
          </cell>
        </row>
        <row r="136">
          <cell r="A136" t="str">
            <v>OI</v>
          </cell>
          <cell r="B136" t="str">
            <v>OTHER INCOME</v>
          </cell>
          <cell r="K136">
            <v>0</v>
          </cell>
          <cell r="Q136" t="str">
            <v xml:space="preserve"> </v>
          </cell>
        </row>
        <row r="137">
          <cell r="A137">
            <v>30001</v>
          </cell>
          <cell r="B137" t="str">
            <v xml:space="preserve">    Dividend income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Q137" t="str">
            <v xml:space="preserve"> </v>
          </cell>
        </row>
        <row r="138">
          <cell r="A138">
            <v>30002</v>
          </cell>
          <cell r="B138" t="str">
            <v xml:space="preserve">    Regional cost allocation</v>
          </cell>
          <cell r="K138">
            <v>0</v>
          </cell>
          <cell r="M138">
            <v>0</v>
          </cell>
          <cell r="O138">
            <v>0</v>
          </cell>
        </row>
        <row r="139">
          <cell r="A139">
            <v>30003</v>
          </cell>
          <cell r="B139" t="str">
            <v xml:space="preserve">    Other income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Q139" t="str">
            <v xml:space="preserve"> 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Q140" t="str">
            <v xml:space="preserve"> </v>
          </cell>
        </row>
        <row r="142">
          <cell r="A142" t="str">
            <v>SC</v>
          </cell>
          <cell r="B142" t="str">
            <v>STAFF COSTS</v>
          </cell>
          <cell r="Q142" t="str">
            <v xml:space="preserve"> </v>
          </cell>
        </row>
        <row r="143">
          <cell r="A143">
            <v>40001</v>
          </cell>
          <cell r="B143" t="str">
            <v xml:space="preserve">   Directors' remuneration</v>
          </cell>
          <cell r="K143">
            <v>0</v>
          </cell>
          <cell r="M143">
            <v>0</v>
          </cell>
          <cell r="O143">
            <v>0</v>
          </cell>
        </row>
        <row r="144">
          <cell r="A144">
            <v>40002</v>
          </cell>
          <cell r="B144" t="str">
            <v xml:space="preserve">   Payroll taxes and fringes</v>
          </cell>
          <cell r="F144">
            <v>35857.82</v>
          </cell>
          <cell r="K144">
            <v>35857.82</v>
          </cell>
          <cell r="L144" t="str">
            <v>ok</v>
          </cell>
          <cell r="M144">
            <v>15769.910657800001</v>
          </cell>
          <cell r="N144" t="str">
            <v>ok</v>
          </cell>
          <cell r="O144">
            <v>0</v>
          </cell>
        </row>
        <row r="145">
          <cell r="A145">
            <v>40003</v>
          </cell>
          <cell r="B145" t="str">
            <v xml:space="preserve">   Salaries and wages</v>
          </cell>
          <cell r="F145">
            <v>107160</v>
          </cell>
          <cell r="K145">
            <v>107160</v>
          </cell>
          <cell r="L145" t="str">
            <v>ok</v>
          </cell>
          <cell r="M145">
            <v>47127.896400000005</v>
          </cell>
          <cell r="N145" t="str">
            <v>ok</v>
          </cell>
          <cell r="O145">
            <v>0</v>
          </cell>
        </row>
        <row r="146">
          <cell r="A146" t="str">
            <v xml:space="preserve"> </v>
          </cell>
          <cell r="F146">
            <v>-143017.82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-143017.82</v>
          </cell>
          <cell r="M146">
            <v>-62897.807057800004</v>
          </cell>
          <cell r="O146">
            <v>0</v>
          </cell>
        </row>
        <row r="147">
          <cell r="A147" t="str">
            <v xml:space="preserve"> </v>
          </cell>
        </row>
        <row r="148">
          <cell r="A148" t="str">
            <v>RE</v>
          </cell>
          <cell r="B148" t="str">
            <v>RENTAL EXPENSES</v>
          </cell>
        </row>
        <row r="149">
          <cell r="A149">
            <v>40004</v>
          </cell>
          <cell r="B149" t="str">
            <v xml:space="preserve">     Electricity</v>
          </cell>
          <cell r="K149">
            <v>0</v>
          </cell>
          <cell r="M149">
            <v>0</v>
          </cell>
          <cell r="O149">
            <v>0</v>
          </cell>
        </row>
        <row r="150">
          <cell r="A150">
            <v>40005</v>
          </cell>
          <cell r="B150" t="str">
            <v xml:space="preserve">     Janitorial </v>
          </cell>
          <cell r="K150">
            <v>0</v>
          </cell>
          <cell r="M150">
            <v>0</v>
          </cell>
          <cell r="O150">
            <v>0</v>
          </cell>
        </row>
        <row r="151">
          <cell r="A151">
            <v>40006</v>
          </cell>
          <cell r="B151" t="str">
            <v xml:space="preserve">     Office facilities</v>
          </cell>
          <cell r="K151">
            <v>0</v>
          </cell>
          <cell r="M151">
            <v>0</v>
          </cell>
          <cell r="O151">
            <v>0</v>
          </cell>
        </row>
        <row r="152">
          <cell r="A152">
            <v>40007</v>
          </cell>
          <cell r="B152" t="str">
            <v xml:space="preserve">     Office lease payment</v>
          </cell>
          <cell r="F152">
            <v>6207.33</v>
          </cell>
          <cell r="K152">
            <v>6207.33</v>
          </cell>
          <cell r="L152" t="str">
            <v>ok</v>
          </cell>
          <cell r="M152">
            <v>2729.9216606999998</v>
          </cell>
          <cell r="N152" t="str">
            <v>ok</v>
          </cell>
          <cell r="O152">
            <v>0</v>
          </cell>
        </row>
        <row r="153">
          <cell r="A153">
            <v>40008</v>
          </cell>
          <cell r="B153" t="str">
            <v xml:space="preserve">     Other occupancy costs</v>
          </cell>
          <cell r="K153">
            <v>0</v>
          </cell>
          <cell r="M153">
            <v>0</v>
          </cell>
          <cell r="O153">
            <v>0</v>
          </cell>
        </row>
        <row r="154">
          <cell r="F154">
            <v>-6207.33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-6207.33</v>
          </cell>
          <cell r="M154">
            <v>-2729.9216606999998</v>
          </cell>
          <cell r="O154">
            <v>0</v>
          </cell>
        </row>
        <row r="155">
          <cell r="A155" t="str">
            <v>DEP</v>
          </cell>
          <cell r="B155" t="str">
            <v>DEPRECIATION AND AMORTISATION</v>
          </cell>
        </row>
        <row r="156">
          <cell r="A156">
            <v>40009</v>
          </cell>
          <cell r="B156" t="str">
            <v xml:space="preserve">     Amortisation</v>
          </cell>
          <cell r="K156">
            <v>0</v>
          </cell>
          <cell r="O156">
            <v>0</v>
          </cell>
        </row>
        <row r="157">
          <cell r="A157">
            <v>40030</v>
          </cell>
          <cell r="B157" t="str">
            <v xml:space="preserve">     Depreciation</v>
          </cell>
          <cell r="F157">
            <v>4030</v>
          </cell>
          <cell r="G157">
            <v>0</v>
          </cell>
          <cell r="H157">
            <v>122</v>
          </cell>
          <cell r="I157">
            <v>0</v>
          </cell>
          <cell r="J157">
            <v>0</v>
          </cell>
          <cell r="K157">
            <v>3908</v>
          </cell>
          <cell r="L157" t="str">
            <v>ok</v>
          </cell>
          <cell r="M157">
            <v>1717.6993199999999</v>
          </cell>
          <cell r="N157" t="str">
            <v>ok</v>
          </cell>
          <cell r="O157">
            <v>0</v>
          </cell>
        </row>
        <row r="158">
          <cell r="F158">
            <v>-4030</v>
          </cell>
          <cell r="G158">
            <v>0</v>
          </cell>
          <cell r="H158">
            <v>122</v>
          </cell>
          <cell r="I158">
            <v>0</v>
          </cell>
          <cell r="J158">
            <v>0</v>
          </cell>
          <cell r="K158">
            <v>-3908</v>
          </cell>
          <cell r="M158">
            <v>-1717.6993199999999</v>
          </cell>
          <cell r="O158">
            <v>0</v>
          </cell>
        </row>
        <row r="160">
          <cell r="A160" t="str">
            <v>OOE</v>
          </cell>
          <cell r="B160" t="str">
            <v>OTHER OPERATING EXPENSES</v>
          </cell>
        </row>
        <row r="161">
          <cell r="A161">
            <v>40010</v>
          </cell>
          <cell r="B161" t="str">
            <v xml:space="preserve">    Auditors' remuneration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O161">
            <v>0</v>
          </cell>
          <cell r="Q161" t="str">
            <v xml:space="preserve"> </v>
          </cell>
        </row>
        <row r="162">
          <cell r="A162">
            <v>40031</v>
          </cell>
          <cell r="B162" t="str">
            <v xml:space="preserve">    Allocated administration expenses</v>
          </cell>
          <cell r="K162">
            <v>0</v>
          </cell>
          <cell r="M162">
            <v>0</v>
          </cell>
        </row>
        <row r="163">
          <cell r="A163">
            <v>40011</v>
          </cell>
          <cell r="B163" t="str">
            <v xml:space="preserve">    Bad debts written off (trade)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O163">
            <v>0</v>
          </cell>
          <cell r="Q163" t="str">
            <v xml:space="preserve"> </v>
          </cell>
        </row>
        <row r="164">
          <cell r="A164">
            <v>40012</v>
          </cell>
          <cell r="B164" t="str">
            <v xml:space="preserve">    Bad debts written off (non-trade)</v>
          </cell>
          <cell r="K164">
            <v>0</v>
          </cell>
          <cell r="M164">
            <v>0</v>
          </cell>
          <cell r="O164">
            <v>0</v>
          </cell>
        </row>
        <row r="165">
          <cell r="A165">
            <v>40013</v>
          </cell>
          <cell r="B165" t="str">
            <v xml:space="preserve">    Bank charges</v>
          </cell>
          <cell r="K165">
            <v>0</v>
          </cell>
          <cell r="M165">
            <v>0</v>
          </cell>
          <cell r="O165">
            <v>0</v>
          </cell>
        </row>
        <row r="166">
          <cell r="A166">
            <v>40014</v>
          </cell>
          <cell r="B166" t="str">
            <v xml:space="preserve">    Communication expenses</v>
          </cell>
          <cell r="F166">
            <v>3050.73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3050.73</v>
          </cell>
          <cell r="L166" t="str">
            <v>ok</v>
          </cell>
          <cell r="M166">
            <v>1341.6805467000001</v>
          </cell>
          <cell r="N166" t="str">
            <v>ok</v>
          </cell>
          <cell r="O166">
            <v>0</v>
          </cell>
          <cell r="Q166">
            <v>1</v>
          </cell>
        </row>
        <row r="167">
          <cell r="A167">
            <v>40015</v>
          </cell>
          <cell r="B167" t="str">
            <v xml:space="preserve">    Commission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M167">
            <v>0</v>
          </cell>
          <cell r="O167">
            <v>0</v>
          </cell>
          <cell r="Q167" t="str">
            <v xml:space="preserve"> </v>
          </cell>
        </row>
        <row r="168">
          <cell r="A168">
            <v>40016</v>
          </cell>
          <cell r="B168" t="str">
            <v xml:space="preserve">    Customs compound and customer claims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O168">
            <v>0</v>
          </cell>
          <cell r="Q168" t="str">
            <v xml:space="preserve"> </v>
          </cell>
        </row>
        <row r="169">
          <cell r="A169">
            <v>40017</v>
          </cell>
          <cell r="B169" t="str">
            <v xml:space="preserve">     Entertainment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O169">
            <v>0</v>
          </cell>
          <cell r="Q169" t="str">
            <v xml:space="preserve"> </v>
          </cell>
        </row>
        <row r="170">
          <cell r="A170">
            <v>40018</v>
          </cell>
          <cell r="B170" t="str">
            <v xml:space="preserve">     Exchange difference</v>
          </cell>
          <cell r="K170">
            <v>0</v>
          </cell>
          <cell r="M170">
            <v>0</v>
          </cell>
          <cell r="O170">
            <v>0</v>
          </cell>
        </row>
        <row r="171">
          <cell r="A171">
            <v>40019</v>
          </cell>
          <cell r="B171" t="str">
            <v xml:space="preserve">     Insurance</v>
          </cell>
          <cell r="K171">
            <v>0</v>
          </cell>
          <cell r="M171">
            <v>0</v>
          </cell>
          <cell r="O171">
            <v>0</v>
          </cell>
        </row>
        <row r="172">
          <cell r="A172">
            <v>40020</v>
          </cell>
          <cell r="B172" t="str">
            <v xml:space="preserve">     Legal and professional fees</v>
          </cell>
          <cell r="K172">
            <v>0</v>
          </cell>
          <cell r="M172">
            <v>0</v>
          </cell>
          <cell r="O172">
            <v>0</v>
          </cell>
        </row>
        <row r="173">
          <cell r="A173">
            <v>40021</v>
          </cell>
          <cell r="B173" t="str">
            <v xml:space="preserve">     Plant and equipment written off</v>
          </cell>
          <cell r="K173">
            <v>0</v>
          </cell>
          <cell r="M173">
            <v>0</v>
          </cell>
          <cell r="O173">
            <v>0</v>
          </cell>
        </row>
        <row r="174">
          <cell r="A174">
            <v>40022</v>
          </cell>
          <cell r="B174" t="str">
            <v xml:space="preserve">     Maintenance expenses</v>
          </cell>
          <cell r="K174">
            <v>0</v>
          </cell>
          <cell r="M174">
            <v>0</v>
          </cell>
          <cell r="O174">
            <v>0</v>
          </cell>
        </row>
        <row r="175">
          <cell r="A175">
            <v>40023</v>
          </cell>
          <cell r="B175" t="str">
            <v xml:space="preserve">     Management fees</v>
          </cell>
          <cell r="K175">
            <v>0</v>
          </cell>
          <cell r="M175">
            <v>0</v>
          </cell>
          <cell r="O175">
            <v>0</v>
          </cell>
        </row>
        <row r="176">
          <cell r="A176">
            <v>40024</v>
          </cell>
          <cell r="B176" t="str">
            <v xml:space="preserve">     Operating supplies</v>
          </cell>
          <cell r="F176">
            <v>8622.0400000000009</v>
          </cell>
          <cell r="K176">
            <v>8622.0400000000009</v>
          </cell>
          <cell r="L176" t="str">
            <v>ok</v>
          </cell>
          <cell r="M176">
            <v>3791.8869716000004</v>
          </cell>
          <cell r="N176" t="str">
            <v>ok</v>
          </cell>
          <cell r="O176">
            <v>0</v>
          </cell>
        </row>
        <row r="177">
          <cell r="A177">
            <v>40025</v>
          </cell>
          <cell r="B177" t="str">
            <v xml:space="preserve">     Other expenses</v>
          </cell>
          <cell r="G177">
            <v>122</v>
          </cell>
          <cell r="H177">
            <v>0</v>
          </cell>
          <cell r="I177">
            <v>0</v>
          </cell>
          <cell r="J177">
            <v>0</v>
          </cell>
          <cell r="K177">
            <v>122</v>
          </cell>
          <cell r="L177" t="str">
            <v>ok</v>
          </cell>
          <cell r="M177">
            <v>52.654380000000003</v>
          </cell>
          <cell r="N177" t="str">
            <v>ok</v>
          </cell>
          <cell r="O177">
            <v>0</v>
          </cell>
        </row>
        <row r="178">
          <cell r="A178">
            <v>40026</v>
          </cell>
          <cell r="B178" t="str">
            <v xml:space="preserve">     Outside services </v>
          </cell>
          <cell r="F178">
            <v>12560.8</v>
          </cell>
          <cell r="K178">
            <v>12560.8</v>
          </cell>
          <cell r="L178" t="str">
            <v>ok</v>
          </cell>
          <cell r="M178">
            <v>5524.1142319999999</v>
          </cell>
          <cell r="N178" t="str">
            <v>ok</v>
          </cell>
          <cell r="O178">
            <v>0</v>
          </cell>
        </row>
        <row r="179">
          <cell r="A179">
            <v>40027</v>
          </cell>
          <cell r="B179" t="str">
            <v xml:space="preserve">     Provision for doubtful debts</v>
          </cell>
          <cell r="K179">
            <v>0</v>
          </cell>
          <cell r="M179">
            <v>0</v>
          </cell>
          <cell r="O179">
            <v>0</v>
          </cell>
        </row>
        <row r="180">
          <cell r="A180">
            <v>40028</v>
          </cell>
          <cell r="B180" t="str">
            <v xml:space="preserve">     Dividend paid</v>
          </cell>
          <cell r="K180">
            <v>0</v>
          </cell>
          <cell r="M180">
            <v>0</v>
          </cell>
          <cell r="O180">
            <v>0</v>
          </cell>
        </row>
        <row r="181">
          <cell r="A181">
            <v>40029</v>
          </cell>
          <cell r="B181" t="str">
            <v xml:space="preserve">     Travel and transportation</v>
          </cell>
          <cell r="F181">
            <v>4585.3999999999996</v>
          </cell>
          <cell r="K181">
            <v>4585.3999999999996</v>
          </cell>
          <cell r="L181" t="str">
            <v>ok</v>
          </cell>
          <cell r="M181">
            <v>2016.6130659999999</v>
          </cell>
          <cell r="N181" t="str">
            <v>ok</v>
          </cell>
          <cell r="O181">
            <v>0</v>
          </cell>
        </row>
        <row r="182">
          <cell r="F182">
            <v>-28818.97</v>
          </cell>
          <cell r="G182">
            <v>122</v>
          </cell>
          <cell r="H182">
            <v>0</v>
          </cell>
          <cell r="I182">
            <v>0</v>
          </cell>
          <cell r="J182">
            <v>0</v>
          </cell>
          <cell r="K182">
            <v>-28940.97</v>
          </cell>
          <cell r="M182">
            <v>-12727.9491963</v>
          </cell>
          <cell r="O182">
            <v>0</v>
          </cell>
        </row>
        <row r="184">
          <cell r="A184" t="str">
            <v>FI</v>
          </cell>
          <cell r="B184" t="str">
            <v>FINANCE INCOME</v>
          </cell>
          <cell r="K184">
            <v>0</v>
          </cell>
          <cell r="Q184" t="str">
            <v xml:space="preserve"> </v>
          </cell>
        </row>
        <row r="185">
          <cell r="A185">
            <v>50001</v>
          </cell>
          <cell r="B185" t="str">
            <v xml:space="preserve">    Interest income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O185">
            <v>0</v>
          </cell>
          <cell r="Q185" t="str">
            <v xml:space="preserve"> </v>
          </cell>
        </row>
        <row r="186">
          <cell r="A186">
            <v>50002</v>
          </cell>
          <cell r="B186" t="str">
            <v xml:space="preserve">    Foreign exchange gain</v>
          </cell>
          <cell r="F186">
            <v>0</v>
          </cell>
          <cell r="K186">
            <v>0</v>
          </cell>
          <cell r="M186">
            <v>0</v>
          </cell>
        </row>
        <row r="187">
          <cell r="A187">
            <v>50003</v>
          </cell>
          <cell r="B187" t="str">
            <v xml:space="preserve">   Profit on disposal of assets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Q187" t="str">
            <v xml:space="preserve"> </v>
          </cell>
        </row>
        <row r="188"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M188">
            <v>0</v>
          </cell>
          <cell r="O188">
            <v>0</v>
          </cell>
          <cell r="Q188" t="str">
            <v xml:space="preserve"> </v>
          </cell>
        </row>
        <row r="189">
          <cell r="A189" t="str">
            <v>fincost</v>
          </cell>
          <cell r="B189" t="str">
            <v>FINANCE COSTS</v>
          </cell>
          <cell r="F189" t="str">
            <v xml:space="preserve"> </v>
          </cell>
          <cell r="J189" t="str">
            <v xml:space="preserve"> </v>
          </cell>
          <cell r="K189" t="str">
            <v xml:space="preserve"> </v>
          </cell>
          <cell r="Q189" t="str">
            <v xml:space="preserve"> </v>
          </cell>
        </row>
        <row r="190">
          <cell r="A190">
            <v>60001</v>
          </cell>
          <cell r="B190" t="str">
            <v xml:space="preserve">     Bank overdraft and interest</v>
          </cell>
          <cell r="F190">
            <v>421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421</v>
          </cell>
          <cell r="L190" t="str">
            <v>ok</v>
          </cell>
          <cell r="M190">
            <v>185.15159</v>
          </cell>
          <cell r="N190" t="str">
            <v>ok</v>
          </cell>
          <cell r="O190">
            <v>0</v>
          </cell>
          <cell r="Q190">
            <v>1</v>
          </cell>
        </row>
        <row r="191">
          <cell r="A191">
            <v>60002</v>
          </cell>
          <cell r="B191" t="str">
            <v xml:space="preserve">     Short term loan interest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M191">
            <v>0</v>
          </cell>
          <cell r="O191">
            <v>0</v>
          </cell>
          <cell r="Q191" t="str">
            <v xml:space="preserve"> </v>
          </cell>
        </row>
        <row r="192">
          <cell r="A192">
            <v>60003</v>
          </cell>
          <cell r="B192" t="str">
            <v xml:space="preserve">     Interest on hire purchase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O192">
            <v>0</v>
          </cell>
          <cell r="Q192" t="str">
            <v xml:space="preserve"> </v>
          </cell>
        </row>
        <row r="193">
          <cell r="F193">
            <v>-421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-421</v>
          </cell>
          <cell r="M193">
            <v>-185.15159</v>
          </cell>
          <cell r="O193">
            <v>0</v>
          </cell>
          <cell r="Q193">
            <v>1</v>
          </cell>
        </row>
        <row r="194">
          <cell r="B194" t="str">
            <v>(LOSS)/ PROFIT for the year before taxation</v>
          </cell>
          <cell r="F194">
            <v>540.55000000000291</v>
          </cell>
          <cell r="G194">
            <v>122</v>
          </cell>
          <cell r="H194">
            <v>122</v>
          </cell>
          <cell r="I194">
            <v>0</v>
          </cell>
          <cell r="J194">
            <v>0</v>
          </cell>
          <cell r="K194">
            <v>540.55000000000291</v>
          </cell>
          <cell r="M194">
            <v>237.72848450000623</v>
          </cell>
          <cell r="O194">
            <v>0</v>
          </cell>
          <cell r="Q194">
            <v>1</v>
          </cell>
        </row>
        <row r="195">
          <cell r="A195">
            <v>70001</v>
          </cell>
          <cell r="B195" t="str">
            <v xml:space="preserve">   Taxation- current year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O195">
            <v>0</v>
          </cell>
          <cell r="Q195" t="str">
            <v xml:space="preserve"> </v>
          </cell>
        </row>
        <row r="196">
          <cell r="A196">
            <v>70002</v>
          </cell>
          <cell r="B196" t="str">
            <v xml:space="preserve">   Taxation-over/under PY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M196">
            <v>0</v>
          </cell>
          <cell r="Q196" t="str">
            <v xml:space="preserve"> </v>
          </cell>
        </row>
        <row r="197">
          <cell r="A197">
            <v>70003</v>
          </cell>
          <cell r="B197" t="str">
            <v xml:space="preserve">   Taxation-Def tax transfer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Q197" t="str">
            <v xml:space="preserve"> </v>
          </cell>
        </row>
        <row r="198">
          <cell r="A198">
            <v>70000</v>
          </cell>
          <cell r="B198" t="str">
            <v>Taxation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O198">
            <v>0</v>
          </cell>
          <cell r="Q198" t="str">
            <v xml:space="preserve"> </v>
          </cell>
        </row>
        <row r="199">
          <cell r="B199" t="str">
            <v>PROFIT for the year after taxation</v>
          </cell>
          <cell r="F199">
            <v>540.55000000000291</v>
          </cell>
          <cell r="G199">
            <v>122</v>
          </cell>
          <cell r="H199">
            <v>122</v>
          </cell>
          <cell r="I199">
            <v>0</v>
          </cell>
          <cell r="J199">
            <v>0</v>
          </cell>
          <cell r="K199">
            <v>540.55000000000291</v>
          </cell>
          <cell r="M199">
            <v>237.72848450000623</v>
          </cell>
          <cell r="N199" t="str">
            <v>ok</v>
          </cell>
          <cell r="O199">
            <v>0</v>
          </cell>
          <cell r="Q199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 Feb"/>
      <sheetName val="PL Mar"/>
      <sheetName val="Bulk Labor"/>
      <sheetName val="PL YTD Apr-WS1"/>
      <sheetName val="PL YTD Apr-WS2"/>
      <sheetName val="PL Jan sd Apr"/>
      <sheetName val="PL YTD Apr"/>
      <sheetName val="PL YTD Apr-WS Sum"/>
      <sheetName val="BS"/>
      <sheetName val="IS"/>
      <sheetName val="Summary fee"/>
      <sheetName val="Summary fee (2)"/>
      <sheetName val="Projection"/>
      <sheetName val="MOP"/>
      <sheetName val="MOP Invest"/>
      <sheetName val="SAD"/>
      <sheetName val="SAD Investment"/>
      <sheetName val="Package fully rack"/>
      <sheetName val="Investment"/>
      <sheetName val="Package half rack"/>
      <sheetName val="Package"/>
      <sheetName val="Warehouse Summary"/>
      <sheetName val="Sum"/>
      <sheetName val="Note"/>
      <sheetName val="detail employee benefit"/>
      <sheetName val="Piping"/>
    </sheetNames>
    <sheetDataSet>
      <sheetData sheetId="0" refreshError="1"/>
      <sheetData sheetId="1" refreshError="1">
        <row r="561">
          <cell r="BQ561">
            <v>16846000</v>
          </cell>
        </row>
        <row r="570">
          <cell r="BQ570">
            <v>90969</v>
          </cell>
        </row>
        <row r="571">
          <cell r="BQ571">
            <v>186881</v>
          </cell>
        </row>
        <row r="573">
          <cell r="BQ573">
            <v>2807666</v>
          </cell>
        </row>
        <row r="576">
          <cell r="BQ576">
            <v>623302</v>
          </cell>
        </row>
        <row r="625">
          <cell r="BQ625">
            <v>8400000</v>
          </cell>
        </row>
        <row r="628">
          <cell r="BQ628">
            <v>2357850</v>
          </cell>
        </row>
        <row r="630">
          <cell r="BQ630">
            <v>594500</v>
          </cell>
        </row>
        <row r="665">
          <cell r="BQ665">
            <v>550000</v>
          </cell>
        </row>
        <row r="683">
          <cell r="BQ683">
            <v>186000</v>
          </cell>
        </row>
        <row r="761">
          <cell r="BQ761">
            <v>82374173</v>
          </cell>
        </row>
        <row r="763">
          <cell r="BQ763">
            <v>3376377</v>
          </cell>
        </row>
        <row r="767">
          <cell r="BQ767">
            <v>2500000</v>
          </cell>
        </row>
        <row r="769">
          <cell r="BQ769">
            <v>3000000</v>
          </cell>
        </row>
        <row r="770">
          <cell r="BQ770">
            <v>422461</v>
          </cell>
        </row>
        <row r="771">
          <cell r="BQ771">
            <v>3457871</v>
          </cell>
        </row>
        <row r="772">
          <cell r="BQ772">
            <v>2085000</v>
          </cell>
        </row>
        <row r="773">
          <cell r="BQ773">
            <v>9132917</v>
          </cell>
        </row>
        <row r="776">
          <cell r="BQ776">
            <v>6719600</v>
          </cell>
        </row>
        <row r="778">
          <cell r="BQ778">
            <v>258500</v>
          </cell>
        </row>
        <row r="779">
          <cell r="BQ779">
            <v>975000</v>
          </cell>
        </row>
        <row r="791">
          <cell r="BQ791">
            <v>4453030</v>
          </cell>
        </row>
        <row r="792">
          <cell r="BQ792">
            <v>2042500</v>
          </cell>
        </row>
        <row r="798">
          <cell r="BQ798">
            <v>686000</v>
          </cell>
        </row>
        <row r="799">
          <cell r="BQ799">
            <v>1719500</v>
          </cell>
        </row>
        <row r="804">
          <cell r="BQ804">
            <v>1867100</v>
          </cell>
        </row>
        <row r="806">
          <cell r="BQ806">
            <v>150000</v>
          </cell>
        </row>
        <row r="807">
          <cell r="BQ807">
            <v>500000</v>
          </cell>
        </row>
        <row r="816">
          <cell r="BQ816">
            <v>14657394</v>
          </cell>
        </row>
        <row r="817">
          <cell r="BQ817">
            <v>6955555</v>
          </cell>
        </row>
        <row r="818">
          <cell r="BQ818">
            <v>736000</v>
          </cell>
        </row>
        <row r="819">
          <cell r="BQ819">
            <v>375000</v>
          </cell>
        </row>
        <row r="825">
          <cell r="BQ825">
            <v>8820000</v>
          </cell>
        </row>
        <row r="826">
          <cell r="BQ826">
            <v>189500</v>
          </cell>
        </row>
        <row r="827">
          <cell r="BQ827">
            <v>311208</v>
          </cell>
        </row>
        <row r="828">
          <cell r="BQ828">
            <v>7193450</v>
          </cell>
        </row>
        <row r="829">
          <cell r="BQ829">
            <v>35000</v>
          </cell>
        </row>
        <row r="830">
          <cell r="BQ830">
            <v>1056000</v>
          </cell>
        </row>
        <row r="831">
          <cell r="BQ831">
            <v>407500</v>
          </cell>
        </row>
        <row r="834">
          <cell r="BQ834">
            <v>4950000</v>
          </cell>
        </row>
        <row r="835">
          <cell r="BQ835">
            <v>6360100</v>
          </cell>
        </row>
        <row r="836">
          <cell r="BQ836">
            <v>250000</v>
          </cell>
        </row>
        <row r="838">
          <cell r="BQ838">
            <v>1539090</v>
          </cell>
        </row>
        <row r="842">
          <cell r="BQ842">
            <v>190000</v>
          </cell>
        </row>
        <row r="862">
          <cell r="BQ862">
            <v>1292900</v>
          </cell>
        </row>
        <row r="863">
          <cell r="BQ863">
            <v>1226000</v>
          </cell>
        </row>
        <row r="864">
          <cell r="BQ864">
            <v>5885930</v>
          </cell>
        </row>
        <row r="865">
          <cell r="BQ865">
            <v>870000</v>
          </cell>
        </row>
        <row r="869">
          <cell r="BQ869">
            <v>7000000</v>
          </cell>
        </row>
        <row r="872">
          <cell r="BQ872">
            <v>18750</v>
          </cell>
        </row>
        <row r="873">
          <cell r="BQ873">
            <v>3371575</v>
          </cell>
        </row>
        <row r="874">
          <cell r="BQ874">
            <v>754781</v>
          </cell>
        </row>
        <row r="875">
          <cell r="BQ875">
            <v>1842708</v>
          </cell>
        </row>
        <row r="883">
          <cell r="BQ883">
            <v>6495865</v>
          </cell>
        </row>
        <row r="884">
          <cell r="BQ884">
            <v>894700</v>
          </cell>
        </row>
        <row r="887">
          <cell r="BQ887">
            <v>436200</v>
          </cell>
        </row>
        <row r="889">
          <cell r="BQ889">
            <v>225000</v>
          </cell>
        </row>
        <row r="893">
          <cell r="BQ893">
            <v>1225370</v>
          </cell>
        </row>
        <row r="911">
          <cell r="BQ911">
            <v>4166667</v>
          </cell>
        </row>
        <row r="930">
          <cell r="BQ930">
            <v>48160658</v>
          </cell>
        </row>
        <row r="942">
          <cell r="BQ942">
            <v>7578195</v>
          </cell>
        </row>
        <row r="951">
          <cell r="BQ951">
            <v>611575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General"/>
      <sheetName val="Zone 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DEPK2003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 power"/>
      <sheetName val="lod-cap800&amp;1250t-normal (2)"/>
      <sheetName val="RR"/>
      <sheetName val="OEE"/>
      <sheetName val="OEE (2)"/>
      <sheetName val="Acv-1"/>
      <sheetName val="PRD-ACV"/>
      <sheetName val="material"/>
      <sheetName val="capacity"/>
      <sheetName val="isz fix"/>
      <sheetName val="dht fix"/>
      <sheetName val="lod-cap1"/>
      <sheetName val="lod-cap800&amp;1250t-normal"/>
      <sheetName val="Input"/>
      <sheetName val="Financial"/>
      <sheetName val="Cash Flow"/>
      <sheetName val="Cover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MS 20 0406"/>
      <sheetName val="IDR PAID APRIL 06"/>
      <sheetName val="IDR"/>
      <sheetName val="USD"/>
    </sheetNames>
    <sheetDataSet>
      <sheetData sheetId="0"/>
      <sheetData sheetId="1"/>
      <sheetData sheetId="2"/>
      <sheetData sheetId="3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0000000"/>
      <sheetName val="00000000"/>
      <sheetName val="000000000"/>
      <sheetName val="Cross Check data Aktuari-PNP"/>
      <sheetName val="P-1.1"/>
      <sheetName val="LK 2002"/>
      <sheetName val="Movement of Hutang Leasing"/>
      <sheetName val="PAJE-CAJE-PRJE"/>
      <sheetName val="Sheet1"/>
      <sheetName val="BS-PL Komersil and Fiskal"/>
      <sheetName val="Deferred Tax Calculation"/>
      <sheetName val="List of Disposal"/>
      <sheetName val="Predictive Depreciation Exp."/>
      <sheetName val="K-Mutation PNP"/>
      <sheetName val="FA Fiscal 2003"/>
      <sheetName val="AR Subsequent Collection"/>
      <sheetName val="AP Subsequent Payment"/>
      <sheetName val="C"/>
      <sheetName val="CC"/>
      <sheetName val="D"/>
      <sheetName val="DD"/>
      <sheetName val="E"/>
      <sheetName val="E-3"/>
      <sheetName val="G"/>
      <sheetName val="G-1"/>
      <sheetName val="G-2"/>
      <sheetName val="G-3"/>
      <sheetName val="I"/>
      <sheetName val="L"/>
      <sheetName val="J.1"/>
      <sheetName val="K"/>
      <sheetName val="M"/>
      <sheetName val="N"/>
      <sheetName val="N-1"/>
      <sheetName val="Pred. by APBMI N -1-1"/>
      <sheetName val="O"/>
      <sheetName val="P-1"/>
      <sheetName val="P-2"/>
      <sheetName val="Q"/>
      <sheetName val="R"/>
      <sheetName val="Perhit. def tax R-1"/>
      <sheetName val="T"/>
      <sheetName val="TT"/>
      <sheetName val="U-1"/>
      <sheetName val="U-2"/>
      <sheetName val="U-3"/>
      <sheetName val="U-4"/>
      <sheetName val="U-5"/>
      <sheetName val="Materiality and TE"/>
      <sheetName val="Fiskal"/>
      <sheetName val="CF"/>
      <sheetName val="CF Calculation"/>
      <sheetName val="Reclassification"/>
      <sheetName val="Hut-Piut Afiliasi"/>
      <sheetName val="HIT"/>
      <sheetName val="PL98"/>
      <sheetName val="B.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0000000"/>
      <sheetName val="00000000"/>
      <sheetName val="000000000"/>
      <sheetName val="Cross Check data Aktuari-PNP"/>
      <sheetName val="P-1.1"/>
      <sheetName val="LK 2002"/>
      <sheetName val="Movement of Hutang Leasing"/>
      <sheetName val="PAJE-CAJE-PRJE"/>
      <sheetName val="Sheet1"/>
      <sheetName val="BS-PL Komersil and Fiskal"/>
      <sheetName val="Deferred Tax Calculation"/>
      <sheetName val="List of Disposal"/>
      <sheetName val="Predictive Depreciation Exp."/>
      <sheetName val="K-Mutation PNP"/>
      <sheetName val="FA Fiscal 2003"/>
      <sheetName val="AR Subsequent Collection"/>
      <sheetName val="AP Subsequent Payment"/>
      <sheetName val="C"/>
      <sheetName val="CC"/>
      <sheetName val="D"/>
      <sheetName val="DD"/>
      <sheetName val="E"/>
      <sheetName val="E-3"/>
      <sheetName val="G"/>
      <sheetName val="G-1"/>
      <sheetName val="G-2"/>
      <sheetName val="G-3"/>
      <sheetName val="I"/>
      <sheetName val="L"/>
      <sheetName val="J.1"/>
      <sheetName val="K"/>
      <sheetName val="M"/>
      <sheetName val="N"/>
      <sheetName val="N-1"/>
      <sheetName val="Pred. by APBMI N -1-1"/>
      <sheetName val="O"/>
      <sheetName val="P-1"/>
      <sheetName val="P-2"/>
      <sheetName val="Q"/>
      <sheetName val="R"/>
      <sheetName val="Perhit. def tax R-1"/>
      <sheetName val="T"/>
      <sheetName val="TT"/>
      <sheetName val="U-1"/>
      <sheetName val="U-2"/>
      <sheetName val="U-3"/>
      <sheetName val="U-4"/>
      <sheetName val="U-5"/>
      <sheetName val="Materiality and TE"/>
      <sheetName val="Fiskal"/>
      <sheetName val="CF"/>
      <sheetName val="CF Calculation"/>
      <sheetName val="Reclassification"/>
      <sheetName val="Hut-Piut Afili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er 2004"/>
      <sheetName val="Calendar 2005"/>
      <sheetName val="Calendar 2006"/>
      <sheetName val="ADM"/>
      <sheetName val="Assy 2004"/>
      <sheetName val="Assy 2005"/>
      <sheetName val="Assy 2006"/>
      <sheetName val="Weld 2004"/>
      <sheetName val="Weld 2005"/>
      <sheetName val="Weld 2006"/>
      <sheetName val="Engine 2004"/>
      <sheetName val="Engine 2005"/>
      <sheetName val="Engine 2006"/>
      <sheetName val="Company"/>
      <sheetName val="2002"/>
      <sheetName val="Plan 1 Tahun"/>
      <sheetName val="nagai 08"/>
      <sheetName val="Grease"/>
      <sheetName val="Review"/>
      <sheetName val="ocean voyage"/>
      <sheetName val="WP-PBM-04"/>
    </sheetNames>
    <sheetDataSet>
      <sheetData sheetId="0">
        <row r="5">
          <cell r="B5" t="str">
            <v>MON</v>
          </cell>
        </row>
      </sheetData>
      <sheetData sheetId="1"/>
      <sheetData sheetId="2" refreshError="1">
        <row r="5">
          <cell r="B5" t="str">
            <v>MON</v>
          </cell>
          <cell r="C5" t="str">
            <v>TUE</v>
          </cell>
          <cell r="D5" t="str">
            <v>WED</v>
          </cell>
          <cell r="E5" t="str">
            <v>THU</v>
          </cell>
          <cell r="F5" t="str">
            <v>FRI</v>
          </cell>
          <cell r="G5" t="str">
            <v>SAT</v>
          </cell>
          <cell r="J5" t="str">
            <v>MON</v>
          </cell>
          <cell r="K5" t="str">
            <v>TUE</v>
          </cell>
          <cell r="L5" t="str">
            <v>WED</v>
          </cell>
          <cell r="M5" t="str">
            <v>THU</v>
          </cell>
          <cell r="N5" t="str">
            <v>FRI</v>
          </cell>
          <cell r="O5" t="str">
            <v>SAT</v>
          </cell>
          <cell r="R5" t="str">
            <v>MON</v>
          </cell>
          <cell r="S5" t="str">
            <v>TUE</v>
          </cell>
          <cell r="T5" t="str">
            <v>WED</v>
          </cell>
          <cell r="U5" t="str">
            <v>THU</v>
          </cell>
          <cell r="V5" t="str">
            <v>FRI</v>
          </cell>
          <cell r="W5" t="str">
            <v>SAT</v>
          </cell>
        </row>
        <row r="6">
          <cell r="F6" t="str">
            <v/>
          </cell>
          <cell r="G6" t="str">
            <v/>
          </cell>
          <cell r="J6">
            <v>0</v>
          </cell>
          <cell r="K6">
            <v>0</v>
          </cell>
          <cell r="L6">
            <v>1</v>
          </cell>
          <cell r="M6">
            <v>2</v>
          </cell>
          <cell r="N6">
            <v>3</v>
          </cell>
          <cell r="O6">
            <v>4</v>
          </cell>
          <cell r="R6">
            <v>0</v>
          </cell>
          <cell r="S6">
            <v>0</v>
          </cell>
          <cell r="T6">
            <v>1</v>
          </cell>
          <cell r="U6">
            <v>2</v>
          </cell>
          <cell r="V6">
            <v>3</v>
          </cell>
          <cell r="W6">
            <v>4</v>
          </cell>
        </row>
        <row r="7"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J7">
            <v>6</v>
          </cell>
          <cell r="K7">
            <v>7</v>
          </cell>
          <cell r="L7">
            <v>8</v>
          </cell>
          <cell r="M7">
            <v>9</v>
          </cell>
          <cell r="N7">
            <v>10</v>
          </cell>
          <cell r="O7">
            <v>11</v>
          </cell>
          <cell r="R7">
            <v>6</v>
          </cell>
          <cell r="S7">
            <v>7</v>
          </cell>
          <cell r="T7">
            <v>8</v>
          </cell>
          <cell r="U7">
            <v>9</v>
          </cell>
          <cell r="V7">
            <v>10</v>
          </cell>
          <cell r="W7">
            <v>11</v>
          </cell>
        </row>
        <row r="8">
          <cell r="B8">
            <v>9</v>
          </cell>
          <cell r="C8">
            <v>10</v>
          </cell>
          <cell r="D8">
            <v>11</v>
          </cell>
          <cell r="E8">
            <v>12</v>
          </cell>
          <cell r="F8">
            <v>13</v>
          </cell>
          <cell r="G8">
            <v>14</v>
          </cell>
          <cell r="J8">
            <v>13</v>
          </cell>
          <cell r="K8">
            <v>14</v>
          </cell>
          <cell r="L8">
            <v>15</v>
          </cell>
          <cell r="M8">
            <v>16</v>
          </cell>
          <cell r="N8">
            <v>17</v>
          </cell>
          <cell r="O8">
            <v>18</v>
          </cell>
          <cell r="R8">
            <v>13</v>
          </cell>
          <cell r="S8">
            <v>14</v>
          </cell>
          <cell r="T8">
            <v>15</v>
          </cell>
          <cell r="U8">
            <v>16</v>
          </cell>
          <cell r="V8">
            <v>17</v>
          </cell>
          <cell r="W8">
            <v>18</v>
          </cell>
        </row>
        <row r="9">
          <cell r="B9">
            <v>16</v>
          </cell>
          <cell r="C9">
            <v>17</v>
          </cell>
          <cell r="D9">
            <v>18</v>
          </cell>
          <cell r="E9">
            <v>19</v>
          </cell>
          <cell r="F9">
            <v>20</v>
          </cell>
          <cell r="G9">
            <v>21</v>
          </cell>
          <cell r="J9">
            <v>20</v>
          </cell>
          <cell r="K9">
            <v>21</v>
          </cell>
          <cell r="L9">
            <v>22</v>
          </cell>
          <cell r="M9">
            <v>23</v>
          </cell>
          <cell r="N9">
            <v>24</v>
          </cell>
          <cell r="O9">
            <v>25</v>
          </cell>
          <cell r="R9">
            <v>20</v>
          </cell>
          <cell r="S9">
            <v>21</v>
          </cell>
          <cell r="T9">
            <v>22</v>
          </cell>
          <cell r="U9">
            <v>23</v>
          </cell>
          <cell r="V9">
            <v>24</v>
          </cell>
          <cell r="W9">
            <v>25</v>
          </cell>
        </row>
        <row r="10">
          <cell r="B10">
            <v>23</v>
          </cell>
          <cell r="C10">
            <v>24</v>
          </cell>
          <cell r="D10">
            <v>25</v>
          </cell>
          <cell r="E10">
            <v>26</v>
          </cell>
          <cell r="F10">
            <v>27</v>
          </cell>
          <cell r="G10">
            <v>28</v>
          </cell>
          <cell r="J10">
            <v>27</v>
          </cell>
          <cell r="K10">
            <v>28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R10">
            <v>27</v>
          </cell>
          <cell r="S10">
            <v>28</v>
          </cell>
          <cell r="T10">
            <v>29</v>
          </cell>
          <cell r="U10">
            <v>30</v>
          </cell>
          <cell r="V10">
            <v>31</v>
          </cell>
          <cell r="W10">
            <v>0</v>
          </cell>
        </row>
        <row r="11">
          <cell r="B11">
            <v>30</v>
          </cell>
          <cell r="C11">
            <v>31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</row>
        <row r="14">
          <cell r="B14" t="str">
            <v>MON</v>
          </cell>
          <cell r="C14" t="str">
            <v>TUE</v>
          </cell>
          <cell r="D14" t="str">
            <v>WED</v>
          </cell>
          <cell r="E14" t="str">
            <v>THU</v>
          </cell>
          <cell r="F14" t="str">
            <v>FRI</v>
          </cell>
          <cell r="G14" t="str">
            <v>SAT</v>
          </cell>
          <cell r="J14" t="str">
            <v>MON</v>
          </cell>
          <cell r="K14" t="str">
            <v>TUE</v>
          </cell>
          <cell r="L14" t="str">
            <v>WED</v>
          </cell>
          <cell r="M14" t="str">
            <v>THU</v>
          </cell>
          <cell r="N14" t="str">
            <v>FRI</v>
          </cell>
          <cell r="O14" t="str">
            <v>SAT</v>
          </cell>
          <cell r="R14" t="str">
            <v>MON</v>
          </cell>
          <cell r="S14" t="str">
            <v>TUE</v>
          </cell>
          <cell r="T14" t="str">
            <v>WED</v>
          </cell>
          <cell r="U14" t="str">
            <v>THU</v>
          </cell>
          <cell r="V14" t="str">
            <v>FRI</v>
          </cell>
          <cell r="W14" t="str">
            <v>SAT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</v>
          </cell>
          <cell r="J15">
            <v>1</v>
          </cell>
          <cell r="K15">
            <v>2</v>
          </cell>
          <cell r="L15">
            <v>3</v>
          </cell>
          <cell r="M15">
            <v>4</v>
          </cell>
          <cell r="N15">
            <v>5</v>
          </cell>
          <cell r="O15">
            <v>6</v>
          </cell>
          <cell r="R15">
            <v>0</v>
          </cell>
          <cell r="S15">
            <v>0</v>
          </cell>
          <cell r="T15">
            <v>0</v>
          </cell>
          <cell r="U15">
            <v>1</v>
          </cell>
          <cell r="V15">
            <v>2</v>
          </cell>
          <cell r="W15">
            <v>3</v>
          </cell>
        </row>
        <row r="16">
          <cell r="B16">
            <v>3</v>
          </cell>
          <cell r="C16">
            <v>4</v>
          </cell>
          <cell r="D16">
            <v>5</v>
          </cell>
          <cell r="E16">
            <v>6</v>
          </cell>
          <cell r="F16">
            <v>7</v>
          </cell>
          <cell r="G16">
            <v>8</v>
          </cell>
          <cell r="J16">
            <v>8</v>
          </cell>
          <cell r="K16">
            <v>9</v>
          </cell>
          <cell r="L16">
            <v>10</v>
          </cell>
          <cell r="M16">
            <v>11</v>
          </cell>
          <cell r="N16">
            <v>12</v>
          </cell>
          <cell r="O16">
            <v>13</v>
          </cell>
          <cell r="R16">
            <v>5</v>
          </cell>
          <cell r="S16">
            <v>6</v>
          </cell>
          <cell r="T16">
            <v>7</v>
          </cell>
          <cell r="U16">
            <v>8</v>
          </cell>
          <cell r="V16">
            <v>9</v>
          </cell>
          <cell r="W16">
            <v>10</v>
          </cell>
        </row>
        <row r="17">
          <cell r="B17">
            <v>10</v>
          </cell>
          <cell r="C17">
            <v>11</v>
          </cell>
          <cell r="D17">
            <v>12</v>
          </cell>
          <cell r="E17">
            <v>13</v>
          </cell>
          <cell r="F17">
            <v>14</v>
          </cell>
          <cell r="G17">
            <v>15</v>
          </cell>
          <cell r="J17">
            <v>15</v>
          </cell>
          <cell r="K17">
            <v>16</v>
          </cell>
          <cell r="L17">
            <v>17</v>
          </cell>
          <cell r="M17">
            <v>18</v>
          </cell>
          <cell r="N17">
            <v>19</v>
          </cell>
          <cell r="O17">
            <v>20</v>
          </cell>
          <cell r="R17">
            <v>12</v>
          </cell>
          <cell r="S17">
            <v>13</v>
          </cell>
          <cell r="T17">
            <v>14</v>
          </cell>
          <cell r="U17">
            <v>15</v>
          </cell>
          <cell r="V17">
            <v>16</v>
          </cell>
          <cell r="W17">
            <v>17</v>
          </cell>
        </row>
        <row r="18">
          <cell r="B18">
            <v>17</v>
          </cell>
          <cell r="C18">
            <v>18</v>
          </cell>
          <cell r="D18">
            <v>19</v>
          </cell>
          <cell r="E18">
            <v>20</v>
          </cell>
          <cell r="F18">
            <v>21</v>
          </cell>
          <cell r="G18">
            <v>22</v>
          </cell>
          <cell r="J18">
            <v>22</v>
          </cell>
          <cell r="K18">
            <v>23</v>
          </cell>
          <cell r="L18">
            <v>24</v>
          </cell>
          <cell r="M18">
            <v>25</v>
          </cell>
          <cell r="N18">
            <v>26</v>
          </cell>
          <cell r="O18">
            <v>27</v>
          </cell>
          <cell r="R18">
            <v>19</v>
          </cell>
          <cell r="S18">
            <v>20</v>
          </cell>
          <cell r="T18">
            <v>21</v>
          </cell>
          <cell r="U18">
            <v>22</v>
          </cell>
          <cell r="V18">
            <v>23</v>
          </cell>
          <cell r="W18">
            <v>24</v>
          </cell>
        </row>
        <row r="19">
          <cell r="B19">
            <v>24</v>
          </cell>
          <cell r="C19">
            <v>25</v>
          </cell>
          <cell r="D19">
            <v>26</v>
          </cell>
          <cell r="E19">
            <v>27</v>
          </cell>
          <cell r="F19">
            <v>28</v>
          </cell>
          <cell r="G19">
            <v>29</v>
          </cell>
          <cell r="J19">
            <v>29</v>
          </cell>
          <cell r="K19">
            <v>30</v>
          </cell>
          <cell r="L19">
            <v>31</v>
          </cell>
          <cell r="M19">
            <v>0</v>
          </cell>
          <cell r="N19">
            <v>0</v>
          </cell>
          <cell r="O19">
            <v>0</v>
          </cell>
          <cell r="R19">
            <v>26</v>
          </cell>
          <cell r="S19">
            <v>27</v>
          </cell>
          <cell r="T19">
            <v>28</v>
          </cell>
          <cell r="U19">
            <v>29</v>
          </cell>
          <cell r="V19">
            <v>30</v>
          </cell>
          <cell r="W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</row>
        <row r="23">
          <cell r="B23" t="str">
            <v>MON</v>
          </cell>
          <cell r="C23" t="str">
            <v>TUE</v>
          </cell>
          <cell r="D23" t="str">
            <v>WED</v>
          </cell>
          <cell r="E23" t="str">
            <v>THU</v>
          </cell>
          <cell r="F23" t="str">
            <v>FRI</v>
          </cell>
          <cell r="G23" t="str">
            <v>SAT</v>
          </cell>
          <cell r="J23" t="str">
            <v>MON</v>
          </cell>
          <cell r="K23" t="str">
            <v>TUE</v>
          </cell>
          <cell r="L23" t="str">
            <v>WED</v>
          </cell>
          <cell r="M23" t="str">
            <v>THU</v>
          </cell>
          <cell r="N23" t="str">
            <v>FRI</v>
          </cell>
          <cell r="O23" t="str">
            <v>SAT</v>
          </cell>
          <cell r="R23" t="str">
            <v>MON</v>
          </cell>
          <cell r="S23" t="str">
            <v>TUE</v>
          </cell>
          <cell r="T23" t="str">
            <v>WED</v>
          </cell>
          <cell r="U23" t="str">
            <v>THU</v>
          </cell>
          <cell r="V23" t="str">
            <v>FRI</v>
          </cell>
          <cell r="W23" t="str">
            <v>SAT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1</v>
          </cell>
          <cell r="J24">
            <v>0</v>
          </cell>
          <cell r="K24">
            <v>1</v>
          </cell>
          <cell r="L24">
            <v>2</v>
          </cell>
          <cell r="M24">
            <v>3</v>
          </cell>
          <cell r="N24">
            <v>4</v>
          </cell>
          <cell r="O24">
            <v>5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1</v>
          </cell>
          <cell r="W24">
            <v>2</v>
          </cell>
        </row>
        <row r="25">
          <cell r="B25">
            <v>3</v>
          </cell>
          <cell r="C25">
            <v>4</v>
          </cell>
          <cell r="D25">
            <v>5</v>
          </cell>
          <cell r="E25">
            <v>6</v>
          </cell>
          <cell r="F25">
            <v>7</v>
          </cell>
          <cell r="G25">
            <v>8</v>
          </cell>
          <cell r="J25">
            <v>7</v>
          </cell>
          <cell r="K25">
            <v>8</v>
          </cell>
          <cell r="L25">
            <v>9</v>
          </cell>
          <cell r="M25">
            <v>10</v>
          </cell>
          <cell r="N25">
            <v>11</v>
          </cell>
          <cell r="O25">
            <v>12</v>
          </cell>
          <cell r="R25">
            <v>4</v>
          </cell>
          <cell r="S25">
            <v>5</v>
          </cell>
          <cell r="T25">
            <v>6</v>
          </cell>
          <cell r="U25">
            <v>7</v>
          </cell>
          <cell r="V25">
            <v>8</v>
          </cell>
          <cell r="W25">
            <v>9</v>
          </cell>
        </row>
        <row r="26">
          <cell r="B26">
            <v>10</v>
          </cell>
          <cell r="C26">
            <v>11</v>
          </cell>
          <cell r="D26">
            <v>12</v>
          </cell>
          <cell r="E26">
            <v>13</v>
          </cell>
          <cell r="F26">
            <v>14</v>
          </cell>
          <cell r="G26">
            <v>15</v>
          </cell>
          <cell r="J26">
            <v>14</v>
          </cell>
          <cell r="K26">
            <v>15</v>
          </cell>
          <cell r="L26">
            <v>16</v>
          </cell>
          <cell r="M26">
            <v>17</v>
          </cell>
          <cell r="N26">
            <v>18</v>
          </cell>
          <cell r="O26">
            <v>19</v>
          </cell>
          <cell r="R26">
            <v>11</v>
          </cell>
          <cell r="S26">
            <v>12</v>
          </cell>
          <cell r="T26">
            <v>13</v>
          </cell>
          <cell r="U26">
            <v>14</v>
          </cell>
          <cell r="V26">
            <v>15</v>
          </cell>
          <cell r="W26">
            <v>16</v>
          </cell>
        </row>
        <row r="27">
          <cell r="B27">
            <v>17</v>
          </cell>
          <cell r="C27">
            <v>18</v>
          </cell>
          <cell r="D27">
            <v>19</v>
          </cell>
          <cell r="E27">
            <v>20</v>
          </cell>
          <cell r="F27">
            <v>21</v>
          </cell>
          <cell r="G27">
            <v>22</v>
          </cell>
          <cell r="J27">
            <v>21</v>
          </cell>
          <cell r="K27">
            <v>22</v>
          </cell>
          <cell r="L27">
            <v>23</v>
          </cell>
          <cell r="M27">
            <v>24</v>
          </cell>
          <cell r="N27">
            <v>25</v>
          </cell>
          <cell r="O27">
            <v>26</v>
          </cell>
          <cell r="R27">
            <v>18</v>
          </cell>
          <cell r="S27">
            <v>19</v>
          </cell>
          <cell r="T27">
            <v>20</v>
          </cell>
          <cell r="U27">
            <v>21</v>
          </cell>
          <cell r="V27">
            <v>22</v>
          </cell>
          <cell r="W27">
            <v>23</v>
          </cell>
        </row>
        <row r="28">
          <cell r="B28">
            <v>24</v>
          </cell>
          <cell r="C28">
            <v>25</v>
          </cell>
          <cell r="D28">
            <v>26</v>
          </cell>
          <cell r="E28">
            <v>27</v>
          </cell>
          <cell r="F28">
            <v>28</v>
          </cell>
          <cell r="G28">
            <v>29</v>
          </cell>
          <cell r="J28">
            <v>28</v>
          </cell>
          <cell r="K28">
            <v>29</v>
          </cell>
          <cell r="L28">
            <v>30</v>
          </cell>
          <cell r="M28">
            <v>31</v>
          </cell>
          <cell r="N28">
            <v>0</v>
          </cell>
          <cell r="O28">
            <v>0</v>
          </cell>
          <cell r="R28">
            <v>25</v>
          </cell>
          <cell r="S28">
            <v>26</v>
          </cell>
          <cell r="T28">
            <v>27</v>
          </cell>
          <cell r="U28">
            <v>28</v>
          </cell>
          <cell r="V28">
            <v>29</v>
          </cell>
          <cell r="W28">
            <v>30</v>
          </cell>
        </row>
        <row r="29">
          <cell r="B29">
            <v>31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</row>
        <row r="32">
          <cell r="B32" t="str">
            <v>MON</v>
          </cell>
          <cell r="C32" t="str">
            <v>TUE</v>
          </cell>
          <cell r="D32" t="str">
            <v>WED</v>
          </cell>
          <cell r="E32" t="str">
            <v>THU</v>
          </cell>
          <cell r="F32" t="str">
            <v>FRI</v>
          </cell>
          <cell r="G32" t="str">
            <v>SAT</v>
          </cell>
          <cell r="J32" t="str">
            <v>MON</v>
          </cell>
          <cell r="K32" t="str">
            <v>TUE</v>
          </cell>
          <cell r="L32" t="str">
            <v>WED</v>
          </cell>
          <cell r="M32" t="str">
            <v>THU</v>
          </cell>
          <cell r="N32" t="str">
            <v>FRI</v>
          </cell>
          <cell r="O32" t="str">
            <v>SAT</v>
          </cell>
          <cell r="R32" t="str">
            <v>MON</v>
          </cell>
          <cell r="S32" t="str">
            <v>TUE</v>
          </cell>
          <cell r="T32" t="str">
            <v>WED</v>
          </cell>
          <cell r="U32" t="str">
            <v>THU</v>
          </cell>
          <cell r="V32" t="str">
            <v>FRI</v>
          </cell>
          <cell r="W32" t="str">
            <v>SAT</v>
          </cell>
        </row>
        <row r="33">
          <cell r="J33">
            <v>0</v>
          </cell>
          <cell r="K33">
            <v>0</v>
          </cell>
          <cell r="L33">
            <v>1</v>
          </cell>
          <cell r="M33">
            <v>2</v>
          </cell>
          <cell r="N33">
            <v>3</v>
          </cell>
          <cell r="O33">
            <v>4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1</v>
          </cell>
          <cell r="W33">
            <v>2</v>
          </cell>
        </row>
        <row r="34">
          <cell r="B34">
            <v>2</v>
          </cell>
          <cell r="C34">
            <v>3</v>
          </cell>
          <cell r="D34">
            <v>4</v>
          </cell>
          <cell r="E34">
            <v>5</v>
          </cell>
          <cell r="F34">
            <v>6</v>
          </cell>
          <cell r="G34">
            <v>7</v>
          </cell>
          <cell r="J34">
            <v>6</v>
          </cell>
          <cell r="K34">
            <v>7</v>
          </cell>
          <cell r="L34">
            <v>8</v>
          </cell>
          <cell r="M34">
            <v>9</v>
          </cell>
          <cell r="N34">
            <v>10</v>
          </cell>
          <cell r="O34">
            <v>11</v>
          </cell>
          <cell r="R34">
            <v>4</v>
          </cell>
          <cell r="S34">
            <v>5</v>
          </cell>
          <cell r="T34">
            <v>6</v>
          </cell>
          <cell r="U34">
            <v>7</v>
          </cell>
          <cell r="V34">
            <v>8</v>
          </cell>
          <cell r="W34">
            <v>9</v>
          </cell>
        </row>
        <row r="35">
          <cell r="B35">
            <v>9</v>
          </cell>
          <cell r="C35">
            <v>10</v>
          </cell>
          <cell r="D35">
            <v>11</v>
          </cell>
          <cell r="E35">
            <v>12</v>
          </cell>
          <cell r="F35">
            <v>13</v>
          </cell>
          <cell r="G35">
            <v>14</v>
          </cell>
          <cell r="J35">
            <v>13</v>
          </cell>
          <cell r="K35">
            <v>14</v>
          </cell>
          <cell r="L35">
            <v>15</v>
          </cell>
          <cell r="M35">
            <v>16</v>
          </cell>
          <cell r="N35">
            <v>17</v>
          </cell>
          <cell r="O35">
            <v>18</v>
          </cell>
          <cell r="R35">
            <v>11</v>
          </cell>
          <cell r="S35">
            <v>12</v>
          </cell>
          <cell r="T35">
            <v>13</v>
          </cell>
          <cell r="U35">
            <v>14</v>
          </cell>
          <cell r="V35">
            <v>15</v>
          </cell>
          <cell r="W35">
            <v>16</v>
          </cell>
        </row>
        <row r="36">
          <cell r="B36">
            <v>16</v>
          </cell>
          <cell r="C36">
            <v>17</v>
          </cell>
          <cell r="D36">
            <v>18</v>
          </cell>
          <cell r="E36">
            <v>19</v>
          </cell>
          <cell r="F36">
            <v>20</v>
          </cell>
          <cell r="G36">
            <v>21</v>
          </cell>
          <cell r="J36">
            <v>20</v>
          </cell>
          <cell r="K36">
            <v>21</v>
          </cell>
          <cell r="L36">
            <v>22</v>
          </cell>
          <cell r="M36">
            <v>23</v>
          </cell>
          <cell r="N36">
            <v>24</v>
          </cell>
          <cell r="O36">
            <v>25</v>
          </cell>
          <cell r="R36">
            <v>18</v>
          </cell>
          <cell r="S36">
            <v>19</v>
          </cell>
          <cell r="T36">
            <v>20</v>
          </cell>
          <cell r="U36">
            <v>21</v>
          </cell>
          <cell r="V36">
            <v>22</v>
          </cell>
          <cell r="W36">
            <v>23</v>
          </cell>
        </row>
        <row r="37">
          <cell r="B37">
            <v>23</v>
          </cell>
          <cell r="C37">
            <v>24</v>
          </cell>
          <cell r="D37">
            <v>25</v>
          </cell>
          <cell r="E37">
            <v>26</v>
          </cell>
          <cell r="F37">
            <v>27</v>
          </cell>
          <cell r="G37">
            <v>28</v>
          </cell>
          <cell r="J37">
            <v>27</v>
          </cell>
          <cell r="K37">
            <v>28</v>
          </cell>
          <cell r="L37">
            <v>29</v>
          </cell>
          <cell r="M37">
            <v>30</v>
          </cell>
          <cell r="N37">
            <v>0</v>
          </cell>
          <cell r="O37">
            <v>0</v>
          </cell>
          <cell r="R37">
            <v>25</v>
          </cell>
          <cell r="S37">
            <v>26</v>
          </cell>
          <cell r="T37">
            <v>27</v>
          </cell>
          <cell r="U37">
            <v>28</v>
          </cell>
          <cell r="V37">
            <v>29</v>
          </cell>
          <cell r="W37">
            <v>30</v>
          </cell>
        </row>
        <row r="38">
          <cell r="B38">
            <v>30</v>
          </cell>
          <cell r="C38">
            <v>31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S "/>
      <sheetName val="AJE"/>
      <sheetName val="RJE"/>
      <sheetName val="procedure"/>
    </sheetNames>
    <sheetDataSet>
      <sheetData sheetId="0"/>
      <sheetData sheetId="1">
        <row r="1">
          <cell r="B1" t="str">
            <v>LAUTAN HONGZE CHEMICAL INDUSTRY LTD</v>
          </cell>
        </row>
        <row r="2">
          <cell r="B2" t="str">
            <v>(Incorporated in the Republic of Singapore)</v>
          </cell>
        </row>
        <row r="4">
          <cell r="B4" t="str">
            <v>INCOME STATEMENT FOR THE FINANCIAL YEAR ENDED 31 DEC. 2007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  <cell r="M7" t="str">
            <v>audited</v>
          </cell>
        </row>
        <row r="8">
          <cell r="D8" t="str">
            <v>WP REF</v>
          </cell>
          <cell r="F8">
            <v>2007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>
            <v>2007</v>
          </cell>
          <cell r="M8">
            <v>2007</v>
          </cell>
        </row>
        <row r="9">
          <cell r="F9" t="str">
            <v>RMB</v>
          </cell>
          <cell r="G9" t="str">
            <v>RMB</v>
          </cell>
          <cell r="H9" t="str">
            <v>RMB</v>
          </cell>
          <cell r="I9" t="str">
            <v>RMB</v>
          </cell>
          <cell r="J9" t="str">
            <v>RMB</v>
          </cell>
          <cell r="K9" t="str">
            <v>RMB</v>
          </cell>
          <cell r="M9" t="str">
            <v>S$</v>
          </cell>
        </row>
        <row r="11">
          <cell r="A11">
            <v>10000</v>
          </cell>
          <cell r="B11" t="str">
            <v>Turnover</v>
          </cell>
          <cell r="F11">
            <v>346306923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346306923</v>
          </cell>
          <cell r="M11">
            <v>68703830</v>
          </cell>
        </row>
        <row r="13">
          <cell r="A13">
            <v>20000</v>
          </cell>
          <cell r="B13" t="str">
            <v>Cost of sales</v>
          </cell>
          <cell r="F13">
            <v>-245238971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-245238971</v>
          </cell>
          <cell r="M13">
            <v>-48652959</v>
          </cell>
        </row>
        <row r="15">
          <cell r="A15" t="str">
            <v>GP</v>
          </cell>
          <cell r="B15" t="str">
            <v>Gross profit</v>
          </cell>
          <cell r="F15">
            <v>101067952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101067952</v>
          </cell>
          <cell r="M15">
            <v>20050871</v>
          </cell>
        </row>
        <row r="17">
          <cell r="A17">
            <v>30000</v>
          </cell>
          <cell r="B17" t="str">
            <v>Other operating income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9">
          <cell r="A19">
            <v>40000</v>
          </cell>
          <cell r="B19" t="str">
            <v>Financial income</v>
          </cell>
          <cell r="F19">
            <v>632735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632735</v>
          </cell>
          <cell r="M19">
            <v>125528</v>
          </cell>
        </row>
        <row r="21">
          <cell r="A21">
            <v>50000</v>
          </cell>
          <cell r="B21" t="str">
            <v>Distribution costs</v>
          </cell>
          <cell r="F21">
            <v>-28977937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-28977937</v>
          </cell>
          <cell r="M21">
            <v>-5748933</v>
          </cell>
        </row>
        <row r="23">
          <cell r="A23">
            <v>60000</v>
          </cell>
          <cell r="B23" t="str">
            <v>Administrative expenses</v>
          </cell>
          <cell r="F23">
            <v>-8882234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-8882234</v>
          </cell>
          <cell r="M23">
            <v>-1762146</v>
          </cell>
        </row>
        <row r="25">
          <cell r="A25">
            <v>70000</v>
          </cell>
          <cell r="B25" t="str">
            <v>Other operating expenses</v>
          </cell>
          <cell r="F25">
            <v>-77777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-77777</v>
          </cell>
          <cell r="M25">
            <v>-15430</v>
          </cell>
        </row>
        <row r="27">
          <cell r="A27">
            <v>100000</v>
          </cell>
          <cell r="B27" t="str">
            <v>Share of profit of associates</v>
          </cell>
        </row>
        <row r="29">
          <cell r="A29">
            <v>80000</v>
          </cell>
          <cell r="B29" t="str">
            <v>Financial expenses</v>
          </cell>
          <cell r="F29">
            <v>-4552188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-4552188</v>
          </cell>
          <cell r="M29">
            <v>-903109</v>
          </cell>
        </row>
        <row r="31">
          <cell r="A31" t="str">
            <v>PBT</v>
          </cell>
          <cell r="B31" t="str">
            <v>(Loss)/Profit for the year before taxation</v>
          </cell>
          <cell r="F31">
            <v>59210551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59210551</v>
          </cell>
          <cell r="M31">
            <v>11746781</v>
          </cell>
        </row>
        <row r="33">
          <cell r="A33">
            <v>90000</v>
          </cell>
          <cell r="B33" t="str">
            <v>Taxation</v>
          </cell>
          <cell r="F33">
            <v>-8881583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-8881583</v>
          </cell>
          <cell r="M33">
            <v>-1762017</v>
          </cell>
        </row>
        <row r="35">
          <cell r="A35" t="str">
            <v>PAT</v>
          </cell>
          <cell r="B35" t="str">
            <v>(Loss)/Profit for the year after taxation</v>
          </cell>
          <cell r="F35">
            <v>50328968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50328968</v>
          </cell>
          <cell r="M35">
            <v>9984764</v>
          </cell>
        </row>
        <row r="36">
          <cell r="F36">
            <v>0</v>
          </cell>
          <cell r="G36" t="str">
            <v>total AJE in Dr</v>
          </cell>
          <cell r="H36" t="str">
            <v>total AJE in Cr</v>
          </cell>
          <cell r="I36" t="str">
            <v>total RJE in Dr</v>
          </cell>
          <cell r="J36" t="str">
            <v>total RJE in Cr</v>
          </cell>
          <cell r="K36">
            <v>0</v>
          </cell>
        </row>
        <row r="40">
          <cell r="B40" t="str">
            <v>Client : Lautan Hongze Chemical Industry Ltd</v>
          </cell>
        </row>
        <row r="41">
          <cell r="B41" t="str">
            <v>(Incorporated in the Republic of Singapore)</v>
          </cell>
        </row>
        <row r="43">
          <cell r="B43" t="str">
            <v>BALANCE SHEET AS AT 31 DEC. 2007</v>
          </cell>
        </row>
        <row r="44">
          <cell r="F44" t="str">
            <v>unaudited</v>
          </cell>
          <cell r="G44" t="str">
            <v>Audit Adjustment (AJE)</v>
          </cell>
          <cell r="I44" t="str">
            <v>Reclassification (RJE)</v>
          </cell>
          <cell r="K44" t="str">
            <v>audited</v>
          </cell>
          <cell r="M44" t="str">
            <v>audited</v>
          </cell>
        </row>
        <row r="45">
          <cell r="D45" t="str">
            <v>WP REF</v>
          </cell>
          <cell r="F45">
            <v>2007</v>
          </cell>
          <cell r="G45" t="str">
            <v>DR</v>
          </cell>
          <cell r="H45" t="str">
            <v>CR</v>
          </cell>
          <cell r="I45" t="str">
            <v>DR</v>
          </cell>
          <cell r="J45" t="str">
            <v>CR</v>
          </cell>
          <cell r="K45">
            <v>2007</v>
          </cell>
          <cell r="M45">
            <v>2007</v>
          </cell>
        </row>
        <row r="46">
          <cell r="F46" t="str">
            <v>RMB</v>
          </cell>
          <cell r="G46" t="str">
            <v>RMB</v>
          </cell>
          <cell r="H46" t="str">
            <v>RMB</v>
          </cell>
          <cell r="I46" t="str">
            <v>RMB</v>
          </cell>
          <cell r="J46" t="str">
            <v>RMB</v>
          </cell>
          <cell r="K46" t="str">
            <v>RMB</v>
          </cell>
          <cell r="M46" t="str">
            <v>S$</v>
          </cell>
        </row>
        <row r="47">
          <cell r="B47" t="str">
            <v>ASSETS</v>
          </cell>
        </row>
        <row r="48">
          <cell r="B48" t="str">
            <v>Non-current assets</v>
          </cell>
          <cell r="K48">
            <v>0</v>
          </cell>
        </row>
        <row r="49">
          <cell r="A49">
            <v>1000</v>
          </cell>
          <cell r="B49" t="str">
            <v xml:space="preserve">    Plant and equipment</v>
          </cell>
          <cell r="F49">
            <v>175524090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175524090</v>
          </cell>
          <cell r="M49">
            <v>34806427</v>
          </cell>
        </row>
        <row r="50">
          <cell r="A50">
            <v>1001</v>
          </cell>
          <cell r="B50" t="str">
            <v xml:space="preserve">    Intangible assets</v>
          </cell>
          <cell r="F50">
            <v>1359086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1359086</v>
          </cell>
          <cell r="M50">
            <v>269507</v>
          </cell>
        </row>
        <row r="51">
          <cell r="A51">
            <v>1002</v>
          </cell>
          <cell r="B51" t="str">
            <v xml:space="preserve">    Investment in subsidiaries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1003</v>
          </cell>
          <cell r="B52" t="str">
            <v xml:space="preserve">    Investment in associated companies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1004</v>
          </cell>
          <cell r="B53" t="str">
            <v xml:space="preserve">     Other assets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1005</v>
          </cell>
          <cell r="B54" t="str">
            <v xml:space="preserve">     Deferred Tax</v>
          </cell>
          <cell r="F54">
            <v>1498142</v>
          </cell>
          <cell r="K54">
            <v>1498142</v>
          </cell>
          <cell r="M54">
            <v>297082</v>
          </cell>
        </row>
        <row r="55">
          <cell r="B55" t="str">
            <v>Current assets</v>
          </cell>
          <cell r="F55">
            <v>178381318</v>
          </cell>
          <cell r="K55">
            <v>178381318</v>
          </cell>
        </row>
        <row r="56">
          <cell r="A56">
            <v>2000</v>
          </cell>
          <cell r="B56" t="str">
            <v xml:space="preserve">    Inventories</v>
          </cell>
          <cell r="F56">
            <v>12698004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12698004</v>
          </cell>
          <cell r="M56">
            <v>2518014</v>
          </cell>
        </row>
        <row r="57">
          <cell r="A57">
            <v>2101</v>
          </cell>
          <cell r="B57" t="str">
            <v xml:space="preserve">    Trade receivables &amp; other receivables</v>
          </cell>
          <cell r="F57">
            <v>69630379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69630379</v>
          </cell>
          <cell r="M57">
            <v>13807704</v>
          </cell>
        </row>
        <row r="58">
          <cell r="A58">
            <v>2102</v>
          </cell>
          <cell r="B58" t="str">
            <v xml:space="preserve">    Cash and cash equivalents</v>
          </cell>
          <cell r="F58">
            <v>12679336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12679336</v>
          </cell>
          <cell r="M58">
            <v>2514312</v>
          </cell>
        </row>
        <row r="59">
          <cell r="K59">
            <v>0</v>
          </cell>
        </row>
        <row r="60">
          <cell r="A60" t="str">
            <v>CA</v>
          </cell>
          <cell r="B60" t="str">
            <v>Total current assets</v>
          </cell>
          <cell r="F60">
            <v>95007719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95007719</v>
          </cell>
          <cell r="M60">
            <v>18840030</v>
          </cell>
        </row>
        <row r="61">
          <cell r="K61">
            <v>0</v>
          </cell>
        </row>
        <row r="62">
          <cell r="A62" t="str">
            <v>TA</v>
          </cell>
          <cell r="B62" t="str">
            <v>TOTAL ASSETS</v>
          </cell>
          <cell r="F62">
            <v>273389037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273389037</v>
          </cell>
          <cell r="M62">
            <v>54213046</v>
          </cell>
        </row>
        <row r="63">
          <cell r="K63">
            <v>0</v>
          </cell>
        </row>
        <row r="64">
          <cell r="B64" t="str">
            <v>EQUITY AND LIABILITIES</v>
          </cell>
          <cell r="K64">
            <v>0</v>
          </cell>
        </row>
        <row r="65">
          <cell r="B65" t="str">
            <v>Capital and reserves</v>
          </cell>
          <cell r="K65">
            <v>0</v>
          </cell>
        </row>
        <row r="66">
          <cell r="A66">
            <v>6000</v>
          </cell>
          <cell r="B66" t="str">
            <v xml:space="preserve">    Share capital</v>
          </cell>
          <cell r="F66">
            <v>60000000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60000000</v>
          </cell>
          <cell r="M66">
            <v>12771348</v>
          </cell>
        </row>
        <row r="67">
          <cell r="A67">
            <v>6300</v>
          </cell>
          <cell r="B67" t="str">
            <v xml:space="preserve">    Translation reserve</v>
          </cell>
          <cell r="G67">
            <v>0</v>
          </cell>
          <cell r="H67">
            <v>0</v>
          </cell>
          <cell r="M67">
            <v>-1075434</v>
          </cell>
        </row>
        <row r="68">
          <cell r="A68">
            <v>6100</v>
          </cell>
          <cell r="B68" t="str">
            <v xml:space="preserve">     Reserves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</row>
        <row r="69">
          <cell r="A69">
            <v>6101</v>
          </cell>
          <cell r="C69" t="str">
            <v>RETAINED EARNINGS</v>
          </cell>
          <cell r="F69">
            <v>45447271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45447271</v>
          </cell>
          <cell r="M69">
            <v>9163823</v>
          </cell>
        </row>
        <row r="70">
          <cell r="A70">
            <v>6103</v>
          </cell>
          <cell r="C70" t="str">
            <v>Dividend payable</v>
          </cell>
          <cell r="F70">
            <v>69952137</v>
          </cell>
          <cell r="G70">
            <v>0</v>
          </cell>
          <cell r="H70">
            <v>0</v>
          </cell>
          <cell r="K70">
            <v>69952137</v>
          </cell>
          <cell r="M70">
            <v>13871509</v>
          </cell>
        </row>
        <row r="71">
          <cell r="A71">
            <v>6104</v>
          </cell>
          <cell r="C71" t="str">
            <v>Other reserve</v>
          </cell>
          <cell r="F71">
            <v>18376610</v>
          </cell>
          <cell r="G71">
            <v>0</v>
          </cell>
          <cell r="H71">
            <v>0</v>
          </cell>
          <cell r="K71">
            <v>18376610</v>
          </cell>
          <cell r="M71">
            <v>3690010</v>
          </cell>
        </row>
        <row r="72">
          <cell r="A72">
            <v>6105</v>
          </cell>
          <cell r="C72" t="str">
            <v>Welfare payable</v>
          </cell>
          <cell r="F72">
            <v>2516448</v>
          </cell>
          <cell r="G72">
            <v>0</v>
          </cell>
          <cell r="H72">
            <v>0</v>
          </cell>
          <cell r="K72">
            <v>2516448</v>
          </cell>
          <cell r="M72">
            <v>499012</v>
          </cell>
        </row>
        <row r="73">
          <cell r="A73">
            <v>6102</v>
          </cell>
          <cell r="C73" t="str">
            <v>PROFIT (LOSS) FOR THE PERIOD</v>
          </cell>
          <cell r="F73">
            <v>-27172514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-27172514</v>
          </cell>
          <cell r="M73">
            <v>-5383780</v>
          </cell>
          <cell r="O73">
            <v>3089683.5068399999</v>
          </cell>
        </row>
        <row r="74">
          <cell r="A74">
            <v>6200</v>
          </cell>
          <cell r="B74" t="str">
            <v xml:space="preserve">    Accumulated Profit / loss</v>
          </cell>
          <cell r="F74">
            <v>18274757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18274757</v>
          </cell>
          <cell r="M74">
            <v>3780043</v>
          </cell>
        </row>
        <row r="75">
          <cell r="A75" t="str">
            <v>TEQ</v>
          </cell>
          <cell r="B75" t="str">
            <v>TOTAL EQUITY</v>
          </cell>
          <cell r="F75">
            <v>96651367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96651367</v>
          </cell>
          <cell r="M75">
            <v>19165967</v>
          </cell>
        </row>
        <row r="76">
          <cell r="B76" t="str">
            <v>Non-current liabilities</v>
          </cell>
          <cell r="K76">
            <v>0</v>
          </cell>
        </row>
        <row r="77">
          <cell r="A77">
            <v>4000</v>
          </cell>
          <cell r="B77" t="str">
            <v xml:space="preserve">    Deferred tax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4101</v>
          </cell>
          <cell r="B78" t="str">
            <v xml:space="preserve">    Hire Purchase creditors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4103</v>
          </cell>
          <cell r="C79" t="str">
            <v>Accounts Payable</v>
          </cell>
          <cell r="F79">
            <v>9585810</v>
          </cell>
          <cell r="K79">
            <v>9585810</v>
          </cell>
          <cell r="M79">
            <v>1900866</v>
          </cell>
        </row>
        <row r="80">
          <cell r="A80" t="str">
            <v>LTL</v>
          </cell>
          <cell r="F80">
            <v>9585810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9585810</v>
          </cell>
          <cell r="M80">
            <v>1900866</v>
          </cell>
        </row>
        <row r="81">
          <cell r="B81" t="str">
            <v>Current liabilities</v>
          </cell>
        </row>
        <row r="82">
          <cell r="A82">
            <v>3000</v>
          </cell>
          <cell r="B82" t="str">
            <v xml:space="preserve">    Trade and other payables</v>
          </cell>
          <cell r="F82">
            <v>110360503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110360503</v>
          </cell>
          <cell r="M82">
            <v>21884487</v>
          </cell>
        </row>
        <row r="83">
          <cell r="A83">
            <v>4102</v>
          </cell>
          <cell r="B83" t="str">
            <v xml:space="preserve">    Short term loans</v>
          </cell>
          <cell r="F83">
            <v>51500000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51500000</v>
          </cell>
          <cell r="M83">
            <v>10212450</v>
          </cell>
        </row>
        <row r="84">
          <cell r="A84">
            <v>3101</v>
          </cell>
          <cell r="B84" t="str">
            <v xml:space="preserve">     Provision for taxation</v>
          </cell>
          <cell r="F84">
            <v>5291357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5291357</v>
          </cell>
          <cell r="M84">
            <v>1049276</v>
          </cell>
        </row>
        <row r="85">
          <cell r="K85">
            <v>0</v>
          </cell>
        </row>
        <row r="86">
          <cell r="A86" t="str">
            <v>CL</v>
          </cell>
          <cell r="B86" t="str">
            <v>Total Current liabilities</v>
          </cell>
          <cell r="F86">
            <v>167151860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167151860</v>
          </cell>
          <cell r="M86">
            <v>33146213</v>
          </cell>
        </row>
        <row r="87"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A88" t="str">
            <v>MI</v>
          </cell>
          <cell r="B88" t="str">
            <v>Minority interests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90">
          <cell r="B90" t="str">
            <v>TOTAL EQUITY AND LIABILITIES</v>
          </cell>
          <cell r="F90">
            <v>273389037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273389037</v>
          </cell>
          <cell r="M90">
            <v>54213046</v>
          </cell>
        </row>
        <row r="91">
          <cell r="C91" t="str">
            <v>Test check</v>
          </cell>
          <cell r="F91">
            <v>0</v>
          </cell>
          <cell r="J91">
            <v>0</v>
          </cell>
          <cell r="K91">
            <v>0</v>
          </cell>
          <cell r="M91">
            <v>0</v>
          </cell>
        </row>
        <row r="92">
          <cell r="K92">
            <v>0</v>
          </cell>
        </row>
        <row r="93">
          <cell r="C93" t="str">
            <v>Client: Lautan Hongze Chemical Industry Ltd</v>
          </cell>
        </row>
        <row r="94">
          <cell r="C94" t="str">
            <v>(Incorporated in the Republic of Singapore)</v>
          </cell>
          <cell r="K94">
            <v>0</v>
          </cell>
        </row>
        <row r="95">
          <cell r="K95">
            <v>0</v>
          </cell>
        </row>
        <row r="96">
          <cell r="C96" t="str">
            <v>DETAILED TRADING, PROFIT &amp; LOSS ACCOUNT FOR THE FINANCIAL YEAR ENDED 31 DEC. 2007</v>
          </cell>
          <cell r="K96">
            <v>0</v>
          </cell>
        </row>
        <row r="97">
          <cell r="K97">
            <v>0</v>
          </cell>
        </row>
        <row r="99">
          <cell r="F99" t="str">
            <v>unaudited</v>
          </cell>
          <cell r="G99" t="str">
            <v>Audit Adjustment (AJE)</v>
          </cell>
          <cell r="I99" t="str">
            <v>Reclassification (RJE)</v>
          </cell>
          <cell r="K99" t="str">
            <v>audited</v>
          </cell>
          <cell r="M99" t="str">
            <v>audited</v>
          </cell>
        </row>
        <row r="100">
          <cell r="D100" t="str">
            <v>WP REF</v>
          </cell>
          <cell r="F100">
            <v>2007</v>
          </cell>
          <cell r="G100" t="str">
            <v>DR</v>
          </cell>
          <cell r="H100" t="str">
            <v>CR</v>
          </cell>
          <cell r="I100" t="str">
            <v>DR</v>
          </cell>
          <cell r="J100" t="str">
            <v>CR</v>
          </cell>
          <cell r="K100">
            <v>2007</v>
          </cell>
          <cell r="M100">
            <v>2006</v>
          </cell>
        </row>
        <row r="101">
          <cell r="F101" t="str">
            <v>RMB</v>
          </cell>
          <cell r="G101" t="str">
            <v>RMB</v>
          </cell>
          <cell r="H101" t="str">
            <v>RMB</v>
          </cell>
          <cell r="I101" t="str">
            <v>RMB</v>
          </cell>
          <cell r="J101" t="str">
            <v>RMB</v>
          </cell>
          <cell r="K101" t="str">
            <v>RMB</v>
          </cell>
          <cell r="M101" t="str">
            <v>S$</v>
          </cell>
        </row>
        <row r="102">
          <cell r="A102">
            <v>10000</v>
          </cell>
          <cell r="B102" t="str">
            <v>SALES</v>
          </cell>
          <cell r="F102">
            <v>346306923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346306923</v>
          </cell>
        </row>
        <row r="103"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B104" t="str">
            <v>Less Cost of sales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A105">
            <v>21000</v>
          </cell>
          <cell r="B105" t="str">
            <v>Opening stocks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22000</v>
          </cell>
          <cell r="B106" t="str">
            <v>Purchases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23000</v>
          </cell>
          <cell r="B107" t="str">
            <v>Closing stocks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24000</v>
          </cell>
          <cell r="B108" t="str">
            <v>Freight and handling charges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A109">
            <v>25000</v>
          </cell>
          <cell r="B109" t="str">
            <v>Marine Insurance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A110">
            <v>20000</v>
          </cell>
          <cell r="F110">
            <v>245238971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245238971</v>
          </cell>
        </row>
        <row r="111">
          <cell r="B111" t="str">
            <v>GROSS PROFIT</v>
          </cell>
          <cell r="F111">
            <v>101067952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101067952</v>
          </cell>
        </row>
        <row r="112">
          <cell r="B112" t="str">
            <v>OTHER OPERATING INCOME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30001</v>
          </cell>
          <cell r="B113" t="str">
            <v xml:space="preserve">    Other income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30002</v>
          </cell>
          <cell r="B114" t="str">
            <v xml:space="preserve">    Exchange gain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30003</v>
          </cell>
          <cell r="B115" t="str">
            <v xml:space="preserve">    Commission income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30000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G117">
            <v>0</v>
          </cell>
          <cell r="H117">
            <v>0</v>
          </cell>
          <cell r="I117">
            <v>0</v>
          </cell>
          <cell r="J117">
            <v>0</v>
          </cell>
        </row>
        <row r="118">
          <cell r="B118" t="str">
            <v>FINANCIAL INCOME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A119">
            <v>40001</v>
          </cell>
          <cell r="B119" t="str">
            <v xml:space="preserve">     Interest income</v>
          </cell>
          <cell r="F119">
            <v>632735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632735</v>
          </cell>
        </row>
        <row r="120">
          <cell r="A120">
            <v>40002</v>
          </cell>
          <cell r="B120" t="str">
            <v xml:space="preserve">    Dividend income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A121">
            <v>40000</v>
          </cell>
          <cell r="F121">
            <v>632735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632735</v>
          </cell>
        </row>
        <row r="122"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B123" t="str">
            <v>DISTRIBUTION COSTS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A124">
            <v>50001</v>
          </cell>
          <cell r="B124" t="str">
            <v xml:space="preserve">    Advertisement 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50002</v>
          </cell>
          <cell r="B125" t="str">
            <v xml:space="preserve">    Commission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A126">
            <v>50003</v>
          </cell>
          <cell r="B126" t="str">
            <v xml:space="preserve">    Entertainment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A127">
            <v>50004</v>
          </cell>
          <cell r="B127" t="str">
            <v xml:space="preserve">    Storage charges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A128">
            <v>50005</v>
          </cell>
          <cell r="B128" t="str">
            <v xml:space="preserve">    Transport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A129">
            <v>50006</v>
          </cell>
          <cell r="B129" t="str">
            <v xml:space="preserve">    Travelling expenses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50000</v>
          </cell>
          <cell r="F130">
            <v>28977937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28977937</v>
          </cell>
        </row>
        <row r="131"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B133" t="str">
            <v>ADMINISTRATIVE EXPENSES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A134">
            <v>60001</v>
          </cell>
          <cell r="B134" t="str">
            <v xml:space="preserve">    Accountancy fee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A135">
            <v>60002</v>
          </cell>
          <cell r="B135" t="str">
            <v xml:space="preserve">    Auditors’ remuneration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A136">
            <v>60003</v>
          </cell>
          <cell r="B136" t="str">
            <v xml:space="preserve">    Bank charges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A137">
            <v>60004</v>
          </cell>
          <cell r="B137" t="str">
            <v xml:space="preserve">    Depreciation 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A138">
            <v>60005</v>
          </cell>
          <cell r="B138" t="str">
            <v xml:space="preserve">    Director’s remuneration 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A139">
            <v>60006</v>
          </cell>
          <cell r="B139" t="str">
            <v xml:space="preserve">    Director’s CPF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60007</v>
          </cell>
          <cell r="B140" t="str">
            <v xml:space="preserve">    Donation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A141">
            <v>60008</v>
          </cell>
          <cell r="B141" t="str">
            <v xml:space="preserve">    Entertainment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A142">
            <v>60009</v>
          </cell>
          <cell r="B142" t="str">
            <v xml:space="preserve">    General expenses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A143">
            <v>60010</v>
          </cell>
          <cell r="B143" t="str">
            <v xml:space="preserve">    Insurance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60011</v>
          </cell>
          <cell r="B144" t="str">
            <v xml:space="preserve">    Internet expenses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A145">
            <v>60012</v>
          </cell>
          <cell r="B145" t="str">
            <v xml:space="preserve">    Medical expenses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A146">
            <v>60013</v>
          </cell>
          <cell r="B146" t="str">
            <v xml:space="preserve">    Office rental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A147">
            <v>60014</v>
          </cell>
          <cell r="B147" t="str">
            <v xml:space="preserve">    Postage and courier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A148">
            <v>60015</v>
          </cell>
          <cell r="B148" t="str">
            <v xml:space="preserve">    Printing and stationery 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A149">
            <v>60016</v>
          </cell>
          <cell r="B149" t="str">
            <v xml:space="preserve">    Professional fees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A150">
            <v>60017</v>
          </cell>
          <cell r="B150" t="str">
            <v xml:space="preserve">    Repair and maintenance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A151">
            <v>60018</v>
          </cell>
          <cell r="B151" t="str">
            <v xml:space="preserve">    Refreshments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A152">
            <v>60019</v>
          </cell>
          <cell r="B152" t="str">
            <v xml:space="preserve">    Secretarial fees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A153">
            <v>60020</v>
          </cell>
          <cell r="B153" t="str">
            <v xml:space="preserve">    Staff salaries and bonus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A154">
            <v>60021</v>
          </cell>
          <cell r="B154" t="str">
            <v xml:space="preserve">    Staff CPF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A155">
            <v>60022</v>
          </cell>
          <cell r="B155" t="str">
            <v xml:space="preserve">    Staff benefit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A156">
            <v>60023</v>
          </cell>
          <cell r="B156" t="str">
            <v xml:space="preserve">    Staff incentives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A157">
            <v>60024</v>
          </cell>
          <cell r="B157" t="str">
            <v xml:space="preserve">    Telephone and telex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A158">
            <v>60025</v>
          </cell>
          <cell r="B158" t="str">
            <v xml:space="preserve">    Transport expenses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A159">
            <v>60026</v>
          </cell>
          <cell r="B159" t="str">
            <v xml:space="preserve">    Travelling expenses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A160">
            <v>60027</v>
          </cell>
          <cell r="B160" t="str">
            <v xml:space="preserve">    Upkeep of office equipment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A161">
            <v>60028</v>
          </cell>
          <cell r="B161" t="str">
            <v xml:space="preserve">    Upkeep of office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A162">
            <v>60029</v>
          </cell>
          <cell r="B162" t="str">
            <v xml:space="preserve">    Water and electricity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A167">
            <v>60000</v>
          </cell>
          <cell r="F167">
            <v>8882234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8882234</v>
          </cell>
        </row>
        <row r="168">
          <cell r="B168" t="str">
            <v>OTHER OPERATING EXPENSES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A169">
            <v>70001</v>
          </cell>
          <cell r="B169" t="str">
            <v xml:space="preserve">    Provision for doubtful debts written off/(back) - trade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A170">
            <v>70002</v>
          </cell>
          <cell r="B170" t="str">
            <v xml:space="preserve">    Provision for obsolete stocks</v>
          </cell>
          <cell r="C170" t="str">
            <v>Penalty</v>
          </cell>
          <cell r="F170">
            <v>77777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77777</v>
          </cell>
        </row>
        <row r="171">
          <cell r="A171">
            <v>70003</v>
          </cell>
          <cell r="B171" t="str">
            <v xml:space="preserve">    Capital expenses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A172">
            <v>70004</v>
          </cell>
          <cell r="B172" t="str">
            <v xml:space="preserve">    Fixed assets written off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A173">
            <v>70005</v>
          </cell>
          <cell r="B173" t="str">
            <v xml:space="preserve">    Stock written off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A174">
            <v>70000</v>
          </cell>
          <cell r="F174">
            <v>77777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77777</v>
          </cell>
        </row>
        <row r="175">
          <cell r="B175" t="str">
            <v>FINANCE EXPENSES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A176">
            <v>80001</v>
          </cell>
          <cell r="B176" t="str">
            <v xml:space="preserve">     Interest expenses</v>
          </cell>
          <cell r="F176">
            <v>3775888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3775888</v>
          </cell>
        </row>
        <row r="177">
          <cell r="A177">
            <v>80002</v>
          </cell>
          <cell r="B177" t="str">
            <v xml:space="preserve">     Exchange difference</v>
          </cell>
          <cell r="F177">
            <v>776300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776300</v>
          </cell>
        </row>
        <row r="178">
          <cell r="A178">
            <v>80000</v>
          </cell>
          <cell r="F178">
            <v>4552188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4552188</v>
          </cell>
        </row>
        <row r="179">
          <cell r="B179" t="str">
            <v>(LOSS)/ PROFIT for the year before taxation</v>
          </cell>
          <cell r="F179">
            <v>59210551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59210551</v>
          </cell>
        </row>
        <row r="180">
          <cell r="A180">
            <v>90001</v>
          </cell>
          <cell r="B180" t="str">
            <v xml:space="preserve">   Taxation- current year</v>
          </cell>
          <cell r="F180">
            <v>8881583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8881583</v>
          </cell>
        </row>
        <row r="181">
          <cell r="A181">
            <v>90002</v>
          </cell>
          <cell r="B181" t="str">
            <v xml:space="preserve">   Taxation-over/under PY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A182">
            <v>90003</v>
          </cell>
          <cell r="B182" t="str">
            <v xml:space="preserve">   Taxation-Def tax transfer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A183">
            <v>90000</v>
          </cell>
          <cell r="B183" t="str">
            <v>Taxation</v>
          </cell>
          <cell r="F183">
            <v>8881583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8881583</v>
          </cell>
        </row>
        <row r="184">
          <cell r="B184" t="str">
            <v>PROFIT for the year after taxation</v>
          </cell>
          <cell r="F184">
            <v>50328968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50328968</v>
          </cell>
        </row>
      </sheetData>
      <sheetData sheetId="2"/>
      <sheetData sheetId="3"/>
      <sheetData sheetId="4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"/>
      <sheetName val="SIK-duit"/>
      <sheetName val="Data"/>
      <sheetName val="SPT"/>
      <sheetName val="KPKom"/>
      <sheetName val="SPPP"/>
      <sheetName val="Berkas"/>
      <sheetName val="BCD"/>
      <sheetName val="Rasio"/>
      <sheetName val="APro"/>
      <sheetName val="DbKtr"/>
      <sheetName val="DbTF"/>
      <sheetName val="DbPem"/>
      <sheetName val="Tarif"/>
      <sheetName val="DK"/>
      <sheetName val="LPIS"/>
      <sheetName val="SIKLAMA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"/>
      <sheetName val="DATA WP"/>
      <sheetName val="Pos Koreksi"/>
      <sheetName val="B.1"/>
      <sheetName val="Trial Ledger"/>
      <sheetName val="B.1.1"/>
      <sheetName val="B.1.1.1"/>
      <sheetName val="B.2"/>
      <sheetName val="B.2.1"/>
      <sheetName val="B.3"/>
      <sheetName val="B.3.1"/>
      <sheetName val="B.4"/>
      <sheetName val="E.5"/>
      <sheetName val="Penyusutan"/>
      <sheetName val="Sheet1"/>
      <sheetName val="Rincian Penyusutan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Work"/>
      <sheetName val="CF"/>
    </sheetNames>
    <sheetDataSet>
      <sheetData sheetId="0">
        <row r="2">
          <cell r="D2">
            <v>16575326850</v>
          </cell>
        </row>
        <row r="7">
          <cell r="D7">
            <v>3752421762</v>
          </cell>
        </row>
      </sheetData>
      <sheetData sheetId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g T-BrkDwn"/>
      <sheetName val="Assy (Ckrg)"/>
      <sheetName val="Data"/>
      <sheetName val="Processed"/>
      <sheetName val="Processed2"/>
      <sheetName val="Asumsi"/>
      <sheetName val="Matriks KM"/>
      <sheetName val="Map"/>
      <sheetName val="Actual Map"/>
      <sheetName val="Cap.Charge"/>
      <sheetName val="Bank"/>
      <sheetName val="Cost"/>
      <sheetName val="Beli"/>
      <sheetName val="Sheet2"/>
      <sheetName val="Sum"/>
      <sheetName val="2% NPLI"/>
      <sheetName val="Tit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io"/>
      <sheetName val="PVT OA"/>
      <sheetName val="oa"/>
      <sheetName val="Sheet2"/>
      <sheetName val="Vehicle Desember"/>
      <sheetName val="Sheet6"/>
    </sheetNames>
    <sheetDataSet>
      <sheetData sheetId="0">
        <row r="6">
          <cell r="A6" t="str">
            <v>VO2711AM</v>
          </cell>
          <cell r="B6" t="str">
            <v>B 1059 PRE</v>
          </cell>
          <cell r="C6">
            <v>14847818</v>
          </cell>
          <cell r="D6">
            <v>-3365506</v>
          </cell>
          <cell r="E6">
            <v>11482312</v>
          </cell>
        </row>
        <row r="7">
          <cell r="A7" t="str">
            <v>VO2711DM</v>
          </cell>
          <cell r="B7" t="str">
            <v>B 1549 UFW</v>
          </cell>
          <cell r="C7">
            <v>238799227</v>
          </cell>
          <cell r="D7">
            <v>-125921736</v>
          </cell>
          <cell r="E7">
            <v>112877491</v>
          </cell>
        </row>
        <row r="8">
          <cell r="A8" t="str">
            <v>VO2711FIN</v>
          </cell>
          <cell r="B8" t="str">
            <v>B 1872 UFU</v>
          </cell>
          <cell r="C8">
            <v>393614672</v>
          </cell>
          <cell r="D8">
            <v>-220875164</v>
          </cell>
          <cell r="E8">
            <v>172739508</v>
          </cell>
        </row>
        <row r="9">
          <cell r="A9" t="str">
            <v>VO2711GA</v>
          </cell>
          <cell r="B9" t="str">
            <v>B 1082 UFJ</v>
          </cell>
          <cell r="C9">
            <v>794991401</v>
          </cell>
          <cell r="D9">
            <v>-376443071</v>
          </cell>
          <cell r="E9">
            <v>418548330</v>
          </cell>
        </row>
        <row r="10">
          <cell r="A10" t="str">
            <v>VO2711INVADM</v>
          </cell>
          <cell r="B10" t="str">
            <v>B 9744 OU</v>
          </cell>
          <cell r="C10">
            <v>321731819</v>
          </cell>
          <cell r="D10">
            <v>-193139167</v>
          </cell>
          <cell r="E10">
            <v>128592652</v>
          </cell>
        </row>
        <row r="11">
          <cell r="A11" t="str">
            <v>VO2711MAINT</v>
          </cell>
          <cell r="B11" t="str">
            <v>B 8830 RJ</v>
          </cell>
          <cell r="C11">
            <v>364608295</v>
          </cell>
          <cell r="D11">
            <v>-215356706</v>
          </cell>
          <cell r="E11">
            <v>149251589</v>
          </cell>
        </row>
        <row r="12">
          <cell r="A12" t="str">
            <v>VO2711MAINTH</v>
          </cell>
          <cell r="B12" t="str">
            <v>B 9151 PJ</v>
          </cell>
          <cell r="C12">
            <v>106200000</v>
          </cell>
          <cell r="D12">
            <v>-83190000</v>
          </cell>
          <cell r="E12">
            <v>23010000</v>
          </cell>
        </row>
        <row r="13">
          <cell r="A13" t="str">
            <v>VO2711MGT</v>
          </cell>
          <cell r="B13" t="str">
            <v>B 816 JON</v>
          </cell>
          <cell r="C13">
            <v>713281818</v>
          </cell>
          <cell r="D13">
            <v>-289012272</v>
          </cell>
          <cell r="E13">
            <v>424269546</v>
          </cell>
        </row>
        <row r="14">
          <cell r="A14" t="str">
            <v>VO2711OPADMS</v>
          </cell>
          <cell r="B14" t="str">
            <v>B 9901 ZJ</v>
          </cell>
          <cell r="C14">
            <v>104954545</v>
          </cell>
          <cell r="D14">
            <v>-80190153</v>
          </cell>
          <cell r="E14">
            <v>24764392</v>
          </cell>
        </row>
        <row r="15">
          <cell r="A15" t="str">
            <v>VO2711OPRCBT</v>
          </cell>
          <cell r="B15" t="str">
            <v>B 1738 UFX</v>
          </cell>
          <cell r="C15">
            <v>97831818</v>
          </cell>
          <cell r="D15">
            <v>-54622766</v>
          </cell>
          <cell r="E15">
            <v>43209052</v>
          </cell>
        </row>
        <row r="16">
          <cell r="A16" t="str">
            <v>VO2711OPRHOL</v>
          </cell>
          <cell r="B16" t="str">
            <v>B 1963 UFI</v>
          </cell>
          <cell r="C16">
            <v>387763260</v>
          </cell>
          <cell r="D16">
            <v>-187382328</v>
          </cell>
          <cell r="E16">
            <v>200380932</v>
          </cell>
        </row>
        <row r="17">
          <cell r="A17" t="str">
            <v>VO2711PROC</v>
          </cell>
          <cell r="B17" t="str">
            <v>#N/A</v>
          </cell>
          <cell r="C17">
            <v>14482909</v>
          </cell>
          <cell r="D17">
            <v>-4634530</v>
          </cell>
          <cell r="E17">
            <v>9848379</v>
          </cell>
        </row>
        <row r="18">
          <cell r="A18" t="str">
            <v>VO2711TAIL</v>
          </cell>
          <cell r="B18" t="str">
            <v>#N/A</v>
          </cell>
          <cell r="C18">
            <v>1016000000</v>
          </cell>
          <cell r="D18">
            <v>-791200000</v>
          </cell>
          <cell r="E18">
            <v>224800000</v>
          </cell>
        </row>
        <row r="19">
          <cell r="A19" t="str">
            <v>VO2711TRCLGS</v>
          </cell>
          <cell r="B19" t="str">
            <v>#N/A</v>
          </cell>
          <cell r="C19">
            <v>280000000</v>
          </cell>
          <cell r="D19">
            <v>-224000000</v>
          </cell>
          <cell r="E19">
            <v>56000000</v>
          </cell>
        </row>
        <row r="20">
          <cell r="A20" t="str">
            <v>VO2711TRESSR</v>
          </cell>
          <cell r="B20" t="str">
            <v>#N/A</v>
          </cell>
          <cell r="C20">
            <v>130000000</v>
          </cell>
          <cell r="D20">
            <v>-94520834</v>
          </cell>
          <cell r="E20">
            <v>35479166</v>
          </cell>
        </row>
        <row r="21">
          <cell r="A21" t="str">
            <v>VO2711UCI01</v>
          </cell>
          <cell r="B21" t="str">
            <v>TCNU9127408</v>
          </cell>
          <cell r="C21">
            <v>41000000</v>
          </cell>
          <cell r="D21">
            <v>-3050833</v>
          </cell>
          <cell r="E21">
            <v>37949167</v>
          </cell>
        </row>
        <row r="22">
          <cell r="A22" t="str">
            <v>VO2711UCI02</v>
          </cell>
          <cell r="B22" t="str">
            <v>#N/A</v>
          </cell>
          <cell r="C22">
            <v>64700000</v>
          </cell>
          <cell r="D22">
            <v>-4313333</v>
          </cell>
          <cell r="E22">
            <v>60386667</v>
          </cell>
        </row>
        <row r="23">
          <cell r="A23" t="str">
            <v>VO2711UCI03</v>
          </cell>
          <cell r="B23" t="str">
            <v>#N/A</v>
          </cell>
          <cell r="C23">
            <v>51700000</v>
          </cell>
          <cell r="D23">
            <v>-3446667</v>
          </cell>
          <cell r="E23">
            <v>48253333</v>
          </cell>
        </row>
        <row r="24">
          <cell r="A24" t="str">
            <v>VO2711UCI04</v>
          </cell>
          <cell r="B24" t="str">
            <v>#N/A</v>
          </cell>
          <cell r="C24">
            <v>37000000</v>
          </cell>
          <cell r="D24">
            <v>-2158333</v>
          </cell>
          <cell r="E24">
            <v>34841667</v>
          </cell>
        </row>
        <row r="25">
          <cell r="A25" t="str">
            <v>VO2712MAINT</v>
          </cell>
          <cell r="B25" t="str">
            <v>B 9177 JE</v>
          </cell>
          <cell r="C25">
            <v>139190909</v>
          </cell>
          <cell r="D25">
            <v>-111352727</v>
          </cell>
          <cell r="E25">
            <v>27838182</v>
          </cell>
        </row>
        <row r="26">
          <cell r="A26" t="str">
            <v>VO2716OPR</v>
          </cell>
          <cell r="B26" t="str">
            <v>B 1027 UFL</v>
          </cell>
          <cell r="C26">
            <v>189250000</v>
          </cell>
          <cell r="D26">
            <v>-121435417</v>
          </cell>
          <cell r="E26">
            <v>67814583</v>
          </cell>
        </row>
        <row r="27">
          <cell r="A27" t="str">
            <v>VO2717MAINT</v>
          </cell>
          <cell r="B27" t="str">
            <v>B 9939 BJ</v>
          </cell>
          <cell r="C27">
            <v>297984305</v>
          </cell>
          <cell r="D27">
            <v>-152725198</v>
          </cell>
          <cell r="E27">
            <v>145259107</v>
          </cell>
        </row>
        <row r="28">
          <cell r="A28" t="str">
            <v>VO2717TAIL</v>
          </cell>
          <cell r="B28" t="str">
            <v>NO NOPOL</v>
          </cell>
          <cell r="C28">
            <v>1806727272</v>
          </cell>
          <cell r="D28">
            <v>-808171211</v>
          </cell>
          <cell r="E28">
            <v>998556061</v>
          </cell>
        </row>
        <row r="29">
          <cell r="A29" t="str">
            <v>VOB1083UFJ</v>
          </cell>
          <cell r="B29" t="str">
            <v>B 1083 UFJ</v>
          </cell>
          <cell r="C29">
            <v>131494818</v>
          </cell>
          <cell r="D29">
            <v>-86567422</v>
          </cell>
          <cell r="E29">
            <v>44927396</v>
          </cell>
        </row>
        <row r="30">
          <cell r="A30" t="str">
            <v>VOB1316UKL</v>
          </cell>
          <cell r="B30" t="str">
            <v>B 1316 UKL</v>
          </cell>
          <cell r="C30">
            <v>182153636</v>
          </cell>
          <cell r="D30">
            <v>-91076819</v>
          </cell>
          <cell r="E30">
            <v>91076817</v>
          </cell>
        </row>
        <row r="31">
          <cell r="A31" t="str">
            <v>VOB1471UJC</v>
          </cell>
          <cell r="B31" t="str">
            <v>B 1471 UJC</v>
          </cell>
          <cell r="C31">
            <v>356373963</v>
          </cell>
          <cell r="D31">
            <v>-187096330</v>
          </cell>
          <cell r="E31">
            <v>169277633</v>
          </cell>
        </row>
        <row r="32">
          <cell r="A32" t="str">
            <v>VOB1517UKN1</v>
          </cell>
          <cell r="B32" t="str">
            <v>B 1517 UKN</v>
          </cell>
          <cell r="C32">
            <v>260909091</v>
          </cell>
          <cell r="D32">
            <v>-163446312</v>
          </cell>
          <cell r="E32">
            <v>97462779</v>
          </cell>
        </row>
        <row r="33">
          <cell r="A33" t="str">
            <v>VOB1538UFT</v>
          </cell>
          <cell r="B33" t="str">
            <v>B 1538 UFT</v>
          </cell>
          <cell r="C33">
            <v>274100000</v>
          </cell>
          <cell r="D33">
            <v>-206205116</v>
          </cell>
          <cell r="E33">
            <v>67894884</v>
          </cell>
        </row>
        <row r="34">
          <cell r="A34" t="str">
            <v>VOB1565UAD</v>
          </cell>
          <cell r="B34" t="str">
            <v>B 1565 UAD</v>
          </cell>
          <cell r="C34">
            <v>213451008</v>
          </cell>
          <cell r="D34">
            <v>-64035303</v>
          </cell>
          <cell r="E34">
            <v>149415705</v>
          </cell>
        </row>
        <row r="35">
          <cell r="A35" t="str">
            <v>VOB1615UZY</v>
          </cell>
          <cell r="B35" t="str">
            <v>B 1615 UZY</v>
          </cell>
          <cell r="C35">
            <v>159282618</v>
          </cell>
          <cell r="D35">
            <v>-35838589</v>
          </cell>
          <cell r="E35">
            <v>123444029</v>
          </cell>
        </row>
        <row r="36">
          <cell r="A36" t="str">
            <v>VOB1726UFM</v>
          </cell>
          <cell r="B36" t="str">
            <v>B 1726 UFM</v>
          </cell>
          <cell r="C36">
            <v>183728455</v>
          </cell>
          <cell r="D36">
            <v>-116361356</v>
          </cell>
          <cell r="E36">
            <v>67367099</v>
          </cell>
        </row>
        <row r="37">
          <cell r="A37" t="str">
            <v>VOB1804UKD</v>
          </cell>
          <cell r="B37" t="str">
            <v>B 1804 UKD</v>
          </cell>
          <cell r="C37">
            <v>134650000</v>
          </cell>
          <cell r="D37">
            <v>-63958750</v>
          </cell>
          <cell r="E37">
            <v>70691250</v>
          </cell>
        </row>
        <row r="38">
          <cell r="A38" t="str">
            <v>VOB1819GH</v>
          </cell>
          <cell r="B38" t="str">
            <v>B 1819 GH</v>
          </cell>
          <cell r="C38">
            <v>308271018</v>
          </cell>
          <cell r="D38">
            <v>-229198870</v>
          </cell>
          <cell r="E38">
            <v>79072148</v>
          </cell>
        </row>
        <row r="39">
          <cell r="A39" t="str">
            <v>VOB1828UJI</v>
          </cell>
          <cell r="B39" t="str">
            <v>B 1828 UJI</v>
          </cell>
          <cell r="C39">
            <v>350000000</v>
          </cell>
          <cell r="D39">
            <v>-77777778</v>
          </cell>
          <cell r="E39">
            <v>272222222</v>
          </cell>
        </row>
        <row r="40">
          <cell r="A40" t="str">
            <v>VOB1832UJF</v>
          </cell>
          <cell r="B40" t="str">
            <v>B 1832 UJF</v>
          </cell>
          <cell r="C40">
            <v>312278227</v>
          </cell>
          <cell r="D40">
            <v>-101490425</v>
          </cell>
          <cell r="E40">
            <v>210787802</v>
          </cell>
        </row>
        <row r="41">
          <cell r="A41" t="str">
            <v>VOB1921UKM</v>
          </cell>
          <cell r="B41" t="str">
            <v>B 1921 UKM</v>
          </cell>
          <cell r="C41">
            <v>274545455</v>
          </cell>
          <cell r="D41">
            <v>-171988802</v>
          </cell>
          <cell r="E41">
            <v>102556653</v>
          </cell>
        </row>
        <row r="42">
          <cell r="A42" t="str">
            <v>VOB1941UOM</v>
          </cell>
          <cell r="B42" t="str">
            <v>B 1941 UOM</v>
          </cell>
          <cell r="C42">
            <v>216886364</v>
          </cell>
          <cell r="D42">
            <v>-81332385</v>
          </cell>
          <cell r="E42">
            <v>135553979</v>
          </cell>
        </row>
        <row r="43">
          <cell r="A43" t="str">
            <v>VOB20RAF</v>
          </cell>
          <cell r="B43" t="str">
            <v>B 20 RAF</v>
          </cell>
          <cell r="C43">
            <v>338768641</v>
          </cell>
          <cell r="D43">
            <v>-50815296</v>
          </cell>
          <cell r="E43">
            <v>287953345</v>
          </cell>
        </row>
        <row r="44">
          <cell r="A44" t="str">
            <v>VOB2111KN</v>
          </cell>
          <cell r="B44" t="str">
            <v>B 2111 KN</v>
          </cell>
          <cell r="C44">
            <v>217350273</v>
          </cell>
          <cell r="D44">
            <v>-65205081</v>
          </cell>
          <cell r="E44">
            <v>152145192</v>
          </cell>
        </row>
        <row r="45">
          <cell r="A45" t="str">
            <v>VOB233PAT</v>
          </cell>
          <cell r="B45" t="str">
            <v>B 233 PAT</v>
          </cell>
          <cell r="C45">
            <v>458450000</v>
          </cell>
          <cell r="D45">
            <v>-179559583</v>
          </cell>
          <cell r="E45">
            <v>278890417</v>
          </cell>
        </row>
        <row r="46">
          <cell r="A46" t="str">
            <v>VOB2564ZP1</v>
          </cell>
          <cell r="B46" t="str">
            <v>B 2564 ZP</v>
          </cell>
          <cell r="C46">
            <v>114307273</v>
          </cell>
          <cell r="D46">
            <v>-86683014</v>
          </cell>
          <cell r="E46">
            <v>27624259</v>
          </cell>
        </row>
        <row r="47">
          <cell r="A47" t="str">
            <v>VOB29MAS</v>
          </cell>
          <cell r="B47" t="str">
            <v>B 29 MAS</v>
          </cell>
          <cell r="C47">
            <v>1233000000</v>
          </cell>
          <cell r="D47">
            <v>-760350000</v>
          </cell>
          <cell r="E47">
            <v>472650000</v>
          </cell>
        </row>
        <row r="48">
          <cell r="A48" t="str">
            <v>VOB718GHO</v>
          </cell>
          <cell r="B48" t="str">
            <v>B 718 GHO</v>
          </cell>
          <cell r="C48">
            <v>400000000</v>
          </cell>
          <cell r="D48">
            <v>-150000000</v>
          </cell>
          <cell r="E48">
            <v>250000000</v>
          </cell>
        </row>
        <row r="49">
          <cell r="A49" t="str">
            <v>VOB8840MN</v>
          </cell>
          <cell r="B49" t="str">
            <v>B 8840 MN</v>
          </cell>
          <cell r="C49">
            <v>91859091</v>
          </cell>
          <cell r="D49">
            <v>-91859091</v>
          </cell>
          <cell r="E49">
            <v>0</v>
          </cell>
        </row>
        <row r="50">
          <cell r="A50" t="str">
            <v>VOB9010UEA</v>
          </cell>
          <cell r="B50" t="str">
            <v>B 9010 UEA</v>
          </cell>
          <cell r="C50">
            <v>964628455</v>
          </cell>
          <cell r="D50">
            <v>-489119466</v>
          </cell>
          <cell r="E50">
            <v>475508989</v>
          </cell>
        </row>
        <row r="51">
          <cell r="A51" t="str">
            <v>VOB9011UEA</v>
          </cell>
          <cell r="B51" t="str">
            <v>B 9011 UEA</v>
          </cell>
          <cell r="C51">
            <v>840818182</v>
          </cell>
          <cell r="D51">
            <v>-480621971</v>
          </cell>
          <cell r="E51">
            <v>360196211</v>
          </cell>
        </row>
        <row r="52">
          <cell r="A52" t="str">
            <v>VOB9014UEA</v>
          </cell>
          <cell r="B52" t="str">
            <v>B 9014 UEA</v>
          </cell>
          <cell r="C52">
            <v>890363636</v>
          </cell>
          <cell r="D52">
            <v>-467440910</v>
          </cell>
          <cell r="E52">
            <v>422922726</v>
          </cell>
        </row>
        <row r="53">
          <cell r="A53" t="str">
            <v>VOB9015UEA1</v>
          </cell>
          <cell r="B53" t="str">
            <v>B 9015 UEA</v>
          </cell>
          <cell r="C53">
            <v>890363636</v>
          </cell>
          <cell r="D53">
            <v>-467440910</v>
          </cell>
          <cell r="E53">
            <v>422922726</v>
          </cell>
        </row>
        <row r="54">
          <cell r="A54" t="str">
            <v>VOB9016UEA1</v>
          </cell>
          <cell r="B54" t="str">
            <v>B 9016 UEA</v>
          </cell>
          <cell r="C54">
            <v>890363636</v>
          </cell>
          <cell r="D54">
            <v>-467440910</v>
          </cell>
          <cell r="E54">
            <v>422922726</v>
          </cell>
        </row>
        <row r="55">
          <cell r="A55" t="str">
            <v>VOB9017UEA1</v>
          </cell>
          <cell r="B55" t="str">
            <v>B 9017 UEA</v>
          </cell>
          <cell r="C55">
            <v>890363636</v>
          </cell>
          <cell r="D55">
            <v>-467440910</v>
          </cell>
          <cell r="E55">
            <v>422922726</v>
          </cell>
        </row>
        <row r="56">
          <cell r="A56" t="str">
            <v>VOB9017ZO</v>
          </cell>
          <cell r="B56" t="str">
            <v>B 9017 ZO</v>
          </cell>
          <cell r="C56">
            <v>175181818</v>
          </cell>
          <cell r="D56">
            <v>-128325000</v>
          </cell>
          <cell r="E56">
            <v>46856818</v>
          </cell>
        </row>
        <row r="57">
          <cell r="A57" t="str">
            <v>VOB9018UEA</v>
          </cell>
          <cell r="B57" t="str">
            <v>B 9018 UEA</v>
          </cell>
          <cell r="C57">
            <v>890363636</v>
          </cell>
          <cell r="D57">
            <v>-467440910</v>
          </cell>
          <cell r="E57">
            <v>422922726</v>
          </cell>
        </row>
        <row r="58">
          <cell r="A58" t="str">
            <v>VOB9024UEA</v>
          </cell>
          <cell r="B58" t="str">
            <v>B 9024 UEA</v>
          </cell>
          <cell r="C58">
            <v>964628455</v>
          </cell>
          <cell r="D58">
            <v>-489119466</v>
          </cell>
          <cell r="E58">
            <v>475508989</v>
          </cell>
        </row>
        <row r="59">
          <cell r="A59" t="str">
            <v>VOB9029UEA</v>
          </cell>
          <cell r="B59" t="str">
            <v>B 9029 UEA</v>
          </cell>
          <cell r="C59">
            <v>972128455</v>
          </cell>
          <cell r="D59">
            <v>-486064229</v>
          </cell>
          <cell r="E59">
            <v>486064226</v>
          </cell>
        </row>
        <row r="60">
          <cell r="A60" t="str">
            <v>VOB9029UPA1</v>
          </cell>
          <cell r="B60" t="str">
            <v>B 9029 UPA</v>
          </cell>
          <cell r="C60">
            <v>127181819</v>
          </cell>
          <cell r="D60">
            <v>-87592425</v>
          </cell>
          <cell r="E60">
            <v>39589394</v>
          </cell>
        </row>
        <row r="61">
          <cell r="A61" t="str">
            <v>VOB9030UEA</v>
          </cell>
          <cell r="B61" t="str">
            <v>B 9030 UEA</v>
          </cell>
          <cell r="C61">
            <v>972128455</v>
          </cell>
          <cell r="D61">
            <v>-486064229</v>
          </cell>
          <cell r="E61">
            <v>486064226</v>
          </cell>
        </row>
        <row r="62">
          <cell r="A62" t="str">
            <v>VOB9030UEJ</v>
          </cell>
          <cell r="B62" t="str">
            <v>B 9030 UEJ</v>
          </cell>
          <cell r="C62">
            <v>744424400</v>
          </cell>
          <cell r="D62">
            <v>-261498540</v>
          </cell>
          <cell r="E62">
            <v>482925860</v>
          </cell>
        </row>
        <row r="63">
          <cell r="A63" t="str">
            <v>VOB9031UEJ</v>
          </cell>
          <cell r="B63" t="str">
            <v>B 9031 UEJ</v>
          </cell>
          <cell r="C63">
            <v>744424400</v>
          </cell>
          <cell r="D63">
            <v>-261498540</v>
          </cell>
          <cell r="E63">
            <v>482925860</v>
          </cell>
        </row>
        <row r="64">
          <cell r="A64" t="str">
            <v>VOB9032UEA</v>
          </cell>
          <cell r="B64" t="str">
            <v>B 9032 UEA</v>
          </cell>
          <cell r="C64">
            <v>967376955</v>
          </cell>
          <cell r="D64">
            <v>-476320075</v>
          </cell>
          <cell r="E64">
            <v>491056880</v>
          </cell>
        </row>
        <row r="65">
          <cell r="A65" t="str">
            <v>VOB9032UEJ</v>
          </cell>
          <cell r="B65" t="str">
            <v>B 9032 UEJ</v>
          </cell>
          <cell r="C65">
            <v>744424400</v>
          </cell>
          <cell r="D65">
            <v>-261498540</v>
          </cell>
          <cell r="E65">
            <v>482925860</v>
          </cell>
        </row>
        <row r="66">
          <cell r="A66" t="str">
            <v>VOB9033UEJ</v>
          </cell>
          <cell r="B66" t="str">
            <v>B 9033 UEJ</v>
          </cell>
          <cell r="C66">
            <v>744424400</v>
          </cell>
          <cell r="D66">
            <v>-261498540</v>
          </cell>
          <cell r="E66">
            <v>482925860</v>
          </cell>
        </row>
        <row r="67">
          <cell r="A67" t="str">
            <v>VOB9034UEA</v>
          </cell>
          <cell r="B67" t="str">
            <v>B 9034 UEA</v>
          </cell>
          <cell r="C67">
            <v>974876955</v>
          </cell>
          <cell r="D67">
            <v>-486357954</v>
          </cell>
          <cell r="E67">
            <v>488519001</v>
          </cell>
        </row>
        <row r="68">
          <cell r="A68" t="str">
            <v>VOB9034UEJ</v>
          </cell>
          <cell r="B68" t="str">
            <v>B 9034 UEJ</v>
          </cell>
          <cell r="C68">
            <v>744424400</v>
          </cell>
          <cell r="D68">
            <v>-261498540</v>
          </cell>
          <cell r="E68">
            <v>482925860</v>
          </cell>
        </row>
        <row r="69">
          <cell r="A69" t="str">
            <v>VOB9035UEJ</v>
          </cell>
          <cell r="B69" t="str">
            <v>B 9035 UEJ</v>
          </cell>
          <cell r="C69">
            <v>744424400</v>
          </cell>
          <cell r="D69">
            <v>-261498540</v>
          </cell>
          <cell r="E69">
            <v>482925860</v>
          </cell>
        </row>
        <row r="70">
          <cell r="A70" t="str">
            <v>VOB9036UEA</v>
          </cell>
          <cell r="B70" t="str">
            <v>B 9036 UEA</v>
          </cell>
          <cell r="C70">
            <v>967376955</v>
          </cell>
          <cell r="D70">
            <v>-476320075</v>
          </cell>
          <cell r="E70">
            <v>491056880</v>
          </cell>
        </row>
        <row r="71">
          <cell r="A71" t="str">
            <v>VOB9036UEJ</v>
          </cell>
          <cell r="B71" t="str">
            <v>B 9036 UEJ</v>
          </cell>
          <cell r="C71">
            <v>744424400</v>
          </cell>
          <cell r="D71">
            <v>-261498540</v>
          </cell>
          <cell r="E71">
            <v>482925860</v>
          </cell>
        </row>
        <row r="72">
          <cell r="A72" t="str">
            <v>VOB9037UEJ</v>
          </cell>
          <cell r="B72" t="str">
            <v>B 9037 UEJ</v>
          </cell>
          <cell r="C72">
            <v>744424400</v>
          </cell>
          <cell r="D72">
            <v>-261498540</v>
          </cell>
          <cell r="E72">
            <v>482925860</v>
          </cell>
        </row>
        <row r="73">
          <cell r="A73" t="str">
            <v>VOB9038UEA</v>
          </cell>
          <cell r="B73" t="str">
            <v>B 9038 UEA</v>
          </cell>
          <cell r="C73">
            <v>974876955</v>
          </cell>
          <cell r="D73">
            <v>-486357954</v>
          </cell>
          <cell r="E73">
            <v>488519001</v>
          </cell>
        </row>
        <row r="74">
          <cell r="A74" t="str">
            <v>VOB9038UEJ</v>
          </cell>
          <cell r="B74" t="str">
            <v>B 9038 UEJ</v>
          </cell>
          <cell r="C74">
            <v>744424400</v>
          </cell>
          <cell r="D74">
            <v>-261498540</v>
          </cell>
          <cell r="E74">
            <v>482925860</v>
          </cell>
        </row>
        <row r="75">
          <cell r="A75" t="str">
            <v>VOB9039UEJ</v>
          </cell>
          <cell r="B75" t="str">
            <v>B 9039 UEJ</v>
          </cell>
          <cell r="C75">
            <v>744424400</v>
          </cell>
          <cell r="D75">
            <v>-261498540</v>
          </cell>
          <cell r="E75">
            <v>482925860</v>
          </cell>
        </row>
        <row r="76">
          <cell r="A76" t="str">
            <v>VOB9039UT1</v>
          </cell>
          <cell r="B76" t="str">
            <v>B 9039 UT</v>
          </cell>
          <cell r="C76">
            <v>224731819</v>
          </cell>
          <cell r="D76">
            <v>-147695531</v>
          </cell>
          <cell r="E76">
            <v>77036288</v>
          </cell>
        </row>
        <row r="77">
          <cell r="A77" t="str">
            <v>VOB9040UEA</v>
          </cell>
          <cell r="B77" t="str">
            <v>B 9040 UEA</v>
          </cell>
          <cell r="C77">
            <v>967376955</v>
          </cell>
          <cell r="D77">
            <v>-476320075</v>
          </cell>
          <cell r="E77">
            <v>491056880</v>
          </cell>
        </row>
        <row r="78">
          <cell r="A78" t="str">
            <v>VOB9040UEJ</v>
          </cell>
          <cell r="B78" t="str">
            <v>B 9040 UEJ</v>
          </cell>
          <cell r="C78">
            <v>744424400</v>
          </cell>
          <cell r="D78">
            <v>-261498540</v>
          </cell>
          <cell r="E78">
            <v>482925860</v>
          </cell>
        </row>
        <row r="79">
          <cell r="A79" t="str">
            <v>VOB9041UEA</v>
          </cell>
          <cell r="B79" t="str">
            <v>B 9041 UEA</v>
          </cell>
          <cell r="C79">
            <v>974876955</v>
          </cell>
          <cell r="D79">
            <v>-486357954</v>
          </cell>
          <cell r="E79">
            <v>488519001</v>
          </cell>
        </row>
        <row r="80">
          <cell r="A80" t="str">
            <v>VOB9041UEJ</v>
          </cell>
          <cell r="B80" t="str">
            <v>B 9041 UEJ</v>
          </cell>
          <cell r="C80">
            <v>744424400</v>
          </cell>
          <cell r="D80">
            <v>-261498540</v>
          </cell>
          <cell r="E80">
            <v>482925860</v>
          </cell>
        </row>
        <row r="81">
          <cell r="A81" t="str">
            <v>VOB9042UEJ</v>
          </cell>
          <cell r="B81" t="str">
            <v>B 9042 UEJ</v>
          </cell>
          <cell r="C81">
            <v>744424400</v>
          </cell>
          <cell r="D81">
            <v>-261498540</v>
          </cell>
          <cell r="E81">
            <v>482925860</v>
          </cell>
        </row>
        <row r="82">
          <cell r="A82" t="str">
            <v>VOB9042UT</v>
          </cell>
          <cell r="B82" t="str">
            <v>B 9042 UT</v>
          </cell>
          <cell r="C82">
            <v>224731818</v>
          </cell>
          <cell r="D82">
            <v>-147695531</v>
          </cell>
          <cell r="E82">
            <v>77036287</v>
          </cell>
        </row>
        <row r="83">
          <cell r="A83" t="str">
            <v>VOB9047ZD</v>
          </cell>
          <cell r="B83" t="str">
            <v>B 9047 ZD</v>
          </cell>
          <cell r="C83">
            <v>593181818</v>
          </cell>
          <cell r="D83">
            <v>-444136364</v>
          </cell>
          <cell r="E83">
            <v>149045454</v>
          </cell>
        </row>
        <row r="84">
          <cell r="A84" t="str">
            <v>VOB9066UCK</v>
          </cell>
          <cell r="B84" t="str">
            <v>B 9066 UCK</v>
          </cell>
          <cell r="C84">
            <v>200390910</v>
          </cell>
          <cell r="D84">
            <v>-51767652</v>
          </cell>
          <cell r="E84">
            <v>148623258</v>
          </cell>
        </row>
        <row r="85">
          <cell r="A85" t="str">
            <v>VOB9066ZW</v>
          </cell>
          <cell r="B85" t="str">
            <v>B 9066 ZW</v>
          </cell>
          <cell r="C85">
            <v>185272727</v>
          </cell>
          <cell r="D85">
            <v>-134476895</v>
          </cell>
          <cell r="E85">
            <v>50795832</v>
          </cell>
        </row>
        <row r="86">
          <cell r="A86" t="str">
            <v>VOB9067UCK</v>
          </cell>
          <cell r="B86" t="str">
            <v>B 9067 UCK</v>
          </cell>
          <cell r="C86">
            <v>200390909</v>
          </cell>
          <cell r="D86">
            <v>-51767652</v>
          </cell>
          <cell r="E86">
            <v>148623257</v>
          </cell>
        </row>
        <row r="87">
          <cell r="A87" t="str">
            <v>VOB9068UCK</v>
          </cell>
          <cell r="B87" t="str">
            <v>B 9068 UCK</v>
          </cell>
          <cell r="C87">
            <v>200390909</v>
          </cell>
          <cell r="D87">
            <v>-51767652</v>
          </cell>
          <cell r="E87">
            <v>148623257</v>
          </cell>
        </row>
        <row r="88">
          <cell r="A88" t="str">
            <v>VOB9068ZW</v>
          </cell>
          <cell r="B88" t="str">
            <v>B 9068 ZW</v>
          </cell>
          <cell r="C88">
            <v>193472727</v>
          </cell>
          <cell r="D88">
            <v>-140011895</v>
          </cell>
          <cell r="E88">
            <v>53460832</v>
          </cell>
        </row>
        <row r="89">
          <cell r="A89" t="str">
            <v>VOB9069UCK</v>
          </cell>
          <cell r="B89" t="str">
            <v>B 9069 UCK</v>
          </cell>
          <cell r="C89">
            <v>200390909</v>
          </cell>
          <cell r="D89">
            <v>-51767652</v>
          </cell>
          <cell r="E89">
            <v>148623257</v>
          </cell>
        </row>
        <row r="90">
          <cell r="A90" t="str">
            <v>VOB9070UCK</v>
          </cell>
          <cell r="B90" t="str">
            <v>B 9070 UCK</v>
          </cell>
          <cell r="C90">
            <v>200390909</v>
          </cell>
          <cell r="D90">
            <v>-51767652</v>
          </cell>
          <cell r="E90">
            <v>148623257</v>
          </cell>
        </row>
        <row r="91">
          <cell r="A91" t="str">
            <v>VOB9071JN</v>
          </cell>
          <cell r="B91" t="str">
            <v>B 9071 JN</v>
          </cell>
          <cell r="C91">
            <v>158500000</v>
          </cell>
          <cell r="D91">
            <v>-158500000</v>
          </cell>
          <cell r="E91">
            <v>0</v>
          </cell>
        </row>
        <row r="92">
          <cell r="A92" t="str">
            <v>VOB9071UCK</v>
          </cell>
          <cell r="B92" t="str">
            <v>B 9071 UCK</v>
          </cell>
          <cell r="C92">
            <v>200390909</v>
          </cell>
          <cell r="D92">
            <v>-51767652</v>
          </cell>
          <cell r="E92">
            <v>148623257</v>
          </cell>
        </row>
        <row r="93">
          <cell r="A93" t="str">
            <v>VOB9071ZD</v>
          </cell>
          <cell r="B93" t="str">
            <v>B 9071 ZD</v>
          </cell>
          <cell r="C93">
            <v>593181818</v>
          </cell>
          <cell r="D93">
            <v>-444136364</v>
          </cell>
          <cell r="E93">
            <v>149045454</v>
          </cell>
        </row>
        <row r="94">
          <cell r="A94" t="str">
            <v>VOB9073UCK</v>
          </cell>
          <cell r="B94" t="str">
            <v>B 9073 UCK</v>
          </cell>
          <cell r="C94">
            <v>200390909</v>
          </cell>
          <cell r="D94">
            <v>-51767652</v>
          </cell>
          <cell r="E94">
            <v>148623257</v>
          </cell>
        </row>
        <row r="95">
          <cell r="A95" t="str">
            <v>VOB9074UCK</v>
          </cell>
          <cell r="B95" t="str">
            <v>B 9074 UCK</v>
          </cell>
          <cell r="C95">
            <v>200390909</v>
          </cell>
          <cell r="D95">
            <v>-51767652</v>
          </cell>
          <cell r="E95">
            <v>148623257</v>
          </cell>
        </row>
        <row r="96">
          <cell r="A96" t="str">
            <v>VOB9081IG</v>
          </cell>
          <cell r="B96" t="str">
            <v>B 9081 IG</v>
          </cell>
          <cell r="C96">
            <v>150373182</v>
          </cell>
          <cell r="D96">
            <v>-115065272</v>
          </cell>
          <cell r="E96">
            <v>35307910</v>
          </cell>
        </row>
        <row r="97">
          <cell r="A97" t="str">
            <v>VOB9082QZ</v>
          </cell>
          <cell r="B97" t="str">
            <v>B 9082 QZ</v>
          </cell>
          <cell r="C97">
            <v>300000000</v>
          </cell>
          <cell r="D97">
            <v>-172500000</v>
          </cell>
          <cell r="E97">
            <v>127500000</v>
          </cell>
        </row>
        <row r="98">
          <cell r="A98" t="str">
            <v>VOB9083ZW</v>
          </cell>
          <cell r="B98" t="str">
            <v>B 9083 ZW</v>
          </cell>
          <cell r="C98">
            <v>185272727</v>
          </cell>
          <cell r="D98">
            <v>-134476895</v>
          </cell>
          <cell r="E98">
            <v>50795832</v>
          </cell>
        </row>
        <row r="99">
          <cell r="A99" t="str">
            <v>VOB9084ZW1</v>
          </cell>
          <cell r="B99" t="str">
            <v>B 9084 ZW</v>
          </cell>
          <cell r="C99">
            <v>197772727</v>
          </cell>
          <cell r="D99">
            <v>-142914395</v>
          </cell>
          <cell r="E99">
            <v>54858332</v>
          </cell>
        </row>
        <row r="100">
          <cell r="A100" t="str">
            <v>VOB9095ZD</v>
          </cell>
          <cell r="B100" t="str">
            <v>B 9095 ZD</v>
          </cell>
          <cell r="C100">
            <v>593181818</v>
          </cell>
          <cell r="D100">
            <v>-444136364</v>
          </cell>
          <cell r="E100">
            <v>149045454</v>
          </cell>
        </row>
        <row r="101">
          <cell r="A101" t="str">
            <v>VOB9101ZD</v>
          </cell>
          <cell r="B101" t="str">
            <v>B 9101 ZD</v>
          </cell>
          <cell r="C101">
            <v>593181818</v>
          </cell>
          <cell r="D101">
            <v>-444136364</v>
          </cell>
          <cell r="E101">
            <v>149045454</v>
          </cell>
        </row>
        <row r="102">
          <cell r="A102" t="str">
            <v>VOB9104OJ</v>
          </cell>
          <cell r="B102" t="str">
            <v>B 9104 OJ</v>
          </cell>
          <cell r="C102">
            <v>163500000</v>
          </cell>
          <cell r="D102">
            <v>-163500000</v>
          </cell>
          <cell r="E102">
            <v>0</v>
          </cell>
        </row>
        <row r="103">
          <cell r="A103" t="str">
            <v>VOB9104ZJ1</v>
          </cell>
          <cell r="B103" t="str">
            <v>B 9104 ZJ</v>
          </cell>
          <cell r="C103">
            <v>106200000</v>
          </cell>
          <cell r="D103">
            <v>-83190000</v>
          </cell>
          <cell r="E103">
            <v>23010000</v>
          </cell>
        </row>
        <row r="104">
          <cell r="A104" t="str">
            <v>VOB9105FI</v>
          </cell>
          <cell r="B104" t="str">
            <v>B 9105 FI</v>
          </cell>
          <cell r="C104">
            <v>710500000</v>
          </cell>
          <cell r="D104">
            <v>-478195833</v>
          </cell>
          <cell r="E104">
            <v>232304167</v>
          </cell>
        </row>
        <row r="105">
          <cell r="A105" t="str">
            <v>VOB9105OJ</v>
          </cell>
          <cell r="B105" t="str">
            <v>B 9105 OJ</v>
          </cell>
          <cell r="C105">
            <v>163500000</v>
          </cell>
          <cell r="D105">
            <v>-163500000</v>
          </cell>
          <cell r="E105">
            <v>0</v>
          </cell>
        </row>
        <row r="106">
          <cell r="A106" t="str">
            <v>VOB9106NJ</v>
          </cell>
          <cell r="B106" t="str">
            <v>B 9106 NJ</v>
          </cell>
          <cell r="C106">
            <v>310954545</v>
          </cell>
          <cell r="D106">
            <v>-248763636</v>
          </cell>
          <cell r="E106">
            <v>62190909</v>
          </cell>
        </row>
        <row r="107">
          <cell r="A107" t="str">
            <v>VOB9106ZD</v>
          </cell>
          <cell r="B107" t="str">
            <v>B 9106 ZD</v>
          </cell>
          <cell r="C107">
            <v>593181818</v>
          </cell>
          <cell r="D107">
            <v>-444136364</v>
          </cell>
          <cell r="E107">
            <v>149045454</v>
          </cell>
        </row>
        <row r="108">
          <cell r="A108" t="str">
            <v>VOB9112UCB</v>
          </cell>
          <cell r="B108" t="str">
            <v>B 9112 UCB</v>
          </cell>
          <cell r="C108">
            <v>245181818</v>
          </cell>
          <cell r="D108">
            <v>-126882954</v>
          </cell>
          <cell r="E108">
            <v>118298864</v>
          </cell>
        </row>
        <row r="109">
          <cell r="A109" t="str">
            <v>VOB9112UCC1</v>
          </cell>
          <cell r="B109" t="str">
            <v>B 9112 UCC</v>
          </cell>
          <cell r="C109">
            <v>197927272</v>
          </cell>
          <cell r="D109">
            <v>-95664848</v>
          </cell>
          <cell r="E109">
            <v>102262424</v>
          </cell>
        </row>
        <row r="110">
          <cell r="A110" t="str">
            <v>VOB9113UCC1</v>
          </cell>
          <cell r="B110" t="str">
            <v>B 9113 UCC</v>
          </cell>
          <cell r="C110">
            <v>197927273</v>
          </cell>
          <cell r="D110">
            <v>-95664848</v>
          </cell>
          <cell r="E110">
            <v>102262425</v>
          </cell>
        </row>
        <row r="111">
          <cell r="A111" t="str">
            <v>VOB9114UCC1</v>
          </cell>
          <cell r="B111" t="str">
            <v>B 9114 UCC</v>
          </cell>
          <cell r="C111">
            <v>226259091</v>
          </cell>
          <cell r="D111">
            <v>-109358560</v>
          </cell>
          <cell r="E111">
            <v>116900531</v>
          </cell>
        </row>
        <row r="112">
          <cell r="A112" t="str">
            <v>VOB9118UCC1</v>
          </cell>
          <cell r="B112" t="str">
            <v>B 9118 UCC</v>
          </cell>
          <cell r="C112">
            <v>197927273</v>
          </cell>
          <cell r="D112">
            <v>-95664848</v>
          </cell>
          <cell r="E112">
            <v>102262425</v>
          </cell>
        </row>
        <row r="113">
          <cell r="A113" t="str">
            <v>VOB9120UCC1</v>
          </cell>
          <cell r="B113" t="str">
            <v>B 9120 UCC</v>
          </cell>
          <cell r="C113">
            <v>226259091</v>
          </cell>
          <cell r="D113">
            <v>-109358560</v>
          </cell>
          <cell r="E113">
            <v>116900531</v>
          </cell>
        </row>
        <row r="114">
          <cell r="A114" t="str">
            <v>VOB9121UCC1</v>
          </cell>
          <cell r="B114" t="str">
            <v>B 9121 UCC</v>
          </cell>
          <cell r="C114">
            <v>197927272</v>
          </cell>
          <cell r="D114">
            <v>-95664848</v>
          </cell>
          <cell r="E114">
            <v>102262424</v>
          </cell>
        </row>
        <row r="115">
          <cell r="A115" t="str">
            <v>VOB9122UCC1</v>
          </cell>
          <cell r="B115" t="str">
            <v>B 9122 UCC</v>
          </cell>
          <cell r="C115">
            <v>226259091</v>
          </cell>
          <cell r="D115">
            <v>-109358560</v>
          </cell>
          <cell r="E115">
            <v>116900531</v>
          </cell>
        </row>
        <row r="116">
          <cell r="A116" t="str">
            <v>VOB9123UCC1</v>
          </cell>
          <cell r="B116" t="str">
            <v>B 9123 UCC</v>
          </cell>
          <cell r="C116">
            <v>226259091</v>
          </cell>
          <cell r="D116">
            <v>-109358560</v>
          </cell>
          <cell r="E116">
            <v>116900531</v>
          </cell>
        </row>
        <row r="117">
          <cell r="A117" t="str">
            <v>VOB9125UCC1</v>
          </cell>
          <cell r="B117" t="str">
            <v>B 9125 UCC</v>
          </cell>
          <cell r="C117">
            <v>226259091</v>
          </cell>
          <cell r="D117">
            <v>-109358560</v>
          </cell>
          <cell r="E117">
            <v>116900531</v>
          </cell>
        </row>
        <row r="118">
          <cell r="A118" t="str">
            <v>VOB9126UCC1</v>
          </cell>
          <cell r="B118" t="str">
            <v>B 9126 UCC</v>
          </cell>
          <cell r="C118">
            <v>226259091</v>
          </cell>
          <cell r="D118">
            <v>-109358560</v>
          </cell>
          <cell r="E118">
            <v>116900531</v>
          </cell>
        </row>
        <row r="119">
          <cell r="A119" t="str">
            <v>VOB9127UCB1</v>
          </cell>
          <cell r="B119" t="str">
            <v>B 9127 UCB</v>
          </cell>
          <cell r="C119">
            <v>188063636</v>
          </cell>
          <cell r="D119">
            <v>-97166213</v>
          </cell>
          <cell r="E119">
            <v>90897423</v>
          </cell>
        </row>
        <row r="120">
          <cell r="A120" t="str">
            <v>VOB9128UCB2</v>
          </cell>
          <cell r="B120" t="str">
            <v>B 9128 UCB</v>
          </cell>
          <cell r="C120">
            <v>183313636</v>
          </cell>
          <cell r="D120">
            <v>-100822501</v>
          </cell>
          <cell r="E120">
            <v>82491135</v>
          </cell>
        </row>
        <row r="121">
          <cell r="A121" t="str">
            <v>VOB9129UCB1</v>
          </cell>
          <cell r="B121" t="str">
            <v>B 9129 UCB</v>
          </cell>
          <cell r="C121">
            <v>188063636</v>
          </cell>
          <cell r="D121">
            <v>-97166213</v>
          </cell>
          <cell r="E121">
            <v>90897423</v>
          </cell>
        </row>
        <row r="122">
          <cell r="A122" t="str">
            <v>VOB9136JO</v>
          </cell>
          <cell r="B122" t="str">
            <v>B 9136 JO</v>
          </cell>
          <cell r="C122">
            <v>245500000</v>
          </cell>
          <cell r="D122">
            <v>-196400000</v>
          </cell>
          <cell r="E122">
            <v>49100000</v>
          </cell>
        </row>
        <row r="123">
          <cell r="A123" t="str">
            <v>VOB9138OJ</v>
          </cell>
          <cell r="B123" t="str">
            <v>B 9138 OJ</v>
          </cell>
          <cell r="C123">
            <v>163500000</v>
          </cell>
          <cell r="D123">
            <v>-163500000</v>
          </cell>
          <cell r="E123">
            <v>0</v>
          </cell>
        </row>
        <row r="124">
          <cell r="A124" t="str">
            <v>VOB9140OT</v>
          </cell>
          <cell r="B124" t="str">
            <v>B 9140 OT</v>
          </cell>
          <cell r="C124">
            <v>187506970</v>
          </cell>
          <cell r="D124">
            <v>-107816508</v>
          </cell>
          <cell r="E124">
            <v>79690462</v>
          </cell>
        </row>
        <row r="125">
          <cell r="A125" t="str">
            <v>VOB9141SCC</v>
          </cell>
          <cell r="B125" t="str">
            <v>B 9141 SCC</v>
          </cell>
          <cell r="C125">
            <v>136586364</v>
          </cell>
          <cell r="D125">
            <v>-30959576</v>
          </cell>
          <cell r="E125">
            <v>105626788</v>
          </cell>
        </row>
        <row r="126">
          <cell r="A126" t="str">
            <v>VOB9142SCC</v>
          </cell>
          <cell r="B126" t="str">
            <v>B 9142 SCC</v>
          </cell>
          <cell r="C126">
            <v>136586364</v>
          </cell>
          <cell r="D126">
            <v>-30959576</v>
          </cell>
          <cell r="E126">
            <v>105626788</v>
          </cell>
        </row>
        <row r="127">
          <cell r="A127" t="str">
            <v>VOB9143SCC</v>
          </cell>
          <cell r="B127" t="str">
            <v>B 9143 SCC</v>
          </cell>
          <cell r="C127">
            <v>136586364</v>
          </cell>
          <cell r="D127">
            <v>-30959576</v>
          </cell>
          <cell r="E127">
            <v>105626788</v>
          </cell>
        </row>
        <row r="128">
          <cell r="A128" t="str">
            <v>VOB9144SCC</v>
          </cell>
          <cell r="B128" t="str">
            <v>B 9144 SCC</v>
          </cell>
          <cell r="C128">
            <v>136586364</v>
          </cell>
          <cell r="D128">
            <v>-30959576</v>
          </cell>
          <cell r="E128">
            <v>105626788</v>
          </cell>
        </row>
        <row r="129">
          <cell r="A129" t="str">
            <v>VOB9145GJ</v>
          </cell>
          <cell r="B129" t="str">
            <v>B 9145 GJ</v>
          </cell>
          <cell r="C129">
            <v>141818182</v>
          </cell>
          <cell r="D129">
            <v>-111090909</v>
          </cell>
          <cell r="E129">
            <v>30727273</v>
          </cell>
        </row>
        <row r="130">
          <cell r="A130" t="str">
            <v>VOB9145SCC</v>
          </cell>
          <cell r="B130" t="str">
            <v>B 9145 SCC</v>
          </cell>
          <cell r="C130">
            <v>136586364</v>
          </cell>
          <cell r="D130">
            <v>-30959576</v>
          </cell>
          <cell r="E130">
            <v>105626788</v>
          </cell>
        </row>
        <row r="131">
          <cell r="A131" t="str">
            <v>VOB9146SCC</v>
          </cell>
          <cell r="B131" t="str">
            <v>B 9146 SCC</v>
          </cell>
          <cell r="C131">
            <v>136586364</v>
          </cell>
          <cell r="D131">
            <v>-30959576</v>
          </cell>
          <cell r="E131">
            <v>105626788</v>
          </cell>
        </row>
        <row r="132">
          <cell r="A132" t="str">
            <v>VOB9147SCC</v>
          </cell>
          <cell r="B132" t="str">
            <v>B 9147 SCC</v>
          </cell>
          <cell r="C132">
            <v>136586364</v>
          </cell>
          <cell r="D132">
            <v>-30959576</v>
          </cell>
          <cell r="E132">
            <v>105626788</v>
          </cell>
        </row>
        <row r="133">
          <cell r="A133" t="str">
            <v>VOB9148SCC</v>
          </cell>
          <cell r="B133" t="str">
            <v>B 9148 SCC</v>
          </cell>
          <cell r="C133">
            <v>136586364</v>
          </cell>
          <cell r="D133">
            <v>-30959576</v>
          </cell>
          <cell r="E133">
            <v>105626788</v>
          </cell>
        </row>
        <row r="134">
          <cell r="A134" t="str">
            <v>VOB9149SCC</v>
          </cell>
          <cell r="B134" t="str">
            <v>B 9149 SCC</v>
          </cell>
          <cell r="C134">
            <v>136586364</v>
          </cell>
          <cell r="D134">
            <v>-30959576</v>
          </cell>
          <cell r="E134">
            <v>105626788</v>
          </cell>
        </row>
        <row r="135">
          <cell r="A135" t="str">
            <v>VOB9150SCC</v>
          </cell>
          <cell r="B135" t="str">
            <v>B 9150 SCC</v>
          </cell>
          <cell r="C135">
            <v>136586364</v>
          </cell>
          <cell r="D135">
            <v>-30959576</v>
          </cell>
          <cell r="E135">
            <v>105626788</v>
          </cell>
        </row>
        <row r="136">
          <cell r="A136" t="str">
            <v>VOB9151JP</v>
          </cell>
          <cell r="B136" t="str">
            <v>B 9151 JP</v>
          </cell>
          <cell r="C136">
            <v>187522727</v>
          </cell>
          <cell r="D136">
            <v>-135920645</v>
          </cell>
          <cell r="E136">
            <v>51602082</v>
          </cell>
        </row>
        <row r="137">
          <cell r="A137" t="str">
            <v>VOB9152SCC</v>
          </cell>
          <cell r="B137" t="str">
            <v>B 9152 SCC</v>
          </cell>
          <cell r="C137">
            <v>136586364</v>
          </cell>
          <cell r="D137">
            <v>-30959576</v>
          </cell>
          <cell r="E137">
            <v>105626788</v>
          </cell>
        </row>
        <row r="138">
          <cell r="A138" t="str">
            <v>VOB9153SCC</v>
          </cell>
          <cell r="B138" t="str">
            <v>B 9153 SCC</v>
          </cell>
          <cell r="C138">
            <v>136586364</v>
          </cell>
          <cell r="D138">
            <v>-30959576</v>
          </cell>
          <cell r="E138">
            <v>105626788</v>
          </cell>
        </row>
        <row r="139">
          <cell r="A139" t="str">
            <v>VOB9154SCC</v>
          </cell>
          <cell r="B139" t="str">
            <v>B 9154 SCC</v>
          </cell>
          <cell r="C139">
            <v>136586364</v>
          </cell>
          <cell r="D139">
            <v>-30959576</v>
          </cell>
          <cell r="E139">
            <v>105626788</v>
          </cell>
        </row>
        <row r="140">
          <cell r="A140" t="str">
            <v>VOB9155SCC</v>
          </cell>
          <cell r="B140" t="str">
            <v>B 9155 SCC</v>
          </cell>
          <cell r="C140">
            <v>136586364</v>
          </cell>
          <cell r="D140">
            <v>-30959576</v>
          </cell>
          <cell r="E140">
            <v>105626788</v>
          </cell>
        </row>
        <row r="141">
          <cell r="A141" t="str">
            <v>VOB9156ZW</v>
          </cell>
          <cell r="B141" t="str">
            <v>B 9156 ZW</v>
          </cell>
          <cell r="C141">
            <v>185272727</v>
          </cell>
          <cell r="D141">
            <v>-134476895</v>
          </cell>
          <cell r="E141">
            <v>50795832</v>
          </cell>
        </row>
        <row r="142">
          <cell r="A142" t="str">
            <v>VOB9158OT1</v>
          </cell>
          <cell r="B142" t="str">
            <v>B 9158 OT</v>
          </cell>
          <cell r="C142">
            <v>175181971</v>
          </cell>
          <cell r="D142">
            <v>-100729634</v>
          </cell>
          <cell r="E142">
            <v>74452337</v>
          </cell>
        </row>
        <row r="143">
          <cell r="A143" t="str">
            <v>VOB9159OT1</v>
          </cell>
          <cell r="B143" t="str">
            <v>B 9159 OT</v>
          </cell>
          <cell r="C143">
            <v>183403029</v>
          </cell>
          <cell r="D143">
            <v>-105456741</v>
          </cell>
          <cell r="E143">
            <v>77946288</v>
          </cell>
        </row>
        <row r="144">
          <cell r="A144" t="str">
            <v>VOB9159ZG</v>
          </cell>
          <cell r="B144" t="str">
            <v>B 9159 ZG</v>
          </cell>
          <cell r="C144">
            <v>175181818</v>
          </cell>
          <cell r="D144">
            <v>-129643182</v>
          </cell>
          <cell r="E144">
            <v>45538636</v>
          </cell>
        </row>
        <row r="145">
          <cell r="A145" t="str">
            <v>VOB9161SCC</v>
          </cell>
          <cell r="B145" t="str">
            <v>B 9161 SCC</v>
          </cell>
          <cell r="C145">
            <v>136586364</v>
          </cell>
          <cell r="D145">
            <v>-30959576</v>
          </cell>
          <cell r="E145">
            <v>105626788</v>
          </cell>
        </row>
        <row r="146">
          <cell r="A146" t="str">
            <v>VOB9161ZB</v>
          </cell>
          <cell r="B146" t="str">
            <v>B 9161 ZB</v>
          </cell>
          <cell r="C146">
            <v>191298255</v>
          </cell>
          <cell r="D146">
            <v>-141006208</v>
          </cell>
          <cell r="E146">
            <v>50292047</v>
          </cell>
        </row>
        <row r="147">
          <cell r="A147" t="str">
            <v>VOB9162SCC</v>
          </cell>
          <cell r="B147" t="str">
            <v>B 9162 SCC</v>
          </cell>
          <cell r="C147">
            <v>136586364</v>
          </cell>
          <cell r="D147">
            <v>-30959576</v>
          </cell>
          <cell r="E147">
            <v>105626788</v>
          </cell>
        </row>
        <row r="148">
          <cell r="A148" t="str">
            <v>VOB9163SCC</v>
          </cell>
          <cell r="B148" t="str">
            <v>B 9163 SCC</v>
          </cell>
          <cell r="C148">
            <v>136586364</v>
          </cell>
          <cell r="D148">
            <v>-30959576</v>
          </cell>
          <cell r="E148">
            <v>105626788</v>
          </cell>
        </row>
        <row r="149">
          <cell r="A149" t="str">
            <v>VOB9163SCD</v>
          </cell>
          <cell r="B149" t="str">
            <v>B 9163 SCD</v>
          </cell>
          <cell r="C149">
            <v>145300000</v>
          </cell>
          <cell r="D149">
            <v>-8475833</v>
          </cell>
          <cell r="E149">
            <v>136824167</v>
          </cell>
        </row>
        <row r="150">
          <cell r="A150" t="str">
            <v>VOB9164SCC</v>
          </cell>
          <cell r="B150" t="str">
            <v>B 9164 SCC</v>
          </cell>
          <cell r="C150">
            <v>136586364</v>
          </cell>
          <cell r="D150">
            <v>-30959576</v>
          </cell>
          <cell r="E150">
            <v>105626788</v>
          </cell>
        </row>
        <row r="151">
          <cell r="A151" t="str">
            <v>VOB9164SCD</v>
          </cell>
          <cell r="B151" t="str">
            <v>B 9164 SCD</v>
          </cell>
          <cell r="C151">
            <v>145300000</v>
          </cell>
          <cell r="D151">
            <v>-8475833</v>
          </cell>
          <cell r="E151">
            <v>136824167</v>
          </cell>
        </row>
        <row r="152">
          <cell r="A152" t="str">
            <v>VOB9165SCC</v>
          </cell>
          <cell r="B152" t="str">
            <v>B 9165 SCC</v>
          </cell>
          <cell r="C152">
            <v>136586364</v>
          </cell>
          <cell r="D152">
            <v>-30959576</v>
          </cell>
          <cell r="E152">
            <v>105626788</v>
          </cell>
        </row>
        <row r="153">
          <cell r="A153" t="str">
            <v>VOB9165SCD</v>
          </cell>
          <cell r="B153" t="str">
            <v>B 9165 SCD</v>
          </cell>
          <cell r="C153">
            <v>145300000</v>
          </cell>
          <cell r="D153">
            <v>-8475833</v>
          </cell>
          <cell r="E153">
            <v>136824167</v>
          </cell>
        </row>
        <row r="154">
          <cell r="A154" t="str">
            <v>VOB9166SCC</v>
          </cell>
          <cell r="B154" t="str">
            <v>B 9166 SCC</v>
          </cell>
          <cell r="C154">
            <v>136586364</v>
          </cell>
          <cell r="D154">
            <v>-30959576</v>
          </cell>
          <cell r="E154">
            <v>105626788</v>
          </cell>
        </row>
        <row r="155">
          <cell r="A155" t="str">
            <v>VOB9166SCD</v>
          </cell>
          <cell r="B155" t="str">
            <v>B 9166 SCD</v>
          </cell>
          <cell r="C155">
            <v>145300000</v>
          </cell>
          <cell r="D155">
            <v>-8475833</v>
          </cell>
          <cell r="E155">
            <v>136824167</v>
          </cell>
        </row>
        <row r="156">
          <cell r="A156" t="str">
            <v>VOB9167SCC</v>
          </cell>
          <cell r="B156" t="str">
            <v>B 9167 SCC</v>
          </cell>
          <cell r="C156">
            <v>136586364</v>
          </cell>
          <cell r="D156">
            <v>-30959576</v>
          </cell>
          <cell r="E156">
            <v>105626788</v>
          </cell>
        </row>
        <row r="157">
          <cell r="A157" t="str">
            <v>VOB9167SCD</v>
          </cell>
          <cell r="B157" t="str">
            <v>B 9167 SCD</v>
          </cell>
          <cell r="C157">
            <v>145300000</v>
          </cell>
          <cell r="D157">
            <v>-8475833</v>
          </cell>
          <cell r="E157">
            <v>136824167</v>
          </cell>
        </row>
        <row r="158">
          <cell r="A158" t="str">
            <v>VOB9168SCC</v>
          </cell>
          <cell r="B158" t="str">
            <v>B 9168 SCC</v>
          </cell>
          <cell r="C158">
            <v>136586364</v>
          </cell>
          <cell r="D158">
            <v>-30959576</v>
          </cell>
          <cell r="E158">
            <v>105626788</v>
          </cell>
        </row>
        <row r="159">
          <cell r="A159" t="str">
            <v>VOB9168SCD</v>
          </cell>
          <cell r="B159" t="str">
            <v>B 9168 SCD</v>
          </cell>
          <cell r="C159">
            <v>145300000</v>
          </cell>
          <cell r="D159">
            <v>-8475833</v>
          </cell>
          <cell r="E159">
            <v>136824167</v>
          </cell>
        </row>
        <row r="160">
          <cell r="A160" t="str">
            <v>VOB9169SCC</v>
          </cell>
          <cell r="B160" t="str">
            <v>B 9169 SCC</v>
          </cell>
          <cell r="C160">
            <v>136586364</v>
          </cell>
          <cell r="D160">
            <v>-30959576</v>
          </cell>
          <cell r="E160">
            <v>105626788</v>
          </cell>
        </row>
        <row r="161">
          <cell r="A161" t="str">
            <v>VOB9169ZD</v>
          </cell>
          <cell r="B161" t="str">
            <v>B 9169 ZD</v>
          </cell>
          <cell r="C161">
            <v>175181818</v>
          </cell>
          <cell r="D161">
            <v>-128325000</v>
          </cell>
          <cell r="E161">
            <v>46856818</v>
          </cell>
        </row>
        <row r="162">
          <cell r="A162" t="str">
            <v>VOB9170SCC</v>
          </cell>
          <cell r="B162" t="str">
            <v>B 9170 SCC</v>
          </cell>
          <cell r="C162">
            <v>136586364</v>
          </cell>
          <cell r="D162">
            <v>-30959576</v>
          </cell>
          <cell r="E162">
            <v>105626788</v>
          </cell>
        </row>
        <row r="163">
          <cell r="A163" t="str">
            <v>VOB9171SCC</v>
          </cell>
          <cell r="B163" t="str">
            <v>B 9171 SCC</v>
          </cell>
          <cell r="C163">
            <v>136586364</v>
          </cell>
          <cell r="D163">
            <v>-30959576</v>
          </cell>
          <cell r="E163">
            <v>105626788</v>
          </cell>
        </row>
        <row r="164">
          <cell r="A164" t="str">
            <v>VOB9171SCD</v>
          </cell>
          <cell r="B164" t="str">
            <v>B 9171 SCD</v>
          </cell>
          <cell r="C164">
            <v>145300000</v>
          </cell>
          <cell r="D164">
            <v>-8475833</v>
          </cell>
          <cell r="E164">
            <v>136824167</v>
          </cell>
        </row>
        <row r="165">
          <cell r="A165" t="str">
            <v>VOB9172J2</v>
          </cell>
          <cell r="B165" t="str">
            <v>#N/A</v>
          </cell>
          <cell r="C165">
            <v>13250000</v>
          </cell>
          <cell r="D165">
            <v>-10600000</v>
          </cell>
          <cell r="E165">
            <v>2650000</v>
          </cell>
        </row>
        <row r="166">
          <cell r="A166" t="str">
            <v>VOB9172SCD</v>
          </cell>
          <cell r="B166" t="str">
            <v>B 9172 SCD</v>
          </cell>
          <cell r="C166">
            <v>145300000</v>
          </cell>
          <cell r="D166">
            <v>-8475833</v>
          </cell>
          <cell r="E166">
            <v>136824167</v>
          </cell>
        </row>
        <row r="167">
          <cell r="A167" t="str">
            <v>VOB9173SCC</v>
          </cell>
          <cell r="B167" t="str">
            <v>B 9173 SCC</v>
          </cell>
          <cell r="C167">
            <v>136586364</v>
          </cell>
          <cell r="D167">
            <v>-30959576</v>
          </cell>
          <cell r="E167">
            <v>105626788</v>
          </cell>
        </row>
        <row r="168">
          <cell r="A168" t="str">
            <v>VOB9177SCC</v>
          </cell>
          <cell r="B168" t="str">
            <v>B 9177 SCC</v>
          </cell>
          <cell r="C168">
            <v>136586364</v>
          </cell>
          <cell r="D168">
            <v>-30959576</v>
          </cell>
          <cell r="E168">
            <v>105626788</v>
          </cell>
        </row>
        <row r="169">
          <cell r="A169" t="str">
            <v>VOB9178SCC</v>
          </cell>
          <cell r="B169" t="str">
            <v>B 9178 SCC</v>
          </cell>
          <cell r="C169">
            <v>136586364</v>
          </cell>
          <cell r="D169">
            <v>-30959576</v>
          </cell>
          <cell r="E169">
            <v>105626788</v>
          </cell>
        </row>
        <row r="170">
          <cell r="A170" t="str">
            <v>VOB9179J</v>
          </cell>
          <cell r="B170" t="str">
            <v>B 9179 J</v>
          </cell>
          <cell r="C170">
            <v>198750000</v>
          </cell>
          <cell r="D170">
            <v>-142708333</v>
          </cell>
          <cell r="E170">
            <v>56041667</v>
          </cell>
        </row>
        <row r="171">
          <cell r="A171" t="str">
            <v>VOB9179SCC</v>
          </cell>
          <cell r="B171" t="str">
            <v>B 9179 SCC</v>
          </cell>
          <cell r="C171">
            <v>136586364</v>
          </cell>
          <cell r="D171">
            <v>-30959576</v>
          </cell>
          <cell r="E171">
            <v>105626788</v>
          </cell>
        </row>
        <row r="172">
          <cell r="A172" t="str">
            <v>VOB9180SCC</v>
          </cell>
          <cell r="B172" t="str">
            <v>B 9180 SCC</v>
          </cell>
          <cell r="C172">
            <v>136586364</v>
          </cell>
          <cell r="D172">
            <v>-30959576</v>
          </cell>
          <cell r="E172">
            <v>105626788</v>
          </cell>
        </row>
        <row r="173">
          <cell r="A173" t="str">
            <v>VOB9181SCC</v>
          </cell>
          <cell r="B173" t="str">
            <v>B 9181 SCC</v>
          </cell>
          <cell r="C173">
            <v>136586364</v>
          </cell>
          <cell r="D173">
            <v>-30959576</v>
          </cell>
          <cell r="E173">
            <v>105626788</v>
          </cell>
        </row>
        <row r="174">
          <cell r="A174" t="str">
            <v>VOB9182SCC</v>
          </cell>
          <cell r="B174" t="str">
            <v>B 9182 SCC</v>
          </cell>
          <cell r="C174">
            <v>136586364</v>
          </cell>
          <cell r="D174">
            <v>-30959576</v>
          </cell>
          <cell r="E174">
            <v>105626788</v>
          </cell>
        </row>
        <row r="175">
          <cell r="A175" t="str">
            <v>VOB9182UQA</v>
          </cell>
          <cell r="B175" t="str">
            <v>B 9182 UQA</v>
          </cell>
          <cell r="C175">
            <v>330000000</v>
          </cell>
          <cell r="D175">
            <v>-159500000</v>
          </cell>
          <cell r="E175">
            <v>170500000</v>
          </cell>
        </row>
        <row r="176">
          <cell r="A176" t="str">
            <v>VOB9183J</v>
          </cell>
          <cell r="B176" t="str">
            <v>B 9183 J</v>
          </cell>
          <cell r="C176">
            <v>186250000</v>
          </cell>
          <cell r="D176">
            <v>-134583333</v>
          </cell>
          <cell r="E176">
            <v>51666667</v>
          </cell>
        </row>
        <row r="177">
          <cell r="A177" t="str">
            <v>VOB9183SCC</v>
          </cell>
          <cell r="B177" t="str">
            <v>B 9183 SCC</v>
          </cell>
          <cell r="C177">
            <v>136586364</v>
          </cell>
          <cell r="D177">
            <v>-30959576</v>
          </cell>
          <cell r="E177">
            <v>105626788</v>
          </cell>
        </row>
        <row r="178">
          <cell r="A178" t="str">
            <v>VOB9184SCC</v>
          </cell>
          <cell r="B178" t="str">
            <v>B 9184 SCC</v>
          </cell>
          <cell r="C178">
            <v>136586364</v>
          </cell>
          <cell r="D178">
            <v>-30959576</v>
          </cell>
          <cell r="E178">
            <v>105626788</v>
          </cell>
        </row>
        <row r="179">
          <cell r="A179" t="str">
            <v>VOB9185J</v>
          </cell>
          <cell r="B179" t="str">
            <v>#N/A</v>
          </cell>
          <cell r="C179">
            <v>13250000</v>
          </cell>
          <cell r="D179">
            <v>-10600000</v>
          </cell>
          <cell r="E179">
            <v>2650000</v>
          </cell>
        </row>
        <row r="180">
          <cell r="A180" t="str">
            <v>VOB9185SCC</v>
          </cell>
          <cell r="B180" t="str">
            <v>B 9185 SCC</v>
          </cell>
          <cell r="C180">
            <v>136586364</v>
          </cell>
          <cell r="D180">
            <v>-30959576</v>
          </cell>
          <cell r="E180">
            <v>105626788</v>
          </cell>
        </row>
        <row r="181">
          <cell r="A181" t="str">
            <v>VOB9185UQA</v>
          </cell>
          <cell r="B181" t="str">
            <v>B 9185 UQA</v>
          </cell>
          <cell r="C181">
            <v>340000000</v>
          </cell>
          <cell r="D181">
            <v>-164333333</v>
          </cell>
          <cell r="E181">
            <v>175666667</v>
          </cell>
        </row>
        <row r="182">
          <cell r="A182" t="str">
            <v>VOB9186J</v>
          </cell>
          <cell r="B182" t="str">
            <v>B 9186 J</v>
          </cell>
          <cell r="C182">
            <v>193385000</v>
          </cell>
          <cell r="D182">
            <v>-139340000</v>
          </cell>
          <cell r="E182">
            <v>54045000</v>
          </cell>
        </row>
        <row r="183">
          <cell r="A183" t="str">
            <v>VOB9186SCC</v>
          </cell>
          <cell r="B183" t="str">
            <v>B 9186 SCC</v>
          </cell>
          <cell r="C183">
            <v>136586364</v>
          </cell>
          <cell r="D183">
            <v>-30959576</v>
          </cell>
          <cell r="E183">
            <v>105626788</v>
          </cell>
        </row>
        <row r="184">
          <cell r="A184" t="str">
            <v>VOB9186UQA</v>
          </cell>
          <cell r="B184" t="str">
            <v>B 9186 UQA</v>
          </cell>
          <cell r="C184">
            <v>330000000</v>
          </cell>
          <cell r="D184">
            <v>-159500000</v>
          </cell>
          <cell r="E184">
            <v>170500000</v>
          </cell>
        </row>
        <row r="185">
          <cell r="A185" t="str">
            <v>VOB9187J</v>
          </cell>
          <cell r="B185" t="str">
            <v>B 9187 J</v>
          </cell>
          <cell r="C185">
            <v>198750000</v>
          </cell>
          <cell r="D185">
            <v>-142708333</v>
          </cell>
          <cell r="E185">
            <v>56041667</v>
          </cell>
        </row>
        <row r="186">
          <cell r="A186" t="str">
            <v>VOB9187SCC</v>
          </cell>
          <cell r="B186" t="str">
            <v>B 9187 SCC</v>
          </cell>
          <cell r="C186">
            <v>136586364</v>
          </cell>
          <cell r="D186">
            <v>-30959576</v>
          </cell>
          <cell r="E186">
            <v>105626788</v>
          </cell>
        </row>
        <row r="187">
          <cell r="A187" t="str">
            <v>VOB9188SCC</v>
          </cell>
          <cell r="B187" t="str">
            <v>B 9188 SCC</v>
          </cell>
          <cell r="C187">
            <v>136586364</v>
          </cell>
          <cell r="D187">
            <v>-30959576</v>
          </cell>
          <cell r="E187">
            <v>105626788</v>
          </cell>
        </row>
        <row r="188">
          <cell r="A188" t="str">
            <v>VOB9190J</v>
          </cell>
          <cell r="B188" t="str">
            <v>B 9190 J</v>
          </cell>
          <cell r="C188">
            <v>192080000</v>
          </cell>
          <cell r="D188">
            <v>-138518583</v>
          </cell>
          <cell r="E188">
            <v>53561417</v>
          </cell>
        </row>
        <row r="189">
          <cell r="A189" t="str">
            <v>VOB9193SCC</v>
          </cell>
          <cell r="B189" t="str">
            <v>B 9193 SCC</v>
          </cell>
          <cell r="C189">
            <v>136586364</v>
          </cell>
          <cell r="D189">
            <v>-30959576</v>
          </cell>
          <cell r="E189">
            <v>105626788</v>
          </cell>
        </row>
        <row r="190">
          <cell r="A190" t="str">
            <v>VOB9194SCC</v>
          </cell>
          <cell r="B190" t="str">
            <v>B 9194 SCC</v>
          </cell>
          <cell r="C190">
            <v>136586364</v>
          </cell>
          <cell r="D190">
            <v>-30959576</v>
          </cell>
          <cell r="E190">
            <v>105626788</v>
          </cell>
        </row>
        <row r="191">
          <cell r="A191" t="str">
            <v>VOB9195SCC</v>
          </cell>
          <cell r="B191" t="str">
            <v>B 9195 SCC</v>
          </cell>
          <cell r="C191">
            <v>136586364</v>
          </cell>
          <cell r="D191">
            <v>-30959576</v>
          </cell>
          <cell r="E191">
            <v>105626788</v>
          </cell>
        </row>
        <row r="192">
          <cell r="A192" t="str">
            <v>VOB9196SCC</v>
          </cell>
          <cell r="B192" t="str">
            <v>B 9196 SCC</v>
          </cell>
          <cell r="C192">
            <v>136586364</v>
          </cell>
          <cell r="D192">
            <v>-30959576</v>
          </cell>
          <cell r="E192">
            <v>105626788</v>
          </cell>
        </row>
        <row r="193">
          <cell r="A193" t="str">
            <v>VOB9197SCC</v>
          </cell>
          <cell r="B193" t="str">
            <v>B 9197 SCC</v>
          </cell>
          <cell r="C193">
            <v>136586364</v>
          </cell>
          <cell r="D193">
            <v>-30959576</v>
          </cell>
          <cell r="E193">
            <v>105626788</v>
          </cell>
        </row>
        <row r="194">
          <cell r="A194" t="str">
            <v>VOB9205SCC</v>
          </cell>
          <cell r="B194" t="str">
            <v>B 9205 SCC</v>
          </cell>
          <cell r="C194">
            <v>136586364</v>
          </cell>
          <cell r="D194">
            <v>-30959576</v>
          </cell>
          <cell r="E194">
            <v>105626788</v>
          </cell>
        </row>
        <row r="195">
          <cell r="A195" t="str">
            <v>VOB9205UCD1</v>
          </cell>
          <cell r="B195" t="str">
            <v>B 9205 UCD</v>
          </cell>
          <cell r="C195">
            <v>199109091</v>
          </cell>
          <cell r="D195">
            <v>-87939848</v>
          </cell>
          <cell r="E195">
            <v>111169243</v>
          </cell>
        </row>
        <row r="196">
          <cell r="A196" t="str">
            <v>VOB9206SCC</v>
          </cell>
          <cell r="B196" t="str">
            <v>B 9206 SCC</v>
          </cell>
          <cell r="C196">
            <v>136586347</v>
          </cell>
          <cell r="D196">
            <v>-30959573</v>
          </cell>
          <cell r="E196">
            <v>105626774</v>
          </cell>
        </row>
        <row r="197">
          <cell r="A197" t="str">
            <v>VOB9206UCD1</v>
          </cell>
          <cell r="B197" t="str">
            <v>B 9206 UCD</v>
          </cell>
          <cell r="C197">
            <v>199109091</v>
          </cell>
          <cell r="D197">
            <v>-87939848</v>
          </cell>
          <cell r="E197">
            <v>111169243</v>
          </cell>
        </row>
        <row r="198">
          <cell r="A198" t="str">
            <v>VOB9207JP</v>
          </cell>
          <cell r="B198" t="str">
            <v>B 9207 JP</v>
          </cell>
          <cell r="C198">
            <v>175181818</v>
          </cell>
          <cell r="D198">
            <v>-128325000</v>
          </cell>
          <cell r="E198">
            <v>46856818</v>
          </cell>
        </row>
        <row r="199">
          <cell r="A199" t="str">
            <v>VOB9207SCC</v>
          </cell>
          <cell r="B199" t="str">
            <v>B 9207 SCC</v>
          </cell>
          <cell r="C199">
            <v>136586364</v>
          </cell>
          <cell r="D199">
            <v>-30959576</v>
          </cell>
          <cell r="E199">
            <v>105626788</v>
          </cell>
        </row>
        <row r="200">
          <cell r="A200" t="str">
            <v>VOB9208SCC</v>
          </cell>
          <cell r="B200" t="str">
            <v>B 9208 SCC</v>
          </cell>
          <cell r="C200">
            <v>136586364</v>
          </cell>
          <cell r="D200">
            <v>-30959576</v>
          </cell>
          <cell r="E200">
            <v>105626788</v>
          </cell>
        </row>
        <row r="201">
          <cell r="A201" t="str">
            <v>VOB9209SCC</v>
          </cell>
          <cell r="B201" t="str">
            <v>B 9209 SCC</v>
          </cell>
          <cell r="C201">
            <v>136586364</v>
          </cell>
          <cell r="D201">
            <v>-30959576</v>
          </cell>
          <cell r="E201">
            <v>105626788</v>
          </cell>
        </row>
        <row r="202">
          <cell r="A202" t="str">
            <v>VOB9211UYX</v>
          </cell>
          <cell r="B202" t="str">
            <v>B 9211 UYX</v>
          </cell>
          <cell r="C202">
            <v>776454545</v>
          </cell>
          <cell r="D202">
            <v>-239406819</v>
          </cell>
          <cell r="E202">
            <v>537047726</v>
          </cell>
        </row>
        <row r="203">
          <cell r="A203" t="str">
            <v>VOB9212UYX</v>
          </cell>
          <cell r="B203" t="str">
            <v>B 9212 UYX</v>
          </cell>
          <cell r="C203">
            <v>776454545</v>
          </cell>
          <cell r="D203">
            <v>-239406819</v>
          </cell>
          <cell r="E203">
            <v>537047726</v>
          </cell>
        </row>
        <row r="204">
          <cell r="A204" t="str">
            <v>VOB9213UYX</v>
          </cell>
          <cell r="B204" t="str">
            <v>B 9213 UYX</v>
          </cell>
          <cell r="C204">
            <v>776454545</v>
          </cell>
          <cell r="D204">
            <v>-239406819</v>
          </cell>
          <cell r="E204">
            <v>537047726</v>
          </cell>
        </row>
        <row r="205">
          <cell r="A205" t="str">
            <v>VOB9214UYX</v>
          </cell>
          <cell r="B205" t="str">
            <v>B 9214 UYX</v>
          </cell>
          <cell r="C205">
            <v>776454545</v>
          </cell>
          <cell r="D205">
            <v>-239406819</v>
          </cell>
          <cell r="E205">
            <v>537047726</v>
          </cell>
        </row>
        <row r="206">
          <cell r="A206" t="str">
            <v>VOB9215UYX</v>
          </cell>
          <cell r="B206" t="str">
            <v>B 9215 UYX</v>
          </cell>
          <cell r="C206">
            <v>776454545</v>
          </cell>
          <cell r="D206">
            <v>-239406819</v>
          </cell>
          <cell r="E206">
            <v>537047726</v>
          </cell>
        </row>
        <row r="207">
          <cell r="A207" t="str">
            <v>VOB9216IT</v>
          </cell>
          <cell r="B207" t="str">
            <v>B 9216 IT</v>
          </cell>
          <cell r="C207">
            <v>174545455</v>
          </cell>
          <cell r="D207">
            <v>-138230114</v>
          </cell>
          <cell r="E207">
            <v>36315341</v>
          </cell>
        </row>
        <row r="208">
          <cell r="A208" t="str">
            <v>VOB9216UYX</v>
          </cell>
          <cell r="B208" t="str">
            <v>B 9216 UYX</v>
          </cell>
          <cell r="C208">
            <v>776454545</v>
          </cell>
          <cell r="D208">
            <v>-239406819</v>
          </cell>
          <cell r="E208">
            <v>537047726</v>
          </cell>
        </row>
        <row r="209">
          <cell r="A209" t="str">
            <v>VOB9217UYX</v>
          </cell>
          <cell r="B209" t="str">
            <v>B 9217 UYX</v>
          </cell>
          <cell r="C209">
            <v>776454545</v>
          </cell>
          <cell r="D209">
            <v>-239406819</v>
          </cell>
          <cell r="E209">
            <v>537047726</v>
          </cell>
        </row>
        <row r="210">
          <cell r="A210" t="str">
            <v>VOB9218UYX</v>
          </cell>
          <cell r="B210" t="str">
            <v>B 9218 UYX</v>
          </cell>
          <cell r="C210">
            <v>776454545</v>
          </cell>
          <cell r="D210">
            <v>-239406819</v>
          </cell>
          <cell r="E210">
            <v>537047726</v>
          </cell>
        </row>
        <row r="211">
          <cell r="A211" t="str">
            <v>VOB9219OT1</v>
          </cell>
          <cell r="B211" t="str">
            <v>B 9219 OT</v>
          </cell>
          <cell r="C211">
            <v>183403029</v>
          </cell>
          <cell r="D211">
            <v>-105456741</v>
          </cell>
          <cell r="E211">
            <v>77946288</v>
          </cell>
        </row>
        <row r="212">
          <cell r="A212" t="str">
            <v>VOB9219UYX</v>
          </cell>
          <cell r="B212" t="str">
            <v>B 9219 UYX</v>
          </cell>
          <cell r="C212">
            <v>776454545</v>
          </cell>
          <cell r="D212">
            <v>-239406819</v>
          </cell>
          <cell r="E212">
            <v>537047726</v>
          </cell>
        </row>
        <row r="213">
          <cell r="A213" t="str">
            <v>VOB9220UYX</v>
          </cell>
          <cell r="B213" t="str">
            <v>B 9220 UYX</v>
          </cell>
          <cell r="C213">
            <v>776454545</v>
          </cell>
          <cell r="D213">
            <v>-239406819</v>
          </cell>
          <cell r="E213">
            <v>537047726</v>
          </cell>
        </row>
        <row r="214">
          <cell r="A214" t="str">
            <v>VOB9221UYX</v>
          </cell>
          <cell r="B214" t="str">
            <v>B 9221 UYX</v>
          </cell>
          <cell r="C214">
            <v>776454545</v>
          </cell>
          <cell r="D214">
            <v>-239406819</v>
          </cell>
          <cell r="E214">
            <v>537047726</v>
          </cell>
        </row>
        <row r="215">
          <cell r="A215" t="str">
            <v>VOB9223UYX</v>
          </cell>
          <cell r="B215" t="str">
            <v>B 9223 UYX</v>
          </cell>
          <cell r="C215">
            <v>776454545</v>
          </cell>
          <cell r="D215">
            <v>-239406819</v>
          </cell>
          <cell r="E215">
            <v>537047726</v>
          </cell>
        </row>
        <row r="216">
          <cell r="A216" t="str">
            <v>VOB9224UYX</v>
          </cell>
          <cell r="B216" t="str">
            <v>B 9224 UYX</v>
          </cell>
          <cell r="C216">
            <v>776454545</v>
          </cell>
          <cell r="D216">
            <v>-239406819</v>
          </cell>
          <cell r="E216">
            <v>537047726</v>
          </cell>
        </row>
        <row r="217">
          <cell r="A217" t="str">
            <v>VOB9225UYX</v>
          </cell>
          <cell r="B217" t="str">
            <v>B 9225 UYX</v>
          </cell>
          <cell r="C217">
            <v>776454545</v>
          </cell>
          <cell r="D217">
            <v>-239406819</v>
          </cell>
          <cell r="E217">
            <v>537047726</v>
          </cell>
        </row>
        <row r="218">
          <cell r="A218" t="str">
            <v>VOB9227UYX</v>
          </cell>
          <cell r="B218" t="str">
            <v>B 9227 UYX</v>
          </cell>
          <cell r="C218">
            <v>776454545</v>
          </cell>
          <cell r="D218">
            <v>-239406819</v>
          </cell>
          <cell r="E218">
            <v>537047726</v>
          </cell>
        </row>
        <row r="219">
          <cell r="A219" t="str">
            <v>VOB9228UYX</v>
          </cell>
          <cell r="B219" t="str">
            <v>B 9228 UYX</v>
          </cell>
          <cell r="C219">
            <v>776454545</v>
          </cell>
          <cell r="D219">
            <v>-239406819</v>
          </cell>
          <cell r="E219">
            <v>537047726</v>
          </cell>
        </row>
        <row r="220">
          <cell r="A220" t="str">
            <v>VOB9229JE</v>
          </cell>
          <cell r="B220" t="str">
            <v>B 9229 JE</v>
          </cell>
          <cell r="C220">
            <v>151345455</v>
          </cell>
          <cell r="D220">
            <v>-120707614</v>
          </cell>
          <cell r="E220">
            <v>30637841</v>
          </cell>
        </row>
        <row r="221">
          <cell r="A221" t="str">
            <v>VOB9229UYX</v>
          </cell>
          <cell r="B221" t="str">
            <v>B 9229 UYX</v>
          </cell>
          <cell r="C221">
            <v>776454545</v>
          </cell>
          <cell r="D221">
            <v>-239406819</v>
          </cell>
          <cell r="E221">
            <v>537047726</v>
          </cell>
        </row>
        <row r="222">
          <cell r="A222" t="str">
            <v>VOB9230UYX</v>
          </cell>
          <cell r="B222" t="str">
            <v>B 9230 UYX</v>
          </cell>
          <cell r="C222">
            <v>776454545</v>
          </cell>
          <cell r="D222">
            <v>-239406819</v>
          </cell>
          <cell r="E222">
            <v>537047726</v>
          </cell>
        </row>
        <row r="223">
          <cell r="A223" t="str">
            <v>VOB9231UYX</v>
          </cell>
          <cell r="B223" t="str">
            <v>B 9231 UYX</v>
          </cell>
          <cell r="C223">
            <v>776454545</v>
          </cell>
          <cell r="D223">
            <v>-239406819</v>
          </cell>
          <cell r="E223">
            <v>537047726</v>
          </cell>
        </row>
        <row r="224">
          <cell r="A224" t="str">
            <v>VOB9232JE</v>
          </cell>
          <cell r="B224" t="str">
            <v>B 9232 JE</v>
          </cell>
          <cell r="C224">
            <v>147745455</v>
          </cell>
          <cell r="D224">
            <v>-117940114</v>
          </cell>
          <cell r="E224">
            <v>29805341</v>
          </cell>
        </row>
        <row r="225">
          <cell r="A225" t="str">
            <v>VOB9232UYX</v>
          </cell>
          <cell r="B225" t="str">
            <v>B 9232 UYX</v>
          </cell>
          <cell r="C225">
            <v>776454545</v>
          </cell>
          <cell r="D225">
            <v>-239406819</v>
          </cell>
          <cell r="E225">
            <v>537047726</v>
          </cell>
        </row>
        <row r="226">
          <cell r="A226" t="str">
            <v>VOB9233UYX</v>
          </cell>
          <cell r="B226" t="str">
            <v>B 9233 UYX</v>
          </cell>
          <cell r="C226">
            <v>776454545</v>
          </cell>
          <cell r="D226">
            <v>-239406819</v>
          </cell>
          <cell r="E226">
            <v>537047726</v>
          </cell>
        </row>
        <row r="227">
          <cell r="A227" t="str">
            <v>VOB9234UYX</v>
          </cell>
          <cell r="B227" t="str">
            <v>B 9234 UYX</v>
          </cell>
          <cell r="C227">
            <v>776454545</v>
          </cell>
          <cell r="D227">
            <v>-239406819</v>
          </cell>
          <cell r="E227">
            <v>537047726</v>
          </cell>
        </row>
        <row r="228">
          <cell r="A228" t="str">
            <v>VOB9235UYX</v>
          </cell>
          <cell r="B228" t="str">
            <v>B 9235 UYX</v>
          </cell>
          <cell r="C228">
            <v>776454545</v>
          </cell>
          <cell r="D228">
            <v>-239406819</v>
          </cell>
          <cell r="E228">
            <v>537047726</v>
          </cell>
        </row>
        <row r="229">
          <cell r="A229" t="str">
            <v>VOB9236UYX</v>
          </cell>
          <cell r="B229" t="str">
            <v>B 9236 UYX</v>
          </cell>
          <cell r="C229">
            <v>776454545</v>
          </cell>
          <cell r="D229">
            <v>-239406819</v>
          </cell>
          <cell r="E229">
            <v>537047726</v>
          </cell>
        </row>
        <row r="230">
          <cell r="A230" t="str">
            <v>VOB9237UYX</v>
          </cell>
          <cell r="B230" t="str">
            <v>B 9237 UYX</v>
          </cell>
          <cell r="C230">
            <v>776454545</v>
          </cell>
          <cell r="D230">
            <v>-239406819</v>
          </cell>
          <cell r="E230">
            <v>537047726</v>
          </cell>
        </row>
        <row r="231">
          <cell r="A231" t="str">
            <v>VOB9238UYX</v>
          </cell>
          <cell r="B231" t="str">
            <v>B 9238 UYX</v>
          </cell>
          <cell r="C231">
            <v>776454545</v>
          </cell>
          <cell r="D231">
            <v>-239406819</v>
          </cell>
          <cell r="E231">
            <v>537047726</v>
          </cell>
        </row>
        <row r="232">
          <cell r="A232" t="str">
            <v>VOB9239UYX</v>
          </cell>
          <cell r="B232" t="str">
            <v>B 9239 UYX</v>
          </cell>
          <cell r="C232">
            <v>776454545</v>
          </cell>
          <cell r="D232">
            <v>-239406819</v>
          </cell>
          <cell r="E232">
            <v>537047726</v>
          </cell>
        </row>
        <row r="233">
          <cell r="A233" t="str">
            <v>VOB9240UYX</v>
          </cell>
          <cell r="B233" t="str">
            <v>B 9240 UYX</v>
          </cell>
          <cell r="C233">
            <v>776454545</v>
          </cell>
          <cell r="D233">
            <v>-239406819</v>
          </cell>
          <cell r="E233">
            <v>537047726</v>
          </cell>
        </row>
        <row r="234">
          <cell r="A234" t="str">
            <v>VOB9241UYX</v>
          </cell>
          <cell r="B234" t="str">
            <v>B 9241 UYX</v>
          </cell>
          <cell r="C234">
            <v>776454545</v>
          </cell>
          <cell r="D234">
            <v>-239406819</v>
          </cell>
          <cell r="E234">
            <v>537047726</v>
          </cell>
        </row>
        <row r="235">
          <cell r="A235" t="str">
            <v>VOB9251JV</v>
          </cell>
          <cell r="B235" t="str">
            <v>B 9251 JV</v>
          </cell>
          <cell r="C235">
            <v>143577727</v>
          </cell>
          <cell r="D235">
            <v>-114862182</v>
          </cell>
          <cell r="E235">
            <v>28715545</v>
          </cell>
        </row>
        <row r="236">
          <cell r="A236" t="str">
            <v>VOB9256UCC1</v>
          </cell>
          <cell r="B236" t="str">
            <v>B 9256 UCC</v>
          </cell>
          <cell r="C236">
            <v>226259091</v>
          </cell>
          <cell r="D236">
            <v>-109358560</v>
          </cell>
          <cell r="E236">
            <v>116900531</v>
          </cell>
        </row>
        <row r="237">
          <cell r="A237" t="str">
            <v>VOB9257UCC1</v>
          </cell>
          <cell r="B237" t="str">
            <v>B 9257 UCC</v>
          </cell>
          <cell r="C237">
            <v>226259091</v>
          </cell>
          <cell r="D237">
            <v>-109358560</v>
          </cell>
          <cell r="E237">
            <v>116900531</v>
          </cell>
        </row>
        <row r="238">
          <cell r="A238" t="str">
            <v>VOB9258UCC1</v>
          </cell>
          <cell r="B238" t="str">
            <v>B 9258 UCC</v>
          </cell>
          <cell r="C238">
            <v>226259091</v>
          </cell>
          <cell r="D238">
            <v>-109358560</v>
          </cell>
          <cell r="E238">
            <v>116900531</v>
          </cell>
        </row>
        <row r="239">
          <cell r="A239" t="str">
            <v>VOB9259UCC1</v>
          </cell>
          <cell r="B239" t="str">
            <v>B 9259 UCC</v>
          </cell>
          <cell r="C239">
            <v>226259091</v>
          </cell>
          <cell r="D239">
            <v>-109358560</v>
          </cell>
          <cell r="E239">
            <v>116900531</v>
          </cell>
        </row>
        <row r="240">
          <cell r="A240" t="str">
            <v>VOB9264UCB1</v>
          </cell>
          <cell r="B240" t="str">
            <v>B 9264 UCB</v>
          </cell>
          <cell r="C240">
            <v>213947500</v>
          </cell>
          <cell r="D240">
            <v>-110539543</v>
          </cell>
          <cell r="E240">
            <v>103407957</v>
          </cell>
        </row>
        <row r="241">
          <cell r="A241" t="str">
            <v>VOB9265UCB1</v>
          </cell>
          <cell r="B241" t="str">
            <v>B 9265 UCB</v>
          </cell>
          <cell r="C241">
            <v>213947500</v>
          </cell>
          <cell r="D241">
            <v>-110539543</v>
          </cell>
          <cell r="E241">
            <v>103407957</v>
          </cell>
        </row>
        <row r="242">
          <cell r="A242" t="str">
            <v>VOB9266UCB1</v>
          </cell>
          <cell r="B242" t="str">
            <v>B 9266 UCB</v>
          </cell>
          <cell r="C242">
            <v>213947500</v>
          </cell>
          <cell r="D242">
            <v>-110539543</v>
          </cell>
          <cell r="E242">
            <v>103407957</v>
          </cell>
        </row>
        <row r="243">
          <cell r="A243" t="str">
            <v>VOB9267WF</v>
          </cell>
          <cell r="B243" t="str">
            <v>B 9267 WF</v>
          </cell>
          <cell r="C243">
            <v>785000000</v>
          </cell>
          <cell r="D243">
            <v>-340166667</v>
          </cell>
          <cell r="E243">
            <v>444833333</v>
          </cell>
        </row>
        <row r="244">
          <cell r="A244" t="str">
            <v>VOB9267ZJ1</v>
          </cell>
          <cell r="B244" t="str">
            <v>B 9267 ZJ</v>
          </cell>
          <cell r="C244">
            <v>141818181</v>
          </cell>
          <cell r="D244">
            <v>-109909090</v>
          </cell>
          <cell r="E244">
            <v>31909091</v>
          </cell>
        </row>
        <row r="245">
          <cell r="A245" t="str">
            <v>VOB9296RJ</v>
          </cell>
          <cell r="B245" t="str">
            <v>B 9296 RJ</v>
          </cell>
          <cell r="C245">
            <v>172845455</v>
          </cell>
          <cell r="D245">
            <v>-138153447</v>
          </cell>
          <cell r="E245">
            <v>34692008</v>
          </cell>
        </row>
        <row r="246">
          <cell r="A246" t="str">
            <v>VOB9297RJ</v>
          </cell>
          <cell r="B246" t="str">
            <v>B 9297 RJ</v>
          </cell>
          <cell r="C246">
            <v>174545455</v>
          </cell>
          <cell r="D246">
            <v>-138230114</v>
          </cell>
          <cell r="E246">
            <v>36315341</v>
          </cell>
        </row>
        <row r="247">
          <cell r="A247" t="str">
            <v>VOB9298JV</v>
          </cell>
          <cell r="B247" t="str">
            <v>B 9298 JV</v>
          </cell>
          <cell r="C247">
            <v>143577727</v>
          </cell>
          <cell r="D247">
            <v>-114862182</v>
          </cell>
          <cell r="E247">
            <v>28715545</v>
          </cell>
        </row>
        <row r="248">
          <cell r="A248" t="str">
            <v>VOB9298RJ</v>
          </cell>
          <cell r="B248" t="str">
            <v>B 9298 RJ</v>
          </cell>
          <cell r="C248">
            <v>161045455</v>
          </cell>
          <cell r="D248">
            <v>-128836364</v>
          </cell>
          <cell r="E248">
            <v>32209091</v>
          </cell>
        </row>
        <row r="249">
          <cell r="A249" t="str">
            <v>VOB9312UDB</v>
          </cell>
          <cell r="B249" t="str">
            <v>B 9312 UDB</v>
          </cell>
          <cell r="C249">
            <v>416018181</v>
          </cell>
          <cell r="D249">
            <v>-190674999</v>
          </cell>
          <cell r="E249">
            <v>225343182</v>
          </cell>
        </row>
        <row r="250">
          <cell r="A250" t="str">
            <v>VOB9312UT</v>
          </cell>
          <cell r="B250" t="str">
            <v>B 9312 UT</v>
          </cell>
          <cell r="C250">
            <v>640031818</v>
          </cell>
          <cell r="D250">
            <v>-412087084</v>
          </cell>
          <cell r="E250">
            <v>227944734</v>
          </cell>
        </row>
        <row r="251">
          <cell r="A251" t="str">
            <v>VOB9314UT</v>
          </cell>
          <cell r="B251" t="str">
            <v>B 9314 UT</v>
          </cell>
          <cell r="C251">
            <v>622531818</v>
          </cell>
          <cell r="D251">
            <v>-400857917</v>
          </cell>
          <cell r="E251">
            <v>221673901</v>
          </cell>
        </row>
        <row r="252">
          <cell r="A252" t="str">
            <v>VOB9314ZJ</v>
          </cell>
          <cell r="B252" t="str">
            <v>B 9314 ZJ</v>
          </cell>
          <cell r="C252">
            <v>141818181</v>
          </cell>
          <cell r="D252">
            <v>-109909090</v>
          </cell>
          <cell r="E252">
            <v>31909091</v>
          </cell>
        </row>
        <row r="253">
          <cell r="A253" t="str">
            <v>VOB9316UT</v>
          </cell>
          <cell r="B253" t="str">
            <v>B 9316 UT</v>
          </cell>
          <cell r="C253">
            <v>640031818</v>
          </cell>
          <cell r="D253">
            <v>-411941250</v>
          </cell>
          <cell r="E253">
            <v>228090568</v>
          </cell>
        </row>
        <row r="254">
          <cell r="A254" t="str">
            <v>VOB9317UCB1</v>
          </cell>
          <cell r="B254" t="str">
            <v>B 9317 UCB</v>
          </cell>
          <cell r="C254">
            <v>219492954</v>
          </cell>
          <cell r="D254">
            <v>-113404693</v>
          </cell>
          <cell r="E254">
            <v>106088261</v>
          </cell>
        </row>
        <row r="255">
          <cell r="A255" t="str">
            <v>VOB9317UT</v>
          </cell>
          <cell r="B255" t="str">
            <v>B 9317 UT</v>
          </cell>
          <cell r="C255">
            <v>622531818</v>
          </cell>
          <cell r="D255">
            <v>-400857917</v>
          </cell>
          <cell r="E255">
            <v>221673901</v>
          </cell>
        </row>
        <row r="256">
          <cell r="A256" t="str">
            <v>VOB9318OT1</v>
          </cell>
          <cell r="B256" t="str">
            <v>B 9318 OT</v>
          </cell>
          <cell r="C256">
            <v>180503029</v>
          </cell>
          <cell r="D256">
            <v>-103789241</v>
          </cell>
          <cell r="E256">
            <v>76713788</v>
          </cell>
        </row>
        <row r="257">
          <cell r="A257" t="str">
            <v>VOB9318UT</v>
          </cell>
          <cell r="B257" t="str">
            <v>B 9318 UT</v>
          </cell>
          <cell r="C257">
            <v>640031818</v>
          </cell>
          <cell r="D257">
            <v>-411795417</v>
          </cell>
          <cell r="E257">
            <v>228236401</v>
          </cell>
        </row>
        <row r="258">
          <cell r="A258" t="str">
            <v>VOB9319ZG</v>
          </cell>
          <cell r="B258" t="str">
            <v>B 9319 ZG</v>
          </cell>
          <cell r="C258">
            <v>183381818</v>
          </cell>
          <cell r="D258">
            <v>-135178182</v>
          </cell>
          <cell r="E258">
            <v>48203636</v>
          </cell>
        </row>
        <row r="259">
          <cell r="A259" t="str">
            <v>VOB9320JE</v>
          </cell>
          <cell r="B259" t="str">
            <v>B 9320 JE</v>
          </cell>
          <cell r="C259">
            <v>255500000</v>
          </cell>
          <cell r="D259">
            <v>-204400000</v>
          </cell>
          <cell r="E259">
            <v>51100000</v>
          </cell>
        </row>
        <row r="260">
          <cell r="A260" t="str">
            <v>VOB9328UDB</v>
          </cell>
          <cell r="B260" t="str">
            <v>B 9328 UDB</v>
          </cell>
          <cell r="C260">
            <v>416018181</v>
          </cell>
          <cell r="D260">
            <v>-190674999</v>
          </cell>
          <cell r="E260">
            <v>225343182</v>
          </cell>
        </row>
        <row r="261">
          <cell r="A261" t="str">
            <v>VOB9329UDB</v>
          </cell>
          <cell r="B261" t="str">
            <v>B 9329 UDB</v>
          </cell>
          <cell r="C261">
            <v>416018181</v>
          </cell>
          <cell r="D261">
            <v>-190674999</v>
          </cell>
          <cell r="E261">
            <v>225343182</v>
          </cell>
        </row>
        <row r="262">
          <cell r="A262" t="str">
            <v>VOB9335UCB1</v>
          </cell>
          <cell r="B262" t="str">
            <v>B 9335 UCB</v>
          </cell>
          <cell r="C262">
            <v>180755363</v>
          </cell>
          <cell r="D262">
            <v>-94896565</v>
          </cell>
          <cell r="E262">
            <v>85858798</v>
          </cell>
        </row>
        <row r="263">
          <cell r="A263" t="str">
            <v>VOB9340IG</v>
          </cell>
          <cell r="B263" t="str">
            <v>B 9340 IG</v>
          </cell>
          <cell r="C263">
            <v>110985000</v>
          </cell>
          <cell r="D263">
            <v>-84071958</v>
          </cell>
          <cell r="E263">
            <v>26913042</v>
          </cell>
        </row>
        <row r="264">
          <cell r="A264" t="str">
            <v>VOB9340UYW</v>
          </cell>
          <cell r="B264" t="str">
            <v>B 9340 UYW</v>
          </cell>
          <cell r="C264">
            <v>754090909</v>
          </cell>
          <cell r="D264">
            <v>-263931818</v>
          </cell>
          <cell r="E264">
            <v>490159091</v>
          </cell>
        </row>
        <row r="265">
          <cell r="A265" t="str">
            <v>VOB9341UYW</v>
          </cell>
          <cell r="B265" t="str">
            <v>B 9341 UYW</v>
          </cell>
          <cell r="C265">
            <v>754090909</v>
          </cell>
          <cell r="D265">
            <v>-263931818</v>
          </cell>
          <cell r="E265">
            <v>490159091</v>
          </cell>
        </row>
        <row r="266">
          <cell r="A266" t="str">
            <v>VOB9342UYW</v>
          </cell>
          <cell r="B266" t="str">
            <v>B 9342 UYW</v>
          </cell>
          <cell r="C266">
            <v>754090909</v>
          </cell>
          <cell r="D266">
            <v>-263931818</v>
          </cell>
          <cell r="E266">
            <v>490159091</v>
          </cell>
        </row>
        <row r="267">
          <cell r="A267" t="str">
            <v>VOB9343UYW</v>
          </cell>
          <cell r="B267" t="str">
            <v>B 9343 UYW</v>
          </cell>
          <cell r="C267">
            <v>754090909</v>
          </cell>
          <cell r="D267">
            <v>-263931818</v>
          </cell>
          <cell r="E267">
            <v>490159091</v>
          </cell>
        </row>
        <row r="268">
          <cell r="A268" t="str">
            <v>VOB9344UYW</v>
          </cell>
          <cell r="B268" t="str">
            <v>B 9344 UYW</v>
          </cell>
          <cell r="C268">
            <v>419000000</v>
          </cell>
          <cell r="D268">
            <v>-146933333</v>
          </cell>
          <cell r="E268">
            <v>272066667</v>
          </cell>
        </row>
        <row r="269">
          <cell r="A269" t="str">
            <v>VOB9345UYW</v>
          </cell>
          <cell r="B269" t="str">
            <v>B 9345 UYW</v>
          </cell>
          <cell r="C269">
            <v>754090909</v>
          </cell>
          <cell r="D269">
            <v>-263931818</v>
          </cell>
          <cell r="E269">
            <v>490159091</v>
          </cell>
        </row>
        <row r="270">
          <cell r="A270" t="str">
            <v>VOB9346UYW</v>
          </cell>
          <cell r="B270" t="str">
            <v>B 9346 UYW</v>
          </cell>
          <cell r="C270">
            <v>754090909</v>
          </cell>
          <cell r="D270">
            <v>-263931818</v>
          </cell>
          <cell r="E270">
            <v>490159091</v>
          </cell>
        </row>
        <row r="271">
          <cell r="A271" t="str">
            <v>VOB9347JD</v>
          </cell>
          <cell r="B271" t="str">
            <v>B 9347 JD</v>
          </cell>
          <cell r="C271">
            <v>310947364</v>
          </cell>
          <cell r="D271">
            <v>-248757891</v>
          </cell>
          <cell r="E271">
            <v>62189473</v>
          </cell>
        </row>
        <row r="272">
          <cell r="A272" t="str">
            <v>VOB9347NJ</v>
          </cell>
          <cell r="B272" t="str">
            <v>B 9347 NJ</v>
          </cell>
          <cell r="C272">
            <v>255720000</v>
          </cell>
          <cell r="D272">
            <v>-204576000</v>
          </cell>
          <cell r="E272">
            <v>51144000</v>
          </cell>
        </row>
        <row r="273">
          <cell r="A273" t="str">
            <v>VOB9347UYW</v>
          </cell>
          <cell r="B273" t="str">
            <v>B 9347 UYW</v>
          </cell>
          <cell r="C273">
            <v>754090909</v>
          </cell>
          <cell r="D273">
            <v>-263931818</v>
          </cell>
          <cell r="E273">
            <v>490159091</v>
          </cell>
        </row>
        <row r="274">
          <cell r="A274" t="str">
            <v>VOB9348UYW</v>
          </cell>
          <cell r="B274" t="str">
            <v>B 9348 UYW</v>
          </cell>
          <cell r="C274">
            <v>754090909</v>
          </cell>
          <cell r="D274">
            <v>-263931818</v>
          </cell>
          <cell r="E274">
            <v>490159091</v>
          </cell>
        </row>
        <row r="275">
          <cell r="A275" t="str">
            <v>VOB9349UYW</v>
          </cell>
          <cell r="B275" t="str">
            <v>B 9349 UYW</v>
          </cell>
          <cell r="C275">
            <v>754090909</v>
          </cell>
          <cell r="D275">
            <v>-263931818</v>
          </cell>
          <cell r="E275">
            <v>490159091</v>
          </cell>
        </row>
        <row r="276">
          <cell r="A276" t="str">
            <v>VOB9350UYW</v>
          </cell>
          <cell r="B276" t="str">
            <v>B 9350 UYW</v>
          </cell>
          <cell r="C276">
            <v>839090909</v>
          </cell>
          <cell r="D276">
            <v>-290140151</v>
          </cell>
          <cell r="E276">
            <v>548950758</v>
          </cell>
        </row>
        <row r="277">
          <cell r="A277" t="str">
            <v>VOB9351UYW</v>
          </cell>
          <cell r="B277" t="str">
            <v>B 9351 UYW</v>
          </cell>
          <cell r="C277">
            <v>754090909</v>
          </cell>
          <cell r="D277">
            <v>-263931818</v>
          </cell>
          <cell r="E277">
            <v>490159091</v>
          </cell>
        </row>
        <row r="278">
          <cell r="A278" t="str">
            <v>VOB9352UYW</v>
          </cell>
          <cell r="B278" t="str">
            <v>B 9352 UYW</v>
          </cell>
          <cell r="C278">
            <v>754090909</v>
          </cell>
          <cell r="D278">
            <v>-263931818</v>
          </cell>
          <cell r="E278">
            <v>490159091</v>
          </cell>
        </row>
        <row r="279">
          <cell r="A279" t="str">
            <v>VOB9353UYW</v>
          </cell>
          <cell r="B279" t="str">
            <v>B 9353 UYW</v>
          </cell>
          <cell r="C279">
            <v>754090909</v>
          </cell>
          <cell r="D279">
            <v>-263931818</v>
          </cell>
          <cell r="E279">
            <v>490159091</v>
          </cell>
        </row>
        <row r="280">
          <cell r="A280" t="str">
            <v>VOB9354UYW</v>
          </cell>
          <cell r="B280" t="str">
            <v>B 9354 UYW</v>
          </cell>
          <cell r="C280">
            <v>846590909</v>
          </cell>
          <cell r="D280">
            <v>-290690151</v>
          </cell>
          <cell r="E280">
            <v>555900758</v>
          </cell>
        </row>
        <row r="281">
          <cell r="A281" t="str">
            <v>VOB9355JD</v>
          </cell>
          <cell r="B281" t="str">
            <v>B 9355 JD</v>
          </cell>
          <cell r="C281">
            <v>310947364</v>
          </cell>
          <cell r="D281">
            <v>-248757891</v>
          </cell>
          <cell r="E281">
            <v>62189473</v>
          </cell>
        </row>
        <row r="282">
          <cell r="A282" t="str">
            <v>VOB9355UYW</v>
          </cell>
          <cell r="B282" t="str">
            <v>B 9355 UYW</v>
          </cell>
          <cell r="C282">
            <v>754090909</v>
          </cell>
          <cell r="D282">
            <v>-263931818</v>
          </cell>
          <cell r="E282">
            <v>490159091</v>
          </cell>
        </row>
        <row r="283">
          <cell r="A283" t="str">
            <v>VOB9356UYW</v>
          </cell>
          <cell r="B283" t="str">
            <v>B 9356 UYW</v>
          </cell>
          <cell r="C283">
            <v>754090909</v>
          </cell>
          <cell r="D283">
            <v>-263931818</v>
          </cell>
          <cell r="E283">
            <v>490159091</v>
          </cell>
        </row>
        <row r="284">
          <cell r="A284" t="str">
            <v>VOB9357UYW</v>
          </cell>
          <cell r="B284" t="str">
            <v>B 9357 UYW</v>
          </cell>
          <cell r="C284">
            <v>754090909</v>
          </cell>
          <cell r="D284">
            <v>-263931818</v>
          </cell>
          <cell r="E284">
            <v>490159091</v>
          </cell>
        </row>
        <row r="285">
          <cell r="A285" t="str">
            <v>VOB9358UYW</v>
          </cell>
          <cell r="B285" t="str">
            <v>B 9358 UYW</v>
          </cell>
          <cell r="C285">
            <v>754090909</v>
          </cell>
          <cell r="D285">
            <v>-263931818</v>
          </cell>
          <cell r="E285">
            <v>490159091</v>
          </cell>
        </row>
        <row r="286">
          <cell r="A286" t="str">
            <v>VOB9359UYW</v>
          </cell>
          <cell r="B286" t="str">
            <v>B 9359 UYW</v>
          </cell>
          <cell r="C286">
            <v>754090909</v>
          </cell>
          <cell r="D286">
            <v>-263931818</v>
          </cell>
          <cell r="E286">
            <v>490159091</v>
          </cell>
        </row>
        <row r="287">
          <cell r="A287" t="str">
            <v>VOB9360UYW</v>
          </cell>
          <cell r="B287" t="str">
            <v>B 9360 UYW</v>
          </cell>
          <cell r="C287">
            <v>754090909</v>
          </cell>
          <cell r="D287">
            <v>-263931818</v>
          </cell>
          <cell r="E287">
            <v>490159091</v>
          </cell>
        </row>
        <row r="288">
          <cell r="A288" t="str">
            <v>VOB9361UYW</v>
          </cell>
          <cell r="B288" t="str">
            <v>B 9361 UYW</v>
          </cell>
          <cell r="C288">
            <v>754090909</v>
          </cell>
          <cell r="D288">
            <v>-263931818</v>
          </cell>
          <cell r="E288">
            <v>490159091</v>
          </cell>
        </row>
        <row r="289">
          <cell r="A289" t="str">
            <v>VOB9362JL</v>
          </cell>
          <cell r="B289" t="str">
            <v>B 9362 JL</v>
          </cell>
          <cell r="C289">
            <v>517500000</v>
          </cell>
          <cell r="D289">
            <v>-228562500</v>
          </cell>
          <cell r="E289">
            <v>288937500</v>
          </cell>
        </row>
        <row r="290">
          <cell r="A290" t="str">
            <v>VOB9362UYW</v>
          </cell>
          <cell r="B290" t="str">
            <v>B 9362 UYW</v>
          </cell>
          <cell r="C290">
            <v>754090909</v>
          </cell>
          <cell r="D290">
            <v>-263931818</v>
          </cell>
          <cell r="E290">
            <v>490159091</v>
          </cell>
        </row>
        <row r="291">
          <cell r="A291" t="str">
            <v>VOB9363UYW</v>
          </cell>
          <cell r="B291" t="str">
            <v>B 9363 UYW</v>
          </cell>
          <cell r="C291">
            <v>754090909</v>
          </cell>
          <cell r="D291">
            <v>-263931818</v>
          </cell>
          <cell r="E291">
            <v>490159091</v>
          </cell>
        </row>
        <row r="292">
          <cell r="A292" t="str">
            <v>VOB9364UYW</v>
          </cell>
          <cell r="B292" t="str">
            <v>B 9364 UYW</v>
          </cell>
          <cell r="C292">
            <v>754090909</v>
          </cell>
          <cell r="D292">
            <v>-263931818</v>
          </cell>
          <cell r="E292">
            <v>490159091</v>
          </cell>
        </row>
        <row r="293">
          <cell r="A293" t="str">
            <v>VOB9365UYW</v>
          </cell>
          <cell r="B293" t="str">
            <v>B 9365 UYW</v>
          </cell>
          <cell r="C293">
            <v>754090909</v>
          </cell>
          <cell r="D293">
            <v>-263931818</v>
          </cell>
          <cell r="E293">
            <v>490159091</v>
          </cell>
        </row>
        <row r="294">
          <cell r="A294" t="str">
            <v>VOB9366UYW</v>
          </cell>
          <cell r="B294" t="str">
            <v>B 9366 UYW</v>
          </cell>
          <cell r="C294">
            <v>754090909</v>
          </cell>
          <cell r="D294">
            <v>-263931818</v>
          </cell>
          <cell r="E294">
            <v>490159091</v>
          </cell>
        </row>
        <row r="295">
          <cell r="A295" t="str">
            <v>VOB9367UYW</v>
          </cell>
          <cell r="B295" t="str">
            <v>B 9367 UYW</v>
          </cell>
          <cell r="C295">
            <v>754090910</v>
          </cell>
          <cell r="D295">
            <v>-263931819</v>
          </cell>
          <cell r="E295">
            <v>490159091</v>
          </cell>
        </row>
        <row r="296">
          <cell r="A296" t="str">
            <v>VOB9368UYW</v>
          </cell>
          <cell r="B296" t="str">
            <v>B 9368 UYW</v>
          </cell>
          <cell r="C296">
            <v>754090910</v>
          </cell>
          <cell r="D296">
            <v>-263931819</v>
          </cell>
          <cell r="E296">
            <v>490159091</v>
          </cell>
        </row>
        <row r="297">
          <cell r="A297" t="str">
            <v>VOB9369UYW</v>
          </cell>
          <cell r="B297" t="str">
            <v>B 9369 UYW</v>
          </cell>
          <cell r="C297">
            <v>754090910</v>
          </cell>
          <cell r="D297">
            <v>-263931819</v>
          </cell>
          <cell r="E297">
            <v>490159091</v>
          </cell>
        </row>
        <row r="298">
          <cell r="A298" t="str">
            <v>VOB9370UYW</v>
          </cell>
          <cell r="B298" t="str">
            <v>B 9370 UYW</v>
          </cell>
          <cell r="C298">
            <v>754090909</v>
          </cell>
          <cell r="D298">
            <v>-263931818</v>
          </cell>
          <cell r="E298">
            <v>490159091</v>
          </cell>
        </row>
        <row r="299">
          <cell r="A299" t="str">
            <v>VOB9371JD</v>
          </cell>
          <cell r="B299" t="str">
            <v>B 9371 JD</v>
          </cell>
          <cell r="C299">
            <v>310947364</v>
          </cell>
          <cell r="D299">
            <v>-248757891</v>
          </cell>
          <cell r="E299">
            <v>62189473</v>
          </cell>
        </row>
        <row r="300">
          <cell r="A300" t="str">
            <v>VOB9384JK</v>
          </cell>
          <cell r="B300" t="str">
            <v>B 9384 JK</v>
          </cell>
          <cell r="C300">
            <v>147745455</v>
          </cell>
          <cell r="D300">
            <v>-117940114</v>
          </cell>
          <cell r="E300">
            <v>29805341</v>
          </cell>
        </row>
        <row r="301">
          <cell r="A301" t="str">
            <v>VOB9387UDB</v>
          </cell>
          <cell r="B301" t="str">
            <v>B 9387 UDB</v>
          </cell>
          <cell r="C301">
            <v>224377272</v>
          </cell>
          <cell r="D301">
            <v>-100594772</v>
          </cell>
          <cell r="E301">
            <v>123782500</v>
          </cell>
        </row>
        <row r="302">
          <cell r="A302" t="str">
            <v>VOB9388UDB</v>
          </cell>
          <cell r="B302" t="str">
            <v>B 9388 UDB</v>
          </cell>
          <cell r="C302">
            <v>224377272</v>
          </cell>
          <cell r="D302">
            <v>-100594772</v>
          </cell>
          <cell r="E302">
            <v>123782500</v>
          </cell>
        </row>
        <row r="303">
          <cell r="A303" t="str">
            <v>VOB9389JD</v>
          </cell>
          <cell r="B303" t="str">
            <v>B 9389 JD</v>
          </cell>
          <cell r="C303">
            <v>310947364</v>
          </cell>
          <cell r="D303">
            <v>-248757891</v>
          </cell>
          <cell r="E303">
            <v>62189473</v>
          </cell>
        </row>
        <row r="304">
          <cell r="A304" t="str">
            <v>VOB9389UDB</v>
          </cell>
          <cell r="B304" t="str">
            <v>B 9389 UDB</v>
          </cell>
          <cell r="C304">
            <v>224377272</v>
          </cell>
          <cell r="D304">
            <v>-100594772</v>
          </cell>
          <cell r="E304">
            <v>123782500</v>
          </cell>
        </row>
        <row r="305">
          <cell r="A305" t="str">
            <v>VOB9390UDB</v>
          </cell>
          <cell r="B305" t="str">
            <v>B 9390 UDB</v>
          </cell>
          <cell r="C305">
            <v>224377272</v>
          </cell>
          <cell r="D305">
            <v>-100594772</v>
          </cell>
          <cell r="E305">
            <v>123782500</v>
          </cell>
        </row>
        <row r="306">
          <cell r="A306" t="str">
            <v>VOB9395UDB</v>
          </cell>
          <cell r="B306" t="str">
            <v>B 9395 UDB</v>
          </cell>
          <cell r="C306">
            <v>224377272</v>
          </cell>
          <cell r="D306">
            <v>-100594772</v>
          </cell>
          <cell r="E306">
            <v>123782500</v>
          </cell>
        </row>
        <row r="307">
          <cell r="A307" t="str">
            <v>VOB9396JD</v>
          </cell>
          <cell r="B307" t="str">
            <v>B 9396 JD</v>
          </cell>
          <cell r="C307">
            <v>310947364</v>
          </cell>
          <cell r="D307">
            <v>-248757891</v>
          </cell>
          <cell r="E307">
            <v>62189473</v>
          </cell>
        </row>
        <row r="308">
          <cell r="A308" t="str">
            <v>VOB9396UCA1</v>
          </cell>
          <cell r="B308" t="str">
            <v>B 9396 UCA</v>
          </cell>
          <cell r="C308">
            <v>226722728</v>
          </cell>
          <cell r="D308">
            <v>-131584092</v>
          </cell>
          <cell r="E308">
            <v>95138636</v>
          </cell>
        </row>
        <row r="309">
          <cell r="A309" t="str">
            <v>VOB9396UDB</v>
          </cell>
          <cell r="B309" t="str">
            <v>B 9396 UDB</v>
          </cell>
          <cell r="C309">
            <v>224377272</v>
          </cell>
          <cell r="D309">
            <v>-100782272</v>
          </cell>
          <cell r="E309">
            <v>123595000</v>
          </cell>
        </row>
        <row r="310">
          <cell r="A310" t="str">
            <v>VOB9397UDB</v>
          </cell>
          <cell r="B310" t="str">
            <v>B 9397 UDB</v>
          </cell>
          <cell r="C310">
            <v>224377272</v>
          </cell>
          <cell r="D310">
            <v>-100782272</v>
          </cell>
          <cell r="E310">
            <v>123595000</v>
          </cell>
        </row>
        <row r="311">
          <cell r="A311" t="str">
            <v>VOB9398UDB</v>
          </cell>
          <cell r="B311" t="str">
            <v>B 9398 UDB</v>
          </cell>
          <cell r="C311">
            <v>224377272</v>
          </cell>
          <cell r="D311">
            <v>-100782272</v>
          </cell>
          <cell r="E311">
            <v>123595000</v>
          </cell>
        </row>
        <row r="312">
          <cell r="A312" t="str">
            <v>VOB9399UCA1</v>
          </cell>
          <cell r="B312" t="str">
            <v>B 9399 UCA</v>
          </cell>
          <cell r="C312">
            <v>254831818</v>
          </cell>
          <cell r="D312">
            <v>-147922727</v>
          </cell>
          <cell r="E312">
            <v>106909091</v>
          </cell>
        </row>
        <row r="313">
          <cell r="A313" t="str">
            <v>VOB9399UDB</v>
          </cell>
          <cell r="B313" t="str">
            <v>B 9399 UDB</v>
          </cell>
          <cell r="C313">
            <v>224377272</v>
          </cell>
          <cell r="D313">
            <v>-100782272</v>
          </cell>
          <cell r="E313">
            <v>123595000</v>
          </cell>
        </row>
        <row r="314">
          <cell r="A314" t="str">
            <v>VOB9404UEU1</v>
          </cell>
          <cell r="B314" t="str">
            <v>B 9404 UEU</v>
          </cell>
          <cell r="C314">
            <v>560000000</v>
          </cell>
          <cell r="D314">
            <v>-214666667</v>
          </cell>
          <cell r="E314">
            <v>345333333</v>
          </cell>
        </row>
        <row r="315">
          <cell r="A315" t="str">
            <v>VOB9405UEU</v>
          </cell>
          <cell r="B315" t="str">
            <v>B 9405 UEU</v>
          </cell>
          <cell r="C315">
            <v>560000000</v>
          </cell>
          <cell r="D315">
            <v>-214666667</v>
          </cell>
          <cell r="E315">
            <v>345333333</v>
          </cell>
        </row>
        <row r="316">
          <cell r="A316" t="str">
            <v>VOB9406UEU1</v>
          </cell>
          <cell r="B316" t="str">
            <v>B 9406 UEU</v>
          </cell>
          <cell r="C316">
            <v>560000000</v>
          </cell>
          <cell r="D316">
            <v>-214666667</v>
          </cell>
          <cell r="E316">
            <v>345333333</v>
          </cell>
        </row>
        <row r="317">
          <cell r="A317" t="str">
            <v>VOB9407UEU</v>
          </cell>
          <cell r="B317" t="str">
            <v>B 9407 UEU</v>
          </cell>
          <cell r="C317">
            <v>560000000</v>
          </cell>
          <cell r="D317">
            <v>-214666667</v>
          </cell>
          <cell r="E317">
            <v>345333333</v>
          </cell>
        </row>
        <row r="318">
          <cell r="A318" t="str">
            <v>VOB9408UEU</v>
          </cell>
          <cell r="B318" t="str">
            <v>B 9408 UEU</v>
          </cell>
          <cell r="C318">
            <v>560000000</v>
          </cell>
          <cell r="D318">
            <v>-214666667</v>
          </cell>
          <cell r="E318">
            <v>345333333</v>
          </cell>
        </row>
        <row r="319">
          <cell r="A319" t="str">
            <v>VOB9409JK</v>
          </cell>
          <cell r="B319" t="str">
            <v>B 9409 JK</v>
          </cell>
          <cell r="C319">
            <v>152045455</v>
          </cell>
          <cell r="D319">
            <v>-121245739</v>
          </cell>
          <cell r="E319">
            <v>30799716</v>
          </cell>
        </row>
        <row r="320">
          <cell r="A320" t="str">
            <v>VOB9409UEU1</v>
          </cell>
          <cell r="B320" t="str">
            <v>B 9409 UEU</v>
          </cell>
          <cell r="C320">
            <v>560000000</v>
          </cell>
          <cell r="D320">
            <v>-214666667</v>
          </cell>
          <cell r="E320">
            <v>345333333</v>
          </cell>
        </row>
        <row r="321">
          <cell r="A321" t="str">
            <v>VOB9419UCA1</v>
          </cell>
          <cell r="B321" t="str">
            <v>B 9419 UCA</v>
          </cell>
          <cell r="C321">
            <v>254831819</v>
          </cell>
          <cell r="D321">
            <v>-146305379</v>
          </cell>
          <cell r="E321">
            <v>108526440</v>
          </cell>
        </row>
        <row r="322">
          <cell r="A322" t="str">
            <v>VOB9419UEU</v>
          </cell>
          <cell r="B322" t="str">
            <v>B 9419 UEU</v>
          </cell>
          <cell r="C322">
            <v>560000000</v>
          </cell>
          <cell r="D322">
            <v>-214666667</v>
          </cell>
          <cell r="E322">
            <v>345333333</v>
          </cell>
        </row>
        <row r="323">
          <cell r="A323" t="str">
            <v>VOB9420UEU1</v>
          </cell>
          <cell r="B323" t="str">
            <v>B 9420 UEU</v>
          </cell>
          <cell r="C323">
            <v>560000000</v>
          </cell>
          <cell r="D323">
            <v>-214666667</v>
          </cell>
          <cell r="E323">
            <v>345333333</v>
          </cell>
        </row>
        <row r="324">
          <cell r="A324" t="str">
            <v>VOB9421UCA</v>
          </cell>
          <cell r="B324" t="str">
            <v>B 9421 UCA</v>
          </cell>
          <cell r="C324">
            <v>254831819</v>
          </cell>
          <cell r="D324">
            <v>-141854698</v>
          </cell>
          <cell r="E324">
            <v>112977121</v>
          </cell>
        </row>
        <row r="325">
          <cell r="A325" t="str">
            <v>VOB9421UEU</v>
          </cell>
          <cell r="B325" t="str">
            <v>B 9421 UEU</v>
          </cell>
          <cell r="C325">
            <v>560000000</v>
          </cell>
          <cell r="D325">
            <v>-214666667</v>
          </cell>
          <cell r="E325">
            <v>345333333</v>
          </cell>
        </row>
        <row r="326">
          <cell r="A326" t="str">
            <v>VOB9422UCA</v>
          </cell>
          <cell r="B326" t="str">
            <v>B 9422 UCA</v>
          </cell>
          <cell r="C326">
            <v>246831818</v>
          </cell>
          <cell r="D326">
            <v>-139221363</v>
          </cell>
          <cell r="E326">
            <v>107610455</v>
          </cell>
        </row>
        <row r="327">
          <cell r="A327" t="str">
            <v>VOB9422UEU</v>
          </cell>
          <cell r="B327" t="str">
            <v>B 9422 UEU</v>
          </cell>
          <cell r="C327">
            <v>560000000</v>
          </cell>
          <cell r="D327">
            <v>-214666667</v>
          </cell>
          <cell r="E327">
            <v>345333333</v>
          </cell>
        </row>
        <row r="328">
          <cell r="A328" t="str">
            <v>VOB9423UCA1</v>
          </cell>
          <cell r="B328" t="str">
            <v>B 9423 UCA</v>
          </cell>
          <cell r="C328">
            <v>254831818</v>
          </cell>
          <cell r="D328">
            <v>-146305379</v>
          </cell>
          <cell r="E328">
            <v>108526439</v>
          </cell>
        </row>
        <row r="329">
          <cell r="A329" t="str">
            <v>VOB9424UCA</v>
          </cell>
          <cell r="B329" t="str">
            <v>B 9424 UCA</v>
          </cell>
          <cell r="C329">
            <v>277331818</v>
          </cell>
          <cell r="D329">
            <v>-156055379</v>
          </cell>
          <cell r="E329">
            <v>121276439</v>
          </cell>
        </row>
        <row r="330">
          <cell r="A330" t="str">
            <v>VOB9428JL</v>
          </cell>
          <cell r="B330" t="str">
            <v>B 9428 JL</v>
          </cell>
          <cell r="C330">
            <v>517500000</v>
          </cell>
          <cell r="D330">
            <v>-228562500</v>
          </cell>
          <cell r="E330">
            <v>288937500</v>
          </cell>
        </row>
        <row r="331">
          <cell r="A331" t="str">
            <v>VOB9430JD</v>
          </cell>
          <cell r="B331" t="str">
            <v>B 9430 JD</v>
          </cell>
          <cell r="C331">
            <v>310947364</v>
          </cell>
          <cell r="D331">
            <v>-248757891</v>
          </cell>
          <cell r="E331">
            <v>62189473</v>
          </cell>
        </row>
        <row r="332">
          <cell r="A332" t="str">
            <v>VOB9436UDA2</v>
          </cell>
          <cell r="B332" t="str">
            <v>B 9436 UDA</v>
          </cell>
          <cell r="C332">
            <v>192045455</v>
          </cell>
          <cell r="D332">
            <v>-102424243</v>
          </cell>
          <cell r="E332">
            <v>89621212</v>
          </cell>
        </row>
        <row r="333">
          <cell r="A333" t="str">
            <v>VOB9441UCA1</v>
          </cell>
          <cell r="B333" t="str">
            <v>B 9441 UCA</v>
          </cell>
          <cell r="C333">
            <v>254831818</v>
          </cell>
          <cell r="D333">
            <v>-143958864</v>
          </cell>
          <cell r="E333">
            <v>110872954</v>
          </cell>
        </row>
        <row r="334">
          <cell r="A334" t="str">
            <v>VOB9445RJ</v>
          </cell>
          <cell r="B334" t="str">
            <v>B 9445 RJ</v>
          </cell>
          <cell r="C334">
            <v>174545455</v>
          </cell>
          <cell r="D334">
            <v>-138230114</v>
          </cell>
          <cell r="E334">
            <v>36315341</v>
          </cell>
        </row>
        <row r="335">
          <cell r="A335" t="str">
            <v>VOB9445UCA1</v>
          </cell>
          <cell r="B335" t="str">
            <v>B 9445 UCA</v>
          </cell>
          <cell r="C335">
            <v>220831819</v>
          </cell>
          <cell r="D335">
            <v>-125138031</v>
          </cell>
          <cell r="E335">
            <v>95693788</v>
          </cell>
        </row>
        <row r="336">
          <cell r="A336" t="str">
            <v>VOB9446JE</v>
          </cell>
          <cell r="B336" t="str">
            <v>B 9446 JE</v>
          </cell>
          <cell r="C336">
            <v>250500000</v>
          </cell>
          <cell r="D336">
            <v>-200400000</v>
          </cell>
          <cell r="E336">
            <v>50100000</v>
          </cell>
        </row>
        <row r="337">
          <cell r="A337" t="str">
            <v>VOB9446UCA1</v>
          </cell>
          <cell r="B337" t="str">
            <v>B 9446 UCA</v>
          </cell>
          <cell r="C337">
            <v>254831818</v>
          </cell>
          <cell r="D337">
            <v>-143958864</v>
          </cell>
          <cell r="E337">
            <v>110872954</v>
          </cell>
        </row>
        <row r="338">
          <cell r="A338" t="str">
            <v>VOB9447UCA1</v>
          </cell>
          <cell r="B338" t="str">
            <v>B 9447 UCA</v>
          </cell>
          <cell r="C338">
            <v>254831818</v>
          </cell>
          <cell r="D338">
            <v>-146305379</v>
          </cell>
          <cell r="E338">
            <v>108526439</v>
          </cell>
        </row>
        <row r="339">
          <cell r="A339" t="str">
            <v>VOB9448UCA</v>
          </cell>
          <cell r="B339" t="str">
            <v>B 9448 UCA</v>
          </cell>
          <cell r="C339">
            <v>277331818</v>
          </cell>
          <cell r="D339">
            <v>-156055379</v>
          </cell>
          <cell r="E339">
            <v>121276439</v>
          </cell>
        </row>
        <row r="340">
          <cell r="A340" t="str">
            <v>VOB9450UCA1</v>
          </cell>
          <cell r="B340" t="str">
            <v>B 9450 UCA</v>
          </cell>
          <cell r="C340">
            <v>254831818</v>
          </cell>
          <cell r="D340">
            <v>-146305379</v>
          </cell>
          <cell r="E340">
            <v>108526439</v>
          </cell>
        </row>
        <row r="341">
          <cell r="A341" t="str">
            <v>VOB9451UCA</v>
          </cell>
          <cell r="B341" t="str">
            <v>B 9451 UCA</v>
          </cell>
          <cell r="C341">
            <v>246831818</v>
          </cell>
          <cell r="D341">
            <v>-138775530</v>
          </cell>
          <cell r="E341">
            <v>108056288</v>
          </cell>
        </row>
        <row r="342">
          <cell r="A342" t="str">
            <v>VOB9452UCA1</v>
          </cell>
          <cell r="B342" t="str">
            <v>B 9452 UCA</v>
          </cell>
          <cell r="C342">
            <v>254831819</v>
          </cell>
          <cell r="D342">
            <v>-146305379</v>
          </cell>
          <cell r="E342">
            <v>108526440</v>
          </cell>
        </row>
        <row r="343">
          <cell r="A343" t="str">
            <v>VOB9453UCA1</v>
          </cell>
          <cell r="B343" t="str">
            <v>B 9453 UCA</v>
          </cell>
          <cell r="C343">
            <v>254831818</v>
          </cell>
          <cell r="D343">
            <v>-145859546</v>
          </cell>
          <cell r="E343">
            <v>108972272</v>
          </cell>
        </row>
        <row r="344">
          <cell r="A344" t="str">
            <v>VOB9455UCA</v>
          </cell>
          <cell r="B344" t="str">
            <v>B 9455 UCA</v>
          </cell>
          <cell r="C344">
            <v>246831818</v>
          </cell>
          <cell r="D344">
            <v>-139221363</v>
          </cell>
          <cell r="E344">
            <v>107610455</v>
          </cell>
        </row>
        <row r="345">
          <cell r="A345" t="str">
            <v>VOB9467UDE</v>
          </cell>
          <cell r="B345" t="str">
            <v>B 9467 UDE</v>
          </cell>
          <cell r="C345">
            <v>554272728</v>
          </cell>
          <cell r="D345">
            <v>-92378788</v>
          </cell>
          <cell r="E345">
            <v>461893940</v>
          </cell>
        </row>
        <row r="346">
          <cell r="A346" t="str">
            <v>VOB9471JG</v>
          </cell>
          <cell r="B346" t="str">
            <v>B 9471 JG</v>
          </cell>
          <cell r="C346">
            <v>310954545</v>
          </cell>
          <cell r="D346">
            <v>-248763636</v>
          </cell>
          <cell r="E346">
            <v>62190909</v>
          </cell>
        </row>
        <row r="347">
          <cell r="A347" t="str">
            <v>VOB9471UDE</v>
          </cell>
          <cell r="B347" t="str">
            <v>B 9471 UDE</v>
          </cell>
          <cell r="C347">
            <v>554272727</v>
          </cell>
          <cell r="D347">
            <v>-92378788</v>
          </cell>
          <cell r="E347">
            <v>461893939</v>
          </cell>
        </row>
        <row r="348">
          <cell r="A348" t="str">
            <v>VOB9485UDB</v>
          </cell>
          <cell r="B348" t="str">
            <v>B 9485 UDB</v>
          </cell>
          <cell r="C348">
            <v>223800000</v>
          </cell>
          <cell r="D348">
            <v>-97167500</v>
          </cell>
          <cell r="E348">
            <v>126632500</v>
          </cell>
        </row>
        <row r="349">
          <cell r="A349" t="str">
            <v>VOB9486UDB</v>
          </cell>
          <cell r="B349" t="str">
            <v>B 9486 UDB</v>
          </cell>
          <cell r="C349">
            <v>223800000</v>
          </cell>
          <cell r="D349">
            <v>-97167500</v>
          </cell>
          <cell r="E349">
            <v>126632500</v>
          </cell>
        </row>
        <row r="350">
          <cell r="A350" t="str">
            <v>VOB9487UDB</v>
          </cell>
          <cell r="B350" t="str">
            <v>B 9487 UDB</v>
          </cell>
          <cell r="C350">
            <v>223800000</v>
          </cell>
          <cell r="D350">
            <v>-96980000</v>
          </cell>
          <cell r="E350">
            <v>126820000</v>
          </cell>
        </row>
        <row r="351">
          <cell r="A351" t="str">
            <v>VOB9488JL</v>
          </cell>
          <cell r="B351" t="str">
            <v>B 9488 JL</v>
          </cell>
          <cell r="C351">
            <v>517500000</v>
          </cell>
          <cell r="D351">
            <v>-228562500</v>
          </cell>
          <cell r="E351">
            <v>288937500</v>
          </cell>
        </row>
        <row r="352">
          <cell r="A352" t="str">
            <v>VOB9488UDB</v>
          </cell>
          <cell r="B352" t="str">
            <v>B 9488 UDB</v>
          </cell>
          <cell r="C352">
            <v>223800000</v>
          </cell>
          <cell r="D352">
            <v>-96980000</v>
          </cell>
          <cell r="E352">
            <v>126820000</v>
          </cell>
        </row>
        <row r="353">
          <cell r="A353" t="str">
            <v>VOB9488UDD</v>
          </cell>
          <cell r="B353" t="str">
            <v>B 9488 UDD</v>
          </cell>
          <cell r="C353">
            <v>484354546</v>
          </cell>
          <cell r="D353">
            <v>-125124926</v>
          </cell>
          <cell r="E353">
            <v>359229620</v>
          </cell>
        </row>
        <row r="354">
          <cell r="A354" t="str">
            <v>VOB9489UDD</v>
          </cell>
          <cell r="B354" t="str">
            <v>B 9489 UDD</v>
          </cell>
          <cell r="C354">
            <v>484354546</v>
          </cell>
          <cell r="D354">
            <v>-125124926</v>
          </cell>
          <cell r="E354">
            <v>359229620</v>
          </cell>
        </row>
        <row r="355">
          <cell r="A355" t="str">
            <v>VOB9490UDD</v>
          </cell>
          <cell r="B355" t="str">
            <v>B 9490 UDD</v>
          </cell>
          <cell r="C355">
            <v>484354545</v>
          </cell>
          <cell r="D355">
            <v>-125124925</v>
          </cell>
          <cell r="E355">
            <v>359229620</v>
          </cell>
        </row>
        <row r="356">
          <cell r="A356" t="str">
            <v>VOB9491UDD</v>
          </cell>
          <cell r="B356" t="str">
            <v>B 9491 UDD</v>
          </cell>
          <cell r="C356">
            <v>484354545</v>
          </cell>
          <cell r="D356">
            <v>-125124925</v>
          </cell>
          <cell r="E356">
            <v>359229620</v>
          </cell>
        </row>
        <row r="357">
          <cell r="A357" t="str">
            <v>VOB9492UDD</v>
          </cell>
          <cell r="B357" t="str">
            <v>B 9492 UDD</v>
          </cell>
          <cell r="C357">
            <v>484354545</v>
          </cell>
          <cell r="D357">
            <v>-125124925</v>
          </cell>
          <cell r="E357">
            <v>359229620</v>
          </cell>
        </row>
        <row r="358">
          <cell r="A358" t="str">
            <v>VOB9494UDB</v>
          </cell>
          <cell r="B358" t="str">
            <v>B 9494 UDB</v>
          </cell>
          <cell r="C358">
            <v>223800000</v>
          </cell>
          <cell r="D358">
            <v>-96980000</v>
          </cell>
          <cell r="E358">
            <v>126820000</v>
          </cell>
        </row>
        <row r="359">
          <cell r="A359" t="str">
            <v>VOB9495UDB</v>
          </cell>
          <cell r="B359" t="str">
            <v>B 9495 UDB</v>
          </cell>
          <cell r="C359">
            <v>223800000</v>
          </cell>
          <cell r="D359">
            <v>-97167500</v>
          </cell>
          <cell r="E359">
            <v>126632500</v>
          </cell>
        </row>
        <row r="360">
          <cell r="A360" t="str">
            <v>VOB9496OT1</v>
          </cell>
          <cell r="B360" t="str">
            <v>B 9496 OT</v>
          </cell>
          <cell r="C360">
            <v>175181971</v>
          </cell>
          <cell r="D360">
            <v>-100729634</v>
          </cell>
          <cell r="E360">
            <v>74452337</v>
          </cell>
        </row>
        <row r="361">
          <cell r="A361" t="str">
            <v>VOB9496UCC2</v>
          </cell>
          <cell r="B361" t="str">
            <v>B 9496 UCC</v>
          </cell>
          <cell r="C361">
            <v>230219409</v>
          </cell>
          <cell r="D361">
            <v>-106952987</v>
          </cell>
          <cell r="E361">
            <v>123266422</v>
          </cell>
        </row>
        <row r="362">
          <cell r="A362" t="str">
            <v>VOB9496UDB</v>
          </cell>
          <cell r="B362" t="str">
            <v>B 9496 UDB</v>
          </cell>
          <cell r="C362">
            <v>223800000</v>
          </cell>
          <cell r="D362">
            <v>-97167500</v>
          </cell>
          <cell r="E362">
            <v>126632500</v>
          </cell>
        </row>
        <row r="363">
          <cell r="A363" t="str">
            <v>VOB9497UCC2</v>
          </cell>
          <cell r="B363" t="str">
            <v>B 9497 UCC</v>
          </cell>
          <cell r="C363">
            <v>230219409</v>
          </cell>
          <cell r="D363">
            <v>-106952987</v>
          </cell>
          <cell r="E363">
            <v>123266422</v>
          </cell>
        </row>
        <row r="364">
          <cell r="A364" t="str">
            <v>VOB9497UDB</v>
          </cell>
          <cell r="B364" t="str">
            <v>B 9497 UDB</v>
          </cell>
          <cell r="C364">
            <v>223800000</v>
          </cell>
          <cell r="D364">
            <v>-96980000</v>
          </cell>
          <cell r="E364">
            <v>126820000</v>
          </cell>
        </row>
        <row r="365">
          <cell r="A365" t="str">
            <v>VOB9498UDB</v>
          </cell>
          <cell r="B365" t="str">
            <v>B 9498 UDB</v>
          </cell>
          <cell r="C365">
            <v>223800000</v>
          </cell>
          <cell r="D365">
            <v>-97167500</v>
          </cell>
          <cell r="E365">
            <v>126632500</v>
          </cell>
        </row>
        <row r="366">
          <cell r="A366" t="str">
            <v>VOB9499UDB</v>
          </cell>
          <cell r="B366" t="str">
            <v>B 9499 UDB</v>
          </cell>
          <cell r="C366">
            <v>223800000</v>
          </cell>
          <cell r="D366">
            <v>-96980000</v>
          </cell>
          <cell r="E366">
            <v>126820000</v>
          </cell>
        </row>
        <row r="367">
          <cell r="A367" t="str">
            <v>VOB9508UEJ</v>
          </cell>
          <cell r="B367" t="str">
            <v>B 9508 UEJ</v>
          </cell>
          <cell r="C367">
            <v>723338800</v>
          </cell>
          <cell r="D367">
            <v>-240148767</v>
          </cell>
          <cell r="E367">
            <v>483190033</v>
          </cell>
        </row>
        <row r="368">
          <cell r="A368" t="str">
            <v>VOB9509UEJ</v>
          </cell>
          <cell r="B368" t="str">
            <v>B 9509 UEJ</v>
          </cell>
          <cell r="C368">
            <v>723338800</v>
          </cell>
          <cell r="D368">
            <v>-240148767</v>
          </cell>
          <cell r="E368">
            <v>483190033</v>
          </cell>
        </row>
        <row r="369">
          <cell r="A369" t="str">
            <v>VOB9510UCA1</v>
          </cell>
          <cell r="B369" t="str">
            <v>B 9510 UCA</v>
          </cell>
          <cell r="C369">
            <v>226950000</v>
          </cell>
          <cell r="D369">
            <v>-128605000</v>
          </cell>
          <cell r="E369">
            <v>98345000</v>
          </cell>
        </row>
        <row r="370">
          <cell r="A370" t="str">
            <v>VOB9510UEJ</v>
          </cell>
          <cell r="B370" t="str">
            <v>B 9510 UEJ</v>
          </cell>
          <cell r="C370">
            <v>723338800</v>
          </cell>
          <cell r="D370">
            <v>-240148767</v>
          </cell>
          <cell r="E370">
            <v>483190033</v>
          </cell>
        </row>
        <row r="371">
          <cell r="A371" t="str">
            <v>VOB9511UEJ</v>
          </cell>
          <cell r="B371" t="str">
            <v>B 9511 UEJ</v>
          </cell>
          <cell r="C371">
            <v>723338800</v>
          </cell>
          <cell r="D371">
            <v>-240148767</v>
          </cell>
          <cell r="E371">
            <v>483190033</v>
          </cell>
        </row>
        <row r="372">
          <cell r="A372" t="str">
            <v>VOB9512UCA1</v>
          </cell>
          <cell r="B372" t="str">
            <v>B 9512 UCA</v>
          </cell>
          <cell r="C372">
            <v>226950000</v>
          </cell>
          <cell r="D372">
            <v>-128605000</v>
          </cell>
          <cell r="E372">
            <v>98345000</v>
          </cell>
        </row>
        <row r="373">
          <cell r="A373" t="str">
            <v>VOB9512UEJ</v>
          </cell>
          <cell r="B373" t="str">
            <v>B 9512 UEJ</v>
          </cell>
          <cell r="C373">
            <v>723338800</v>
          </cell>
          <cell r="D373">
            <v>-240148767</v>
          </cell>
          <cell r="E373">
            <v>483190033</v>
          </cell>
        </row>
        <row r="374">
          <cell r="A374" t="str">
            <v>VOB9513UCA1</v>
          </cell>
          <cell r="B374" t="str">
            <v>B 9513 UCA</v>
          </cell>
          <cell r="C374">
            <v>192950000</v>
          </cell>
          <cell r="D374">
            <v>-109338333</v>
          </cell>
          <cell r="E374">
            <v>83611667</v>
          </cell>
        </row>
        <row r="375">
          <cell r="A375" t="str">
            <v>VOB9513UEJ</v>
          </cell>
          <cell r="B375" t="str">
            <v>B 9513 UEJ</v>
          </cell>
          <cell r="C375">
            <v>723338800</v>
          </cell>
          <cell r="D375">
            <v>-240148767</v>
          </cell>
          <cell r="E375">
            <v>483190033</v>
          </cell>
        </row>
        <row r="376">
          <cell r="A376" t="str">
            <v>VOB9514UCA1</v>
          </cell>
          <cell r="B376" t="str">
            <v>B 9514 UCA</v>
          </cell>
          <cell r="C376">
            <v>226950000</v>
          </cell>
          <cell r="D376">
            <v>-128605000</v>
          </cell>
          <cell r="E376">
            <v>98345000</v>
          </cell>
        </row>
        <row r="377">
          <cell r="A377" t="str">
            <v>VOB9514UEJ</v>
          </cell>
          <cell r="B377" t="str">
            <v>B 9514 UEJ</v>
          </cell>
          <cell r="C377">
            <v>723338800</v>
          </cell>
          <cell r="D377">
            <v>-240148767</v>
          </cell>
          <cell r="E377">
            <v>483190033</v>
          </cell>
        </row>
        <row r="378">
          <cell r="A378" t="str">
            <v>VOB9515UCA1</v>
          </cell>
          <cell r="B378" t="str">
            <v>B 9515 UCA</v>
          </cell>
          <cell r="C378">
            <v>226950000</v>
          </cell>
          <cell r="D378">
            <v>-128605000</v>
          </cell>
          <cell r="E378">
            <v>98345000</v>
          </cell>
        </row>
        <row r="379">
          <cell r="A379" t="str">
            <v>VOB9515UEJ</v>
          </cell>
          <cell r="B379" t="str">
            <v>B 9515 UEJ</v>
          </cell>
          <cell r="C379">
            <v>723338800</v>
          </cell>
          <cell r="D379">
            <v>-240148767</v>
          </cell>
          <cell r="E379">
            <v>483190033</v>
          </cell>
        </row>
        <row r="380">
          <cell r="A380" t="str">
            <v>VOB9516UEJ</v>
          </cell>
          <cell r="B380" t="str">
            <v>B 9516 UEJ</v>
          </cell>
          <cell r="C380">
            <v>723338800</v>
          </cell>
          <cell r="D380">
            <v>-240148767</v>
          </cell>
          <cell r="E380">
            <v>483190033</v>
          </cell>
        </row>
        <row r="381">
          <cell r="A381" t="str">
            <v>VOB9517UEJ</v>
          </cell>
          <cell r="B381" t="str">
            <v>B 9517 UEJ</v>
          </cell>
          <cell r="C381">
            <v>692588925</v>
          </cell>
          <cell r="D381">
            <v>-230061310</v>
          </cell>
          <cell r="E381">
            <v>462527615</v>
          </cell>
        </row>
        <row r="382">
          <cell r="A382" t="str">
            <v>VOB9518UEJ</v>
          </cell>
          <cell r="B382" t="str">
            <v>B 9518 UEJ</v>
          </cell>
          <cell r="C382">
            <v>723338800</v>
          </cell>
          <cell r="D382">
            <v>-240148767</v>
          </cell>
          <cell r="E382">
            <v>483190033</v>
          </cell>
        </row>
        <row r="383">
          <cell r="A383" t="str">
            <v>VOB9519UEJ</v>
          </cell>
          <cell r="B383" t="str">
            <v>B 9519 UEJ</v>
          </cell>
          <cell r="C383">
            <v>692588925</v>
          </cell>
          <cell r="D383">
            <v>-230061310</v>
          </cell>
          <cell r="E383">
            <v>462527615</v>
          </cell>
        </row>
        <row r="384">
          <cell r="A384" t="str">
            <v>VOB9520UEJ</v>
          </cell>
          <cell r="B384" t="str">
            <v>B 9520 UEJ</v>
          </cell>
          <cell r="C384">
            <v>723338800</v>
          </cell>
          <cell r="D384">
            <v>-240148767</v>
          </cell>
          <cell r="E384">
            <v>483190033</v>
          </cell>
        </row>
        <row r="385">
          <cell r="A385" t="str">
            <v>VOB9521UEJ</v>
          </cell>
          <cell r="B385" t="str">
            <v>B 9521 UEJ</v>
          </cell>
          <cell r="C385">
            <v>692588925</v>
          </cell>
          <cell r="D385">
            <v>-230061310</v>
          </cell>
          <cell r="E385">
            <v>462527615</v>
          </cell>
        </row>
        <row r="386">
          <cell r="A386" t="str">
            <v>VOB9522UEJ</v>
          </cell>
          <cell r="B386" t="str">
            <v>B 9522 UEJ</v>
          </cell>
          <cell r="C386">
            <v>713588800</v>
          </cell>
          <cell r="D386">
            <v>-237061267</v>
          </cell>
          <cell r="E386">
            <v>476527533</v>
          </cell>
        </row>
        <row r="387">
          <cell r="A387" t="str">
            <v>VOB9523UEJ</v>
          </cell>
          <cell r="B387" t="str">
            <v>B 9523 UEJ</v>
          </cell>
          <cell r="C387">
            <v>708588800</v>
          </cell>
          <cell r="D387">
            <v>-235394601</v>
          </cell>
          <cell r="E387">
            <v>473194199</v>
          </cell>
        </row>
        <row r="388">
          <cell r="A388" t="str">
            <v>VOB9524UEJ</v>
          </cell>
          <cell r="B388" t="str">
            <v>B 9524 UEJ</v>
          </cell>
          <cell r="C388">
            <v>692588925</v>
          </cell>
          <cell r="D388">
            <v>-230061310</v>
          </cell>
          <cell r="E388">
            <v>462527615</v>
          </cell>
        </row>
        <row r="389">
          <cell r="A389" t="str">
            <v>VOB9525UEJ</v>
          </cell>
          <cell r="B389" t="str">
            <v>B 9525 UEJ</v>
          </cell>
          <cell r="C389">
            <v>692588925</v>
          </cell>
          <cell r="D389">
            <v>-230061310</v>
          </cell>
          <cell r="E389">
            <v>462527615</v>
          </cell>
        </row>
        <row r="390">
          <cell r="A390" t="str">
            <v>VOB9526UEJ</v>
          </cell>
          <cell r="B390" t="str">
            <v>B 9526 UEJ</v>
          </cell>
          <cell r="C390">
            <v>692588925</v>
          </cell>
          <cell r="D390">
            <v>-230061310</v>
          </cell>
          <cell r="E390">
            <v>462527615</v>
          </cell>
        </row>
        <row r="391">
          <cell r="A391" t="str">
            <v>VOB9527UEJ</v>
          </cell>
          <cell r="B391" t="str">
            <v>B 9527 UEJ</v>
          </cell>
          <cell r="C391">
            <v>692588925</v>
          </cell>
          <cell r="D391">
            <v>-230061310</v>
          </cell>
          <cell r="E391">
            <v>462527615</v>
          </cell>
        </row>
        <row r="392">
          <cell r="A392" t="str">
            <v>VOB9528UEJ</v>
          </cell>
          <cell r="B392" t="str">
            <v>B 9528 UEJ</v>
          </cell>
          <cell r="C392">
            <v>687588925</v>
          </cell>
          <cell r="D392">
            <v>-228394644</v>
          </cell>
          <cell r="E392">
            <v>459194281</v>
          </cell>
        </row>
        <row r="393">
          <cell r="A393" t="str">
            <v>VOB9533WJ</v>
          </cell>
          <cell r="B393" t="str">
            <v>B 9533 WJ</v>
          </cell>
          <cell r="C393">
            <v>218534000</v>
          </cell>
          <cell r="D393">
            <v>-218534000</v>
          </cell>
          <cell r="E393">
            <v>0</v>
          </cell>
        </row>
        <row r="394">
          <cell r="A394" t="str">
            <v>VOB9534UCC1</v>
          </cell>
          <cell r="B394" t="str">
            <v>B 9534 UCC</v>
          </cell>
          <cell r="C394">
            <v>225372727</v>
          </cell>
          <cell r="D394">
            <v>-108461819</v>
          </cell>
          <cell r="E394">
            <v>116910908</v>
          </cell>
        </row>
        <row r="395">
          <cell r="A395" t="str">
            <v>VOB9535UCC1</v>
          </cell>
          <cell r="B395" t="str">
            <v>B 9535 UCC</v>
          </cell>
          <cell r="C395">
            <v>225372727</v>
          </cell>
          <cell r="D395">
            <v>-108461819</v>
          </cell>
          <cell r="E395">
            <v>116910908</v>
          </cell>
        </row>
        <row r="396">
          <cell r="A396" t="str">
            <v>VOB9546UEJ</v>
          </cell>
          <cell r="B396" t="str">
            <v>B 9546 UEJ</v>
          </cell>
          <cell r="C396">
            <v>723338800</v>
          </cell>
          <cell r="D396">
            <v>-240148767</v>
          </cell>
          <cell r="E396">
            <v>483190033</v>
          </cell>
        </row>
        <row r="397">
          <cell r="A397" t="str">
            <v>VOB9547UEJ</v>
          </cell>
          <cell r="B397" t="str">
            <v>B 9547 UEJ</v>
          </cell>
          <cell r="C397">
            <v>723338800</v>
          </cell>
          <cell r="D397">
            <v>-240148767</v>
          </cell>
          <cell r="E397">
            <v>483190033</v>
          </cell>
        </row>
        <row r="398">
          <cell r="A398" t="str">
            <v>VOB9549UCB1</v>
          </cell>
          <cell r="B398" t="str">
            <v>B 9549 UCB</v>
          </cell>
          <cell r="C398">
            <v>197927273</v>
          </cell>
          <cell r="D398">
            <v>-102262424</v>
          </cell>
          <cell r="E398">
            <v>95664849</v>
          </cell>
        </row>
        <row r="399">
          <cell r="A399" t="str">
            <v>VOB9550UCB1</v>
          </cell>
          <cell r="B399" t="str">
            <v>B 9550 UCB</v>
          </cell>
          <cell r="C399">
            <v>197927273</v>
          </cell>
          <cell r="D399">
            <v>-102262424</v>
          </cell>
          <cell r="E399">
            <v>95664849</v>
          </cell>
        </row>
        <row r="400">
          <cell r="A400" t="str">
            <v>VOB9551UCB1</v>
          </cell>
          <cell r="B400" t="str">
            <v>B 9551 UCB</v>
          </cell>
          <cell r="C400">
            <v>226086364</v>
          </cell>
          <cell r="D400">
            <v>-116811287</v>
          </cell>
          <cell r="E400">
            <v>109275077</v>
          </cell>
        </row>
        <row r="401">
          <cell r="A401" t="str">
            <v>VOB9552UCB1</v>
          </cell>
          <cell r="B401" t="str">
            <v>B 9552 UCB</v>
          </cell>
          <cell r="C401">
            <v>226086363</v>
          </cell>
          <cell r="D401">
            <v>-116811287</v>
          </cell>
          <cell r="E401">
            <v>109275076</v>
          </cell>
        </row>
        <row r="402">
          <cell r="A402" t="str">
            <v>VOB9553UCB1</v>
          </cell>
          <cell r="B402" t="str">
            <v>B 9553 UCB</v>
          </cell>
          <cell r="C402">
            <v>197927272</v>
          </cell>
          <cell r="D402">
            <v>-102262424</v>
          </cell>
          <cell r="E402">
            <v>95664848</v>
          </cell>
        </row>
        <row r="403">
          <cell r="A403" t="str">
            <v>VOB9563UCA</v>
          </cell>
          <cell r="B403" t="str">
            <v>B 9563 UCA</v>
          </cell>
          <cell r="C403">
            <v>132986363</v>
          </cell>
          <cell r="D403">
            <v>-75358938</v>
          </cell>
          <cell r="E403">
            <v>57627425</v>
          </cell>
        </row>
        <row r="404">
          <cell r="A404" t="str">
            <v>VOB9565UCA1</v>
          </cell>
          <cell r="B404" t="str">
            <v>B 9565 UCA</v>
          </cell>
          <cell r="C404">
            <v>132986363</v>
          </cell>
          <cell r="D404">
            <v>-75358938</v>
          </cell>
          <cell r="E404">
            <v>57627425</v>
          </cell>
        </row>
        <row r="405">
          <cell r="A405" t="str">
            <v>VOB9596UDB</v>
          </cell>
          <cell r="B405" t="str">
            <v>B 9596 UDB</v>
          </cell>
          <cell r="C405">
            <v>416018181</v>
          </cell>
          <cell r="D405">
            <v>-173340908</v>
          </cell>
          <cell r="E405">
            <v>242677273</v>
          </cell>
        </row>
        <row r="406">
          <cell r="A406" t="str">
            <v>VOB9597JB</v>
          </cell>
          <cell r="B406" t="str">
            <v>B 9597 JB</v>
          </cell>
          <cell r="C406">
            <v>245000000</v>
          </cell>
          <cell r="D406">
            <v>-196000000</v>
          </cell>
          <cell r="E406">
            <v>49000000</v>
          </cell>
        </row>
        <row r="407">
          <cell r="A407" t="str">
            <v>VOB9603EJ</v>
          </cell>
          <cell r="B407" t="str">
            <v>B 9603 EJ</v>
          </cell>
          <cell r="C407">
            <v>517500000</v>
          </cell>
          <cell r="D407">
            <v>-228562500</v>
          </cell>
          <cell r="E407">
            <v>288937500</v>
          </cell>
        </row>
        <row r="408">
          <cell r="A408" t="str">
            <v>VOB9611WI</v>
          </cell>
          <cell r="B408" t="str">
            <v>B 9611 WI</v>
          </cell>
          <cell r="C408">
            <v>155021712</v>
          </cell>
          <cell r="D408">
            <v>-155021712</v>
          </cell>
          <cell r="E408">
            <v>0</v>
          </cell>
        </row>
        <row r="409">
          <cell r="A409" t="str">
            <v>VOB9614UXR</v>
          </cell>
          <cell r="B409" t="str">
            <v>B 9614 UXR</v>
          </cell>
          <cell r="C409">
            <v>441818182</v>
          </cell>
          <cell r="D409">
            <v>-148647726</v>
          </cell>
          <cell r="E409">
            <v>293170456</v>
          </cell>
        </row>
        <row r="410">
          <cell r="A410" t="str">
            <v>VOB9621UDA2</v>
          </cell>
          <cell r="B410" t="str">
            <v>B 9621 UDA</v>
          </cell>
          <cell r="C410">
            <v>219018182</v>
          </cell>
          <cell r="D410">
            <v>-113159394</v>
          </cell>
          <cell r="E410">
            <v>105858788</v>
          </cell>
        </row>
        <row r="411">
          <cell r="A411" t="str">
            <v>VOB9623UYW</v>
          </cell>
          <cell r="B411" t="str">
            <v>B 9623 UYW</v>
          </cell>
          <cell r="C411">
            <v>754454545</v>
          </cell>
          <cell r="D411">
            <v>-251484849</v>
          </cell>
          <cell r="E411">
            <v>502969696</v>
          </cell>
        </row>
        <row r="412">
          <cell r="A412" t="str">
            <v>VOB9624UYW</v>
          </cell>
          <cell r="B412" t="str">
            <v>B 9624 UYW</v>
          </cell>
          <cell r="C412">
            <v>754454545</v>
          </cell>
          <cell r="D412">
            <v>-251484849</v>
          </cell>
          <cell r="E412">
            <v>502969696</v>
          </cell>
        </row>
        <row r="413">
          <cell r="A413" t="str">
            <v>VOB9625UYW</v>
          </cell>
          <cell r="B413" t="str">
            <v>B 9625 UYW</v>
          </cell>
          <cell r="C413">
            <v>754454545</v>
          </cell>
          <cell r="D413">
            <v>-251484849</v>
          </cell>
          <cell r="E413">
            <v>502969696</v>
          </cell>
        </row>
        <row r="414">
          <cell r="A414" t="str">
            <v>VOB9626UYW</v>
          </cell>
          <cell r="B414" t="str">
            <v>B 9626 UYW</v>
          </cell>
          <cell r="C414">
            <v>754454545</v>
          </cell>
          <cell r="D414">
            <v>-251484849</v>
          </cell>
          <cell r="E414">
            <v>502969696</v>
          </cell>
        </row>
        <row r="415">
          <cell r="A415" t="str">
            <v>VOB9627UYW</v>
          </cell>
          <cell r="B415" t="str">
            <v>B 9627 UYW</v>
          </cell>
          <cell r="C415">
            <v>754454545</v>
          </cell>
          <cell r="D415">
            <v>-251484849</v>
          </cell>
          <cell r="E415">
            <v>502969696</v>
          </cell>
        </row>
        <row r="416">
          <cell r="A416" t="str">
            <v>VOB9628UYW</v>
          </cell>
          <cell r="B416" t="str">
            <v>B 9628 UYW</v>
          </cell>
          <cell r="C416">
            <v>754454545</v>
          </cell>
          <cell r="D416">
            <v>-251484849</v>
          </cell>
          <cell r="E416">
            <v>502969696</v>
          </cell>
        </row>
        <row r="417">
          <cell r="A417" t="str">
            <v>VOB9629UYW</v>
          </cell>
          <cell r="B417" t="str">
            <v>B 9629 UYW</v>
          </cell>
          <cell r="C417">
            <v>754454545</v>
          </cell>
          <cell r="D417">
            <v>-251484849</v>
          </cell>
          <cell r="E417">
            <v>502969696</v>
          </cell>
        </row>
        <row r="418">
          <cell r="A418" t="str">
            <v>VOB9630UYW</v>
          </cell>
          <cell r="B418" t="str">
            <v>B 9630 UYW</v>
          </cell>
          <cell r="C418">
            <v>754454545</v>
          </cell>
          <cell r="D418">
            <v>-251484849</v>
          </cell>
          <cell r="E418">
            <v>502969696</v>
          </cell>
        </row>
        <row r="419">
          <cell r="A419" t="str">
            <v>VOB9631UYW</v>
          </cell>
          <cell r="B419" t="str">
            <v>B 9631 UYW</v>
          </cell>
          <cell r="C419">
            <v>754454545</v>
          </cell>
          <cell r="D419">
            <v>-251484849</v>
          </cell>
          <cell r="E419">
            <v>502969696</v>
          </cell>
        </row>
        <row r="420">
          <cell r="A420" t="str">
            <v>VOB9632UYW</v>
          </cell>
          <cell r="B420" t="str">
            <v>B 9632 UYW</v>
          </cell>
          <cell r="C420">
            <v>754454545</v>
          </cell>
          <cell r="D420">
            <v>-251484849</v>
          </cell>
          <cell r="E420">
            <v>502969696</v>
          </cell>
        </row>
        <row r="421">
          <cell r="A421" t="str">
            <v>VOB9633UYW</v>
          </cell>
          <cell r="B421" t="str">
            <v>B 9633 UYW</v>
          </cell>
          <cell r="C421">
            <v>754454545</v>
          </cell>
          <cell r="D421">
            <v>-251484849</v>
          </cell>
          <cell r="E421">
            <v>502969696</v>
          </cell>
        </row>
        <row r="422">
          <cell r="A422" t="str">
            <v>VOB9634UYW</v>
          </cell>
          <cell r="B422" t="str">
            <v>B 9634 UYW</v>
          </cell>
          <cell r="C422">
            <v>754454546</v>
          </cell>
          <cell r="D422">
            <v>-251484849</v>
          </cell>
          <cell r="E422">
            <v>502969697</v>
          </cell>
        </row>
        <row r="423">
          <cell r="A423" t="str">
            <v>VOB9635UYW</v>
          </cell>
          <cell r="B423" t="str">
            <v>B 9635 UYW</v>
          </cell>
          <cell r="C423">
            <v>754454546</v>
          </cell>
          <cell r="D423">
            <v>-251484849</v>
          </cell>
          <cell r="E423">
            <v>502969697</v>
          </cell>
        </row>
        <row r="424">
          <cell r="A424" t="str">
            <v>VOB9636UYW</v>
          </cell>
          <cell r="B424" t="str">
            <v>B 9636 UYW</v>
          </cell>
          <cell r="C424">
            <v>754454546</v>
          </cell>
          <cell r="D424">
            <v>-251484849</v>
          </cell>
          <cell r="E424">
            <v>502969697</v>
          </cell>
        </row>
        <row r="425">
          <cell r="A425" t="str">
            <v>VOB9637UYW</v>
          </cell>
          <cell r="B425" t="str">
            <v>B 9637 UYW</v>
          </cell>
          <cell r="C425">
            <v>754454546</v>
          </cell>
          <cell r="D425">
            <v>-251484849</v>
          </cell>
          <cell r="E425">
            <v>502969697</v>
          </cell>
        </row>
        <row r="426">
          <cell r="A426" t="str">
            <v>VOB9638UYW</v>
          </cell>
          <cell r="B426" t="str">
            <v>B 9638 UYW</v>
          </cell>
          <cell r="C426">
            <v>754454546</v>
          </cell>
          <cell r="D426">
            <v>-251484849</v>
          </cell>
          <cell r="E426">
            <v>502969697</v>
          </cell>
        </row>
        <row r="427">
          <cell r="A427" t="str">
            <v>VOB9639UYW</v>
          </cell>
          <cell r="B427" t="str">
            <v>B 9639 UYW</v>
          </cell>
          <cell r="C427">
            <v>754454546</v>
          </cell>
          <cell r="D427">
            <v>-251484849</v>
          </cell>
          <cell r="E427">
            <v>502969697</v>
          </cell>
        </row>
        <row r="428">
          <cell r="A428" t="str">
            <v>VOB9640UYW</v>
          </cell>
          <cell r="B428" t="str">
            <v>B 9640 UYW</v>
          </cell>
          <cell r="C428">
            <v>754454546</v>
          </cell>
          <cell r="D428">
            <v>-251484849</v>
          </cell>
          <cell r="E428">
            <v>502969697</v>
          </cell>
        </row>
        <row r="429">
          <cell r="A429" t="str">
            <v>VOB9645JO</v>
          </cell>
          <cell r="B429" t="str">
            <v>B 9645 JO</v>
          </cell>
          <cell r="C429">
            <v>517500000</v>
          </cell>
          <cell r="D429">
            <v>-228562500</v>
          </cell>
          <cell r="E429">
            <v>288937500</v>
          </cell>
        </row>
        <row r="430">
          <cell r="A430" t="str">
            <v>VOB9650UYW</v>
          </cell>
          <cell r="B430" t="str">
            <v>B 9650 UYW</v>
          </cell>
          <cell r="C430">
            <v>418545455</v>
          </cell>
          <cell r="D430">
            <v>-140365153</v>
          </cell>
          <cell r="E430">
            <v>278180302</v>
          </cell>
        </row>
        <row r="431">
          <cell r="A431" t="str">
            <v>VOB9651UYW</v>
          </cell>
          <cell r="B431" t="str">
            <v>B 9651 UYW</v>
          </cell>
          <cell r="C431">
            <v>754454546</v>
          </cell>
          <cell r="D431">
            <v>-251484849</v>
          </cell>
          <cell r="E431">
            <v>502969697</v>
          </cell>
        </row>
        <row r="432">
          <cell r="A432" t="str">
            <v>VOB9657UDB</v>
          </cell>
          <cell r="B432" t="str">
            <v>B 9657 UDB</v>
          </cell>
          <cell r="C432">
            <v>229202272</v>
          </cell>
          <cell r="D432">
            <v>-93704468</v>
          </cell>
          <cell r="E432">
            <v>135497804</v>
          </cell>
        </row>
        <row r="433">
          <cell r="A433" t="str">
            <v>VOB9658UDB</v>
          </cell>
          <cell r="B433" t="str">
            <v>B 9658 UDB</v>
          </cell>
          <cell r="C433">
            <v>229202272</v>
          </cell>
          <cell r="D433">
            <v>-93704468</v>
          </cell>
          <cell r="E433">
            <v>135497804</v>
          </cell>
        </row>
        <row r="434">
          <cell r="A434" t="str">
            <v>VOB9659UDB</v>
          </cell>
          <cell r="B434" t="str">
            <v>B 9659 UDB</v>
          </cell>
          <cell r="C434">
            <v>229202272</v>
          </cell>
          <cell r="D434">
            <v>-93704468</v>
          </cell>
          <cell r="E434">
            <v>135497804</v>
          </cell>
        </row>
        <row r="435">
          <cell r="A435" t="str">
            <v>VOB9660UDB</v>
          </cell>
          <cell r="B435" t="str">
            <v>B 9660 UDB</v>
          </cell>
          <cell r="C435">
            <v>229202272</v>
          </cell>
          <cell r="D435">
            <v>-93704468</v>
          </cell>
          <cell r="E435">
            <v>135497804</v>
          </cell>
        </row>
        <row r="436">
          <cell r="A436" t="str">
            <v>VOB9661UDB</v>
          </cell>
          <cell r="B436" t="str">
            <v>B 9661 UDB</v>
          </cell>
          <cell r="C436">
            <v>229202272</v>
          </cell>
          <cell r="D436">
            <v>-93704468</v>
          </cell>
          <cell r="E436">
            <v>135497804</v>
          </cell>
        </row>
        <row r="437">
          <cell r="A437" t="str">
            <v>VOB9662UDB</v>
          </cell>
          <cell r="B437" t="str">
            <v>B 9662 UDB</v>
          </cell>
          <cell r="C437">
            <v>229202272</v>
          </cell>
          <cell r="D437">
            <v>-93704468</v>
          </cell>
          <cell r="E437">
            <v>135497804</v>
          </cell>
        </row>
        <row r="438">
          <cell r="A438" t="str">
            <v>VOB9663UDB</v>
          </cell>
          <cell r="B438" t="str">
            <v>B 9663 UDB</v>
          </cell>
          <cell r="C438">
            <v>229202272</v>
          </cell>
          <cell r="D438">
            <v>-93704468</v>
          </cell>
          <cell r="E438">
            <v>135497804</v>
          </cell>
        </row>
        <row r="439">
          <cell r="A439" t="str">
            <v>VOB9664UDB</v>
          </cell>
          <cell r="B439" t="str">
            <v>B 9664 UDB</v>
          </cell>
          <cell r="C439">
            <v>229202272</v>
          </cell>
          <cell r="D439">
            <v>-93704468</v>
          </cell>
          <cell r="E439">
            <v>135497804</v>
          </cell>
        </row>
        <row r="440">
          <cell r="A440" t="str">
            <v>VOB9665UDB</v>
          </cell>
          <cell r="B440" t="str">
            <v>B 9665 UDB</v>
          </cell>
          <cell r="C440">
            <v>229202272</v>
          </cell>
          <cell r="D440">
            <v>-93704468</v>
          </cell>
          <cell r="E440">
            <v>135497804</v>
          </cell>
        </row>
        <row r="441">
          <cell r="A441" t="str">
            <v>VOB9667UDB</v>
          </cell>
          <cell r="B441" t="str">
            <v>B 9667 UDB</v>
          </cell>
          <cell r="C441">
            <v>229202272</v>
          </cell>
          <cell r="D441">
            <v>-93704468</v>
          </cell>
          <cell r="E441">
            <v>135497804</v>
          </cell>
        </row>
        <row r="442">
          <cell r="A442" t="str">
            <v>VOB9676VG1</v>
          </cell>
          <cell r="B442" t="str">
            <v>B 9676 VG</v>
          </cell>
          <cell r="C442">
            <v>270125000</v>
          </cell>
          <cell r="D442">
            <v>-267125000</v>
          </cell>
          <cell r="E442">
            <v>3000000</v>
          </cell>
        </row>
        <row r="443">
          <cell r="A443" t="str">
            <v>VOB9678UYW</v>
          </cell>
          <cell r="B443" t="str">
            <v>B 9678 UYW</v>
          </cell>
          <cell r="C443">
            <v>754454546</v>
          </cell>
          <cell r="D443">
            <v>-251484849</v>
          </cell>
          <cell r="E443">
            <v>502969697</v>
          </cell>
        </row>
        <row r="444">
          <cell r="A444" t="str">
            <v>VOB9715UDB</v>
          </cell>
          <cell r="B444" t="str">
            <v>B 9715 UDB</v>
          </cell>
          <cell r="C444">
            <v>230552273</v>
          </cell>
          <cell r="D444">
            <v>-94255719</v>
          </cell>
          <cell r="E444">
            <v>136296554</v>
          </cell>
        </row>
        <row r="445">
          <cell r="A445" t="str">
            <v>VOB9716UDB</v>
          </cell>
          <cell r="B445" t="str">
            <v>B 9716 UDB</v>
          </cell>
          <cell r="C445">
            <v>230552273</v>
          </cell>
          <cell r="D445">
            <v>-94255719</v>
          </cell>
          <cell r="E445">
            <v>136296554</v>
          </cell>
        </row>
        <row r="446">
          <cell r="A446" t="str">
            <v>VOB9717UCC1</v>
          </cell>
          <cell r="B446" t="str">
            <v>B 9717 UCC</v>
          </cell>
          <cell r="C446">
            <v>225581818</v>
          </cell>
          <cell r="D446">
            <v>-103157501</v>
          </cell>
          <cell r="E446">
            <v>122424317</v>
          </cell>
        </row>
        <row r="447">
          <cell r="A447" t="str">
            <v>VOB9722UDB</v>
          </cell>
          <cell r="B447" t="str">
            <v>B 9722 UDB</v>
          </cell>
          <cell r="C447">
            <v>230552273</v>
          </cell>
          <cell r="D447">
            <v>-94255719</v>
          </cell>
          <cell r="E447">
            <v>136296554</v>
          </cell>
        </row>
        <row r="448">
          <cell r="A448" t="str">
            <v>VOB9723UDB</v>
          </cell>
          <cell r="B448" t="str">
            <v>B 9723 UDB</v>
          </cell>
          <cell r="C448">
            <v>230552272</v>
          </cell>
          <cell r="D448">
            <v>-94255718</v>
          </cell>
          <cell r="E448">
            <v>136296554</v>
          </cell>
        </row>
        <row r="449">
          <cell r="A449" t="str">
            <v>VOB9724UDB</v>
          </cell>
          <cell r="B449" t="str">
            <v>B 9724 UDB</v>
          </cell>
          <cell r="C449">
            <v>230552273</v>
          </cell>
          <cell r="D449">
            <v>-94255719</v>
          </cell>
          <cell r="E449">
            <v>136296554</v>
          </cell>
        </row>
        <row r="450">
          <cell r="A450" t="str">
            <v>VOB9725NJ</v>
          </cell>
          <cell r="B450" t="str">
            <v>B 9725 NJ</v>
          </cell>
          <cell r="C450">
            <v>124500000</v>
          </cell>
          <cell r="D450">
            <v>-124500000</v>
          </cell>
          <cell r="E450">
            <v>0</v>
          </cell>
        </row>
        <row r="451">
          <cell r="A451" t="str">
            <v>VOB9725UDB</v>
          </cell>
          <cell r="B451" t="str">
            <v>B 9725 UDB</v>
          </cell>
          <cell r="C451">
            <v>230552272</v>
          </cell>
          <cell r="D451">
            <v>-94255718</v>
          </cell>
          <cell r="E451">
            <v>136296554</v>
          </cell>
        </row>
        <row r="452">
          <cell r="A452" t="str">
            <v>VOB9733UT</v>
          </cell>
          <cell r="B452" t="str">
            <v>B 9733 UT</v>
          </cell>
          <cell r="C452">
            <v>183740910</v>
          </cell>
          <cell r="D452">
            <v>-117900418</v>
          </cell>
          <cell r="E452">
            <v>65840492</v>
          </cell>
        </row>
        <row r="453">
          <cell r="A453" t="str">
            <v>VOB9737OU</v>
          </cell>
          <cell r="B453" t="str">
            <v>B 9737 OU</v>
          </cell>
          <cell r="C453">
            <v>183740910</v>
          </cell>
          <cell r="D453">
            <v>-116369243</v>
          </cell>
          <cell r="E453">
            <v>67371667</v>
          </cell>
        </row>
        <row r="454">
          <cell r="A454" t="str">
            <v>VOB9741SYU</v>
          </cell>
          <cell r="B454" t="str">
            <v>B 9741 SYU</v>
          </cell>
          <cell r="C454">
            <v>819254546</v>
          </cell>
          <cell r="D454">
            <v>-181416567</v>
          </cell>
          <cell r="E454">
            <v>637837979</v>
          </cell>
        </row>
        <row r="455">
          <cell r="A455" t="str">
            <v>VOB9742SYU</v>
          </cell>
          <cell r="B455" t="str">
            <v>B 9742 SYU</v>
          </cell>
          <cell r="C455">
            <v>819254545</v>
          </cell>
          <cell r="D455">
            <v>-181416566</v>
          </cell>
          <cell r="E455">
            <v>637837979</v>
          </cell>
        </row>
        <row r="456">
          <cell r="A456" t="str">
            <v>VOB9743SYU</v>
          </cell>
          <cell r="B456" t="str">
            <v>B 9743 SYU</v>
          </cell>
          <cell r="C456">
            <v>819254545</v>
          </cell>
          <cell r="D456">
            <v>-181416566</v>
          </cell>
          <cell r="E456">
            <v>637837979</v>
          </cell>
        </row>
        <row r="457">
          <cell r="A457" t="str">
            <v>VOB9744SYU</v>
          </cell>
          <cell r="B457" t="str">
            <v>B 9744 SYU</v>
          </cell>
          <cell r="C457">
            <v>818624546</v>
          </cell>
          <cell r="D457">
            <v>-181777567</v>
          </cell>
          <cell r="E457">
            <v>636846979</v>
          </cell>
        </row>
        <row r="458">
          <cell r="A458" t="str">
            <v>VOB9745SYU</v>
          </cell>
          <cell r="B458" t="str">
            <v>B 9745 SYU</v>
          </cell>
          <cell r="C458">
            <v>818624546</v>
          </cell>
          <cell r="D458">
            <v>-181731233</v>
          </cell>
          <cell r="E458">
            <v>636893313</v>
          </cell>
        </row>
        <row r="459">
          <cell r="A459" t="str">
            <v>VOB9756SYU</v>
          </cell>
          <cell r="B459" t="str">
            <v>B 9756 SYU</v>
          </cell>
          <cell r="C459">
            <v>819254545</v>
          </cell>
          <cell r="D459">
            <v>-181416566</v>
          </cell>
          <cell r="E459">
            <v>637837979</v>
          </cell>
        </row>
        <row r="460">
          <cell r="A460" t="str">
            <v>VOB9757SYU</v>
          </cell>
          <cell r="B460" t="str">
            <v>B 9757 SYU</v>
          </cell>
          <cell r="C460">
            <v>818624546</v>
          </cell>
          <cell r="D460">
            <v>-181731233</v>
          </cell>
          <cell r="E460">
            <v>636893313</v>
          </cell>
        </row>
        <row r="461">
          <cell r="A461" t="str">
            <v>VOB9758SYU</v>
          </cell>
          <cell r="B461" t="str">
            <v>B 9758 SYU</v>
          </cell>
          <cell r="C461">
            <v>819254545</v>
          </cell>
          <cell r="D461">
            <v>-181416566</v>
          </cell>
          <cell r="E461">
            <v>637837979</v>
          </cell>
        </row>
        <row r="462">
          <cell r="A462" t="str">
            <v>VOB9759SYU</v>
          </cell>
          <cell r="B462" t="str">
            <v>B 9759 SYU</v>
          </cell>
          <cell r="C462">
            <v>818624546</v>
          </cell>
          <cell r="D462">
            <v>-181777567</v>
          </cell>
          <cell r="E462">
            <v>636846979</v>
          </cell>
        </row>
        <row r="463">
          <cell r="A463" t="str">
            <v>VOB9760SYU</v>
          </cell>
          <cell r="B463" t="str">
            <v>B 9760 SYU</v>
          </cell>
          <cell r="C463">
            <v>818624545</v>
          </cell>
          <cell r="D463">
            <v>-181777566</v>
          </cell>
          <cell r="E463">
            <v>636846979</v>
          </cell>
        </row>
        <row r="464">
          <cell r="A464" t="str">
            <v>VOB9763UT</v>
          </cell>
          <cell r="B464" t="str">
            <v>B 9763 UT</v>
          </cell>
          <cell r="C464">
            <v>182631818</v>
          </cell>
          <cell r="D464">
            <v>-117082500</v>
          </cell>
          <cell r="E464">
            <v>65549318</v>
          </cell>
        </row>
        <row r="465">
          <cell r="A465" t="str">
            <v>VOB9766UT</v>
          </cell>
          <cell r="B465" t="str">
            <v>B 9766 UT</v>
          </cell>
          <cell r="C465">
            <v>182631818</v>
          </cell>
          <cell r="D465">
            <v>-117082500</v>
          </cell>
          <cell r="E465">
            <v>65549318</v>
          </cell>
        </row>
        <row r="466">
          <cell r="A466" t="str">
            <v>VOB9772VO</v>
          </cell>
          <cell r="B466" t="str">
            <v>B 9772 VO</v>
          </cell>
          <cell r="C466">
            <v>187272727</v>
          </cell>
          <cell r="D466">
            <v>-7803030</v>
          </cell>
          <cell r="E466">
            <v>179469697</v>
          </cell>
        </row>
        <row r="467">
          <cell r="A467" t="str">
            <v>VOB9774VO</v>
          </cell>
          <cell r="B467" t="str">
            <v>B 9774 VO</v>
          </cell>
          <cell r="C467">
            <v>187272726</v>
          </cell>
          <cell r="D467">
            <v>-7803030</v>
          </cell>
          <cell r="E467">
            <v>179469696</v>
          </cell>
        </row>
        <row r="468">
          <cell r="A468" t="str">
            <v>VOB9783UYW</v>
          </cell>
          <cell r="B468" t="str">
            <v>B 9783 UYW</v>
          </cell>
          <cell r="C468">
            <v>586818182</v>
          </cell>
          <cell r="D468">
            <v>-195606060</v>
          </cell>
          <cell r="E468">
            <v>391212122</v>
          </cell>
        </row>
        <row r="469">
          <cell r="A469" t="str">
            <v>VOB9784UYW</v>
          </cell>
          <cell r="B469" t="str">
            <v>B 9784 UYW</v>
          </cell>
          <cell r="C469">
            <v>586818182</v>
          </cell>
          <cell r="D469">
            <v>-195606060</v>
          </cell>
          <cell r="E469">
            <v>391212122</v>
          </cell>
        </row>
        <row r="470">
          <cell r="A470" t="str">
            <v>VOB9785UYW</v>
          </cell>
          <cell r="B470" t="str">
            <v>B 9785 UYW</v>
          </cell>
          <cell r="C470">
            <v>586818182</v>
          </cell>
          <cell r="D470">
            <v>-195606060</v>
          </cell>
          <cell r="E470">
            <v>391212122</v>
          </cell>
        </row>
        <row r="471">
          <cell r="A471" t="str">
            <v>VOB9786UYW</v>
          </cell>
          <cell r="B471" t="str">
            <v>B 9786 UYW</v>
          </cell>
          <cell r="C471">
            <v>586818182</v>
          </cell>
          <cell r="D471">
            <v>-195606060</v>
          </cell>
          <cell r="E471">
            <v>391212122</v>
          </cell>
        </row>
        <row r="472">
          <cell r="A472" t="str">
            <v>VOB9787UYW</v>
          </cell>
          <cell r="B472" t="str">
            <v>B 9787 UYW</v>
          </cell>
          <cell r="C472">
            <v>586818182</v>
          </cell>
          <cell r="D472">
            <v>-195606060</v>
          </cell>
          <cell r="E472">
            <v>391212122</v>
          </cell>
        </row>
        <row r="473">
          <cell r="A473" t="str">
            <v>VOB9796AU</v>
          </cell>
          <cell r="B473" t="str">
            <v>B 9796 AU</v>
          </cell>
          <cell r="C473">
            <v>550000000</v>
          </cell>
          <cell r="D473">
            <v>-238333333</v>
          </cell>
          <cell r="E473">
            <v>311666667</v>
          </cell>
        </row>
        <row r="474">
          <cell r="A474" t="str">
            <v>VOB9798JW</v>
          </cell>
          <cell r="B474" t="str">
            <v>B 9798 JW</v>
          </cell>
          <cell r="C474">
            <v>182631818</v>
          </cell>
          <cell r="D474">
            <v>-115666819</v>
          </cell>
          <cell r="E474">
            <v>66964999</v>
          </cell>
        </row>
        <row r="475">
          <cell r="A475" t="str">
            <v>VOB9808UCB</v>
          </cell>
          <cell r="B475" t="str">
            <v>B 9808 UCB</v>
          </cell>
          <cell r="C475">
            <v>194113637</v>
          </cell>
          <cell r="D475">
            <v>-100098296</v>
          </cell>
          <cell r="E475">
            <v>94015341</v>
          </cell>
        </row>
        <row r="476">
          <cell r="A476" t="str">
            <v>VOB9809UCB</v>
          </cell>
          <cell r="B476" t="str">
            <v>B 9809 UCB</v>
          </cell>
          <cell r="C476">
            <v>194113636</v>
          </cell>
          <cell r="D476">
            <v>-100098295</v>
          </cell>
          <cell r="E476">
            <v>94015341</v>
          </cell>
        </row>
        <row r="477">
          <cell r="A477" t="str">
            <v>VOB9809UT</v>
          </cell>
          <cell r="B477" t="str">
            <v>B 9809 UT</v>
          </cell>
          <cell r="C477">
            <v>183740910</v>
          </cell>
          <cell r="D477">
            <v>-117900418</v>
          </cell>
          <cell r="E477">
            <v>65840492</v>
          </cell>
        </row>
        <row r="478">
          <cell r="A478" t="str">
            <v>VOB9811JM</v>
          </cell>
          <cell r="B478" t="str">
            <v>B 9811 JM</v>
          </cell>
          <cell r="C478">
            <v>517500000</v>
          </cell>
          <cell r="D478">
            <v>-228562500</v>
          </cell>
          <cell r="E478">
            <v>288937500</v>
          </cell>
        </row>
        <row r="479">
          <cell r="A479" t="str">
            <v>VOB9817UDB</v>
          </cell>
          <cell r="B479" t="str">
            <v>B 9817 UDB</v>
          </cell>
          <cell r="C479">
            <v>229895454</v>
          </cell>
          <cell r="D479">
            <v>-92062347</v>
          </cell>
          <cell r="E479">
            <v>137833107</v>
          </cell>
        </row>
        <row r="480">
          <cell r="A480" t="str">
            <v>VOB9817UT1</v>
          </cell>
          <cell r="B480" t="str">
            <v>B 9817 UT</v>
          </cell>
          <cell r="C480">
            <v>221145454</v>
          </cell>
          <cell r="D480">
            <v>-145617877</v>
          </cell>
          <cell r="E480">
            <v>75527577</v>
          </cell>
        </row>
        <row r="481">
          <cell r="A481" t="str">
            <v>VOB9818UDB</v>
          </cell>
          <cell r="B481" t="str">
            <v>B 9818 UDB</v>
          </cell>
          <cell r="C481">
            <v>229895454</v>
          </cell>
          <cell r="D481">
            <v>-92062347</v>
          </cell>
          <cell r="E481">
            <v>137833107</v>
          </cell>
        </row>
        <row r="482">
          <cell r="A482" t="str">
            <v>VOB9819UDB</v>
          </cell>
          <cell r="B482" t="str">
            <v>B 9819 UDB</v>
          </cell>
          <cell r="C482">
            <v>229895454</v>
          </cell>
          <cell r="D482">
            <v>-92062347</v>
          </cell>
          <cell r="E482">
            <v>137833107</v>
          </cell>
        </row>
        <row r="483">
          <cell r="A483" t="str">
            <v>VOB9820UDB</v>
          </cell>
          <cell r="B483" t="str">
            <v>B 9820 UDB</v>
          </cell>
          <cell r="C483">
            <v>229895454</v>
          </cell>
          <cell r="D483">
            <v>-92062347</v>
          </cell>
          <cell r="E483">
            <v>137833107</v>
          </cell>
        </row>
        <row r="484">
          <cell r="A484" t="str">
            <v>VOB9822UT1</v>
          </cell>
          <cell r="B484" t="str">
            <v>B 9822 UT</v>
          </cell>
          <cell r="C484">
            <v>221145455</v>
          </cell>
          <cell r="D484">
            <v>-145617880</v>
          </cell>
          <cell r="E484">
            <v>75527575</v>
          </cell>
        </row>
        <row r="485">
          <cell r="A485" t="str">
            <v>VOB9828UYW</v>
          </cell>
          <cell r="B485" t="str">
            <v>B 9828 UYW</v>
          </cell>
          <cell r="C485">
            <v>586818182</v>
          </cell>
          <cell r="D485">
            <v>-190715909</v>
          </cell>
          <cell r="E485">
            <v>396102273</v>
          </cell>
        </row>
        <row r="486">
          <cell r="A486" t="str">
            <v>VOB9830UYW</v>
          </cell>
          <cell r="B486" t="str">
            <v>B 9830 UYW</v>
          </cell>
          <cell r="C486">
            <v>586818182</v>
          </cell>
          <cell r="D486">
            <v>-190715909</v>
          </cell>
          <cell r="E486">
            <v>396102273</v>
          </cell>
        </row>
        <row r="487">
          <cell r="A487" t="str">
            <v>VOB9831UYW</v>
          </cell>
          <cell r="B487" t="str">
            <v>B 9831 UYW</v>
          </cell>
          <cell r="C487">
            <v>586818182</v>
          </cell>
          <cell r="D487">
            <v>-190715909</v>
          </cell>
          <cell r="E487">
            <v>396102273</v>
          </cell>
        </row>
        <row r="488">
          <cell r="A488" t="str">
            <v>VOB9832UYW</v>
          </cell>
          <cell r="B488" t="str">
            <v>B 9832 UYW</v>
          </cell>
          <cell r="C488">
            <v>586818182</v>
          </cell>
          <cell r="D488">
            <v>-190715909</v>
          </cell>
          <cell r="E488">
            <v>396102273</v>
          </cell>
        </row>
        <row r="489">
          <cell r="A489" t="str">
            <v>VOB9833UYW</v>
          </cell>
          <cell r="B489" t="str">
            <v>B 9833 UYW</v>
          </cell>
          <cell r="C489">
            <v>586818182</v>
          </cell>
          <cell r="D489">
            <v>-190715909</v>
          </cell>
          <cell r="E489">
            <v>396102273</v>
          </cell>
        </row>
        <row r="490">
          <cell r="A490" t="str">
            <v>VOB9834UYW</v>
          </cell>
          <cell r="B490" t="str">
            <v>B 9834 UYW</v>
          </cell>
          <cell r="C490">
            <v>586818182</v>
          </cell>
          <cell r="D490">
            <v>-190715909</v>
          </cell>
          <cell r="E490">
            <v>396102273</v>
          </cell>
        </row>
        <row r="491">
          <cell r="A491" t="str">
            <v>VOB9835UYW</v>
          </cell>
          <cell r="B491" t="str">
            <v>B 9835 UYW</v>
          </cell>
          <cell r="C491">
            <v>586818182</v>
          </cell>
          <cell r="D491">
            <v>-190715909</v>
          </cell>
          <cell r="E491">
            <v>396102273</v>
          </cell>
        </row>
        <row r="492">
          <cell r="A492" t="str">
            <v>VOB9836UYW</v>
          </cell>
          <cell r="B492" t="str">
            <v>B 9836 UYW</v>
          </cell>
          <cell r="C492">
            <v>586818182</v>
          </cell>
          <cell r="D492">
            <v>-190715909</v>
          </cell>
          <cell r="E492">
            <v>396102273</v>
          </cell>
        </row>
        <row r="493">
          <cell r="A493" t="str">
            <v>VOB9837UYW</v>
          </cell>
          <cell r="B493" t="str">
            <v>B 9837 UYW</v>
          </cell>
          <cell r="C493">
            <v>586818182</v>
          </cell>
          <cell r="D493">
            <v>-190715909</v>
          </cell>
          <cell r="E493">
            <v>396102273</v>
          </cell>
        </row>
        <row r="494">
          <cell r="A494" t="str">
            <v>VOB9838UYW</v>
          </cell>
          <cell r="B494" t="str">
            <v>B 9838 UYW</v>
          </cell>
          <cell r="C494">
            <v>586818182</v>
          </cell>
          <cell r="D494">
            <v>-190715909</v>
          </cell>
          <cell r="E494">
            <v>396102273</v>
          </cell>
        </row>
        <row r="495">
          <cell r="A495" t="str">
            <v>VOB9839UYW</v>
          </cell>
          <cell r="B495" t="str">
            <v>B 9839 UYW</v>
          </cell>
          <cell r="C495">
            <v>586818182</v>
          </cell>
          <cell r="D495">
            <v>-190715909</v>
          </cell>
          <cell r="E495">
            <v>396102273</v>
          </cell>
        </row>
        <row r="496">
          <cell r="A496" t="str">
            <v>VOB9840UYW</v>
          </cell>
          <cell r="B496" t="str">
            <v>B 9840 UYW</v>
          </cell>
          <cell r="C496">
            <v>586818182</v>
          </cell>
          <cell r="D496">
            <v>-190715909</v>
          </cell>
          <cell r="E496">
            <v>396102273</v>
          </cell>
        </row>
        <row r="497">
          <cell r="A497" t="str">
            <v>VOB9841UYW</v>
          </cell>
          <cell r="B497" t="str">
            <v>B 9841 UYW</v>
          </cell>
          <cell r="C497">
            <v>586818182</v>
          </cell>
          <cell r="D497">
            <v>-190715909</v>
          </cell>
          <cell r="E497">
            <v>396102273</v>
          </cell>
        </row>
        <row r="498">
          <cell r="A498" t="str">
            <v>VOB9842UYW</v>
          </cell>
          <cell r="B498" t="str">
            <v>B 9842 UYW</v>
          </cell>
          <cell r="C498">
            <v>586818182</v>
          </cell>
          <cell r="D498">
            <v>-190715909</v>
          </cell>
          <cell r="E498">
            <v>396102273</v>
          </cell>
        </row>
        <row r="499">
          <cell r="A499" t="str">
            <v>VOB9843UYW</v>
          </cell>
          <cell r="B499" t="str">
            <v>B 9843 UYW</v>
          </cell>
          <cell r="C499">
            <v>586818182</v>
          </cell>
          <cell r="D499">
            <v>-190715909</v>
          </cell>
          <cell r="E499">
            <v>396102273</v>
          </cell>
        </row>
        <row r="500">
          <cell r="A500" t="str">
            <v>VOB9844UYW</v>
          </cell>
          <cell r="B500" t="str">
            <v>B 9844 UYW</v>
          </cell>
          <cell r="C500">
            <v>586818182</v>
          </cell>
          <cell r="D500">
            <v>-190715909</v>
          </cell>
          <cell r="E500">
            <v>396102273</v>
          </cell>
        </row>
        <row r="501">
          <cell r="A501" t="str">
            <v>VOB9845UYW</v>
          </cell>
          <cell r="B501" t="str">
            <v>B 9845 UYW</v>
          </cell>
          <cell r="C501">
            <v>586818182</v>
          </cell>
          <cell r="D501">
            <v>-190715909</v>
          </cell>
          <cell r="E501">
            <v>396102273</v>
          </cell>
        </row>
        <row r="502">
          <cell r="A502" t="str">
            <v>VOB9847UYW</v>
          </cell>
          <cell r="B502" t="str">
            <v>B 9847 UYW</v>
          </cell>
          <cell r="C502">
            <v>586818182</v>
          </cell>
          <cell r="D502">
            <v>-190715909</v>
          </cell>
          <cell r="E502">
            <v>396102273</v>
          </cell>
        </row>
        <row r="503">
          <cell r="A503" t="str">
            <v>VOB9848UYW</v>
          </cell>
          <cell r="B503" t="str">
            <v>B 9848 UYW</v>
          </cell>
          <cell r="C503">
            <v>586818182</v>
          </cell>
          <cell r="D503">
            <v>-190715909</v>
          </cell>
          <cell r="E503">
            <v>396102273</v>
          </cell>
        </row>
        <row r="504">
          <cell r="A504" t="str">
            <v>VOB9849UYW</v>
          </cell>
          <cell r="B504" t="str">
            <v>B 9849 UYW</v>
          </cell>
          <cell r="C504">
            <v>586818182</v>
          </cell>
          <cell r="D504">
            <v>-190715909</v>
          </cell>
          <cell r="E504">
            <v>396102273</v>
          </cell>
        </row>
        <row r="505">
          <cell r="A505" t="str">
            <v>VOB9859UCA</v>
          </cell>
          <cell r="B505" t="str">
            <v>B 9859 UCA</v>
          </cell>
          <cell r="C505">
            <v>137990909</v>
          </cell>
          <cell r="D505">
            <v>-76769924</v>
          </cell>
          <cell r="E505">
            <v>61220985</v>
          </cell>
        </row>
        <row r="506">
          <cell r="A506" t="str">
            <v>VOB9861UCA</v>
          </cell>
          <cell r="B506" t="str">
            <v>B 9861 UCA</v>
          </cell>
          <cell r="C506">
            <v>137990909</v>
          </cell>
          <cell r="D506">
            <v>-76769924</v>
          </cell>
          <cell r="E506">
            <v>61220985</v>
          </cell>
        </row>
        <row r="507">
          <cell r="A507" t="str">
            <v>VOB9863UCA1</v>
          </cell>
          <cell r="B507" t="str">
            <v>B 9863 UCA</v>
          </cell>
          <cell r="C507">
            <v>137990909</v>
          </cell>
          <cell r="D507">
            <v>-76769924</v>
          </cell>
          <cell r="E507">
            <v>61220985</v>
          </cell>
        </row>
        <row r="508">
          <cell r="A508" t="str">
            <v>VOB9880SJ</v>
          </cell>
          <cell r="B508" t="str">
            <v>B 9880 SJ</v>
          </cell>
          <cell r="C508">
            <v>247500000</v>
          </cell>
          <cell r="D508">
            <v>-198000000</v>
          </cell>
          <cell r="E508">
            <v>49500000</v>
          </cell>
        </row>
        <row r="509">
          <cell r="A509" t="str">
            <v>VOB9893UT</v>
          </cell>
          <cell r="B509" t="str">
            <v>B 9893 UT</v>
          </cell>
          <cell r="C509">
            <v>182631818</v>
          </cell>
          <cell r="D509">
            <v>-115666819</v>
          </cell>
          <cell r="E509">
            <v>66964999</v>
          </cell>
        </row>
        <row r="510">
          <cell r="A510" t="str">
            <v>VOB9894BR</v>
          </cell>
          <cell r="B510" t="str">
            <v>B 9894 BR</v>
          </cell>
          <cell r="C510">
            <v>35526317</v>
          </cell>
          <cell r="D510">
            <v>-35526317</v>
          </cell>
          <cell r="E510">
            <v>0</v>
          </cell>
        </row>
        <row r="511">
          <cell r="A511" t="str">
            <v>VOB9894UT</v>
          </cell>
          <cell r="B511" t="str">
            <v>B 9894 UT</v>
          </cell>
          <cell r="C511">
            <v>182631818</v>
          </cell>
          <cell r="D511">
            <v>-115666819</v>
          </cell>
          <cell r="E511">
            <v>66964999</v>
          </cell>
        </row>
        <row r="512">
          <cell r="A512" t="str">
            <v>VOB9900OJ</v>
          </cell>
          <cell r="B512" t="str">
            <v>B 9900 OJ</v>
          </cell>
          <cell r="C512">
            <v>106200000</v>
          </cell>
          <cell r="D512">
            <v>-83190000</v>
          </cell>
          <cell r="E512">
            <v>23010000</v>
          </cell>
        </row>
        <row r="513">
          <cell r="A513" t="str">
            <v>VOB9902UCA1</v>
          </cell>
          <cell r="B513" t="str">
            <v>B 9902 UCA</v>
          </cell>
          <cell r="C513">
            <v>183313636</v>
          </cell>
          <cell r="D513">
            <v>-100822501</v>
          </cell>
          <cell r="E513">
            <v>82491135</v>
          </cell>
        </row>
        <row r="514">
          <cell r="A514" t="str">
            <v>VOB9902UEH</v>
          </cell>
          <cell r="B514" t="str">
            <v>B 9902 UEH</v>
          </cell>
          <cell r="C514">
            <v>750818182</v>
          </cell>
          <cell r="D514">
            <v>-351401136</v>
          </cell>
          <cell r="E514">
            <v>399417046</v>
          </cell>
        </row>
        <row r="515">
          <cell r="A515" t="str">
            <v>VOB9903UEH</v>
          </cell>
          <cell r="B515" t="str">
            <v>B 9903 UEH</v>
          </cell>
          <cell r="C515">
            <v>750818182</v>
          </cell>
          <cell r="D515">
            <v>-351401136</v>
          </cell>
          <cell r="E515">
            <v>399417046</v>
          </cell>
        </row>
        <row r="516">
          <cell r="A516" t="str">
            <v>VOB9904UCA1</v>
          </cell>
          <cell r="B516" t="str">
            <v>B 9904 UCA</v>
          </cell>
          <cell r="C516">
            <v>183313636</v>
          </cell>
          <cell r="D516">
            <v>-100822501</v>
          </cell>
          <cell r="E516">
            <v>82491135</v>
          </cell>
        </row>
        <row r="517">
          <cell r="A517" t="str">
            <v>VOB9904UEH</v>
          </cell>
          <cell r="B517" t="str">
            <v>B 9904 UEH</v>
          </cell>
          <cell r="C517">
            <v>750818182</v>
          </cell>
          <cell r="D517">
            <v>-351401136</v>
          </cell>
          <cell r="E517">
            <v>399417046</v>
          </cell>
        </row>
        <row r="518">
          <cell r="A518" t="str">
            <v>VOB9905UCA1</v>
          </cell>
          <cell r="B518" t="str">
            <v>B 9905 UCA</v>
          </cell>
          <cell r="C518">
            <v>183313636</v>
          </cell>
          <cell r="D518">
            <v>-100822501</v>
          </cell>
          <cell r="E518">
            <v>82491135</v>
          </cell>
        </row>
        <row r="519">
          <cell r="A519" t="str">
            <v>VOB9905UEH</v>
          </cell>
          <cell r="B519" t="str">
            <v>B 9905 UEH</v>
          </cell>
          <cell r="C519">
            <v>727818182</v>
          </cell>
          <cell r="D519">
            <v>-386085480</v>
          </cell>
          <cell r="E519">
            <v>341732702</v>
          </cell>
        </row>
        <row r="520">
          <cell r="A520" t="str">
            <v>VOB9906UCA2</v>
          </cell>
          <cell r="B520" t="str">
            <v>B 9906 UCA</v>
          </cell>
          <cell r="C520">
            <v>192690909</v>
          </cell>
          <cell r="D520">
            <v>-105980000</v>
          </cell>
          <cell r="E520">
            <v>86710909</v>
          </cell>
        </row>
        <row r="521">
          <cell r="A521" t="str">
            <v>VOB9906UEH</v>
          </cell>
          <cell r="B521" t="str">
            <v>B 9906 UEH</v>
          </cell>
          <cell r="C521">
            <v>727818182</v>
          </cell>
          <cell r="D521">
            <v>-386085480</v>
          </cell>
          <cell r="E521">
            <v>341732702</v>
          </cell>
        </row>
        <row r="522">
          <cell r="A522" t="str">
            <v>VOB9907FF</v>
          </cell>
          <cell r="B522" t="str">
            <v>#N/A</v>
          </cell>
          <cell r="C522">
            <v>10000000</v>
          </cell>
          <cell r="D522">
            <v>-3500000</v>
          </cell>
          <cell r="E522">
            <v>6500000</v>
          </cell>
        </row>
        <row r="523">
          <cell r="A523" t="str">
            <v>VOB9907UCA</v>
          </cell>
          <cell r="B523" t="str">
            <v>B 9907 UCA</v>
          </cell>
          <cell r="C523">
            <v>192690909</v>
          </cell>
          <cell r="D523">
            <v>-105980000</v>
          </cell>
          <cell r="E523">
            <v>86710909</v>
          </cell>
        </row>
        <row r="524">
          <cell r="A524" t="str">
            <v>VOB9907UEH</v>
          </cell>
          <cell r="B524" t="str">
            <v>B 9907 UEH</v>
          </cell>
          <cell r="C524">
            <v>750818182</v>
          </cell>
          <cell r="D524">
            <v>-351401136</v>
          </cell>
          <cell r="E524">
            <v>399417046</v>
          </cell>
        </row>
        <row r="525">
          <cell r="A525" t="str">
            <v>VOB9908UCA</v>
          </cell>
          <cell r="B525" t="str">
            <v>B 9908 UCA</v>
          </cell>
          <cell r="C525">
            <v>192690909</v>
          </cell>
          <cell r="D525">
            <v>-105980000</v>
          </cell>
          <cell r="E525">
            <v>86710909</v>
          </cell>
        </row>
        <row r="526">
          <cell r="A526" t="str">
            <v>VOB9908UEH1</v>
          </cell>
          <cell r="B526" t="str">
            <v>B 9908 UEH</v>
          </cell>
          <cell r="C526">
            <v>727818182</v>
          </cell>
          <cell r="D526">
            <v>-386085480</v>
          </cell>
          <cell r="E526">
            <v>341732702</v>
          </cell>
        </row>
        <row r="527">
          <cell r="A527" t="str">
            <v>VOB9909FF</v>
          </cell>
          <cell r="B527" t="str">
            <v>#N/A</v>
          </cell>
          <cell r="C527">
            <v>10000000</v>
          </cell>
          <cell r="D527">
            <v>-3500000</v>
          </cell>
          <cell r="E527">
            <v>6500000</v>
          </cell>
        </row>
        <row r="528">
          <cell r="A528" t="str">
            <v>VOB9916NO1</v>
          </cell>
          <cell r="B528" t="str">
            <v>B 9916 NO</v>
          </cell>
          <cell r="C528">
            <v>182950000</v>
          </cell>
          <cell r="D528">
            <v>-169593333</v>
          </cell>
          <cell r="E528">
            <v>13356667</v>
          </cell>
        </row>
        <row r="529">
          <cell r="A529" t="str">
            <v>VOB9916UEH</v>
          </cell>
          <cell r="B529" t="str">
            <v>B 9916 UEH</v>
          </cell>
          <cell r="C529">
            <v>759318182</v>
          </cell>
          <cell r="D529">
            <v>-354988636</v>
          </cell>
          <cell r="E529">
            <v>404329546</v>
          </cell>
        </row>
        <row r="530">
          <cell r="A530" t="str">
            <v>VOB9917UEH</v>
          </cell>
          <cell r="B530" t="str">
            <v>B 9917 UEH</v>
          </cell>
          <cell r="C530">
            <v>759318182</v>
          </cell>
          <cell r="D530">
            <v>-354988636</v>
          </cell>
          <cell r="E530">
            <v>404329546</v>
          </cell>
        </row>
        <row r="531">
          <cell r="A531" t="str">
            <v>VOB9918UEH1</v>
          </cell>
          <cell r="B531" t="str">
            <v>B 9918 UEH</v>
          </cell>
          <cell r="C531">
            <v>734318182</v>
          </cell>
          <cell r="D531">
            <v>-389534092</v>
          </cell>
          <cell r="E531">
            <v>344784090</v>
          </cell>
        </row>
        <row r="532">
          <cell r="A532" t="str">
            <v>VOB9919UEH</v>
          </cell>
          <cell r="B532" t="str">
            <v>B 9919 UEH</v>
          </cell>
          <cell r="C532">
            <v>750818182</v>
          </cell>
          <cell r="D532">
            <v>-351401136</v>
          </cell>
          <cell r="E532">
            <v>399417046</v>
          </cell>
        </row>
        <row r="533">
          <cell r="A533" t="str">
            <v>VOB9922UCB</v>
          </cell>
          <cell r="B533" t="str">
            <v>B 9922 UCB</v>
          </cell>
          <cell r="C533">
            <v>136718182</v>
          </cell>
          <cell r="D533">
            <v>-68359090</v>
          </cell>
          <cell r="E533">
            <v>68359092</v>
          </cell>
        </row>
        <row r="534">
          <cell r="A534" t="str">
            <v>VOB9943UT2</v>
          </cell>
          <cell r="B534" t="str">
            <v>B 9943 UT</v>
          </cell>
          <cell r="C534">
            <v>220726109</v>
          </cell>
          <cell r="D534">
            <v>-141398421</v>
          </cell>
          <cell r="E534">
            <v>79327688</v>
          </cell>
        </row>
        <row r="535">
          <cell r="A535" t="str">
            <v>VOB9944UT2</v>
          </cell>
          <cell r="B535" t="str">
            <v>B 9944 UT</v>
          </cell>
          <cell r="C535">
            <v>220726109</v>
          </cell>
          <cell r="D535">
            <v>-141398421</v>
          </cell>
          <cell r="E535">
            <v>79327688</v>
          </cell>
        </row>
        <row r="536">
          <cell r="A536" t="str">
            <v>VOB9946UCE</v>
          </cell>
          <cell r="B536" t="str">
            <v>B 9946 UCE</v>
          </cell>
          <cell r="C536">
            <v>224918182</v>
          </cell>
          <cell r="D536">
            <v>-85668636</v>
          </cell>
          <cell r="E536">
            <v>139249546</v>
          </cell>
        </row>
        <row r="537">
          <cell r="A537" t="str">
            <v>VOB9947UCE</v>
          </cell>
          <cell r="B537" t="str">
            <v>B 9947 UCE</v>
          </cell>
          <cell r="C537">
            <v>224918182</v>
          </cell>
          <cell r="D537">
            <v>-85668636</v>
          </cell>
          <cell r="E537">
            <v>139249546</v>
          </cell>
        </row>
        <row r="538">
          <cell r="A538" t="str">
            <v>VOB9948UCE</v>
          </cell>
          <cell r="B538" t="str">
            <v>B 9948 UCE</v>
          </cell>
          <cell r="C538">
            <v>224918182</v>
          </cell>
          <cell r="D538">
            <v>-85668636</v>
          </cell>
          <cell r="E538">
            <v>139249546</v>
          </cell>
        </row>
        <row r="539">
          <cell r="A539" t="str">
            <v>VOB9949UCE</v>
          </cell>
          <cell r="B539" t="str">
            <v>B 9949 UCE</v>
          </cell>
          <cell r="C539">
            <v>224918182</v>
          </cell>
          <cell r="D539">
            <v>-85668636</v>
          </cell>
          <cell r="E539">
            <v>139249546</v>
          </cell>
        </row>
        <row r="540">
          <cell r="A540" t="str">
            <v>VOB9957UCE</v>
          </cell>
          <cell r="B540" t="str">
            <v>B 9957 UCE</v>
          </cell>
          <cell r="C540">
            <v>223918181</v>
          </cell>
          <cell r="D540">
            <v>-85310302</v>
          </cell>
          <cell r="E540">
            <v>138607879</v>
          </cell>
        </row>
        <row r="541">
          <cell r="A541" t="str">
            <v>VOB9958UCE</v>
          </cell>
          <cell r="B541" t="str">
            <v>B 9958 UCE</v>
          </cell>
          <cell r="C541">
            <v>223918181</v>
          </cell>
          <cell r="D541">
            <v>-85310302</v>
          </cell>
          <cell r="E541">
            <v>138607879</v>
          </cell>
        </row>
        <row r="542">
          <cell r="A542" t="str">
            <v>VOB9958UT2</v>
          </cell>
          <cell r="B542" t="str">
            <v>B 9958 UT</v>
          </cell>
          <cell r="C542">
            <v>220726109</v>
          </cell>
          <cell r="D542">
            <v>-141398421</v>
          </cell>
          <cell r="E542">
            <v>79327688</v>
          </cell>
        </row>
        <row r="543">
          <cell r="A543" t="str">
            <v>VOB9959UCE</v>
          </cell>
          <cell r="B543" t="str">
            <v>B 9959 UCE</v>
          </cell>
          <cell r="C543">
            <v>224918182</v>
          </cell>
          <cell r="D543">
            <v>-86401970</v>
          </cell>
          <cell r="E543">
            <v>138516212</v>
          </cell>
        </row>
        <row r="544">
          <cell r="A544" t="str">
            <v>VOB9960UCE</v>
          </cell>
          <cell r="B544" t="str">
            <v>B 9960 UCE</v>
          </cell>
          <cell r="C544">
            <v>223918182</v>
          </cell>
          <cell r="D544">
            <v>-85310303</v>
          </cell>
          <cell r="E544">
            <v>138607879</v>
          </cell>
        </row>
        <row r="545">
          <cell r="A545" t="str">
            <v>VOB9960UT1</v>
          </cell>
          <cell r="B545" t="str">
            <v>B 9960 UT</v>
          </cell>
          <cell r="C545">
            <v>220726109</v>
          </cell>
          <cell r="D545">
            <v>-141398421</v>
          </cell>
          <cell r="E545">
            <v>79327688</v>
          </cell>
        </row>
        <row r="546">
          <cell r="A546" t="str">
            <v>VOB9962UCE</v>
          </cell>
          <cell r="B546" t="str">
            <v>B 9962 UCE</v>
          </cell>
          <cell r="C546">
            <v>224918182</v>
          </cell>
          <cell r="D546">
            <v>-86401970</v>
          </cell>
          <cell r="E546">
            <v>138516212</v>
          </cell>
        </row>
        <row r="547">
          <cell r="A547" t="str">
            <v>VOB9963UCE</v>
          </cell>
          <cell r="B547" t="str">
            <v>B 9963 UCE</v>
          </cell>
          <cell r="C547">
            <v>223918182</v>
          </cell>
          <cell r="D547">
            <v>-85310303</v>
          </cell>
          <cell r="E547">
            <v>138607879</v>
          </cell>
        </row>
        <row r="548">
          <cell r="A548" t="str">
            <v>VOB9968UT1</v>
          </cell>
          <cell r="B548" t="str">
            <v>B 9968 UT</v>
          </cell>
          <cell r="C548">
            <v>220726109</v>
          </cell>
          <cell r="D548">
            <v>-141398421</v>
          </cell>
          <cell r="E548">
            <v>79327688</v>
          </cell>
        </row>
        <row r="549">
          <cell r="A549" t="str">
            <v>VOB9974ZJ</v>
          </cell>
          <cell r="B549" t="str">
            <v>B 9974 ZJ</v>
          </cell>
          <cell r="C549">
            <v>110985000</v>
          </cell>
          <cell r="D549">
            <v>-84905167</v>
          </cell>
          <cell r="E549">
            <v>26079833</v>
          </cell>
        </row>
        <row r="550">
          <cell r="A550" t="str">
            <v>VOB9979UDA2</v>
          </cell>
          <cell r="B550" t="str">
            <v>B 9979 UDA</v>
          </cell>
          <cell r="C550">
            <v>192963636</v>
          </cell>
          <cell r="D550">
            <v>-93265759</v>
          </cell>
          <cell r="E550">
            <v>99697877</v>
          </cell>
        </row>
        <row r="551">
          <cell r="A551" t="str">
            <v>VOB9995UT</v>
          </cell>
          <cell r="B551" t="str">
            <v>B 9995 UT</v>
          </cell>
          <cell r="C551">
            <v>182631819</v>
          </cell>
          <cell r="D551">
            <v>-115666819</v>
          </cell>
          <cell r="E551">
            <v>66965000</v>
          </cell>
        </row>
        <row r="552">
          <cell r="A552" t="str">
            <v>VOD8289GL1</v>
          </cell>
          <cell r="B552" t="str">
            <v>D 8289 GL</v>
          </cell>
          <cell r="C552">
            <v>228609091</v>
          </cell>
          <cell r="D552">
            <v>-118114697</v>
          </cell>
          <cell r="E552">
            <v>110494394</v>
          </cell>
        </row>
        <row r="553">
          <cell r="A553" t="str">
            <v>VOD8301GL1</v>
          </cell>
          <cell r="B553" t="str">
            <v>D 8301 GL</v>
          </cell>
          <cell r="C553">
            <v>256995454</v>
          </cell>
          <cell r="D553">
            <v>-132780983</v>
          </cell>
          <cell r="E553">
            <v>124214471</v>
          </cell>
        </row>
        <row r="554">
          <cell r="A554" t="str">
            <v>VOD8302GL1</v>
          </cell>
          <cell r="B554" t="str">
            <v>D 8302 GL</v>
          </cell>
          <cell r="C554">
            <v>256995455</v>
          </cell>
          <cell r="D554">
            <v>-132780985</v>
          </cell>
          <cell r="E554">
            <v>124214470</v>
          </cell>
        </row>
        <row r="555">
          <cell r="A555" t="str">
            <v>VOD8304GL1</v>
          </cell>
          <cell r="B555" t="str">
            <v>D 8304 GL</v>
          </cell>
          <cell r="C555">
            <v>228609091</v>
          </cell>
          <cell r="D555">
            <v>-118114697</v>
          </cell>
          <cell r="E555">
            <v>110494394</v>
          </cell>
        </row>
        <row r="556">
          <cell r="A556" t="str">
            <v>VOD8305GL1</v>
          </cell>
          <cell r="B556" t="str">
            <v>D 8305 GL</v>
          </cell>
          <cell r="C556">
            <v>256995455</v>
          </cell>
          <cell r="D556">
            <v>-132780985</v>
          </cell>
          <cell r="E556">
            <v>124214470</v>
          </cell>
        </row>
        <row r="557">
          <cell r="A557" t="str">
            <v>VOD8422DZ1</v>
          </cell>
          <cell r="B557" t="str">
            <v>D 8422 DZ</v>
          </cell>
          <cell r="C557">
            <v>229313637</v>
          </cell>
          <cell r="D557">
            <v>-122300607</v>
          </cell>
          <cell r="E557">
            <v>107013030</v>
          </cell>
        </row>
        <row r="558">
          <cell r="A558" t="str">
            <v>VOD8670DZ1</v>
          </cell>
          <cell r="B558" t="str">
            <v>D 8670 DZ</v>
          </cell>
          <cell r="C558">
            <v>229313636</v>
          </cell>
          <cell r="D558">
            <v>-122300607</v>
          </cell>
          <cell r="E558">
            <v>107013029</v>
          </cell>
        </row>
        <row r="559">
          <cell r="A559" t="str">
            <v>VOD8671DZ1</v>
          </cell>
          <cell r="B559" t="str">
            <v>D 8671 DZ</v>
          </cell>
          <cell r="C559">
            <v>229313636</v>
          </cell>
          <cell r="D559">
            <v>-122300607</v>
          </cell>
          <cell r="E559">
            <v>107013029</v>
          </cell>
        </row>
        <row r="560">
          <cell r="A560" t="str">
            <v>VOD8672DZ1</v>
          </cell>
          <cell r="B560" t="str">
            <v>D 8672 DZ</v>
          </cell>
          <cell r="C560">
            <v>254831818</v>
          </cell>
          <cell r="D560">
            <v>-147922727</v>
          </cell>
          <cell r="E560">
            <v>106909091</v>
          </cell>
        </row>
        <row r="561">
          <cell r="A561" t="str">
            <v>VOD8673DZ1</v>
          </cell>
          <cell r="B561" t="str">
            <v>D 8673 DZ</v>
          </cell>
          <cell r="C561">
            <v>254831818</v>
          </cell>
          <cell r="D561">
            <v>-147922727</v>
          </cell>
          <cell r="E561">
            <v>106909091</v>
          </cell>
        </row>
        <row r="562">
          <cell r="A562" t="str">
            <v>VOD8674DZ1</v>
          </cell>
          <cell r="B562" t="str">
            <v>D 8674 DZ</v>
          </cell>
          <cell r="C562">
            <v>254831818</v>
          </cell>
          <cell r="D562">
            <v>-147922727</v>
          </cell>
          <cell r="E562">
            <v>106909091</v>
          </cell>
        </row>
        <row r="563">
          <cell r="A563" t="str">
            <v>VOD8969DZ1</v>
          </cell>
          <cell r="B563" t="str">
            <v>D 8969 DZ</v>
          </cell>
          <cell r="C563">
            <v>226722727</v>
          </cell>
          <cell r="D563">
            <v>-131584092</v>
          </cell>
          <cell r="E563">
            <v>95138635</v>
          </cell>
        </row>
        <row r="564">
          <cell r="A564" t="str">
            <v>VOD8970DZ1</v>
          </cell>
          <cell r="B564" t="str">
            <v>D 8970 DZ</v>
          </cell>
          <cell r="C564">
            <v>254831818</v>
          </cell>
          <cell r="D564">
            <v>-147922727</v>
          </cell>
          <cell r="E564">
            <v>106909091</v>
          </cell>
        </row>
        <row r="565">
          <cell r="A565" t="str">
            <v>VOD8971DZ1</v>
          </cell>
          <cell r="B565" t="str">
            <v>D 8971 DZ</v>
          </cell>
          <cell r="C565">
            <v>226722727</v>
          </cell>
          <cell r="D565">
            <v>-131584092</v>
          </cell>
          <cell r="E565">
            <v>95138635</v>
          </cell>
        </row>
        <row r="566">
          <cell r="A566" t="str">
            <v>VODK9482AR1</v>
          </cell>
          <cell r="B566" t="str">
            <v>DK 9482 AR</v>
          </cell>
          <cell r="C566">
            <v>242640909</v>
          </cell>
          <cell r="D566">
            <v>-105144395</v>
          </cell>
          <cell r="E566">
            <v>137496514</v>
          </cell>
        </row>
        <row r="567">
          <cell r="A567" t="str">
            <v>VODK9483AR1</v>
          </cell>
          <cell r="B567" t="str">
            <v>DK 9483 AR</v>
          </cell>
          <cell r="C567">
            <v>242640909</v>
          </cell>
          <cell r="D567">
            <v>-105144395</v>
          </cell>
          <cell r="E567">
            <v>137496514</v>
          </cell>
        </row>
        <row r="568">
          <cell r="A568" t="str">
            <v>VODK9484AR1</v>
          </cell>
          <cell r="B568" t="str">
            <v>DK 9484 AR</v>
          </cell>
          <cell r="C568">
            <v>242640909</v>
          </cell>
          <cell r="D568">
            <v>-105144395</v>
          </cell>
          <cell r="E568">
            <v>137496514</v>
          </cell>
        </row>
        <row r="569">
          <cell r="A569" t="str">
            <v>VODK9515AN1</v>
          </cell>
          <cell r="B569" t="str">
            <v>DK 9515 AN</v>
          </cell>
          <cell r="C569">
            <v>265286363</v>
          </cell>
          <cell r="D569">
            <v>-137064620</v>
          </cell>
          <cell r="E569">
            <v>128221743</v>
          </cell>
        </row>
        <row r="570">
          <cell r="A570" t="str">
            <v>VODK9516AN1</v>
          </cell>
          <cell r="B570" t="str">
            <v>DK 9516 AN</v>
          </cell>
          <cell r="C570">
            <v>265286363</v>
          </cell>
          <cell r="D570">
            <v>-137064620</v>
          </cell>
          <cell r="E570">
            <v>128221743</v>
          </cell>
        </row>
        <row r="571">
          <cell r="A571" t="str">
            <v>VODK9517AN1</v>
          </cell>
          <cell r="B571" t="str">
            <v>DK 9517 AN</v>
          </cell>
          <cell r="C571">
            <v>265286363</v>
          </cell>
          <cell r="D571">
            <v>-137064620</v>
          </cell>
          <cell r="E571">
            <v>128221743</v>
          </cell>
        </row>
        <row r="572">
          <cell r="A572" t="str">
            <v>VODK9520JE1</v>
          </cell>
          <cell r="B572" t="str">
            <v>DK 9520 JE</v>
          </cell>
          <cell r="C572">
            <v>232502727</v>
          </cell>
          <cell r="D572">
            <v>-131761319</v>
          </cell>
          <cell r="E572">
            <v>100741408</v>
          </cell>
        </row>
        <row r="573">
          <cell r="A573" t="str">
            <v>VODK9521JE1</v>
          </cell>
          <cell r="B573" t="str">
            <v>DK 9521 JE</v>
          </cell>
          <cell r="C573">
            <v>226722727</v>
          </cell>
          <cell r="D573">
            <v>-130171819</v>
          </cell>
          <cell r="E573">
            <v>96550908</v>
          </cell>
        </row>
        <row r="574">
          <cell r="A574" t="str">
            <v>VODK9544JE1</v>
          </cell>
          <cell r="B574" t="str">
            <v>DK 9544 JE</v>
          </cell>
          <cell r="C574">
            <v>226950000</v>
          </cell>
          <cell r="D574">
            <v>-128605000</v>
          </cell>
          <cell r="E574">
            <v>98345000</v>
          </cell>
        </row>
        <row r="575">
          <cell r="A575" t="str">
            <v>VODK9581AQ1</v>
          </cell>
          <cell r="B575" t="str">
            <v>DK 9581 AQ</v>
          </cell>
          <cell r="C575">
            <v>232377273</v>
          </cell>
          <cell r="D575">
            <v>-102392045</v>
          </cell>
          <cell r="E575">
            <v>129985228</v>
          </cell>
        </row>
        <row r="576">
          <cell r="A576" t="str">
            <v>VODK9582AQ1</v>
          </cell>
          <cell r="B576" t="str">
            <v>DK 9582 AQ</v>
          </cell>
          <cell r="C576">
            <v>232377272</v>
          </cell>
          <cell r="D576">
            <v>-102392045</v>
          </cell>
          <cell r="E576">
            <v>129985227</v>
          </cell>
        </row>
        <row r="577">
          <cell r="A577" t="str">
            <v>VODK9682DQ1</v>
          </cell>
          <cell r="B577" t="str">
            <v>DK 9682 DQ</v>
          </cell>
          <cell r="C577">
            <v>158922727</v>
          </cell>
          <cell r="D577">
            <v>-70040871</v>
          </cell>
          <cell r="E577">
            <v>88881856</v>
          </cell>
        </row>
        <row r="578">
          <cell r="A578" t="str">
            <v>VODK9771XA1</v>
          </cell>
          <cell r="B578" t="str">
            <v>DK 9771 XA</v>
          </cell>
          <cell r="C578">
            <v>139136364</v>
          </cell>
          <cell r="D578">
            <v>-74206060</v>
          </cell>
          <cell r="E578">
            <v>64930304</v>
          </cell>
        </row>
        <row r="579">
          <cell r="A579" t="str">
            <v>VOE8281KJ1</v>
          </cell>
          <cell r="B579" t="str">
            <v>E 8281 KJ</v>
          </cell>
          <cell r="C579">
            <v>221677272</v>
          </cell>
          <cell r="D579">
            <v>-118227878</v>
          </cell>
          <cell r="E579">
            <v>103449394</v>
          </cell>
        </row>
        <row r="580">
          <cell r="A580" t="str">
            <v>VOE8283KJ1</v>
          </cell>
          <cell r="B580" t="str">
            <v>E 8283 KJ</v>
          </cell>
          <cell r="C580">
            <v>221677272</v>
          </cell>
          <cell r="D580">
            <v>-118227878</v>
          </cell>
          <cell r="E580">
            <v>103449394</v>
          </cell>
        </row>
        <row r="581">
          <cell r="A581" t="str">
            <v>VOE8284KJ1</v>
          </cell>
          <cell r="B581" t="str">
            <v>E 8284 KJ</v>
          </cell>
          <cell r="C581">
            <v>192727272</v>
          </cell>
          <cell r="D581">
            <v>-102787878</v>
          </cell>
          <cell r="E581">
            <v>89939394</v>
          </cell>
        </row>
        <row r="582">
          <cell r="A582" t="str">
            <v>VOE8285KJ1</v>
          </cell>
          <cell r="B582" t="str">
            <v>E 8285 KJ</v>
          </cell>
          <cell r="C582">
            <v>221677272</v>
          </cell>
          <cell r="D582">
            <v>-118227878</v>
          </cell>
          <cell r="E582">
            <v>103449394</v>
          </cell>
        </row>
        <row r="583">
          <cell r="A583" t="str">
            <v>VOE8291KJ1</v>
          </cell>
          <cell r="B583" t="str">
            <v>E 8291 KJ</v>
          </cell>
          <cell r="C583">
            <v>192727272</v>
          </cell>
          <cell r="D583">
            <v>-102787878</v>
          </cell>
          <cell r="E583">
            <v>89939394</v>
          </cell>
        </row>
        <row r="584">
          <cell r="A584" t="str">
            <v>VOE8292KJ1</v>
          </cell>
          <cell r="B584" t="str">
            <v>E 8292 KJ</v>
          </cell>
          <cell r="C584">
            <v>192727272</v>
          </cell>
          <cell r="D584">
            <v>-102787878</v>
          </cell>
          <cell r="E584">
            <v>89939394</v>
          </cell>
        </row>
        <row r="585">
          <cell r="A585" t="str">
            <v>VOE8398KJ1</v>
          </cell>
          <cell r="B585" t="str">
            <v>E 8398 KJ</v>
          </cell>
          <cell r="C585">
            <v>227213636</v>
          </cell>
          <cell r="D585">
            <v>-121180607</v>
          </cell>
          <cell r="E585">
            <v>106033029</v>
          </cell>
        </row>
        <row r="586">
          <cell r="A586" t="str">
            <v>VOE8399KJ1</v>
          </cell>
          <cell r="B586" t="str">
            <v>E 8399 KJ</v>
          </cell>
          <cell r="C586">
            <v>227213636</v>
          </cell>
          <cell r="D586">
            <v>-121180607</v>
          </cell>
          <cell r="E586">
            <v>106033029</v>
          </cell>
        </row>
        <row r="587">
          <cell r="A587" t="str">
            <v>VOE8401KJ1</v>
          </cell>
          <cell r="B587" t="str">
            <v>E 8401 KJ</v>
          </cell>
          <cell r="C587">
            <v>227213636</v>
          </cell>
          <cell r="D587">
            <v>-121180607</v>
          </cell>
          <cell r="E587">
            <v>106033029</v>
          </cell>
        </row>
        <row r="588">
          <cell r="A588" t="str">
            <v>VOE8402KJ1</v>
          </cell>
          <cell r="B588" t="str">
            <v>E 8402 KJ</v>
          </cell>
          <cell r="C588">
            <v>227213636</v>
          </cell>
          <cell r="D588">
            <v>-121180607</v>
          </cell>
          <cell r="E588">
            <v>106033029</v>
          </cell>
        </row>
        <row r="589">
          <cell r="A589" t="str">
            <v>VOE8403KJ1</v>
          </cell>
          <cell r="B589" t="str">
            <v>E 8403 KJ</v>
          </cell>
          <cell r="C589">
            <v>227213636</v>
          </cell>
          <cell r="D589">
            <v>-121180607</v>
          </cell>
          <cell r="E589">
            <v>106033029</v>
          </cell>
        </row>
        <row r="590">
          <cell r="A590" t="str">
            <v>VOE8405KJ1</v>
          </cell>
          <cell r="B590" t="str">
            <v>E 8405 KJ</v>
          </cell>
          <cell r="C590">
            <v>227213636</v>
          </cell>
          <cell r="D590">
            <v>-121180607</v>
          </cell>
          <cell r="E590">
            <v>106033029</v>
          </cell>
        </row>
        <row r="591">
          <cell r="A591" t="str">
            <v>VOE8482KJ1</v>
          </cell>
          <cell r="B591" t="str">
            <v>E 8482 KJ</v>
          </cell>
          <cell r="C591">
            <v>226422727</v>
          </cell>
          <cell r="D591">
            <v>-118871933</v>
          </cell>
          <cell r="E591">
            <v>107550794</v>
          </cell>
        </row>
        <row r="592">
          <cell r="A592" t="str">
            <v>VOE8483KJ1</v>
          </cell>
          <cell r="B592" t="str">
            <v>E 8483 KJ</v>
          </cell>
          <cell r="C592">
            <v>226422728</v>
          </cell>
          <cell r="D592">
            <v>-118871933</v>
          </cell>
          <cell r="E592">
            <v>107550795</v>
          </cell>
        </row>
        <row r="593">
          <cell r="A593" t="str">
            <v>VOE8485KJ1</v>
          </cell>
          <cell r="B593" t="str">
            <v>E 8485 KJ</v>
          </cell>
          <cell r="C593">
            <v>226422727</v>
          </cell>
          <cell r="D593">
            <v>-118871933</v>
          </cell>
          <cell r="E593">
            <v>107550794</v>
          </cell>
        </row>
        <row r="594">
          <cell r="A594" t="str">
            <v>VOE8486KJ1</v>
          </cell>
          <cell r="B594" t="str">
            <v>E 8486 KJ</v>
          </cell>
          <cell r="C594">
            <v>226422727</v>
          </cell>
          <cell r="D594">
            <v>-118871933</v>
          </cell>
          <cell r="E594">
            <v>107550794</v>
          </cell>
        </row>
        <row r="595">
          <cell r="A595" t="str">
            <v>VOE8502KJ1</v>
          </cell>
          <cell r="B595" t="str">
            <v>E 8502 KJ</v>
          </cell>
          <cell r="C595">
            <v>226304545</v>
          </cell>
          <cell r="D595">
            <v>-118809888</v>
          </cell>
          <cell r="E595">
            <v>107494657</v>
          </cell>
        </row>
        <row r="596">
          <cell r="A596" t="str">
            <v>VOE8503KJ1</v>
          </cell>
          <cell r="B596" t="str">
            <v>E 8503 KJ</v>
          </cell>
          <cell r="C596">
            <v>226304545</v>
          </cell>
          <cell r="D596">
            <v>-118809888</v>
          </cell>
          <cell r="E596">
            <v>107494657</v>
          </cell>
        </row>
        <row r="597">
          <cell r="A597" t="str">
            <v>VOE8504KJ1</v>
          </cell>
          <cell r="B597" t="str">
            <v>E 8504 KJ</v>
          </cell>
          <cell r="C597">
            <v>226304545</v>
          </cell>
          <cell r="D597">
            <v>-118809888</v>
          </cell>
          <cell r="E597">
            <v>107494657</v>
          </cell>
        </row>
        <row r="598">
          <cell r="A598" t="str">
            <v>VOE8505KJ1</v>
          </cell>
          <cell r="B598" t="str">
            <v>E 8505 KJ</v>
          </cell>
          <cell r="C598">
            <v>226304545</v>
          </cell>
          <cell r="D598">
            <v>-118809888</v>
          </cell>
          <cell r="E598">
            <v>107494657</v>
          </cell>
        </row>
        <row r="599">
          <cell r="A599" t="str">
            <v>VOE8506KJ1</v>
          </cell>
          <cell r="B599" t="str">
            <v>E 8506 KJ</v>
          </cell>
          <cell r="C599">
            <v>226304545</v>
          </cell>
          <cell r="D599">
            <v>-118809888</v>
          </cell>
          <cell r="E599">
            <v>107494657</v>
          </cell>
        </row>
        <row r="600">
          <cell r="A600" t="str">
            <v>VOL8217RG</v>
          </cell>
          <cell r="B600" t="str">
            <v>L 8217 RG</v>
          </cell>
          <cell r="C600">
            <v>110000000</v>
          </cell>
          <cell r="D600">
            <v>-71500000</v>
          </cell>
          <cell r="E600">
            <v>38500000</v>
          </cell>
        </row>
        <row r="601">
          <cell r="A601" t="str">
            <v>VON8482GC1</v>
          </cell>
          <cell r="B601" t="str">
            <v>N 8482 GC</v>
          </cell>
          <cell r="C601">
            <v>262786364</v>
          </cell>
          <cell r="D601">
            <v>-135772955</v>
          </cell>
          <cell r="E601">
            <v>127013409</v>
          </cell>
        </row>
        <row r="602">
          <cell r="A602" t="str">
            <v>VON8483GC1</v>
          </cell>
          <cell r="B602" t="str">
            <v>N 8483 GC</v>
          </cell>
          <cell r="C602">
            <v>262786363</v>
          </cell>
          <cell r="D602">
            <v>-135772954</v>
          </cell>
          <cell r="E602">
            <v>127013409</v>
          </cell>
        </row>
        <row r="603">
          <cell r="A603" t="str">
            <v>VON8485GC1</v>
          </cell>
          <cell r="B603" t="str">
            <v>N 8485 GC</v>
          </cell>
          <cell r="C603">
            <v>262786364</v>
          </cell>
          <cell r="D603">
            <v>-135772955</v>
          </cell>
          <cell r="E603">
            <v>127013409</v>
          </cell>
        </row>
        <row r="604">
          <cell r="A604" t="str">
            <v>VON8486GC1</v>
          </cell>
          <cell r="B604" t="str">
            <v>N 8486 GC</v>
          </cell>
          <cell r="C604">
            <v>262786363</v>
          </cell>
          <cell r="D604">
            <v>-135772954</v>
          </cell>
          <cell r="E604">
            <v>127013409</v>
          </cell>
        </row>
        <row r="605">
          <cell r="A605" t="str">
            <v>VON8487GC1</v>
          </cell>
          <cell r="B605" t="str">
            <v>N 8487 GC</v>
          </cell>
          <cell r="C605">
            <v>262786364</v>
          </cell>
          <cell r="D605">
            <v>-135772955</v>
          </cell>
          <cell r="E605">
            <v>127013409</v>
          </cell>
        </row>
        <row r="606">
          <cell r="A606" t="str">
            <v>VON8488GC1</v>
          </cell>
          <cell r="B606" t="str">
            <v>N 8488 GC</v>
          </cell>
          <cell r="C606">
            <v>262786364</v>
          </cell>
          <cell r="D606">
            <v>-135772955</v>
          </cell>
          <cell r="E606">
            <v>127013409</v>
          </cell>
        </row>
      </sheetData>
      <sheetData sheetId="1"/>
      <sheetData sheetId="2">
        <row r="5">
          <cell r="A5" t="str">
            <v>102020000029</v>
          </cell>
          <cell r="B5">
            <v>41000000</v>
          </cell>
          <cell r="C5">
            <v>-3050833</v>
          </cell>
          <cell r="D5">
            <v>37949167</v>
          </cell>
        </row>
        <row r="6">
          <cell r="A6" t="str">
            <v>102020000030</v>
          </cell>
          <cell r="B6">
            <v>64700000</v>
          </cell>
          <cell r="C6">
            <v>-4313333</v>
          </cell>
          <cell r="D6">
            <v>60386667</v>
          </cell>
        </row>
        <row r="7">
          <cell r="A7" t="str">
            <v>102020000031</v>
          </cell>
          <cell r="B7">
            <v>51700000</v>
          </cell>
          <cell r="C7">
            <v>-3446667</v>
          </cell>
          <cell r="D7">
            <v>48253333</v>
          </cell>
        </row>
        <row r="8">
          <cell r="A8" t="str">
            <v>106020000168</v>
          </cell>
          <cell r="B8">
            <v>920000000</v>
          </cell>
          <cell r="C8">
            <v>-736000000</v>
          </cell>
          <cell r="D8">
            <v>184000000</v>
          </cell>
        </row>
        <row r="9">
          <cell r="A9" t="str">
            <v>106020000880</v>
          </cell>
          <cell r="B9">
            <v>1272727272</v>
          </cell>
          <cell r="C9">
            <v>-562121211</v>
          </cell>
          <cell r="D9">
            <v>710606061</v>
          </cell>
        </row>
        <row r="10">
          <cell r="A10" t="str">
            <v>106020000895</v>
          </cell>
          <cell r="B10">
            <v>228000000</v>
          </cell>
          <cell r="C10">
            <v>-93100000</v>
          </cell>
          <cell r="D10">
            <v>134900000</v>
          </cell>
        </row>
        <row r="11">
          <cell r="A11" t="str">
            <v>202000000000</v>
          </cell>
          <cell r="B11">
            <v>37000000</v>
          </cell>
          <cell r="C11">
            <v>-2158333</v>
          </cell>
          <cell r="D11">
            <v>34841667</v>
          </cell>
        </row>
        <row r="12">
          <cell r="A12" t="str">
            <v>206000000005</v>
          </cell>
          <cell r="B12">
            <v>338768641</v>
          </cell>
          <cell r="C12">
            <v>-50815296</v>
          </cell>
          <cell r="D12">
            <v>287953345</v>
          </cell>
        </row>
        <row r="13">
          <cell r="A13" t="str">
            <v>306020000256</v>
          </cell>
          <cell r="B13">
            <v>212290909</v>
          </cell>
          <cell r="C13">
            <v>-91992728</v>
          </cell>
          <cell r="D13">
            <v>120298181</v>
          </cell>
        </row>
        <row r="14">
          <cell r="A14" t="str">
            <v>306020000257</v>
          </cell>
          <cell r="B14">
            <v>212290909</v>
          </cell>
          <cell r="C14">
            <v>-91992728</v>
          </cell>
          <cell r="D14">
            <v>120298181</v>
          </cell>
        </row>
        <row r="15">
          <cell r="A15" t="str">
            <v>306020000258</v>
          </cell>
          <cell r="B15">
            <v>212290909</v>
          </cell>
          <cell r="C15">
            <v>-91992728</v>
          </cell>
          <cell r="D15">
            <v>120298181</v>
          </cell>
        </row>
        <row r="16">
          <cell r="A16" t="str">
            <v>306020000259</v>
          </cell>
          <cell r="B16">
            <v>30350000</v>
          </cell>
          <cell r="C16">
            <v>-13151667</v>
          </cell>
          <cell r="D16">
            <v>17198333</v>
          </cell>
        </row>
        <row r="17">
          <cell r="A17" t="str">
            <v>306020000260</v>
          </cell>
          <cell r="B17">
            <v>30350000</v>
          </cell>
          <cell r="C17">
            <v>-13151667</v>
          </cell>
          <cell r="D17">
            <v>17198333</v>
          </cell>
        </row>
        <row r="18">
          <cell r="A18" t="str">
            <v>306020000261</v>
          </cell>
          <cell r="B18">
            <v>30350000</v>
          </cell>
          <cell r="C18">
            <v>-13151667</v>
          </cell>
          <cell r="D18">
            <v>17198333</v>
          </cell>
        </row>
        <row r="19">
          <cell r="A19" t="str">
            <v>306020000277</v>
          </cell>
          <cell r="B19">
            <v>416018181</v>
          </cell>
          <cell r="C19">
            <v>-173340908</v>
          </cell>
          <cell r="D19">
            <v>242677273</v>
          </cell>
        </row>
        <row r="20">
          <cell r="A20" t="str">
            <v>306020000278</v>
          </cell>
          <cell r="B20">
            <v>13625000</v>
          </cell>
          <cell r="C20">
            <v>-5677083</v>
          </cell>
          <cell r="D20">
            <v>7947917</v>
          </cell>
        </row>
        <row r="21">
          <cell r="A21" t="str">
            <v>306020000279</v>
          </cell>
          <cell r="B21">
            <v>13625000</v>
          </cell>
          <cell r="C21">
            <v>-5677083</v>
          </cell>
          <cell r="D21">
            <v>7947917</v>
          </cell>
        </row>
        <row r="22">
          <cell r="A22" t="str">
            <v>306020000280</v>
          </cell>
          <cell r="B22">
            <v>13625000</v>
          </cell>
          <cell r="C22">
            <v>-5677083</v>
          </cell>
          <cell r="D22">
            <v>7947917</v>
          </cell>
        </row>
        <row r="23">
          <cell r="A23" t="str">
            <v>306020000281</v>
          </cell>
          <cell r="B23">
            <v>13625000</v>
          </cell>
          <cell r="C23">
            <v>-5677083</v>
          </cell>
          <cell r="D23">
            <v>7947917</v>
          </cell>
        </row>
        <row r="24">
          <cell r="A24" t="str">
            <v>306020000282</v>
          </cell>
          <cell r="B24">
            <v>13625000</v>
          </cell>
          <cell r="C24">
            <v>-5677083</v>
          </cell>
          <cell r="D24">
            <v>7947917</v>
          </cell>
        </row>
        <row r="25">
          <cell r="A25" t="str">
            <v>306020000283</v>
          </cell>
          <cell r="B25">
            <v>13625000</v>
          </cell>
          <cell r="C25">
            <v>-5677083</v>
          </cell>
          <cell r="D25">
            <v>7947917</v>
          </cell>
        </row>
        <row r="26">
          <cell r="A26" t="str">
            <v>306020000284</v>
          </cell>
          <cell r="B26">
            <v>13625000</v>
          </cell>
          <cell r="C26">
            <v>-5677083</v>
          </cell>
          <cell r="D26">
            <v>7947917</v>
          </cell>
        </row>
        <row r="27">
          <cell r="A27" t="str">
            <v>306020000285</v>
          </cell>
          <cell r="B27">
            <v>13625000</v>
          </cell>
          <cell r="C27">
            <v>-5677083</v>
          </cell>
          <cell r="D27">
            <v>7947917</v>
          </cell>
        </row>
        <row r="28">
          <cell r="A28" t="str">
            <v>306020000286</v>
          </cell>
          <cell r="B28">
            <v>13625000</v>
          </cell>
          <cell r="C28">
            <v>-5677083</v>
          </cell>
          <cell r="D28">
            <v>7947917</v>
          </cell>
        </row>
        <row r="29">
          <cell r="A29" t="str">
            <v>306020000287</v>
          </cell>
          <cell r="B29">
            <v>13625000</v>
          </cell>
          <cell r="C29">
            <v>-5677083</v>
          </cell>
          <cell r="D29">
            <v>7947917</v>
          </cell>
        </row>
        <row r="30">
          <cell r="A30" t="str">
            <v>306020000288</v>
          </cell>
          <cell r="B30">
            <v>13625000</v>
          </cell>
          <cell r="C30">
            <v>-5677083</v>
          </cell>
          <cell r="D30">
            <v>7947917</v>
          </cell>
        </row>
        <row r="31">
          <cell r="A31" t="str">
            <v>306020000289</v>
          </cell>
          <cell r="B31">
            <v>13625000</v>
          </cell>
          <cell r="C31">
            <v>-5677083</v>
          </cell>
          <cell r="D31">
            <v>7947917</v>
          </cell>
        </row>
        <row r="32">
          <cell r="A32" t="str">
            <v>306020000290</v>
          </cell>
          <cell r="B32">
            <v>13625000</v>
          </cell>
          <cell r="C32">
            <v>-5677083</v>
          </cell>
          <cell r="D32">
            <v>7947917</v>
          </cell>
        </row>
        <row r="33">
          <cell r="A33" t="str">
            <v>306020000291</v>
          </cell>
          <cell r="B33">
            <v>13625000</v>
          </cell>
          <cell r="C33">
            <v>-5677083</v>
          </cell>
          <cell r="D33">
            <v>7947917</v>
          </cell>
        </row>
        <row r="34">
          <cell r="A34" t="str">
            <v>306020000292</v>
          </cell>
          <cell r="B34">
            <v>13625000</v>
          </cell>
          <cell r="C34">
            <v>-5677083</v>
          </cell>
          <cell r="D34">
            <v>7947917</v>
          </cell>
        </row>
        <row r="35">
          <cell r="A35" t="str">
            <v>306020000293</v>
          </cell>
          <cell r="B35">
            <v>13625000</v>
          </cell>
          <cell r="C35">
            <v>-5677083</v>
          </cell>
          <cell r="D35">
            <v>7947917</v>
          </cell>
        </row>
        <row r="36">
          <cell r="A36" t="str">
            <v>306020000294</v>
          </cell>
          <cell r="B36">
            <v>215577272</v>
          </cell>
          <cell r="C36">
            <v>-88027385</v>
          </cell>
          <cell r="D36">
            <v>127549887</v>
          </cell>
        </row>
        <row r="37">
          <cell r="A37" t="str">
            <v>306020000295</v>
          </cell>
          <cell r="B37">
            <v>215577272</v>
          </cell>
          <cell r="C37">
            <v>-88027385</v>
          </cell>
          <cell r="D37">
            <v>127549887</v>
          </cell>
        </row>
        <row r="38">
          <cell r="A38" t="str">
            <v>306020000296</v>
          </cell>
          <cell r="B38">
            <v>215577272</v>
          </cell>
          <cell r="C38">
            <v>-88027385</v>
          </cell>
          <cell r="D38">
            <v>127549887</v>
          </cell>
        </row>
        <row r="39">
          <cell r="A39" t="str">
            <v>306020000297</v>
          </cell>
          <cell r="B39">
            <v>215577272</v>
          </cell>
          <cell r="C39">
            <v>-88027385</v>
          </cell>
          <cell r="D39">
            <v>127549887</v>
          </cell>
        </row>
        <row r="40">
          <cell r="A40" t="str">
            <v>306020000298</v>
          </cell>
          <cell r="B40">
            <v>215577272</v>
          </cell>
          <cell r="C40">
            <v>-88027385</v>
          </cell>
          <cell r="D40">
            <v>127549887</v>
          </cell>
        </row>
        <row r="41">
          <cell r="A41" t="str">
            <v>306020000299</v>
          </cell>
          <cell r="B41">
            <v>215577272</v>
          </cell>
          <cell r="C41">
            <v>-88027385</v>
          </cell>
          <cell r="D41">
            <v>127549887</v>
          </cell>
        </row>
        <row r="42">
          <cell r="A42" t="str">
            <v>306020000300</v>
          </cell>
          <cell r="B42">
            <v>215577272</v>
          </cell>
          <cell r="C42">
            <v>-88027385</v>
          </cell>
          <cell r="D42">
            <v>127549887</v>
          </cell>
        </row>
        <row r="43">
          <cell r="A43" t="str">
            <v>306020000301</v>
          </cell>
          <cell r="B43">
            <v>215577272</v>
          </cell>
          <cell r="C43">
            <v>-88027385</v>
          </cell>
          <cell r="D43">
            <v>127549887</v>
          </cell>
        </row>
        <row r="44">
          <cell r="A44" t="str">
            <v>306020000302</v>
          </cell>
          <cell r="B44">
            <v>215577272</v>
          </cell>
          <cell r="C44">
            <v>-88027385</v>
          </cell>
          <cell r="D44">
            <v>127549887</v>
          </cell>
        </row>
        <row r="45">
          <cell r="A45" t="str">
            <v>306020000303</v>
          </cell>
          <cell r="B45">
            <v>215577272</v>
          </cell>
          <cell r="C45">
            <v>-88027385</v>
          </cell>
          <cell r="D45">
            <v>127549887</v>
          </cell>
        </row>
        <row r="46">
          <cell r="A46" t="str">
            <v>306020000304</v>
          </cell>
          <cell r="B46">
            <v>216927272</v>
          </cell>
          <cell r="C46">
            <v>-88578635</v>
          </cell>
          <cell r="D46">
            <v>128348637</v>
          </cell>
        </row>
        <row r="47">
          <cell r="A47" t="str">
            <v>306020000305</v>
          </cell>
          <cell r="B47">
            <v>216927272</v>
          </cell>
          <cell r="C47">
            <v>-88578635</v>
          </cell>
          <cell r="D47">
            <v>128348637</v>
          </cell>
        </row>
        <row r="48">
          <cell r="A48" t="str">
            <v>306020000306</v>
          </cell>
          <cell r="B48">
            <v>216927273</v>
          </cell>
          <cell r="C48">
            <v>-88578636</v>
          </cell>
          <cell r="D48">
            <v>128348637</v>
          </cell>
        </row>
        <row r="49">
          <cell r="A49" t="str">
            <v>306020000307</v>
          </cell>
          <cell r="B49">
            <v>216927273</v>
          </cell>
          <cell r="C49">
            <v>-88578636</v>
          </cell>
          <cell r="D49">
            <v>128348637</v>
          </cell>
        </row>
        <row r="50">
          <cell r="A50" t="str">
            <v>306020000308</v>
          </cell>
          <cell r="B50">
            <v>216927273</v>
          </cell>
          <cell r="C50">
            <v>-88578636</v>
          </cell>
          <cell r="D50">
            <v>128348637</v>
          </cell>
        </row>
        <row r="51">
          <cell r="A51" t="str">
            <v>306020000309</v>
          </cell>
          <cell r="B51">
            <v>216927273</v>
          </cell>
          <cell r="C51">
            <v>-88578636</v>
          </cell>
          <cell r="D51">
            <v>128348637</v>
          </cell>
        </row>
        <row r="52">
          <cell r="A52" t="str">
            <v>306020000310</v>
          </cell>
          <cell r="B52">
            <v>12500000</v>
          </cell>
          <cell r="C52">
            <v>-5104167</v>
          </cell>
          <cell r="D52">
            <v>7395833</v>
          </cell>
        </row>
        <row r="53">
          <cell r="A53" t="str">
            <v>306020000311</v>
          </cell>
          <cell r="B53">
            <v>12500000</v>
          </cell>
          <cell r="C53">
            <v>-5104167</v>
          </cell>
          <cell r="D53">
            <v>7395833</v>
          </cell>
        </row>
        <row r="54">
          <cell r="A54" t="str">
            <v>306020000312</v>
          </cell>
          <cell r="B54">
            <v>12500000</v>
          </cell>
          <cell r="C54">
            <v>-5104167</v>
          </cell>
          <cell r="D54">
            <v>7395833</v>
          </cell>
        </row>
        <row r="55">
          <cell r="A55" t="str">
            <v>306020000313</v>
          </cell>
          <cell r="B55">
            <v>12500000</v>
          </cell>
          <cell r="C55">
            <v>-5104167</v>
          </cell>
          <cell r="D55">
            <v>7395833</v>
          </cell>
        </row>
        <row r="56">
          <cell r="A56" t="str">
            <v>306020000314</v>
          </cell>
          <cell r="B56">
            <v>217395454</v>
          </cell>
          <cell r="C56">
            <v>-86958180</v>
          </cell>
          <cell r="D56">
            <v>130437274</v>
          </cell>
        </row>
        <row r="57">
          <cell r="A57" t="str">
            <v>306020000315</v>
          </cell>
          <cell r="B57">
            <v>217395454</v>
          </cell>
          <cell r="C57">
            <v>-86958180</v>
          </cell>
          <cell r="D57">
            <v>130437274</v>
          </cell>
        </row>
        <row r="58">
          <cell r="A58" t="str">
            <v>306020000316</v>
          </cell>
          <cell r="B58">
            <v>217395454</v>
          </cell>
          <cell r="C58">
            <v>-86958180</v>
          </cell>
          <cell r="D58">
            <v>130437274</v>
          </cell>
        </row>
        <row r="59">
          <cell r="A59" t="str">
            <v>306020000317</v>
          </cell>
          <cell r="B59">
            <v>217395454</v>
          </cell>
          <cell r="C59">
            <v>-86958180</v>
          </cell>
          <cell r="D59">
            <v>130437274</v>
          </cell>
        </row>
        <row r="60">
          <cell r="A60" t="str">
            <v>306020000318</v>
          </cell>
          <cell r="B60">
            <v>202918181</v>
          </cell>
          <cell r="C60">
            <v>-77785302</v>
          </cell>
          <cell r="D60">
            <v>125132879</v>
          </cell>
        </row>
        <row r="61">
          <cell r="A61" t="str">
            <v>306020000319</v>
          </cell>
          <cell r="B61">
            <v>202918181</v>
          </cell>
          <cell r="C61">
            <v>-77785302</v>
          </cell>
          <cell r="D61">
            <v>125132879</v>
          </cell>
        </row>
        <row r="62">
          <cell r="A62" t="str">
            <v>306020000320</v>
          </cell>
          <cell r="B62">
            <v>202918182</v>
          </cell>
          <cell r="C62">
            <v>-77785303</v>
          </cell>
          <cell r="D62">
            <v>125132879</v>
          </cell>
        </row>
        <row r="63">
          <cell r="A63" t="str">
            <v>306020000321</v>
          </cell>
          <cell r="B63">
            <v>202918182</v>
          </cell>
          <cell r="C63">
            <v>-77785303</v>
          </cell>
          <cell r="D63">
            <v>125132879</v>
          </cell>
        </row>
        <row r="64">
          <cell r="A64" t="str">
            <v>306020000322</v>
          </cell>
          <cell r="B64">
            <v>202918182</v>
          </cell>
          <cell r="C64">
            <v>-77785303</v>
          </cell>
          <cell r="D64">
            <v>125132879</v>
          </cell>
        </row>
        <row r="65">
          <cell r="A65" t="str">
            <v>306020000323</v>
          </cell>
          <cell r="B65">
            <v>202918182</v>
          </cell>
          <cell r="C65">
            <v>-77785303</v>
          </cell>
          <cell r="D65">
            <v>125132879</v>
          </cell>
        </row>
        <row r="66">
          <cell r="A66" t="str">
            <v>306020000324</v>
          </cell>
          <cell r="B66">
            <v>202918182</v>
          </cell>
          <cell r="C66">
            <v>-77785303</v>
          </cell>
          <cell r="D66">
            <v>125132879</v>
          </cell>
        </row>
        <row r="67">
          <cell r="A67" t="str">
            <v>306020000325</v>
          </cell>
          <cell r="B67">
            <v>202918182</v>
          </cell>
          <cell r="C67">
            <v>-77785303</v>
          </cell>
          <cell r="D67">
            <v>125132879</v>
          </cell>
        </row>
        <row r="68">
          <cell r="A68" t="str">
            <v>306020000326</v>
          </cell>
          <cell r="B68">
            <v>202918182</v>
          </cell>
          <cell r="C68">
            <v>-77785303</v>
          </cell>
          <cell r="D68">
            <v>125132879</v>
          </cell>
        </row>
        <row r="69">
          <cell r="A69" t="str">
            <v>306020000327</v>
          </cell>
          <cell r="B69">
            <v>202918182</v>
          </cell>
          <cell r="C69">
            <v>-77785303</v>
          </cell>
          <cell r="D69">
            <v>125132879</v>
          </cell>
        </row>
        <row r="70">
          <cell r="A70" t="str">
            <v>306020000328</v>
          </cell>
          <cell r="B70">
            <v>22000000</v>
          </cell>
          <cell r="C70">
            <v>-8616667</v>
          </cell>
          <cell r="D70">
            <v>13383333</v>
          </cell>
        </row>
        <row r="71">
          <cell r="A71" t="str">
            <v>306020000329</v>
          </cell>
          <cell r="B71">
            <v>22000000</v>
          </cell>
          <cell r="C71">
            <v>-8616667</v>
          </cell>
          <cell r="D71">
            <v>13383333</v>
          </cell>
        </row>
        <row r="72">
          <cell r="A72" t="str">
            <v>306020000330</v>
          </cell>
          <cell r="B72">
            <v>100000000</v>
          </cell>
          <cell r="C72">
            <v>-35000000</v>
          </cell>
          <cell r="D72">
            <v>65000000</v>
          </cell>
        </row>
        <row r="73">
          <cell r="A73" t="str">
            <v>306020000331</v>
          </cell>
          <cell r="B73">
            <v>100000000</v>
          </cell>
          <cell r="C73">
            <v>-35000000</v>
          </cell>
          <cell r="D73">
            <v>65000000</v>
          </cell>
        </row>
        <row r="74">
          <cell r="A74" t="str">
            <v>306020000332</v>
          </cell>
          <cell r="B74">
            <v>100000000</v>
          </cell>
          <cell r="C74">
            <v>-35000000</v>
          </cell>
          <cell r="D74">
            <v>65000000</v>
          </cell>
        </row>
        <row r="75">
          <cell r="A75" t="str">
            <v>306020000333</v>
          </cell>
          <cell r="B75">
            <v>100000000</v>
          </cell>
          <cell r="C75">
            <v>-35000000</v>
          </cell>
          <cell r="D75">
            <v>65000000</v>
          </cell>
        </row>
        <row r="76">
          <cell r="A76" t="str">
            <v>306020000334</v>
          </cell>
          <cell r="B76">
            <v>100000000</v>
          </cell>
          <cell r="C76">
            <v>-35000000</v>
          </cell>
          <cell r="D76">
            <v>65000000</v>
          </cell>
        </row>
        <row r="77">
          <cell r="A77" t="str">
            <v>306020000335</v>
          </cell>
          <cell r="B77">
            <v>100000000</v>
          </cell>
          <cell r="C77">
            <v>-35000000</v>
          </cell>
          <cell r="D77">
            <v>65000000</v>
          </cell>
        </row>
        <row r="78">
          <cell r="A78" t="str">
            <v>306020000336</v>
          </cell>
          <cell r="B78">
            <v>100000000</v>
          </cell>
          <cell r="C78">
            <v>-35000000</v>
          </cell>
          <cell r="D78">
            <v>65000000</v>
          </cell>
        </row>
        <row r="79">
          <cell r="A79" t="str">
            <v>306020000337</v>
          </cell>
          <cell r="B79">
            <v>100000000</v>
          </cell>
          <cell r="C79">
            <v>-35000000</v>
          </cell>
          <cell r="D79">
            <v>65000000</v>
          </cell>
        </row>
        <row r="80">
          <cell r="A80" t="str">
            <v>306020000338</v>
          </cell>
          <cell r="B80">
            <v>100000000</v>
          </cell>
          <cell r="C80">
            <v>-35000000</v>
          </cell>
          <cell r="D80">
            <v>65000000</v>
          </cell>
        </row>
        <row r="81">
          <cell r="A81" t="str">
            <v>306020000339</v>
          </cell>
          <cell r="B81">
            <v>100000000</v>
          </cell>
          <cell r="C81">
            <v>-35000000</v>
          </cell>
          <cell r="D81">
            <v>65000000</v>
          </cell>
        </row>
        <row r="82">
          <cell r="A82" t="str">
            <v>306020000340</v>
          </cell>
          <cell r="B82">
            <v>100000000</v>
          </cell>
          <cell r="C82">
            <v>-35000000</v>
          </cell>
          <cell r="D82">
            <v>65000000</v>
          </cell>
        </row>
        <row r="83">
          <cell r="A83" t="str">
            <v>306020000341</v>
          </cell>
          <cell r="B83">
            <v>100000000</v>
          </cell>
          <cell r="C83">
            <v>-35000000</v>
          </cell>
          <cell r="D83">
            <v>65000000</v>
          </cell>
        </row>
        <row r="84">
          <cell r="A84" t="str">
            <v>306020000342</v>
          </cell>
          <cell r="B84">
            <v>100000000</v>
          </cell>
          <cell r="C84">
            <v>-35000000</v>
          </cell>
          <cell r="D84">
            <v>65000000</v>
          </cell>
        </row>
        <row r="85">
          <cell r="A85" t="str">
            <v>306020000343</v>
          </cell>
          <cell r="B85">
            <v>100000000</v>
          </cell>
          <cell r="C85">
            <v>-35000000</v>
          </cell>
          <cell r="D85">
            <v>65000000</v>
          </cell>
        </row>
        <row r="86">
          <cell r="A86" t="str">
            <v>306020000344</v>
          </cell>
          <cell r="B86">
            <v>100000000</v>
          </cell>
          <cell r="C86">
            <v>-35000000</v>
          </cell>
          <cell r="D86">
            <v>65000000</v>
          </cell>
        </row>
        <row r="87">
          <cell r="A87" t="str">
            <v>306020000345</v>
          </cell>
          <cell r="B87">
            <v>100000000</v>
          </cell>
          <cell r="C87">
            <v>-35000000</v>
          </cell>
          <cell r="D87">
            <v>65000000</v>
          </cell>
        </row>
        <row r="88">
          <cell r="A88" t="str">
            <v>306020000346</v>
          </cell>
          <cell r="B88">
            <v>100000000</v>
          </cell>
          <cell r="C88">
            <v>-35000000</v>
          </cell>
          <cell r="D88">
            <v>65000000</v>
          </cell>
        </row>
        <row r="89">
          <cell r="A89" t="str">
            <v>306020000347</v>
          </cell>
          <cell r="B89">
            <v>100000000</v>
          </cell>
          <cell r="C89">
            <v>-35000000</v>
          </cell>
          <cell r="D89">
            <v>65000000</v>
          </cell>
        </row>
        <row r="90">
          <cell r="A90" t="str">
            <v>306020000348</v>
          </cell>
          <cell r="B90">
            <v>100000000</v>
          </cell>
          <cell r="C90">
            <v>-35000000</v>
          </cell>
          <cell r="D90">
            <v>65000000</v>
          </cell>
        </row>
        <row r="91">
          <cell r="A91" t="str">
            <v>306020000349</v>
          </cell>
          <cell r="B91">
            <v>100000000</v>
          </cell>
          <cell r="C91">
            <v>-35000000</v>
          </cell>
          <cell r="D91">
            <v>65000000</v>
          </cell>
        </row>
        <row r="92">
          <cell r="A92" t="str">
            <v>306020000350</v>
          </cell>
          <cell r="B92">
            <v>100000000</v>
          </cell>
          <cell r="C92">
            <v>-35000000</v>
          </cell>
          <cell r="D92">
            <v>65000000</v>
          </cell>
        </row>
        <row r="93">
          <cell r="A93" t="str">
            <v>306020000351</v>
          </cell>
          <cell r="B93">
            <v>100000000</v>
          </cell>
          <cell r="C93">
            <v>-35000000</v>
          </cell>
          <cell r="D93">
            <v>65000000</v>
          </cell>
        </row>
        <row r="94">
          <cell r="A94" t="str">
            <v>306020000352</v>
          </cell>
          <cell r="B94">
            <v>100000000</v>
          </cell>
          <cell r="C94">
            <v>-35000000</v>
          </cell>
          <cell r="D94">
            <v>65000000</v>
          </cell>
        </row>
        <row r="95">
          <cell r="A95" t="str">
            <v>306020000353</v>
          </cell>
          <cell r="B95">
            <v>100000000</v>
          </cell>
          <cell r="C95">
            <v>-35000000</v>
          </cell>
          <cell r="D95">
            <v>65000000</v>
          </cell>
        </row>
        <row r="96">
          <cell r="A96" t="str">
            <v>306020000354</v>
          </cell>
          <cell r="B96">
            <v>100000000</v>
          </cell>
          <cell r="C96">
            <v>-35000000</v>
          </cell>
          <cell r="D96">
            <v>65000000</v>
          </cell>
        </row>
        <row r="97">
          <cell r="A97" t="str">
            <v>306020000355</v>
          </cell>
          <cell r="B97">
            <v>100000000</v>
          </cell>
          <cell r="C97">
            <v>-35000000</v>
          </cell>
          <cell r="D97">
            <v>65000000</v>
          </cell>
        </row>
        <row r="98">
          <cell r="A98" t="str">
            <v>306020000356</v>
          </cell>
          <cell r="B98">
            <v>100000000</v>
          </cell>
          <cell r="C98">
            <v>-35000000</v>
          </cell>
          <cell r="D98">
            <v>65000000</v>
          </cell>
        </row>
        <row r="99">
          <cell r="A99" t="str">
            <v>306020000357</v>
          </cell>
          <cell r="B99">
            <v>100000000</v>
          </cell>
          <cell r="C99">
            <v>-35000000</v>
          </cell>
          <cell r="D99">
            <v>65000000</v>
          </cell>
        </row>
        <row r="100">
          <cell r="A100" t="str">
            <v>306020000358</v>
          </cell>
          <cell r="B100">
            <v>100000000</v>
          </cell>
          <cell r="C100">
            <v>-35000000</v>
          </cell>
          <cell r="D100">
            <v>65000000</v>
          </cell>
        </row>
        <row r="101">
          <cell r="A101" t="str">
            <v>306020000359</v>
          </cell>
          <cell r="B101">
            <v>100000000</v>
          </cell>
          <cell r="C101">
            <v>-35000000</v>
          </cell>
          <cell r="D101">
            <v>65000000</v>
          </cell>
        </row>
        <row r="102">
          <cell r="A102" t="str">
            <v>306020000360</v>
          </cell>
          <cell r="B102">
            <v>34000000</v>
          </cell>
          <cell r="C102">
            <v>-12183333</v>
          </cell>
          <cell r="D102">
            <v>21816667</v>
          </cell>
        </row>
        <row r="103">
          <cell r="A103" t="str">
            <v>306020000361</v>
          </cell>
          <cell r="B103">
            <v>654090909</v>
          </cell>
          <cell r="C103">
            <v>-228931818</v>
          </cell>
          <cell r="D103">
            <v>425159091</v>
          </cell>
        </row>
        <row r="104">
          <cell r="A104" t="str">
            <v>306020000362</v>
          </cell>
          <cell r="B104">
            <v>654090909</v>
          </cell>
          <cell r="C104">
            <v>-228931818</v>
          </cell>
          <cell r="D104">
            <v>425159091</v>
          </cell>
        </row>
        <row r="105">
          <cell r="A105" t="str">
            <v>306020000363</v>
          </cell>
          <cell r="B105">
            <v>654090909</v>
          </cell>
          <cell r="C105">
            <v>-228931818</v>
          </cell>
          <cell r="D105">
            <v>425159091</v>
          </cell>
        </row>
        <row r="106">
          <cell r="A106" t="str">
            <v>306020000364</v>
          </cell>
          <cell r="B106">
            <v>654090909</v>
          </cell>
          <cell r="C106">
            <v>-228931818</v>
          </cell>
          <cell r="D106">
            <v>425159091</v>
          </cell>
        </row>
        <row r="107">
          <cell r="A107" t="str">
            <v>306020000365</v>
          </cell>
          <cell r="B107">
            <v>654090909</v>
          </cell>
          <cell r="C107">
            <v>-228931818</v>
          </cell>
          <cell r="D107">
            <v>425159091</v>
          </cell>
        </row>
        <row r="108">
          <cell r="A108" t="str">
            <v>306020000366</v>
          </cell>
          <cell r="B108">
            <v>654090909</v>
          </cell>
          <cell r="C108">
            <v>-228931818</v>
          </cell>
          <cell r="D108">
            <v>425159091</v>
          </cell>
        </row>
        <row r="109">
          <cell r="A109" t="str">
            <v>306020000367</v>
          </cell>
          <cell r="B109">
            <v>654090909</v>
          </cell>
          <cell r="C109">
            <v>-228931818</v>
          </cell>
          <cell r="D109">
            <v>425159091</v>
          </cell>
        </row>
        <row r="110">
          <cell r="A110" t="str">
            <v>306020000368</v>
          </cell>
          <cell r="B110">
            <v>654090909</v>
          </cell>
          <cell r="C110">
            <v>-228931818</v>
          </cell>
          <cell r="D110">
            <v>425159091</v>
          </cell>
        </row>
        <row r="111">
          <cell r="A111" t="str">
            <v>306020000369</v>
          </cell>
          <cell r="B111">
            <v>654090909</v>
          </cell>
          <cell r="C111">
            <v>-228931818</v>
          </cell>
          <cell r="D111">
            <v>425159091</v>
          </cell>
        </row>
        <row r="112">
          <cell r="A112" t="str">
            <v>306020000370</v>
          </cell>
          <cell r="B112">
            <v>654090909</v>
          </cell>
          <cell r="C112">
            <v>-228931818</v>
          </cell>
          <cell r="D112">
            <v>425159091</v>
          </cell>
        </row>
        <row r="113">
          <cell r="A113" t="str">
            <v>306020000371</v>
          </cell>
          <cell r="B113">
            <v>654090909</v>
          </cell>
          <cell r="C113">
            <v>-228931818</v>
          </cell>
          <cell r="D113">
            <v>425159091</v>
          </cell>
        </row>
        <row r="114">
          <cell r="A114" t="str">
            <v>306020000372</v>
          </cell>
          <cell r="B114">
            <v>654090909</v>
          </cell>
          <cell r="C114">
            <v>-228931818</v>
          </cell>
          <cell r="D114">
            <v>425159091</v>
          </cell>
        </row>
        <row r="115">
          <cell r="A115" t="str">
            <v>306020000373</v>
          </cell>
          <cell r="B115">
            <v>654090909</v>
          </cell>
          <cell r="C115">
            <v>-228931818</v>
          </cell>
          <cell r="D115">
            <v>425159091</v>
          </cell>
        </row>
        <row r="116">
          <cell r="A116" t="str">
            <v>306020000374</v>
          </cell>
          <cell r="B116">
            <v>654090909</v>
          </cell>
          <cell r="C116">
            <v>-228931818</v>
          </cell>
          <cell r="D116">
            <v>425159091</v>
          </cell>
        </row>
        <row r="117">
          <cell r="A117" t="str">
            <v>306020000375</v>
          </cell>
          <cell r="B117">
            <v>654090909</v>
          </cell>
          <cell r="C117">
            <v>-228931818</v>
          </cell>
          <cell r="D117">
            <v>425159091</v>
          </cell>
        </row>
        <row r="118">
          <cell r="A118" t="str">
            <v>306020000376</v>
          </cell>
          <cell r="B118">
            <v>654090909</v>
          </cell>
          <cell r="C118">
            <v>-228931818</v>
          </cell>
          <cell r="D118">
            <v>425159091</v>
          </cell>
        </row>
        <row r="119">
          <cell r="A119" t="str">
            <v>306020000377</v>
          </cell>
          <cell r="B119">
            <v>654090909</v>
          </cell>
          <cell r="C119">
            <v>-228931818</v>
          </cell>
          <cell r="D119">
            <v>425159091</v>
          </cell>
        </row>
        <row r="120">
          <cell r="A120" t="str">
            <v>306020000378</v>
          </cell>
          <cell r="B120">
            <v>654090909</v>
          </cell>
          <cell r="C120">
            <v>-228931818</v>
          </cell>
          <cell r="D120">
            <v>425159091</v>
          </cell>
        </row>
        <row r="121">
          <cell r="A121" t="str">
            <v>306020000379</v>
          </cell>
          <cell r="B121">
            <v>654090909</v>
          </cell>
          <cell r="C121">
            <v>-228931818</v>
          </cell>
          <cell r="D121">
            <v>425159091</v>
          </cell>
        </row>
        <row r="122">
          <cell r="A122" t="str">
            <v>306020000380</v>
          </cell>
          <cell r="B122">
            <v>654090909</v>
          </cell>
          <cell r="C122">
            <v>-228931818</v>
          </cell>
          <cell r="D122">
            <v>425159091</v>
          </cell>
        </row>
        <row r="123">
          <cell r="A123" t="str">
            <v>306020000381</v>
          </cell>
          <cell r="B123">
            <v>654090909</v>
          </cell>
          <cell r="C123">
            <v>-228931818</v>
          </cell>
          <cell r="D123">
            <v>425159091</v>
          </cell>
        </row>
        <row r="124">
          <cell r="A124" t="str">
            <v>306020000382</v>
          </cell>
          <cell r="B124">
            <v>654090909</v>
          </cell>
          <cell r="C124">
            <v>-228931818</v>
          </cell>
          <cell r="D124">
            <v>425159091</v>
          </cell>
        </row>
        <row r="125">
          <cell r="A125" t="str">
            <v>306020000383</v>
          </cell>
          <cell r="B125">
            <v>654090909</v>
          </cell>
          <cell r="C125">
            <v>-228931818</v>
          </cell>
          <cell r="D125">
            <v>425159091</v>
          </cell>
        </row>
        <row r="126">
          <cell r="A126" t="str">
            <v>306020000384</v>
          </cell>
          <cell r="B126">
            <v>654090909</v>
          </cell>
          <cell r="C126">
            <v>-228931818</v>
          </cell>
          <cell r="D126">
            <v>425159091</v>
          </cell>
        </row>
        <row r="127">
          <cell r="A127" t="str">
            <v>306020000385</v>
          </cell>
          <cell r="B127">
            <v>654090909</v>
          </cell>
          <cell r="C127">
            <v>-228931818</v>
          </cell>
          <cell r="D127">
            <v>425159091</v>
          </cell>
        </row>
        <row r="128">
          <cell r="A128" t="str">
            <v>306020000386</v>
          </cell>
          <cell r="B128">
            <v>654090909</v>
          </cell>
          <cell r="C128">
            <v>-228931818</v>
          </cell>
          <cell r="D128">
            <v>425159091</v>
          </cell>
        </row>
        <row r="129">
          <cell r="A129" t="str">
            <v>306020000387</v>
          </cell>
          <cell r="B129">
            <v>654090909</v>
          </cell>
          <cell r="C129">
            <v>-228931818</v>
          </cell>
          <cell r="D129">
            <v>425159091</v>
          </cell>
        </row>
        <row r="130">
          <cell r="A130" t="str">
            <v>306020000388</v>
          </cell>
          <cell r="B130">
            <v>654090910</v>
          </cell>
          <cell r="C130">
            <v>-228931819</v>
          </cell>
          <cell r="D130">
            <v>425159091</v>
          </cell>
        </row>
        <row r="131">
          <cell r="A131" t="str">
            <v>306020000389</v>
          </cell>
          <cell r="B131">
            <v>654090910</v>
          </cell>
          <cell r="C131">
            <v>-228931819</v>
          </cell>
          <cell r="D131">
            <v>425159091</v>
          </cell>
        </row>
        <row r="132">
          <cell r="A132" t="str">
            <v>306020000390</v>
          </cell>
          <cell r="B132">
            <v>654090910</v>
          </cell>
          <cell r="C132">
            <v>-228931819</v>
          </cell>
          <cell r="D132">
            <v>425159091</v>
          </cell>
        </row>
        <row r="133">
          <cell r="A133" t="str">
            <v>306020000391</v>
          </cell>
          <cell r="B133">
            <v>385000000</v>
          </cell>
          <cell r="C133">
            <v>-134750000</v>
          </cell>
          <cell r="D133">
            <v>250250000</v>
          </cell>
        </row>
        <row r="134">
          <cell r="A134" t="str">
            <v>306020000392</v>
          </cell>
          <cell r="B134">
            <v>158000000</v>
          </cell>
          <cell r="C134">
            <v>-55300000</v>
          </cell>
          <cell r="D134">
            <v>102700000</v>
          </cell>
        </row>
        <row r="135">
          <cell r="A135" t="str">
            <v>306020000393</v>
          </cell>
          <cell r="B135">
            <v>158000000</v>
          </cell>
          <cell r="C135">
            <v>-55300000</v>
          </cell>
          <cell r="D135">
            <v>102700000</v>
          </cell>
        </row>
        <row r="136">
          <cell r="A136" t="str">
            <v>306020000394</v>
          </cell>
          <cell r="B136">
            <v>158000000</v>
          </cell>
          <cell r="C136">
            <v>-55300000</v>
          </cell>
          <cell r="D136">
            <v>102700000</v>
          </cell>
        </row>
        <row r="137">
          <cell r="A137" t="str">
            <v>306020000395</v>
          </cell>
          <cell r="B137">
            <v>158000000</v>
          </cell>
          <cell r="C137">
            <v>-55300000</v>
          </cell>
          <cell r="D137">
            <v>102700000</v>
          </cell>
        </row>
        <row r="138">
          <cell r="A138" t="str">
            <v>306020000396</v>
          </cell>
          <cell r="B138">
            <v>158000000</v>
          </cell>
          <cell r="C138">
            <v>-55300000</v>
          </cell>
          <cell r="D138">
            <v>102700000</v>
          </cell>
        </row>
        <row r="139">
          <cell r="A139" t="str">
            <v>306020000397</v>
          </cell>
          <cell r="B139">
            <v>158000000</v>
          </cell>
          <cell r="C139">
            <v>-55300000</v>
          </cell>
          <cell r="D139">
            <v>102700000</v>
          </cell>
        </row>
        <row r="140">
          <cell r="A140" t="str">
            <v>306020000398</v>
          </cell>
          <cell r="B140">
            <v>158000000</v>
          </cell>
          <cell r="C140">
            <v>-55300000</v>
          </cell>
          <cell r="D140">
            <v>102700000</v>
          </cell>
        </row>
        <row r="141">
          <cell r="A141" t="str">
            <v>306020000399</v>
          </cell>
          <cell r="B141">
            <v>158000000</v>
          </cell>
          <cell r="C141">
            <v>-55300000</v>
          </cell>
          <cell r="D141">
            <v>102700000</v>
          </cell>
        </row>
        <row r="142">
          <cell r="A142" t="str">
            <v>306020000400</v>
          </cell>
          <cell r="B142">
            <v>158000000</v>
          </cell>
          <cell r="C142">
            <v>-55300000</v>
          </cell>
          <cell r="D142">
            <v>102700000</v>
          </cell>
        </row>
        <row r="143">
          <cell r="A143" t="str">
            <v>306020000401</v>
          </cell>
          <cell r="B143">
            <v>158000000</v>
          </cell>
          <cell r="C143">
            <v>-55300000</v>
          </cell>
          <cell r="D143">
            <v>102700000</v>
          </cell>
        </row>
        <row r="144">
          <cell r="A144" t="str">
            <v>306020000402</v>
          </cell>
          <cell r="B144">
            <v>158000000</v>
          </cell>
          <cell r="C144">
            <v>-55300000</v>
          </cell>
          <cell r="D144">
            <v>102700000</v>
          </cell>
        </row>
        <row r="145">
          <cell r="A145" t="str">
            <v>306020000403</v>
          </cell>
          <cell r="B145">
            <v>158000000</v>
          </cell>
          <cell r="C145">
            <v>-55300000</v>
          </cell>
          <cell r="D145">
            <v>102700000</v>
          </cell>
        </row>
        <row r="146">
          <cell r="A146" t="str">
            <v>306020000404</v>
          </cell>
          <cell r="B146">
            <v>158000000</v>
          </cell>
          <cell r="C146">
            <v>-55300000</v>
          </cell>
          <cell r="D146">
            <v>102700000</v>
          </cell>
        </row>
        <row r="147">
          <cell r="A147" t="str">
            <v>306020000405</v>
          </cell>
          <cell r="B147">
            <v>529424400</v>
          </cell>
          <cell r="C147">
            <v>-185298540</v>
          </cell>
          <cell r="D147">
            <v>344125860</v>
          </cell>
        </row>
        <row r="148">
          <cell r="A148" t="str">
            <v>306020000406</v>
          </cell>
          <cell r="B148">
            <v>529424400</v>
          </cell>
          <cell r="C148">
            <v>-185298540</v>
          </cell>
          <cell r="D148">
            <v>344125860</v>
          </cell>
        </row>
        <row r="149">
          <cell r="A149" t="str">
            <v>306020000407</v>
          </cell>
          <cell r="B149">
            <v>529424400</v>
          </cell>
          <cell r="C149">
            <v>-185298540</v>
          </cell>
          <cell r="D149">
            <v>344125860</v>
          </cell>
        </row>
        <row r="150">
          <cell r="A150" t="str">
            <v>306020000408</v>
          </cell>
          <cell r="B150">
            <v>529424400</v>
          </cell>
          <cell r="C150">
            <v>-185298540</v>
          </cell>
          <cell r="D150">
            <v>344125860</v>
          </cell>
        </row>
        <row r="151">
          <cell r="A151" t="str">
            <v>306020000409</v>
          </cell>
          <cell r="B151">
            <v>529424400</v>
          </cell>
          <cell r="C151">
            <v>-185298540</v>
          </cell>
          <cell r="D151">
            <v>344125860</v>
          </cell>
        </row>
        <row r="152">
          <cell r="A152" t="str">
            <v>306020000410</v>
          </cell>
          <cell r="B152">
            <v>529424400</v>
          </cell>
          <cell r="C152">
            <v>-185298540</v>
          </cell>
          <cell r="D152">
            <v>344125860</v>
          </cell>
        </row>
        <row r="153">
          <cell r="A153" t="str">
            <v>306020000411</v>
          </cell>
          <cell r="B153">
            <v>529424400</v>
          </cell>
          <cell r="C153">
            <v>-185298540</v>
          </cell>
          <cell r="D153">
            <v>344125860</v>
          </cell>
        </row>
        <row r="154">
          <cell r="A154" t="str">
            <v>306020000412</v>
          </cell>
          <cell r="B154">
            <v>529424400</v>
          </cell>
          <cell r="C154">
            <v>-185298540</v>
          </cell>
          <cell r="D154">
            <v>344125860</v>
          </cell>
        </row>
        <row r="155">
          <cell r="A155" t="str">
            <v>306020000413</v>
          </cell>
          <cell r="B155">
            <v>529424400</v>
          </cell>
          <cell r="C155">
            <v>-185298540</v>
          </cell>
          <cell r="D155">
            <v>344125860</v>
          </cell>
        </row>
        <row r="156">
          <cell r="A156" t="str">
            <v>306020000414</v>
          </cell>
          <cell r="B156">
            <v>529424400</v>
          </cell>
          <cell r="C156">
            <v>-185298540</v>
          </cell>
          <cell r="D156">
            <v>344125860</v>
          </cell>
        </row>
        <row r="157">
          <cell r="A157" t="str">
            <v>306020000415</v>
          </cell>
          <cell r="B157">
            <v>529424400</v>
          </cell>
          <cell r="C157">
            <v>-185298540</v>
          </cell>
          <cell r="D157">
            <v>344125860</v>
          </cell>
        </row>
        <row r="158">
          <cell r="A158" t="str">
            <v>306020000416</v>
          </cell>
          <cell r="B158">
            <v>529424400</v>
          </cell>
          <cell r="C158">
            <v>-185298540</v>
          </cell>
          <cell r="D158">
            <v>344125860</v>
          </cell>
        </row>
        <row r="159">
          <cell r="A159" t="str">
            <v>306020000417</v>
          </cell>
          <cell r="B159">
            <v>529424400</v>
          </cell>
          <cell r="C159">
            <v>-185298540</v>
          </cell>
          <cell r="D159">
            <v>344125860</v>
          </cell>
        </row>
        <row r="160">
          <cell r="A160" t="str">
            <v>306020000418</v>
          </cell>
          <cell r="B160">
            <v>22000000</v>
          </cell>
          <cell r="C160">
            <v>-7883333</v>
          </cell>
          <cell r="D160">
            <v>14116667</v>
          </cell>
        </row>
        <row r="161">
          <cell r="A161" t="str">
            <v>306020000419</v>
          </cell>
          <cell r="B161">
            <v>22000000</v>
          </cell>
          <cell r="C161">
            <v>-7883333</v>
          </cell>
          <cell r="D161">
            <v>14116667</v>
          </cell>
        </row>
        <row r="162">
          <cell r="A162" t="str">
            <v>306020000420</v>
          </cell>
          <cell r="B162">
            <v>22000000</v>
          </cell>
          <cell r="C162">
            <v>-7883333</v>
          </cell>
          <cell r="D162">
            <v>14116667</v>
          </cell>
        </row>
        <row r="163">
          <cell r="A163" t="str">
            <v>306020000421</v>
          </cell>
          <cell r="B163">
            <v>22000000</v>
          </cell>
          <cell r="C163">
            <v>-7883333</v>
          </cell>
          <cell r="D163">
            <v>14116667</v>
          </cell>
        </row>
        <row r="164">
          <cell r="A164" t="str">
            <v>306020000422</v>
          </cell>
          <cell r="B164">
            <v>21000000</v>
          </cell>
          <cell r="C164">
            <v>-7525000</v>
          </cell>
          <cell r="D164">
            <v>13475000</v>
          </cell>
        </row>
        <row r="165">
          <cell r="A165" t="str">
            <v>306020000423</v>
          </cell>
          <cell r="B165">
            <v>21000000</v>
          </cell>
          <cell r="C165">
            <v>-7525000</v>
          </cell>
          <cell r="D165">
            <v>13475000</v>
          </cell>
        </row>
        <row r="166">
          <cell r="A166" t="str">
            <v>306020000424</v>
          </cell>
          <cell r="B166">
            <v>21000000</v>
          </cell>
          <cell r="C166">
            <v>-7525000</v>
          </cell>
          <cell r="D166">
            <v>13475000</v>
          </cell>
        </row>
        <row r="167">
          <cell r="A167" t="str">
            <v>306020000425</v>
          </cell>
          <cell r="B167">
            <v>21000000</v>
          </cell>
          <cell r="C167">
            <v>-7525000</v>
          </cell>
          <cell r="D167">
            <v>13475000</v>
          </cell>
        </row>
        <row r="168">
          <cell r="A168" t="str">
            <v>306020000426</v>
          </cell>
          <cell r="B168">
            <v>55000000</v>
          </cell>
          <cell r="C168">
            <v>-19708333</v>
          </cell>
          <cell r="D168">
            <v>35291667</v>
          </cell>
        </row>
        <row r="169">
          <cell r="A169" t="str">
            <v>306020000427</v>
          </cell>
          <cell r="B169">
            <v>34000000</v>
          </cell>
          <cell r="C169">
            <v>-12183333</v>
          </cell>
          <cell r="D169">
            <v>21816667</v>
          </cell>
        </row>
        <row r="170">
          <cell r="A170" t="str">
            <v>306020000428</v>
          </cell>
          <cell r="B170">
            <v>654454545</v>
          </cell>
          <cell r="C170">
            <v>-218151516</v>
          </cell>
          <cell r="D170">
            <v>436303029</v>
          </cell>
        </row>
        <row r="171">
          <cell r="A171" t="str">
            <v>306020000429</v>
          </cell>
          <cell r="B171">
            <v>654454545</v>
          </cell>
          <cell r="C171">
            <v>-218151516</v>
          </cell>
          <cell r="D171">
            <v>436303029</v>
          </cell>
        </row>
        <row r="172">
          <cell r="A172" t="str">
            <v>306020000430</v>
          </cell>
          <cell r="B172">
            <v>654454545</v>
          </cell>
          <cell r="C172">
            <v>-218151516</v>
          </cell>
          <cell r="D172">
            <v>436303029</v>
          </cell>
        </row>
        <row r="173">
          <cell r="A173" t="str">
            <v>306020000431</v>
          </cell>
          <cell r="B173">
            <v>654454545</v>
          </cell>
          <cell r="C173">
            <v>-218151516</v>
          </cell>
          <cell r="D173">
            <v>436303029</v>
          </cell>
        </row>
        <row r="174">
          <cell r="A174" t="str">
            <v>306020000432</v>
          </cell>
          <cell r="B174">
            <v>654454545</v>
          </cell>
          <cell r="C174">
            <v>-218151516</v>
          </cell>
          <cell r="D174">
            <v>436303029</v>
          </cell>
        </row>
        <row r="175">
          <cell r="A175" t="str">
            <v>306020000433</v>
          </cell>
          <cell r="B175">
            <v>654454545</v>
          </cell>
          <cell r="C175">
            <v>-218151516</v>
          </cell>
          <cell r="D175">
            <v>436303029</v>
          </cell>
        </row>
        <row r="176">
          <cell r="A176" t="str">
            <v>306020000434</v>
          </cell>
          <cell r="B176">
            <v>654454545</v>
          </cell>
          <cell r="C176">
            <v>-218151516</v>
          </cell>
          <cell r="D176">
            <v>436303029</v>
          </cell>
        </row>
        <row r="177">
          <cell r="A177" t="str">
            <v>306020000435</v>
          </cell>
          <cell r="B177">
            <v>654454545</v>
          </cell>
          <cell r="C177">
            <v>-218151516</v>
          </cell>
          <cell r="D177">
            <v>436303029</v>
          </cell>
        </row>
        <row r="178">
          <cell r="A178" t="str">
            <v>306020000436</v>
          </cell>
          <cell r="B178">
            <v>654454545</v>
          </cell>
          <cell r="C178">
            <v>-218151516</v>
          </cell>
          <cell r="D178">
            <v>436303029</v>
          </cell>
        </row>
        <row r="179">
          <cell r="A179" t="str">
            <v>306020000437</v>
          </cell>
          <cell r="B179">
            <v>654454545</v>
          </cell>
          <cell r="C179">
            <v>-218151516</v>
          </cell>
          <cell r="D179">
            <v>436303029</v>
          </cell>
        </row>
        <row r="180">
          <cell r="A180" t="str">
            <v>306020000438</v>
          </cell>
          <cell r="B180">
            <v>654454545</v>
          </cell>
          <cell r="C180">
            <v>-218151516</v>
          </cell>
          <cell r="D180">
            <v>436303029</v>
          </cell>
        </row>
        <row r="181">
          <cell r="A181" t="str">
            <v>306020000439</v>
          </cell>
          <cell r="B181">
            <v>654454546</v>
          </cell>
          <cell r="C181">
            <v>-218151516</v>
          </cell>
          <cell r="D181">
            <v>436303030</v>
          </cell>
        </row>
        <row r="182">
          <cell r="A182" t="str">
            <v>306020000440</v>
          </cell>
          <cell r="B182">
            <v>654454546</v>
          </cell>
          <cell r="C182">
            <v>-218151516</v>
          </cell>
          <cell r="D182">
            <v>436303030</v>
          </cell>
        </row>
        <row r="183">
          <cell r="A183" t="str">
            <v>306020000441</v>
          </cell>
          <cell r="B183">
            <v>654454546</v>
          </cell>
          <cell r="C183">
            <v>-218151516</v>
          </cell>
          <cell r="D183">
            <v>436303030</v>
          </cell>
        </row>
        <row r="184">
          <cell r="A184" t="str">
            <v>306020000442</v>
          </cell>
          <cell r="B184">
            <v>654454546</v>
          </cell>
          <cell r="C184">
            <v>-218151516</v>
          </cell>
          <cell r="D184">
            <v>436303030</v>
          </cell>
        </row>
        <row r="185">
          <cell r="A185" t="str">
            <v>306020000443</v>
          </cell>
          <cell r="B185">
            <v>654454546</v>
          </cell>
          <cell r="C185">
            <v>-218151516</v>
          </cell>
          <cell r="D185">
            <v>436303030</v>
          </cell>
        </row>
        <row r="186">
          <cell r="A186" t="str">
            <v>306020000444</v>
          </cell>
          <cell r="B186">
            <v>654454546</v>
          </cell>
          <cell r="C186">
            <v>-218151516</v>
          </cell>
          <cell r="D186">
            <v>436303030</v>
          </cell>
        </row>
        <row r="187">
          <cell r="A187" t="str">
            <v>306020000445</v>
          </cell>
          <cell r="B187">
            <v>654454546</v>
          </cell>
          <cell r="C187">
            <v>-218151516</v>
          </cell>
          <cell r="D187">
            <v>436303030</v>
          </cell>
        </row>
        <row r="188">
          <cell r="A188" t="str">
            <v>306020000446</v>
          </cell>
          <cell r="B188">
            <v>654454546</v>
          </cell>
          <cell r="C188">
            <v>-218151516</v>
          </cell>
          <cell r="D188">
            <v>436303030</v>
          </cell>
        </row>
        <row r="189">
          <cell r="A189" t="str">
            <v>306020000447</v>
          </cell>
          <cell r="B189">
            <v>654454546</v>
          </cell>
          <cell r="C189">
            <v>-218151516</v>
          </cell>
          <cell r="D189">
            <v>436303030</v>
          </cell>
        </row>
        <row r="190">
          <cell r="A190" t="str">
            <v>306020000448</v>
          </cell>
          <cell r="B190">
            <v>386818182</v>
          </cell>
          <cell r="C190">
            <v>-128939393</v>
          </cell>
          <cell r="D190">
            <v>257878789</v>
          </cell>
        </row>
        <row r="191">
          <cell r="A191" t="str">
            <v>306020000449</v>
          </cell>
          <cell r="B191">
            <v>384545455</v>
          </cell>
          <cell r="C191">
            <v>-128181820</v>
          </cell>
          <cell r="D191">
            <v>256363635</v>
          </cell>
        </row>
        <row r="192">
          <cell r="A192" t="str">
            <v>306020000450</v>
          </cell>
          <cell r="B192">
            <v>100000000</v>
          </cell>
          <cell r="C192">
            <v>-33333333</v>
          </cell>
          <cell r="D192">
            <v>66666667</v>
          </cell>
        </row>
        <row r="193">
          <cell r="A193" t="str">
            <v>306020000451</v>
          </cell>
          <cell r="B193">
            <v>100000000</v>
          </cell>
          <cell r="C193">
            <v>-33333333</v>
          </cell>
          <cell r="D193">
            <v>66666667</v>
          </cell>
        </row>
        <row r="194">
          <cell r="A194" t="str">
            <v>306020000452</v>
          </cell>
          <cell r="B194">
            <v>100000000</v>
          </cell>
          <cell r="C194">
            <v>-33333333</v>
          </cell>
          <cell r="D194">
            <v>66666667</v>
          </cell>
        </row>
        <row r="195">
          <cell r="A195" t="str">
            <v>306020000453</v>
          </cell>
          <cell r="B195">
            <v>100000000</v>
          </cell>
          <cell r="C195">
            <v>-33333333</v>
          </cell>
          <cell r="D195">
            <v>66666667</v>
          </cell>
        </row>
        <row r="196">
          <cell r="A196" t="str">
            <v>306020000454</v>
          </cell>
          <cell r="B196">
            <v>100000000</v>
          </cell>
          <cell r="C196">
            <v>-33333333</v>
          </cell>
          <cell r="D196">
            <v>66666667</v>
          </cell>
        </row>
        <row r="197">
          <cell r="A197" t="str">
            <v>306020000455</v>
          </cell>
          <cell r="B197">
            <v>100000000</v>
          </cell>
          <cell r="C197">
            <v>-33333333</v>
          </cell>
          <cell r="D197">
            <v>66666667</v>
          </cell>
        </row>
        <row r="198">
          <cell r="A198" t="str">
            <v>306020000456</v>
          </cell>
          <cell r="B198">
            <v>100000000</v>
          </cell>
          <cell r="C198">
            <v>-33333333</v>
          </cell>
          <cell r="D198">
            <v>66666667</v>
          </cell>
        </row>
        <row r="199">
          <cell r="A199" t="str">
            <v>306020000457</v>
          </cell>
          <cell r="B199">
            <v>100000000</v>
          </cell>
          <cell r="C199">
            <v>-33333333</v>
          </cell>
          <cell r="D199">
            <v>66666667</v>
          </cell>
        </row>
        <row r="200">
          <cell r="A200" t="str">
            <v>306020000458</v>
          </cell>
          <cell r="B200">
            <v>100000000</v>
          </cell>
          <cell r="C200">
            <v>-33333333</v>
          </cell>
          <cell r="D200">
            <v>66666667</v>
          </cell>
        </row>
        <row r="201">
          <cell r="A201" t="str">
            <v>306020000459</v>
          </cell>
          <cell r="B201">
            <v>100000000</v>
          </cell>
          <cell r="C201">
            <v>-33333333</v>
          </cell>
          <cell r="D201">
            <v>66666667</v>
          </cell>
        </row>
        <row r="202">
          <cell r="A202" t="str">
            <v>306020000460</v>
          </cell>
          <cell r="B202">
            <v>100000000</v>
          </cell>
          <cell r="C202">
            <v>-33333333</v>
          </cell>
          <cell r="D202">
            <v>66666667</v>
          </cell>
        </row>
        <row r="203">
          <cell r="A203" t="str">
            <v>306020000461</v>
          </cell>
          <cell r="B203">
            <v>100000000</v>
          </cell>
          <cell r="C203">
            <v>-33333333</v>
          </cell>
          <cell r="D203">
            <v>66666667</v>
          </cell>
        </row>
        <row r="204">
          <cell r="A204" t="str">
            <v>306020000462</v>
          </cell>
          <cell r="B204">
            <v>100000000</v>
          </cell>
          <cell r="C204">
            <v>-33333333</v>
          </cell>
          <cell r="D204">
            <v>66666667</v>
          </cell>
        </row>
        <row r="205">
          <cell r="A205" t="str">
            <v>306020000463</v>
          </cell>
          <cell r="B205">
            <v>100000000</v>
          </cell>
          <cell r="C205">
            <v>-33333333</v>
          </cell>
          <cell r="D205">
            <v>66666667</v>
          </cell>
        </row>
        <row r="206">
          <cell r="A206" t="str">
            <v>306020000464</v>
          </cell>
          <cell r="B206">
            <v>100000000</v>
          </cell>
          <cell r="C206">
            <v>-33333333</v>
          </cell>
          <cell r="D206">
            <v>66666667</v>
          </cell>
        </row>
        <row r="207">
          <cell r="A207" t="str">
            <v>306020000465</v>
          </cell>
          <cell r="B207">
            <v>100000000</v>
          </cell>
          <cell r="C207">
            <v>-33333333</v>
          </cell>
          <cell r="D207">
            <v>66666667</v>
          </cell>
        </row>
        <row r="208">
          <cell r="A208" t="str">
            <v>306020000466</v>
          </cell>
          <cell r="B208">
            <v>100000000</v>
          </cell>
          <cell r="C208">
            <v>-33333333</v>
          </cell>
          <cell r="D208">
            <v>66666667</v>
          </cell>
        </row>
        <row r="209">
          <cell r="A209" t="str">
            <v>306020000467</v>
          </cell>
          <cell r="B209">
            <v>100000000</v>
          </cell>
          <cell r="C209">
            <v>-33333333</v>
          </cell>
          <cell r="D209">
            <v>66666667</v>
          </cell>
        </row>
        <row r="210">
          <cell r="A210" t="str">
            <v>306020000468</v>
          </cell>
          <cell r="B210">
            <v>100000000</v>
          </cell>
          <cell r="C210">
            <v>-33333333</v>
          </cell>
          <cell r="D210">
            <v>66666667</v>
          </cell>
        </row>
        <row r="211">
          <cell r="A211" t="str">
            <v>306020000469</v>
          </cell>
          <cell r="B211">
            <v>100000000</v>
          </cell>
          <cell r="C211">
            <v>-33333333</v>
          </cell>
          <cell r="D211">
            <v>66666667</v>
          </cell>
        </row>
        <row r="212">
          <cell r="A212" t="str">
            <v>B 1027 UFL</v>
          </cell>
          <cell r="B212">
            <v>189250000</v>
          </cell>
          <cell r="C212">
            <v>-121435417</v>
          </cell>
          <cell r="D212">
            <v>67814583</v>
          </cell>
        </row>
        <row r="213">
          <cell r="A213" t="str">
            <v>B 1082 UFJ</v>
          </cell>
          <cell r="B213">
            <v>131494818</v>
          </cell>
          <cell r="C213">
            <v>-86567422</v>
          </cell>
          <cell r="D213">
            <v>44927396</v>
          </cell>
        </row>
        <row r="214">
          <cell r="A214" t="str">
            <v>B 1083 UFJ</v>
          </cell>
          <cell r="B214">
            <v>131494818</v>
          </cell>
          <cell r="C214">
            <v>-86567422</v>
          </cell>
          <cell r="D214">
            <v>44927396</v>
          </cell>
        </row>
        <row r="215">
          <cell r="A215" t="str">
            <v>B 1316 UKL</v>
          </cell>
          <cell r="B215">
            <v>182153636</v>
          </cell>
          <cell r="C215">
            <v>-91076819</v>
          </cell>
          <cell r="D215">
            <v>91076817</v>
          </cell>
        </row>
        <row r="216">
          <cell r="A216" t="str">
            <v>B 1354 UKP</v>
          </cell>
          <cell r="B216">
            <v>222360764</v>
          </cell>
          <cell r="C216">
            <v>-105621362</v>
          </cell>
          <cell r="D216">
            <v>116739402</v>
          </cell>
        </row>
        <row r="217">
          <cell r="A217" t="str">
            <v>B 1471 UJC</v>
          </cell>
          <cell r="B217">
            <v>356373963</v>
          </cell>
          <cell r="C217">
            <v>-187096330</v>
          </cell>
          <cell r="D217">
            <v>169277633</v>
          </cell>
        </row>
        <row r="218">
          <cell r="A218" t="str">
            <v>B 1517 UKN</v>
          </cell>
          <cell r="B218">
            <v>260909091</v>
          </cell>
          <cell r="C218">
            <v>-163446312</v>
          </cell>
          <cell r="D218">
            <v>97462779</v>
          </cell>
        </row>
        <row r="219">
          <cell r="A219" t="str">
            <v>B 1538 UFT</v>
          </cell>
          <cell r="B219">
            <v>274100000</v>
          </cell>
          <cell r="C219">
            <v>-206205116</v>
          </cell>
          <cell r="D219">
            <v>67894884</v>
          </cell>
        </row>
        <row r="220">
          <cell r="A220" t="str">
            <v>B 1549 UFW</v>
          </cell>
          <cell r="B220">
            <v>97831818</v>
          </cell>
          <cell r="C220">
            <v>-55438031</v>
          </cell>
          <cell r="D220">
            <v>42393787</v>
          </cell>
        </row>
        <row r="221">
          <cell r="A221" t="str">
            <v>B 1565 UAD</v>
          </cell>
          <cell r="B221">
            <v>213451008</v>
          </cell>
          <cell r="C221">
            <v>-64035303</v>
          </cell>
          <cell r="D221">
            <v>149415705</v>
          </cell>
        </row>
        <row r="222">
          <cell r="A222" t="str">
            <v>B 1615 UZY</v>
          </cell>
          <cell r="B222">
            <v>159282618</v>
          </cell>
          <cell r="C222">
            <v>-35838589</v>
          </cell>
          <cell r="D222">
            <v>123444029</v>
          </cell>
        </row>
        <row r="223">
          <cell r="A223" t="str">
            <v>B 1715 UKL</v>
          </cell>
          <cell r="B223">
            <v>140967409</v>
          </cell>
          <cell r="C223">
            <v>-70483705</v>
          </cell>
          <cell r="D223">
            <v>70483704</v>
          </cell>
        </row>
        <row r="224">
          <cell r="A224" t="str">
            <v>B 1726 UFM</v>
          </cell>
          <cell r="B224">
            <v>183728455</v>
          </cell>
          <cell r="C224">
            <v>-116361356</v>
          </cell>
          <cell r="D224">
            <v>67367099</v>
          </cell>
        </row>
        <row r="225">
          <cell r="A225" t="str">
            <v>B 1738 UFX</v>
          </cell>
          <cell r="B225">
            <v>97831818</v>
          </cell>
          <cell r="C225">
            <v>-54622766</v>
          </cell>
          <cell r="D225">
            <v>43209052</v>
          </cell>
        </row>
        <row r="226">
          <cell r="A226" t="str">
            <v>B 1804 UKD</v>
          </cell>
          <cell r="B226">
            <v>134650000</v>
          </cell>
          <cell r="C226">
            <v>-63958750</v>
          </cell>
          <cell r="D226">
            <v>70691250</v>
          </cell>
        </row>
        <row r="227">
          <cell r="A227" t="str">
            <v>B 1819 GH</v>
          </cell>
          <cell r="B227">
            <v>308271018</v>
          </cell>
          <cell r="C227">
            <v>-229198870</v>
          </cell>
          <cell r="D227">
            <v>79072148</v>
          </cell>
        </row>
        <row r="228">
          <cell r="A228" t="str">
            <v>B 1828 UJI</v>
          </cell>
          <cell r="B228">
            <v>350000000</v>
          </cell>
          <cell r="C228">
            <v>-77777778</v>
          </cell>
          <cell r="D228">
            <v>272222222</v>
          </cell>
        </row>
        <row r="229">
          <cell r="A229" t="str">
            <v>B 1832 UJF</v>
          </cell>
          <cell r="B229">
            <v>312278227</v>
          </cell>
          <cell r="C229">
            <v>-101490425</v>
          </cell>
          <cell r="D229">
            <v>210787802</v>
          </cell>
        </row>
        <row r="230">
          <cell r="A230" t="str">
            <v>B 1872 UFU</v>
          </cell>
          <cell r="B230">
            <v>98740909</v>
          </cell>
          <cell r="C230">
            <v>-56776023</v>
          </cell>
          <cell r="D230">
            <v>41964886</v>
          </cell>
        </row>
        <row r="231">
          <cell r="A231" t="str">
            <v>B 1921 UKM</v>
          </cell>
          <cell r="B231">
            <v>274545455</v>
          </cell>
          <cell r="C231">
            <v>-171988802</v>
          </cell>
          <cell r="D231">
            <v>102556653</v>
          </cell>
        </row>
        <row r="232">
          <cell r="A232" t="str">
            <v>B 1933 UOH</v>
          </cell>
          <cell r="B232">
            <v>219604545</v>
          </cell>
          <cell r="C232">
            <v>-102482123</v>
          </cell>
          <cell r="D232">
            <v>117122422</v>
          </cell>
        </row>
        <row r="233">
          <cell r="A233" t="str">
            <v>B 1935 UKC</v>
          </cell>
          <cell r="B233">
            <v>96392091</v>
          </cell>
          <cell r="C233">
            <v>-51409115</v>
          </cell>
          <cell r="D233">
            <v>44982976</v>
          </cell>
        </row>
        <row r="234">
          <cell r="A234" t="str">
            <v>B 1941 UOM</v>
          </cell>
          <cell r="B234">
            <v>216886364</v>
          </cell>
          <cell r="C234">
            <v>-81332385</v>
          </cell>
          <cell r="D234">
            <v>135553979</v>
          </cell>
        </row>
        <row r="235">
          <cell r="A235" t="str">
            <v>B 1963 UFI</v>
          </cell>
          <cell r="B235">
            <v>175017545</v>
          </cell>
          <cell r="C235">
            <v>-115219885</v>
          </cell>
          <cell r="D235">
            <v>59797660</v>
          </cell>
        </row>
        <row r="236">
          <cell r="A236" t="str">
            <v>B 1998 UZG</v>
          </cell>
          <cell r="B236">
            <v>367000000</v>
          </cell>
          <cell r="C236">
            <v>-110100000</v>
          </cell>
          <cell r="D236">
            <v>256900000</v>
          </cell>
        </row>
        <row r="237">
          <cell r="A237" t="str">
            <v>B 2111 KN</v>
          </cell>
          <cell r="B237">
            <v>217350273</v>
          </cell>
          <cell r="C237">
            <v>-65205081</v>
          </cell>
          <cell r="D237">
            <v>152145192</v>
          </cell>
        </row>
        <row r="238">
          <cell r="A238" t="str">
            <v>B 233 PAT</v>
          </cell>
          <cell r="B238">
            <v>458450000</v>
          </cell>
          <cell r="C238">
            <v>-179559583</v>
          </cell>
          <cell r="D238">
            <v>278890417</v>
          </cell>
        </row>
        <row r="239">
          <cell r="A239" t="str">
            <v>B 2564 ZP</v>
          </cell>
          <cell r="B239">
            <v>114307273</v>
          </cell>
          <cell r="C239">
            <v>-86683014</v>
          </cell>
          <cell r="D239">
            <v>27624259</v>
          </cell>
        </row>
        <row r="240">
          <cell r="A240" t="str">
            <v>B 282 LUV</v>
          </cell>
          <cell r="B240">
            <v>291371169</v>
          </cell>
          <cell r="C240">
            <v>-135973213</v>
          </cell>
          <cell r="D240">
            <v>155397956</v>
          </cell>
        </row>
        <row r="241">
          <cell r="A241" t="str">
            <v>B 29 MAS</v>
          </cell>
          <cell r="B241">
            <v>1233000000</v>
          </cell>
          <cell r="C241">
            <v>-760350000</v>
          </cell>
          <cell r="D241">
            <v>472650000</v>
          </cell>
        </row>
        <row r="242">
          <cell r="A242" t="str">
            <v>B 2929 NP</v>
          </cell>
          <cell r="B242">
            <v>275827273</v>
          </cell>
          <cell r="C242">
            <v>-73553939</v>
          </cell>
          <cell r="D242">
            <v>202273334</v>
          </cell>
        </row>
        <row r="243">
          <cell r="A243" t="str">
            <v>B 3095 SOH</v>
          </cell>
          <cell r="B243">
            <v>14847818</v>
          </cell>
          <cell r="C243">
            <v>-3365506</v>
          </cell>
          <cell r="D243">
            <v>11482312</v>
          </cell>
        </row>
        <row r="244">
          <cell r="A244" t="str">
            <v>B 3747 SOD</v>
          </cell>
          <cell r="B244">
            <v>14847818</v>
          </cell>
          <cell r="C244">
            <v>-3365506</v>
          </cell>
          <cell r="D244">
            <v>11482312</v>
          </cell>
        </row>
        <row r="245">
          <cell r="A245" t="str">
            <v>B 3815 UEE</v>
          </cell>
          <cell r="B245">
            <v>14482909</v>
          </cell>
          <cell r="C245">
            <v>-4634530</v>
          </cell>
          <cell r="D245">
            <v>9848379</v>
          </cell>
        </row>
        <row r="246">
          <cell r="A246" t="str">
            <v>B 600 DLW</v>
          </cell>
          <cell r="B246">
            <v>218597127</v>
          </cell>
          <cell r="C246">
            <v>-105655279</v>
          </cell>
          <cell r="D246">
            <v>112941848</v>
          </cell>
        </row>
        <row r="247">
          <cell r="A247" t="str">
            <v>B 718 GHO</v>
          </cell>
          <cell r="B247">
            <v>400000000</v>
          </cell>
          <cell r="C247">
            <v>-150000000</v>
          </cell>
          <cell r="D247">
            <v>250000000</v>
          </cell>
        </row>
        <row r="248">
          <cell r="A248" t="str">
            <v>B 816 JON</v>
          </cell>
          <cell r="B248">
            <v>346281818</v>
          </cell>
          <cell r="C248">
            <v>-178912272</v>
          </cell>
          <cell r="D248">
            <v>167369546</v>
          </cell>
        </row>
        <row r="249">
          <cell r="A249" t="str">
            <v>B 8830 RJ</v>
          </cell>
          <cell r="B249">
            <v>80661157</v>
          </cell>
          <cell r="C249">
            <v>-80661157</v>
          </cell>
          <cell r="D249">
            <v>0</v>
          </cell>
        </row>
        <row r="250">
          <cell r="A250" t="str">
            <v>B 8840 MN</v>
          </cell>
          <cell r="B250">
            <v>91859091</v>
          </cell>
          <cell r="C250">
            <v>-91859091</v>
          </cell>
          <cell r="D250">
            <v>0</v>
          </cell>
        </row>
        <row r="251">
          <cell r="A251" t="str">
            <v>B 9010 UEA</v>
          </cell>
          <cell r="B251">
            <v>964628455</v>
          </cell>
          <cell r="C251">
            <v>-489119466</v>
          </cell>
          <cell r="D251">
            <v>475508989</v>
          </cell>
        </row>
        <row r="252">
          <cell r="A252" t="str">
            <v>B 9011 UEA</v>
          </cell>
          <cell r="B252">
            <v>726818182</v>
          </cell>
          <cell r="C252">
            <v>-434071971</v>
          </cell>
          <cell r="D252">
            <v>292746211</v>
          </cell>
        </row>
        <row r="253">
          <cell r="A253" t="str">
            <v>B 9014 UEA</v>
          </cell>
          <cell r="B253">
            <v>890363636</v>
          </cell>
          <cell r="C253">
            <v>-467440910</v>
          </cell>
          <cell r="D253">
            <v>422922726</v>
          </cell>
        </row>
        <row r="254">
          <cell r="A254" t="str">
            <v>B 9015 UEA</v>
          </cell>
          <cell r="B254">
            <v>890363636</v>
          </cell>
          <cell r="C254">
            <v>-467440910</v>
          </cell>
          <cell r="D254">
            <v>422922726</v>
          </cell>
        </row>
        <row r="255">
          <cell r="A255" t="str">
            <v>B 9016 UEA</v>
          </cell>
          <cell r="B255">
            <v>890363636</v>
          </cell>
          <cell r="C255">
            <v>-467440910</v>
          </cell>
          <cell r="D255">
            <v>422922726</v>
          </cell>
        </row>
        <row r="256">
          <cell r="A256" t="str">
            <v>B 9017 UEA</v>
          </cell>
          <cell r="B256">
            <v>890363636</v>
          </cell>
          <cell r="C256">
            <v>-467440910</v>
          </cell>
          <cell r="D256">
            <v>422922726</v>
          </cell>
        </row>
        <row r="257">
          <cell r="A257" t="str">
            <v>B 9017 ZO</v>
          </cell>
          <cell r="B257">
            <v>175181818</v>
          </cell>
          <cell r="C257">
            <v>-128325000</v>
          </cell>
          <cell r="D257">
            <v>46856818</v>
          </cell>
        </row>
        <row r="258">
          <cell r="A258" t="str">
            <v>B 9018 UEA</v>
          </cell>
          <cell r="B258">
            <v>890363636</v>
          </cell>
          <cell r="C258">
            <v>-467440910</v>
          </cell>
          <cell r="D258">
            <v>422922726</v>
          </cell>
        </row>
        <row r="259">
          <cell r="A259" t="str">
            <v>B 9024 UEA</v>
          </cell>
          <cell r="B259">
            <v>964628455</v>
          </cell>
          <cell r="C259">
            <v>-489119466</v>
          </cell>
          <cell r="D259">
            <v>475508989</v>
          </cell>
        </row>
        <row r="260">
          <cell r="A260" t="str">
            <v>B 9029 UEA</v>
          </cell>
          <cell r="B260">
            <v>972128455</v>
          </cell>
          <cell r="C260">
            <v>-486064229</v>
          </cell>
          <cell r="D260">
            <v>486064226</v>
          </cell>
        </row>
        <row r="261">
          <cell r="A261" t="str">
            <v>B 9029 UPA</v>
          </cell>
          <cell r="B261">
            <v>127181819</v>
          </cell>
          <cell r="C261">
            <v>-87592425</v>
          </cell>
          <cell r="D261">
            <v>39589394</v>
          </cell>
        </row>
        <row r="262">
          <cell r="A262" t="str">
            <v>B 9030 UEA</v>
          </cell>
          <cell r="B262">
            <v>972128455</v>
          </cell>
          <cell r="C262">
            <v>-486064229</v>
          </cell>
          <cell r="D262">
            <v>486064226</v>
          </cell>
        </row>
        <row r="263">
          <cell r="A263" t="str">
            <v>B 9030 UEJ</v>
          </cell>
          <cell r="B263">
            <v>57000000</v>
          </cell>
          <cell r="C263">
            <v>-20900000</v>
          </cell>
          <cell r="D263">
            <v>36100000</v>
          </cell>
        </row>
        <row r="264">
          <cell r="A264" t="str">
            <v>B 9031 UEJ</v>
          </cell>
          <cell r="B264">
            <v>57000000</v>
          </cell>
          <cell r="C264">
            <v>-20900000</v>
          </cell>
          <cell r="D264">
            <v>36100000</v>
          </cell>
        </row>
        <row r="265">
          <cell r="A265" t="str">
            <v>B 9032 UEA</v>
          </cell>
          <cell r="B265">
            <v>967376955</v>
          </cell>
          <cell r="C265">
            <v>-476320075</v>
          </cell>
          <cell r="D265">
            <v>491056880</v>
          </cell>
        </row>
        <row r="266">
          <cell r="A266" t="str">
            <v>B 9032 UEJ</v>
          </cell>
          <cell r="B266">
            <v>57000000</v>
          </cell>
          <cell r="C266">
            <v>-20900000</v>
          </cell>
          <cell r="D266">
            <v>36100000</v>
          </cell>
        </row>
        <row r="267">
          <cell r="A267" t="str">
            <v>B 9033 UEJ</v>
          </cell>
          <cell r="B267">
            <v>57000000</v>
          </cell>
          <cell r="C267">
            <v>-20900000</v>
          </cell>
          <cell r="D267">
            <v>36100000</v>
          </cell>
        </row>
        <row r="268">
          <cell r="A268" t="str">
            <v>B 9034 UEA</v>
          </cell>
          <cell r="B268">
            <v>974876955</v>
          </cell>
          <cell r="C268">
            <v>-486357954</v>
          </cell>
          <cell r="D268">
            <v>488519001</v>
          </cell>
        </row>
        <row r="269">
          <cell r="A269" t="str">
            <v>B 9034 UEJ</v>
          </cell>
          <cell r="B269">
            <v>57000000</v>
          </cell>
          <cell r="C269">
            <v>-20900000</v>
          </cell>
          <cell r="D269">
            <v>36100000</v>
          </cell>
        </row>
        <row r="270">
          <cell r="A270" t="str">
            <v>B 9035 UEJ</v>
          </cell>
          <cell r="B270">
            <v>57000000</v>
          </cell>
          <cell r="C270">
            <v>-20900000</v>
          </cell>
          <cell r="D270">
            <v>36100000</v>
          </cell>
        </row>
        <row r="271">
          <cell r="A271" t="str">
            <v>B 9036 UEA</v>
          </cell>
          <cell r="B271">
            <v>967376955</v>
          </cell>
          <cell r="C271">
            <v>-476320075</v>
          </cell>
          <cell r="D271">
            <v>491056880</v>
          </cell>
        </row>
        <row r="272">
          <cell r="A272" t="str">
            <v>B 9036 UEJ</v>
          </cell>
          <cell r="B272">
            <v>57000000</v>
          </cell>
          <cell r="C272">
            <v>-20900000</v>
          </cell>
          <cell r="D272">
            <v>36100000</v>
          </cell>
        </row>
        <row r="273">
          <cell r="A273" t="str">
            <v>B 9037 UEJ</v>
          </cell>
          <cell r="B273">
            <v>57000000</v>
          </cell>
          <cell r="C273">
            <v>-20900000</v>
          </cell>
          <cell r="D273">
            <v>36100000</v>
          </cell>
        </row>
        <row r="274">
          <cell r="A274" t="str">
            <v>B 9038 UEA</v>
          </cell>
          <cell r="B274">
            <v>974876955</v>
          </cell>
          <cell r="C274">
            <v>-486357954</v>
          </cell>
          <cell r="D274">
            <v>488519001</v>
          </cell>
        </row>
        <row r="275">
          <cell r="A275" t="str">
            <v>B 9038 UEJ</v>
          </cell>
          <cell r="B275">
            <v>57000000</v>
          </cell>
          <cell r="C275">
            <v>-20900000</v>
          </cell>
          <cell r="D275">
            <v>36100000</v>
          </cell>
        </row>
        <row r="276">
          <cell r="A276" t="str">
            <v>B 9039 UEJ</v>
          </cell>
          <cell r="B276">
            <v>57000000</v>
          </cell>
          <cell r="C276">
            <v>-20900000</v>
          </cell>
          <cell r="D276">
            <v>36100000</v>
          </cell>
        </row>
        <row r="277">
          <cell r="A277" t="str">
            <v>B 9039 UT</v>
          </cell>
          <cell r="B277">
            <v>224731819</v>
          </cell>
          <cell r="C277">
            <v>-147695531</v>
          </cell>
          <cell r="D277">
            <v>77036288</v>
          </cell>
        </row>
        <row r="278">
          <cell r="A278" t="str">
            <v>B 9040 UEA</v>
          </cell>
          <cell r="B278">
            <v>967376955</v>
          </cell>
          <cell r="C278">
            <v>-476320075</v>
          </cell>
          <cell r="D278">
            <v>491056880</v>
          </cell>
        </row>
        <row r="279">
          <cell r="A279" t="str">
            <v>B 9040 UEJ</v>
          </cell>
          <cell r="B279">
            <v>57000000</v>
          </cell>
          <cell r="C279">
            <v>-20900000</v>
          </cell>
          <cell r="D279">
            <v>36100000</v>
          </cell>
        </row>
        <row r="280">
          <cell r="A280" t="str">
            <v>B 9041 UEA</v>
          </cell>
          <cell r="B280">
            <v>974876955</v>
          </cell>
          <cell r="C280">
            <v>-486357954</v>
          </cell>
          <cell r="D280">
            <v>488519001</v>
          </cell>
        </row>
        <row r="281">
          <cell r="A281" t="str">
            <v>B 9041 UEJ</v>
          </cell>
          <cell r="B281">
            <v>57000000</v>
          </cell>
          <cell r="C281">
            <v>-20900000</v>
          </cell>
          <cell r="D281">
            <v>36100000</v>
          </cell>
        </row>
        <row r="282">
          <cell r="A282" t="str">
            <v>B 9042 UEJ</v>
          </cell>
          <cell r="B282">
            <v>57000000</v>
          </cell>
          <cell r="C282">
            <v>-20900000</v>
          </cell>
          <cell r="D282">
            <v>36100000</v>
          </cell>
        </row>
        <row r="283">
          <cell r="A283" t="str">
            <v>B 9042 UT</v>
          </cell>
          <cell r="B283">
            <v>224731818</v>
          </cell>
          <cell r="C283">
            <v>-147695531</v>
          </cell>
          <cell r="D283">
            <v>77036287</v>
          </cell>
        </row>
        <row r="284">
          <cell r="A284" t="str">
            <v>B 9047 ZD</v>
          </cell>
          <cell r="B284">
            <v>593181818</v>
          </cell>
          <cell r="C284">
            <v>-444136364</v>
          </cell>
          <cell r="D284">
            <v>149045454</v>
          </cell>
        </row>
        <row r="285">
          <cell r="A285" t="str">
            <v>B 9066 UCK</v>
          </cell>
          <cell r="B285">
            <v>200390910</v>
          </cell>
          <cell r="C285">
            <v>-51767652</v>
          </cell>
          <cell r="D285">
            <v>148623258</v>
          </cell>
        </row>
        <row r="286">
          <cell r="A286" t="str">
            <v>B 9066 ZW</v>
          </cell>
          <cell r="B286">
            <v>185272727</v>
          </cell>
          <cell r="C286">
            <v>-134476895</v>
          </cell>
          <cell r="D286">
            <v>50795832</v>
          </cell>
        </row>
        <row r="287">
          <cell r="A287" t="str">
            <v>B 9067 UCK</v>
          </cell>
          <cell r="B287">
            <v>200390909</v>
          </cell>
          <cell r="C287">
            <v>-51767652</v>
          </cell>
          <cell r="D287">
            <v>148623257</v>
          </cell>
        </row>
        <row r="288">
          <cell r="A288" t="str">
            <v>B 9068 UCK</v>
          </cell>
          <cell r="B288">
            <v>200390909</v>
          </cell>
          <cell r="C288">
            <v>-51767652</v>
          </cell>
          <cell r="D288">
            <v>148623257</v>
          </cell>
        </row>
        <row r="289">
          <cell r="A289" t="str">
            <v>B 9068 ZW</v>
          </cell>
          <cell r="B289">
            <v>193472727</v>
          </cell>
          <cell r="C289">
            <v>-140011895</v>
          </cell>
          <cell r="D289">
            <v>53460832</v>
          </cell>
        </row>
        <row r="290">
          <cell r="A290" t="str">
            <v>B 9069 UCK</v>
          </cell>
          <cell r="B290">
            <v>200390909</v>
          </cell>
          <cell r="C290">
            <v>-51767652</v>
          </cell>
          <cell r="D290">
            <v>148623257</v>
          </cell>
        </row>
        <row r="291">
          <cell r="A291" t="str">
            <v>B 9070 UCK</v>
          </cell>
          <cell r="B291">
            <v>200390909</v>
          </cell>
          <cell r="C291">
            <v>-51767652</v>
          </cell>
          <cell r="D291">
            <v>148623257</v>
          </cell>
        </row>
        <row r="292">
          <cell r="A292" t="str">
            <v>B 9071 JN</v>
          </cell>
          <cell r="B292">
            <v>158500000</v>
          </cell>
          <cell r="C292">
            <v>-158500000</v>
          </cell>
          <cell r="D292">
            <v>0</v>
          </cell>
        </row>
        <row r="293">
          <cell r="A293" t="str">
            <v>B 9071 UCK</v>
          </cell>
          <cell r="B293">
            <v>200390909</v>
          </cell>
          <cell r="C293">
            <v>-51767652</v>
          </cell>
          <cell r="D293">
            <v>148623257</v>
          </cell>
        </row>
        <row r="294">
          <cell r="A294" t="str">
            <v>B 9071 ZD</v>
          </cell>
          <cell r="B294">
            <v>593181818</v>
          </cell>
          <cell r="C294">
            <v>-444136364</v>
          </cell>
          <cell r="D294">
            <v>149045454</v>
          </cell>
        </row>
        <row r="295">
          <cell r="A295" t="str">
            <v>B 9073 UCK</v>
          </cell>
          <cell r="B295">
            <v>200390909</v>
          </cell>
          <cell r="C295">
            <v>-51767652</v>
          </cell>
          <cell r="D295">
            <v>148623257</v>
          </cell>
        </row>
        <row r="296">
          <cell r="A296" t="str">
            <v>B 9074 UCK</v>
          </cell>
          <cell r="B296">
            <v>200390909</v>
          </cell>
          <cell r="C296">
            <v>-51767652</v>
          </cell>
          <cell r="D296">
            <v>148623257</v>
          </cell>
        </row>
        <row r="297">
          <cell r="A297" t="str">
            <v>B 9081 IG</v>
          </cell>
          <cell r="B297">
            <v>150373182</v>
          </cell>
          <cell r="C297">
            <v>-115065272</v>
          </cell>
          <cell r="D297">
            <v>35307910</v>
          </cell>
        </row>
        <row r="298">
          <cell r="A298" t="str">
            <v>B 9082 QZ</v>
          </cell>
          <cell r="B298">
            <v>300000000</v>
          </cell>
          <cell r="C298">
            <v>-172500000</v>
          </cell>
          <cell r="D298">
            <v>127500000</v>
          </cell>
        </row>
        <row r="299">
          <cell r="A299" t="str">
            <v>B 9083 ZW</v>
          </cell>
          <cell r="B299">
            <v>185272727</v>
          </cell>
          <cell r="C299">
            <v>-134476895</v>
          </cell>
          <cell r="D299">
            <v>50795832</v>
          </cell>
        </row>
        <row r="300">
          <cell r="A300" t="str">
            <v>B 9084 ZW</v>
          </cell>
          <cell r="B300">
            <v>197772727</v>
          </cell>
          <cell r="C300">
            <v>-142914395</v>
          </cell>
          <cell r="D300">
            <v>54858332</v>
          </cell>
        </row>
        <row r="301">
          <cell r="A301" t="str">
            <v>B 9095 ZD</v>
          </cell>
          <cell r="B301">
            <v>593181818</v>
          </cell>
          <cell r="C301">
            <v>-444136364</v>
          </cell>
          <cell r="D301">
            <v>149045454</v>
          </cell>
        </row>
        <row r="302">
          <cell r="A302" t="str">
            <v>B 9101 ZD</v>
          </cell>
          <cell r="B302">
            <v>593181818</v>
          </cell>
          <cell r="C302">
            <v>-444136364</v>
          </cell>
          <cell r="D302">
            <v>149045454</v>
          </cell>
        </row>
        <row r="303">
          <cell r="A303" t="str">
            <v>B 9104 OJ</v>
          </cell>
          <cell r="B303">
            <v>163500000</v>
          </cell>
          <cell r="C303">
            <v>-163500000</v>
          </cell>
          <cell r="D303">
            <v>0</v>
          </cell>
        </row>
        <row r="304">
          <cell r="A304" t="str">
            <v>B 9104 ZJ</v>
          </cell>
          <cell r="B304">
            <v>106200000</v>
          </cell>
          <cell r="C304">
            <v>-83190000</v>
          </cell>
          <cell r="D304">
            <v>23010000</v>
          </cell>
        </row>
        <row r="305">
          <cell r="A305" t="str">
            <v>B 9105 FI</v>
          </cell>
          <cell r="B305">
            <v>710500000</v>
          </cell>
          <cell r="C305">
            <v>-478195833</v>
          </cell>
          <cell r="D305">
            <v>232304167</v>
          </cell>
        </row>
        <row r="306">
          <cell r="A306" t="str">
            <v>B 9105 OJ</v>
          </cell>
          <cell r="B306">
            <v>163500000</v>
          </cell>
          <cell r="C306">
            <v>-163500000</v>
          </cell>
          <cell r="D306">
            <v>0</v>
          </cell>
        </row>
        <row r="307">
          <cell r="A307" t="str">
            <v>B 9105 ZJ</v>
          </cell>
          <cell r="B307">
            <v>106200000</v>
          </cell>
          <cell r="C307">
            <v>-83190000</v>
          </cell>
          <cell r="D307">
            <v>23010000</v>
          </cell>
        </row>
        <row r="308">
          <cell r="A308" t="str">
            <v>B 9106 NJ</v>
          </cell>
          <cell r="B308">
            <v>310954545</v>
          </cell>
          <cell r="C308">
            <v>-248763636</v>
          </cell>
          <cell r="D308">
            <v>62190909</v>
          </cell>
        </row>
        <row r="309">
          <cell r="A309" t="str">
            <v>B 9106 ZD</v>
          </cell>
          <cell r="B309">
            <v>593181818</v>
          </cell>
          <cell r="C309">
            <v>-444136364</v>
          </cell>
          <cell r="D309">
            <v>149045454</v>
          </cell>
        </row>
        <row r="310">
          <cell r="A310" t="str">
            <v>B 9112 UCB</v>
          </cell>
          <cell r="B310">
            <v>245181818</v>
          </cell>
          <cell r="C310">
            <v>-126882954</v>
          </cell>
          <cell r="D310">
            <v>118298864</v>
          </cell>
        </row>
        <row r="311">
          <cell r="A311" t="str">
            <v>B 9112 UCC</v>
          </cell>
          <cell r="B311">
            <v>197927272</v>
          </cell>
          <cell r="C311">
            <v>-95664848</v>
          </cell>
          <cell r="D311">
            <v>102262424</v>
          </cell>
        </row>
        <row r="312">
          <cell r="A312" t="str">
            <v>B 9113 UCC</v>
          </cell>
          <cell r="B312">
            <v>197927273</v>
          </cell>
          <cell r="C312">
            <v>-95664848</v>
          </cell>
          <cell r="D312">
            <v>102262425</v>
          </cell>
        </row>
        <row r="313">
          <cell r="A313" t="str">
            <v>B 9114 UCC</v>
          </cell>
          <cell r="B313">
            <v>226259091</v>
          </cell>
          <cell r="C313">
            <v>-109358560</v>
          </cell>
          <cell r="D313">
            <v>116900531</v>
          </cell>
        </row>
        <row r="314">
          <cell r="A314" t="str">
            <v>B 9118 UCC</v>
          </cell>
          <cell r="B314">
            <v>197927273</v>
          </cell>
          <cell r="C314">
            <v>-95664848</v>
          </cell>
          <cell r="D314">
            <v>102262425</v>
          </cell>
        </row>
        <row r="315">
          <cell r="A315" t="str">
            <v>B 9120 UCC</v>
          </cell>
          <cell r="B315">
            <v>226259091</v>
          </cell>
          <cell r="C315">
            <v>-109358560</v>
          </cell>
          <cell r="D315">
            <v>116900531</v>
          </cell>
        </row>
        <row r="316">
          <cell r="A316" t="str">
            <v>B 9121 UCC</v>
          </cell>
          <cell r="B316">
            <v>197927272</v>
          </cell>
          <cell r="C316">
            <v>-95664848</v>
          </cell>
          <cell r="D316">
            <v>102262424</v>
          </cell>
        </row>
        <row r="317">
          <cell r="A317" t="str">
            <v>B 9122 UCC</v>
          </cell>
          <cell r="B317">
            <v>226259091</v>
          </cell>
          <cell r="C317">
            <v>-109358560</v>
          </cell>
          <cell r="D317">
            <v>116900531</v>
          </cell>
        </row>
        <row r="318">
          <cell r="A318" t="str">
            <v>B 9123 UCC</v>
          </cell>
          <cell r="B318">
            <v>226259091</v>
          </cell>
          <cell r="C318">
            <v>-109358560</v>
          </cell>
          <cell r="D318">
            <v>116900531</v>
          </cell>
        </row>
        <row r="319">
          <cell r="A319" t="str">
            <v>B 9125 UCC</v>
          </cell>
          <cell r="B319">
            <v>226259091</v>
          </cell>
          <cell r="C319">
            <v>-109358560</v>
          </cell>
          <cell r="D319">
            <v>116900531</v>
          </cell>
        </row>
        <row r="320">
          <cell r="A320" t="str">
            <v>B 9126 UCC</v>
          </cell>
          <cell r="B320">
            <v>226259091</v>
          </cell>
          <cell r="C320">
            <v>-109358560</v>
          </cell>
          <cell r="D320">
            <v>116900531</v>
          </cell>
        </row>
        <row r="321">
          <cell r="A321" t="str">
            <v>B 9127 UCB</v>
          </cell>
          <cell r="B321">
            <v>188063636</v>
          </cell>
          <cell r="C321">
            <v>-97166213</v>
          </cell>
          <cell r="D321">
            <v>90897423</v>
          </cell>
        </row>
        <row r="322">
          <cell r="A322" t="str">
            <v>B 9128 UCB</v>
          </cell>
          <cell r="B322">
            <v>183313636</v>
          </cell>
          <cell r="C322">
            <v>-100822501</v>
          </cell>
          <cell r="D322">
            <v>82491135</v>
          </cell>
        </row>
        <row r="323">
          <cell r="A323" t="str">
            <v>B 9129 UCB</v>
          </cell>
          <cell r="B323">
            <v>188063636</v>
          </cell>
          <cell r="C323">
            <v>-97166213</v>
          </cell>
          <cell r="D323">
            <v>90897423</v>
          </cell>
        </row>
        <row r="324">
          <cell r="A324" t="str">
            <v>B 9136 JO</v>
          </cell>
          <cell r="B324">
            <v>245500000</v>
          </cell>
          <cell r="C324">
            <v>-196400000</v>
          </cell>
          <cell r="D324">
            <v>49100000</v>
          </cell>
        </row>
        <row r="325">
          <cell r="A325" t="str">
            <v>B 9138 OJ</v>
          </cell>
          <cell r="B325">
            <v>163500000</v>
          </cell>
          <cell r="C325">
            <v>-163500000</v>
          </cell>
          <cell r="D325">
            <v>0</v>
          </cell>
        </row>
        <row r="326">
          <cell r="A326" t="str">
            <v>B 9140 OT</v>
          </cell>
          <cell r="B326">
            <v>187506970</v>
          </cell>
          <cell r="C326">
            <v>-107816508</v>
          </cell>
          <cell r="D326">
            <v>79690462</v>
          </cell>
        </row>
        <row r="327">
          <cell r="A327" t="str">
            <v>B 9141 SCC</v>
          </cell>
          <cell r="B327">
            <v>136586364</v>
          </cell>
          <cell r="C327">
            <v>-30959576</v>
          </cell>
          <cell r="D327">
            <v>105626788</v>
          </cell>
        </row>
        <row r="328">
          <cell r="A328" t="str">
            <v>B 9142 SCC</v>
          </cell>
          <cell r="B328">
            <v>136586364</v>
          </cell>
          <cell r="C328">
            <v>-30959576</v>
          </cell>
          <cell r="D328">
            <v>105626788</v>
          </cell>
        </row>
        <row r="329">
          <cell r="A329" t="str">
            <v>B 9143 SCC</v>
          </cell>
          <cell r="B329">
            <v>136586364</v>
          </cell>
          <cell r="C329">
            <v>-30959576</v>
          </cell>
          <cell r="D329">
            <v>105626788</v>
          </cell>
        </row>
        <row r="330">
          <cell r="A330" t="str">
            <v>B 9144 SCC</v>
          </cell>
          <cell r="B330">
            <v>136586364</v>
          </cell>
          <cell r="C330">
            <v>-30959576</v>
          </cell>
          <cell r="D330">
            <v>105626788</v>
          </cell>
        </row>
        <row r="331">
          <cell r="A331" t="str">
            <v>B 9145 GJ</v>
          </cell>
          <cell r="B331">
            <v>141818182</v>
          </cell>
          <cell r="C331">
            <v>-111090909</v>
          </cell>
          <cell r="D331">
            <v>30727273</v>
          </cell>
        </row>
        <row r="332">
          <cell r="A332" t="str">
            <v>B 9145 SCC</v>
          </cell>
          <cell r="B332">
            <v>136586364</v>
          </cell>
          <cell r="C332">
            <v>-30959576</v>
          </cell>
          <cell r="D332">
            <v>105626788</v>
          </cell>
        </row>
        <row r="333">
          <cell r="A333" t="str">
            <v>B 9146 SCC</v>
          </cell>
          <cell r="B333">
            <v>136586364</v>
          </cell>
          <cell r="C333">
            <v>-30959576</v>
          </cell>
          <cell r="D333">
            <v>105626788</v>
          </cell>
        </row>
        <row r="334">
          <cell r="A334" t="str">
            <v>B 9147 SCC</v>
          </cell>
          <cell r="B334">
            <v>136586364</v>
          </cell>
          <cell r="C334">
            <v>-30959576</v>
          </cell>
          <cell r="D334">
            <v>105626788</v>
          </cell>
        </row>
        <row r="335">
          <cell r="A335" t="str">
            <v>B 9148 SCC</v>
          </cell>
          <cell r="B335">
            <v>136586364</v>
          </cell>
          <cell r="C335">
            <v>-30959576</v>
          </cell>
          <cell r="D335">
            <v>105626788</v>
          </cell>
        </row>
        <row r="336">
          <cell r="A336" t="str">
            <v>B 9149 SCC</v>
          </cell>
          <cell r="B336">
            <v>136586364</v>
          </cell>
          <cell r="C336">
            <v>-30959576</v>
          </cell>
          <cell r="D336">
            <v>105626788</v>
          </cell>
        </row>
        <row r="337">
          <cell r="A337" t="str">
            <v>B 9150 SCC</v>
          </cell>
          <cell r="B337">
            <v>136586364</v>
          </cell>
          <cell r="C337">
            <v>-30959576</v>
          </cell>
          <cell r="D337">
            <v>105626788</v>
          </cell>
        </row>
        <row r="338">
          <cell r="A338" t="str">
            <v>B 9151 JP</v>
          </cell>
          <cell r="B338">
            <v>187522727</v>
          </cell>
          <cell r="C338">
            <v>-135920645</v>
          </cell>
          <cell r="D338">
            <v>51602082</v>
          </cell>
        </row>
        <row r="339">
          <cell r="A339" t="str">
            <v>B 9152 SCC</v>
          </cell>
          <cell r="B339">
            <v>136586364</v>
          </cell>
          <cell r="C339">
            <v>-30959576</v>
          </cell>
          <cell r="D339">
            <v>105626788</v>
          </cell>
        </row>
        <row r="340">
          <cell r="A340" t="str">
            <v>B 9153 SCC</v>
          </cell>
          <cell r="B340">
            <v>136586364</v>
          </cell>
          <cell r="C340">
            <v>-30959576</v>
          </cell>
          <cell r="D340">
            <v>105626788</v>
          </cell>
        </row>
        <row r="341">
          <cell r="A341" t="str">
            <v>B 9154 SCC</v>
          </cell>
          <cell r="B341">
            <v>136586364</v>
          </cell>
          <cell r="C341">
            <v>-30959576</v>
          </cell>
          <cell r="D341">
            <v>105626788</v>
          </cell>
        </row>
        <row r="342">
          <cell r="A342" t="str">
            <v>B 9155 SCC</v>
          </cell>
          <cell r="B342">
            <v>136586364</v>
          </cell>
          <cell r="C342">
            <v>-30959576</v>
          </cell>
          <cell r="D342">
            <v>105626788</v>
          </cell>
        </row>
        <row r="343">
          <cell r="A343" t="str">
            <v>B 9156 ZW</v>
          </cell>
          <cell r="B343">
            <v>185272727</v>
          </cell>
          <cell r="C343">
            <v>-134476895</v>
          </cell>
          <cell r="D343">
            <v>50795832</v>
          </cell>
        </row>
        <row r="344">
          <cell r="A344" t="str">
            <v>B 9158 OT</v>
          </cell>
          <cell r="B344">
            <v>175181971</v>
          </cell>
          <cell r="C344">
            <v>-100729634</v>
          </cell>
          <cell r="D344">
            <v>74452337</v>
          </cell>
        </row>
        <row r="345">
          <cell r="A345" t="str">
            <v>B 9159 OT</v>
          </cell>
          <cell r="B345">
            <v>183403029</v>
          </cell>
          <cell r="C345">
            <v>-105456741</v>
          </cell>
          <cell r="D345">
            <v>77946288</v>
          </cell>
        </row>
        <row r="346">
          <cell r="A346" t="str">
            <v>B 9159 ZG</v>
          </cell>
          <cell r="B346">
            <v>175181818</v>
          </cell>
          <cell r="C346">
            <v>-129643182</v>
          </cell>
          <cell r="D346">
            <v>45538636</v>
          </cell>
        </row>
        <row r="347">
          <cell r="A347" t="str">
            <v>B 9161 SCC</v>
          </cell>
          <cell r="B347">
            <v>136586364</v>
          </cell>
          <cell r="C347">
            <v>-30959576</v>
          </cell>
          <cell r="D347">
            <v>105626788</v>
          </cell>
        </row>
        <row r="348">
          <cell r="A348" t="str">
            <v>B 9161 ZB</v>
          </cell>
          <cell r="B348">
            <v>191298255</v>
          </cell>
          <cell r="C348">
            <v>-141006208</v>
          </cell>
          <cell r="D348">
            <v>50292047</v>
          </cell>
        </row>
        <row r="349">
          <cell r="A349" t="str">
            <v>B 9162 SCC</v>
          </cell>
          <cell r="B349">
            <v>136586364</v>
          </cell>
          <cell r="C349">
            <v>-30959576</v>
          </cell>
          <cell r="D349">
            <v>105626788</v>
          </cell>
        </row>
        <row r="350">
          <cell r="A350" t="str">
            <v>B 9163 SCC</v>
          </cell>
          <cell r="B350">
            <v>136586364</v>
          </cell>
          <cell r="C350">
            <v>-30959576</v>
          </cell>
          <cell r="D350">
            <v>105626788</v>
          </cell>
        </row>
        <row r="351">
          <cell r="A351" t="str">
            <v>B 9163 SCD</v>
          </cell>
          <cell r="B351">
            <v>145300000</v>
          </cell>
          <cell r="C351">
            <v>-8475833</v>
          </cell>
          <cell r="D351">
            <v>136824167</v>
          </cell>
        </row>
        <row r="352">
          <cell r="A352" t="str">
            <v>B 9164 SCC</v>
          </cell>
          <cell r="B352">
            <v>136586364</v>
          </cell>
          <cell r="C352">
            <v>-30959576</v>
          </cell>
          <cell r="D352">
            <v>105626788</v>
          </cell>
        </row>
        <row r="353">
          <cell r="A353" t="str">
            <v>B 9164 SCD</v>
          </cell>
          <cell r="B353">
            <v>145300000</v>
          </cell>
          <cell r="C353">
            <v>-8475833</v>
          </cell>
          <cell r="D353">
            <v>136824167</v>
          </cell>
        </row>
        <row r="354">
          <cell r="A354" t="str">
            <v>B 9165 SCC</v>
          </cell>
          <cell r="B354">
            <v>136586364</v>
          </cell>
          <cell r="C354">
            <v>-30959576</v>
          </cell>
          <cell r="D354">
            <v>105626788</v>
          </cell>
        </row>
        <row r="355">
          <cell r="A355" t="str">
            <v>B 9165 SCD</v>
          </cell>
          <cell r="B355">
            <v>145300000</v>
          </cell>
          <cell r="C355">
            <v>-8475833</v>
          </cell>
          <cell r="D355">
            <v>136824167</v>
          </cell>
        </row>
        <row r="356">
          <cell r="A356" t="str">
            <v>B 9166 SCC</v>
          </cell>
          <cell r="B356">
            <v>136586364</v>
          </cell>
          <cell r="C356">
            <v>-30959576</v>
          </cell>
          <cell r="D356">
            <v>105626788</v>
          </cell>
        </row>
        <row r="357">
          <cell r="A357" t="str">
            <v>B 9166 SCD</v>
          </cell>
          <cell r="B357">
            <v>145300000</v>
          </cell>
          <cell r="C357">
            <v>-8475833</v>
          </cell>
          <cell r="D357">
            <v>136824167</v>
          </cell>
        </row>
        <row r="358">
          <cell r="A358" t="str">
            <v>B 9167 SCC</v>
          </cell>
          <cell r="B358">
            <v>136586364</v>
          </cell>
          <cell r="C358">
            <v>-30959576</v>
          </cell>
          <cell r="D358">
            <v>105626788</v>
          </cell>
        </row>
        <row r="359">
          <cell r="A359" t="str">
            <v>B 9167 SCD</v>
          </cell>
          <cell r="B359">
            <v>145300000</v>
          </cell>
          <cell r="C359">
            <v>-8475833</v>
          </cell>
          <cell r="D359">
            <v>136824167</v>
          </cell>
        </row>
        <row r="360">
          <cell r="A360" t="str">
            <v>B 9168 SCC</v>
          </cell>
          <cell r="B360">
            <v>136586364</v>
          </cell>
          <cell r="C360">
            <v>-30959576</v>
          </cell>
          <cell r="D360">
            <v>105626788</v>
          </cell>
        </row>
        <row r="361">
          <cell r="A361" t="str">
            <v>B 9168 SCD</v>
          </cell>
          <cell r="B361">
            <v>145300000</v>
          </cell>
          <cell r="C361">
            <v>-8475833</v>
          </cell>
          <cell r="D361">
            <v>136824167</v>
          </cell>
        </row>
        <row r="362">
          <cell r="A362" t="str">
            <v>B 9169 SCC</v>
          </cell>
          <cell r="B362">
            <v>136586364</v>
          </cell>
          <cell r="C362">
            <v>-30959576</v>
          </cell>
          <cell r="D362">
            <v>105626788</v>
          </cell>
        </row>
        <row r="363">
          <cell r="A363" t="str">
            <v>B 9169 ZD</v>
          </cell>
          <cell r="B363">
            <v>175181818</v>
          </cell>
          <cell r="C363">
            <v>-128325000</v>
          </cell>
          <cell r="D363">
            <v>46856818</v>
          </cell>
        </row>
        <row r="364">
          <cell r="A364" t="str">
            <v>B 9170 SCC</v>
          </cell>
          <cell r="B364">
            <v>136586364</v>
          </cell>
          <cell r="C364">
            <v>-30959576</v>
          </cell>
          <cell r="D364">
            <v>105626788</v>
          </cell>
        </row>
        <row r="365">
          <cell r="A365" t="str">
            <v>B 9171 SCC</v>
          </cell>
          <cell r="B365">
            <v>136586364</v>
          </cell>
          <cell r="C365">
            <v>-30959576</v>
          </cell>
          <cell r="D365">
            <v>105626788</v>
          </cell>
        </row>
        <row r="366">
          <cell r="A366" t="str">
            <v>B 9171 SCD</v>
          </cell>
          <cell r="B366">
            <v>145300000</v>
          </cell>
          <cell r="C366">
            <v>-8475833</v>
          </cell>
          <cell r="D366">
            <v>136824167</v>
          </cell>
        </row>
        <row r="367">
          <cell r="A367" t="str">
            <v>B 9172 SCD</v>
          </cell>
          <cell r="B367">
            <v>145300000</v>
          </cell>
          <cell r="C367">
            <v>-8475833</v>
          </cell>
          <cell r="D367">
            <v>136824167</v>
          </cell>
        </row>
        <row r="368">
          <cell r="A368" t="str">
            <v>B 9173 SCC</v>
          </cell>
          <cell r="B368">
            <v>136586364</v>
          </cell>
          <cell r="C368">
            <v>-30959576</v>
          </cell>
          <cell r="D368">
            <v>105626788</v>
          </cell>
        </row>
        <row r="369">
          <cell r="A369" t="str">
            <v>B 9177 JE</v>
          </cell>
          <cell r="B369">
            <v>139190909</v>
          </cell>
          <cell r="C369">
            <v>-111352727</v>
          </cell>
          <cell r="D369">
            <v>27838182</v>
          </cell>
        </row>
        <row r="370">
          <cell r="A370" t="str">
            <v>B 9177 SCC</v>
          </cell>
          <cell r="B370">
            <v>136586364</v>
          </cell>
          <cell r="C370">
            <v>-30959576</v>
          </cell>
          <cell r="D370">
            <v>105626788</v>
          </cell>
        </row>
        <row r="371">
          <cell r="A371" t="str">
            <v>B 9178 SCC</v>
          </cell>
          <cell r="B371">
            <v>136586364</v>
          </cell>
          <cell r="C371">
            <v>-30959576</v>
          </cell>
          <cell r="D371">
            <v>105626788</v>
          </cell>
        </row>
        <row r="372">
          <cell r="A372" t="str">
            <v>B 9179 J</v>
          </cell>
          <cell r="B372">
            <v>185500000</v>
          </cell>
          <cell r="C372">
            <v>-132108333</v>
          </cell>
          <cell r="D372">
            <v>53391667</v>
          </cell>
        </row>
        <row r="373">
          <cell r="A373" t="str">
            <v>B 9179 SCC</v>
          </cell>
          <cell r="B373">
            <v>136586364</v>
          </cell>
          <cell r="C373">
            <v>-30959576</v>
          </cell>
          <cell r="D373">
            <v>105626788</v>
          </cell>
        </row>
        <row r="374">
          <cell r="A374" t="str">
            <v>B 9180 SCC</v>
          </cell>
          <cell r="B374">
            <v>136586364</v>
          </cell>
          <cell r="C374">
            <v>-30959576</v>
          </cell>
          <cell r="D374">
            <v>105626788</v>
          </cell>
        </row>
        <row r="375">
          <cell r="A375" t="str">
            <v>B 9181 SCC</v>
          </cell>
          <cell r="B375">
            <v>136586364</v>
          </cell>
          <cell r="C375">
            <v>-30959576</v>
          </cell>
          <cell r="D375">
            <v>105626788</v>
          </cell>
        </row>
        <row r="376">
          <cell r="A376" t="str">
            <v>B 9182 SCC</v>
          </cell>
          <cell r="B376">
            <v>136586364</v>
          </cell>
          <cell r="C376">
            <v>-30959576</v>
          </cell>
          <cell r="D376">
            <v>105626788</v>
          </cell>
        </row>
        <row r="377">
          <cell r="A377" t="str">
            <v>B 9182 UQA</v>
          </cell>
          <cell r="B377">
            <v>330000000</v>
          </cell>
          <cell r="C377">
            <v>-159500000</v>
          </cell>
          <cell r="D377">
            <v>170500000</v>
          </cell>
        </row>
        <row r="378">
          <cell r="A378" t="str">
            <v>B 9183 J</v>
          </cell>
          <cell r="B378">
            <v>173000000</v>
          </cell>
          <cell r="C378">
            <v>-123983333</v>
          </cell>
          <cell r="D378">
            <v>49016667</v>
          </cell>
        </row>
        <row r="379">
          <cell r="A379" t="str">
            <v>B 9183 SCC</v>
          </cell>
          <cell r="B379">
            <v>136586364</v>
          </cell>
          <cell r="C379">
            <v>-30959576</v>
          </cell>
          <cell r="D379">
            <v>105626788</v>
          </cell>
        </row>
        <row r="380">
          <cell r="A380" t="str">
            <v>B 9184 SCC</v>
          </cell>
          <cell r="B380">
            <v>136586364</v>
          </cell>
          <cell r="C380">
            <v>-30959576</v>
          </cell>
          <cell r="D380">
            <v>105626788</v>
          </cell>
        </row>
        <row r="381">
          <cell r="A381" t="str">
            <v>B 9185 SCC</v>
          </cell>
          <cell r="B381">
            <v>136586364</v>
          </cell>
          <cell r="C381">
            <v>-30959576</v>
          </cell>
          <cell r="D381">
            <v>105626788</v>
          </cell>
        </row>
        <row r="382">
          <cell r="A382" t="str">
            <v>B 9185 UQA</v>
          </cell>
          <cell r="B382">
            <v>340000000</v>
          </cell>
          <cell r="C382">
            <v>-164333333</v>
          </cell>
          <cell r="D382">
            <v>175666667</v>
          </cell>
        </row>
        <row r="383">
          <cell r="A383" t="str">
            <v>B 9186 J</v>
          </cell>
          <cell r="B383">
            <v>180135000</v>
          </cell>
          <cell r="C383">
            <v>-128740000</v>
          </cell>
          <cell r="D383">
            <v>51395000</v>
          </cell>
        </row>
        <row r="384">
          <cell r="A384" t="str">
            <v>B 9186 SCC</v>
          </cell>
          <cell r="B384">
            <v>136586364</v>
          </cell>
          <cell r="C384">
            <v>-30959576</v>
          </cell>
          <cell r="D384">
            <v>105626788</v>
          </cell>
        </row>
        <row r="385">
          <cell r="A385" t="str">
            <v>B 9186 UQA</v>
          </cell>
          <cell r="B385">
            <v>330000000</v>
          </cell>
          <cell r="C385">
            <v>-159500000</v>
          </cell>
          <cell r="D385">
            <v>170500000</v>
          </cell>
        </row>
        <row r="386">
          <cell r="A386" t="str">
            <v>B 9187 J</v>
          </cell>
          <cell r="B386">
            <v>185500000</v>
          </cell>
          <cell r="C386">
            <v>-132108333</v>
          </cell>
          <cell r="D386">
            <v>53391667</v>
          </cell>
        </row>
        <row r="387">
          <cell r="A387" t="str">
            <v>B 9187 SCC</v>
          </cell>
          <cell r="B387">
            <v>136586364</v>
          </cell>
          <cell r="C387">
            <v>-30959576</v>
          </cell>
          <cell r="D387">
            <v>105626788</v>
          </cell>
        </row>
        <row r="388">
          <cell r="A388" t="str">
            <v>B 9188 SCC</v>
          </cell>
          <cell r="B388">
            <v>136586364</v>
          </cell>
          <cell r="C388">
            <v>-30959576</v>
          </cell>
          <cell r="D388">
            <v>105626788</v>
          </cell>
        </row>
        <row r="389">
          <cell r="A389" t="str">
            <v>B 9190 J</v>
          </cell>
          <cell r="B389">
            <v>178830000</v>
          </cell>
          <cell r="C389">
            <v>-127918583</v>
          </cell>
          <cell r="D389">
            <v>50911417</v>
          </cell>
        </row>
        <row r="390">
          <cell r="A390" t="str">
            <v>B 9193 SCC</v>
          </cell>
          <cell r="B390">
            <v>136586364</v>
          </cell>
          <cell r="C390">
            <v>-30959576</v>
          </cell>
          <cell r="D390">
            <v>105626788</v>
          </cell>
        </row>
        <row r="391">
          <cell r="A391" t="str">
            <v>B 9194 SCC</v>
          </cell>
          <cell r="B391">
            <v>136586364</v>
          </cell>
          <cell r="C391">
            <v>-30959576</v>
          </cell>
          <cell r="D391">
            <v>105626788</v>
          </cell>
        </row>
        <row r="392">
          <cell r="A392" t="str">
            <v>B 9195 SCC</v>
          </cell>
          <cell r="B392">
            <v>136586364</v>
          </cell>
          <cell r="C392">
            <v>-30959576</v>
          </cell>
          <cell r="D392">
            <v>105626788</v>
          </cell>
        </row>
        <row r="393">
          <cell r="A393" t="str">
            <v>B 9196 SCC</v>
          </cell>
          <cell r="B393">
            <v>136586364</v>
          </cell>
          <cell r="C393">
            <v>-30959576</v>
          </cell>
          <cell r="D393">
            <v>105626788</v>
          </cell>
        </row>
        <row r="394">
          <cell r="A394" t="str">
            <v>B 9197 SCC</v>
          </cell>
          <cell r="B394">
            <v>136586364</v>
          </cell>
          <cell r="C394">
            <v>-30959576</v>
          </cell>
          <cell r="D394">
            <v>105626788</v>
          </cell>
        </row>
        <row r="395">
          <cell r="A395" t="str">
            <v>B 9205 SCC</v>
          </cell>
          <cell r="B395">
            <v>136586364</v>
          </cell>
          <cell r="C395">
            <v>-30959576</v>
          </cell>
          <cell r="D395">
            <v>105626788</v>
          </cell>
        </row>
        <row r="396">
          <cell r="A396" t="str">
            <v>B 9205 UCD</v>
          </cell>
          <cell r="B396">
            <v>199109091</v>
          </cell>
          <cell r="C396">
            <v>-87939848</v>
          </cell>
          <cell r="D396">
            <v>111169243</v>
          </cell>
        </row>
        <row r="397">
          <cell r="A397" t="str">
            <v>B 9206 SCC</v>
          </cell>
          <cell r="B397">
            <v>136586347</v>
          </cell>
          <cell r="C397">
            <v>-30959573</v>
          </cell>
          <cell r="D397">
            <v>105626774</v>
          </cell>
        </row>
        <row r="398">
          <cell r="A398" t="str">
            <v>B 9206 UCD</v>
          </cell>
          <cell r="B398">
            <v>199109091</v>
          </cell>
          <cell r="C398">
            <v>-87939848</v>
          </cell>
          <cell r="D398">
            <v>111169243</v>
          </cell>
        </row>
        <row r="399">
          <cell r="A399" t="str">
            <v>B 9207 JP</v>
          </cell>
          <cell r="B399">
            <v>175181818</v>
          </cell>
          <cell r="C399">
            <v>-128325000</v>
          </cell>
          <cell r="D399">
            <v>46856818</v>
          </cell>
        </row>
        <row r="400">
          <cell r="A400" t="str">
            <v>B 9207 SCC</v>
          </cell>
          <cell r="B400">
            <v>136586364</v>
          </cell>
          <cell r="C400">
            <v>-30959576</v>
          </cell>
          <cell r="D400">
            <v>105626788</v>
          </cell>
        </row>
        <row r="401">
          <cell r="A401" t="str">
            <v>B 9208 SCC</v>
          </cell>
          <cell r="B401">
            <v>136586364</v>
          </cell>
          <cell r="C401">
            <v>-30959576</v>
          </cell>
          <cell r="D401">
            <v>105626788</v>
          </cell>
        </row>
        <row r="402">
          <cell r="A402" t="str">
            <v>B 9209 SCC</v>
          </cell>
          <cell r="B402">
            <v>136586364</v>
          </cell>
          <cell r="C402">
            <v>-30959576</v>
          </cell>
          <cell r="D402">
            <v>105626788</v>
          </cell>
        </row>
        <row r="403">
          <cell r="A403" t="str">
            <v>B 9211 UYX</v>
          </cell>
          <cell r="B403">
            <v>776454545</v>
          </cell>
          <cell r="C403">
            <v>-239406819</v>
          </cell>
          <cell r="D403">
            <v>537047726</v>
          </cell>
        </row>
        <row r="404">
          <cell r="A404" t="str">
            <v>B 9212 UYX</v>
          </cell>
          <cell r="B404">
            <v>776454545</v>
          </cell>
          <cell r="C404">
            <v>-239406819</v>
          </cell>
          <cell r="D404">
            <v>537047726</v>
          </cell>
        </row>
        <row r="405">
          <cell r="A405" t="str">
            <v>B 9213 UYX</v>
          </cell>
          <cell r="B405">
            <v>776454545</v>
          </cell>
          <cell r="C405">
            <v>-239406819</v>
          </cell>
          <cell r="D405">
            <v>537047726</v>
          </cell>
        </row>
        <row r="406">
          <cell r="A406" t="str">
            <v>B 9214 UYX</v>
          </cell>
          <cell r="B406">
            <v>776454545</v>
          </cell>
          <cell r="C406">
            <v>-239406819</v>
          </cell>
          <cell r="D406">
            <v>537047726</v>
          </cell>
        </row>
        <row r="407">
          <cell r="A407" t="str">
            <v>B 9215 UYX</v>
          </cell>
          <cell r="B407">
            <v>776454545</v>
          </cell>
          <cell r="C407">
            <v>-239406819</v>
          </cell>
          <cell r="D407">
            <v>537047726</v>
          </cell>
        </row>
        <row r="408">
          <cell r="A408" t="str">
            <v>B 9216 IT</v>
          </cell>
          <cell r="B408">
            <v>174545455</v>
          </cell>
          <cell r="C408">
            <v>-138230114</v>
          </cell>
          <cell r="D408">
            <v>36315341</v>
          </cell>
        </row>
        <row r="409">
          <cell r="A409" t="str">
            <v>B 9216 UYX</v>
          </cell>
          <cell r="B409">
            <v>776454545</v>
          </cell>
          <cell r="C409">
            <v>-239406819</v>
          </cell>
          <cell r="D409">
            <v>537047726</v>
          </cell>
        </row>
        <row r="410">
          <cell r="A410" t="str">
            <v>B 9217 UYX</v>
          </cell>
          <cell r="B410">
            <v>776454545</v>
          </cell>
          <cell r="C410">
            <v>-239406819</v>
          </cell>
          <cell r="D410">
            <v>537047726</v>
          </cell>
        </row>
        <row r="411">
          <cell r="A411" t="str">
            <v>B 9218 UYX</v>
          </cell>
          <cell r="B411">
            <v>776454545</v>
          </cell>
          <cell r="C411">
            <v>-239406819</v>
          </cell>
          <cell r="D411">
            <v>537047726</v>
          </cell>
        </row>
        <row r="412">
          <cell r="A412" t="str">
            <v>B 9219 OT</v>
          </cell>
          <cell r="B412">
            <v>183403029</v>
          </cell>
          <cell r="C412">
            <v>-105456741</v>
          </cell>
          <cell r="D412">
            <v>77946288</v>
          </cell>
        </row>
        <row r="413">
          <cell r="A413" t="str">
            <v>B 9219 UYX</v>
          </cell>
          <cell r="B413">
            <v>776454545</v>
          </cell>
          <cell r="C413">
            <v>-239406819</v>
          </cell>
          <cell r="D413">
            <v>537047726</v>
          </cell>
        </row>
        <row r="414">
          <cell r="A414" t="str">
            <v>B 9220 UYX</v>
          </cell>
          <cell r="B414">
            <v>776454545</v>
          </cell>
          <cell r="C414">
            <v>-239406819</v>
          </cell>
          <cell r="D414">
            <v>537047726</v>
          </cell>
        </row>
        <row r="415">
          <cell r="A415" t="str">
            <v>B 9221 UYX</v>
          </cell>
          <cell r="B415">
            <v>776454545</v>
          </cell>
          <cell r="C415">
            <v>-239406819</v>
          </cell>
          <cell r="D415">
            <v>537047726</v>
          </cell>
        </row>
        <row r="416">
          <cell r="A416" t="str">
            <v>B 9223 UYX</v>
          </cell>
          <cell r="B416">
            <v>776454545</v>
          </cell>
          <cell r="C416">
            <v>-239406819</v>
          </cell>
          <cell r="D416">
            <v>537047726</v>
          </cell>
        </row>
        <row r="417">
          <cell r="A417" t="str">
            <v>B 9224 UYX</v>
          </cell>
          <cell r="B417">
            <v>776454545</v>
          </cell>
          <cell r="C417">
            <v>-239406819</v>
          </cell>
          <cell r="D417">
            <v>537047726</v>
          </cell>
        </row>
        <row r="418">
          <cell r="A418" t="str">
            <v>B 9225 UYX</v>
          </cell>
          <cell r="B418">
            <v>776454545</v>
          </cell>
          <cell r="C418">
            <v>-239406819</v>
          </cell>
          <cell r="D418">
            <v>537047726</v>
          </cell>
        </row>
        <row r="419">
          <cell r="A419" t="str">
            <v>B 9227 UYX</v>
          </cell>
          <cell r="B419">
            <v>776454545</v>
          </cell>
          <cell r="C419">
            <v>-239406819</v>
          </cell>
          <cell r="D419">
            <v>537047726</v>
          </cell>
        </row>
        <row r="420">
          <cell r="A420" t="str">
            <v>B 9228 UYX</v>
          </cell>
          <cell r="B420">
            <v>776454545</v>
          </cell>
          <cell r="C420">
            <v>-239406819</v>
          </cell>
          <cell r="D420">
            <v>537047726</v>
          </cell>
        </row>
        <row r="421">
          <cell r="A421" t="str">
            <v>B 9229 JE</v>
          </cell>
          <cell r="B421">
            <v>151345455</v>
          </cell>
          <cell r="C421">
            <v>-120707614</v>
          </cell>
          <cell r="D421">
            <v>30637841</v>
          </cell>
        </row>
        <row r="422">
          <cell r="A422" t="str">
            <v>B 9229 UYX</v>
          </cell>
          <cell r="B422">
            <v>776454545</v>
          </cell>
          <cell r="C422">
            <v>-239406819</v>
          </cell>
          <cell r="D422">
            <v>537047726</v>
          </cell>
        </row>
        <row r="423">
          <cell r="A423" t="str">
            <v>B 9230 UYX</v>
          </cell>
          <cell r="B423">
            <v>776454545</v>
          </cell>
          <cell r="C423">
            <v>-239406819</v>
          </cell>
          <cell r="D423">
            <v>537047726</v>
          </cell>
        </row>
        <row r="424">
          <cell r="A424" t="str">
            <v>B 9231 UYX</v>
          </cell>
          <cell r="B424">
            <v>776454545</v>
          </cell>
          <cell r="C424">
            <v>-239406819</v>
          </cell>
          <cell r="D424">
            <v>537047726</v>
          </cell>
        </row>
        <row r="425">
          <cell r="A425" t="str">
            <v>B 9232 JE</v>
          </cell>
          <cell r="B425">
            <v>147745455</v>
          </cell>
          <cell r="C425">
            <v>-117940114</v>
          </cell>
          <cell r="D425">
            <v>29805341</v>
          </cell>
        </row>
        <row r="426">
          <cell r="A426" t="str">
            <v>B 9232 UYX</v>
          </cell>
          <cell r="B426">
            <v>776454545</v>
          </cell>
          <cell r="C426">
            <v>-239406819</v>
          </cell>
          <cell r="D426">
            <v>537047726</v>
          </cell>
        </row>
        <row r="427">
          <cell r="A427" t="str">
            <v>B 9233 UYX</v>
          </cell>
          <cell r="B427">
            <v>776454545</v>
          </cell>
          <cell r="C427">
            <v>-239406819</v>
          </cell>
          <cell r="D427">
            <v>537047726</v>
          </cell>
        </row>
        <row r="428">
          <cell r="A428" t="str">
            <v>B 9234 UYX</v>
          </cell>
          <cell r="B428">
            <v>776454545</v>
          </cell>
          <cell r="C428">
            <v>-239406819</v>
          </cell>
          <cell r="D428">
            <v>537047726</v>
          </cell>
        </row>
        <row r="429">
          <cell r="A429" t="str">
            <v>B 9235 UYX</v>
          </cell>
          <cell r="B429">
            <v>776454545</v>
          </cell>
          <cell r="C429">
            <v>-239406819</v>
          </cell>
          <cell r="D429">
            <v>537047726</v>
          </cell>
        </row>
        <row r="430">
          <cell r="A430" t="str">
            <v>B 9236 UYX</v>
          </cell>
          <cell r="B430">
            <v>776454545</v>
          </cell>
          <cell r="C430">
            <v>-239406819</v>
          </cell>
          <cell r="D430">
            <v>537047726</v>
          </cell>
        </row>
        <row r="431">
          <cell r="A431" t="str">
            <v>B 9237 UAI</v>
          </cell>
          <cell r="B431">
            <v>146638850</v>
          </cell>
          <cell r="C431">
            <v>-31771751</v>
          </cell>
          <cell r="D431">
            <v>114867099</v>
          </cell>
        </row>
        <row r="432">
          <cell r="A432" t="str">
            <v>B 9237 UYX</v>
          </cell>
          <cell r="B432">
            <v>776454545</v>
          </cell>
          <cell r="C432">
            <v>-239406819</v>
          </cell>
          <cell r="D432">
            <v>537047726</v>
          </cell>
        </row>
        <row r="433">
          <cell r="A433" t="str">
            <v>B 9238 UYX</v>
          </cell>
          <cell r="B433">
            <v>776454545</v>
          </cell>
          <cell r="C433">
            <v>-239406819</v>
          </cell>
          <cell r="D433">
            <v>537047726</v>
          </cell>
        </row>
        <row r="434">
          <cell r="A434" t="str">
            <v>B 9239 UYX</v>
          </cell>
          <cell r="B434">
            <v>776454545</v>
          </cell>
          <cell r="C434">
            <v>-239406819</v>
          </cell>
          <cell r="D434">
            <v>537047726</v>
          </cell>
        </row>
        <row r="435">
          <cell r="A435" t="str">
            <v>B 9240 UYX</v>
          </cell>
          <cell r="B435">
            <v>776454545</v>
          </cell>
          <cell r="C435">
            <v>-239406819</v>
          </cell>
          <cell r="D435">
            <v>537047726</v>
          </cell>
        </row>
        <row r="436">
          <cell r="A436" t="str">
            <v>B 9241 UYX</v>
          </cell>
          <cell r="B436">
            <v>776454545</v>
          </cell>
          <cell r="C436">
            <v>-239406819</v>
          </cell>
          <cell r="D436">
            <v>537047726</v>
          </cell>
        </row>
        <row r="437">
          <cell r="A437" t="str">
            <v>B 9251 JV</v>
          </cell>
          <cell r="B437">
            <v>143577727</v>
          </cell>
          <cell r="C437">
            <v>-114862182</v>
          </cell>
          <cell r="D437">
            <v>28715545</v>
          </cell>
        </row>
        <row r="438">
          <cell r="A438" t="str">
            <v>B 9256 UCC</v>
          </cell>
          <cell r="B438">
            <v>226259091</v>
          </cell>
          <cell r="C438">
            <v>-109358560</v>
          </cell>
          <cell r="D438">
            <v>116900531</v>
          </cell>
        </row>
        <row r="439">
          <cell r="A439" t="str">
            <v>B 9257 UCC</v>
          </cell>
          <cell r="B439">
            <v>226259091</v>
          </cell>
          <cell r="C439">
            <v>-109358560</v>
          </cell>
          <cell r="D439">
            <v>116900531</v>
          </cell>
        </row>
        <row r="440">
          <cell r="A440" t="str">
            <v>B 9258 UCC</v>
          </cell>
          <cell r="B440">
            <v>226259091</v>
          </cell>
          <cell r="C440">
            <v>-109358560</v>
          </cell>
          <cell r="D440">
            <v>116900531</v>
          </cell>
        </row>
        <row r="441">
          <cell r="A441" t="str">
            <v>B 9259 UCC</v>
          </cell>
          <cell r="B441">
            <v>226259091</v>
          </cell>
          <cell r="C441">
            <v>-109358560</v>
          </cell>
          <cell r="D441">
            <v>116900531</v>
          </cell>
        </row>
        <row r="442">
          <cell r="A442" t="str">
            <v>B 9264 UCB</v>
          </cell>
          <cell r="B442">
            <v>213947500</v>
          </cell>
          <cell r="C442">
            <v>-110539543</v>
          </cell>
          <cell r="D442">
            <v>103407957</v>
          </cell>
        </row>
        <row r="443">
          <cell r="A443" t="str">
            <v>B 9265 UCB</v>
          </cell>
          <cell r="B443">
            <v>213947500</v>
          </cell>
          <cell r="C443">
            <v>-110539543</v>
          </cell>
          <cell r="D443">
            <v>103407957</v>
          </cell>
        </row>
        <row r="444">
          <cell r="A444" t="str">
            <v>B 9266 UCB</v>
          </cell>
          <cell r="B444">
            <v>213947500</v>
          </cell>
          <cell r="C444">
            <v>-110539543</v>
          </cell>
          <cell r="D444">
            <v>103407957</v>
          </cell>
        </row>
        <row r="445">
          <cell r="A445" t="str">
            <v>B 9267 WF</v>
          </cell>
          <cell r="B445">
            <v>785000000</v>
          </cell>
          <cell r="C445">
            <v>-340166667</v>
          </cell>
          <cell r="D445">
            <v>444833333</v>
          </cell>
        </row>
        <row r="446">
          <cell r="A446" t="str">
            <v>B 9267 ZJ</v>
          </cell>
          <cell r="B446">
            <v>141818181</v>
          </cell>
          <cell r="C446">
            <v>-109909090</v>
          </cell>
          <cell r="D446">
            <v>31909091</v>
          </cell>
        </row>
        <row r="447">
          <cell r="A447" t="str">
            <v>B 9296 RJ</v>
          </cell>
          <cell r="B447">
            <v>172845455</v>
          </cell>
          <cell r="C447">
            <v>-138153447</v>
          </cell>
          <cell r="D447">
            <v>34692008</v>
          </cell>
        </row>
        <row r="448">
          <cell r="A448" t="str">
            <v>B 9297 RJ</v>
          </cell>
          <cell r="B448">
            <v>174545455</v>
          </cell>
          <cell r="C448">
            <v>-138230114</v>
          </cell>
          <cell r="D448">
            <v>36315341</v>
          </cell>
        </row>
        <row r="449">
          <cell r="A449" t="str">
            <v>B 9298 JV</v>
          </cell>
          <cell r="B449">
            <v>143577727</v>
          </cell>
          <cell r="C449">
            <v>-114862182</v>
          </cell>
          <cell r="D449">
            <v>28715545</v>
          </cell>
        </row>
        <row r="450">
          <cell r="A450" t="str">
            <v>B 9298 RJ</v>
          </cell>
          <cell r="B450">
            <v>161045455</v>
          </cell>
          <cell r="C450">
            <v>-128836364</v>
          </cell>
          <cell r="D450">
            <v>32209091</v>
          </cell>
        </row>
        <row r="451">
          <cell r="A451" t="str">
            <v>B 9312 UDB</v>
          </cell>
          <cell r="B451">
            <v>416018181</v>
          </cell>
          <cell r="C451">
            <v>-190674999</v>
          </cell>
          <cell r="D451">
            <v>225343182</v>
          </cell>
        </row>
        <row r="452">
          <cell r="A452" t="str">
            <v>B 9312 UT</v>
          </cell>
          <cell r="B452">
            <v>640031818</v>
          </cell>
          <cell r="C452">
            <v>-412087084</v>
          </cell>
          <cell r="D452">
            <v>227944734</v>
          </cell>
        </row>
        <row r="453">
          <cell r="A453" t="str">
            <v>B 9314 UT</v>
          </cell>
          <cell r="B453">
            <v>622531818</v>
          </cell>
          <cell r="C453">
            <v>-400857917</v>
          </cell>
          <cell r="D453">
            <v>221673901</v>
          </cell>
        </row>
        <row r="454">
          <cell r="A454" t="str">
            <v>B 9314 ZJ</v>
          </cell>
          <cell r="B454">
            <v>141818181</v>
          </cell>
          <cell r="C454">
            <v>-109909090</v>
          </cell>
          <cell r="D454">
            <v>31909091</v>
          </cell>
        </row>
        <row r="455">
          <cell r="A455" t="str">
            <v>B 9316 UT</v>
          </cell>
          <cell r="B455">
            <v>640031818</v>
          </cell>
          <cell r="C455">
            <v>-411941250</v>
          </cell>
          <cell r="D455">
            <v>228090568</v>
          </cell>
        </row>
        <row r="456">
          <cell r="A456" t="str">
            <v>B 9317 UCB</v>
          </cell>
          <cell r="B456">
            <v>219492954</v>
          </cell>
          <cell r="C456">
            <v>-113404693</v>
          </cell>
          <cell r="D456">
            <v>106088261</v>
          </cell>
        </row>
        <row r="457">
          <cell r="A457" t="str">
            <v>B 9317 UT</v>
          </cell>
          <cell r="B457">
            <v>622531818</v>
          </cell>
          <cell r="C457">
            <v>-400857917</v>
          </cell>
          <cell r="D457">
            <v>221673901</v>
          </cell>
        </row>
        <row r="458">
          <cell r="A458" t="str">
            <v>B 9318 OT</v>
          </cell>
          <cell r="B458">
            <v>180503029</v>
          </cell>
          <cell r="C458">
            <v>-103789241</v>
          </cell>
          <cell r="D458">
            <v>76713788</v>
          </cell>
        </row>
        <row r="459">
          <cell r="A459" t="str">
            <v>B 9318 UT</v>
          </cell>
          <cell r="B459">
            <v>640031818</v>
          </cell>
          <cell r="C459">
            <v>-411795417</v>
          </cell>
          <cell r="D459">
            <v>228236401</v>
          </cell>
        </row>
        <row r="460">
          <cell r="A460" t="str">
            <v>B 9319 ZG</v>
          </cell>
          <cell r="B460">
            <v>183381818</v>
          </cell>
          <cell r="C460">
            <v>-135178182</v>
          </cell>
          <cell r="D460">
            <v>48203636</v>
          </cell>
        </row>
        <row r="461">
          <cell r="A461" t="str">
            <v>B 9320 JE</v>
          </cell>
          <cell r="B461">
            <v>237500000</v>
          </cell>
          <cell r="C461">
            <v>-190000000</v>
          </cell>
          <cell r="D461">
            <v>47500000</v>
          </cell>
        </row>
        <row r="462">
          <cell r="A462" t="str">
            <v>B 9328 UDB</v>
          </cell>
          <cell r="B462">
            <v>416018181</v>
          </cell>
          <cell r="C462">
            <v>-190674999</v>
          </cell>
          <cell r="D462">
            <v>225343182</v>
          </cell>
        </row>
        <row r="463">
          <cell r="A463" t="str">
            <v>B 9329 UDB</v>
          </cell>
          <cell r="B463">
            <v>416018181</v>
          </cell>
          <cell r="C463">
            <v>-190674999</v>
          </cell>
          <cell r="D463">
            <v>225343182</v>
          </cell>
        </row>
        <row r="464">
          <cell r="A464" t="str">
            <v>B 9335 UCB</v>
          </cell>
          <cell r="B464">
            <v>180755363</v>
          </cell>
          <cell r="C464">
            <v>-94896565</v>
          </cell>
          <cell r="D464">
            <v>85858798</v>
          </cell>
        </row>
        <row r="465">
          <cell r="A465" t="str">
            <v>B 9340 IG</v>
          </cell>
          <cell r="B465">
            <v>110985000</v>
          </cell>
          <cell r="C465">
            <v>-84071958</v>
          </cell>
          <cell r="D465">
            <v>26913042</v>
          </cell>
        </row>
        <row r="466">
          <cell r="A466" t="str">
            <v>B 9347 JD</v>
          </cell>
          <cell r="B466">
            <v>310947364</v>
          </cell>
          <cell r="C466">
            <v>-248757891</v>
          </cell>
          <cell r="D466">
            <v>62189473</v>
          </cell>
        </row>
        <row r="467">
          <cell r="A467" t="str">
            <v>B 9347 NJ</v>
          </cell>
          <cell r="B467">
            <v>237500000</v>
          </cell>
          <cell r="C467">
            <v>-190000000</v>
          </cell>
          <cell r="D467">
            <v>47500000</v>
          </cell>
        </row>
        <row r="468">
          <cell r="A468" t="str">
            <v>B 9350 UYW</v>
          </cell>
          <cell r="B468">
            <v>85000000</v>
          </cell>
          <cell r="C468">
            <v>-26208333</v>
          </cell>
          <cell r="D468">
            <v>58791667</v>
          </cell>
        </row>
        <row r="469">
          <cell r="A469" t="str">
            <v>B 9354 UYW</v>
          </cell>
          <cell r="B469">
            <v>92500000</v>
          </cell>
          <cell r="C469">
            <v>-26758333</v>
          </cell>
          <cell r="D469">
            <v>65741667</v>
          </cell>
        </row>
        <row r="470">
          <cell r="A470" t="str">
            <v>B 9355 JD</v>
          </cell>
          <cell r="B470">
            <v>310947364</v>
          </cell>
          <cell r="C470">
            <v>-248757891</v>
          </cell>
          <cell r="D470">
            <v>62189473</v>
          </cell>
        </row>
        <row r="471">
          <cell r="A471" t="str">
            <v>B 9362 JL</v>
          </cell>
          <cell r="B471">
            <v>517500000</v>
          </cell>
          <cell r="C471">
            <v>-228562500</v>
          </cell>
          <cell r="D471">
            <v>288937500</v>
          </cell>
        </row>
        <row r="472">
          <cell r="A472" t="str">
            <v>B 9371 JD</v>
          </cell>
          <cell r="B472">
            <v>310947364</v>
          </cell>
          <cell r="C472">
            <v>-248757891</v>
          </cell>
          <cell r="D472">
            <v>62189473</v>
          </cell>
        </row>
        <row r="473">
          <cell r="A473" t="str">
            <v>B 9384 JK</v>
          </cell>
          <cell r="B473">
            <v>147745455</v>
          </cell>
          <cell r="C473">
            <v>-117940114</v>
          </cell>
          <cell r="D473">
            <v>29805341</v>
          </cell>
        </row>
        <row r="474">
          <cell r="A474" t="str">
            <v>B 9387 UDB</v>
          </cell>
          <cell r="B474">
            <v>224377272</v>
          </cell>
          <cell r="C474">
            <v>-100594772</v>
          </cell>
          <cell r="D474">
            <v>123782500</v>
          </cell>
        </row>
        <row r="475">
          <cell r="A475" t="str">
            <v>B 9388 UDB</v>
          </cell>
          <cell r="B475">
            <v>224377272</v>
          </cell>
          <cell r="C475">
            <v>-100594772</v>
          </cell>
          <cell r="D475">
            <v>123782500</v>
          </cell>
        </row>
        <row r="476">
          <cell r="A476" t="str">
            <v>B 9389 JD</v>
          </cell>
          <cell r="B476">
            <v>310947364</v>
          </cell>
          <cell r="C476">
            <v>-248757891</v>
          </cell>
          <cell r="D476">
            <v>62189473</v>
          </cell>
        </row>
        <row r="477">
          <cell r="A477" t="str">
            <v>B 9389 UDB</v>
          </cell>
          <cell r="B477">
            <v>224377272</v>
          </cell>
          <cell r="C477">
            <v>-100594772</v>
          </cell>
          <cell r="D477">
            <v>123782500</v>
          </cell>
        </row>
        <row r="478">
          <cell r="A478" t="str">
            <v>B 9390 UDB</v>
          </cell>
          <cell r="B478">
            <v>224377272</v>
          </cell>
          <cell r="C478">
            <v>-100594772</v>
          </cell>
          <cell r="D478">
            <v>123782500</v>
          </cell>
        </row>
        <row r="479">
          <cell r="A479" t="str">
            <v>B 9395 UDB</v>
          </cell>
          <cell r="B479">
            <v>224377272</v>
          </cell>
          <cell r="C479">
            <v>-100594772</v>
          </cell>
          <cell r="D479">
            <v>123782500</v>
          </cell>
        </row>
        <row r="480">
          <cell r="A480" t="str">
            <v>B 9396 JD</v>
          </cell>
          <cell r="B480">
            <v>310947364</v>
          </cell>
          <cell r="C480">
            <v>-248757891</v>
          </cell>
          <cell r="D480">
            <v>62189473</v>
          </cell>
        </row>
        <row r="481">
          <cell r="A481" t="str">
            <v>B 9396 UCA</v>
          </cell>
          <cell r="B481">
            <v>226722728</v>
          </cell>
          <cell r="C481">
            <v>-131584092</v>
          </cell>
          <cell r="D481">
            <v>95138636</v>
          </cell>
        </row>
        <row r="482">
          <cell r="A482" t="str">
            <v>B 9396 UDB</v>
          </cell>
          <cell r="B482">
            <v>224377272</v>
          </cell>
          <cell r="C482">
            <v>-100782272</v>
          </cell>
          <cell r="D482">
            <v>123595000</v>
          </cell>
        </row>
        <row r="483">
          <cell r="A483" t="str">
            <v>B 9397 UDB</v>
          </cell>
          <cell r="B483">
            <v>224377272</v>
          </cell>
          <cell r="C483">
            <v>-100782272</v>
          </cell>
          <cell r="D483">
            <v>123595000</v>
          </cell>
        </row>
        <row r="484">
          <cell r="A484" t="str">
            <v>B 9398 UDB</v>
          </cell>
          <cell r="B484">
            <v>224377272</v>
          </cell>
          <cell r="C484">
            <v>-100782272</v>
          </cell>
          <cell r="D484">
            <v>123595000</v>
          </cell>
        </row>
        <row r="485">
          <cell r="A485" t="str">
            <v>B 9399 UCA</v>
          </cell>
          <cell r="B485">
            <v>254831818</v>
          </cell>
          <cell r="C485">
            <v>-147922727</v>
          </cell>
          <cell r="D485">
            <v>106909091</v>
          </cell>
        </row>
        <row r="486">
          <cell r="A486" t="str">
            <v>B 9399 UDB</v>
          </cell>
          <cell r="B486">
            <v>224377272</v>
          </cell>
          <cell r="C486">
            <v>-100782272</v>
          </cell>
          <cell r="D486">
            <v>123595000</v>
          </cell>
        </row>
        <row r="487">
          <cell r="A487" t="str">
            <v>B 9404 UEU</v>
          </cell>
          <cell r="B487">
            <v>560000000</v>
          </cell>
          <cell r="C487">
            <v>-214666667</v>
          </cell>
          <cell r="D487">
            <v>345333333</v>
          </cell>
        </row>
        <row r="488">
          <cell r="A488" t="str">
            <v>B 9405 UEU</v>
          </cell>
          <cell r="B488">
            <v>560000000</v>
          </cell>
          <cell r="C488">
            <v>-214666667</v>
          </cell>
          <cell r="D488">
            <v>345333333</v>
          </cell>
        </row>
        <row r="489">
          <cell r="A489" t="str">
            <v>B 9406 UEU</v>
          </cell>
          <cell r="B489">
            <v>560000000</v>
          </cell>
          <cell r="C489">
            <v>-214666667</v>
          </cell>
          <cell r="D489">
            <v>345333333</v>
          </cell>
        </row>
        <row r="490">
          <cell r="A490" t="str">
            <v>B 9407 UEU</v>
          </cell>
          <cell r="B490">
            <v>560000000</v>
          </cell>
          <cell r="C490">
            <v>-214666667</v>
          </cell>
          <cell r="D490">
            <v>345333333</v>
          </cell>
        </row>
        <row r="491">
          <cell r="A491" t="str">
            <v>B 9408 UEU</v>
          </cell>
          <cell r="B491">
            <v>560000000</v>
          </cell>
          <cell r="C491">
            <v>-214666667</v>
          </cell>
          <cell r="D491">
            <v>345333333</v>
          </cell>
        </row>
        <row r="492">
          <cell r="A492" t="str">
            <v>B 9409 JK</v>
          </cell>
          <cell r="B492">
            <v>152045455</v>
          </cell>
          <cell r="C492">
            <v>-121245739</v>
          </cell>
          <cell r="D492">
            <v>30799716</v>
          </cell>
        </row>
        <row r="493">
          <cell r="A493" t="str">
            <v>B 9409 UEU</v>
          </cell>
          <cell r="B493">
            <v>560000000</v>
          </cell>
          <cell r="C493">
            <v>-214666667</v>
          </cell>
          <cell r="D493">
            <v>345333333</v>
          </cell>
        </row>
        <row r="494">
          <cell r="A494" t="str">
            <v>B 9419 UCA</v>
          </cell>
          <cell r="B494">
            <v>254831819</v>
          </cell>
          <cell r="C494">
            <v>-146305379</v>
          </cell>
          <cell r="D494">
            <v>108526440</v>
          </cell>
        </row>
        <row r="495">
          <cell r="A495" t="str">
            <v>B 9419 UEU</v>
          </cell>
          <cell r="B495">
            <v>560000000</v>
          </cell>
          <cell r="C495">
            <v>-214666667</v>
          </cell>
          <cell r="D495">
            <v>345333333</v>
          </cell>
        </row>
        <row r="496">
          <cell r="A496" t="str">
            <v>B 9420 UEU</v>
          </cell>
          <cell r="B496">
            <v>560000000</v>
          </cell>
          <cell r="C496">
            <v>-214666667</v>
          </cell>
          <cell r="D496">
            <v>345333333</v>
          </cell>
        </row>
        <row r="497">
          <cell r="A497" t="str">
            <v>B 9421 UCA</v>
          </cell>
          <cell r="B497">
            <v>254831819</v>
          </cell>
          <cell r="C497">
            <v>-141854698</v>
          </cell>
          <cell r="D497">
            <v>112977121</v>
          </cell>
        </row>
        <row r="498">
          <cell r="A498" t="str">
            <v>B 9421 UEU</v>
          </cell>
          <cell r="B498">
            <v>560000000</v>
          </cell>
          <cell r="C498">
            <v>-214666667</v>
          </cell>
          <cell r="D498">
            <v>345333333</v>
          </cell>
        </row>
        <row r="499">
          <cell r="A499" t="str">
            <v>B 9422 UCA</v>
          </cell>
          <cell r="B499">
            <v>246831818</v>
          </cell>
          <cell r="C499">
            <v>-139221363</v>
          </cell>
          <cell r="D499">
            <v>107610455</v>
          </cell>
        </row>
        <row r="500">
          <cell r="A500" t="str">
            <v>B 9422 UEU</v>
          </cell>
          <cell r="B500">
            <v>560000000</v>
          </cell>
          <cell r="C500">
            <v>-214666667</v>
          </cell>
          <cell r="D500">
            <v>345333333</v>
          </cell>
        </row>
        <row r="501">
          <cell r="A501" t="str">
            <v>B 9423 UCA</v>
          </cell>
          <cell r="B501">
            <v>254831818</v>
          </cell>
          <cell r="C501">
            <v>-146305379</v>
          </cell>
          <cell r="D501">
            <v>108526439</v>
          </cell>
        </row>
        <row r="502">
          <cell r="A502" t="str">
            <v>B 9424 UCA</v>
          </cell>
          <cell r="B502">
            <v>277331818</v>
          </cell>
          <cell r="C502">
            <v>-156055379</v>
          </cell>
          <cell r="D502">
            <v>121276439</v>
          </cell>
        </row>
        <row r="503">
          <cell r="A503" t="str">
            <v>B 9428 JL</v>
          </cell>
          <cell r="B503">
            <v>517500000</v>
          </cell>
          <cell r="C503">
            <v>-228562500</v>
          </cell>
          <cell r="D503">
            <v>288937500</v>
          </cell>
        </row>
        <row r="504">
          <cell r="A504" t="str">
            <v>B 9430 JD</v>
          </cell>
          <cell r="B504">
            <v>310947364</v>
          </cell>
          <cell r="C504">
            <v>-248757891</v>
          </cell>
          <cell r="D504">
            <v>62189473</v>
          </cell>
        </row>
        <row r="505">
          <cell r="A505" t="str">
            <v>B 9436 UDA</v>
          </cell>
          <cell r="B505">
            <v>192045455</v>
          </cell>
          <cell r="C505">
            <v>-102424243</v>
          </cell>
          <cell r="D505">
            <v>89621212</v>
          </cell>
        </row>
        <row r="506">
          <cell r="A506" t="str">
            <v>B 9441 UCA</v>
          </cell>
          <cell r="B506">
            <v>254831818</v>
          </cell>
          <cell r="C506">
            <v>-143958864</v>
          </cell>
          <cell r="D506">
            <v>110872954</v>
          </cell>
        </row>
        <row r="507">
          <cell r="A507" t="str">
            <v>B 9445 RJ</v>
          </cell>
          <cell r="B507">
            <v>174545455</v>
          </cell>
          <cell r="C507">
            <v>-138230114</v>
          </cell>
          <cell r="D507">
            <v>36315341</v>
          </cell>
        </row>
        <row r="508">
          <cell r="A508" t="str">
            <v>B 9445 UCA</v>
          </cell>
          <cell r="B508">
            <v>220831819</v>
          </cell>
          <cell r="C508">
            <v>-125138031</v>
          </cell>
          <cell r="D508">
            <v>95693788</v>
          </cell>
        </row>
        <row r="509">
          <cell r="A509" t="str">
            <v>B 9446 JE</v>
          </cell>
          <cell r="B509">
            <v>232500000</v>
          </cell>
          <cell r="C509">
            <v>-186000000</v>
          </cell>
          <cell r="D509">
            <v>46500000</v>
          </cell>
        </row>
        <row r="510">
          <cell r="A510" t="str">
            <v>B 9446 UCA</v>
          </cell>
          <cell r="B510">
            <v>254831818</v>
          </cell>
          <cell r="C510">
            <v>-143958864</v>
          </cell>
          <cell r="D510">
            <v>110872954</v>
          </cell>
        </row>
        <row r="511">
          <cell r="A511" t="str">
            <v>B 9447 UCA</v>
          </cell>
          <cell r="B511">
            <v>254831818</v>
          </cell>
          <cell r="C511">
            <v>-146305379</v>
          </cell>
          <cell r="D511">
            <v>108526439</v>
          </cell>
        </row>
        <row r="512">
          <cell r="A512" t="str">
            <v>B 9448 UCA</v>
          </cell>
          <cell r="B512">
            <v>277331818</v>
          </cell>
          <cell r="C512">
            <v>-156055379</v>
          </cell>
          <cell r="D512">
            <v>121276439</v>
          </cell>
        </row>
        <row r="513">
          <cell r="A513" t="str">
            <v>B 9450 UCA</v>
          </cell>
          <cell r="B513">
            <v>254831818</v>
          </cell>
          <cell r="C513">
            <v>-146305379</v>
          </cell>
          <cell r="D513">
            <v>108526439</v>
          </cell>
        </row>
        <row r="514">
          <cell r="A514" t="str">
            <v>B 9451 UCA</v>
          </cell>
          <cell r="B514">
            <v>246831818</v>
          </cell>
          <cell r="C514">
            <v>-138775530</v>
          </cell>
          <cell r="D514">
            <v>108056288</v>
          </cell>
        </row>
        <row r="515">
          <cell r="A515" t="str">
            <v>B 9452 UCA</v>
          </cell>
          <cell r="B515">
            <v>254831819</v>
          </cell>
          <cell r="C515">
            <v>-146305379</v>
          </cell>
          <cell r="D515">
            <v>108526440</v>
          </cell>
        </row>
        <row r="516">
          <cell r="A516" t="str">
            <v>B 9453 UCA</v>
          </cell>
          <cell r="B516">
            <v>254831818</v>
          </cell>
          <cell r="C516">
            <v>-145859546</v>
          </cell>
          <cell r="D516">
            <v>108972272</v>
          </cell>
        </row>
        <row r="517">
          <cell r="A517" t="str">
            <v>B 9455 UCA</v>
          </cell>
          <cell r="B517">
            <v>246831818</v>
          </cell>
          <cell r="C517">
            <v>-139221363</v>
          </cell>
          <cell r="D517">
            <v>107610455</v>
          </cell>
        </row>
        <row r="518">
          <cell r="A518" t="str">
            <v>B 9467 UDE</v>
          </cell>
          <cell r="B518">
            <v>554272728</v>
          </cell>
          <cell r="C518">
            <v>-92378788</v>
          </cell>
          <cell r="D518">
            <v>461893940</v>
          </cell>
        </row>
        <row r="519">
          <cell r="A519" t="str">
            <v>B 9471 JG</v>
          </cell>
          <cell r="B519">
            <v>310954545</v>
          </cell>
          <cell r="C519">
            <v>-248763636</v>
          </cell>
          <cell r="D519">
            <v>62190909</v>
          </cell>
        </row>
        <row r="520">
          <cell r="A520" t="str">
            <v>B 9471 UDE</v>
          </cell>
          <cell r="B520">
            <v>554272727</v>
          </cell>
          <cell r="C520">
            <v>-92378788</v>
          </cell>
          <cell r="D520">
            <v>461893939</v>
          </cell>
        </row>
        <row r="521">
          <cell r="A521" t="str">
            <v>B 9485 UDB</v>
          </cell>
          <cell r="B521">
            <v>223800000</v>
          </cell>
          <cell r="C521">
            <v>-97167500</v>
          </cell>
          <cell r="D521">
            <v>126632500</v>
          </cell>
        </row>
        <row r="522">
          <cell r="A522" t="str">
            <v>B 9486 UDB</v>
          </cell>
          <cell r="B522">
            <v>223800000</v>
          </cell>
          <cell r="C522">
            <v>-97167500</v>
          </cell>
          <cell r="D522">
            <v>126632500</v>
          </cell>
        </row>
        <row r="523">
          <cell r="A523" t="str">
            <v>B 9487 UDB</v>
          </cell>
          <cell r="B523">
            <v>223800000</v>
          </cell>
          <cell r="C523">
            <v>-96980000</v>
          </cell>
          <cell r="D523">
            <v>126820000</v>
          </cell>
        </row>
        <row r="524">
          <cell r="A524" t="str">
            <v>B 9488 JL</v>
          </cell>
          <cell r="B524">
            <v>517500000</v>
          </cell>
          <cell r="C524">
            <v>-228562500</v>
          </cell>
          <cell r="D524">
            <v>288937500</v>
          </cell>
        </row>
        <row r="525">
          <cell r="A525" t="str">
            <v>B 9488 UDB</v>
          </cell>
          <cell r="B525">
            <v>223800000</v>
          </cell>
          <cell r="C525">
            <v>-96980000</v>
          </cell>
          <cell r="D525">
            <v>126820000</v>
          </cell>
        </row>
        <row r="526">
          <cell r="A526" t="str">
            <v>B 9488 UDD</v>
          </cell>
          <cell r="B526">
            <v>484354546</v>
          </cell>
          <cell r="C526">
            <v>-125124926</v>
          </cell>
          <cell r="D526">
            <v>359229620</v>
          </cell>
        </row>
        <row r="527">
          <cell r="A527" t="str">
            <v>B 9489 UDD</v>
          </cell>
          <cell r="B527">
            <v>484354546</v>
          </cell>
          <cell r="C527">
            <v>-125124926</v>
          </cell>
          <cell r="D527">
            <v>359229620</v>
          </cell>
        </row>
        <row r="528">
          <cell r="A528" t="str">
            <v>B 9490 UDD</v>
          </cell>
          <cell r="B528">
            <v>484354545</v>
          </cell>
          <cell r="C528">
            <v>-125124925</v>
          </cell>
          <cell r="D528">
            <v>359229620</v>
          </cell>
        </row>
        <row r="529">
          <cell r="A529" t="str">
            <v>B 9491 UDD</v>
          </cell>
          <cell r="B529">
            <v>484354545</v>
          </cell>
          <cell r="C529">
            <v>-125124925</v>
          </cell>
          <cell r="D529">
            <v>359229620</v>
          </cell>
        </row>
        <row r="530">
          <cell r="A530" t="str">
            <v>B 9492 UDD</v>
          </cell>
          <cell r="B530">
            <v>484354545</v>
          </cell>
          <cell r="C530">
            <v>-125124925</v>
          </cell>
          <cell r="D530">
            <v>359229620</v>
          </cell>
        </row>
        <row r="531">
          <cell r="A531" t="str">
            <v>B 9494 UDB</v>
          </cell>
          <cell r="B531">
            <v>223800000</v>
          </cell>
          <cell r="C531">
            <v>-96980000</v>
          </cell>
          <cell r="D531">
            <v>126820000</v>
          </cell>
        </row>
        <row r="532">
          <cell r="A532" t="str">
            <v>B 9495 UDB</v>
          </cell>
          <cell r="B532">
            <v>223800000</v>
          </cell>
          <cell r="C532">
            <v>-97167500</v>
          </cell>
          <cell r="D532">
            <v>126632500</v>
          </cell>
        </row>
        <row r="533">
          <cell r="A533" t="str">
            <v>B 9496 OT</v>
          </cell>
          <cell r="B533">
            <v>175181971</v>
          </cell>
          <cell r="C533">
            <v>-100729634</v>
          </cell>
          <cell r="D533">
            <v>74452337</v>
          </cell>
        </row>
        <row r="534">
          <cell r="A534" t="str">
            <v>B 9496 UCC</v>
          </cell>
          <cell r="B534">
            <v>230219409</v>
          </cell>
          <cell r="C534">
            <v>-106952987</v>
          </cell>
          <cell r="D534">
            <v>123266422</v>
          </cell>
        </row>
        <row r="535">
          <cell r="A535" t="str">
            <v>B 9496 UDB</v>
          </cell>
          <cell r="B535">
            <v>223800000</v>
          </cell>
          <cell r="C535">
            <v>-97167500</v>
          </cell>
          <cell r="D535">
            <v>126632500</v>
          </cell>
        </row>
        <row r="536">
          <cell r="A536" t="str">
            <v>B 9497 UCC</v>
          </cell>
          <cell r="B536">
            <v>230219409</v>
          </cell>
          <cell r="C536">
            <v>-106952987</v>
          </cell>
          <cell r="D536">
            <v>123266422</v>
          </cell>
        </row>
        <row r="537">
          <cell r="A537" t="str">
            <v>B 9497 UDB</v>
          </cell>
          <cell r="B537">
            <v>223800000</v>
          </cell>
          <cell r="C537">
            <v>-96980000</v>
          </cell>
          <cell r="D537">
            <v>126820000</v>
          </cell>
        </row>
        <row r="538">
          <cell r="A538" t="str">
            <v>B 9498 UDB</v>
          </cell>
          <cell r="B538">
            <v>223800000</v>
          </cell>
          <cell r="C538">
            <v>-97167500</v>
          </cell>
          <cell r="D538">
            <v>126632500</v>
          </cell>
        </row>
        <row r="539">
          <cell r="A539" t="str">
            <v>B 9499 UDB</v>
          </cell>
          <cell r="B539">
            <v>223800000</v>
          </cell>
          <cell r="C539">
            <v>-96980000</v>
          </cell>
          <cell r="D539">
            <v>126820000</v>
          </cell>
        </row>
        <row r="540">
          <cell r="A540" t="str">
            <v>B 9508 UEJ</v>
          </cell>
          <cell r="B540">
            <v>723338800</v>
          </cell>
          <cell r="C540">
            <v>-240148767</v>
          </cell>
          <cell r="D540">
            <v>483190033</v>
          </cell>
        </row>
        <row r="541">
          <cell r="A541" t="str">
            <v>B 9509 UEJ</v>
          </cell>
          <cell r="B541">
            <v>723338800</v>
          </cell>
          <cell r="C541">
            <v>-240148767</v>
          </cell>
          <cell r="D541">
            <v>483190033</v>
          </cell>
        </row>
        <row r="542">
          <cell r="A542" t="str">
            <v>B 9510 UCA</v>
          </cell>
          <cell r="B542">
            <v>226950000</v>
          </cell>
          <cell r="C542">
            <v>-128605000</v>
          </cell>
          <cell r="D542">
            <v>98345000</v>
          </cell>
        </row>
        <row r="543">
          <cell r="A543" t="str">
            <v>B 9510 UEJ</v>
          </cell>
          <cell r="B543">
            <v>723338800</v>
          </cell>
          <cell r="C543">
            <v>-240148767</v>
          </cell>
          <cell r="D543">
            <v>483190033</v>
          </cell>
        </row>
        <row r="544">
          <cell r="A544" t="str">
            <v>B 9511 UEJ</v>
          </cell>
          <cell r="B544">
            <v>723338800</v>
          </cell>
          <cell r="C544">
            <v>-240148767</v>
          </cell>
          <cell r="D544">
            <v>483190033</v>
          </cell>
        </row>
        <row r="545">
          <cell r="A545" t="str">
            <v>B 9512 UCA</v>
          </cell>
          <cell r="B545">
            <v>226950000</v>
          </cell>
          <cell r="C545">
            <v>-128605000</v>
          </cell>
          <cell r="D545">
            <v>98345000</v>
          </cell>
        </row>
        <row r="546">
          <cell r="A546" t="str">
            <v>B 9512 UEJ</v>
          </cell>
          <cell r="B546">
            <v>723338800</v>
          </cell>
          <cell r="C546">
            <v>-240148767</v>
          </cell>
          <cell r="D546">
            <v>483190033</v>
          </cell>
        </row>
        <row r="547">
          <cell r="A547" t="str">
            <v>B 9513 UCA</v>
          </cell>
          <cell r="B547">
            <v>192950000</v>
          </cell>
          <cell r="C547">
            <v>-109338333</v>
          </cell>
          <cell r="D547">
            <v>83611667</v>
          </cell>
        </row>
        <row r="548">
          <cell r="A548" t="str">
            <v>B 9513 UEJ</v>
          </cell>
          <cell r="B548">
            <v>723338800</v>
          </cell>
          <cell r="C548">
            <v>-240148767</v>
          </cell>
          <cell r="D548">
            <v>483190033</v>
          </cell>
        </row>
        <row r="549">
          <cell r="A549" t="str">
            <v>B 9514 UCA</v>
          </cell>
          <cell r="B549">
            <v>226950000</v>
          </cell>
          <cell r="C549">
            <v>-128605000</v>
          </cell>
          <cell r="D549">
            <v>98345000</v>
          </cell>
        </row>
        <row r="550">
          <cell r="A550" t="str">
            <v>B 9514 UEJ</v>
          </cell>
          <cell r="B550">
            <v>723338800</v>
          </cell>
          <cell r="C550">
            <v>-240148767</v>
          </cell>
          <cell r="D550">
            <v>483190033</v>
          </cell>
        </row>
        <row r="551">
          <cell r="A551" t="str">
            <v>B 9515 UCA</v>
          </cell>
          <cell r="B551">
            <v>226950000</v>
          </cell>
          <cell r="C551">
            <v>-128605000</v>
          </cell>
          <cell r="D551">
            <v>98345000</v>
          </cell>
        </row>
        <row r="552">
          <cell r="A552" t="str">
            <v>B 9515 UEJ</v>
          </cell>
          <cell r="B552">
            <v>723338800</v>
          </cell>
          <cell r="C552">
            <v>-240148767</v>
          </cell>
          <cell r="D552">
            <v>483190033</v>
          </cell>
        </row>
        <row r="553">
          <cell r="A553" t="str">
            <v>B 9516 UEJ</v>
          </cell>
          <cell r="B553">
            <v>723338800</v>
          </cell>
          <cell r="C553">
            <v>-240148767</v>
          </cell>
          <cell r="D553">
            <v>483190033</v>
          </cell>
        </row>
        <row r="554">
          <cell r="A554" t="str">
            <v>B 9517 UEJ</v>
          </cell>
          <cell r="B554">
            <v>692588925</v>
          </cell>
          <cell r="C554">
            <v>-230061310</v>
          </cell>
          <cell r="D554">
            <v>462527615</v>
          </cell>
        </row>
        <row r="555">
          <cell r="A555" t="str">
            <v>B 9518 UEJ</v>
          </cell>
          <cell r="B555">
            <v>723338800</v>
          </cell>
          <cell r="C555">
            <v>-240148767</v>
          </cell>
          <cell r="D555">
            <v>483190033</v>
          </cell>
        </row>
        <row r="556">
          <cell r="A556" t="str">
            <v>B 9519 UEJ</v>
          </cell>
          <cell r="B556">
            <v>692588925</v>
          </cell>
          <cell r="C556">
            <v>-230061310</v>
          </cell>
          <cell r="D556">
            <v>462527615</v>
          </cell>
        </row>
        <row r="557">
          <cell r="A557" t="str">
            <v>B 9520 UEJ</v>
          </cell>
          <cell r="B557">
            <v>723338800</v>
          </cell>
          <cell r="C557">
            <v>-240148767</v>
          </cell>
          <cell r="D557">
            <v>483190033</v>
          </cell>
        </row>
        <row r="558">
          <cell r="A558" t="str">
            <v>B 9521 UEJ</v>
          </cell>
          <cell r="B558">
            <v>692588925</v>
          </cell>
          <cell r="C558">
            <v>-230061310</v>
          </cell>
          <cell r="D558">
            <v>462527615</v>
          </cell>
        </row>
        <row r="559">
          <cell r="A559" t="str">
            <v>B 9522 UEJ</v>
          </cell>
          <cell r="B559">
            <v>713588800</v>
          </cell>
          <cell r="C559">
            <v>-237061267</v>
          </cell>
          <cell r="D559">
            <v>476527533</v>
          </cell>
        </row>
        <row r="560">
          <cell r="A560" t="str">
            <v>B 9523 UEJ</v>
          </cell>
          <cell r="B560">
            <v>708588800</v>
          </cell>
          <cell r="C560">
            <v>-235394601</v>
          </cell>
          <cell r="D560">
            <v>473194199</v>
          </cell>
        </row>
        <row r="561">
          <cell r="A561" t="str">
            <v>B 9524 UEJ</v>
          </cell>
          <cell r="B561">
            <v>692588925</v>
          </cell>
          <cell r="C561">
            <v>-230061310</v>
          </cell>
          <cell r="D561">
            <v>462527615</v>
          </cell>
        </row>
        <row r="562">
          <cell r="A562" t="str">
            <v>B 9525 UEJ</v>
          </cell>
          <cell r="B562">
            <v>692588925</v>
          </cell>
          <cell r="C562">
            <v>-230061310</v>
          </cell>
          <cell r="D562">
            <v>462527615</v>
          </cell>
        </row>
        <row r="563">
          <cell r="A563" t="str">
            <v>B 9526 UEJ</v>
          </cell>
          <cell r="B563">
            <v>692588925</v>
          </cell>
          <cell r="C563">
            <v>-230061310</v>
          </cell>
          <cell r="D563">
            <v>462527615</v>
          </cell>
        </row>
        <row r="564">
          <cell r="A564" t="str">
            <v>B 9527 UEJ</v>
          </cell>
          <cell r="B564">
            <v>692588925</v>
          </cell>
          <cell r="C564">
            <v>-230061310</v>
          </cell>
          <cell r="D564">
            <v>462527615</v>
          </cell>
        </row>
        <row r="565">
          <cell r="A565" t="str">
            <v>B 9528 UEJ</v>
          </cell>
          <cell r="B565">
            <v>687588925</v>
          </cell>
          <cell r="C565">
            <v>-228394644</v>
          </cell>
          <cell r="D565">
            <v>459194281</v>
          </cell>
        </row>
        <row r="566">
          <cell r="A566" t="str">
            <v>B 9533 WJ</v>
          </cell>
          <cell r="B566">
            <v>218534000</v>
          </cell>
          <cell r="C566">
            <v>-218534000</v>
          </cell>
          <cell r="D566">
            <v>0</v>
          </cell>
        </row>
        <row r="567">
          <cell r="A567" t="str">
            <v>B 9534 UCC</v>
          </cell>
          <cell r="B567">
            <v>225372727</v>
          </cell>
          <cell r="C567">
            <v>-108461819</v>
          </cell>
          <cell r="D567">
            <v>116910908</v>
          </cell>
        </row>
        <row r="568">
          <cell r="A568" t="str">
            <v>B 9535 UCC</v>
          </cell>
          <cell r="B568">
            <v>225372727</v>
          </cell>
          <cell r="C568">
            <v>-108461819</v>
          </cell>
          <cell r="D568">
            <v>116910908</v>
          </cell>
        </row>
        <row r="569">
          <cell r="A569" t="str">
            <v>B 9546 UEJ</v>
          </cell>
          <cell r="B569">
            <v>723338800</v>
          </cell>
          <cell r="C569">
            <v>-240148767</v>
          </cell>
          <cell r="D569">
            <v>483190033</v>
          </cell>
        </row>
        <row r="570">
          <cell r="A570" t="str">
            <v>B 9547 UEJ</v>
          </cell>
          <cell r="B570">
            <v>723338800</v>
          </cell>
          <cell r="C570">
            <v>-240148767</v>
          </cell>
          <cell r="D570">
            <v>483190033</v>
          </cell>
        </row>
        <row r="571">
          <cell r="A571" t="str">
            <v>B 9549 UCB</v>
          </cell>
          <cell r="B571">
            <v>197927273</v>
          </cell>
          <cell r="C571">
            <v>-102262424</v>
          </cell>
          <cell r="D571">
            <v>95664849</v>
          </cell>
        </row>
        <row r="572">
          <cell r="A572" t="str">
            <v>B 9550 UCB</v>
          </cell>
          <cell r="B572">
            <v>197927273</v>
          </cell>
          <cell r="C572">
            <v>-102262424</v>
          </cell>
          <cell r="D572">
            <v>95664849</v>
          </cell>
        </row>
        <row r="573">
          <cell r="A573" t="str">
            <v>B 9551 UCB</v>
          </cell>
          <cell r="B573">
            <v>226086364</v>
          </cell>
          <cell r="C573">
            <v>-116811287</v>
          </cell>
          <cell r="D573">
            <v>109275077</v>
          </cell>
        </row>
        <row r="574">
          <cell r="A574" t="str">
            <v>B 9552 UCB</v>
          </cell>
          <cell r="B574">
            <v>226086363</v>
          </cell>
          <cell r="C574">
            <v>-116811287</v>
          </cell>
          <cell r="D574">
            <v>109275076</v>
          </cell>
        </row>
        <row r="575">
          <cell r="A575" t="str">
            <v>B 9553 UCB</v>
          </cell>
          <cell r="B575">
            <v>197927272</v>
          </cell>
          <cell r="C575">
            <v>-102262424</v>
          </cell>
          <cell r="D575">
            <v>95664848</v>
          </cell>
        </row>
        <row r="576">
          <cell r="A576" t="str">
            <v>B 9563 UCA</v>
          </cell>
          <cell r="B576">
            <v>132986363</v>
          </cell>
          <cell r="C576">
            <v>-75358938</v>
          </cell>
          <cell r="D576">
            <v>57627425</v>
          </cell>
        </row>
        <row r="577">
          <cell r="A577" t="str">
            <v>B 9565 UCA</v>
          </cell>
          <cell r="B577">
            <v>132986363</v>
          </cell>
          <cell r="C577">
            <v>-75358938</v>
          </cell>
          <cell r="D577">
            <v>57627425</v>
          </cell>
        </row>
        <row r="578">
          <cell r="A578" t="str">
            <v>B 9597 JB</v>
          </cell>
          <cell r="B578">
            <v>245000000</v>
          </cell>
          <cell r="C578">
            <v>-196000000</v>
          </cell>
          <cell r="D578">
            <v>49000000</v>
          </cell>
        </row>
        <row r="579">
          <cell r="A579" t="str">
            <v>B 9603 EJ</v>
          </cell>
          <cell r="B579">
            <v>517500000</v>
          </cell>
          <cell r="C579">
            <v>-228562500</v>
          </cell>
          <cell r="D579">
            <v>288937500</v>
          </cell>
        </row>
        <row r="580">
          <cell r="A580" t="str">
            <v>B 9611 WI</v>
          </cell>
          <cell r="B580">
            <v>155021712</v>
          </cell>
          <cell r="C580">
            <v>-155021712</v>
          </cell>
          <cell r="D580">
            <v>0</v>
          </cell>
        </row>
        <row r="581">
          <cell r="A581" t="str">
            <v>B 9621 UDA</v>
          </cell>
          <cell r="B581">
            <v>219018182</v>
          </cell>
          <cell r="C581">
            <v>-113159394</v>
          </cell>
          <cell r="D581">
            <v>105858788</v>
          </cell>
        </row>
        <row r="582">
          <cell r="A582" t="str">
            <v>B 9645 JO</v>
          </cell>
          <cell r="B582">
            <v>517500000</v>
          </cell>
          <cell r="C582">
            <v>-228562500</v>
          </cell>
          <cell r="D582">
            <v>288937500</v>
          </cell>
        </row>
        <row r="583">
          <cell r="A583" t="str">
            <v>B 9676 VG</v>
          </cell>
          <cell r="B583">
            <v>270125000</v>
          </cell>
          <cell r="C583">
            <v>-267125000</v>
          </cell>
          <cell r="D583">
            <v>3000000</v>
          </cell>
        </row>
        <row r="584">
          <cell r="A584" t="str">
            <v>B 9717 UCC</v>
          </cell>
          <cell r="B584">
            <v>225581818</v>
          </cell>
          <cell r="C584">
            <v>-103157501</v>
          </cell>
          <cell r="D584">
            <v>122424317</v>
          </cell>
        </row>
        <row r="585">
          <cell r="A585" t="str">
            <v>B 9725 NJ</v>
          </cell>
          <cell r="B585">
            <v>124500000</v>
          </cell>
          <cell r="C585">
            <v>-124500000</v>
          </cell>
          <cell r="D585">
            <v>0</v>
          </cell>
        </row>
        <row r="586">
          <cell r="A586" t="str">
            <v>B 9733 UT</v>
          </cell>
          <cell r="B586">
            <v>183740910</v>
          </cell>
          <cell r="C586">
            <v>-117900418</v>
          </cell>
          <cell r="D586">
            <v>65840492</v>
          </cell>
        </row>
        <row r="587">
          <cell r="A587" t="str">
            <v>B 9737 OU</v>
          </cell>
          <cell r="B587">
            <v>183740910</v>
          </cell>
          <cell r="C587">
            <v>-116369243</v>
          </cell>
          <cell r="D587">
            <v>67371667</v>
          </cell>
        </row>
        <row r="588">
          <cell r="A588" t="str">
            <v>B 9741 SYU</v>
          </cell>
          <cell r="B588">
            <v>814454546</v>
          </cell>
          <cell r="C588">
            <v>-180989900</v>
          </cell>
          <cell r="D588">
            <v>633464646</v>
          </cell>
        </row>
        <row r="589">
          <cell r="A589" t="str">
            <v>B 9742 SYU</v>
          </cell>
          <cell r="B589">
            <v>814454545</v>
          </cell>
          <cell r="C589">
            <v>-180989899</v>
          </cell>
          <cell r="D589">
            <v>633464646</v>
          </cell>
        </row>
        <row r="590">
          <cell r="A590" t="str">
            <v>B 9743 SYU</v>
          </cell>
          <cell r="B590">
            <v>814454545</v>
          </cell>
          <cell r="C590">
            <v>-180989899</v>
          </cell>
          <cell r="D590">
            <v>633464646</v>
          </cell>
        </row>
        <row r="591">
          <cell r="A591" t="str">
            <v>B 9744 OU</v>
          </cell>
          <cell r="B591">
            <v>183740910</v>
          </cell>
          <cell r="C591">
            <v>-116369243</v>
          </cell>
          <cell r="D591">
            <v>67371667</v>
          </cell>
        </row>
        <row r="592">
          <cell r="A592" t="str">
            <v>B 9744 SYU</v>
          </cell>
          <cell r="B592">
            <v>814454546</v>
          </cell>
          <cell r="C592">
            <v>-180989900</v>
          </cell>
          <cell r="D592">
            <v>633464646</v>
          </cell>
        </row>
        <row r="593">
          <cell r="A593" t="str">
            <v>B 9745 SYU</v>
          </cell>
          <cell r="B593">
            <v>814454546</v>
          </cell>
          <cell r="C593">
            <v>-180989900</v>
          </cell>
          <cell r="D593">
            <v>633464646</v>
          </cell>
        </row>
        <row r="594">
          <cell r="A594" t="str">
            <v>B 9756 SYU</v>
          </cell>
          <cell r="B594">
            <v>814454545</v>
          </cell>
          <cell r="C594">
            <v>-180989899</v>
          </cell>
          <cell r="D594">
            <v>633464646</v>
          </cell>
        </row>
        <row r="595">
          <cell r="A595" t="str">
            <v>B 9757 SYU</v>
          </cell>
          <cell r="B595">
            <v>814454546</v>
          </cell>
          <cell r="C595">
            <v>-180989900</v>
          </cell>
          <cell r="D595">
            <v>633464646</v>
          </cell>
        </row>
        <row r="596">
          <cell r="A596" t="str">
            <v>B 9758 SYU</v>
          </cell>
          <cell r="B596">
            <v>814454545</v>
          </cell>
          <cell r="C596">
            <v>-180989899</v>
          </cell>
          <cell r="D596">
            <v>633464646</v>
          </cell>
        </row>
        <row r="597">
          <cell r="A597" t="str">
            <v>B 9759 SYU</v>
          </cell>
          <cell r="B597">
            <v>814454546</v>
          </cell>
          <cell r="C597">
            <v>-180989900</v>
          </cell>
          <cell r="D597">
            <v>633464646</v>
          </cell>
        </row>
        <row r="598">
          <cell r="A598" t="str">
            <v>B 9760 SYU</v>
          </cell>
          <cell r="B598">
            <v>814454545</v>
          </cell>
          <cell r="C598">
            <v>-180989899</v>
          </cell>
          <cell r="D598">
            <v>633464646</v>
          </cell>
        </row>
        <row r="599">
          <cell r="A599" t="str">
            <v>B 9763 UT</v>
          </cell>
          <cell r="B599">
            <v>182631818</v>
          </cell>
          <cell r="C599">
            <v>-117082500</v>
          </cell>
          <cell r="D599">
            <v>65549318</v>
          </cell>
        </row>
        <row r="600">
          <cell r="A600" t="str">
            <v>B 9766 UT</v>
          </cell>
          <cell r="B600">
            <v>182631818</v>
          </cell>
          <cell r="C600">
            <v>-117082500</v>
          </cell>
          <cell r="D600">
            <v>65549318</v>
          </cell>
        </row>
        <row r="601">
          <cell r="A601" t="str">
            <v>B 9769 SX</v>
          </cell>
          <cell r="B601">
            <v>28842593</v>
          </cell>
          <cell r="C601">
            <v>-26592593</v>
          </cell>
          <cell r="D601">
            <v>2250000</v>
          </cell>
        </row>
        <row r="602">
          <cell r="A602" t="str">
            <v>B 9772 VO</v>
          </cell>
          <cell r="B602">
            <v>187272727</v>
          </cell>
          <cell r="C602">
            <v>-7803030</v>
          </cell>
          <cell r="D602">
            <v>179469697</v>
          </cell>
        </row>
        <row r="603">
          <cell r="A603" t="str">
            <v>B 9774 VO</v>
          </cell>
          <cell r="B603">
            <v>187272726</v>
          </cell>
          <cell r="C603">
            <v>-7803030</v>
          </cell>
          <cell r="D603">
            <v>179469696</v>
          </cell>
        </row>
        <row r="604">
          <cell r="A604" t="str">
            <v>B 9783 UYW</v>
          </cell>
          <cell r="B604">
            <v>586818182</v>
          </cell>
          <cell r="C604">
            <v>-195606060</v>
          </cell>
          <cell r="D604">
            <v>391212122</v>
          </cell>
        </row>
        <row r="605">
          <cell r="A605" t="str">
            <v>B 9784 UYW</v>
          </cell>
          <cell r="B605">
            <v>586818182</v>
          </cell>
          <cell r="C605">
            <v>-195606060</v>
          </cell>
          <cell r="D605">
            <v>391212122</v>
          </cell>
        </row>
        <row r="606">
          <cell r="A606" t="str">
            <v>B 9785 UYW</v>
          </cell>
          <cell r="B606">
            <v>586818182</v>
          </cell>
          <cell r="C606">
            <v>-195606060</v>
          </cell>
          <cell r="D606">
            <v>391212122</v>
          </cell>
        </row>
        <row r="607">
          <cell r="A607" t="str">
            <v>B 9786 UYW</v>
          </cell>
          <cell r="B607">
            <v>586818182</v>
          </cell>
          <cell r="C607">
            <v>-195606060</v>
          </cell>
          <cell r="D607">
            <v>391212122</v>
          </cell>
        </row>
        <row r="608">
          <cell r="A608" t="str">
            <v>B 9787 UYW</v>
          </cell>
          <cell r="B608">
            <v>586818182</v>
          </cell>
          <cell r="C608">
            <v>-195606060</v>
          </cell>
          <cell r="D608">
            <v>391212122</v>
          </cell>
        </row>
        <row r="609">
          <cell r="A609" t="str">
            <v>B 9796 AU</v>
          </cell>
          <cell r="B609">
            <v>550000000</v>
          </cell>
          <cell r="C609">
            <v>-238333333</v>
          </cell>
          <cell r="D609">
            <v>311666667</v>
          </cell>
        </row>
        <row r="610">
          <cell r="A610" t="str">
            <v>B 9798 JW</v>
          </cell>
          <cell r="B610">
            <v>182631818</v>
          </cell>
          <cell r="C610">
            <v>-115666819</v>
          </cell>
          <cell r="D610">
            <v>66964999</v>
          </cell>
        </row>
        <row r="611">
          <cell r="A611" t="str">
            <v>B 9808 UCB</v>
          </cell>
          <cell r="B611">
            <v>194113637</v>
          </cell>
          <cell r="C611">
            <v>-100098296</v>
          </cell>
          <cell r="D611">
            <v>94015341</v>
          </cell>
        </row>
        <row r="612">
          <cell r="A612" t="str">
            <v>B 9809 UCB</v>
          </cell>
          <cell r="B612">
            <v>194113636</v>
          </cell>
          <cell r="C612">
            <v>-100098295</v>
          </cell>
          <cell r="D612">
            <v>94015341</v>
          </cell>
        </row>
        <row r="613">
          <cell r="A613" t="str">
            <v>B 9809 UT</v>
          </cell>
          <cell r="B613">
            <v>183740910</v>
          </cell>
          <cell r="C613">
            <v>-117900418</v>
          </cell>
          <cell r="D613">
            <v>65840492</v>
          </cell>
        </row>
        <row r="614">
          <cell r="A614" t="str">
            <v>B 9811 JM</v>
          </cell>
          <cell r="B614">
            <v>517500000</v>
          </cell>
          <cell r="C614">
            <v>-228562500</v>
          </cell>
          <cell r="D614">
            <v>288937500</v>
          </cell>
        </row>
        <row r="615">
          <cell r="A615" t="str">
            <v>B 9817 UT</v>
          </cell>
          <cell r="B615">
            <v>221145454</v>
          </cell>
          <cell r="C615">
            <v>-145617877</v>
          </cell>
          <cell r="D615">
            <v>75527577</v>
          </cell>
        </row>
        <row r="616">
          <cell r="A616" t="str">
            <v>B 9822 UT</v>
          </cell>
          <cell r="B616">
            <v>221145455</v>
          </cell>
          <cell r="C616">
            <v>-145617880</v>
          </cell>
          <cell r="D616">
            <v>75527575</v>
          </cell>
        </row>
        <row r="617">
          <cell r="A617" t="str">
            <v>B 9828 UYW</v>
          </cell>
          <cell r="B617">
            <v>586818182</v>
          </cell>
          <cell r="C617">
            <v>-190715909</v>
          </cell>
          <cell r="D617">
            <v>396102273</v>
          </cell>
        </row>
        <row r="618">
          <cell r="A618" t="str">
            <v>B 9830 UYW</v>
          </cell>
          <cell r="B618">
            <v>586818182</v>
          </cell>
          <cell r="C618">
            <v>-190715909</v>
          </cell>
          <cell r="D618">
            <v>396102273</v>
          </cell>
        </row>
        <row r="619">
          <cell r="A619" t="str">
            <v>B 9831 UYW</v>
          </cell>
          <cell r="B619">
            <v>586818182</v>
          </cell>
          <cell r="C619">
            <v>-190715909</v>
          </cell>
          <cell r="D619">
            <v>396102273</v>
          </cell>
        </row>
        <row r="620">
          <cell r="A620" t="str">
            <v>B 9832 UYW</v>
          </cell>
          <cell r="B620">
            <v>586818182</v>
          </cell>
          <cell r="C620">
            <v>-190715909</v>
          </cell>
          <cell r="D620">
            <v>396102273</v>
          </cell>
        </row>
        <row r="621">
          <cell r="A621" t="str">
            <v>B 9833 UYW</v>
          </cell>
          <cell r="B621">
            <v>586818182</v>
          </cell>
          <cell r="C621">
            <v>-190715909</v>
          </cell>
          <cell r="D621">
            <v>396102273</v>
          </cell>
        </row>
        <row r="622">
          <cell r="A622" t="str">
            <v>B 9834 UYW</v>
          </cell>
          <cell r="B622">
            <v>586818182</v>
          </cell>
          <cell r="C622">
            <v>-190715909</v>
          </cell>
          <cell r="D622">
            <v>396102273</v>
          </cell>
        </row>
        <row r="623">
          <cell r="A623" t="str">
            <v>B 9835 UYW</v>
          </cell>
          <cell r="B623">
            <v>586818182</v>
          </cell>
          <cell r="C623">
            <v>-190715909</v>
          </cell>
          <cell r="D623">
            <v>396102273</v>
          </cell>
        </row>
        <row r="624">
          <cell r="A624" t="str">
            <v>B 9836 UYW</v>
          </cell>
          <cell r="B624">
            <v>586818182</v>
          </cell>
          <cell r="C624">
            <v>-190715909</v>
          </cell>
          <cell r="D624">
            <v>396102273</v>
          </cell>
        </row>
        <row r="625">
          <cell r="A625" t="str">
            <v>B 9837 UYW</v>
          </cell>
          <cell r="B625">
            <v>586818182</v>
          </cell>
          <cell r="C625">
            <v>-190715909</v>
          </cell>
          <cell r="D625">
            <v>396102273</v>
          </cell>
        </row>
        <row r="626">
          <cell r="A626" t="str">
            <v>B 9838 UYW</v>
          </cell>
          <cell r="B626">
            <v>586818182</v>
          </cell>
          <cell r="C626">
            <v>-190715909</v>
          </cell>
          <cell r="D626">
            <v>396102273</v>
          </cell>
        </row>
        <row r="627">
          <cell r="A627" t="str">
            <v>B 9839 UYW</v>
          </cell>
          <cell r="B627">
            <v>586818182</v>
          </cell>
          <cell r="C627">
            <v>-190715909</v>
          </cell>
          <cell r="D627">
            <v>396102273</v>
          </cell>
        </row>
        <row r="628">
          <cell r="A628" t="str">
            <v>B 9840 UYW</v>
          </cell>
          <cell r="B628">
            <v>586818182</v>
          </cell>
          <cell r="C628">
            <v>-190715909</v>
          </cell>
          <cell r="D628">
            <v>396102273</v>
          </cell>
        </row>
        <row r="629">
          <cell r="A629" t="str">
            <v>B 9841 UYW</v>
          </cell>
          <cell r="B629">
            <v>586818182</v>
          </cell>
          <cell r="C629">
            <v>-190715909</v>
          </cell>
          <cell r="D629">
            <v>396102273</v>
          </cell>
        </row>
        <row r="630">
          <cell r="A630" t="str">
            <v>B 9842 UYW</v>
          </cell>
          <cell r="B630">
            <v>586818182</v>
          </cell>
          <cell r="C630">
            <v>-190715909</v>
          </cell>
          <cell r="D630">
            <v>396102273</v>
          </cell>
        </row>
        <row r="631">
          <cell r="A631" t="str">
            <v>B 9843 UYW</v>
          </cell>
          <cell r="B631">
            <v>586818182</v>
          </cell>
          <cell r="C631">
            <v>-190715909</v>
          </cell>
          <cell r="D631">
            <v>396102273</v>
          </cell>
        </row>
        <row r="632">
          <cell r="A632" t="str">
            <v>B 9844 UYW</v>
          </cell>
          <cell r="B632">
            <v>586818182</v>
          </cell>
          <cell r="C632">
            <v>-190715909</v>
          </cell>
          <cell r="D632">
            <v>396102273</v>
          </cell>
        </row>
        <row r="633">
          <cell r="A633" t="str">
            <v>B 9845 UYW</v>
          </cell>
          <cell r="B633">
            <v>586818182</v>
          </cell>
          <cell r="C633">
            <v>-190715909</v>
          </cell>
          <cell r="D633">
            <v>396102273</v>
          </cell>
        </row>
        <row r="634">
          <cell r="A634" t="str">
            <v>B 9847 UYW</v>
          </cell>
          <cell r="B634">
            <v>586818182</v>
          </cell>
          <cell r="C634">
            <v>-190715909</v>
          </cell>
          <cell r="D634">
            <v>396102273</v>
          </cell>
        </row>
        <row r="635">
          <cell r="A635" t="str">
            <v>B 9848 UYW</v>
          </cell>
          <cell r="B635">
            <v>586818182</v>
          </cell>
          <cell r="C635">
            <v>-190715909</v>
          </cell>
          <cell r="D635">
            <v>396102273</v>
          </cell>
        </row>
        <row r="636">
          <cell r="A636" t="str">
            <v>B 9849 UYW</v>
          </cell>
          <cell r="B636">
            <v>586818182</v>
          </cell>
          <cell r="C636">
            <v>-190715909</v>
          </cell>
          <cell r="D636">
            <v>396102273</v>
          </cell>
        </row>
        <row r="637">
          <cell r="A637" t="str">
            <v>B 9859 UCA</v>
          </cell>
          <cell r="B637">
            <v>137990909</v>
          </cell>
          <cell r="C637">
            <v>-76769924</v>
          </cell>
          <cell r="D637">
            <v>61220985</v>
          </cell>
        </row>
        <row r="638">
          <cell r="A638" t="str">
            <v>B 9860 UCA</v>
          </cell>
          <cell r="B638">
            <v>137990909</v>
          </cell>
          <cell r="C638">
            <v>-76769924</v>
          </cell>
          <cell r="D638">
            <v>61220985</v>
          </cell>
        </row>
        <row r="639">
          <cell r="A639" t="str">
            <v>B 9861 UCA</v>
          </cell>
          <cell r="B639">
            <v>137990909</v>
          </cell>
          <cell r="C639">
            <v>-76769924</v>
          </cell>
          <cell r="D639">
            <v>61220985</v>
          </cell>
        </row>
        <row r="640">
          <cell r="A640" t="str">
            <v>B 9863 UCA</v>
          </cell>
          <cell r="B640">
            <v>137990909</v>
          </cell>
          <cell r="C640">
            <v>-76769924</v>
          </cell>
          <cell r="D640">
            <v>61220985</v>
          </cell>
        </row>
        <row r="641">
          <cell r="A641" t="str">
            <v>B 9880 SJ</v>
          </cell>
          <cell r="B641">
            <v>247500000</v>
          </cell>
          <cell r="C641">
            <v>-198000000</v>
          </cell>
          <cell r="D641">
            <v>49500000</v>
          </cell>
        </row>
        <row r="642">
          <cell r="A642" t="str">
            <v>B 9893 UT</v>
          </cell>
          <cell r="B642">
            <v>182631818</v>
          </cell>
          <cell r="C642">
            <v>-115666819</v>
          </cell>
          <cell r="D642">
            <v>66964999</v>
          </cell>
        </row>
        <row r="643">
          <cell r="A643" t="str">
            <v>B 9894 BR</v>
          </cell>
          <cell r="B643">
            <v>35526317</v>
          </cell>
          <cell r="C643">
            <v>-35526317</v>
          </cell>
          <cell r="D643">
            <v>0</v>
          </cell>
        </row>
        <row r="644">
          <cell r="A644" t="str">
            <v>B 9894 UT</v>
          </cell>
          <cell r="B644">
            <v>182631818</v>
          </cell>
          <cell r="C644">
            <v>-115666819</v>
          </cell>
          <cell r="D644">
            <v>66964999</v>
          </cell>
        </row>
        <row r="645">
          <cell r="A645" t="str">
            <v>B 9900 OJ</v>
          </cell>
          <cell r="B645">
            <v>106200000</v>
          </cell>
          <cell r="C645">
            <v>-83190000</v>
          </cell>
          <cell r="D645">
            <v>23010000</v>
          </cell>
        </row>
        <row r="646">
          <cell r="A646" t="str">
            <v>B 9901 ZJ</v>
          </cell>
          <cell r="B646">
            <v>104954545</v>
          </cell>
          <cell r="C646">
            <v>-80190153</v>
          </cell>
          <cell r="D646">
            <v>24764392</v>
          </cell>
        </row>
        <row r="647">
          <cell r="A647" t="str">
            <v>B 9902 UCA</v>
          </cell>
          <cell r="B647">
            <v>183313636</v>
          </cell>
          <cell r="C647">
            <v>-100822501</v>
          </cell>
          <cell r="D647">
            <v>82491135</v>
          </cell>
        </row>
        <row r="648">
          <cell r="A648" t="str">
            <v>B 9902 UEH</v>
          </cell>
          <cell r="B648">
            <v>727818182</v>
          </cell>
          <cell r="C648">
            <v>-345651136</v>
          </cell>
          <cell r="D648">
            <v>382167046</v>
          </cell>
        </row>
        <row r="649">
          <cell r="A649" t="str">
            <v>B 9903 UEH</v>
          </cell>
          <cell r="B649">
            <v>727818182</v>
          </cell>
          <cell r="C649">
            <v>-345651136</v>
          </cell>
          <cell r="D649">
            <v>382167046</v>
          </cell>
        </row>
        <row r="650">
          <cell r="A650" t="str">
            <v>B 9904 UCA</v>
          </cell>
          <cell r="B650">
            <v>183313636</v>
          </cell>
          <cell r="C650">
            <v>-100822501</v>
          </cell>
          <cell r="D650">
            <v>82491135</v>
          </cell>
        </row>
        <row r="651">
          <cell r="A651" t="str">
            <v>B 9904 UEH</v>
          </cell>
          <cell r="B651">
            <v>727818182</v>
          </cell>
          <cell r="C651">
            <v>-345651136</v>
          </cell>
          <cell r="D651">
            <v>382167046</v>
          </cell>
        </row>
        <row r="652">
          <cell r="A652" t="str">
            <v>B 9905 UCA</v>
          </cell>
          <cell r="B652">
            <v>183313636</v>
          </cell>
          <cell r="C652">
            <v>-100822501</v>
          </cell>
          <cell r="D652">
            <v>82491135</v>
          </cell>
        </row>
        <row r="653">
          <cell r="A653" t="str">
            <v>B 9905 UEH</v>
          </cell>
          <cell r="B653">
            <v>727818182</v>
          </cell>
          <cell r="C653">
            <v>-386085480</v>
          </cell>
          <cell r="D653">
            <v>341732702</v>
          </cell>
        </row>
        <row r="654">
          <cell r="A654" t="str">
            <v>B 9906 UCA</v>
          </cell>
          <cell r="B654">
            <v>192690909</v>
          </cell>
          <cell r="C654">
            <v>-105980000</v>
          </cell>
          <cell r="D654">
            <v>86710909</v>
          </cell>
        </row>
        <row r="655">
          <cell r="A655" t="str">
            <v>B 9906 UEH</v>
          </cell>
          <cell r="B655">
            <v>727818182</v>
          </cell>
          <cell r="C655">
            <v>-386085480</v>
          </cell>
          <cell r="D655">
            <v>341732702</v>
          </cell>
        </row>
        <row r="656">
          <cell r="A656" t="str">
            <v>B 9907 FF</v>
          </cell>
          <cell r="B656">
            <v>10000000</v>
          </cell>
          <cell r="C656">
            <v>-3500000</v>
          </cell>
          <cell r="D656">
            <v>6500000</v>
          </cell>
        </row>
        <row r="657">
          <cell r="A657" t="str">
            <v>B 9907 UCA</v>
          </cell>
          <cell r="B657">
            <v>192690909</v>
          </cell>
          <cell r="C657">
            <v>-105980000</v>
          </cell>
          <cell r="D657">
            <v>86710909</v>
          </cell>
        </row>
        <row r="658">
          <cell r="A658" t="str">
            <v>B 9907 UEH</v>
          </cell>
          <cell r="B658">
            <v>727818182</v>
          </cell>
          <cell r="C658">
            <v>-345651136</v>
          </cell>
          <cell r="D658">
            <v>382167046</v>
          </cell>
        </row>
        <row r="659">
          <cell r="A659" t="str">
            <v>B 9908 UCA</v>
          </cell>
          <cell r="B659">
            <v>192690909</v>
          </cell>
          <cell r="C659">
            <v>-105980000</v>
          </cell>
          <cell r="D659">
            <v>86710909</v>
          </cell>
        </row>
        <row r="660">
          <cell r="A660" t="str">
            <v>B 9908 UEH</v>
          </cell>
          <cell r="B660">
            <v>727818182</v>
          </cell>
          <cell r="C660">
            <v>-386085480</v>
          </cell>
          <cell r="D660">
            <v>341732702</v>
          </cell>
        </row>
        <row r="661">
          <cell r="A661" t="str">
            <v>B 9909 FF</v>
          </cell>
          <cell r="B661">
            <v>10000000</v>
          </cell>
          <cell r="C661">
            <v>-3500000</v>
          </cell>
          <cell r="D661">
            <v>6500000</v>
          </cell>
        </row>
        <row r="662">
          <cell r="A662" t="str">
            <v>B 9916 NO</v>
          </cell>
          <cell r="B662">
            <v>182950000</v>
          </cell>
          <cell r="C662">
            <v>-169593333</v>
          </cell>
          <cell r="D662">
            <v>13356667</v>
          </cell>
        </row>
        <row r="663">
          <cell r="A663" t="str">
            <v>B 9916 UEH</v>
          </cell>
          <cell r="B663">
            <v>734318182</v>
          </cell>
          <cell r="C663">
            <v>-348738636</v>
          </cell>
          <cell r="D663">
            <v>385579546</v>
          </cell>
        </row>
        <row r="664">
          <cell r="A664" t="str">
            <v>B 9917 UEH</v>
          </cell>
          <cell r="B664">
            <v>734318182</v>
          </cell>
          <cell r="C664">
            <v>-348738636</v>
          </cell>
          <cell r="D664">
            <v>385579546</v>
          </cell>
        </row>
        <row r="665">
          <cell r="A665" t="str">
            <v>B 9918 UEH</v>
          </cell>
          <cell r="B665">
            <v>734318182</v>
          </cell>
          <cell r="C665">
            <v>-389534092</v>
          </cell>
          <cell r="D665">
            <v>344784090</v>
          </cell>
        </row>
        <row r="666">
          <cell r="A666" t="str">
            <v>B 9919 UEH</v>
          </cell>
          <cell r="B666">
            <v>727818182</v>
          </cell>
          <cell r="C666">
            <v>-345651136</v>
          </cell>
          <cell r="D666">
            <v>382167046</v>
          </cell>
        </row>
        <row r="667">
          <cell r="A667" t="str">
            <v>B 9922 UCB</v>
          </cell>
          <cell r="B667">
            <v>136718182</v>
          </cell>
          <cell r="C667">
            <v>-68359090</v>
          </cell>
          <cell r="D667">
            <v>68359092</v>
          </cell>
        </row>
        <row r="668">
          <cell r="A668" t="str">
            <v>B 9939 BJ</v>
          </cell>
          <cell r="B668">
            <v>151345455</v>
          </cell>
          <cell r="C668">
            <v>-120953447</v>
          </cell>
          <cell r="D668">
            <v>30392008</v>
          </cell>
        </row>
        <row r="669">
          <cell r="A669" t="str">
            <v>B 9943 UT</v>
          </cell>
          <cell r="B669">
            <v>220726109</v>
          </cell>
          <cell r="C669">
            <v>-141398421</v>
          </cell>
          <cell r="D669">
            <v>79327688</v>
          </cell>
        </row>
        <row r="670">
          <cell r="A670" t="str">
            <v>B 9944 UT</v>
          </cell>
          <cell r="B670">
            <v>220726109</v>
          </cell>
          <cell r="C670">
            <v>-141398421</v>
          </cell>
          <cell r="D670">
            <v>79327688</v>
          </cell>
        </row>
        <row r="671">
          <cell r="A671" t="str">
            <v>B 9958 UT</v>
          </cell>
          <cell r="B671">
            <v>220726109</v>
          </cell>
          <cell r="C671">
            <v>-141398421</v>
          </cell>
          <cell r="D671">
            <v>79327688</v>
          </cell>
        </row>
        <row r="672">
          <cell r="A672" t="str">
            <v>B 9960 UT</v>
          </cell>
          <cell r="B672">
            <v>220726109</v>
          </cell>
          <cell r="C672">
            <v>-141398421</v>
          </cell>
          <cell r="D672">
            <v>79327688</v>
          </cell>
        </row>
        <row r="673">
          <cell r="A673" t="str">
            <v>B 9968 UT</v>
          </cell>
          <cell r="B673">
            <v>220726109</v>
          </cell>
          <cell r="C673">
            <v>-141398421</v>
          </cell>
          <cell r="D673">
            <v>79327688</v>
          </cell>
        </row>
        <row r="674">
          <cell r="A674" t="str">
            <v>B 9974 ZJ</v>
          </cell>
          <cell r="B674">
            <v>110985000</v>
          </cell>
          <cell r="C674">
            <v>-84905167</v>
          </cell>
          <cell r="D674">
            <v>26079833</v>
          </cell>
        </row>
        <row r="675">
          <cell r="A675" t="str">
            <v>B 9979 UDA</v>
          </cell>
          <cell r="B675">
            <v>192963636</v>
          </cell>
          <cell r="C675">
            <v>-93265759</v>
          </cell>
          <cell r="D675">
            <v>99697877</v>
          </cell>
        </row>
        <row r="676">
          <cell r="A676" t="str">
            <v>B 9995 UT</v>
          </cell>
          <cell r="B676">
            <v>182631819</v>
          </cell>
          <cell r="C676">
            <v>-115666819</v>
          </cell>
          <cell r="D676">
            <v>66965000</v>
          </cell>
        </row>
        <row r="677">
          <cell r="A677" t="str">
            <v>BUNTUT</v>
          </cell>
          <cell r="B677">
            <v>96000000</v>
          </cell>
          <cell r="C677">
            <v>-24000000</v>
          </cell>
          <cell r="D677">
            <v>72000000</v>
          </cell>
        </row>
        <row r="678">
          <cell r="A678" t="str">
            <v>CONT</v>
          </cell>
          <cell r="B678">
            <v>88220000</v>
          </cell>
          <cell r="C678">
            <v>-70576000</v>
          </cell>
          <cell r="D678">
            <v>17644000</v>
          </cell>
        </row>
        <row r="679">
          <cell r="A679" t="str">
            <v>D 8289 GL</v>
          </cell>
          <cell r="B679">
            <v>228609091</v>
          </cell>
          <cell r="C679">
            <v>-118114697</v>
          </cell>
          <cell r="D679">
            <v>110494394</v>
          </cell>
        </row>
        <row r="680">
          <cell r="A680" t="str">
            <v>D 8301 GL</v>
          </cell>
          <cell r="B680">
            <v>256995454</v>
          </cell>
          <cell r="C680">
            <v>-132780983</v>
          </cell>
          <cell r="D680">
            <v>124214471</v>
          </cell>
        </row>
        <row r="681">
          <cell r="A681" t="str">
            <v>D 8302 GL</v>
          </cell>
          <cell r="B681">
            <v>256995455</v>
          </cell>
          <cell r="C681">
            <v>-132780985</v>
          </cell>
          <cell r="D681">
            <v>124214470</v>
          </cell>
        </row>
        <row r="682">
          <cell r="A682" t="str">
            <v>D 8304 GL</v>
          </cell>
          <cell r="B682">
            <v>228609091</v>
          </cell>
          <cell r="C682">
            <v>-118114697</v>
          </cell>
          <cell r="D682">
            <v>110494394</v>
          </cell>
        </row>
        <row r="683">
          <cell r="A683" t="str">
            <v>D 8305 GL</v>
          </cell>
          <cell r="B683">
            <v>256995455</v>
          </cell>
          <cell r="C683">
            <v>-132780985</v>
          </cell>
          <cell r="D683">
            <v>124214470</v>
          </cell>
        </row>
        <row r="684">
          <cell r="A684" t="str">
            <v>D 8422 DZ</v>
          </cell>
          <cell r="B684">
            <v>229313637</v>
          </cell>
          <cell r="C684">
            <v>-122300607</v>
          </cell>
          <cell r="D684">
            <v>107013030</v>
          </cell>
        </row>
        <row r="685">
          <cell r="A685" t="str">
            <v>D 8670 DZ</v>
          </cell>
          <cell r="B685">
            <v>229313636</v>
          </cell>
          <cell r="C685">
            <v>-122300607</v>
          </cell>
          <cell r="D685">
            <v>107013029</v>
          </cell>
        </row>
        <row r="686">
          <cell r="A686" t="str">
            <v>D 8671 DZ</v>
          </cell>
          <cell r="B686">
            <v>229313636</v>
          </cell>
          <cell r="C686">
            <v>-122300607</v>
          </cell>
          <cell r="D686">
            <v>107013029</v>
          </cell>
        </row>
        <row r="687">
          <cell r="A687" t="str">
            <v>D 8672 DZ</v>
          </cell>
          <cell r="B687">
            <v>254831818</v>
          </cell>
          <cell r="C687">
            <v>-147922727</v>
          </cell>
          <cell r="D687">
            <v>106909091</v>
          </cell>
        </row>
        <row r="688">
          <cell r="A688" t="str">
            <v>D 8673 DZ</v>
          </cell>
          <cell r="B688">
            <v>254831818</v>
          </cell>
          <cell r="C688">
            <v>-147922727</v>
          </cell>
          <cell r="D688">
            <v>106909091</v>
          </cell>
        </row>
        <row r="689">
          <cell r="A689" t="str">
            <v>D 8674 DZ</v>
          </cell>
          <cell r="B689">
            <v>254831818</v>
          </cell>
          <cell r="C689">
            <v>-147922727</v>
          </cell>
          <cell r="D689">
            <v>106909091</v>
          </cell>
        </row>
        <row r="690">
          <cell r="A690" t="str">
            <v>D 8969 DZ</v>
          </cell>
          <cell r="B690">
            <v>226722727</v>
          </cell>
          <cell r="C690">
            <v>-131584092</v>
          </cell>
          <cell r="D690">
            <v>95138635</v>
          </cell>
        </row>
        <row r="691">
          <cell r="A691" t="str">
            <v>D 8970 DZ</v>
          </cell>
          <cell r="B691">
            <v>254831818</v>
          </cell>
          <cell r="C691">
            <v>-147922727</v>
          </cell>
          <cell r="D691">
            <v>106909091</v>
          </cell>
        </row>
        <row r="692">
          <cell r="A692" t="str">
            <v>D 8971 DZ</v>
          </cell>
          <cell r="B692">
            <v>226722727</v>
          </cell>
          <cell r="C692">
            <v>-131584092</v>
          </cell>
          <cell r="D692">
            <v>95138635</v>
          </cell>
        </row>
        <row r="693">
          <cell r="A693" t="str">
            <v>DK 9515 AN</v>
          </cell>
          <cell r="B693">
            <v>265286363</v>
          </cell>
          <cell r="C693">
            <v>-137064620</v>
          </cell>
          <cell r="D693">
            <v>128221743</v>
          </cell>
        </row>
        <row r="694">
          <cell r="A694" t="str">
            <v>DK 9516 AN</v>
          </cell>
          <cell r="B694">
            <v>265286363</v>
          </cell>
          <cell r="C694">
            <v>-137064620</v>
          </cell>
          <cell r="D694">
            <v>128221743</v>
          </cell>
        </row>
        <row r="695">
          <cell r="A695" t="str">
            <v>DK 9517 AN</v>
          </cell>
          <cell r="B695">
            <v>265286363</v>
          </cell>
          <cell r="C695">
            <v>-137064620</v>
          </cell>
          <cell r="D695">
            <v>128221743</v>
          </cell>
        </row>
        <row r="696">
          <cell r="A696" t="str">
            <v>DK 9520 JE</v>
          </cell>
          <cell r="B696">
            <v>232502727</v>
          </cell>
          <cell r="C696">
            <v>-131761319</v>
          </cell>
          <cell r="D696">
            <v>100741408</v>
          </cell>
        </row>
        <row r="697">
          <cell r="A697" t="str">
            <v>DK 9521 JE</v>
          </cell>
          <cell r="B697">
            <v>226722727</v>
          </cell>
          <cell r="C697">
            <v>-130171819</v>
          </cell>
          <cell r="D697">
            <v>96550908</v>
          </cell>
        </row>
        <row r="698">
          <cell r="A698" t="str">
            <v>DK 9544 JE</v>
          </cell>
          <cell r="B698">
            <v>226950000</v>
          </cell>
          <cell r="C698">
            <v>-128605000</v>
          </cell>
          <cell r="D698">
            <v>98345000</v>
          </cell>
        </row>
        <row r="699">
          <cell r="A699" t="str">
            <v>DK 9581 AQ</v>
          </cell>
          <cell r="B699">
            <v>232377273</v>
          </cell>
          <cell r="C699">
            <v>-102392045</v>
          </cell>
          <cell r="D699">
            <v>129985228</v>
          </cell>
        </row>
        <row r="700">
          <cell r="A700" t="str">
            <v>DK 9582 AQ</v>
          </cell>
          <cell r="B700">
            <v>232377272</v>
          </cell>
          <cell r="C700">
            <v>-102392045</v>
          </cell>
          <cell r="D700">
            <v>129985227</v>
          </cell>
        </row>
        <row r="701">
          <cell r="A701" t="str">
            <v>DK 9682 DQ</v>
          </cell>
          <cell r="B701">
            <v>158922727</v>
          </cell>
          <cell r="C701">
            <v>-70040871</v>
          </cell>
          <cell r="D701">
            <v>88881856</v>
          </cell>
        </row>
        <row r="702">
          <cell r="A702" t="str">
            <v>DK 9771 XA</v>
          </cell>
          <cell r="B702">
            <v>139136364</v>
          </cell>
          <cell r="C702">
            <v>-74206060</v>
          </cell>
          <cell r="D702">
            <v>64930304</v>
          </cell>
        </row>
        <row r="703">
          <cell r="A703" t="str">
            <v>E 8281 KJ</v>
          </cell>
          <cell r="B703">
            <v>221677272</v>
          </cell>
          <cell r="C703">
            <v>-118227878</v>
          </cell>
          <cell r="D703">
            <v>103449394</v>
          </cell>
        </row>
        <row r="704">
          <cell r="A704" t="str">
            <v>E 8283 KJ</v>
          </cell>
          <cell r="B704">
            <v>221677272</v>
          </cell>
          <cell r="C704">
            <v>-118227878</v>
          </cell>
          <cell r="D704">
            <v>103449394</v>
          </cell>
        </row>
        <row r="705">
          <cell r="A705" t="str">
            <v>E 8284 KJ</v>
          </cell>
          <cell r="B705">
            <v>192727272</v>
          </cell>
          <cell r="C705">
            <v>-102787878</v>
          </cell>
          <cell r="D705">
            <v>89939394</v>
          </cell>
        </row>
        <row r="706">
          <cell r="A706" t="str">
            <v>E 8285 KJ</v>
          </cell>
          <cell r="B706">
            <v>221677272</v>
          </cell>
          <cell r="C706">
            <v>-118227878</v>
          </cell>
          <cell r="D706">
            <v>103449394</v>
          </cell>
        </row>
        <row r="707">
          <cell r="A707" t="str">
            <v>E 8291 KJ</v>
          </cell>
          <cell r="B707">
            <v>192727272</v>
          </cell>
          <cell r="C707">
            <v>-102787878</v>
          </cell>
          <cell r="D707">
            <v>89939394</v>
          </cell>
        </row>
        <row r="708">
          <cell r="A708" t="str">
            <v>E 8292 KJ</v>
          </cell>
          <cell r="B708">
            <v>192727272</v>
          </cell>
          <cell r="C708">
            <v>-102787878</v>
          </cell>
          <cell r="D708">
            <v>89939394</v>
          </cell>
        </row>
        <row r="709">
          <cell r="A709" t="str">
            <v>E 8398 KJ</v>
          </cell>
          <cell r="B709">
            <v>227213636</v>
          </cell>
          <cell r="C709">
            <v>-121180607</v>
          </cell>
          <cell r="D709">
            <v>106033029</v>
          </cell>
        </row>
        <row r="710">
          <cell r="A710" t="str">
            <v>E 8399 KJ</v>
          </cell>
          <cell r="B710">
            <v>227213636</v>
          </cell>
          <cell r="C710">
            <v>-121180607</v>
          </cell>
          <cell r="D710">
            <v>106033029</v>
          </cell>
        </row>
        <row r="711">
          <cell r="A711" t="str">
            <v>E 8401 KJ</v>
          </cell>
          <cell r="B711">
            <v>227213636</v>
          </cell>
          <cell r="C711">
            <v>-121180607</v>
          </cell>
          <cell r="D711">
            <v>106033029</v>
          </cell>
        </row>
        <row r="712">
          <cell r="A712" t="str">
            <v>E 8402 KJ</v>
          </cell>
          <cell r="B712">
            <v>227213636</v>
          </cell>
          <cell r="C712">
            <v>-121180607</v>
          </cell>
          <cell r="D712">
            <v>106033029</v>
          </cell>
        </row>
        <row r="713">
          <cell r="A713" t="str">
            <v>E 8403 KJ</v>
          </cell>
          <cell r="B713">
            <v>227213636</v>
          </cell>
          <cell r="C713">
            <v>-121180607</v>
          </cell>
          <cell r="D713">
            <v>106033029</v>
          </cell>
        </row>
        <row r="714">
          <cell r="A714" t="str">
            <v>E 8405 KJ</v>
          </cell>
          <cell r="B714">
            <v>227213636</v>
          </cell>
          <cell r="C714">
            <v>-121180607</v>
          </cell>
          <cell r="D714">
            <v>106033029</v>
          </cell>
        </row>
        <row r="715">
          <cell r="A715" t="str">
            <v>E 8482 KJ</v>
          </cell>
          <cell r="B715">
            <v>226422727</v>
          </cell>
          <cell r="C715">
            <v>-118871933</v>
          </cell>
          <cell r="D715">
            <v>107550794</v>
          </cell>
        </row>
        <row r="716">
          <cell r="A716" t="str">
            <v>E 8483 KJ</v>
          </cell>
          <cell r="B716">
            <v>226422728</v>
          </cell>
          <cell r="C716">
            <v>-118871933</v>
          </cell>
          <cell r="D716">
            <v>107550795</v>
          </cell>
        </row>
        <row r="717">
          <cell r="A717" t="str">
            <v>E 8485 KJ</v>
          </cell>
          <cell r="B717">
            <v>226422727</v>
          </cell>
          <cell r="C717">
            <v>-118871933</v>
          </cell>
          <cell r="D717">
            <v>107550794</v>
          </cell>
        </row>
        <row r="718">
          <cell r="A718" t="str">
            <v>E 8486 KJ</v>
          </cell>
          <cell r="B718">
            <v>226422727</v>
          </cell>
          <cell r="C718">
            <v>-118871933</v>
          </cell>
          <cell r="D718">
            <v>107550794</v>
          </cell>
        </row>
        <row r="719">
          <cell r="A719" t="str">
            <v>E 8502 KJ</v>
          </cell>
          <cell r="B719">
            <v>226304545</v>
          </cell>
          <cell r="C719">
            <v>-118809888</v>
          </cell>
          <cell r="D719">
            <v>107494657</v>
          </cell>
        </row>
        <row r="720">
          <cell r="A720" t="str">
            <v>E 8503 KJ</v>
          </cell>
          <cell r="B720">
            <v>226304545</v>
          </cell>
          <cell r="C720">
            <v>-118809888</v>
          </cell>
          <cell r="D720">
            <v>107494657</v>
          </cell>
        </row>
        <row r="721">
          <cell r="A721" t="str">
            <v>E 8504 KJ</v>
          </cell>
          <cell r="B721">
            <v>226304545</v>
          </cell>
          <cell r="C721">
            <v>-118809888</v>
          </cell>
          <cell r="D721">
            <v>107494657</v>
          </cell>
        </row>
        <row r="722">
          <cell r="A722" t="str">
            <v>E 8505 KJ</v>
          </cell>
          <cell r="B722">
            <v>226304545</v>
          </cell>
          <cell r="C722">
            <v>-118809888</v>
          </cell>
          <cell r="D722">
            <v>107494657</v>
          </cell>
        </row>
        <row r="723">
          <cell r="A723" t="str">
            <v>E 8506 KJ</v>
          </cell>
          <cell r="B723">
            <v>226304545</v>
          </cell>
          <cell r="C723">
            <v>-118809888</v>
          </cell>
          <cell r="D723">
            <v>107494657</v>
          </cell>
        </row>
        <row r="724">
          <cell r="A724" t="str">
            <v>FLAT</v>
          </cell>
          <cell r="B724">
            <v>110000000</v>
          </cell>
          <cell r="C724">
            <v>-88000000</v>
          </cell>
          <cell r="D724">
            <v>22000000</v>
          </cell>
        </row>
        <row r="725">
          <cell r="A725" t="str">
            <v>FLAT BED</v>
          </cell>
          <cell r="B725">
            <v>69000000</v>
          </cell>
          <cell r="C725">
            <v>-17250000</v>
          </cell>
          <cell r="D725">
            <v>51750000</v>
          </cell>
        </row>
        <row r="726">
          <cell r="A726" t="str">
            <v>FLAT BED ENG</v>
          </cell>
          <cell r="B726">
            <v>36000000</v>
          </cell>
          <cell r="C726">
            <v>-28800000</v>
          </cell>
          <cell r="D726">
            <v>7200000</v>
          </cell>
        </row>
        <row r="727">
          <cell r="A727" t="str">
            <v>FLAT BED TRA</v>
          </cell>
          <cell r="B727">
            <v>100000000</v>
          </cell>
          <cell r="C727">
            <v>-80000000</v>
          </cell>
          <cell r="D727">
            <v>20000000</v>
          </cell>
        </row>
        <row r="728">
          <cell r="A728" t="str">
            <v>KAAROSERI</v>
          </cell>
          <cell r="B728">
            <v>92750000</v>
          </cell>
          <cell r="C728">
            <v>-74200000</v>
          </cell>
          <cell r="D728">
            <v>18550000</v>
          </cell>
        </row>
        <row r="729">
          <cell r="A729" t="str">
            <v>L 8217 RG</v>
          </cell>
          <cell r="B729">
            <v>110000000</v>
          </cell>
          <cell r="C729">
            <v>-71500000</v>
          </cell>
          <cell r="D729">
            <v>38500000</v>
          </cell>
        </row>
        <row r="730">
          <cell r="A730" t="str">
            <v>N 8482 GC</v>
          </cell>
          <cell r="B730">
            <v>262786364</v>
          </cell>
          <cell r="C730">
            <v>-135772955</v>
          </cell>
          <cell r="D730">
            <v>127013409</v>
          </cell>
        </row>
        <row r="731">
          <cell r="A731" t="str">
            <v>N 8483 GC</v>
          </cell>
          <cell r="B731">
            <v>262786363</v>
          </cell>
          <cell r="C731">
            <v>-135772954</v>
          </cell>
          <cell r="D731">
            <v>127013409</v>
          </cell>
        </row>
        <row r="732">
          <cell r="A732" t="str">
            <v>N 8485 GC</v>
          </cell>
          <cell r="B732">
            <v>262786364</v>
          </cell>
          <cell r="C732">
            <v>-135772955</v>
          </cell>
          <cell r="D732">
            <v>127013409</v>
          </cell>
        </row>
        <row r="733">
          <cell r="A733" t="str">
            <v>N 8486 GC</v>
          </cell>
          <cell r="B733">
            <v>262786363</v>
          </cell>
          <cell r="C733">
            <v>-135772954</v>
          </cell>
          <cell r="D733">
            <v>127013409</v>
          </cell>
        </row>
        <row r="734">
          <cell r="A734" t="str">
            <v>N 8487 GC</v>
          </cell>
          <cell r="B734">
            <v>262786364</v>
          </cell>
          <cell r="C734">
            <v>-135772955</v>
          </cell>
          <cell r="D734">
            <v>127013409</v>
          </cell>
        </row>
        <row r="735">
          <cell r="A735" t="str">
            <v>N 8488 GC</v>
          </cell>
          <cell r="B735">
            <v>262786364</v>
          </cell>
          <cell r="C735">
            <v>-135772955</v>
          </cell>
          <cell r="D735">
            <v>127013409</v>
          </cell>
        </row>
        <row r="736">
          <cell r="A736" t="str">
            <v>RAPP BUATAN</v>
          </cell>
          <cell r="B736">
            <v>420000000</v>
          </cell>
          <cell r="C736">
            <v>-199500000</v>
          </cell>
          <cell r="D736">
            <v>220500000</v>
          </cell>
        </row>
        <row r="737">
          <cell r="A737" t="str">
            <v>SAMPOERNA</v>
          </cell>
          <cell r="B737">
            <v>130000000</v>
          </cell>
          <cell r="C737">
            <v>-94520834</v>
          </cell>
          <cell r="D737">
            <v>35479166</v>
          </cell>
        </row>
        <row r="738">
          <cell r="A738" t="str">
            <v>SAMPOERNA (B</v>
          </cell>
          <cell r="B738">
            <v>48000000</v>
          </cell>
          <cell r="C738">
            <v>-27600000</v>
          </cell>
          <cell r="D738">
            <v>20400000</v>
          </cell>
        </row>
        <row r="739">
          <cell r="A739" t="str">
            <v>SM-0001BP04A</v>
          </cell>
          <cell r="B739">
            <v>14700000</v>
          </cell>
          <cell r="C739">
            <v>-14700000</v>
          </cell>
          <cell r="D739">
            <v>0</v>
          </cell>
        </row>
        <row r="740">
          <cell r="A740" t="str">
            <v>SM-0001BP04B</v>
          </cell>
          <cell r="B740">
            <v>14700000</v>
          </cell>
          <cell r="C740">
            <v>-14700000</v>
          </cell>
          <cell r="D740">
            <v>0</v>
          </cell>
        </row>
        <row r="741">
          <cell r="A741" t="str">
            <v>SM-0001BP11</v>
          </cell>
          <cell r="B741">
            <v>4300000</v>
          </cell>
          <cell r="C741">
            <v>-3139000</v>
          </cell>
          <cell r="D741">
            <v>1161000</v>
          </cell>
        </row>
        <row r="742">
          <cell r="A742" t="str">
            <v>SM-0002BP03</v>
          </cell>
          <cell r="B742">
            <v>13474365</v>
          </cell>
          <cell r="C742">
            <v>-13474365</v>
          </cell>
          <cell r="D742">
            <v>0</v>
          </cell>
        </row>
        <row r="743">
          <cell r="A743" t="str">
            <v>SM-0003BP03</v>
          </cell>
          <cell r="B743">
            <v>2272727</v>
          </cell>
          <cell r="C743">
            <v>-2272727</v>
          </cell>
          <cell r="D743">
            <v>0</v>
          </cell>
        </row>
        <row r="744">
          <cell r="A744" t="str">
            <v>SM-0011BP03</v>
          </cell>
          <cell r="B744">
            <v>2272727</v>
          </cell>
          <cell r="C744">
            <v>-2272727</v>
          </cell>
          <cell r="D744">
            <v>0</v>
          </cell>
        </row>
        <row r="745">
          <cell r="A745" t="str">
            <v>ULTRA (BUNTU</v>
          </cell>
          <cell r="B745">
            <v>48000000</v>
          </cell>
          <cell r="C745">
            <v>-27600000</v>
          </cell>
          <cell r="D745">
            <v>20400000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0-Cover"/>
      <sheetName val="Ratio"/>
      <sheetName val="FS"/>
      <sheetName val="CashFlow"/>
      <sheetName val="RJE"/>
      <sheetName val="AJE"/>
      <sheetName val="audited BS"/>
      <sheetName val="audited PL"/>
      <sheetName val="audited detailPL"/>
      <sheetName val="procedure"/>
      <sheetName val="TB"/>
      <sheetName val="BS"/>
      <sheetName val="PL"/>
    </sheetNames>
    <sheetDataSet>
      <sheetData sheetId="0"/>
      <sheetData sheetId="1"/>
      <sheetData sheetId="2" refreshError="1">
        <row r="1">
          <cell r="B1" t="str">
            <v>Client  : I-Perfect Investment Pte Ltd</v>
          </cell>
        </row>
        <row r="2">
          <cell r="B2" t="str">
            <v>(Incorporated in the Republic of Singapore)</v>
          </cell>
        </row>
        <row r="4">
          <cell r="B4" t="str">
            <v>INCOME STATEMENT FOR THE FINANCIAL PERIOD ENDED 30 June 2006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</row>
        <row r="8">
          <cell r="D8" t="str">
            <v>WP REF</v>
          </cell>
          <cell r="F8">
            <v>2006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>
            <v>2006</v>
          </cell>
        </row>
        <row r="9">
          <cell r="F9" t="str">
            <v>US$</v>
          </cell>
          <cell r="G9" t="str">
            <v>US$</v>
          </cell>
          <cell r="H9" t="str">
            <v>US$</v>
          </cell>
          <cell r="I9" t="str">
            <v>US$</v>
          </cell>
          <cell r="J9" t="str">
            <v>US$</v>
          </cell>
          <cell r="K9" t="str">
            <v>US$</v>
          </cell>
        </row>
        <row r="11">
          <cell r="A11">
            <v>10000</v>
          </cell>
          <cell r="B11" t="str">
            <v>Turnover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3">
          <cell r="A13">
            <v>20000</v>
          </cell>
          <cell r="B13" t="str">
            <v>Cost of sales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5">
          <cell r="A15" t="str">
            <v>GP</v>
          </cell>
          <cell r="B15" t="str">
            <v>Gross profit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7">
          <cell r="A17">
            <v>30000</v>
          </cell>
          <cell r="B17" t="str">
            <v>Other operating income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9">
          <cell r="A19">
            <v>40000</v>
          </cell>
          <cell r="B19" t="str">
            <v>Administrative expenses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1">
          <cell r="A21">
            <v>50000</v>
          </cell>
          <cell r="B21" t="str">
            <v>Other operating expenses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3">
          <cell r="A23">
            <v>60000</v>
          </cell>
          <cell r="B23" t="str">
            <v>Finance costs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5">
          <cell r="A25" t="str">
            <v>PBT</v>
          </cell>
          <cell r="B25" t="str">
            <v>(Loss)/Profit for the year before taxation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7">
          <cell r="A27">
            <v>70000</v>
          </cell>
          <cell r="B27" t="str">
            <v>Taxation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9">
          <cell r="A29" t="str">
            <v>PAT</v>
          </cell>
          <cell r="B29" t="str">
            <v>(Loss)/Profit for the year after taxation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G30" t="str">
            <v>total AJE in Dr</v>
          </cell>
          <cell r="H30" t="str">
            <v>total AJE in Cr</v>
          </cell>
          <cell r="I30" t="str">
            <v>total RJE in Dr</v>
          </cell>
          <cell r="J30" t="str">
            <v>total RJE in Cr</v>
          </cell>
          <cell r="K30">
            <v>0</v>
          </cell>
        </row>
        <row r="34">
          <cell r="B34" t="str">
            <v>Client  : I-Perfect Investment Pte Ltd</v>
          </cell>
        </row>
        <row r="35">
          <cell r="B35" t="str">
            <v>(Incorporated in the Republic of Singapore)</v>
          </cell>
        </row>
        <row r="37">
          <cell r="B37" t="str">
            <v>BALANCE SHEET AS AT 30 June 2006</v>
          </cell>
        </row>
        <row r="38">
          <cell r="F38" t="str">
            <v>unaudited</v>
          </cell>
          <cell r="G38" t="str">
            <v>Audit Adjustment (AJE)</v>
          </cell>
          <cell r="I38" t="str">
            <v>Reclassification (RJE)</v>
          </cell>
          <cell r="K38" t="str">
            <v>audited</v>
          </cell>
        </row>
        <row r="39">
          <cell r="D39" t="str">
            <v>WP REF</v>
          </cell>
          <cell r="F39">
            <v>2006</v>
          </cell>
          <cell r="G39" t="str">
            <v>DR</v>
          </cell>
          <cell r="H39" t="str">
            <v>CR</v>
          </cell>
          <cell r="I39" t="str">
            <v>DR</v>
          </cell>
          <cell r="J39" t="str">
            <v>CR</v>
          </cell>
          <cell r="K39">
            <v>2006</v>
          </cell>
        </row>
        <row r="40">
          <cell r="F40" t="str">
            <v>US$</v>
          </cell>
          <cell r="G40" t="str">
            <v>US$</v>
          </cell>
          <cell r="H40" t="str">
            <v>US$</v>
          </cell>
          <cell r="I40" t="str">
            <v>US$</v>
          </cell>
          <cell r="J40" t="str">
            <v>US$</v>
          </cell>
          <cell r="K40" t="str">
            <v>US$</v>
          </cell>
        </row>
        <row r="41">
          <cell r="B41" t="str">
            <v>ASSETS</v>
          </cell>
        </row>
        <row r="42">
          <cell r="B42" t="str">
            <v>Non-current assets</v>
          </cell>
          <cell r="G42">
            <v>0</v>
          </cell>
          <cell r="K42">
            <v>0</v>
          </cell>
        </row>
        <row r="43">
          <cell r="A43">
            <v>1000</v>
          </cell>
          <cell r="B43" t="str">
            <v xml:space="preserve">    Plant and equipment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1001</v>
          </cell>
          <cell r="B44" t="str">
            <v xml:space="preserve">    Investments</v>
          </cell>
          <cell r="D44" t="str">
            <v>H1</v>
          </cell>
          <cell r="F44">
            <v>250193</v>
          </cell>
          <cell r="K44">
            <v>250193</v>
          </cell>
        </row>
        <row r="45">
          <cell r="A45">
            <v>1002</v>
          </cell>
          <cell r="B45" t="str">
            <v xml:space="preserve">    Investment in subsidiaries companies</v>
          </cell>
          <cell r="D45" t="str">
            <v>H3</v>
          </cell>
          <cell r="F45">
            <v>0</v>
          </cell>
          <cell r="K45">
            <v>0</v>
          </cell>
        </row>
        <row r="46">
          <cell r="A46">
            <v>1003</v>
          </cell>
          <cell r="B46" t="str">
            <v xml:space="preserve">    Investment in associated company</v>
          </cell>
          <cell r="F46">
            <v>0</v>
          </cell>
          <cell r="K46">
            <v>0</v>
          </cell>
        </row>
        <row r="47">
          <cell r="A47">
            <v>1004</v>
          </cell>
          <cell r="B47" t="str">
            <v xml:space="preserve">    Goodwill on consolidation  </v>
          </cell>
          <cell r="F47">
            <v>0</v>
          </cell>
          <cell r="K47">
            <v>0</v>
          </cell>
        </row>
        <row r="48">
          <cell r="F48">
            <v>250193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250193</v>
          </cell>
        </row>
        <row r="49"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Current assets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2000</v>
          </cell>
          <cell r="B51" t="str">
            <v xml:space="preserve">    Other receivables,deposits and prepayment</v>
          </cell>
          <cell r="D51" t="str">
            <v>M2</v>
          </cell>
          <cell r="F51">
            <v>550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550</v>
          </cell>
        </row>
        <row r="52">
          <cell r="A52">
            <v>2100</v>
          </cell>
          <cell r="B52" t="str">
            <v xml:space="preserve">    Amount due from ultimate holding company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2200</v>
          </cell>
          <cell r="B53" t="str">
            <v xml:space="preserve">    Amount due from intermediate holding company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2300</v>
          </cell>
          <cell r="B54" t="str">
            <v xml:space="preserve">    Amount due from an associated company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2400</v>
          </cell>
          <cell r="B55" t="str">
            <v xml:space="preserve">    Amount due from subsidiaries companies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2500</v>
          </cell>
          <cell r="B56" t="str">
            <v xml:space="preserve">    Cash and bank balances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K57">
            <v>0</v>
          </cell>
        </row>
        <row r="58">
          <cell r="A58" t="str">
            <v>CA</v>
          </cell>
          <cell r="B58" t="str">
            <v>Total current assets</v>
          </cell>
          <cell r="F58">
            <v>550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550</v>
          </cell>
        </row>
        <row r="59">
          <cell r="K59">
            <v>0</v>
          </cell>
        </row>
        <row r="60">
          <cell r="A60" t="str">
            <v>TA</v>
          </cell>
          <cell r="B60" t="str">
            <v>TOTAL ASSETS</v>
          </cell>
          <cell r="F60">
            <v>250743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250743</v>
          </cell>
        </row>
        <row r="61">
          <cell r="K61">
            <v>0</v>
          </cell>
        </row>
        <row r="62">
          <cell r="B62" t="str">
            <v>EQUITY AND LIABILITIES</v>
          </cell>
          <cell r="K62">
            <v>0</v>
          </cell>
        </row>
        <row r="63">
          <cell r="B63" t="str">
            <v>Capital and reserves</v>
          </cell>
          <cell r="K63">
            <v>0</v>
          </cell>
        </row>
        <row r="64">
          <cell r="A64">
            <v>6000</v>
          </cell>
          <cell r="B64" t="str">
            <v xml:space="preserve">    Share capital</v>
          </cell>
          <cell r="D64" t="str">
            <v>E1</v>
          </cell>
          <cell r="F64">
            <v>1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</v>
          </cell>
        </row>
        <row r="65">
          <cell r="A65">
            <v>6100</v>
          </cell>
          <cell r="B65" t="str">
            <v xml:space="preserve">     Reserves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6101</v>
          </cell>
          <cell r="C66" t="str">
            <v>RETAINED EARNINGS</v>
          </cell>
          <cell r="F66">
            <v>-586763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-586763</v>
          </cell>
        </row>
        <row r="67">
          <cell r="A67">
            <v>6102</v>
          </cell>
          <cell r="C67" t="str">
            <v>PROFIT (LOSS) FOR THE PERIOD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6200</v>
          </cell>
          <cell r="B68" t="str">
            <v xml:space="preserve">    Accumulated Profit / loss</v>
          </cell>
          <cell r="F68">
            <v>-586763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-586763</v>
          </cell>
        </row>
        <row r="69">
          <cell r="A69" t="str">
            <v>TEQ</v>
          </cell>
          <cell r="B69" t="str">
            <v>TOTAL EQUITY</v>
          </cell>
          <cell r="F69">
            <v>-586762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-586762</v>
          </cell>
        </row>
        <row r="70">
          <cell r="B70" t="str">
            <v>Non-current liabilities</v>
          </cell>
          <cell r="K70">
            <v>0</v>
          </cell>
        </row>
        <row r="71">
          <cell r="A71">
            <v>4000</v>
          </cell>
          <cell r="B71" t="str">
            <v xml:space="preserve">    Deferred tax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4101</v>
          </cell>
          <cell r="B72" t="str">
            <v xml:space="preserve">    Hire Purchase creditors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 t="str">
            <v>LTL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Current liabilities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3000</v>
          </cell>
          <cell r="B75" t="str">
            <v xml:space="preserve">    Other payables and accruals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3100</v>
          </cell>
          <cell r="B76" t="str">
            <v xml:space="preserve">    Amount due to immediate holding companies</v>
          </cell>
          <cell r="D76" t="str">
            <v>K1</v>
          </cell>
          <cell r="F76">
            <v>837505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837505</v>
          </cell>
        </row>
        <row r="77">
          <cell r="A77">
            <v>4102</v>
          </cell>
          <cell r="B77" t="str">
            <v xml:space="preserve">    Amount due to ultimate holding company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5300</v>
          </cell>
          <cell r="B78" t="str">
            <v xml:space="preserve">    Amount due to shareholders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5000</v>
          </cell>
          <cell r="B79" t="str">
            <v xml:space="preserve">    Amount due to intermediate holding company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3200</v>
          </cell>
          <cell r="B80" t="str">
            <v xml:space="preserve">     Provision for taxation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K81">
            <v>0</v>
          </cell>
        </row>
        <row r="82">
          <cell r="A82" t="str">
            <v>CL</v>
          </cell>
          <cell r="B82" t="str">
            <v>Total Current liabilities</v>
          </cell>
          <cell r="F82">
            <v>837505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837505</v>
          </cell>
        </row>
        <row r="84">
          <cell r="B84" t="str">
            <v>TOTAL EQUITY AND LIABILITIES</v>
          </cell>
          <cell r="F84">
            <v>250743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250743</v>
          </cell>
        </row>
        <row r="85">
          <cell r="C85" t="str">
            <v>Test check</v>
          </cell>
          <cell r="F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K86">
            <v>0</v>
          </cell>
        </row>
        <row r="87">
          <cell r="C87" t="str">
            <v>Client  : I-Perfect Investment Pte Ltd</v>
          </cell>
        </row>
        <row r="88">
          <cell r="C88" t="str">
            <v>(Incorporated in the Republic of Singapore)</v>
          </cell>
          <cell r="K88">
            <v>0</v>
          </cell>
        </row>
        <row r="89">
          <cell r="K89">
            <v>0</v>
          </cell>
        </row>
        <row r="90">
          <cell r="C90" t="str">
            <v>DETAILED TRADING, PROFIT &amp; LOSS ACCOUNT FOR THE FINANCIAL YEAR ENDED 30 June 2006</v>
          </cell>
          <cell r="K90">
            <v>0</v>
          </cell>
        </row>
        <row r="91">
          <cell r="K91">
            <v>0</v>
          </cell>
        </row>
        <row r="93">
          <cell r="F93" t="str">
            <v>unaudited</v>
          </cell>
          <cell r="G93" t="str">
            <v>Audit Adjustment (AJE)</v>
          </cell>
          <cell r="I93" t="str">
            <v>Reclassification (RJE)</v>
          </cell>
          <cell r="K93" t="str">
            <v>audited</v>
          </cell>
        </row>
        <row r="94">
          <cell r="D94" t="str">
            <v>WP REF</v>
          </cell>
          <cell r="F94">
            <v>2006</v>
          </cell>
          <cell r="G94" t="str">
            <v>DR</v>
          </cell>
          <cell r="H94" t="str">
            <v>CR</v>
          </cell>
          <cell r="I94" t="str">
            <v>DR</v>
          </cell>
          <cell r="J94" t="str">
            <v>CR</v>
          </cell>
          <cell r="K94">
            <v>2006</v>
          </cell>
        </row>
        <row r="95">
          <cell r="F95" t="str">
            <v>US$</v>
          </cell>
          <cell r="G95" t="str">
            <v>US$</v>
          </cell>
          <cell r="H95" t="str">
            <v>US$</v>
          </cell>
          <cell r="I95" t="str">
            <v>US$</v>
          </cell>
          <cell r="J95" t="str">
            <v>US$</v>
          </cell>
          <cell r="K95" t="str">
            <v>US$</v>
          </cell>
        </row>
        <row r="96">
          <cell r="A96">
            <v>10000</v>
          </cell>
          <cell r="B96" t="str">
            <v>SALES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8">
          <cell r="B98" t="str">
            <v>Less Cost of sales</v>
          </cell>
        </row>
        <row r="99">
          <cell r="A99">
            <v>21000</v>
          </cell>
          <cell r="B99" t="str">
            <v>Cost of sales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22000</v>
          </cell>
          <cell r="B100" t="str">
            <v>Freight and handling charges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23000</v>
          </cell>
          <cell r="B101" t="str">
            <v>Warehouse fee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A102">
            <v>20000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GROSS PROFIT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OTHER OPERATING INCOME</v>
          </cell>
          <cell r="K104">
            <v>0</v>
          </cell>
        </row>
        <row r="105">
          <cell r="A105">
            <v>30001</v>
          </cell>
          <cell r="B105" t="str">
            <v xml:space="preserve">    Reversal of accrued expenses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30002</v>
          </cell>
          <cell r="B106" t="str">
            <v xml:space="preserve">    Exchange gain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30003</v>
          </cell>
          <cell r="B107" t="str">
            <v xml:space="preserve">    Interest income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30004</v>
          </cell>
          <cell r="B108" t="str">
            <v xml:space="preserve">    Gain on disposal of subsidiaries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A109">
            <v>30005</v>
          </cell>
          <cell r="B109" t="str">
            <v xml:space="preserve">    Dividend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A110">
            <v>30006</v>
          </cell>
          <cell r="B110" t="str">
            <v xml:space="preserve">    Other income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30000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ADMINISTRATIVE EXPENSES</v>
          </cell>
        </row>
        <row r="114">
          <cell r="A114">
            <v>40001</v>
          </cell>
          <cell r="B114" t="str">
            <v xml:space="preserve">    Accountancy fee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40002</v>
          </cell>
          <cell r="B115" t="str">
            <v xml:space="preserve">    Advertisement 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40003</v>
          </cell>
          <cell r="B116" t="str">
            <v xml:space="preserve">    Auditors’ remuneration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A117">
            <v>40004</v>
          </cell>
          <cell r="B117" t="str">
            <v xml:space="preserve">    Depreciation 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A118">
            <v>40005</v>
          </cell>
          <cell r="B118" t="str">
            <v xml:space="preserve">    Director’s remuneration 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A119">
            <v>40006</v>
          </cell>
          <cell r="B119" t="str">
            <v xml:space="preserve">    Director’s emolument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A120">
            <v>40007</v>
          </cell>
          <cell r="B120" t="str">
            <v xml:space="preserve">    Exchange difference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A121">
            <v>40008</v>
          </cell>
          <cell r="B121" t="str">
            <v xml:space="preserve">    Entertainment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40009</v>
          </cell>
          <cell r="B122" t="str">
            <v xml:space="preserve">    General expenses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A123">
            <v>40010</v>
          </cell>
          <cell r="B123" t="str">
            <v xml:space="preserve">    Insurance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A124">
            <v>40011</v>
          </cell>
          <cell r="B124" t="str">
            <v xml:space="preserve">    Medical expenses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40012</v>
          </cell>
          <cell r="B125" t="str">
            <v xml:space="preserve">    Office rental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A126">
            <v>40013</v>
          </cell>
          <cell r="B126" t="str">
            <v xml:space="preserve">    Postage and courier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A127">
            <v>40014</v>
          </cell>
          <cell r="B127" t="str">
            <v xml:space="preserve">    Printing and stationery 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A128">
            <v>40015</v>
          </cell>
          <cell r="B128" t="str">
            <v xml:space="preserve">    Professional fees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A129">
            <v>40016</v>
          </cell>
          <cell r="B129" t="str">
            <v xml:space="preserve">    Repair and maintenance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40017</v>
          </cell>
          <cell r="B130" t="str">
            <v xml:space="preserve">    Refreshments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A131">
            <v>40018</v>
          </cell>
          <cell r="B131" t="str">
            <v xml:space="preserve">    Secretarial fees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A132">
            <v>40019</v>
          </cell>
          <cell r="B132" t="str">
            <v xml:space="preserve">    Salaries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A133">
            <v>40020</v>
          </cell>
          <cell r="B133" t="str">
            <v xml:space="preserve">    Staff CPF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A134">
            <v>40021</v>
          </cell>
          <cell r="B134" t="str">
            <v xml:space="preserve">    Staff welfare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A135">
            <v>40022</v>
          </cell>
          <cell r="B135" t="str">
            <v xml:space="preserve">    Subscriptions and renewals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A136">
            <v>40023</v>
          </cell>
          <cell r="B136" t="str">
            <v xml:space="preserve">    Telephone and telex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A137">
            <v>40024</v>
          </cell>
          <cell r="B137" t="str">
            <v xml:space="preserve">    Transport expenses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A138">
            <v>40025</v>
          </cell>
          <cell r="B138" t="str">
            <v xml:space="preserve">    Travelling expenses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A139">
            <v>40026</v>
          </cell>
          <cell r="B139" t="str">
            <v xml:space="preserve">    Upkeep of motor vehicle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40027</v>
          </cell>
          <cell r="B140" t="str">
            <v xml:space="preserve">    Upkeep of office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A141">
            <v>40028</v>
          </cell>
          <cell r="B141" t="str">
            <v xml:space="preserve">    Water and electricity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40000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OTHER OPERATING EXPENSES</v>
          </cell>
          <cell r="K145">
            <v>0</v>
          </cell>
        </row>
        <row r="146">
          <cell r="A146">
            <v>50001</v>
          </cell>
          <cell r="B146" t="str">
            <v xml:space="preserve">    Provision for doubtful debts written off/(back) - trade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A147">
            <v>50002</v>
          </cell>
          <cell r="B147" t="str">
            <v xml:space="preserve">    Provision for diminution in value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A148">
            <v>50003</v>
          </cell>
          <cell r="B148" t="str">
            <v xml:space="preserve">    Other operating expenses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A149">
            <v>50000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FINANCE COSTS</v>
          </cell>
          <cell r="K150">
            <v>0</v>
          </cell>
        </row>
        <row r="151">
          <cell r="A151">
            <v>60001</v>
          </cell>
          <cell r="B151" t="str">
            <v xml:space="preserve">     Bank charges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A152">
            <v>60002</v>
          </cell>
          <cell r="B152" t="str">
            <v xml:space="preserve">     Hire Purhcase interest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A153">
            <v>60000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(LOSS)/ PROFIT for the year before taxation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A155">
            <v>70001</v>
          </cell>
          <cell r="B155" t="str">
            <v xml:space="preserve">   Taxation- current year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A156">
            <v>70002</v>
          </cell>
          <cell r="B156" t="str">
            <v xml:space="preserve">   Taxation-over/under PY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A157">
            <v>70003</v>
          </cell>
          <cell r="B157" t="str">
            <v xml:space="preserve">   Taxation-Def tax transfer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A158">
            <v>70000</v>
          </cell>
          <cell r="B158" t="str">
            <v>Taxation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PROFIT for the year after taxation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pb Sept."/>
      <sheetName val="TTB Sept."/>
      <sheetName val="Sheet1"/>
      <sheetName val="TLKM-J"/>
      <sheetName val="N-TLKM"/>
      <sheetName val="Ex-Rate"/>
      <sheetName val="Buku Besar"/>
      <sheetName val="WorkSheet"/>
    </sheetNames>
    <sheetDataSet>
      <sheetData sheetId="0" refreshError="1"/>
      <sheetData sheetId="1" refreshError="1"/>
      <sheetData sheetId="2" refreshError="1">
        <row r="4">
          <cell r="B4" t="str">
            <v>310-26</v>
          </cell>
        </row>
        <row r="7">
          <cell r="B7" t="str">
            <v>310-29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K2003"/>
      <sheetName val="REKONSILIASI"/>
      <sheetName val="Sale FA"/>
      <sheetName val="summary"/>
      <sheetName val="Depr 2003 (rev)"/>
      <sheetName val="Data"/>
      <sheetName val="B.1"/>
      <sheetName val="List"/>
      <sheetName val="BS final"/>
      <sheetName val="Wil"/>
      <sheetName val="Mei 2007"/>
      <sheetName val="INFORMATIO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K2003"/>
      <sheetName val="REKONSILIASI"/>
      <sheetName val="Sale FA"/>
      <sheetName val="summary"/>
      <sheetName val="Depr 2003 (rev)"/>
      <sheetName val="Data"/>
      <sheetName val="B.1"/>
      <sheetName val="List"/>
      <sheetName val="BS final"/>
      <sheetName val="Wil"/>
      <sheetName val="Mei 2007"/>
      <sheetName val="INFORMATIO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</sheetNames>
    <sheetDataSet>
      <sheetData sheetId="0">
        <row r="20">
          <cell r="E20" t="str">
            <v>KPP PMA I</v>
          </cell>
        </row>
      </sheetData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-PPh"/>
      <sheetName val="I-PPh Final"/>
      <sheetName val="B-1"/>
      <sheetName val="I-PPN"/>
      <sheetName val="dat."/>
      <sheetName val="rekp."/>
      <sheetName val="sptmasa"/>
      <sheetName val="kredit"/>
      <sheetName val="kprikps"/>
      <sheetName val="oby."/>
      <sheetName val="Urai"/>
      <sheetName val="lpp"/>
      <sheetName val="nothit"/>
      <sheetName val="induk php"/>
      <sheetName val="php"/>
      <sheetName val="setuju"/>
      <sheetName val="Sheet1"/>
      <sheetName val="tangg"/>
      <sheetName val="KonSSPS"/>
      <sheetName val="KonSSPL"/>
      <sheetName val="KonPMS"/>
      <sheetName val="KonPMS baru"/>
      <sheetName val="LampKonf"/>
      <sheetName val="KonPML"/>
      <sheetName val="Kon23S"/>
      <sheetName val="Kon23L"/>
    </sheetNames>
    <sheetDataSet>
      <sheetData sheetId="0"/>
      <sheetData sheetId="1">
        <row r="14">
          <cell r="E14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0-Cover"/>
      <sheetName val="Ratio"/>
      <sheetName val="FS"/>
      <sheetName val="CashFlow-NA"/>
      <sheetName val="RJE"/>
      <sheetName val="AJE"/>
      <sheetName val="audited BS"/>
      <sheetName val="audited PL"/>
      <sheetName val="audited detailPL"/>
      <sheetName val="procedure"/>
      <sheetName val="TB"/>
      <sheetName val="BS"/>
      <sheetName val="PL"/>
    </sheetNames>
    <sheetDataSet>
      <sheetData sheetId="0"/>
      <sheetData sheetId="1"/>
      <sheetData sheetId="2" refreshError="1">
        <row r="1">
          <cell r="B1" t="str">
            <v>Client  : Leading Steamship S.A</v>
          </cell>
        </row>
        <row r="2">
          <cell r="B2" t="str">
            <v>(Incorporated in the Republic of Singapore)</v>
          </cell>
        </row>
        <row r="4">
          <cell r="B4" t="str">
            <v>INCOME STATEMENT FOR THE FINANCIAL PERIOD ENDED 30 June 2006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</row>
        <row r="8">
          <cell r="D8" t="str">
            <v>WP REF</v>
          </cell>
          <cell r="F8">
            <v>2006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>
            <v>2006</v>
          </cell>
        </row>
        <row r="9">
          <cell r="F9" t="str">
            <v>US$</v>
          </cell>
          <cell r="G9" t="str">
            <v>US$</v>
          </cell>
          <cell r="H9" t="str">
            <v>US$</v>
          </cell>
          <cell r="I9" t="str">
            <v>US$</v>
          </cell>
          <cell r="J9" t="str">
            <v>US$</v>
          </cell>
          <cell r="K9" t="str">
            <v>US$</v>
          </cell>
        </row>
        <row r="11">
          <cell r="A11">
            <v>10000</v>
          </cell>
          <cell r="B11" t="str">
            <v>Turnover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3">
          <cell r="A13">
            <v>20000</v>
          </cell>
          <cell r="B13" t="str">
            <v>Cost of sales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5">
          <cell r="A15" t="str">
            <v>GP</v>
          </cell>
          <cell r="B15" t="str">
            <v>Gross profit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7">
          <cell r="A17">
            <v>30000</v>
          </cell>
          <cell r="B17" t="str">
            <v>Other operating income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9">
          <cell r="A19">
            <v>40000</v>
          </cell>
          <cell r="B19" t="str">
            <v>Administrative expenses</v>
          </cell>
          <cell r="F19">
            <v>-900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-900</v>
          </cell>
        </row>
        <row r="21">
          <cell r="A21">
            <v>50000</v>
          </cell>
          <cell r="B21" t="str">
            <v>Other operating expenses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3">
          <cell r="A23">
            <v>60000</v>
          </cell>
          <cell r="B23" t="str">
            <v>Finance costs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5">
          <cell r="A25" t="str">
            <v>PBT</v>
          </cell>
          <cell r="B25" t="str">
            <v>(Loss)/Profit for the year before taxation</v>
          </cell>
          <cell r="F25">
            <v>-900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-900</v>
          </cell>
        </row>
        <row r="27">
          <cell r="A27">
            <v>70000</v>
          </cell>
          <cell r="B27" t="str">
            <v>Taxation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9">
          <cell r="A29" t="str">
            <v>PAT</v>
          </cell>
          <cell r="B29" t="str">
            <v>(Loss)/Profit for the year after taxation</v>
          </cell>
          <cell r="F29">
            <v>-900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-900</v>
          </cell>
        </row>
        <row r="31">
          <cell r="A31" t="str">
            <v>MI</v>
          </cell>
          <cell r="B31" t="str">
            <v>Minority interest</v>
          </cell>
        </row>
        <row r="34">
          <cell r="G34" t="str">
            <v>total AJE in Dr</v>
          </cell>
          <cell r="H34" t="str">
            <v>total AJE in Cr</v>
          </cell>
          <cell r="I34" t="str">
            <v>total RJE in Dr</v>
          </cell>
          <cell r="J34" t="str">
            <v>total RJE in Cr</v>
          </cell>
          <cell r="K34">
            <v>0</v>
          </cell>
        </row>
        <row r="38">
          <cell r="B38" t="str">
            <v>Client  : Leading Steamship S.A</v>
          </cell>
        </row>
        <row r="39">
          <cell r="B39" t="str">
            <v>(Incorporated in the Republic of Singapore)</v>
          </cell>
        </row>
        <row r="41">
          <cell r="B41" t="str">
            <v>BALANCE SHEET AS AT 30 June 2006</v>
          </cell>
        </row>
        <row r="42">
          <cell r="F42" t="str">
            <v>unaudited</v>
          </cell>
          <cell r="G42" t="str">
            <v>Audit Adjustment (AJE)</v>
          </cell>
          <cell r="I42" t="str">
            <v>Reclassification (RJE)</v>
          </cell>
          <cell r="K42" t="str">
            <v>audited</v>
          </cell>
        </row>
        <row r="43">
          <cell r="D43" t="str">
            <v>WP REF</v>
          </cell>
          <cell r="F43">
            <v>2006</v>
          </cell>
          <cell r="G43" t="str">
            <v>DR</v>
          </cell>
          <cell r="H43" t="str">
            <v>CR</v>
          </cell>
          <cell r="I43" t="str">
            <v>DR</v>
          </cell>
          <cell r="J43" t="str">
            <v>CR</v>
          </cell>
          <cell r="K43">
            <v>2006</v>
          </cell>
        </row>
        <row r="44">
          <cell r="F44" t="str">
            <v>US$</v>
          </cell>
          <cell r="G44" t="str">
            <v>US$</v>
          </cell>
          <cell r="H44" t="str">
            <v>US$</v>
          </cell>
          <cell r="I44" t="str">
            <v>US$</v>
          </cell>
          <cell r="J44" t="str">
            <v>US$</v>
          </cell>
          <cell r="K44" t="str">
            <v>US$</v>
          </cell>
        </row>
        <row r="45">
          <cell r="B45" t="str">
            <v>ASSETS</v>
          </cell>
        </row>
        <row r="46">
          <cell r="B46" t="str">
            <v>Non-current assets</v>
          </cell>
          <cell r="G46">
            <v>0</v>
          </cell>
          <cell r="K46">
            <v>0</v>
          </cell>
        </row>
        <row r="47">
          <cell r="A47">
            <v>1000</v>
          </cell>
          <cell r="B47" t="str">
            <v xml:space="preserve">    Plant and equipment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A48">
            <v>1001</v>
          </cell>
          <cell r="B48" t="str">
            <v xml:space="preserve">    Investments</v>
          </cell>
          <cell r="D48" t="str">
            <v>H1</v>
          </cell>
          <cell r="F48">
            <v>1</v>
          </cell>
          <cell r="K48">
            <v>1</v>
          </cell>
        </row>
        <row r="49">
          <cell r="A49">
            <v>1002</v>
          </cell>
          <cell r="B49" t="str">
            <v xml:space="preserve">    Investment in subsidiaries companies</v>
          </cell>
          <cell r="K49">
            <v>0</v>
          </cell>
        </row>
        <row r="50">
          <cell r="A50">
            <v>1003</v>
          </cell>
          <cell r="B50" t="str">
            <v xml:space="preserve">    Investment in associated company</v>
          </cell>
          <cell r="F50">
            <v>0</v>
          </cell>
          <cell r="K50">
            <v>0</v>
          </cell>
        </row>
        <row r="51">
          <cell r="A51">
            <v>1004</v>
          </cell>
          <cell r="B51" t="str">
            <v xml:space="preserve">    Goodwill on consolidation  </v>
          </cell>
          <cell r="F51">
            <v>0</v>
          </cell>
          <cell r="K51">
            <v>0</v>
          </cell>
        </row>
        <row r="52">
          <cell r="F52">
            <v>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</v>
          </cell>
        </row>
        <row r="53"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Current assets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2000</v>
          </cell>
          <cell r="B55" t="str">
            <v xml:space="preserve">    Other receivables,deposits and prepayment</v>
          </cell>
          <cell r="D55" t="str">
            <v>M2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2100</v>
          </cell>
          <cell r="B56" t="str">
            <v xml:space="preserve">    Amount due from ultimate holding company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A57">
            <v>2200</v>
          </cell>
          <cell r="B57" t="str">
            <v xml:space="preserve">    Amount due from intermediate holding company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A58">
            <v>2300</v>
          </cell>
          <cell r="B58" t="str">
            <v xml:space="preserve">    Amount due from an associated company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A59">
            <v>2400</v>
          </cell>
          <cell r="B59" t="str">
            <v xml:space="preserve">    Amount due from subsidiaries companies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A60">
            <v>2500</v>
          </cell>
          <cell r="B60" t="str">
            <v xml:space="preserve">    Cash and bank balances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K61">
            <v>0</v>
          </cell>
        </row>
        <row r="62">
          <cell r="A62" t="str">
            <v>CA</v>
          </cell>
          <cell r="B62" t="str">
            <v>Total current assets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K63">
            <v>0</v>
          </cell>
        </row>
        <row r="64">
          <cell r="A64" t="str">
            <v>TA</v>
          </cell>
          <cell r="B64" t="str">
            <v>TOTAL ASSETS</v>
          </cell>
          <cell r="F64">
            <v>1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</v>
          </cell>
        </row>
        <row r="65">
          <cell r="K65">
            <v>0</v>
          </cell>
        </row>
        <row r="66">
          <cell r="B66" t="str">
            <v>EQUITY AND LIABILITIES</v>
          </cell>
          <cell r="K66">
            <v>0</v>
          </cell>
        </row>
        <row r="67">
          <cell r="B67" t="str">
            <v>Capital and reserves</v>
          </cell>
          <cell r="K67">
            <v>0</v>
          </cell>
        </row>
        <row r="68">
          <cell r="A68">
            <v>6000</v>
          </cell>
          <cell r="B68" t="str">
            <v xml:space="preserve">    Share capital</v>
          </cell>
          <cell r="D68" t="str">
            <v>E1</v>
          </cell>
          <cell r="F68">
            <v>10000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10000</v>
          </cell>
        </row>
        <row r="69">
          <cell r="A69">
            <v>6100</v>
          </cell>
          <cell r="B69" t="str">
            <v xml:space="preserve">     Reserves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A70">
            <v>6101</v>
          </cell>
          <cell r="C70" t="str">
            <v>RETAINED EARNINGS</v>
          </cell>
          <cell r="F70">
            <v>-670765.88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-670765.88</v>
          </cell>
        </row>
        <row r="71">
          <cell r="A71">
            <v>6102</v>
          </cell>
          <cell r="C71" t="str">
            <v>PROFIT (LOSS) FOR THE PERIOD</v>
          </cell>
          <cell r="F71">
            <v>-900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-900</v>
          </cell>
        </row>
        <row r="72">
          <cell r="A72">
            <v>6200</v>
          </cell>
          <cell r="B72" t="str">
            <v xml:space="preserve">    Accumulated Profit / loss</v>
          </cell>
          <cell r="F72">
            <v>-671665.88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-671665.88</v>
          </cell>
        </row>
        <row r="73">
          <cell r="A73" t="str">
            <v>TEQ</v>
          </cell>
          <cell r="B73" t="str">
            <v>TOTAL EQUITY</v>
          </cell>
          <cell r="F73">
            <v>-661665.88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-661665.88</v>
          </cell>
        </row>
        <row r="74">
          <cell r="B74" t="str">
            <v>Non-current liabilities</v>
          </cell>
          <cell r="K74">
            <v>0</v>
          </cell>
        </row>
        <row r="75">
          <cell r="A75">
            <v>4000</v>
          </cell>
          <cell r="B75" t="str">
            <v xml:space="preserve">    Deferred tax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4101</v>
          </cell>
          <cell r="B76" t="str">
            <v xml:space="preserve">    Hire Purchase creditors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A77" t="str">
            <v>LTL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Current liabilities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3000</v>
          </cell>
          <cell r="B79" t="str">
            <v xml:space="preserve">    Other payables and accruals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3100</v>
          </cell>
          <cell r="B80" t="str">
            <v xml:space="preserve">    Amount due to immediate holding companies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A81">
            <v>4102</v>
          </cell>
          <cell r="B81" t="str">
            <v xml:space="preserve">    Amount due to ultimate holding company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>
            <v>5300</v>
          </cell>
          <cell r="B82" t="str">
            <v xml:space="preserve">    Amount due to shareholders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>
            <v>5000</v>
          </cell>
          <cell r="B83" t="str">
            <v xml:space="preserve">    Amount due to intermediate holding company</v>
          </cell>
          <cell r="D83" t="str">
            <v>K1</v>
          </cell>
          <cell r="F83">
            <v>661666.88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661666.88</v>
          </cell>
        </row>
        <row r="84">
          <cell r="A84">
            <v>3200</v>
          </cell>
          <cell r="B84" t="str">
            <v xml:space="preserve">     Provision for taxation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K85">
            <v>0</v>
          </cell>
        </row>
        <row r="86">
          <cell r="A86" t="str">
            <v>CL</v>
          </cell>
          <cell r="B86" t="str">
            <v>Total Current liabilities</v>
          </cell>
          <cell r="F86">
            <v>661666.88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661666.88</v>
          </cell>
        </row>
        <row r="88">
          <cell r="B88" t="str">
            <v>TOTAL EQUITY AND LIABILITIES</v>
          </cell>
          <cell r="F88">
            <v>1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1</v>
          </cell>
        </row>
        <row r="89">
          <cell r="C89" t="str">
            <v>Test check</v>
          </cell>
          <cell r="F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K90">
            <v>0</v>
          </cell>
        </row>
        <row r="91">
          <cell r="C91" t="str">
            <v>Client  : Leading Steamship S.A</v>
          </cell>
        </row>
        <row r="92">
          <cell r="C92" t="str">
            <v>(Incorporated in the Republic of Singapore)</v>
          </cell>
          <cell r="K92">
            <v>0</v>
          </cell>
        </row>
        <row r="93">
          <cell r="K93">
            <v>0</v>
          </cell>
        </row>
        <row r="94">
          <cell r="C94" t="str">
            <v>DETAILED TRADING, PROFIT &amp; LOSS ACCOUNT FOR THE FINANCIAL YEAR ENDED 30 June 2006</v>
          </cell>
          <cell r="K94">
            <v>0</v>
          </cell>
        </row>
        <row r="95">
          <cell r="K95">
            <v>0</v>
          </cell>
        </row>
        <row r="97">
          <cell r="F97" t="str">
            <v>unaudited</v>
          </cell>
          <cell r="G97" t="str">
            <v>Audit Adjustment (AJE)</v>
          </cell>
          <cell r="I97" t="str">
            <v>Reclassification (RJE)</v>
          </cell>
          <cell r="K97" t="str">
            <v>audited</v>
          </cell>
        </row>
        <row r="98">
          <cell r="D98" t="str">
            <v>WP REF</v>
          </cell>
          <cell r="F98">
            <v>2006</v>
          </cell>
          <cell r="G98" t="str">
            <v>DR</v>
          </cell>
          <cell r="H98" t="str">
            <v>CR</v>
          </cell>
          <cell r="I98" t="str">
            <v>DR</v>
          </cell>
          <cell r="J98" t="str">
            <v>CR</v>
          </cell>
          <cell r="K98">
            <v>2006</v>
          </cell>
        </row>
        <row r="99">
          <cell r="F99" t="str">
            <v>US$</v>
          </cell>
          <cell r="G99" t="str">
            <v>US$</v>
          </cell>
          <cell r="H99" t="str">
            <v>US$</v>
          </cell>
          <cell r="I99" t="str">
            <v>US$</v>
          </cell>
          <cell r="J99" t="str">
            <v>US$</v>
          </cell>
          <cell r="K99" t="str">
            <v>US$</v>
          </cell>
        </row>
        <row r="100">
          <cell r="A100">
            <v>10000</v>
          </cell>
          <cell r="B100" t="str">
            <v>SALES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2">
          <cell r="B102" t="str">
            <v>Less Cost of sales</v>
          </cell>
        </row>
        <row r="103">
          <cell r="A103">
            <v>21000</v>
          </cell>
          <cell r="B103" t="str">
            <v>Cost of sales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A104">
            <v>22000</v>
          </cell>
          <cell r="B104" t="str">
            <v>Freight and handling charges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A105">
            <v>23000</v>
          </cell>
          <cell r="B105" t="str">
            <v>Warehouse fee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20000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GROSS PROFIT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OTHER OPERATING INCOME</v>
          </cell>
          <cell r="K108">
            <v>0</v>
          </cell>
        </row>
        <row r="109">
          <cell r="A109">
            <v>30001</v>
          </cell>
          <cell r="B109" t="str">
            <v xml:space="preserve">    Reversal of accrued expenses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A110">
            <v>30002</v>
          </cell>
          <cell r="B110" t="str">
            <v xml:space="preserve">    Exchange gain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A111">
            <v>30003</v>
          </cell>
          <cell r="B111" t="str">
            <v xml:space="preserve">    Interest income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30004</v>
          </cell>
          <cell r="B112" t="str">
            <v xml:space="preserve">    Gain on disposal of subsidiaries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30005</v>
          </cell>
          <cell r="B113" t="str">
            <v xml:space="preserve">    Dividend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30006</v>
          </cell>
          <cell r="B114" t="str">
            <v xml:space="preserve">    Other income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30000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ADMINISTRATIVE EXPENSES</v>
          </cell>
        </row>
        <row r="118">
          <cell r="A118">
            <v>40001</v>
          </cell>
          <cell r="B118" t="str">
            <v xml:space="preserve">    Accountancy fee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A119">
            <v>40002</v>
          </cell>
          <cell r="B119" t="str">
            <v xml:space="preserve">    Advertisement 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A120">
            <v>40003</v>
          </cell>
          <cell r="B120" t="str">
            <v xml:space="preserve">    Auditors’ remuneration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A121">
            <v>40004</v>
          </cell>
          <cell r="B121" t="str">
            <v xml:space="preserve">    Depreciation 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40005</v>
          </cell>
          <cell r="B122" t="str">
            <v xml:space="preserve">    Director’s remuneration 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A123">
            <v>40006</v>
          </cell>
          <cell r="B123" t="str">
            <v xml:space="preserve">    Director’s emolument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A124">
            <v>40007</v>
          </cell>
          <cell r="B124" t="str">
            <v xml:space="preserve">    Exchange difference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40008</v>
          </cell>
          <cell r="B125" t="str">
            <v xml:space="preserve">    Entertainment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A126">
            <v>40009</v>
          </cell>
          <cell r="B126" t="str">
            <v xml:space="preserve">    General expenses</v>
          </cell>
          <cell r="F126">
            <v>900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900</v>
          </cell>
        </row>
        <row r="127">
          <cell r="A127">
            <v>40010</v>
          </cell>
          <cell r="B127" t="str">
            <v xml:space="preserve">    Insurance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A128">
            <v>40011</v>
          </cell>
          <cell r="B128" t="str">
            <v xml:space="preserve">    Medical expenses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A129">
            <v>40012</v>
          </cell>
          <cell r="B129" t="str">
            <v xml:space="preserve">    Office rental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40013</v>
          </cell>
          <cell r="B130" t="str">
            <v xml:space="preserve">    Postage and courier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A131">
            <v>40014</v>
          </cell>
          <cell r="B131" t="str">
            <v xml:space="preserve">    Printing and stationery 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A132">
            <v>40015</v>
          </cell>
          <cell r="B132" t="str">
            <v xml:space="preserve">    Professional fees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A133">
            <v>40016</v>
          </cell>
          <cell r="B133" t="str">
            <v xml:space="preserve">    Repair and maintenance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A134">
            <v>40017</v>
          </cell>
          <cell r="B134" t="str">
            <v xml:space="preserve">    Refreshments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A135">
            <v>40018</v>
          </cell>
          <cell r="B135" t="str">
            <v xml:space="preserve">    Secretarial fees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A136">
            <v>40019</v>
          </cell>
          <cell r="B136" t="str">
            <v xml:space="preserve">    Salaries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A137">
            <v>40020</v>
          </cell>
          <cell r="B137" t="str">
            <v xml:space="preserve">    Staff CPF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A138">
            <v>40021</v>
          </cell>
          <cell r="B138" t="str">
            <v xml:space="preserve">    Staff welfare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A139">
            <v>40022</v>
          </cell>
          <cell r="B139" t="str">
            <v xml:space="preserve">    Subscriptions and renewals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40023</v>
          </cell>
          <cell r="B140" t="str">
            <v xml:space="preserve">    Telephone and telex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A141">
            <v>40024</v>
          </cell>
          <cell r="B141" t="str">
            <v xml:space="preserve">    Transport expenses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A142">
            <v>40025</v>
          </cell>
          <cell r="B142" t="str">
            <v xml:space="preserve">    Travelling expenses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A143">
            <v>40026</v>
          </cell>
          <cell r="B143" t="str">
            <v xml:space="preserve">    Upkeep of motor vehicle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40027</v>
          </cell>
          <cell r="B144" t="str">
            <v xml:space="preserve">    Upkeep of office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A145">
            <v>40028</v>
          </cell>
          <cell r="B145" t="str">
            <v xml:space="preserve">    Water and electricity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A148">
            <v>40000</v>
          </cell>
          <cell r="F148">
            <v>900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900</v>
          </cell>
        </row>
        <row r="149">
          <cell r="B149" t="str">
            <v>OTHER OPERATING EXPENSES</v>
          </cell>
          <cell r="K149">
            <v>0</v>
          </cell>
        </row>
        <row r="150">
          <cell r="A150">
            <v>50001</v>
          </cell>
          <cell r="B150" t="str">
            <v xml:space="preserve">    Provision for doubtful debts written off/(back) - trade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A151">
            <v>50002</v>
          </cell>
          <cell r="B151" t="str">
            <v xml:space="preserve">    Provision for diminution in value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A152">
            <v>50003</v>
          </cell>
          <cell r="B152" t="str">
            <v xml:space="preserve">    Other operating expenses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A153">
            <v>50000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FINANCE COSTS</v>
          </cell>
          <cell r="K154">
            <v>0</v>
          </cell>
        </row>
        <row r="155">
          <cell r="A155">
            <v>60001</v>
          </cell>
          <cell r="B155" t="str">
            <v xml:space="preserve">     Bank charges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A156">
            <v>60002</v>
          </cell>
          <cell r="B156" t="str">
            <v xml:space="preserve">     Hire Purchase interest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A157">
            <v>60000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(LOSS)/ PROFIT for the year before taxation</v>
          </cell>
          <cell r="F158">
            <v>-900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-900</v>
          </cell>
        </row>
        <row r="159">
          <cell r="A159">
            <v>70001</v>
          </cell>
          <cell r="B159" t="str">
            <v xml:space="preserve">   Taxation- current year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A160">
            <v>70002</v>
          </cell>
          <cell r="B160" t="str">
            <v xml:space="preserve">   Taxation-over/under PY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A161">
            <v>70003</v>
          </cell>
          <cell r="B161" t="str">
            <v xml:space="preserve">   Taxation-Def tax transfer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A162">
            <v>70000</v>
          </cell>
          <cell r="B162" t="str">
            <v>Taxation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PROFIT for the year after taxation</v>
          </cell>
          <cell r="F163">
            <v>-900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-900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c cap ."/>
      <sheetName val="HCI CAP"/>
      <sheetName val="PREFORM 600 ML HCI"/>
      <sheetName val="Dynaplast"/>
      <sheetName val="Preform 600 ml UI"/>
      <sheetName val="Preform 600 ml ITA"/>
      <sheetName val="Linc Resin PET"/>
      <sheetName val="Preform 1500 Namasindo (2)"/>
      <sheetName val="Preform 1500 Indotirta"/>
      <sheetName val="Rapipack"/>
      <sheetName val="sentralindo"/>
      <sheetName val="Mulia"/>
      <sheetName val="CMI"/>
      <sheetName val="PURI"/>
      <sheetName val="PGC"/>
      <sheetName val="Amcor"/>
      <sheetName val="Montaz"/>
      <sheetName val="Intreflex"/>
      <sheetName val="HCICAP"/>
      <sheetName val="Namasindo"/>
      <sheetName val="Screw Cap"/>
      <sheetName val="Screw cup Dinito"/>
      <sheetName val="Clariant"/>
      <sheetName val="UNIFLEX K"/>
      <sheetName val="seia"/>
      <sheetName val="Sojitz"/>
      <sheetName val="Civita"/>
      <sheetName val="Cool clean"/>
      <sheetName val="Ecolab"/>
      <sheetName val="Primadaya"/>
      <sheetName val="Delta"/>
      <sheetName val="Hengkel"/>
      <sheetName val="Sumber"/>
      <sheetName val="Asian"/>
      <sheetName val="hasri"/>
      <sheetName val="Wiloso"/>
      <sheetName val="puji lestari"/>
      <sheetName val="Printechindo"/>
      <sheetName val="Brataco"/>
      <sheetName val="PET-E"/>
      <sheetName val="Sheet2"/>
      <sheetName val="lookup material"/>
      <sheetName val="lookup plant"/>
      <sheetName val="Sheet10"/>
      <sheetName val="Sheet1"/>
      <sheetName val="List of problems"/>
      <sheetName val="lookup vendor"/>
      <sheetName val="preform 600 namasindo"/>
      <sheetName val="preform 1500 Namasindo"/>
      <sheetName val="preform 330 UI"/>
      <sheetName val="Linc"/>
      <sheetName val="Sheet7"/>
      <sheetName val="Sheet3"/>
      <sheetName val="Sheet5"/>
      <sheetName val="Sheet12"/>
      <sheetName val="Sheet16"/>
      <sheetName val="Sheet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3">
          <cell r="B13" t="str">
            <v>Priode 10    S/D  22  February  2020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>
        <row r="2">
          <cell r="A2" t="str">
            <v>120ML AQUA LOCAL 1X96</v>
          </cell>
        </row>
        <row r="3">
          <cell r="A3" t="str">
            <v>1500ML AQUA BRUNEI EXPORT 1X12</v>
          </cell>
        </row>
        <row r="4">
          <cell r="A4" t="str">
            <v>1500ML AQUA LION EXPORT 1X12</v>
          </cell>
        </row>
        <row r="5">
          <cell r="A5" t="str">
            <v>1500ML AQUA LOCAL 1X12</v>
          </cell>
        </row>
        <row r="6">
          <cell r="A6" t="str">
            <v>1500ML AQUA LOCAL MULTIPACK 1X6</v>
          </cell>
        </row>
        <row r="7">
          <cell r="A7" t="str">
            <v>1500ML AQUA LOCAL SFG</v>
          </cell>
        </row>
        <row r="8">
          <cell r="A8" t="str">
            <v>1500ML AQUA SVS EXPORT 1X12</v>
          </cell>
        </row>
        <row r="9">
          <cell r="A9" t="str">
            <v>1500ML MIZONE LYCHEE LEMON 1X6</v>
          </cell>
        </row>
        <row r="10">
          <cell r="A10" t="str">
            <v>240ML AQUA LION EXPORT 1X24</v>
          </cell>
        </row>
        <row r="11">
          <cell r="A11" t="str">
            <v>240ML AQUA LOCAL 1X48</v>
          </cell>
        </row>
        <row r="12">
          <cell r="A12" t="str">
            <v>330ML AQUA HOKBEN 1X24</v>
          </cell>
        </row>
        <row r="13">
          <cell r="A13" t="str">
            <v>330ML AQUA LION EXPORT 1X24</v>
          </cell>
        </row>
        <row r="14">
          <cell r="A14" t="str">
            <v>330ML AQUA LOCAL 1X24</v>
          </cell>
        </row>
        <row r="15">
          <cell r="A15" t="str">
            <v>330ML AQUA LOCAL MULTIPACK 1X6</v>
          </cell>
        </row>
        <row r="16">
          <cell r="A16" t="str">
            <v>330ML AQUA LOCAL SFG</v>
          </cell>
        </row>
        <row r="17">
          <cell r="A17" t="str">
            <v>330ML AQUA SVS EXPORT 1X24</v>
          </cell>
        </row>
        <row r="18">
          <cell r="A18" t="str">
            <v>380ML AQUA LOCAL 1X24</v>
          </cell>
        </row>
        <row r="19">
          <cell r="A19" t="str">
            <v>380ML AQUA REFLECTIONS 1X12</v>
          </cell>
        </row>
        <row r="20">
          <cell r="A20" t="str">
            <v>3L C SERIES INK CASE OF 2</v>
          </cell>
        </row>
        <row r="21">
          <cell r="A21" t="str">
            <v>5 GALLON AQUA LION EXPORT</v>
          </cell>
        </row>
        <row r="22">
          <cell r="A22" t="str">
            <v>5 GALLON AQUA LOCAL</v>
          </cell>
        </row>
        <row r="23">
          <cell r="A23" t="str">
            <v>5 GALLON VIT LOCAL</v>
          </cell>
        </row>
        <row r="24">
          <cell r="A24" t="str">
            <v>500ML MIZONE APPLE GUAVA 1X12</v>
          </cell>
        </row>
        <row r="25">
          <cell r="A25" t="str">
            <v>500ML MIZONE LYCHEE LEMON 1X12</v>
          </cell>
        </row>
        <row r="26">
          <cell r="A26" t="str">
            <v>500ML MIZONE LYCHEE LEMON MULTIPACK 1X4</v>
          </cell>
        </row>
        <row r="27">
          <cell r="A27" t="str">
            <v>500ML MIZONE LYCHEE LEMON SFG</v>
          </cell>
        </row>
        <row r="28">
          <cell r="A28" t="str">
            <v>500ML MIZONE MANGGA KWENI 1X12</v>
          </cell>
        </row>
        <row r="29">
          <cell r="A29" t="str">
            <v>500ML MIZONE ORANGE LIME 1X12</v>
          </cell>
        </row>
        <row r="30">
          <cell r="A30" t="str">
            <v>500ML MIZONE ORANGE LIME MULTIPACK 1X4</v>
          </cell>
        </row>
        <row r="31">
          <cell r="A31" t="str">
            <v>500ML MIZONE ORANGE LIME SFG</v>
          </cell>
        </row>
        <row r="32">
          <cell r="A32" t="str">
            <v>500ML MIZONE PASSION FRUIT 1X12</v>
          </cell>
        </row>
        <row r="33">
          <cell r="A33" t="str">
            <v>600ML AQUA BRUNEI EXPORT 1X24</v>
          </cell>
        </row>
        <row r="34">
          <cell r="A34" t="str">
            <v>600ML AQUA LION EXPORT 1X24</v>
          </cell>
        </row>
        <row r="35">
          <cell r="A35" t="str">
            <v>600ML AQUA LOCAL 1X24</v>
          </cell>
        </row>
        <row r="36">
          <cell r="A36" t="str">
            <v>600ML AQUA LOCAL 40TH ANNIVERSARY 1X24</v>
          </cell>
        </row>
        <row r="37">
          <cell r="A37" t="str">
            <v>600ML AQUA SVS EXPORT 1X24</v>
          </cell>
        </row>
        <row r="38">
          <cell r="A38" t="str">
            <v>ABS</v>
          </cell>
        </row>
        <row r="39">
          <cell r="A39" t="str">
            <v>AC - 101</v>
          </cell>
        </row>
        <row r="40">
          <cell r="A40" t="str">
            <v>AC - 3</v>
          </cell>
        </row>
        <row r="41">
          <cell r="A41" t="str">
            <v>ADDITIVE 5221</v>
          </cell>
        </row>
        <row r="42">
          <cell r="A42" t="str">
            <v>ADDITIVE IMAGE 5152</v>
          </cell>
        </row>
        <row r="43">
          <cell r="A43" t="str">
            <v>ADDITIVE 5539</v>
          </cell>
        </row>
        <row r="44">
          <cell r="A44" t="str">
            <v>ADDITIVE IMAGE 5152</v>
          </cell>
        </row>
        <row r="45">
          <cell r="A45" t="str">
            <v>AIR CART FILTER PALL AB1J2007PH4</v>
          </cell>
        </row>
        <row r="46">
          <cell r="A46" t="str">
            <v>AIR FILTER 0.2 MICRON 10"</v>
          </cell>
        </row>
        <row r="47">
          <cell r="A47" t="str">
            <v>AIR FILTER 0.2Μ 10" CUNO DP09PP002DA DOE</v>
          </cell>
        </row>
        <row r="48">
          <cell r="A48" t="str">
            <v>AIR FILTER DOM HUNTER 0,2 MICRON 10''</v>
          </cell>
        </row>
        <row r="49">
          <cell r="A49" t="str">
            <v>AIR FILTER DOM HUNTER ME 10/30</v>
          </cell>
        </row>
        <row r="50">
          <cell r="A50" t="str">
            <v>AIR FILTER DOM HUNTER ME20-30</v>
          </cell>
        </row>
        <row r="51">
          <cell r="A51" t="str">
            <v>AIR FILTER DOM HUNTER ZCMT2-020C-A</v>
          </cell>
        </row>
        <row r="52">
          <cell r="A52" t="str">
            <v>AIR FILTER DOM HUNTER ZCNE1-.20B</v>
          </cell>
        </row>
        <row r="53">
          <cell r="A53" t="str">
            <v>AIR FILTER DOM HUNTER ZCNE1-.45B</v>
          </cell>
        </row>
        <row r="54">
          <cell r="A54" t="str">
            <v>AIR FILTER PALL E592F1BE</v>
          </cell>
        </row>
        <row r="55">
          <cell r="A55" t="str">
            <v>ALCOHOL 70%</v>
          </cell>
        </row>
        <row r="56">
          <cell r="A56" t="str">
            <v>ALCOHOL 96%</v>
          </cell>
        </row>
        <row r="57">
          <cell r="A57" t="str">
            <v>ANSEP TAP SPECIAL</v>
          </cell>
        </row>
        <row r="58">
          <cell r="A58" t="str">
            <v>ANTHRACITE 1.6 - 0.8 MESH</v>
          </cell>
        </row>
        <row r="59">
          <cell r="A59" t="str">
            <v>ANTHRACITE 10 - 20 MESH</v>
          </cell>
        </row>
        <row r="60">
          <cell r="A60" t="str">
            <v>ANTHRACITE A1220 1.2 - 2.0</v>
          </cell>
        </row>
        <row r="61">
          <cell r="A61" t="str">
            <v>BOILER MATE IS 101</v>
          </cell>
        </row>
        <row r="62">
          <cell r="A62" t="str">
            <v>BOILER MATE SX-102E @20L</v>
          </cell>
        </row>
        <row r="63">
          <cell r="A63" t="str">
            <v>BLUE RPET NE51400271 MG TX-D4780</v>
          </cell>
        </row>
        <row r="64">
          <cell r="A64" t="str">
            <v>BLUE CAP-AQUA PL53400534 MX-C1757</v>
          </cell>
        </row>
        <row r="65">
          <cell r="A65" t="str">
            <v>BOILER SCALE PREVENTIVE DRATHON 40</v>
          </cell>
        </row>
        <row r="66">
          <cell r="A66" t="str">
            <v>CA-01</v>
          </cell>
        </row>
        <row r="67">
          <cell r="A67" t="str">
            <v>CA-02</v>
          </cell>
        </row>
        <row r="68">
          <cell r="A68" t="str">
            <v>CA-03</v>
          </cell>
        </row>
        <row r="69">
          <cell r="A69" t="str">
            <v>CA-05</v>
          </cell>
        </row>
        <row r="70">
          <cell r="A70" t="str">
            <v>CAP SEAL AQUA 375/380ML C/CLOCKWISE</v>
          </cell>
        </row>
        <row r="71">
          <cell r="A71" t="str">
            <v>CAP SEAL AQUA 375/380ML MANUAL</v>
          </cell>
        </row>
        <row r="72">
          <cell r="A72" t="str">
            <v>CAP SEAL AQUA 5 GALLON HOLOTRANS</v>
          </cell>
        </row>
        <row r="73">
          <cell r="A73" t="str">
            <v>CAP SEAL AQUA SPS MANUAL</v>
          </cell>
        </row>
        <row r="74">
          <cell r="A74" t="str">
            <v>CAP SEAL AQUA SPS MANUAL 40TH</v>
          </cell>
        </row>
        <row r="75">
          <cell r="A75" t="str">
            <v>CAP SEAL AQUA SPS ROLL</v>
          </cell>
        </row>
        <row r="76">
          <cell r="A76" t="str">
            <v>CAP SEAL AQUA SPS ROLL 40TH</v>
          </cell>
        </row>
        <row r="77">
          <cell r="A77" t="str">
            <v>CAP SEAL AQUA SPS ROLL 1000 M</v>
          </cell>
        </row>
        <row r="78">
          <cell r="A78" t="str">
            <v>CAP SEAL AQUA SPS ROLL 50 MICRON</v>
          </cell>
        </row>
        <row r="79">
          <cell r="A79" t="str">
            <v>CAP SEAL AQUA SPS ROLL CHINA LINE</v>
          </cell>
        </row>
        <row r="80">
          <cell r="A80" t="str">
            <v>CAP SEAL MIZONE ROLL</v>
          </cell>
        </row>
        <row r="81">
          <cell r="A81" t="str">
            <v>CAP SEAL MIZONE ROLL 50 MICRON</v>
          </cell>
        </row>
        <row r="82">
          <cell r="A82" t="str">
            <v>CAP SEAL VIT 5 GALLON</v>
          </cell>
        </row>
        <row r="83">
          <cell r="A83" t="str">
            <v>CAP SHIELD 5 GALLON NON SPILL</v>
          </cell>
        </row>
        <row r="84">
          <cell r="A84" t="str">
            <v>CAP SHIELD AQUA 5 GALLON</v>
          </cell>
        </row>
        <row r="85">
          <cell r="A85" t="str">
            <v>CAP SHIELD VIT 5 GALLON</v>
          </cell>
        </row>
        <row r="86">
          <cell r="A86" t="str">
            <v>CARBON ACTIVE</v>
          </cell>
        </row>
        <row r="87">
          <cell r="A87" t="str">
            <v>CART FILTER DOM HUNTER PHA-3TN-B 40Μ</v>
          </cell>
        </row>
        <row r="88">
          <cell r="A88" t="str">
            <v>CART FILTER DOM HUNTER PHA-3TN-CAS 40M</v>
          </cell>
        </row>
        <row r="89">
          <cell r="A89" t="str">
            <v>CART FILTER DOM HUNTER PHD-3HN-B 5Μ NML</v>
          </cell>
        </row>
        <row r="90">
          <cell r="A90" t="str">
            <v>CART FILTER DOM HUNTER PHD-3KN-BAS 9MIC</v>
          </cell>
        </row>
        <row r="91">
          <cell r="A91" t="str">
            <v>CART FILTER DOM HUNTER PHD-3PN-B (40MIC)</v>
          </cell>
        </row>
        <row r="92">
          <cell r="A92" t="str">
            <v>CART FILTER DOM HUNTER ZCMT1-0.20B-A H.</v>
          </cell>
        </row>
        <row r="93">
          <cell r="A93" t="str">
            <v>CART FILTER DOM HUNTER ZCMT1-020C-A</v>
          </cell>
        </row>
        <row r="94">
          <cell r="A94" t="str">
            <v>CART FILTER DOM HUNTER ZCMT1-020H-A</v>
          </cell>
        </row>
        <row r="95">
          <cell r="A95" t="str">
            <v>CART FILTER DOM HUNTER ZCMT2/020H-A</v>
          </cell>
        </row>
        <row r="96">
          <cell r="A96" t="str">
            <v>CART FILTER DOM HUNTER ZCMT3-020H-A</v>
          </cell>
        </row>
        <row r="97">
          <cell r="A97" t="str">
            <v>CART FILTER DOM HUNTER ZCPP3-005.0C 30"</v>
          </cell>
        </row>
        <row r="98">
          <cell r="A98" t="str">
            <v>CART FILTER DOM HUNTER ZCPP3-005B</v>
          </cell>
        </row>
        <row r="99">
          <cell r="A99" t="str">
            <v>CART FILTER DOM HUNTER ZCPP3-005CP</v>
          </cell>
        </row>
        <row r="100">
          <cell r="A100" t="str">
            <v>CART FILTER DOM HUNTER ZCPP3-005E</v>
          </cell>
        </row>
        <row r="101">
          <cell r="A101" t="str">
            <v>CART FILTER DOM HUNTER ZCPP3-01.0C 30"</v>
          </cell>
        </row>
        <row r="102">
          <cell r="A102" t="str">
            <v>CART FILTER DOM HUNTER ZCPP3-1.0B</v>
          </cell>
        </row>
        <row r="103">
          <cell r="A103" t="str">
            <v>CART FILTER DOM HUNTER ZCPP3-1.0C-P</v>
          </cell>
        </row>
        <row r="104">
          <cell r="A104" t="str">
            <v>CART FILTER DOM HUNTER ZCPP3-1.0E</v>
          </cell>
        </row>
        <row r="105">
          <cell r="A105" t="str">
            <v>CART FILTER DOM HUNTER ZCPP4-005D</v>
          </cell>
        </row>
        <row r="106">
          <cell r="A106" t="str">
            <v>CART FILTER DOM HUNTER ZCPP4-1.OD</v>
          </cell>
        </row>
        <row r="107">
          <cell r="A107" t="str">
            <v>CART FILTER SEKISO S-50-30, 50 MIC</v>
          </cell>
        </row>
        <row r="108">
          <cell r="A108" t="str">
            <v>CARTON BOX AQUA 120ML LOCAL</v>
          </cell>
        </row>
        <row r="109">
          <cell r="A109" t="str">
            <v>CARTON BOX AQUA 1500ML BRUNEI EXPORT</v>
          </cell>
        </row>
        <row r="110">
          <cell r="A110" t="str">
            <v>CARTON BOX AQUA 1500ML BRUNEI EXP FLAT</v>
          </cell>
        </row>
        <row r="111">
          <cell r="A111" t="str">
            <v>CARTON BOX AQUA 1500ML LION EXPORT</v>
          </cell>
        </row>
        <row r="112">
          <cell r="A112" t="str">
            <v>CARTON BOX AQUA 1500ML LOCAL</v>
          </cell>
        </row>
        <row r="113">
          <cell r="A113" t="str">
            <v>CARTON BOX AQUA 1500ML LOCAL 40TH</v>
          </cell>
        </row>
        <row r="114">
          <cell r="A114" t="str">
            <v>CARTON BOX AQUA 1500ML LOCAL V.1</v>
          </cell>
        </row>
        <row r="115">
          <cell r="A115" t="str">
            <v>CARTON BOX AQUA 1500ML LOCAL FLAT V.1</v>
          </cell>
        </row>
        <row r="116">
          <cell r="A116" t="str">
            <v>CARTON BOX AQUA 1500ML LION EXPORT FLAT</v>
          </cell>
        </row>
        <row r="117">
          <cell r="A117" t="str">
            <v>1500ML AQUA BOX FL/EXP BF/1206X609 V000</v>
          </cell>
        </row>
        <row r="118">
          <cell r="A118" t="str">
            <v>1500ML AQUA BOX FL/RK BF/1206X609 V000</v>
          </cell>
        </row>
        <row r="119">
          <cell r="A119" t="str">
            <v>CARTON BOX AQUA 1500ML LOCAL RM14</v>
          </cell>
        </row>
        <row r="120">
          <cell r="A120" t="str">
            <v>CARTON BOX AQUA 1500ML LOCAL FLAT</v>
          </cell>
        </row>
        <row r="121">
          <cell r="A121" t="str">
            <v>CARTON BOX AQUA 1500ML SVS EXPORT</v>
          </cell>
        </row>
        <row r="122">
          <cell r="A122" t="str">
            <v>750ML AQUA BOX FL/AA17 CF/1448X485 V000</v>
          </cell>
        </row>
        <row r="123">
          <cell r="A123" t="str">
            <v>750ML AQUA BOX FL/REG CF/1448X485 V000</v>
          </cell>
        </row>
        <row r="124">
          <cell r="A124" t="str">
            <v>750ML AQUA LABEL WA OPP35 REG CW V000</v>
          </cell>
        </row>
        <row r="125">
          <cell r="A125" t="str">
            <v>750MLAQUA BOX FL/SLVHLDAY CF/1448X485 V0</v>
          </cell>
        </row>
        <row r="126">
          <cell r="A126" t="str">
            <v>750ML AQUA LABEL SLV PET40 HOLIDAY V000</v>
          </cell>
        </row>
        <row r="127">
          <cell r="A127" t="str">
            <v>750ML AQUA BOX FL/SLV RM CF/1448X485 V0</v>
          </cell>
        </row>
        <row r="128">
          <cell r="A128" t="str">
            <v>750ML AQUA LABEL SLV PET40 RM V000</v>
          </cell>
        </row>
        <row r="129">
          <cell r="A129" t="str">
            <v>750ML AQUA BOX FL/SLV AG CF/1448X485 V0</v>
          </cell>
        </row>
        <row r="130">
          <cell r="A130" t="str">
            <v>750ML AQUA LABEL SLV PET40 AG V000</v>
          </cell>
        </row>
        <row r="131">
          <cell r="A131" t="str">
            <v>750ML AQUA LABEL WA OPP35 REG CW V1TM</v>
          </cell>
        </row>
        <row r="132">
          <cell r="A132" t="str">
            <v>750ML AQUA BOX FL/REG CF/1448X485 V001</v>
          </cell>
        </row>
        <row r="133">
          <cell r="A133" t="str">
            <v>450ML AQUA BOX FL/MINION BF/610X998 V000</v>
          </cell>
        </row>
        <row r="134">
          <cell r="A134" t="str">
            <v>450MLAQUA BOX FL/SLVHLDAY BF/610X998 V0</v>
          </cell>
        </row>
        <row r="135">
          <cell r="A135" t="str">
            <v>450ML AQUA LABEL SLV PET40 HOLIDAY V000</v>
          </cell>
        </row>
        <row r="136">
          <cell r="A136" t="str">
            <v>450MLAQUA BOX FL/SLVMICKEY BF/610X998 V0</v>
          </cell>
        </row>
        <row r="137">
          <cell r="A137" t="str">
            <v>450MLAQUA BOX FL/SLV INRB BF/610X998 V0</v>
          </cell>
        </row>
        <row r="138">
          <cell r="A138" t="str">
            <v>CARTON BOX AQUA 240ML LION EXPORT</v>
          </cell>
        </row>
        <row r="139">
          <cell r="A139" t="str">
            <v>450ML AQUA BOX FL/SLVMINION BF/610X998 V</v>
          </cell>
        </row>
        <row r="140">
          <cell r="A140" t="str">
            <v>CARTON BOX AQUA 240ML LOCAL</v>
          </cell>
        </row>
        <row r="141">
          <cell r="A141" t="str">
            <v>CARTON BOX AQUA 240ML LOCAL 40TH</v>
          </cell>
        </row>
        <row r="142">
          <cell r="A142" t="str">
            <v>CARTON BOX AQUA 240ML LOCAL V.1</v>
          </cell>
        </row>
        <row r="143">
          <cell r="A143" t="str">
            <v>240ML AQUA BOX A1/KTPT CF/355X236X203 V0</v>
          </cell>
        </row>
        <row r="144">
          <cell r="A144" t="str">
            <v>240ML AQUA LID SQ PE62 KTPT 8L V000</v>
          </cell>
        </row>
        <row r="145">
          <cell r="A145" t="str">
            <v>240ML AQUA LID SQ PE62 REG 8L V000</v>
          </cell>
        </row>
        <row r="146">
          <cell r="A146" t="str">
            <v>240ML AQUA BOX A1/REG CF/355X236X203 V0</v>
          </cell>
        </row>
        <row r="147">
          <cell r="A147" t="str">
            <v>220ML AQUA LID SQ PE62 RM 8L V000</v>
          </cell>
        </row>
        <row r="148">
          <cell r="A148" t="str">
            <v>220ML AQUA BOX A1/RM CF/365X242X203 V0</v>
          </cell>
        </row>
        <row r="149">
          <cell r="A149" t="str">
            <v>220ML AQUA BOX A1/REG CF/355X236X203 V0#</v>
          </cell>
        </row>
        <row r="150">
          <cell r="A150" t="str">
            <v>220ML AQUA LID SQ PE62 REG 8L V000</v>
          </cell>
        </row>
        <row r="151">
          <cell r="A151" t="str">
            <v>220ML AQUA LAYER LOCAL</v>
          </cell>
        </row>
        <row r="152">
          <cell r="A152" t="str">
            <v>220ML AQUA LID SQ PE62 RM 8L V000</v>
          </cell>
        </row>
        <row r="153">
          <cell r="A153" t="str">
            <v>220ML AQUA BOX A1/REG CF/360X244X190 V0</v>
          </cell>
        </row>
        <row r="154">
          <cell r="A154" t="str">
            <v>CARTON BOX AQUA 330ML HOKBEN</v>
          </cell>
        </row>
        <row r="155">
          <cell r="A155" t="str">
            <v>CARTON BOX AQUA 330ML HOKBEN V.1</v>
          </cell>
        </row>
        <row r="156">
          <cell r="A156" t="str">
            <v>CARTON BOX AQUA 330ML HOKBEN FLAT</v>
          </cell>
        </row>
        <row r="157">
          <cell r="A157" t="str">
            <v>CARTON BOX AQUA 330ML ENGLISH V.1</v>
          </cell>
        </row>
        <row r="158">
          <cell r="A158" t="str">
            <v>CARTON BOX AQUA 330ML LION EXPORT</v>
          </cell>
        </row>
        <row r="159">
          <cell r="A159" t="str">
            <v>CARTON BOX AQUA 330ML LOCAL</v>
          </cell>
        </row>
        <row r="160">
          <cell r="A160" t="str">
            <v>CARTON BOX AQUA 330ML LOCAL V.1</v>
          </cell>
        </row>
        <row r="161">
          <cell r="A161" t="str">
            <v>CARTON BOX AQUA 330ML LOCAL 40TH</v>
          </cell>
        </row>
        <row r="162">
          <cell r="A162" t="str">
            <v>CARTON BOX AQUA 330ML LOCAL FLAT</v>
          </cell>
        </row>
        <row r="163">
          <cell r="A163" t="str">
            <v>CARTON BOX AQUA 330ML SVS EXPORT</v>
          </cell>
        </row>
        <row r="164">
          <cell r="A164" t="str">
            <v>CARTON BOX AQUA 380ML REFLECTIONS</v>
          </cell>
        </row>
        <row r="165">
          <cell r="A165" t="str">
            <v>CARTON BOX AQUA 600ML BRUNEI EXPORT</v>
          </cell>
        </row>
        <row r="166">
          <cell r="A166" t="str">
            <v>CARTON BOX AQUA 600ML LION EXPORT</v>
          </cell>
        </row>
        <row r="167">
          <cell r="A167" t="str">
            <v>CARTON BOX AQUA 600ML LOCAL</v>
          </cell>
        </row>
        <row r="168">
          <cell r="A168" t="str">
            <v>CARTON BOX AQUA 600ML LOCAL 40TH</v>
          </cell>
        </row>
        <row r="169">
          <cell r="A169" t="str">
            <v>CARTON BOX AQUA 600ML LOCAL V.1</v>
          </cell>
        </row>
        <row r="170">
          <cell r="A170" t="str">
            <v>CARTON BOX AQUA 600ML LOCAL TI 2015</v>
          </cell>
        </row>
        <row r="171">
          <cell r="A171" t="str">
            <v>CARTON BOX AQUA 600ML LOCAL RM14</v>
          </cell>
        </row>
        <row r="172">
          <cell r="A172" t="str">
            <v>600ML AQUA LABEL WA OPP35 TI CCW V000</v>
          </cell>
        </row>
        <row r="173">
          <cell r="A173" t="str">
            <v>600ML AQUA BOX A1/SUS BF/397X265X233 V00</v>
          </cell>
        </row>
        <row r="174">
          <cell r="A174" t="str">
            <v>600ML AQUA LABEL WA OPP35 SUS CCW V000</v>
          </cell>
        </row>
        <row r="175">
          <cell r="A175" t="str">
            <v>600ML AQUA BOX A1/TI BF/397X265X233 V000</v>
          </cell>
        </row>
        <row r="176">
          <cell r="A176" t="str">
            <v>600ML AQUA BOX A1/EXP CF/395X264X231 V00</v>
          </cell>
        </row>
        <row r="177">
          <cell r="A177" t="str">
            <v>600ML AQUA LABEL WA OPP35 AA17 CCW V000</v>
          </cell>
        </row>
        <row r="178">
          <cell r="A178" t="str">
            <v>600ML AQUA BOX A1/AA BF/397X265X233 V000</v>
          </cell>
        </row>
        <row r="179">
          <cell r="A179" t="str">
            <v>600ML AQUA LABEL WA OPP 35 EXP CCW V000</v>
          </cell>
        </row>
        <row r="180">
          <cell r="A180" t="str">
            <v>600ML AQUA LABEL WA OPP35 RM CCW V000</v>
          </cell>
        </row>
        <row r="181">
          <cell r="A181" t="str">
            <v>600ML AQUA BOX A1/RM BF/397X265X233 V000</v>
          </cell>
        </row>
        <row r="182">
          <cell r="A182" t="str">
            <v>600ML AQUA LABEL WA OPP35 RK17 CCW V000</v>
          </cell>
        </row>
        <row r="183">
          <cell r="A183" t="str">
            <v>600ML AQUA BOX A1/RK BF/397X265X233 V000</v>
          </cell>
        </row>
        <row r="184">
          <cell r="A184" t="str">
            <v>600ML AQUA BOX A1/REG BF/397X265X233 V00</v>
          </cell>
        </row>
        <row r="185">
          <cell r="A185" t="str">
            <v>600ML AQUA LABEL WA OPP35 REG CCW V000</v>
          </cell>
        </row>
        <row r="186">
          <cell r="A186" t="str">
            <v>600ML AQUA BOX A1/REG BF/397X265X233 V01</v>
          </cell>
        </row>
        <row r="187">
          <cell r="A187" t="str">
            <v>600ML AQUA LABEL WA OPP35 REG CCW V1TM</v>
          </cell>
        </row>
        <row r="188">
          <cell r="A188" t="str">
            <v>1500ML AQUA LABEL WA OPP 35 EXP CW V000</v>
          </cell>
        </row>
        <row r="189">
          <cell r="A189" t="str">
            <v>1500ML AQUA BOX FL/RK BF/1206X609 V000</v>
          </cell>
        </row>
        <row r="190">
          <cell r="A190" t="str">
            <v>1500ML AQUA LABEL WA OPP35 RK17 CW V000</v>
          </cell>
        </row>
        <row r="191">
          <cell r="A191" t="str">
            <v>1500ML AQUA BOX FL/REG BF/1206X609 V000</v>
          </cell>
        </row>
        <row r="192">
          <cell r="A192" t="str">
            <v>1500ML AQUA LABEL WA OPP35 RM CW V000</v>
          </cell>
        </row>
        <row r="193">
          <cell r="A193" t="str">
            <v>1500ML AQUA BOX FL/RM BF/1206X609 V000</v>
          </cell>
        </row>
        <row r="194">
          <cell r="A194" t="str">
            <v>1500ML AQUA LABEL WA OPP35 REG CW V000</v>
          </cell>
        </row>
        <row r="195">
          <cell r="A195" t="str">
            <v>1500ML AQUA BOX FL/NT BF/1206X609 V000</v>
          </cell>
        </row>
        <row r="196">
          <cell r="A196" t="str">
            <v>1500ML AQUA LABEL WA OPP35 NT CW V000</v>
          </cell>
        </row>
        <row r="197">
          <cell r="A197" t="str">
            <v>1500ML AQUA BOX FL/AG BF/1206X609 V000</v>
          </cell>
        </row>
        <row r="198">
          <cell r="A198" t="str">
            <v>1500ML AQUA LABEL WA OPP35 AG CW V000</v>
          </cell>
        </row>
        <row r="199">
          <cell r="A199" t="str">
            <v>1500ML AQUA BOX FL/REG BF/1206X609 V001</v>
          </cell>
        </row>
        <row r="200">
          <cell r="A200" t="str">
            <v>1500ML AQUA LABEL WA OPP35 REG CW V1TM</v>
          </cell>
        </row>
        <row r="201">
          <cell r="A201" t="str">
            <v>600ML AQUA BOX A1/AG BF/397X265X233 V00</v>
          </cell>
        </row>
        <row r="202">
          <cell r="A202" t="str">
            <v>600ML AQUA LABEL WA OPP35 AG CCW V000</v>
          </cell>
        </row>
        <row r="203">
          <cell r="A203" t="str">
            <v>600ML AQUA BOX A1/NT BF/397X265X233 V000</v>
          </cell>
        </row>
        <row r="204">
          <cell r="A204" t="str">
            <v>600ML AQUA LABEL WA OPP35 NT CCW V000</v>
          </cell>
        </row>
        <row r="205">
          <cell r="A205" t="str">
            <v>LABEL AQUA 600ML LOCAL C/CLOCKWISE CRM</v>
          </cell>
        </row>
        <row r="206">
          <cell r="A206" t="str">
            <v>CARTON BOX AQUA 600ML LOCAL AA 2016</v>
          </cell>
        </row>
        <row r="207">
          <cell r="A207" t="str">
            <v>CARTON BOX AQUA 600ML LOCAL FLAT</v>
          </cell>
        </row>
        <row r="208">
          <cell r="A208" t="str">
            <v>CARTON BOX AQUA 600ML SVS EXPORT</v>
          </cell>
        </row>
        <row r="209">
          <cell r="A209" t="str">
            <v>CARTON BOX MIZONE 1500ML LL</v>
          </cell>
        </row>
        <row r="210">
          <cell r="A210" t="str">
            <v>CARTON BOX MIZONE 500ML AG</v>
          </cell>
        </row>
        <row r="211">
          <cell r="A211" t="str">
            <v>CARTON BOX MIZONE 500ML LL</v>
          </cell>
        </row>
        <row r="212">
          <cell r="A212" t="str">
            <v>CARTON BOX MIZONE 500ML MK</v>
          </cell>
        </row>
        <row r="213">
          <cell r="A213" t="str">
            <v>CARTON BOX MIZONE 500ML OL</v>
          </cell>
        </row>
        <row r="214">
          <cell r="A214" t="str">
            <v>CARTON BOX MIZONE 500ML PF</v>
          </cell>
        </row>
        <row r="215">
          <cell r="A215" t="str">
            <v>CARTON BOX NON LOGO SIZE = 58X37.5X59</v>
          </cell>
        </row>
        <row r="216">
          <cell r="A216" t="str">
            <v>CARTON BOX NON LOGO SIZE = 60X40X40</v>
          </cell>
        </row>
        <row r="217">
          <cell r="A217" t="str">
            <v>CARTON BOX NON LOGO SIZE = 65X45X64</v>
          </cell>
        </row>
        <row r="218">
          <cell r="A218" t="str">
            <v>CARTON BOX NON LOGO SIZE = 76X55X69</v>
          </cell>
        </row>
        <row r="219">
          <cell r="A219" t="str">
            <v>CARTON BOX NON LOGO SIZE = 77X39X70</v>
          </cell>
        </row>
        <row r="220">
          <cell r="A220" t="str">
            <v>CARTON SEAL POLOS 100 M</v>
          </cell>
        </row>
        <row r="221">
          <cell r="A221" t="str">
            <v>CARTON SEAL POLOS 100 M X 24 MM</v>
          </cell>
        </row>
        <row r="222">
          <cell r="A222" t="str">
            <v>CARTON SEAL POLOS 500 M</v>
          </cell>
        </row>
        <row r="223">
          <cell r="A223" t="str">
            <v>CARTON SEAL POLOS 500 M X 48 MM</v>
          </cell>
        </row>
        <row r="224">
          <cell r="A224" t="str">
            <v>CARTON SEAL POLOS 1000 M</v>
          </cell>
        </row>
        <row r="225">
          <cell r="A225" t="str">
            <v>CARTRIDGE FILTER CUNO 1Μ BLA 100B03 BD</v>
          </cell>
        </row>
        <row r="226">
          <cell r="A226" t="str">
            <v>CARTRIDGE FILTER CUNO 40Μ NT 30T 400SOCA</v>
          </cell>
        </row>
        <row r="227">
          <cell r="A227" t="str">
            <v>CARTRIDGE FILTER CUNO 5Μ XL 30PP050 BOA</v>
          </cell>
        </row>
        <row r="228">
          <cell r="A228" t="str">
            <v>CARTRIDGE FILTER CUNO 5Μ XL 30PP050 DA</v>
          </cell>
        </row>
        <row r="229">
          <cell r="A229" t="str">
            <v>CARTRIDGE FILTER CUNO XL40PP010BOA</v>
          </cell>
        </row>
        <row r="230">
          <cell r="A230" t="str">
            <v>CARTRIDGE FILTER P/N AB1PFA7WH4</v>
          </cell>
        </row>
        <row r="231">
          <cell r="A231" t="str">
            <v>CAUSTIC LIQUID</v>
          </cell>
        </row>
        <row r="232">
          <cell r="A232" t="str">
            <v>CENTRIMEDE AGAR</v>
          </cell>
        </row>
        <row r="233">
          <cell r="A233" t="str">
            <v>CHEMICAL BOILER B. 102</v>
          </cell>
        </row>
        <row r="234">
          <cell r="A234" t="str">
            <v>CHLORINE</v>
          </cell>
        </row>
        <row r="235">
          <cell r="A235" t="str">
            <v>CHROMOL</v>
          </cell>
        </row>
        <row r="236">
          <cell r="A236" t="str">
            <v>CIP</v>
          </cell>
        </row>
        <row r="237">
          <cell r="A237" t="str">
            <v>CLEAN &amp; SMOOTHED</v>
          </cell>
        </row>
        <row r="238">
          <cell r="A238" t="str">
            <v>CLEANING 5200 @1L</v>
          </cell>
        </row>
        <row r="239">
          <cell r="A239" t="str">
            <v>CLEANING 5100 @1L</v>
          </cell>
        </row>
        <row r="240">
          <cell r="A240" t="str">
            <v>CLEANING HANTECH HTC - 59100 - I</v>
          </cell>
        </row>
        <row r="241">
          <cell r="A241" t="str">
            <v>CLEAN MELT HM 7688P</v>
          </cell>
        </row>
        <row r="242">
          <cell r="A242" t="str">
            <v>CONLUB DRY @30L</v>
          </cell>
        </row>
        <row r="243">
          <cell r="A243" t="str">
            <v>CRATE 5 GALLON</v>
          </cell>
        </row>
        <row r="244">
          <cell r="A244" t="str">
            <v>CRATE AQUA 380ML LOCAL</v>
          </cell>
        </row>
        <row r="245">
          <cell r="A245" t="str">
            <v>CROWN CORK AQUA 375/380ML</v>
          </cell>
        </row>
        <row r="246">
          <cell r="A246" t="str">
            <v>CT-01</v>
          </cell>
        </row>
        <row r="247">
          <cell r="A247" t="str">
            <v>CTR FILTER CUNO XL30PP010BOA BETAFINE XL</v>
          </cell>
        </row>
        <row r="248">
          <cell r="A248" t="str">
            <v>CTR FILTER CUNO XL30PP010FOA BETAFINE XL</v>
          </cell>
        </row>
        <row r="249">
          <cell r="A249" t="str">
            <v>CTR FILTER CUNO XL30PP050FOA BETAFINE</v>
          </cell>
        </row>
        <row r="250">
          <cell r="A250" t="str">
            <v>CTR FLTR CUNO 40MIC POLYNET NT30T400S0NG</v>
          </cell>
        </row>
        <row r="251">
          <cell r="A251" t="str">
            <v>CTR FLTR CUNO 5MIC POLYNET NT30T050S0BA</v>
          </cell>
        </row>
        <row r="252">
          <cell r="A252" t="str">
            <v>CUP AQUA 120ML SQUARE</v>
          </cell>
        </row>
        <row r="253">
          <cell r="A253" t="str">
            <v>CUP AQUA 240ML LOGO</v>
          </cell>
        </row>
        <row r="254">
          <cell r="A254" t="str">
            <v>CUP AQUA 240ML SQUARE</v>
          </cell>
        </row>
        <row r="255">
          <cell r="A255" t="str">
            <v>DISPOMELT  DMC  5367 FOR LABEL SPS</v>
          </cell>
        </row>
        <row r="256">
          <cell r="A256" t="str">
            <v>DISPOMELT 5201 UV FOR LABEL MIZONE</v>
          </cell>
        </row>
        <row r="257">
          <cell r="A257" t="str">
            <v>DISPOMELT DM 8586 FOR LABEL SPS</v>
          </cell>
        </row>
        <row r="258">
          <cell r="A258" t="str">
            <v>DISPOMELT GLUE FOR LABEL SPS</v>
          </cell>
        </row>
        <row r="259">
          <cell r="A259" t="str">
            <v>DIVERBOT PC WASH</v>
          </cell>
        </row>
        <row r="260">
          <cell r="A260" t="str">
            <v>DIVERTIG</v>
          </cell>
        </row>
        <row r="261">
          <cell r="A261" t="str">
            <v>DRY EXX</v>
          </cell>
        </row>
        <row r="262">
          <cell r="A262" t="str">
            <v>ELEMENT FILTER DOMNICK ZCMT3-020C-A</v>
          </cell>
        </row>
        <row r="263">
          <cell r="A263" t="str">
            <v>EMPTY BOTTLE AQUA 1500ML</v>
          </cell>
        </row>
        <row r="264">
          <cell r="A264" t="str">
            <v>EMPTY BOTTLE AQUA 330ML</v>
          </cell>
        </row>
        <row r="265">
          <cell r="A265" t="str">
            <v>EMPTY BOTTLE AQUA 330ML BLUE</v>
          </cell>
        </row>
        <row r="266">
          <cell r="A266" t="str">
            <v>EMPTY BOTTLE AQUA 380ML LOCAL</v>
          </cell>
        </row>
        <row r="267">
          <cell r="A267" t="str">
            <v>EMPTY BOTTLE AQUA 380ML REFLECTIONS</v>
          </cell>
        </row>
        <row r="268">
          <cell r="A268" t="str">
            <v>EMPTY BOTTLE AQUA 5 GALLON</v>
          </cell>
        </row>
        <row r="269">
          <cell r="A269" t="str">
            <v>EMPTY BOTTLE AQUA 5 GALLON (PRODUCE)</v>
          </cell>
        </row>
        <row r="270">
          <cell r="A270" t="str">
            <v>EMPTY BOTTLE AQUA 600ML</v>
          </cell>
        </row>
        <row r="271">
          <cell r="A271" t="str">
            <v>EMPTY BOTTLE VIT 5 GALLON</v>
          </cell>
        </row>
        <row r="272">
          <cell r="A272" t="str">
            <v>ET-02</v>
          </cell>
        </row>
        <row r="273">
          <cell r="A273" t="str">
            <v>EUROMELT 362 LV FOR LABEL SPS</v>
          </cell>
        </row>
        <row r="274">
          <cell r="A274" t="str">
            <v>EUROMELT 362 TH FOR LABEL SPS</v>
          </cell>
        </row>
        <row r="275">
          <cell r="A275" t="str">
            <v>FILTER CART CUNO 1Μ DOE XL30PP010DA BETA</v>
          </cell>
        </row>
        <row r="276">
          <cell r="A276" t="str">
            <v>FILTER CART CUNO 5Μ DOE NT30T050SONG</v>
          </cell>
        </row>
        <row r="277">
          <cell r="A277" t="str">
            <v>FILTER CARTRIDGE 1 MICRON ABS DBL OPEN</v>
          </cell>
        </row>
        <row r="278">
          <cell r="A278" t="str">
            <v>FILTER CARTRIDGE 40 MICRON ABS DBL OPEN</v>
          </cell>
        </row>
        <row r="279">
          <cell r="A279" t="str">
            <v>FILTER CARTRIDGE 5 MICRON ABS DBL OPEN</v>
          </cell>
        </row>
        <row r="280">
          <cell r="A280" t="str">
            <v>FILTER CARTRIDGE 5 MICRON ABS SGL OPEN</v>
          </cell>
        </row>
        <row r="281">
          <cell r="A281" t="str">
            <v>FILTER CARTRIDGE DOMINICK HUNTER ZCSS1-0</v>
          </cell>
        </row>
        <row r="282">
          <cell r="A282" t="str">
            <v>FILTER CARTRIDGE PALL E 501F3QS</v>
          </cell>
        </row>
        <row r="283">
          <cell r="A283" t="str">
            <v>FILTER CARTRIDGE PALL E501F3FE</v>
          </cell>
        </row>
        <row r="284">
          <cell r="A284" t="str">
            <v>FILTER CARTRIDGE PALL E505F3QS</v>
          </cell>
        </row>
        <row r="285">
          <cell r="A285" t="str">
            <v>FILTER CARTRIDGE PALL WCP01NB33S</v>
          </cell>
        </row>
        <row r="286">
          <cell r="A286" t="str">
            <v>FILTER CARTRIDGE PALL WCP01NB43S</v>
          </cell>
        </row>
        <row r="287">
          <cell r="A287" t="str">
            <v>FILTER CRTDG POLYNET NT40T050SOBA CUNO</v>
          </cell>
        </row>
        <row r="288">
          <cell r="A288" t="str">
            <v>FILTER CTD 1Μ DOM HUNTER DBL OPEN 40"</v>
          </cell>
        </row>
        <row r="289">
          <cell r="A289" t="str">
            <v>FILTER CTD 1Μ DOM HUNTER SGL OPEN 30"</v>
          </cell>
        </row>
        <row r="290">
          <cell r="A290" t="str">
            <v>FILTER CTD 5Μ DOM HUNTER SGL OPEN 30"</v>
          </cell>
        </row>
        <row r="291">
          <cell r="A291" t="str">
            <v>FILTER CTD CUNO NT 40T050SOCA 5 MIC</v>
          </cell>
        </row>
        <row r="292">
          <cell r="A292" t="str">
            <v>FILTER CTD DOM H 1Μ ABS ZCPP3.1 SOE</v>
          </cell>
        </row>
        <row r="293">
          <cell r="A293" t="str">
            <v>FILTER CTD NT30T050SOBA 5 MIC CUNO</v>
          </cell>
        </row>
        <row r="294">
          <cell r="A294" t="str">
            <v>FILTER CTD NT30T200SONG POLY 30" 20 MC C</v>
          </cell>
        </row>
        <row r="295">
          <cell r="A295" t="str">
            <v>FILTER CTD PALL AB4UY0208WH4 1 MIC</v>
          </cell>
        </row>
        <row r="296">
          <cell r="A296" t="str">
            <v>FILTER CTD PALL AB4UY0458WH4 5 MIC</v>
          </cell>
        </row>
        <row r="297">
          <cell r="A297" t="str">
            <v>FILTER CTD XL40PP010C0A BETAFINE 1</v>
          </cell>
        </row>
        <row r="298">
          <cell r="A298" t="str">
            <v>FILTER CUNO BAG NB0025PPS2C</v>
          </cell>
        </row>
        <row r="299">
          <cell r="A299" t="str">
            <v>FL-AP 02</v>
          </cell>
        </row>
        <row r="300">
          <cell r="A300" t="str">
            <v>FL-LC 01</v>
          </cell>
        </row>
        <row r="301">
          <cell r="A301" t="str">
            <v>FL-LL 01</v>
          </cell>
        </row>
        <row r="302">
          <cell r="A302" t="str">
            <v>FL-MK-01</v>
          </cell>
        </row>
        <row r="303">
          <cell r="A303" t="str">
            <v>FL-OR 02</v>
          </cell>
        </row>
        <row r="304">
          <cell r="A304" t="str">
            <v>FL-PF 01</v>
          </cell>
        </row>
        <row r="305">
          <cell r="A305" t="str">
            <v>FL-TP 01</v>
          </cell>
        </row>
        <row r="306">
          <cell r="A306" t="str">
            <v>FLUSHING AGENT</v>
          </cell>
        </row>
        <row r="307">
          <cell r="A307" t="str">
            <v>FLUSHING 5146</v>
          </cell>
        </row>
        <row r="308">
          <cell r="A308" t="str">
            <v>FR-02</v>
          </cell>
        </row>
        <row r="309">
          <cell r="A309" t="str">
            <v>FR-03</v>
          </cell>
        </row>
        <row r="310">
          <cell r="A310" t="str">
            <v>GLUE CLEANER</v>
          </cell>
        </row>
        <row r="311">
          <cell r="A311" t="str">
            <v>GP CLEAN</v>
          </cell>
        </row>
        <row r="312">
          <cell r="A312" t="str">
            <v>GRAVEL 1.60 - 3.17 MM ( C )</v>
          </cell>
        </row>
        <row r="313">
          <cell r="A313" t="str">
            <v>GRAVEL 3.17 - 6.35 MM ( B )</v>
          </cell>
        </row>
        <row r="314">
          <cell r="A314" t="str">
            <v>GRAVEL 6.35 - 12.7 MM ( A )</v>
          </cell>
        </row>
        <row r="315">
          <cell r="A315" t="str">
            <v>HCL</v>
          </cell>
        </row>
        <row r="316">
          <cell r="A316" t="str">
            <v>HCL 15%</v>
          </cell>
        </row>
        <row r="317">
          <cell r="A317" t="str">
            <v>HOROLITH 617</v>
          </cell>
        </row>
        <row r="318">
          <cell r="A318" t="str">
            <v>HOTMELT EP 100 FOR CARTON BOX</v>
          </cell>
        </row>
        <row r="319">
          <cell r="A319" t="str">
            <v>HY_LITE REFILL PACK(130101.0021)</v>
          </cell>
        </row>
        <row r="320">
          <cell r="A320" t="str">
            <v>HNO3</v>
          </cell>
        </row>
        <row r="321">
          <cell r="A321" t="str">
            <v>HYPO</v>
          </cell>
        </row>
        <row r="322">
          <cell r="A322" t="str">
            <v>IMPREGNANT (DOMINO 0.825L/BOT MC-270BK)</v>
          </cell>
        </row>
        <row r="323">
          <cell r="A323" t="str">
            <v>INDIGO HIGH RANGE CAT.25180-25</v>
          </cell>
        </row>
        <row r="324">
          <cell r="A324" t="str">
            <v>INDIGO LOW RANGE CAT. 25160-25</v>
          </cell>
        </row>
        <row r="325">
          <cell r="A325" t="str">
            <v>INDIGO MET RANGE CAT. 25170-25</v>
          </cell>
        </row>
        <row r="326">
          <cell r="A326" t="str">
            <v>INK BLACK 5220</v>
          </cell>
        </row>
        <row r="327">
          <cell r="A327" t="str">
            <v>INK BLACK 5235</v>
          </cell>
        </row>
        <row r="328">
          <cell r="A328" t="str">
            <v>INK BLACK 5538</v>
          </cell>
        </row>
        <row r="329">
          <cell r="A329" t="str">
            <v>INK BLACK ALPHAJET 1006.8226</v>
          </cell>
        </row>
        <row r="330">
          <cell r="A330" t="str">
            <v>INK BLACK ALPHAJET 1006.8282</v>
          </cell>
        </row>
        <row r="331">
          <cell r="A331" t="str">
            <v>INK BLACK FT 52</v>
          </cell>
        </row>
        <row r="332">
          <cell r="A332" t="str">
            <v>INK BLACK HANTECH : HTIW-BK 870 121</v>
          </cell>
        </row>
        <row r="333">
          <cell r="A333" t="str">
            <v>INK BLACK HANTECH HTI - BK59157 - I</v>
          </cell>
        </row>
        <row r="334">
          <cell r="A334" t="str">
            <v>INK CARTRIDGE DOMINO</v>
          </cell>
        </row>
        <row r="335">
          <cell r="A335" t="str">
            <v>INK CRAYON A 177787 (FOR CODING BOX)</v>
          </cell>
        </row>
        <row r="336">
          <cell r="A336" t="str">
            <v>INK CRAYON A 26023 @5L</v>
          </cell>
        </row>
        <row r="337">
          <cell r="A337" t="str">
            <v>INK CRAYON EXTRA 001500/A26021 @4.5L</v>
          </cell>
        </row>
        <row r="338">
          <cell r="A338" t="str">
            <v>INK CRAYON PLUS P/W BLACK 170117</v>
          </cell>
        </row>
        <row r="339">
          <cell r="A339" t="str">
            <v>INK ILC BLACK A 17787</v>
          </cell>
        </row>
        <row r="340">
          <cell r="A340" t="str">
            <v>INK IMAGE 5144</v>
          </cell>
        </row>
        <row r="341">
          <cell r="A341" t="str">
            <v>INK IMAGE 5151 YELLOW</v>
          </cell>
        </row>
        <row r="342">
          <cell r="A342" t="str">
            <v>INK IMAGE 5157 E</v>
          </cell>
        </row>
        <row r="343">
          <cell r="A343" t="str">
            <v>INK IMAGE 5220</v>
          </cell>
        </row>
        <row r="344">
          <cell r="A344" t="str">
            <v>INK IMAGE 5160 WHITE</v>
          </cell>
        </row>
        <row r="345">
          <cell r="A345" t="str">
            <v>INK KIWI</v>
          </cell>
        </row>
        <row r="346">
          <cell r="A346" t="str">
            <v>INK MARSH 20943</v>
          </cell>
        </row>
        <row r="347">
          <cell r="A347" t="str">
            <v>INK MARSH GALLON U-P-BK2-G5</v>
          </cell>
        </row>
        <row r="348">
          <cell r="A348" t="str">
            <v>INK MARSH IJP BK-2G5</v>
          </cell>
        </row>
        <row r="349">
          <cell r="A349" t="str">
            <v>INK MARSH SOLVEN</v>
          </cell>
        </row>
        <row r="350">
          <cell r="A350" t="str">
            <v>INK CRAYON A26021</v>
          </cell>
        </row>
        <row r="351">
          <cell r="A351" t="str">
            <v>INK RESERVOIR DOMINO</v>
          </cell>
        </row>
        <row r="352">
          <cell r="A352" t="str">
            <v>INK VIDEO JET 16 - 4200 Q</v>
          </cell>
        </row>
        <row r="353">
          <cell r="A353" t="str">
            <v>INK VIDEO JET 16 - 8200 Q</v>
          </cell>
        </row>
        <row r="354">
          <cell r="A354" t="str">
            <v>INK VIDEO JET 16 - 8700 Q</v>
          </cell>
        </row>
        <row r="355">
          <cell r="A355" t="str">
            <v>INK WTR BASED HANTECH -HTIWB-BK266021-I</v>
          </cell>
        </row>
        <row r="356">
          <cell r="A356" t="str">
            <v>INK((DOMINO)(1.2L/BOT  IR-270BK))</v>
          </cell>
        </row>
        <row r="357">
          <cell r="A357" t="str">
            <v>TINTA PUTIH MW 137 CATRIDGE @ 0.6 LTR</v>
          </cell>
        </row>
        <row r="358">
          <cell r="A358" t="str">
            <v>TINTA HITAM MB 175 CATRIDGE @ 0.8 LTR</v>
          </cell>
        </row>
        <row r="359">
          <cell r="A359" t="str">
            <v>ADDITIVE J 188 CATRIDGE @ 0.8 LTR</v>
          </cell>
        </row>
        <row r="360">
          <cell r="A360" t="str">
            <v>ADDITIVE J 199 CATRIDGE @ 0.8 LTR</v>
          </cell>
        </row>
        <row r="361">
          <cell r="A361" t="str">
            <v>JUG RACK</v>
          </cell>
        </row>
        <row r="362">
          <cell r="A362" t="str">
            <v>KAPORIT</v>
          </cell>
        </row>
        <row r="363">
          <cell r="A363" t="str">
            <v>KATADYN ANODE E-1</v>
          </cell>
        </row>
        <row r="364">
          <cell r="A364" t="str">
            <v>KURIN POWER 308</v>
          </cell>
        </row>
        <row r="365">
          <cell r="A365" t="str">
            <v>LABEL 600ML AQUA - MANUAL ANGGUN</v>
          </cell>
        </row>
        <row r="366">
          <cell r="A366" t="str">
            <v>LABEL AQUA 1500ML BRUNEI EXPORT ROLL</v>
          </cell>
        </row>
        <row r="367">
          <cell r="A367" t="str">
            <v>LABEL AQUA 1500ML LION EXPORT ROLL</v>
          </cell>
        </row>
        <row r="368">
          <cell r="A368" t="str">
            <v>LABEL AQUA 1500ML LION EXPORT ROLL V.1</v>
          </cell>
        </row>
        <row r="369">
          <cell r="A369" t="str">
            <v>LABEL AQUA 1500ML LOCAL C/CLOCKWISE</v>
          </cell>
        </row>
        <row r="370">
          <cell r="A370" t="str">
            <v>LABEL AQUA 1500ML LOCAL C/CLOCKWISE 40TH</v>
          </cell>
        </row>
        <row r="371">
          <cell r="A371" t="str">
            <v>LABEL AQUA 1500ML LOCAL CLOCKWISE</v>
          </cell>
        </row>
        <row r="372">
          <cell r="A372" t="str">
            <v>LABEL AQUA 1500ML LOCAL CLOCKWISE 40TH</v>
          </cell>
        </row>
        <row r="373">
          <cell r="A373" t="str">
            <v>LABEL AQUA 1500ML LOCAL CLOCKWISE V.1</v>
          </cell>
        </row>
        <row r="374">
          <cell r="A374" t="str">
            <v>LABEL AQUA 1500ML LOCAL CLOCKWISE RM14</v>
          </cell>
        </row>
        <row r="375">
          <cell r="A375" t="str">
            <v>LABEL AQUA 1500ML LOCAL MANUAL</v>
          </cell>
        </row>
        <row r="376">
          <cell r="A376" t="str">
            <v>LABEL AQUA 1500ML LOCAL MANUAL 40TH</v>
          </cell>
        </row>
        <row r="377">
          <cell r="A377" t="str">
            <v>LABEL AQUA 1500ML SVS EXPORT ROLL</v>
          </cell>
        </row>
        <row r="378">
          <cell r="A378" t="str">
            <v>LABEL AQUA 330ML HOKBEN CLOCKWISE</v>
          </cell>
        </row>
        <row r="379">
          <cell r="A379" t="str">
            <v>LABEL AQUA 330ML HOKBEN CLOCKWISE V.1</v>
          </cell>
        </row>
        <row r="380">
          <cell r="A380" t="str">
            <v>LABEL AQUA 330ML HOKBEN FLAT</v>
          </cell>
        </row>
        <row r="381">
          <cell r="A381" t="str">
            <v>LABEL AQUA 330ML LION EXPORT MANUAL</v>
          </cell>
        </row>
        <row r="382">
          <cell r="A382" t="str">
            <v>LABEL AQUA 330ML LION EXPORT ROLL</v>
          </cell>
        </row>
        <row r="383">
          <cell r="A383" t="str">
            <v>LABEL AQUA 330ML LOCAL C/CLOCKWISE</v>
          </cell>
        </row>
        <row r="384">
          <cell r="A384" t="str">
            <v>LABEL AQUA 330ML LOCAL C/CLOCKWISE 40TH</v>
          </cell>
        </row>
        <row r="385">
          <cell r="A385" t="str">
            <v>LABEL AQUA 330ML LOCAL CLOCKWISE</v>
          </cell>
        </row>
        <row r="386">
          <cell r="A386" t="str">
            <v>LABEL AQUA 330ML LOCAL CLOCKWISE 40TH</v>
          </cell>
        </row>
        <row r="387">
          <cell r="A387" t="str">
            <v>LABEL AQUA 330ML LOCAL CLOCKWISE V.1</v>
          </cell>
        </row>
        <row r="388">
          <cell r="A388" t="str">
            <v>LABEL AQUA 330ML CLOCKWISE ENGLISH V.1</v>
          </cell>
        </row>
        <row r="389">
          <cell r="A389" t="str">
            <v>LABEL AQUA 330ML CLOCKWISE ENGLISH V.2</v>
          </cell>
        </row>
        <row r="390">
          <cell r="A390" t="str">
            <v>LABEL AQUA 330ML LOCAL MANUAL</v>
          </cell>
        </row>
        <row r="391">
          <cell r="A391" t="str">
            <v>LABEL AQUA 330ML LOCAL MANUAL 40TH</v>
          </cell>
        </row>
        <row r="392">
          <cell r="A392" t="str">
            <v>LABEL AQUA 330ML SVS EXPORT MANUAL</v>
          </cell>
        </row>
        <row r="393">
          <cell r="A393" t="str">
            <v>LABEL AQUA 330ML SVS EXPORT ROLL</v>
          </cell>
        </row>
        <row r="394">
          <cell r="A394" t="str">
            <v>LABEL AQUA 5 GALLON LION EXPORT</v>
          </cell>
        </row>
        <row r="395">
          <cell r="A395" t="str">
            <v>LABEL AQUA 5 GALLON LOCAL</v>
          </cell>
        </row>
        <row r="396">
          <cell r="A396" t="str">
            <v>LABEL AQUA 600ML BRUNEI EXPORT ROLL</v>
          </cell>
        </row>
        <row r="397">
          <cell r="A397" t="str">
            <v>LABEL AQUA 600ML LION EXPORT ROLL</v>
          </cell>
        </row>
        <row r="398">
          <cell r="A398" t="str">
            <v>LABEL AQUA 600ML LOCAL C/CLOCKWISE</v>
          </cell>
        </row>
        <row r="399">
          <cell r="A399" t="str">
            <v>LABEL AQUA 600ML LOCAL C/CLOCKWISE 40TH</v>
          </cell>
        </row>
        <row r="400">
          <cell r="A400" t="str">
            <v>LABEL AQUA 600ML LOCAL C/CLOCKWISE V.1</v>
          </cell>
        </row>
        <row r="401">
          <cell r="A401" t="str">
            <v>LABEL AQUA 600ML LOCAL C/CW TI 2015 3IN1</v>
          </cell>
        </row>
        <row r="402">
          <cell r="A402" t="str">
            <v>LABEL AQUA 600ML LOCAL C/CW TI 2015 2IN1</v>
          </cell>
        </row>
        <row r="403">
          <cell r="A403" t="str">
            <v>LABEL AQUA 600ML LOCAL C/CLOCKWISE V.2</v>
          </cell>
        </row>
        <row r="404">
          <cell r="A404" t="str">
            <v>LABEL AQUA 600ML LOCAL CCW AA 2016</v>
          </cell>
        </row>
        <row r="405">
          <cell r="A405" t="str">
            <v>LABEL AQUA 600ML LOCAL C/CLOCKWISE RM14</v>
          </cell>
        </row>
        <row r="406">
          <cell r="A406" t="str">
            <v>LABEL AQUA 600ML LOCAL C/CLOCKWISE CRM</v>
          </cell>
        </row>
        <row r="407">
          <cell r="A407" t="str">
            <v>LABEL AQUA 600ML LOCAL CLOCKWISE</v>
          </cell>
        </row>
        <row r="408">
          <cell r="A408" t="str">
            <v>LABEL AQUA 600ML LOCAL CLOCKWISE 40TH</v>
          </cell>
        </row>
        <row r="409">
          <cell r="A409" t="str">
            <v>LABEL AQUA 600ML LOCAL MANUAL</v>
          </cell>
        </row>
        <row r="410">
          <cell r="A410" t="str">
            <v>LABEL AQUA 600ML LOCAL MANUAL 40TH</v>
          </cell>
        </row>
        <row r="411">
          <cell r="A411" t="str">
            <v>LABEL AQUA 600ML LOCAL SLEEVE 40TH</v>
          </cell>
        </row>
        <row r="412">
          <cell r="A412" t="str">
            <v>LABEL AQUA 600ML SVS EXPORT ROLL</v>
          </cell>
        </row>
        <row r="413">
          <cell r="A413" t="str">
            <v>LABEL MIZONE 1500ML LL ROLL</v>
          </cell>
        </row>
        <row r="414">
          <cell r="A414" t="str">
            <v>LABEL MIZONE 500ML AG ROLL</v>
          </cell>
        </row>
        <row r="415">
          <cell r="A415" t="str">
            <v>LABEL MIZONE 500ML AG ROLL V.1</v>
          </cell>
        </row>
        <row r="416">
          <cell r="A416" t="str">
            <v>LABEL MIZONE 500ML LL ROLL</v>
          </cell>
        </row>
        <row r="417">
          <cell r="A417" t="str">
            <v>LABEL MIZONE 500ML LL ROLL V.1</v>
          </cell>
        </row>
        <row r="418">
          <cell r="A418" t="str">
            <v>LABEL MIZONE 500ML MK ROLL</v>
          </cell>
        </row>
        <row r="419">
          <cell r="A419" t="str">
            <v>LABEL MIZONE 500ML MK ROLL V.1</v>
          </cell>
        </row>
        <row r="420">
          <cell r="A420" t="str">
            <v>LABEL MIZONE 500ML OL ROLL</v>
          </cell>
        </row>
        <row r="421">
          <cell r="A421" t="str">
            <v>LABEL MIZONE 500ML OL ROLL V.1</v>
          </cell>
        </row>
        <row r="422">
          <cell r="A422" t="str">
            <v>LABEL MIZONE 500ML PF ROLL</v>
          </cell>
        </row>
        <row r="423">
          <cell r="A423" t="str">
            <v>LABEL MIZONE 500ML PF ROLL V.1</v>
          </cell>
        </row>
        <row r="424">
          <cell r="A424" t="str">
            <v>LABEL VIT 5 GALLON LOCAL</v>
          </cell>
        </row>
        <row r="425">
          <cell r="A425" t="str">
            <v>LAYER 120ML AQUA GARUDA SQUARE</v>
          </cell>
        </row>
        <row r="426">
          <cell r="A426" t="str">
            <v>LAYER 240ML EXPORT</v>
          </cell>
        </row>
        <row r="427">
          <cell r="A427" t="str">
            <v>LAYER 240ML LOCAL</v>
          </cell>
        </row>
        <row r="428">
          <cell r="A428" t="str">
            <v>LAYER MULTIPACK SIZE 1237 MM X 1151 MM</v>
          </cell>
        </row>
        <row r="429">
          <cell r="A429" t="str">
            <v>LAYER MULTIPACK SIZE 1300 MM X 1120 MM</v>
          </cell>
        </row>
        <row r="430">
          <cell r="A430" t="str">
            <v>LAYER MULTIPACK SIZE 1320 MM X 1135 MM</v>
          </cell>
        </row>
        <row r="431">
          <cell r="A431" t="str">
            <v>LEMON EZE</v>
          </cell>
        </row>
        <row r="432">
          <cell r="A432" t="str">
            <v>LID AQUA 120ML LOCAL</v>
          </cell>
        </row>
        <row r="433">
          <cell r="A433" t="str">
            <v>LID AQUA 240ML LOCAL 12 LINE</v>
          </cell>
        </row>
        <row r="434">
          <cell r="A434" t="str">
            <v>LID AQUA 240ML LOCAL 8 LINE</v>
          </cell>
        </row>
        <row r="435">
          <cell r="A435" t="str">
            <v>LID AQUA 240ML LOCAL 8 LINE 40TH V.1</v>
          </cell>
        </row>
        <row r="436">
          <cell r="A436" t="str">
            <v>LID AQUA 240ML LOCAL 8 LINE 40TH</v>
          </cell>
        </row>
        <row r="437">
          <cell r="A437" t="str">
            <v>LID AQUA 240ML LOCAL 8 LINE CRM</v>
          </cell>
        </row>
        <row r="438">
          <cell r="A438" t="str">
            <v>LID AQUA 240ML LOCAL 8 LINE V.1</v>
          </cell>
        </row>
        <row r="439">
          <cell r="A439" t="str">
            <v>LID AQUA 240ML LOCAL 9 LINE A</v>
          </cell>
        </row>
        <row r="440">
          <cell r="A440" t="str">
            <v>LID AQUA 240ML LOCAL 9 LINE B</v>
          </cell>
        </row>
        <row r="441">
          <cell r="A441" t="str">
            <v>LIQUID CO2</v>
          </cell>
        </row>
        <row r="442">
          <cell r="A442" t="str">
            <v>LUBO DRIVE</v>
          </cell>
        </row>
        <row r="443">
          <cell r="A443" t="str">
            <v>LUBO DRIVE TK</v>
          </cell>
        </row>
        <row r="444">
          <cell r="A444" t="str">
            <v>LUBO DRIVE ZF</v>
          </cell>
        </row>
        <row r="445">
          <cell r="A445" t="str">
            <v>MAINTENANCE</v>
          </cell>
        </row>
        <row r="446">
          <cell r="A446" t="str">
            <v>MAKE UP ALPHAJET (1006.8306)</v>
          </cell>
        </row>
        <row r="447">
          <cell r="A447" t="str">
            <v>MAKE UP ALPHAJET (1006.8333)</v>
          </cell>
        </row>
        <row r="448">
          <cell r="A448" t="str">
            <v>MAKE UP CARTRIDGE DOMINO</v>
          </cell>
        </row>
        <row r="449">
          <cell r="A449" t="str">
            <v>MAKE UP FLUID - INK IMAGE 5191</v>
          </cell>
        </row>
        <row r="450">
          <cell r="A450" t="str">
            <v>MAKE UP FLUID - VIDEO JET (16 -4205 Q)</v>
          </cell>
        </row>
        <row r="451">
          <cell r="A451" t="str">
            <v>MAKE UP FLUID - VIDEO JET (16 -8205 Q)</v>
          </cell>
        </row>
        <row r="452">
          <cell r="A452" t="str">
            <v>MAKE UP FLUID - VIDEO JET (16 -8705 Q)</v>
          </cell>
        </row>
        <row r="453">
          <cell r="A453" t="str">
            <v>MAKE UP HANTECH : HTMW 87 021</v>
          </cell>
        </row>
        <row r="454">
          <cell r="A454" t="str">
            <v>MAKE UP HANTECH HTM - 59191 - I</v>
          </cell>
        </row>
        <row r="455">
          <cell r="A455" t="str">
            <v>MASTERBATCH BLUE PET</v>
          </cell>
        </row>
        <row r="456">
          <cell r="A456" t="str">
            <v>MELT O-CLEAN</v>
          </cell>
        </row>
        <row r="457">
          <cell r="A457" t="str">
            <v>MEMBRAN FILTER 0.45M PUTIH @200</v>
          </cell>
        </row>
        <row r="458">
          <cell r="A458" t="str">
            <v>MEMBRAN FILTER 0.45Μ MILIPORE @150</v>
          </cell>
        </row>
        <row r="459">
          <cell r="A459" t="str">
            <v>MI-01</v>
          </cell>
        </row>
        <row r="460">
          <cell r="A460" t="str">
            <v>MI-02</v>
          </cell>
        </row>
        <row r="461">
          <cell r="A461" t="str">
            <v>MI-03</v>
          </cell>
        </row>
        <row r="462">
          <cell r="A462" t="str">
            <v>MI-04</v>
          </cell>
        </row>
        <row r="463">
          <cell r="A463" t="str">
            <v>MI-05</v>
          </cell>
        </row>
        <row r="464">
          <cell r="A464" t="str">
            <v>MI-07</v>
          </cell>
        </row>
        <row r="465">
          <cell r="A465" t="str">
            <v>MIPCIP</v>
          </cell>
        </row>
        <row r="466">
          <cell r="A466" t="str">
            <v>NA THIOSULFAT</v>
          </cell>
        </row>
        <row r="467">
          <cell r="A467" t="str">
            <v>NACL</v>
          </cell>
        </row>
        <row r="468">
          <cell r="A468" t="str">
            <v>NAOH</v>
          </cell>
        </row>
        <row r="469">
          <cell r="A469" t="str">
            <v>NITROGEN LIQUID</v>
          </cell>
        </row>
        <row r="470">
          <cell r="A470" t="str">
            <v>OKSIGEN</v>
          </cell>
        </row>
        <row r="471">
          <cell r="A471" t="str">
            <v>OXONIA ACTIVE 150</v>
          </cell>
        </row>
        <row r="472">
          <cell r="A472" t="str">
            <v>PALLET 120CM X 100CM X 16CM</v>
          </cell>
        </row>
        <row r="473">
          <cell r="A473" t="str">
            <v>PALLET KAYU</v>
          </cell>
        </row>
        <row r="474">
          <cell r="A474" t="str">
            <v>PALLET PLASTIC 1200X1000X150</v>
          </cell>
        </row>
        <row r="475">
          <cell r="A475" t="str">
            <v>PALLET RENT</v>
          </cell>
        </row>
        <row r="476">
          <cell r="A476" t="str">
            <v>PALLET RENT DOUBLE FACE</v>
          </cell>
        </row>
        <row r="477">
          <cell r="A477" t="str">
            <v>PAPER CARRY HANDLE</v>
          </cell>
        </row>
        <row r="478">
          <cell r="A478" t="str">
            <v>PARTITION AQUA 240ML EXPORT</v>
          </cell>
        </row>
        <row r="479">
          <cell r="A479" t="str">
            <v>PARTITION AQUA 380ML REFLECTIONS</v>
          </cell>
        </row>
        <row r="480">
          <cell r="A480" t="str">
            <v>PE SHRINK WRAP 1500ML</v>
          </cell>
        </row>
        <row r="481">
          <cell r="A481" t="str">
            <v>PE SHRINK WRAP 330ML</v>
          </cell>
        </row>
        <row r="482">
          <cell r="A482" t="str">
            <v>PET-E</v>
          </cell>
        </row>
        <row r="483">
          <cell r="A483" t="str">
            <v>PIONEER</v>
          </cell>
        </row>
        <row r="484">
          <cell r="A484" t="str">
            <v>PLASTIC CARRY HANDLE</v>
          </cell>
        </row>
        <row r="485">
          <cell r="A485" t="str">
            <v>PLASTIC PALLET 1450x1220x150</v>
          </cell>
        </row>
        <row r="486">
          <cell r="A486" t="str">
            <v>PLASTIC PE SIZE = 102X102X0.08</v>
          </cell>
        </row>
        <row r="487">
          <cell r="A487" t="str">
            <v>PLASTIC PE SIZE = 105X115X0.04</v>
          </cell>
        </row>
        <row r="488">
          <cell r="A488" t="str">
            <v>PLASTIC PE SIZE = 105X115X0.5</v>
          </cell>
        </row>
        <row r="489">
          <cell r="A489" t="str">
            <v>PLASTIC PE SIZE = 115X125X0.04</v>
          </cell>
        </row>
        <row r="490">
          <cell r="A490" t="str">
            <v>PLASTIC PE SIZE = 120X135X0.03</v>
          </cell>
        </row>
        <row r="491">
          <cell r="A491" t="str">
            <v>PLASTIC PE SIZE = 125X110X0.03</v>
          </cell>
        </row>
        <row r="492">
          <cell r="A492" t="str">
            <v>PLASTIC PE SIZE = 125X110X0.05</v>
          </cell>
        </row>
        <row r="493">
          <cell r="A493" t="str">
            <v>PLASTIC PE SIZE = 130X102X0.04</v>
          </cell>
        </row>
        <row r="494">
          <cell r="A494" t="str">
            <v>PLASTIC PE SIZE = 140X125X0.03</v>
          </cell>
        </row>
        <row r="495">
          <cell r="A495" t="str">
            <v>PLASTIC PE SIZE = 140X140X0.04</v>
          </cell>
        </row>
        <row r="496">
          <cell r="A496" t="str">
            <v>PLASTIC PE SIZE = 150X125X0.05</v>
          </cell>
        </row>
        <row r="497">
          <cell r="A497" t="str">
            <v>PLASTIC PE SIZE = 200X135X0.05</v>
          </cell>
        </row>
        <row r="498">
          <cell r="A498" t="str">
            <v>PLASTIC PE SIZE = 200X185X0.10</v>
          </cell>
        </row>
        <row r="499">
          <cell r="A499" t="str">
            <v>PLASTIC PE SIZE = 200X190X0.05</v>
          </cell>
        </row>
        <row r="500">
          <cell r="A500" t="str">
            <v>PLASTIC PE SIZE = 200X200X0.10</v>
          </cell>
        </row>
        <row r="501">
          <cell r="A501" t="str">
            <v>PLASTIC PE SIZE = 23000X120X0.10</v>
          </cell>
        </row>
        <row r="502">
          <cell r="A502" t="str">
            <v>PLASTIC PE SIZE = 2600X200X0.04</v>
          </cell>
        </row>
        <row r="503">
          <cell r="A503" t="str">
            <v>PLASTIC PE SIZE = 50000X110X0.05</v>
          </cell>
        </row>
        <row r="504">
          <cell r="A504" t="str">
            <v>PLASTIC PE SIZE = 85X150X0.03</v>
          </cell>
        </row>
        <row r="505">
          <cell r="A505" t="str">
            <v>PLASTIC PE SIZE = 97X110X0.04</v>
          </cell>
        </row>
        <row r="506">
          <cell r="A506" t="str">
            <v>PLASTIC PE SIZE = 98X65X0.04</v>
          </cell>
        </row>
        <row r="507">
          <cell r="A507" t="str">
            <v>PLATE COUNT AGAR</v>
          </cell>
        </row>
        <row r="508">
          <cell r="A508" t="str">
            <v>POLYBRITE</v>
          </cell>
        </row>
        <row r="509">
          <cell r="A509" t="str">
            <v>PREFORM AQUA 1500ML</v>
          </cell>
        </row>
        <row r="510">
          <cell r="A510" t="str">
            <v>PREFORM AQUA 330ML</v>
          </cell>
        </row>
        <row r="511">
          <cell r="A511" t="str">
            <v>PREFORM AQUA 330ML BLUE</v>
          </cell>
        </row>
        <row r="512">
          <cell r="A512" t="str">
            <v>PREFORM AQUA 330ML SHORT NECK</v>
          </cell>
        </row>
        <row r="513">
          <cell r="A513" t="str">
            <v>PREFORM AQUA KIDS 330ML</v>
          </cell>
        </row>
        <row r="514">
          <cell r="A514" t="str">
            <v>PREFORM AQUA 600ML</v>
          </cell>
        </row>
        <row r="515">
          <cell r="A515" t="str">
            <v>PREFORM AQUA 600ML BLUE</v>
          </cell>
        </row>
        <row r="516">
          <cell r="A516" t="str">
            <v>PREFORM MIZONE 1500ML</v>
          </cell>
        </row>
        <row r="517">
          <cell r="A517" t="str">
            <v>PREFORM MIZONE 500ML</v>
          </cell>
        </row>
        <row r="518">
          <cell r="A518" t="str">
            <v>PROLUBE</v>
          </cell>
        </row>
        <row r="519">
          <cell r="A519" t="str">
            <v>PROPOR PESZCMS3-020C-P</v>
          </cell>
        </row>
        <row r="520">
          <cell r="A520" t="str">
            <v>PROTIK</v>
          </cell>
        </row>
        <row r="521">
          <cell r="A521" t="str">
            <v>PURMELT ME CLEANER</v>
          </cell>
        </row>
        <row r="522">
          <cell r="A522" t="str">
            <v>PV-01</v>
          </cell>
        </row>
        <row r="523">
          <cell r="A523" t="str">
            <v>PV-02</v>
          </cell>
        </row>
        <row r="524">
          <cell r="A524" t="str">
            <v>PVC SHRINK WRAP MIZONE LYCHEE LEMON</v>
          </cell>
        </row>
        <row r="525">
          <cell r="A525" t="str">
            <v>PVC SHRINK WRAP MIZONE ORANGE LIME</v>
          </cell>
        </row>
        <row r="526">
          <cell r="A526" t="str">
            <v>RENOL BLUE NB53400205-MN MG TX-4230 CONC</v>
          </cell>
        </row>
        <row r="527">
          <cell r="A527" t="str">
            <v>RESIN COLOURANT PC 7216 R</v>
          </cell>
        </row>
        <row r="528">
          <cell r="A528" t="str">
            <v>RESIN HDPE</v>
          </cell>
        </row>
        <row r="529">
          <cell r="A529" t="str">
            <v>RESIN LEWATIT S 100 FOR WT SOFTENNER</v>
          </cell>
        </row>
        <row r="530">
          <cell r="A530" t="str">
            <v>RESIN LEWATIT S 108</v>
          </cell>
        </row>
        <row r="531">
          <cell r="A531" t="str">
            <v>RESIN PC</v>
          </cell>
        </row>
        <row r="532">
          <cell r="A532" t="str">
            <v>RESIN PET</v>
          </cell>
        </row>
        <row r="533">
          <cell r="A533" t="str">
            <v>RESIN PET MIXING</v>
          </cell>
        </row>
        <row r="534">
          <cell r="A534" t="str">
            <v>RESIN PET REGRIND</v>
          </cell>
        </row>
        <row r="535">
          <cell r="A535" t="str">
            <v>RESIN PP</v>
          </cell>
        </row>
        <row r="536">
          <cell r="A536" t="str">
            <v>RESIN PP MIXING</v>
          </cell>
        </row>
        <row r="537">
          <cell r="A537" t="str">
            <v>RESIN PP REGRIND</v>
          </cell>
        </row>
        <row r="538">
          <cell r="A538" t="str">
            <v>RENOL-BLUE NE51400271-ZN/S MG TX-D4780</v>
          </cell>
        </row>
        <row r="539">
          <cell r="A539" t="str">
            <v>SABARAOUD AGAR</v>
          </cell>
        </row>
        <row r="540">
          <cell r="A540" t="str">
            <v>SANIKLEEN 150</v>
          </cell>
        </row>
        <row r="541">
          <cell r="A541" t="str">
            <v>SCRAP HDPE</v>
          </cell>
        </row>
        <row r="542">
          <cell r="A542" t="str">
            <v>SCRAP PC</v>
          </cell>
        </row>
        <row r="543">
          <cell r="A543" t="str">
            <v>SCRAP PET</v>
          </cell>
        </row>
        <row r="544">
          <cell r="A544" t="str">
            <v>SCRAP PET BLUE</v>
          </cell>
        </row>
        <row r="545">
          <cell r="A545" t="str">
            <v>SCRAP PP</v>
          </cell>
        </row>
        <row r="546">
          <cell r="A546" t="str">
            <v>SCREW CAP AQUA PE ALUMINIUM 28MM</v>
          </cell>
        </row>
        <row r="547">
          <cell r="A547" t="str">
            <v>SCREW CAP AQUA SPS LOGO</v>
          </cell>
        </row>
        <row r="548">
          <cell r="A548" t="str">
            <v>SCREW CAP AQUA SPS NEW LOGO</v>
          </cell>
        </row>
        <row r="549">
          <cell r="A549" t="str">
            <v>SCREW CAP AQUA SPS LOGO (PROCURE)</v>
          </cell>
        </row>
        <row r="550">
          <cell r="A550" t="str">
            <v>SCREW CAP AQUA SPS LOGO SHORT NECK</v>
          </cell>
        </row>
        <row r="551">
          <cell r="A551" t="str">
            <v>SCREW CAP MIZONE</v>
          </cell>
        </row>
        <row r="552">
          <cell r="A552" t="str">
            <v>SHEET 30</v>
          </cell>
        </row>
        <row r="553">
          <cell r="A553" t="str">
            <v>SHEET 55</v>
          </cell>
        </row>
        <row r="554">
          <cell r="A554" t="str">
            <v>SHEET 68</v>
          </cell>
        </row>
        <row r="555">
          <cell r="A555" t="str">
            <v>SHEET 68 (120ML)</v>
          </cell>
        </row>
        <row r="556">
          <cell r="A556" t="str">
            <v>SILICA SAND 0.2 - 0.3 MESH</v>
          </cell>
        </row>
        <row r="557">
          <cell r="A557" t="str">
            <v>SILICA SAND 1.6 - 0.8 MESH</v>
          </cell>
        </row>
        <row r="558">
          <cell r="A558" t="str">
            <v>SILICA SAND 10 - 18 MESH</v>
          </cell>
        </row>
        <row r="559">
          <cell r="A559" t="str">
            <v>SILICA SAND 10 - 20 MESH</v>
          </cell>
        </row>
        <row r="560">
          <cell r="A560" t="str">
            <v>SILICA SAND 14 - 20 MESH</v>
          </cell>
        </row>
        <row r="561">
          <cell r="A561" t="str">
            <v>SILICA SAND 20 - 25 MESH</v>
          </cell>
        </row>
        <row r="562">
          <cell r="A562" t="str">
            <v>SILICA SAND 20 - 30 MESH</v>
          </cell>
        </row>
        <row r="563">
          <cell r="A563" t="str">
            <v>SILICA SAND 30 - 40 MESH</v>
          </cell>
        </row>
        <row r="564">
          <cell r="A564" t="str">
            <v>SILICA SAND 40  - 50 MESH</v>
          </cell>
        </row>
        <row r="565">
          <cell r="A565" t="str">
            <v>SILICA SAND 6 - 10 MESH</v>
          </cell>
        </row>
        <row r="566">
          <cell r="A566" t="str">
            <v>SILICA SAND 6 MESH</v>
          </cell>
        </row>
        <row r="567">
          <cell r="A567" t="str">
            <v>SILVER 1 RGT PP PK/50</v>
          </cell>
        </row>
        <row r="568">
          <cell r="A568" t="str">
            <v>SILVER 2 RGT SOLN PLWS PK/50</v>
          </cell>
        </row>
        <row r="569">
          <cell r="A569" t="str">
            <v>SODIUM HIPOCLORITNE</v>
          </cell>
        </row>
        <row r="570">
          <cell r="A570" t="str">
            <v>SODIUM THIOSULFATE PWD PW PK/50</v>
          </cell>
        </row>
        <row r="571">
          <cell r="A571" t="str">
            <v>SOLAR</v>
          </cell>
        </row>
        <row r="572">
          <cell r="A572" t="str">
            <v>SOLVENT ADDITIVE IMAGE 5221</v>
          </cell>
        </row>
        <row r="573">
          <cell r="A573" t="str">
            <v>SOLVENT ILC CRAYON A 17791</v>
          </cell>
        </row>
        <row r="574">
          <cell r="A574" t="str">
            <v>SOLVENT IMAGE 5100</v>
          </cell>
        </row>
        <row r="575">
          <cell r="A575" t="str">
            <v>CLEANING 5100 @1L</v>
          </cell>
        </row>
        <row r="576">
          <cell r="A576" t="str">
            <v>SOLVENT IMAGE 5191</v>
          </cell>
        </row>
        <row r="577">
          <cell r="A577" t="str">
            <v>SOLVENT IMAGE 5200</v>
          </cell>
        </row>
        <row r="578">
          <cell r="A578" t="str">
            <v>SOLVENT MARSH UNICORN 20947 (CODING BOX)</v>
          </cell>
        </row>
        <row r="579">
          <cell r="A579" t="str">
            <v>SOLVENT N/A DOMINO 20</v>
          </cell>
        </row>
        <row r="580">
          <cell r="A580" t="str">
            <v>SOLVENT P/W - 002142</v>
          </cell>
        </row>
        <row r="581">
          <cell r="A581" t="str">
            <v>SOLVENT P/W - 170121</v>
          </cell>
        </row>
        <row r="582">
          <cell r="A582" t="str">
            <v>SOLVENT WTR BASED HANTECH-HTSWB-26142-L</v>
          </cell>
        </row>
        <row r="583">
          <cell r="A583" t="str">
            <v>SPLIT BOTTLE (PC)</v>
          </cell>
        </row>
        <row r="584">
          <cell r="A584" t="str">
            <v>SPLIT BOTTLE REGRIND</v>
          </cell>
        </row>
        <row r="585">
          <cell r="A585" t="str">
            <v>SPRING WATER</v>
          </cell>
        </row>
        <row r="586">
          <cell r="A586" t="str">
            <v>STABILON BP</v>
          </cell>
        </row>
        <row r="587">
          <cell r="A587" t="str">
            <v>STERBAC</v>
          </cell>
        </row>
        <row r="588">
          <cell r="A588" t="str">
            <v>STICKER WARNING REFILL EXPORT</v>
          </cell>
        </row>
        <row r="589">
          <cell r="A589" t="str">
            <v>STICKER WARNING REFILL LOCAL</v>
          </cell>
        </row>
        <row r="590">
          <cell r="A590" t="str">
            <v>STRAPPING BAND-KG</v>
          </cell>
        </row>
        <row r="591">
          <cell r="A591" t="str">
            <v>STRAPPING BAND-ROLL</v>
          </cell>
        </row>
        <row r="592">
          <cell r="A592" t="str">
            <v>STRAW 240ML</v>
          </cell>
        </row>
        <row r="593">
          <cell r="A593" t="str">
            <v>STRETCH FILM</v>
          </cell>
        </row>
        <row r="594">
          <cell r="A594" t="str">
            <v>SW-01</v>
          </cell>
        </row>
        <row r="595">
          <cell r="A595" t="str">
            <v>SW-03</v>
          </cell>
        </row>
        <row r="596">
          <cell r="A596" t="str">
            <v>TECHNOMELT SUPRA 100 FOR CARTON BOX</v>
          </cell>
        </row>
        <row r="597">
          <cell r="A597" t="str">
            <v>TETPOR AIR FILTER CARTRIDGE</v>
          </cell>
        </row>
        <row r="598">
          <cell r="A598" t="str">
            <v>TETRAMTHYL BENZIDINE</v>
          </cell>
        </row>
        <row r="599">
          <cell r="A599" t="str">
            <v>TISSUE AQUA</v>
          </cell>
        </row>
        <row r="600">
          <cell r="A600" t="str">
            <v>TISSUE AQUA V.1</v>
          </cell>
        </row>
        <row r="601">
          <cell r="A601" t="str">
            <v>TISSUE VIT</v>
          </cell>
        </row>
        <row r="602">
          <cell r="A602" t="str">
            <v>TITANIUM CARTRIDGE FILTER JD - TI-40-10U</v>
          </cell>
        </row>
        <row r="603">
          <cell r="A603" t="str">
            <v>TOP ACTIVE 200</v>
          </cell>
        </row>
        <row r="604">
          <cell r="A604" t="str">
            <v>TOP ACTIVE 500</v>
          </cell>
        </row>
        <row r="605">
          <cell r="A605" t="str">
            <v>TOP ACTIVE DES</v>
          </cell>
        </row>
        <row r="606">
          <cell r="A606" t="str">
            <v>TOPAX</v>
          </cell>
        </row>
        <row r="607">
          <cell r="A607" t="str">
            <v>TRAY</v>
          </cell>
        </row>
        <row r="608">
          <cell r="A608" t="str">
            <v>VI-03</v>
          </cell>
        </row>
        <row r="609">
          <cell r="A609" t="str">
            <v>VI-07</v>
          </cell>
        </row>
        <row r="610">
          <cell r="A610" t="str">
            <v>VIDEOJET CLEANING SOLUTION  16-3400 Q</v>
          </cell>
        </row>
        <row r="611">
          <cell r="A611" t="str">
            <v>VIDEOJET CLEANING SOLUTION  16-3500 Q</v>
          </cell>
        </row>
        <row r="612">
          <cell r="A612" t="str">
            <v>VOLUB TR</v>
          </cell>
        </row>
        <row r="613">
          <cell r="A613" t="str">
            <v>VORTEX</v>
          </cell>
        </row>
        <row r="614">
          <cell r="A614" t="str">
            <v>VRBA</v>
          </cell>
        </row>
        <row r="615">
          <cell r="A615" t="str">
            <v>WELL WATER</v>
          </cell>
        </row>
        <row r="616">
          <cell r="A616" t="str">
            <v>XY-12</v>
          </cell>
        </row>
      </sheetData>
      <sheetData sheetId="42">
        <row r="2">
          <cell r="A2">
            <v>9101</v>
          </cell>
        </row>
        <row r="3">
          <cell r="A3">
            <v>9201</v>
          </cell>
        </row>
        <row r="4">
          <cell r="A4">
            <v>9007</v>
          </cell>
        </row>
        <row r="5">
          <cell r="A5">
            <v>9011</v>
          </cell>
        </row>
        <row r="6">
          <cell r="A6">
            <v>9012</v>
          </cell>
        </row>
        <row r="7">
          <cell r="A7">
            <v>9015</v>
          </cell>
        </row>
        <row r="8">
          <cell r="A8">
            <v>9035</v>
          </cell>
        </row>
        <row r="9">
          <cell r="A9">
            <v>9017</v>
          </cell>
        </row>
        <row r="10">
          <cell r="A10">
            <v>9019</v>
          </cell>
        </row>
        <row r="11">
          <cell r="A11">
            <v>9021</v>
          </cell>
        </row>
        <row r="12">
          <cell r="A12">
            <v>9022</v>
          </cell>
        </row>
        <row r="13">
          <cell r="A13">
            <v>9023</v>
          </cell>
        </row>
        <row r="14">
          <cell r="A14">
            <v>9024</v>
          </cell>
        </row>
        <row r="15">
          <cell r="A15">
            <v>9025</v>
          </cell>
        </row>
        <row r="16">
          <cell r="A16">
            <v>9036</v>
          </cell>
        </row>
        <row r="17">
          <cell r="A17">
            <v>9026</v>
          </cell>
        </row>
        <row r="18">
          <cell r="A18">
            <v>9027</v>
          </cell>
        </row>
        <row r="19">
          <cell r="A19">
            <v>9028</v>
          </cell>
        </row>
        <row r="20">
          <cell r="A20">
            <v>9029</v>
          </cell>
        </row>
        <row r="21">
          <cell r="A21">
            <v>9030</v>
          </cell>
        </row>
        <row r="22">
          <cell r="A22">
            <v>9031</v>
          </cell>
        </row>
        <row r="23">
          <cell r="A23">
            <v>9032</v>
          </cell>
        </row>
        <row r="24">
          <cell r="A24">
            <v>9033</v>
          </cell>
        </row>
        <row r="25">
          <cell r="A25">
            <v>9034</v>
          </cell>
        </row>
        <row r="26">
          <cell r="A26">
            <v>9102</v>
          </cell>
        </row>
        <row r="27">
          <cell r="A27">
            <v>9010</v>
          </cell>
        </row>
        <row r="28">
          <cell r="A28">
            <v>9013</v>
          </cell>
        </row>
        <row r="29">
          <cell r="A29">
            <v>9103</v>
          </cell>
        </row>
        <row r="30">
          <cell r="A30">
            <v>9008</v>
          </cell>
        </row>
        <row r="31">
          <cell r="A31">
            <v>9009</v>
          </cell>
        </row>
        <row r="32">
          <cell r="A32">
            <v>9014</v>
          </cell>
        </row>
        <row r="33">
          <cell r="A33">
            <v>9016</v>
          </cell>
        </row>
        <row r="34">
          <cell r="A34">
            <v>9018</v>
          </cell>
        </row>
        <row r="35">
          <cell r="A35">
            <v>9020</v>
          </cell>
        </row>
        <row r="36">
          <cell r="A36">
            <v>9039</v>
          </cell>
        </row>
        <row r="37">
          <cell r="A37">
            <v>9041</v>
          </cell>
        </row>
        <row r="38">
          <cell r="A38">
            <v>9042</v>
          </cell>
        </row>
        <row r="39">
          <cell r="A39">
            <v>9043</v>
          </cell>
        </row>
        <row r="40">
          <cell r="A40">
            <v>9044</v>
          </cell>
        </row>
        <row r="41">
          <cell r="A41">
            <v>9040</v>
          </cell>
        </row>
        <row r="42">
          <cell r="A42">
            <v>9045</v>
          </cell>
        </row>
        <row r="43">
          <cell r="A43">
            <v>9046</v>
          </cell>
        </row>
        <row r="44">
          <cell r="A44">
            <v>9047</v>
          </cell>
        </row>
        <row r="45">
          <cell r="A45">
            <v>9301</v>
          </cell>
        </row>
        <row r="46">
          <cell r="A46">
            <v>9048</v>
          </cell>
        </row>
        <row r="47">
          <cell r="A47">
            <v>9050</v>
          </cell>
        </row>
        <row r="48">
          <cell r="A48">
            <v>9049</v>
          </cell>
        </row>
        <row r="49">
          <cell r="A49">
            <v>9052</v>
          </cell>
        </row>
        <row r="50">
          <cell r="A50">
            <v>9000</v>
          </cell>
        </row>
        <row r="51">
          <cell r="A51">
            <v>9100</v>
          </cell>
        </row>
        <row r="52">
          <cell r="A52">
            <v>9200</v>
          </cell>
        </row>
        <row r="53">
          <cell r="A53">
            <v>9007</v>
          </cell>
        </row>
        <row r="54">
          <cell r="A54">
            <v>9036</v>
          </cell>
        </row>
      </sheetData>
      <sheetData sheetId="43"/>
      <sheetData sheetId="44"/>
      <sheetData sheetId="45"/>
      <sheetData sheetId="46">
        <row r="2">
          <cell r="B2" t="str">
            <v>RAPIPACK ASRITAMA PT</v>
          </cell>
        </row>
        <row r="3">
          <cell r="B3" t="str">
            <v>MASTER LABEL PT</v>
          </cell>
        </row>
        <row r="4">
          <cell r="B4" t="str">
            <v>NAMASINDO PT</v>
          </cell>
        </row>
        <row r="5">
          <cell r="B5" t="str">
            <v>CIVITA FLEXIPEK. PT</v>
          </cell>
        </row>
        <row r="6">
          <cell r="B6" t="str">
            <v>COOL CLEAN (SBY)</v>
          </cell>
        </row>
        <row r="7">
          <cell r="B7" t="str">
            <v>MANDIRA PRIMA PERKASA PT</v>
          </cell>
        </row>
        <row r="8">
          <cell r="B8" t="str">
            <v>UNIPLASTINDO INTERBUANA PT</v>
          </cell>
        </row>
        <row r="9">
          <cell r="B9" t="str">
            <v>INDO TIRTA ABADI PT</v>
          </cell>
        </row>
        <row r="10">
          <cell r="B10" t="str">
            <v>PRIMADAYA PLASTISINDO PT</v>
          </cell>
        </row>
        <row r="11">
          <cell r="B11" t="str">
            <v>DELTAPACK INDUSTRI, PT</v>
          </cell>
        </row>
        <row r="12">
          <cell r="B12" t="str">
            <v>PT LABEL JAYA PRATAMA</v>
          </cell>
        </row>
        <row r="13">
          <cell r="B13" t="str">
            <v>SENTRALINDO TEGUH GEMILANG PT</v>
          </cell>
        </row>
        <row r="14">
          <cell r="B14" t="str">
            <v>PRIMA PLASINDO PERKASA PT</v>
          </cell>
        </row>
        <row r="15">
          <cell r="B15" t="str">
            <v>MITRA SENTOSA PLASTIK INDUSTRI PT</v>
          </cell>
        </row>
        <row r="16">
          <cell r="B16" t="str">
            <v>DYNAPLAST TBK PT</v>
          </cell>
        </row>
        <row r="17">
          <cell r="B17" t="str">
            <v>SAMUDERA MONTAZ PT</v>
          </cell>
        </row>
        <row r="18">
          <cell r="B18" t="str">
            <v>RESPATI KEMASINDAH PT</v>
          </cell>
        </row>
        <row r="19">
          <cell r="B19" t="str">
            <v>INTERFLEX SEJAHTERA PERDANA</v>
          </cell>
        </row>
        <row r="20">
          <cell r="B20" t="str">
            <v>NAMASINDO PLAS PT</v>
          </cell>
        </row>
        <row r="21">
          <cell r="B21" t="str">
            <v>DYNAPLAST TBK PT</v>
          </cell>
        </row>
        <row r="22">
          <cell r="B22" t="str">
            <v>NAMASINDO PLAS PT (SOLO)</v>
          </cell>
        </row>
        <row r="23">
          <cell r="B23" t="str">
            <v>NAMASINDO PLAS PT</v>
          </cell>
        </row>
        <row r="24">
          <cell r="B24" t="str">
            <v>DINITO JAYA SAKTI PT</v>
          </cell>
        </row>
        <row r="25">
          <cell r="B25" t="str">
            <v>NAMASINDO PLAS ABADI PT</v>
          </cell>
        </row>
        <row r="26">
          <cell r="B26" t="str">
            <v>NACHINDO TAPE INDUSTRY PT</v>
          </cell>
        </row>
        <row r="27">
          <cell r="B27" t="str">
            <v>MULIAPRIMA PACKINDO PT</v>
          </cell>
        </row>
        <row r="28">
          <cell r="B28" t="str">
            <v>ANTA TIRTA KARISMA PT</v>
          </cell>
        </row>
        <row r="29">
          <cell r="B29" t="str">
            <v>SOJITZ INDONESIA PT</v>
          </cell>
        </row>
        <row r="30">
          <cell r="B30" t="str">
            <v>SAPTAWARNA CEMERLANG PT</v>
          </cell>
        </row>
        <row r="31">
          <cell r="B31" t="str">
            <v>AMCOR FLEXIBLES INDONESIA PT</v>
          </cell>
        </row>
        <row r="32">
          <cell r="B32" t="str">
            <v>PARAMITRA GUNAKARYA CEMERLANG</v>
          </cell>
        </row>
        <row r="33">
          <cell r="B33" t="str">
            <v>PURINUSA EKA PERSADA PT (BANDUNG)</v>
          </cell>
        </row>
        <row r="34">
          <cell r="B34" t="str">
            <v>INOPLASINDO MAS PERKASA PT</v>
          </cell>
        </row>
        <row r="35">
          <cell r="B35" t="str">
            <v>CAKRAWALA MEGA INDAH PT (SERANG)</v>
          </cell>
        </row>
        <row r="36">
          <cell r="B36" t="str">
            <v>PT CLARIANT PLASTICS AND COATINGS</v>
          </cell>
        </row>
        <row r="37">
          <cell r="B37" t="str">
            <v>PT. Cipta Mapan Logistik  ( Linc LOG )</v>
          </cell>
        </row>
        <row r="38">
          <cell r="B38" t="str">
            <v>PRIMAJAYA ERATAMA</v>
          </cell>
        </row>
        <row r="39">
          <cell r="B39" t="str">
            <v>PT MAHKOTA INTI PERSADA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cover"/>
      <sheetName val="B1-1"/>
      <sheetName val="B1-1(2)"/>
      <sheetName val="B1-2"/>
      <sheetName val="B2"/>
      <sheetName val="B"/>
    </sheetNames>
    <sheetDataSet>
      <sheetData sheetId="0" refreshError="1"/>
      <sheetData sheetId="1" refreshError="1"/>
      <sheetData sheetId="2" refreshError="1"/>
      <sheetData sheetId="3" refreshError="1">
        <row r="19">
          <cell r="L19">
            <v>561777.12859999994</v>
          </cell>
        </row>
      </sheetData>
      <sheetData sheetId="4" refreshError="1"/>
      <sheetData sheetId="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asRP"/>
      <sheetName val="BSliRp"/>
      <sheetName val="RE"/>
      <sheetName val="BSasRP+Asia"/>
      <sheetName val="BSliRp+Asia"/>
      <sheetName val="RE+Asia"/>
      <sheetName val="PLnew"/>
      <sheetName val="EngCld"/>
      <sheetName val="CGS"/>
      <sheetName val="RMCONS"/>
      <sheetName val="NONME"/>
      <sheetName val="ME"/>
      <sheetName val="SPprod"/>
      <sheetName val="WVprod"/>
      <sheetName val="GMprod"/>
      <sheetName val="FKT_PJK"/>
      <sheetName val="data (2)"/>
      <sheetName val="Gaj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atio"/>
      <sheetName val="FS"/>
      <sheetName val="AJE"/>
      <sheetName val="RJE"/>
      <sheetName val="CF"/>
      <sheetName val="NTA"/>
      <sheetName val="audited BS"/>
      <sheetName val="audited CF"/>
      <sheetName val="audited PL"/>
      <sheetName val="audited detailPL"/>
      <sheetName val="ClientTB"/>
      <sheetName val="ClientBS"/>
      <sheetName val="ClientPL"/>
      <sheetName val="procedure"/>
    </sheetNames>
    <sheetDataSet>
      <sheetData sheetId="0"/>
      <sheetData sheetId="1"/>
      <sheetData sheetId="2" refreshError="1">
        <row r="1">
          <cell r="B1" t="str">
            <v>Client  : BDP MALAYSIA SDN BHD</v>
          </cell>
        </row>
        <row r="2">
          <cell r="B2" t="str">
            <v>(Incorporated in the Malaysia</v>
          </cell>
        </row>
        <row r="4">
          <cell r="B4" t="str">
            <v>INCOME STATEMENT FOR THE FINANCIAL YEAR ENDED 31 DECEMBER 2005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  <cell r="O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  <cell r="M7" t="str">
            <v>audited</v>
          </cell>
          <cell r="O7" t="str">
            <v>audited</v>
          </cell>
        </row>
        <row r="8">
          <cell r="D8" t="str">
            <v>WP REF</v>
          </cell>
          <cell r="F8" t="str">
            <v>31.12.2005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 t="str">
            <v>31.12.2005</v>
          </cell>
          <cell r="M8" t="str">
            <v>31.12.2005</v>
          </cell>
          <cell r="O8" t="str">
            <v>31.12.2004</v>
          </cell>
        </row>
        <row r="9">
          <cell r="F9" t="str">
            <v>RM</v>
          </cell>
          <cell r="G9" t="str">
            <v>RM</v>
          </cell>
          <cell r="H9" t="str">
            <v>RM</v>
          </cell>
          <cell r="I9" t="str">
            <v>RM</v>
          </cell>
          <cell r="J9" t="str">
            <v>RM</v>
          </cell>
          <cell r="K9" t="str">
            <v>RM</v>
          </cell>
          <cell r="M9" t="str">
            <v>S$</v>
          </cell>
          <cell r="O9" t="str">
            <v>RM</v>
          </cell>
        </row>
        <row r="11">
          <cell r="A11" t="str">
            <v>Sales</v>
          </cell>
          <cell r="B11" t="str">
            <v>Turnover</v>
          </cell>
          <cell r="F11">
            <v>31349350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31349350</v>
          </cell>
          <cell r="L11" t="str">
            <v>ok</v>
          </cell>
          <cell r="M11">
            <v>13787130.636500001</v>
          </cell>
          <cell r="N11" t="str">
            <v>ok</v>
          </cell>
          <cell r="O11">
            <v>26415987</v>
          </cell>
        </row>
        <row r="12">
          <cell r="M12" t="str">
            <v xml:space="preserve"> </v>
          </cell>
        </row>
        <row r="13">
          <cell r="A13" t="str">
            <v>COS</v>
          </cell>
          <cell r="B13" t="str">
            <v>Cost of sales</v>
          </cell>
          <cell r="F13">
            <v>-25768581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-25768581</v>
          </cell>
          <cell r="L13" t="str">
            <v>ok</v>
          </cell>
          <cell r="M13">
            <v>-11332764.237990001</v>
          </cell>
          <cell r="N13" t="str">
            <v>ok</v>
          </cell>
          <cell r="O13">
            <v>-21554968</v>
          </cell>
        </row>
        <row r="14">
          <cell r="M14" t="str">
            <v xml:space="preserve"> </v>
          </cell>
        </row>
        <row r="15">
          <cell r="A15" t="str">
            <v>GP</v>
          </cell>
          <cell r="B15" t="str">
            <v>Gross profit</v>
          </cell>
          <cell r="F15">
            <v>5580769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5580769</v>
          </cell>
          <cell r="L15" t="str">
            <v>ok</v>
          </cell>
          <cell r="M15">
            <v>2454367.3985100002</v>
          </cell>
          <cell r="N15" t="str">
            <v>ok</v>
          </cell>
          <cell r="O15">
            <v>4861019</v>
          </cell>
        </row>
        <row r="16">
          <cell r="M16" t="str">
            <v xml:space="preserve"> </v>
          </cell>
        </row>
        <row r="17">
          <cell r="A17">
            <v>30000</v>
          </cell>
          <cell r="B17" t="str">
            <v>Other income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M17" t="str">
            <v xml:space="preserve"> </v>
          </cell>
          <cell r="O17">
            <v>0</v>
          </cell>
        </row>
        <row r="18">
          <cell r="K18">
            <v>0</v>
          </cell>
          <cell r="M18" t="str">
            <v xml:space="preserve"> </v>
          </cell>
        </row>
        <row r="19">
          <cell r="A19" t="str">
            <v>SC</v>
          </cell>
          <cell r="B19" t="str">
            <v>Staff costs</v>
          </cell>
          <cell r="F19">
            <v>-2373647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-2373647</v>
          </cell>
          <cell r="L19" t="str">
            <v>ok</v>
          </cell>
          <cell r="M19">
            <v>-1043906.21413</v>
          </cell>
          <cell r="N19" t="str">
            <v>ok</v>
          </cell>
          <cell r="O19">
            <v>-1775391.97</v>
          </cell>
        </row>
        <row r="20">
          <cell r="K20">
            <v>0</v>
          </cell>
          <cell r="M20" t="str">
            <v xml:space="preserve"> </v>
          </cell>
        </row>
        <row r="21">
          <cell r="A21" t="str">
            <v>RE</v>
          </cell>
          <cell r="B21" t="str">
            <v>Rental expenses</v>
          </cell>
          <cell r="F21">
            <v>-149923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-149923</v>
          </cell>
          <cell r="L21" t="str">
            <v>ok</v>
          </cell>
          <cell r="M21">
            <v>-65933.636169999998</v>
          </cell>
          <cell r="N21" t="str">
            <v>ok</v>
          </cell>
          <cell r="O21">
            <v>-115855.81</v>
          </cell>
        </row>
        <row r="22">
          <cell r="K22">
            <v>0</v>
          </cell>
          <cell r="M22" t="str">
            <v xml:space="preserve"> </v>
          </cell>
        </row>
        <row r="23">
          <cell r="A23" t="str">
            <v>DEP</v>
          </cell>
          <cell r="B23" t="str">
            <v>Depreciation and amortisation</v>
          </cell>
          <cell r="F23">
            <v>-199653</v>
          </cell>
          <cell r="G23">
            <v>1735</v>
          </cell>
          <cell r="H23">
            <v>0</v>
          </cell>
          <cell r="I23">
            <v>0</v>
          </cell>
          <cell r="J23">
            <v>0</v>
          </cell>
          <cell r="K23">
            <v>-201388</v>
          </cell>
          <cell r="L23" t="str">
            <v>ok</v>
          </cell>
          <cell r="M23">
            <v>-88569.428520000001</v>
          </cell>
          <cell r="N23" t="str">
            <v>ok</v>
          </cell>
          <cell r="O23">
            <v>-163528</v>
          </cell>
        </row>
        <row r="24">
          <cell r="K24">
            <v>0</v>
          </cell>
          <cell r="M24" t="str">
            <v xml:space="preserve"> </v>
          </cell>
        </row>
        <row r="25">
          <cell r="A25" t="str">
            <v>OOE</v>
          </cell>
          <cell r="B25" t="str">
            <v>Other operating expenses</v>
          </cell>
          <cell r="F25">
            <v>-1440784</v>
          </cell>
          <cell r="G25">
            <v>0</v>
          </cell>
          <cell r="H25">
            <v>1735</v>
          </cell>
          <cell r="I25">
            <v>0</v>
          </cell>
          <cell r="J25">
            <v>0</v>
          </cell>
          <cell r="K25">
            <v>-1439049</v>
          </cell>
          <cell r="L25" t="str">
            <v>ok</v>
          </cell>
          <cell r="M25">
            <v>-632879.35970999999</v>
          </cell>
          <cell r="N25" t="str">
            <v>ok</v>
          </cell>
          <cell r="O25">
            <v>-1033004.8300000001</v>
          </cell>
        </row>
        <row r="26">
          <cell r="K26">
            <v>0</v>
          </cell>
          <cell r="M26" t="str">
            <v xml:space="preserve"> </v>
          </cell>
        </row>
        <row r="27">
          <cell r="A27" t="str">
            <v>FI</v>
          </cell>
          <cell r="B27" t="str">
            <v>Finance income</v>
          </cell>
          <cell r="F27">
            <v>17300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17300</v>
          </cell>
          <cell r="L27" t="str">
            <v>ok</v>
          </cell>
          <cell r="M27">
            <v>7608.3670000000002</v>
          </cell>
          <cell r="N27" t="str">
            <v>ok</v>
          </cell>
          <cell r="O27">
            <v>0</v>
          </cell>
        </row>
        <row r="28">
          <cell r="K28">
            <v>0</v>
          </cell>
          <cell r="M28" t="str">
            <v xml:space="preserve"> </v>
          </cell>
        </row>
        <row r="29">
          <cell r="A29" t="str">
            <v>fincost</v>
          </cell>
          <cell r="B29" t="str">
            <v>Finance costs</v>
          </cell>
          <cell r="F29">
            <v>-4860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-4860</v>
          </cell>
          <cell r="L29" t="str">
            <v>ok</v>
          </cell>
          <cell r="M29">
            <v>-2138.3794000000003</v>
          </cell>
          <cell r="N29" t="str">
            <v>ok</v>
          </cell>
          <cell r="O29">
            <v>-2987</v>
          </cell>
        </row>
        <row r="30">
          <cell r="M30" t="str">
            <v xml:space="preserve"> </v>
          </cell>
        </row>
        <row r="31">
          <cell r="A31" t="str">
            <v>PBT</v>
          </cell>
          <cell r="B31" t="str">
            <v xml:space="preserve">Profit for the year before share of results of </v>
          </cell>
          <cell r="F31">
            <v>1429202</v>
          </cell>
          <cell r="G31">
            <v>1735</v>
          </cell>
          <cell r="H31">
            <v>1735</v>
          </cell>
          <cell r="I31">
            <v>0</v>
          </cell>
          <cell r="J31">
            <v>0</v>
          </cell>
          <cell r="K31">
            <v>1429202</v>
          </cell>
          <cell r="M31">
            <v>628548.74757999997</v>
          </cell>
          <cell r="O31">
            <v>1770251.3900000001</v>
          </cell>
        </row>
        <row r="32">
          <cell r="B32" t="str">
            <v>joint ventures and subsidiary</v>
          </cell>
          <cell r="M32" t="str">
            <v xml:space="preserve"> </v>
          </cell>
        </row>
        <row r="33">
          <cell r="M33" t="str">
            <v xml:space="preserve"> </v>
          </cell>
        </row>
        <row r="34">
          <cell r="B34" t="str">
            <v>Share of results of an unconsolidated subsidiary</v>
          </cell>
          <cell r="M34" t="str">
            <v xml:space="preserve"> </v>
          </cell>
          <cell r="O34">
            <v>0</v>
          </cell>
        </row>
        <row r="35">
          <cell r="B35" t="str">
            <v>Share of results of joint ventures</v>
          </cell>
          <cell r="M35" t="str">
            <v xml:space="preserve"> </v>
          </cell>
          <cell r="O35">
            <v>0</v>
          </cell>
        </row>
        <row r="36">
          <cell r="M36" t="str">
            <v xml:space="preserve"> </v>
          </cell>
        </row>
        <row r="37">
          <cell r="B37" t="str">
            <v>Profit for the year before taxation</v>
          </cell>
          <cell r="F37">
            <v>1429202</v>
          </cell>
          <cell r="G37">
            <v>1735</v>
          </cell>
          <cell r="H37">
            <v>1735</v>
          </cell>
          <cell r="I37">
            <v>0</v>
          </cell>
          <cell r="J37">
            <v>0</v>
          </cell>
          <cell r="K37">
            <v>1429202</v>
          </cell>
          <cell r="M37">
            <v>628548.74757999997</v>
          </cell>
          <cell r="O37">
            <v>1770251.3900000001</v>
          </cell>
        </row>
        <row r="38">
          <cell r="A38">
            <v>70000</v>
          </cell>
          <cell r="B38" t="str">
            <v>Taxation</v>
          </cell>
          <cell r="F38">
            <v>-367411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-367411</v>
          </cell>
          <cell r="L38" t="str">
            <v>ok</v>
          </cell>
          <cell r="M38">
            <v>-161583.68369000001</v>
          </cell>
          <cell r="N38" t="str">
            <v>ok</v>
          </cell>
          <cell r="O38">
            <v>-504007</v>
          </cell>
        </row>
        <row r="39">
          <cell r="M39" t="str">
            <v xml:space="preserve"> </v>
          </cell>
        </row>
        <row r="40">
          <cell r="A40" t="str">
            <v>PAT</v>
          </cell>
          <cell r="B40" t="str">
            <v>Profit for the year after taxation before MI</v>
          </cell>
          <cell r="F40">
            <v>1061791</v>
          </cell>
          <cell r="G40">
            <v>1735</v>
          </cell>
          <cell r="H40">
            <v>1735</v>
          </cell>
          <cell r="I40">
            <v>0</v>
          </cell>
          <cell r="J40">
            <v>0</v>
          </cell>
          <cell r="K40">
            <v>1061791</v>
          </cell>
          <cell r="M40">
            <v>466965.06388999999</v>
          </cell>
          <cell r="O40">
            <v>1266244.3900000001</v>
          </cell>
        </row>
        <row r="41">
          <cell r="A41">
            <v>80000</v>
          </cell>
          <cell r="B41" t="str">
            <v>Minority Interest</v>
          </cell>
          <cell r="M41" t="str">
            <v xml:space="preserve"> </v>
          </cell>
        </row>
        <row r="42">
          <cell r="M42" t="str">
            <v xml:space="preserve"> </v>
          </cell>
        </row>
        <row r="43">
          <cell r="B43" t="str">
            <v>Profit attributable to shareholders</v>
          </cell>
          <cell r="F43">
            <v>1061791</v>
          </cell>
          <cell r="G43">
            <v>1735</v>
          </cell>
          <cell r="H43">
            <v>1735</v>
          </cell>
          <cell r="I43">
            <v>0</v>
          </cell>
          <cell r="J43">
            <v>0</v>
          </cell>
          <cell r="K43">
            <v>1061791</v>
          </cell>
          <cell r="L43" t="str">
            <v>ok</v>
          </cell>
          <cell r="M43">
            <v>466965.06388999999</v>
          </cell>
          <cell r="N43" t="str">
            <v>ok</v>
          </cell>
          <cell r="O43">
            <v>1266244.3900000001</v>
          </cell>
        </row>
        <row r="44">
          <cell r="M44" t="str">
            <v xml:space="preserve"> </v>
          </cell>
        </row>
        <row r="45">
          <cell r="G45" t="str">
            <v>total AJE in Dr</v>
          </cell>
          <cell r="H45" t="str">
            <v>total AJE in Cr</v>
          </cell>
          <cell r="I45" t="str">
            <v>total RJE in Dr</v>
          </cell>
          <cell r="J45" t="str">
            <v>total RJE in Cr</v>
          </cell>
          <cell r="K45">
            <v>0</v>
          </cell>
        </row>
        <row r="49">
          <cell r="B49" t="str">
            <v>Client  : BDP MALAYSIA SDN BHD</v>
          </cell>
        </row>
        <row r="50">
          <cell r="B50" t="str">
            <v>(Incorporated in the Malaysia</v>
          </cell>
        </row>
        <row r="52">
          <cell r="B52" t="str">
            <v>BALANCE SHEET AS AT 31 DECEMBER 2005</v>
          </cell>
        </row>
        <row r="53">
          <cell r="F53" t="str">
            <v>unaudited</v>
          </cell>
          <cell r="G53" t="str">
            <v>Audit Adjustment (AJE)</v>
          </cell>
          <cell r="I53" t="str">
            <v>Reclassification (RJE)</v>
          </cell>
          <cell r="K53" t="str">
            <v>audited</v>
          </cell>
          <cell r="M53" t="str">
            <v>audited</v>
          </cell>
          <cell r="O53" t="str">
            <v>audited</v>
          </cell>
        </row>
        <row r="54">
          <cell r="D54" t="str">
            <v>WP REF</v>
          </cell>
          <cell r="F54" t="str">
            <v>31.12.2005</v>
          </cell>
          <cell r="G54" t="str">
            <v>DR</v>
          </cell>
          <cell r="H54" t="str">
            <v>CR</v>
          </cell>
          <cell r="I54" t="str">
            <v>DR</v>
          </cell>
          <cell r="J54" t="str">
            <v>CR</v>
          </cell>
          <cell r="K54" t="str">
            <v>31.12.2005</v>
          </cell>
          <cell r="M54" t="str">
            <v>31.12.2005</v>
          </cell>
          <cell r="O54" t="str">
            <v>31.12.2004</v>
          </cell>
        </row>
        <row r="55">
          <cell r="F55" t="str">
            <v>RM</v>
          </cell>
          <cell r="G55" t="str">
            <v>RM</v>
          </cell>
          <cell r="H55" t="str">
            <v>RM</v>
          </cell>
          <cell r="I55" t="str">
            <v>RM</v>
          </cell>
          <cell r="J55" t="str">
            <v>RM</v>
          </cell>
          <cell r="K55" t="str">
            <v>RM</v>
          </cell>
          <cell r="M55" t="str">
            <v>S$</v>
          </cell>
          <cell r="O55" t="str">
            <v>RM</v>
          </cell>
        </row>
        <row r="56">
          <cell r="B56" t="str">
            <v>ASSETS</v>
          </cell>
        </row>
        <row r="57">
          <cell r="B57" t="str">
            <v>Non-current assets</v>
          </cell>
          <cell r="K57">
            <v>0</v>
          </cell>
        </row>
        <row r="58">
          <cell r="A58">
            <v>1000</v>
          </cell>
          <cell r="B58" t="str">
            <v xml:space="preserve">    Property, plant and equipment </v>
          </cell>
          <cell r="F58">
            <v>472426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472426</v>
          </cell>
          <cell r="L58" t="str">
            <v>ok</v>
          </cell>
          <cell r="M58">
            <v>208056.41039999999</v>
          </cell>
          <cell r="N58" t="str">
            <v>ok</v>
          </cell>
          <cell r="O58">
            <v>319009</v>
          </cell>
        </row>
        <row r="59">
          <cell r="A59">
            <v>1200</v>
          </cell>
          <cell r="B59" t="str">
            <v xml:space="preserve">    Investment in subsidiary companies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</row>
        <row r="60">
          <cell r="A60">
            <v>1300</v>
          </cell>
          <cell r="B60" t="str">
            <v xml:space="preserve">    Investment in joint ventures</v>
          </cell>
          <cell r="F60">
            <v>0</v>
          </cell>
          <cell r="M60">
            <v>0</v>
          </cell>
          <cell r="O60">
            <v>0</v>
          </cell>
        </row>
        <row r="61">
          <cell r="A61">
            <v>1400</v>
          </cell>
          <cell r="B61" t="str">
            <v xml:space="preserve">    Deferred tax assets</v>
          </cell>
          <cell r="F61">
            <v>25881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25881</v>
          </cell>
          <cell r="L61" t="str">
            <v>ok</v>
          </cell>
          <cell r="M61">
            <v>11397.992400000001</v>
          </cell>
          <cell r="N61" t="str">
            <v>ok</v>
          </cell>
          <cell r="O61">
            <v>30332</v>
          </cell>
        </row>
        <row r="62"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Current assets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2100</v>
          </cell>
          <cell r="B64" t="str">
            <v xml:space="preserve">    Trade debtors</v>
          </cell>
          <cell r="F64">
            <v>6296560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6296560</v>
          </cell>
          <cell r="L64" t="str">
            <v>ok</v>
          </cell>
          <cell r="M64">
            <v>2773005.0240000002</v>
          </cell>
          <cell r="N64" t="str">
            <v>ok</v>
          </cell>
          <cell r="O64">
            <v>4435619</v>
          </cell>
        </row>
        <row r="65">
          <cell r="A65">
            <v>2200</v>
          </cell>
          <cell r="B65" t="str">
            <v xml:space="preserve">    Other debtors, deposit and prepayments </v>
          </cell>
          <cell r="F65">
            <v>355886</v>
          </cell>
          <cell r="G65">
            <v>0</v>
          </cell>
          <cell r="H65">
            <v>0</v>
          </cell>
          <cell r="I65">
            <v>0</v>
          </cell>
          <cell r="J65">
            <v>46156</v>
          </cell>
          <cell r="K65">
            <v>309730</v>
          </cell>
          <cell r="L65" t="str">
            <v>ok</v>
          </cell>
          <cell r="M65">
            <v>136405.092</v>
          </cell>
          <cell r="N65" t="str">
            <v>ok</v>
          </cell>
          <cell r="O65">
            <v>271846</v>
          </cell>
        </row>
        <row r="66">
          <cell r="A66">
            <v>5001</v>
          </cell>
          <cell r="B66" t="str">
            <v xml:space="preserve">    Amount due from ultimate holding company</v>
          </cell>
          <cell r="F66">
            <v>542029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542029</v>
          </cell>
          <cell r="M66">
            <v>238709.5716</v>
          </cell>
          <cell r="N66" t="str">
            <v>ok</v>
          </cell>
          <cell r="O66">
            <v>249956</v>
          </cell>
        </row>
        <row r="67">
          <cell r="A67">
            <v>5201</v>
          </cell>
          <cell r="B67" t="str">
            <v xml:space="preserve">    Amount due from immediate holding company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</row>
        <row r="68">
          <cell r="A68">
            <v>5301</v>
          </cell>
          <cell r="B68" t="str">
            <v xml:space="preserve">    Amount due from BDP Singapore</v>
          </cell>
          <cell r="F68">
            <v>672491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672491</v>
          </cell>
          <cell r="L68" t="str">
            <v>ok</v>
          </cell>
          <cell r="M68">
            <v>296165.03639999998</v>
          </cell>
          <cell r="N68" t="str">
            <v>ok</v>
          </cell>
          <cell r="O68">
            <v>46286</v>
          </cell>
        </row>
        <row r="69">
          <cell r="A69">
            <v>5302</v>
          </cell>
          <cell r="B69" t="str">
            <v xml:space="preserve">    Amount due from BDP Malaysia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</row>
        <row r="70">
          <cell r="A70">
            <v>5303</v>
          </cell>
          <cell r="B70" t="str">
            <v xml:space="preserve">    Amount due from BDP Thai</v>
          </cell>
          <cell r="G70">
            <v>0</v>
          </cell>
          <cell r="H70">
            <v>0</v>
          </cell>
          <cell r="I70">
            <v>3422</v>
          </cell>
          <cell r="J70">
            <v>0</v>
          </cell>
          <cell r="K70">
            <v>3422</v>
          </cell>
          <cell r="M70">
            <v>1507.0488</v>
          </cell>
          <cell r="O70">
            <v>0</v>
          </cell>
        </row>
        <row r="71">
          <cell r="A71">
            <v>5304</v>
          </cell>
          <cell r="B71" t="str">
            <v xml:space="preserve">    Amount due from BDP Aus</v>
          </cell>
          <cell r="G71">
            <v>0</v>
          </cell>
          <cell r="H71">
            <v>0</v>
          </cell>
          <cell r="I71">
            <v>11682</v>
          </cell>
          <cell r="J71">
            <v>0</v>
          </cell>
          <cell r="K71">
            <v>11682</v>
          </cell>
          <cell r="M71">
            <v>5144.7528000000002</v>
          </cell>
          <cell r="O71">
            <v>0</v>
          </cell>
        </row>
        <row r="72">
          <cell r="A72">
            <v>5305</v>
          </cell>
          <cell r="B72" t="str">
            <v xml:space="preserve">    Amount due from BDP Shanghai</v>
          </cell>
          <cell r="G72">
            <v>0</v>
          </cell>
          <cell r="H72">
            <v>0</v>
          </cell>
          <cell r="I72">
            <v>647</v>
          </cell>
          <cell r="J72">
            <v>0</v>
          </cell>
          <cell r="K72">
            <v>647</v>
          </cell>
          <cell r="M72">
            <v>284.93880000000001</v>
          </cell>
          <cell r="O72">
            <v>0</v>
          </cell>
        </row>
        <row r="73">
          <cell r="A73">
            <v>5306</v>
          </cell>
          <cell r="B73" t="str">
            <v xml:space="preserve">    Amount due from Taiwan branch</v>
          </cell>
          <cell r="G73">
            <v>0</v>
          </cell>
          <cell r="H73">
            <v>0</v>
          </cell>
          <cell r="I73">
            <v>6116</v>
          </cell>
          <cell r="J73">
            <v>0</v>
          </cell>
          <cell r="K73">
            <v>6116</v>
          </cell>
          <cell r="M73">
            <v>2693.4864000000002</v>
          </cell>
          <cell r="O73">
            <v>0</v>
          </cell>
        </row>
        <row r="74">
          <cell r="A74">
            <v>5307</v>
          </cell>
          <cell r="B74" t="str">
            <v xml:space="preserve">    Amount due from BDP FRD Mal</v>
          </cell>
          <cell r="G74">
            <v>0</v>
          </cell>
          <cell r="H74">
            <v>0</v>
          </cell>
          <cell r="I74">
            <v>273208</v>
          </cell>
          <cell r="J74">
            <v>0</v>
          </cell>
          <cell r="K74">
            <v>273208</v>
          </cell>
          <cell r="M74">
            <v>120320.80320000001</v>
          </cell>
          <cell r="O74">
            <v>0</v>
          </cell>
        </row>
        <row r="75">
          <cell r="A75">
            <v>5501</v>
          </cell>
          <cell r="B75" t="str">
            <v xml:space="preserve">    Amount due from related companies</v>
          </cell>
          <cell r="F75">
            <v>463914</v>
          </cell>
          <cell r="G75">
            <v>0</v>
          </cell>
          <cell r="H75">
            <v>0</v>
          </cell>
          <cell r="I75">
            <v>0</v>
          </cell>
          <cell r="J75">
            <v>295075</v>
          </cell>
          <cell r="K75">
            <v>168839</v>
          </cell>
          <cell r="L75" t="str">
            <v>ok</v>
          </cell>
          <cell r="M75">
            <v>74356.695600000006</v>
          </cell>
          <cell r="N75" t="str">
            <v>ok</v>
          </cell>
          <cell r="O75">
            <v>232570</v>
          </cell>
        </row>
        <row r="76">
          <cell r="A76">
            <v>2401</v>
          </cell>
          <cell r="B76" t="str">
            <v xml:space="preserve">    Fixed deposit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M76">
            <v>0</v>
          </cell>
          <cell r="O76">
            <v>0</v>
          </cell>
        </row>
        <row r="77">
          <cell r="A77">
            <v>2400</v>
          </cell>
          <cell r="B77" t="str">
            <v xml:space="preserve">    Cash at bank</v>
          </cell>
          <cell r="F77">
            <v>405366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405366</v>
          </cell>
          <cell r="L77" t="str">
            <v>ok</v>
          </cell>
          <cell r="M77">
            <v>178523.18640000001</v>
          </cell>
          <cell r="N77" t="str">
            <v>ok</v>
          </cell>
          <cell r="O77">
            <v>850039</v>
          </cell>
        </row>
        <row r="78">
          <cell r="K78">
            <v>0</v>
          </cell>
        </row>
        <row r="79">
          <cell r="A79" t="str">
            <v>CA</v>
          </cell>
          <cell r="F79">
            <v>8736246</v>
          </cell>
          <cell r="G79">
            <v>0</v>
          </cell>
          <cell r="H79">
            <v>0</v>
          </cell>
          <cell r="I79">
            <v>295075</v>
          </cell>
          <cell r="J79">
            <v>341231</v>
          </cell>
          <cell r="K79">
            <v>8690090</v>
          </cell>
          <cell r="M79">
            <v>3827115.6360000004</v>
          </cell>
          <cell r="O79">
            <v>6086316</v>
          </cell>
        </row>
        <row r="80">
          <cell r="K80">
            <v>0</v>
          </cell>
        </row>
        <row r="81">
          <cell r="A81" t="str">
            <v>TA</v>
          </cell>
          <cell r="B81" t="str">
            <v>TOTAL ASSETS</v>
          </cell>
          <cell r="F81">
            <v>9234553</v>
          </cell>
          <cell r="G81">
            <v>0</v>
          </cell>
          <cell r="H81">
            <v>0</v>
          </cell>
          <cell r="I81">
            <v>295075</v>
          </cell>
          <cell r="J81">
            <v>341231</v>
          </cell>
          <cell r="K81">
            <v>9188397</v>
          </cell>
          <cell r="L81" t="str">
            <v>ok</v>
          </cell>
          <cell r="M81">
            <v>4046570.0388000002</v>
          </cell>
          <cell r="N81" t="str">
            <v>ok</v>
          </cell>
          <cell r="O81">
            <v>6435657</v>
          </cell>
        </row>
        <row r="82">
          <cell r="K82">
            <v>0</v>
          </cell>
        </row>
        <row r="83">
          <cell r="B83" t="str">
            <v>EQUITY AND LIABILITIES</v>
          </cell>
          <cell r="K83">
            <v>0</v>
          </cell>
        </row>
        <row r="84">
          <cell r="B84" t="str">
            <v>Capital and reserves</v>
          </cell>
          <cell r="K84">
            <v>0</v>
          </cell>
        </row>
        <row r="85">
          <cell r="A85">
            <v>6000</v>
          </cell>
          <cell r="B85" t="str">
            <v xml:space="preserve">    Share capital</v>
          </cell>
          <cell r="F85">
            <v>100000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100000</v>
          </cell>
          <cell r="L85" t="str">
            <v>ok</v>
          </cell>
          <cell r="M85">
            <v>46410</v>
          </cell>
          <cell r="N85" t="str">
            <v>ok</v>
          </cell>
          <cell r="O85">
            <v>100000</v>
          </cell>
        </row>
        <row r="86">
          <cell r="A86">
            <v>6100</v>
          </cell>
          <cell r="B86" t="str">
            <v xml:space="preserve">     Reserves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 t="str">
            <v xml:space="preserve"> </v>
          </cell>
          <cell r="O86">
            <v>0</v>
          </cell>
        </row>
        <row r="87">
          <cell r="A87">
            <v>6101</v>
          </cell>
          <cell r="C87" t="str">
            <v>RETAINED EARNINGS</v>
          </cell>
          <cell r="F87">
            <v>2556230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2556230</v>
          </cell>
          <cell r="L87" t="str">
            <v>ok</v>
          </cell>
          <cell r="M87">
            <v>1140770</v>
          </cell>
          <cell r="N87" t="str">
            <v>ok</v>
          </cell>
          <cell r="O87">
            <v>1289985</v>
          </cell>
        </row>
        <row r="88">
          <cell r="A88">
            <v>6103</v>
          </cell>
          <cell r="C88" t="str">
            <v>PROPOSED DIVIDEND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O88">
            <v>0</v>
          </cell>
        </row>
        <row r="89">
          <cell r="A89">
            <v>6102</v>
          </cell>
          <cell r="C89" t="str">
            <v>PROFIT (LOSS) FOR PERIOD</v>
          </cell>
          <cell r="F89">
            <v>1061791</v>
          </cell>
          <cell r="G89">
            <v>1735</v>
          </cell>
          <cell r="H89">
            <v>1735</v>
          </cell>
          <cell r="I89">
            <v>0</v>
          </cell>
          <cell r="J89">
            <v>0</v>
          </cell>
          <cell r="K89">
            <v>1061791</v>
          </cell>
          <cell r="L89" t="str">
            <v>ok</v>
          </cell>
          <cell r="M89">
            <v>466965.06388999941</v>
          </cell>
          <cell r="N89" t="str">
            <v>ok</v>
          </cell>
          <cell r="O89">
            <v>1266245</v>
          </cell>
        </row>
        <row r="90">
          <cell r="A90">
            <v>6200</v>
          </cell>
          <cell r="B90" t="str">
            <v xml:space="preserve">    Retained earnings</v>
          </cell>
          <cell r="F90">
            <v>3618021</v>
          </cell>
          <cell r="G90">
            <v>1735</v>
          </cell>
          <cell r="H90">
            <v>1735</v>
          </cell>
          <cell r="I90">
            <v>0</v>
          </cell>
          <cell r="J90">
            <v>0</v>
          </cell>
          <cell r="K90">
            <v>3618021</v>
          </cell>
          <cell r="M90">
            <v>1607735.0638899994</v>
          </cell>
          <cell r="O90">
            <v>2556230</v>
          </cell>
        </row>
        <row r="91">
          <cell r="A91">
            <v>6300</v>
          </cell>
          <cell r="B91" t="str">
            <v xml:space="preserve">    Translation reserves</v>
          </cell>
          <cell r="M91">
            <v>-16729</v>
          </cell>
          <cell r="N91" t="str">
            <v>ok</v>
          </cell>
          <cell r="O91">
            <v>0</v>
          </cell>
          <cell r="P91" t="str">
            <v xml:space="preserve"> </v>
          </cell>
          <cell r="Q91" t="str">
            <v xml:space="preserve"> </v>
          </cell>
        </row>
        <row r="93">
          <cell r="A93" t="str">
            <v>TEQ</v>
          </cell>
          <cell r="F93">
            <v>3718021</v>
          </cell>
          <cell r="G93">
            <v>1735</v>
          </cell>
          <cell r="H93">
            <v>1735</v>
          </cell>
          <cell r="I93">
            <v>0</v>
          </cell>
          <cell r="J93">
            <v>0</v>
          </cell>
          <cell r="K93">
            <v>3718021</v>
          </cell>
          <cell r="M93">
            <v>1637416.0638899994</v>
          </cell>
          <cell r="O93">
            <v>2656230</v>
          </cell>
        </row>
        <row r="94">
          <cell r="B94" t="str">
            <v>Non-current liabilities</v>
          </cell>
          <cell r="K94">
            <v>0</v>
          </cell>
        </row>
        <row r="95">
          <cell r="A95">
            <v>4301</v>
          </cell>
          <cell r="B95" t="str">
            <v xml:space="preserve">    Hire purchase creditors (after 12 months)</v>
          </cell>
          <cell r="F95">
            <v>132014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132014</v>
          </cell>
          <cell r="L95" t="str">
            <v>ok</v>
          </cell>
          <cell r="M95">
            <v>58138.965600000003</v>
          </cell>
          <cell r="N95" t="str">
            <v>ok</v>
          </cell>
          <cell r="O95">
            <v>0</v>
          </cell>
        </row>
        <row r="96">
          <cell r="A96">
            <v>4302</v>
          </cell>
          <cell r="B96" t="str">
            <v xml:space="preserve">    Deferred taxation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O96">
            <v>10173</v>
          </cell>
        </row>
        <row r="97">
          <cell r="A97" t="str">
            <v>LTL</v>
          </cell>
          <cell r="F97">
            <v>132014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132014</v>
          </cell>
          <cell r="M97">
            <v>58138.965600000003</v>
          </cell>
          <cell r="O97">
            <v>10173</v>
          </cell>
        </row>
        <row r="98">
          <cell r="B98" t="str">
            <v>Current liabilities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 t="str">
            <v xml:space="preserve"> </v>
          </cell>
        </row>
        <row r="99">
          <cell r="A99">
            <v>3002</v>
          </cell>
          <cell r="B99" t="str">
            <v xml:space="preserve">    Trade creditors </v>
          </cell>
          <cell r="F99">
            <v>2341818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2341818</v>
          </cell>
          <cell r="L99" t="str">
            <v>ok</v>
          </cell>
          <cell r="M99">
            <v>1031336.6472</v>
          </cell>
          <cell r="N99" t="str">
            <v>ok</v>
          </cell>
          <cell r="O99">
            <v>1301285</v>
          </cell>
        </row>
        <row r="100">
          <cell r="A100">
            <v>3101</v>
          </cell>
          <cell r="B100" t="str">
            <v xml:space="preserve">    Other creditors and accruals</v>
          </cell>
          <cell r="F100">
            <v>2129723</v>
          </cell>
          <cell r="G100">
            <v>0</v>
          </cell>
          <cell r="H100">
            <v>114494</v>
          </cell>
          <cell r="I100">
            <v>0</v>
          </cell>
          <cell r="J100">
            <v>0</v>
          </cell>
          <cell r="K100">
            <v>2244217</v>
          </cell>
          <cell r="L100" t="str">
            <v>ok</v>
          </cell>
          <cell r="M100">
            <v>988353.16680000001</v>
          </cell>
          <cell r="N100" t="str">
            <v>ok</v>
          </cell>
          <cell r="O100">
            <v>1250407</v>
          </cell>
        </row>
        <row r="101">
          <cell r="A101">
            <v>5002</v>
          </cell>
          <cell r="B101" t="str">
            <v xml:space="preserve">    Amount due to ultimate holding company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</row>
        <row r="102">
          <cell r="A102">
            <v>5202</v>
          </cell>
          <cell r="B102" t="str">
            <v xml:space="preserve">    Amount due to immediate holding company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867463</v>
          </cell>
        </row>
        <row r="103">
          <cell r="A103">
            <v>5308</v>
          </cell>
          <cell r="B103" t="str">
            <v xml:space="preserve">    Amount due to BDP Singapore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</row>
        <row r="104">
          <cell r="A104">
            <v>5309</v>
          </cell>
          <cell r="B104" t="str">
            <v xml:space="preserve">    Amount due to BDP Malaysia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</row>
        <row r="105">
          <cell r="A105">
            <v>5310</v>
          </cell>
          <cell r="B105" t="str">
            <v xml:space="preserve">    Amount due to BDP Thai</v>
          </cell>
          <cell r="G105">
            <v>0</v>
          </cell>
          <cell r="H105">
            <v>0</v>
          </cell>
          <cell r="I105">
            <v>0</v>
          </cell>
          <cell r="J105">
            <v>54926</v>
          </cell>
          <cell r="K105">
            <v>54926</v>
          </cell>
          <cell r="M105">
            <v>24189.410400000001</v>
          </cell>
          <cell r="O105">
            <v>0</v>
          </cell>
        </row>
        <row r="106">
          <cell r="A106">
            <v>5311</v>
          </cell>
          <cell r="B106" t="str">
            <v xml:space="preserve">    Amount due to BDP Aus</v>
          </cell>
          <cell r="G106">
            <v>0</v>
          </cell>
          <cell r="H106">
            <v>0</v>
          </cell>
          <cell r="I106">
            <v>608</v>
          </cell>
          <cell r="J106">
            <v>0</v>
          </cell>
          <cell r="K106">
            <v>-608</v>
          </cell>
          <cell r="M106">
            <v>-267.76319999999998</v>
          </cell>
          <cell r="O106">
            <v>0</v>
          </cell>
        </row>
        <row r="107">
          <cell r="A107">
            <v>5312</v>
          </cell>
          <cell r="B107" t="str">
            <v xml:space="preserve">    Amount due to BDP Shanghai</v>
          </cell>
          <cell r="G107">
            <v>0</v>
          </cell>
          <cell r="H107">
            <v>0</v>
          </cell>
          <cell r="I107">
            <v>0</v>
          </cell>
          <cell r="J107">
            <v>7091</v>
          </cell>
          <cell r="K107">
            <v>7091</v>
          </cell>
          <cell r="M107">
            <v>3122.8764000000001</v>
          </cell>
          <cell r="O107">
            <v>0</v>
          </cell>
        </row>
        <row r="108">
          <cell r="A108">
            <v>5313</v>
          </cell>
          <cell r="B108" t="str">
            <v xml:space="preserve">    Amount due to Taiwan branch</v>
          </cell>
          <cell r="G108">
            <v>0</v>
          </cell>
          <cell r="H108">
            <v>0</v>
          </cell>
          <cell r="I108">
            <v>3949</v>
          </cell>
          <cell r="J108">
            <v>0</v>
          </cell>
          <cell r="K108">
            <v>-3949</v>
          </cell>
          <cell r="M108">
            <v>-1739.1396</v>
          </cell>
          <cell r="O108">
            <v>0</v>
          </cell>
        </row>
        <row r="109">
          <cell r="A109">
            <v>5314</v>
          </cell>
          <cell r="B109" t="str">
            <v xml:space="preserve">    Amount due to BDP FRD Mal</v>
          </cell>
          <cell r="G109">
            <v>114494</v>
          </cell>
          <cell r="H109">
            <v>0</v>
          </cell>
          <cell r="I109">
            <v>0</v>
          </cell>
          <cell r="J109">
            <v>218669</v>
          </cell>
          <cell r="K109">
            <v>104175</v>
          </cell>
          <cell r="M109">
            <v>45878.67</v>
          </cell>
          <cell r="O109">
            <v>0</v>
          </cell>
        </row>
        <row r="110">
          <cell r="A110">
            <v>5502</v>
          </cell>
          <cell r="B110" t="str">
            <v xml:space="preserve">    Amount due to related companies</v>
          </cell>
          <cell r="F110">
            <v>879762</v>
          </cell>
          <cell r="G110">
            <v>0</v>
          </cell>
          <cell r="H110">
            <v>0</v>
          </cell>
          <cell r="I110">
            <v>276129</v>
          </cell>
          <cell r="J110">
            <v>0</v>
          </cell>
          <cell r="K110">
            <v>603633</v>
          </cell>
          <cell r="L110" t="str">
            <v>ok</v>
          </cell>
          <cell r="M110">
            <v>265839.97320000001</v>
          </cell>
          <cell r="N110" t="str">
            <v>ok</v>
          </cell>
          <cell r="O110">
            <v>250974</v>
          </cell>
        </row>
        <row r="111">
          <cell r="A111">
            <v>5602</v>
          </cell>
          <cell r="B111" t="str">
            <v xml:space="preserve">    Amount due to directors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</row>
        <row r="112">
          <cell r="A112" t="str">
            <v>4301A</v>
          </cell>
          <cell r="B112" t="str">
            <v xml:space="preserve">    Hire purchase creditors (within 12 months)</v>
          </cell>
          <cell r="F112">
            <v>33215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33215</v>
          </cell>
          <cell r="L112" t="str">
            <v>ok</v>
          </cell>
          <cell r="M112">
            <v>14627.886</v>
          </cell>
          <cell r="N112" t="str">
            <v>ok</v>
          </cell>
          <cell r="O112">
            <v>20211</v>
          </cell>
        </row>
        <row r="113">
          <cell r="A113">
            <v>4400</v>
          </cell>
          <cell r="B113" t="str">
            <v xml:space="preserve">    Bank overdraft (Secured)</v>
          </cell>
          <cell r="M113">
            <v>0</v>
          </cell>
          <cell r="O113">
            <v>0</v>
          </cell>
        </row>
        <row r="114">
          <cell r="A114">
            <v>4450</v>
          </cell>
          <cell r="B114" t="str">
            <v xml:space="preserve">    Short term loan (Secured)</v>
          </cell>
          <cell r="M114">
            <v>0</v>
          </cell>
          <cell r="O114">
            <v>0</v>
          </cell>
        </row>
        <row r="115">
          <cell r="A115">
            <v>4460</v>
          </cell>
          <cell r="B115" t="str">
            <v xml:space="preserve">    Proposed dividends</v>
          </cell>
          <cell r="M115">
            <v>0</v>
          </cell>
          <cell r="O115">
            <v>0</v>
          </cell>
        </row>
        <row r="116">
          <cell r="A116">
            <v>3201</v>
          </cell>
          <cell r="B116" t="str">
            <v xml:space="preserve">    Provision for taxation</v>
          </cell>
          <cell r="F116">
            <v>0</v>
          </cell>
          <cell r="G116">
            <v>0</v>
          </cell>
          <cell r="H116">
            <v>0</v>
          </cell>
          <cell r="I116">
            <v>46156</v>
          </cell>
          <cell r="J116">
            <v>0</v>
          </cell>
          <cell r="K116">
            <v>-46156</v>
          </cell>
          <cell r="L116" t="str">
            <v>ok</v>
          </cell>
          <cell r="M116">
            <v>-20327.1024</v>
          </cell>
          <cell r="N116" t="str">
            <v>ok</v>
          </cell>
          <cell r="O116">
            <v>78914</v>
          </cell>
        </row>
        <row r="117">
          <cell r="K117">
            <v>0</v>
          </cell>
        </row>
        <row r="118">
          <cell r="A118" t="str">
            <v>CL</v>
          </cell>
          <cell r="F118">
            <v>5384518</v>
          </cell>
          <cell r="G118">
            <v>114494</v>
          </cell>
          <cell r="H118">
            <v>114494</v>
          </cell>
          <cell r="I118">
            <v>326842</v>
          </cell>
          <cell r="J118">
            <v>280686</v>
          </cell>
          <cell r="K118">
            <v>5338362</v>
          </cell>
          <cell r="M118">
            <v>2351014.6247999994</v>
          </cell>
          <cell r="O118">
            <v>3769254</v>
          </cell>
        </row>
        <row r="120">
          <cell r="B120" t="str">
            <v>TOTAL EQUITY AND LIABILITIES</v>
          </cell>
          <cell r="F120">
            <v>9234553</v>
          </cell>
          <cell r="G120">
            <v>116229</v>
          </cell>
          <cell r="H120">
            <v>116229</v>
          </cell>
          <cell r="I120">
            <v>326842</v>
          </cell>
          <cell r="J120">
            <v>280686</v>
          </cell>
          <cell r="K120">
            <v>9188397</v>
          </cell>
          <cell r="L120" t="str">
            <v>ok</v>
          </cell>
          <cell r="M120">
            <v>4046569.654289999</v>
          </cell>
          <cell r="N120" t="str">
            <v>ok</v>
          </cell>
          <cell r="O120">
            <v>6435657</v>
          </cell>
        </row>
        <row r="121">
          <cell r="C121" t="str">
            <v>Test check</v>
          </cell>
          <cell r="F121">
            <v>0</v>
          </cell>
          <cell r="H121">
            <v>0</v>
          </cell>
          <cell r="J121">
            <v>0</v>
          </cell>
          <cell r="K121">
            <v>0</v>
          </cell>
          <cell r="O121">
            <v>0</v>
          </cell>
        </row>
        <row r="123">
          <cell r="C123" t="str">
            <v>Client  : BDP MALAYSIA SDN BHD</v>
          </cell>
        </row>
        <row r="124">
          <cell r="C124" t="str">
            <v>(Incorporated in the Malaysia</v>
          </cell>
        </row>
        <row r="126">
          <cell r="Q126" t="str">
            <v xml:space="preserve"> </v>
          </cell>
        </row>
        <row r="127">
          <cell r="C127" t="str">
            <v>DETAILED TRADING, PROFIT &amp; LOSS ACCOUNT FOR THE FINANCIAL YEAR ENDED 31 DECEMBER 2005</v>
          </cell>
          <cell r="Q127" t="str">
            <v xml:space="preserve"> </v>
          </cell>
        </row>
        <row r="128">
          <cell r="F128" t="str">
            <v>unaudited</v>
          </cell>
          <cell r="G128" t="str">
            <v>Audit Adjustment (AJE)</v>
          </cell>
          <cell r="I128" t="str">
            <v>Reclassification (RJE)</v>
          </cell>
          <cell r="K128" t="str">
            <v>audited</v>
          </cell>
          <cell r="M128" t="str">
            <v>audited</v>
          </cell>
          <cell r="O128" t="str">
            <v>audited</v>
          </cell>
        </row>
        <row r="129">
          <cell r="D129" t="str">
            <v>WP REF</v>
          </cell>
          <cell r="F129" t="str">
            <v>31.12.2005</v>
          </cell>
          <cell r="G129" t="str">
            <v>DR</v>
          </cell>
          <cell r="H129" t="str">
            <v>CR</v>
          </cell>
          <cell r="I129" t="str">
            <v>DR</v>
          </cell>
          <cell r="J129" t="str">
            <v>CR</v>
          </cell>
          <cell r="K129" t="str">
            <v>31.12.2005</v>
          </cell>
          <cell r="M129" t="str">
            <v>31.12.2005</v>
          </cell>
          <cell r="O129" t="str">
            <v>31.12.2004</v>
          </cell>
        </row>
        <row r="130">
          <cell r="F130" t="str">
            <v>RM</v>
          </cell>
          <cell r="G130" t="str">
            <v>RM</v>
          </cell>
          <cell r="H130" t="str">
            <v>RM</v>
          </cell>
          <cell r="I130" t="str">
            <v>RM</v>
          </cell>
          <cell r="J130" t="str">
            <v>RM</v>
          </cell>
          <cell r="K130" t="str">
            <v>RM</v>
          </cell>
          <cell r="M130" t="str">
            <v>S$</v>
          </cell>
          <cell r="O130" t="str">
            <v>RM</v>
          </cell>
        </row>
        <row r="131">
          <cell r="A131" t="str">
            <v>Sales</v>
          </cell>
          <cell r="B131" t="str">
            <v>SALES</v>
          </cell>
          <cell r="F131">
            <v>31349350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31349350</v>
          </cell>
          <cell r="L131" t="str">
            <v>ok</v>
          </cell>
          <cell r="M131">
            <v>13787130.636500001</v>
          </cell>
          <cell r="N131" t="str">
            <v>ok</v>
          </cell>
          <cell r="O131">
            <v>26415987</v>
          </cell>
          <cell r="Q131">
            <v>0.15736731383585306</v>
          </cell>
        </row>
        <row r="132">
          <cell r="A132" t="str">
            <v>COS</v>
          </cell>
          <cell r="B132" t="str">
            <v>COST OF SALES</v>
          </cell>
          <cell r="F132">
            <v>-25768581</v>
          </cell>
          <cell r="K132">
            <v>-25768581</v>
          </cell>
          <cell r="L132" t="str">
            <v>ok</v>
          </cell>
          <cell r="M132">
            <v>-11332764.237990001</v>
          </cell>
          <cell r="N132" t="str">
            <v>ok</v>
          </cell>
          <cell r="O132">
            <v>-21554968</v>
          </cell>
          <cell r="Q132">
            <v>0.16351746337914377</v>
          </cell>
        </row>
        <row r="133">
          <cell r="F133">
            <v>5580769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5580769</v>
          </cell>
          <cell r="M133">
            <v>2454367.3985099997</v>
          </cell>
          <cell r="O133">
            <v>4861019</v>
          </cell>
        </row>
        <row r="134">
          <cell r="A134" t="str">
            <v>GP</v>
          </cell>
          <cell r="B134" t="str">
            <v>GROSS PROFIT</v>
          </cell>
        </row>
        <row r="136">
          <cell r="A136" t="str">
            <v>OI</v>
          </cell>
          <cell r="B136" t="str">
            <v>OTHER INCOME</v>
          </cell>
          <cell r="K136">
            <v>0</v>
          </cell>
          <cell r="Q136" t="str">
            <v xml:space="preserve"> </v>
          </cell>
        </row>
        <row r="137">
          <cell r="A137">
            <v>30001</v>
          </cell>
          <cell r="B137" t="str">
            <v xml:space="preserve">    Dividend income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Q137" t="str">
            <v xml:space="preserve"> </v>
          </cell>
        </row>
        <row r="138">
          <cell r="A138">
            <v>30002</v>
          </cell>
          <cell r="B138" t="str">
            <v xml:space="preserve">    Regional cost allocation</v>
          </cell>
          <cell r="F138">
            <v>0</v>
          </cell>
          <cell r="K138">
            <v>0</v>
          </cell>
          <cell r="M138">
            <v>0</v>
          </cell>
          <cell r="O138">
            <v>0</v>
          </cell>
        </row>
        <row r="139">
          <cell r="A139">
            <v>30003</v>
          </cell>
          <cell r="B139" t="str">
            <v xml:space="preserve">    Other income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Q139" t="str">
            <v xml:space="preserve"> 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Q140" t="str">
            <v xml:space="preserve"> </v>
          </cell>
        </row>
        <row r="142">
          <cell r="A142" t="str">
            <v>SC</v>
          </cell>
          <cell r="B142" t="str">
            <v>STAFF COSTS</v>
          </cell>
          <cell r="Q142" t="str">
            <v xml:space="preserve"> </v>
          </cell>
        </row>
        <row r="143">
          <cell r="A143">
            <v>40001</v>
          </cell>
          <cell r="B143" t="str">
            <v xml:space="preserve">   Directors' remuneration</v>
          </cell>
          <cell r="F143">
            <v>288126</v>
          </cell>
          <cell r="K143">
            <v>288126</v>
          </cell>
          <cell r="L143" t="str">
            <v>ok</v>
          </cell>
          <cell r="M143">
            <v>126714.93354</v>
          </cell>
          <cell r="N143" t="str">
            <v>ok</v>
          </cell>
          <cell r="O143">
            <v>224484</v>
          </cell>
        </row>
        <row r="144">
          <cell r="A144">
            <v>40002</v>
          </cell>
          <cell r="B144" t="str">
            <v xml:space="preserve">   Payroll taxes and fringes</v>
          </cell>
          <cell r="F144">
            <v>472899</v>
          </cell>
          <cell r="K144">
            <v>472899</v>
          </cell>
          <cell r="L144" t="str">
            <v>ok</v>
          </cell>
          <cell r="M144">
            <v>207976.25121000002</v>
          </cell>
          <cell r="N144" t="str">
            <v>ok</v>
          </cell>
          <cell r="O144">
            <v>357526.46</v>
          </cell>
        </row>
        <row r="145">
          <cell r="A145">
            <v>40003</v>
          </cell>
          <cell r="B145" t="str">
            <v xml:space="preserve">   Salaries and wages</v>
          </cell>
          <cell r="F145">
            <v>1612622</v>
          </cell>
          <cell r="K145">
            <v>1612622</v>
          </cell>
          <cell r="L145" t="str">
            <v>ok</v>
          </cell>
          <cell r="M145">
            <v>709215.02938000008</v>
          </cell>
          <cell r="N145" t="str">
            <v>ok</v>
          </cell>
          <cell r="O145">
            <v>1193381.51</v>
          </cell>
        </row>
        <row r="146">
          <cell r="A146" t="str">
            <v xml:space="preserve"> </v>
          </cell>
          <cell r="F146">
            <v>-2373647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-2373647</v>
          </cell>
          <cell r="M146">
            <v>-1043906.2141300001</v>
          </cell>
          <cell r="O146">
            <v>-1775391.97</v>
          </cell>
        </row>
        <row r="147">
          <cell r="A147" t="str">
            <v xml:space="preserve"> </v>
          </cell>
        </row>
        <row r="148">
          <cell r="A148" t="str">
            <v>RE</v>
          </cell>
          <cell r="B148" t="str">
            <v>RENTAL EXPENSES</v>
          </cell>
        </row>
        <row r="149">
          <cell r="A149">
            <v>40004</v>
          </cell>
          <cell r="B149" t="str">
            <v xml:space="preserve">     Electricity</v>
          </cell>
          <cell r="F149">
            <v>36823</v>
          </cell>
          <cell r="K149">
            <v>36823</v>
          </cell>
          <cell r="L149" t="str">
            <v>ok</v>
          </cell>
          <cell r="M149">
            <v>16194.38717</v>
          </cell>
          <cell r="N149" t="str">
            <v>ok</v>
          </cell>
          <cell r="O149">
            <v>27314</v>
          </cell>
        </row>
        <row r="150">
          <cell r="A150">
            <v>40005</v>
          </cell>
          <cell r="B150" t="str">
            <v xml:space="preserve">     Janitorial </v>
          </cell>
          <cell r="K150">
            <v>0</v>
          </cell>
          <cell r="M150">
            <v>0</v>
          </cell>
          <cell r="O150">
            <v>0</v>
          </cell>
        </row>
        <row r="151">
          <cell r="A151">
            <v>40006</v>
          </cell>
          <cell r="B151" t="str">
            <v xml:space="preserve">     Office facilities</v>
          </cell>
          <cell r="F151">
            <v>0</v>
          </cell>
          <cell r="K151">
            <v>0</v>
          </cell>
          <cell r="M151">
            <v>0</v>
          </cell>
          <cell r="O151">
            <v>0</v>
          </cell>
        </row>
        <row r="152">
          <cell r="A152">
            <v>40007</v>
          </cell>
          <cell r="B152" t="str">
            <v xml:space="preserve">     Office lease payment</v>
          </cell>
          <cell r="F152">
            <v>113100</v>
          </cell>
          <cell r="K152">
            <v>113100</v>
          </cell>
          <cell r="L152" t="str">
            <v>ok</v>
          </cell>
          <cell r="M152">
            <v>49740.249000000003</v>
          </cell>
          <cell r="N152" t="str">
            <v>ok</v>
          </cell>
          <cell r="O152">
            <v>88541.81</v>
          </cell>
        </row>
        <row r="153">
          <cell r="A153">
            <v>40008</v>
          </cell>
          <cell r="B153" t="str">
            <v xml:space="preserve">     Other occupancy costs</v>
          </cell>
          <cell r="F153">
            <v>0</v>
          </cell>
          <cell r="K153">
            <v>0</v>
          </cell>
          <cell r="M153">
            <v>0</v>
          </cell>
          <cell r="O153">
            <v>0</v>
          </cell>
        </row>
        <row r="154">
          <cell r="F154">
            <v>-149923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-149923</v>
          </cell>
          <cell r="M154">
            <v>-65933.636169999998</v>
          </cell>
          <cell r="O154">
            <v>-115855.81</v>
          </cell>
        </row>
        <row r="155">
          <cell r="A155" t="str">
            <v>DEP</v>
          </cell>
          <cell r="B155" t="str">
            <v>DEPRECIATION AND AMORTISATION</v>
          </cell>
        </row>
        <row r="156">
          <cell r="A156">
            <v>40009</v>
          </cell>
          <cell r="B156" t="str">
            <v xml:space="preserve">     Amortisation</v>
          </cell>
          <cell r="K156">
            <v>0</v>
          </cell>
          <cell r="M156">
            <v>0</v>
          </cell>
          <cell r="O156">
            <v>0</v>
          </cell>
        </row>
        <row r="157">
          <cell r="A157">
            <v>40030</v>
          </cell>
          <cell r="B157" t="str">
            <v xml:space="preserve">     Depreciation</v>
          </cell>
          <cell r="F157">
            <v>199653</v>
          </cell>
          <cell r="G157">
            <v>1735</v>
          </cell>
          <cell r="H157">
            <v>0</v>
          </cell>
          <cell r="I157">
            <v>0</v>
          </cell>
          <cell r="J157">
            <v>0</v>
          </cell>
          <cell r="K157">
            <v>201388</v>
          </cell>
          <cell r="L157" t="str">
            <v>ok</v>
          </cell>
          <cell r="M157">
            <v>88569.428520000001</v>
          </cell>
          <cell r="N157" t="str">
            <v>ok</v>
          </cell>
          <cell r="O157">
            <v>163528</v>
          </cell>
        </row>
        <row r="158">
          <cell r="F158">
            <v>-199653</v>
          </cell>
          <cell r="G158">
            <v>1735</v>
          </cell>
          <cell r="H158">
            <v>0</v>
          </cell>
          <cell r="I158">
            <v>0</v>
          </cell>
          <cell r="J158">
            <v>0</v>
          </cell>
          <cell r="K158">
            <v>-201388</v>
          </cell>
          <cell r="M158">
            <v>-88569.428520000001</v>
          </cell>
          <cell r="O158">
            <v>-163528</v>
          </cell>
        </row>
        <row r="160">
          <cell r="A160" t="str">
            <v>OOE</v>
          </cell>
          <cell r="B160" t="str">
            <v>OTHER OPERATING EXPENSES</v>
          </cell>
        </row>
        <row r="161">
          <cell r="A161">
            <v>40010</v>
          </cell>
          <cell r="B161" t="str">
            <v xml:space="preserve">    Auditors' remuneration</v>
          </cell>
          <cell r="F161">
            <v>8000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8000</v>
          </cell>
          <cell r="L161" t="str">
            <v>ok</v>
          </cell>
          <cell r="M161">
            <v>3518.32</v>
          </cell>
          <cell r="N161" t="str">
            <v>ok</v>
          </cell>
          <cell r="O161">
            <v>7000</v>
          </cell>
          <cell r="Q161">
            <v>0.125</v>
          </cell>
        </row>
        <row r="162">
          <cell r="A162">
            <v>40031</v>
          </cell>
          <cell r="B162" t="str">
            <v xml:space="preserve">    Allocated administration expenses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</row>
        <row r="163">
          <cell r="A163">
            <v>40011</v>
          </cell>
          <cell r="B163" t="str">
            <v xml:space="preserve">    Bad debts written off (trade)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O163">
            <v>0</v>
          </cell>
          <cell r="Q163" t="str">
            <v xml:space="preserve"> </v>
          </cell>
        </row>
        <row r="164">
          <cell r="A164">
            <v>40012</v>
          </cell>
          <cell r="B164" t="str">
            <v xml:space="preserve">    Bad debts written off (non-trade)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O164">
            <v>0</v>
          </cell>
        </row>
        <row r="165">
          <cell r="A165">
            <v>40013</v>
          </cell>
          <cell r="B165" t="str">
            <v xml:space="preserve">    Bank charges</v>
          </cell>
          <cell r="F165">
            <v>6471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6471</v>
          </cell>
          <cell r="L165" t="str">
            <v>ok</v>
          </cell>
          <cell r="M165">
            <v>2845.8810900000003</v>
          </cell>
          <cell r="N165" t="str">
            <v>ok</v>
          </cell>
          <cell r="O165">
            <v>7466.87</v>
          </cell>
        </row>
        <row r="166">
          <cell r="A166">
            <v>40014</v>
          </cell>
          <cell r="B166" t="str">
            <v xml:space="preserve">    Communication expenses</v>
          </cell>
          <cell r="F166">
            <v>189282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189282</v>
          </cell>
          <cell r="L166" t="str">
            <v>ok</v>
          </cell>
          <cell r="M166">
            <v>83244.330780000004</v>
          </cell>
          <cell r="N166" t="str">
            <v>ok</v>
          </cell>
          <cell r="O166">
            <v>176332</v>
          </cell>
          <cell r="Q166">
            <v>6.8416436850836315E-2</v>
          </cell>
        </row>
        <row r="167">
          <cell r="A167">
            <v>40015</v>
          </cell>
          <cell r="B167" t="str">
            <v xml:space="preserve">    Commission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M167">
            <v>0</v>
          </cell>
          <cell r="O167">
            <v>0</v>
          </cell>
          <cell r="Q167" t="str">
            <v xml:space="preserve"> </v>
          </cell>
        </row>
        <row r="168">
          <cell r="A168">
            <v>40016</v>
          </cell>
          <cell r="B168" t="str">
            <v xml:space="preserve">    Customs compound and customer claims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O168">
            <v>0</v>
          </cell>
          <cell r="Q168" t="str">
            <v xml:space="preserve"> </v>
          </cell>
        </row>
        <row r="169">
          <cell r="A169">
            <v>40017</v>
          </cell>
          <cell r="B169" t="str">
            <v xml:space="preserve">     Entertainment</v>
          </cell>
          <cell r="F169">
            <v>20713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20713</v>
          </cell>
          <cell r="L169" t="str">
            <v>ok</v>
          </cell>
          <cell r="M169">
            <v>9109.3702699999994</v>
          </cell>
          <cell r="N169" t="str">
            <v>ok</v>
          </cell>
          <cell r="O169">
            <v>23606</v>
          </cell>
          <cell r="Q169">
            <v>-0.13967073818374934</v>
          </cell>
        </row>
        <row r="170">
          <cell r="A170">
            <v>40018</v>
          </cell>
          <cell r="B170" t="str">
            <v xml:space="preserve">     Exchange difference</v>
          </cell>
          <cell r="F170">
            <v>-47112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-47112</v>
          </cell>
          <cell r="L170" t="str">
            <v>ok</v>
          </cell>
          <cell r="M170">
            <v>-20719.386480000001</v>
          </cell>
          <cell r="N170" t="str">
            <v>ok</v>
          </cell>
          <cell r="O170">
            <v>8115</v>
          </cell>
        </row>
        <row r="171">
          <cell r="A171">
            <v>40019</v>
          </cell>
          <cell r="B171" t="str">
            <v xml:space="preserve">     Insurance</v>
          </cell>
          <cell r="F171">
            <v>47298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47298</v>
          </cell>
          <cell r="L171" t="str">
            <v>ok</v>
          </cell>
          <cell r="M171">
            <v>20801.187420000002</v>
          </cell>
          <cell r="N171" t="str">
            <v>ok</v>
          </cell>
          <cell r="O171">
            <v>12784</v>
          </cell>
        </row>
        <row r="172">
          <cell r="A172">
            <v>40020</v>
          </cell>
          <cell r="B172" t="str">
            <v xml:space="preserve">     Legal and professional fees</v>
          </cell>
          <cell r="F172">
            <v>296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296</v>
          </cell>
          <cell r="L172" t="str">
            <v>ok</v>
          </cell>
          <cell r="M172">
            <v>130.17784</v>
          </cell>
          <cell r="N172" t="str">
            <v>ok</v>
          </cell>
          <cell r="O172">
            <v>2458</v>
          </cell>
        </row>
        <row r="173">
          <cell r="A173">
            <v>40021</v>
          </cell>
          <cell r="B173" t="str">
            <v xml:space="preserve">     Plant and equipment written off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0</v>
          </cell>
          <cell r="O173">
            <v>0</v>
          </cell>
        </row>
        <row r="174">
          <cell r="A174">
            <v>40022</v>
          </cell>
          <cell r="B174" t="str">
            <v xml:space="preserve">     Maintenance expenses</v>
          </cell>
          <cell r="F174">
            <v>177437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177437</v>
          </cell>
          <cell r="L174" t="str">
            <v>ok</v>
          </cell>
          <cell r="M174">
            <v>78035.018230000001</v>
          </cell>
          <cell r="N174" t="str">
            <v>ok</v>
          </cell>
          <cell r="O174">
            <v>134209.51999999999</v>
          </cell>
        </row>
        <row r="175">
          <cell r="A175">
            <v>40023</v>
          </cell>
          <cell r="B175" t="str">
            <v xml:space="preserve">     Management fees</v>
          </cell>
          <cell r="F175">
            <v>546538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546538</v>
          </cell>
          <cell r="L175" t="str">
            <v>ok</v>
          </cell>
          <cell r="M175">
            <v>240361.94702000002</v>
          </cell>
          <cell r="N175" t="str">
            <v>ok</v>
          </cell>
          <cell r="O175">
            <v>419089</v>
          </cell>
        </row>
        <row r="176">
          <cell r="A176">
            <v>40024</v>
          </cell>
          <cell r="B176" t="str">
            <v xml:space="preserve">     Operating supplies</v>
          </cell>
          <cell r="F176">
            <v>131223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131223</v>
          </cell>
          <cell r="L176" t="str">
            <v>ok</v>
          </cell>
          <cell r="M176">
            <v>57710.563170000001</v>
          </cell>
          <cell r="N176" t="str">
            <v>ok</v>
          </cell>
          <cell r="O176">
            <v>81298</v>
          </cell>
        </row>
        <row r="177">
          <cell r="A177">
            <v>40025</v>
          </cell>
          <cell r="B177" t="str">
            <v xml:space="preserve">     Other expenses</v>
          </cell>
          <cell r="F177">
            <v>23972</v>
          </cell>
          <cell r="G177">
            <v>0</v>
          </cell>
          <cell r="H177">
            <v>1735</v>
          </cell>
          <cell r="I177">
            <v>0</v>
          </cell>
          <cell r="J177">
            <v>0</v>
          </cell>
          <cell r="K177">
            <v>22237</v>
          </cell>
          <cell r="L177" t="str">
            <v>ok</v>
          </cell>
          <cell r="M177">
            <v>9779.6102300000002</v>
          </cell>
          <cell r="N177" t="str">
            <v>ok</v>
          </cell>
          <cell r="O177">
            <v>20008.71</v>
          </cell>
        </row>
        <row r="178">
          <cell r="A178">
            <v>40026</v>
          </cell>
          <cell r="B178" t="str">
            <v xml:space="preserve">     Outside services </v>
          </cell>
          <cell r="F178">
            <v>4806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4806</v>
          </cell>
          <cell r="L178" t="str">
            <v>ok</v>
          </cell>
          <cell r="M178">
            <v>2113.6307400000001</v>
          </cell>
          <cell r="N178" t="str">
            <v>ok</v>
          </cell>
          <cell r="O178">
            <v>5741.55</v>
          </cell>
        </row>
        <row r="179">
          <cell r="A179">
            <v>40027</v>
          </cell>
          <cell r="B179" t="str">
            <v xml:space="preserve">     Provision for doubtful debts</v>
          </cell>
          <cell r="F179">
            <v>181353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181353</v>
          </cell>
          <cell r="L179" t="str">
            <v>ok</v>
          </cell>
          <cell r="M179">
            <v>79757.235870000004</v>
          </cell>
          <cell r="N179" t="str">
            <v>ok</v>
          </cell>
          <cell r="O179">
            <v>69349.179999999993</v>
          </cell>
        </row>
        <row r="180">
          <cell r="A180">
            <v>40028</v>
          </cell>
          <cell r="B180" t="str">
            <v xml:space="preserve">     Dividend paid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O180">
            <v>0</v>
          </cell>
        </row>
        <row r="181">
          <cell r="A181">
            <v>40029</v>
          </cell>
          <cell r="B181" t="str">
            <v xml:space="preserve">     Travel and transportation</v>
          </cell>
          <cell r="F181">
            <v>150507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150507</v>
          </cell>
          <cell r="L181" t="str">
            <v>ok</v>
          </cell>
          <cell r="M181">
            <v>66191.473530000003</v>
          </cell>
          <cell r="N181" t="str">
            <v>ok</v>
          </cell>
          <cell r="O181">
            <v>65547</v>
          </cell>
        </row>
        <row r="182">
          <cell r="F182">
            <v>-1440784</v>
          </cell>
          <cell r="G182">
            <v>0</v>
          </cell>
          <cell r="H182">
            <v>1735</v>
          </cell>
          <cell r="I182">
            <v>0</v>
          </cell>
          <cell r="J182">
            <v>0</v>
          </cell>
          <cell r="K182">
            <v>-1439049</v>
          </cell>
          <cell r="M182">
            <v>-632879.35970999999</v>
          </cell>
          <cell r="O182">
            <v>-1033004.8300000001</v>
          </cell>
        </row>
        <row r="184">
          <cell r="A184" t="str">
            <v>FI</v>
          </cell>
          <cell r="B184" t="str">
            <v>FINANCE INCOME</v>
          </cell>
          <cell r="K184">
            <v>0</v>
          </cell>
          <cell r="Q184" t="str">
            <v xml:space="preserve"> </v>
          </cell>
        </row>
        <row r="185">
          <cell r="A185">
            <v>50001</v>
          </cell>
          <cell r="B185" t="str">
            <v xml:space="preserve">    Interest income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O185">
            <v>0</v>
          </cell>
          <cell r="Q185" t="str">
            <v xml:space="preserve"> </v>
          </cell>
        </row>
        <row r="186">
          <cell r="A186">
            <v>50002</v>
          </cell>
          <cell r="B186" t="str">
            <v xml:space="preserve">    Foreign exchange gain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O186">
            <v>0</v>
          </cell>
        </row>
        <row r="187">
          <cell r="A187">
            <v>50003</v>
          </cell>
          <cell r="B187" t="str">
            <v xml:space="preserve">   Profit on disposal of assets</v>
          </cell>
          <cell r="F187">
            <v>17300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17300</v>
          </cell>
          <cell r="L187" t="str">
            <v>ok</v>
          </cell>
          <cell r="M187">
            <v>7608.3670000000002</v>
          </cell>
          <cell r="N187" t="str">
            <v>ok</v>
          </cell>
          <cell r="O187">
            <v>0</v>
          </cell>
          <cell r="Q187">
            <v>1</v>
          </cell>
        </row>
        <row r="188">
          <cell r="F188">
            <v>17300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17300</v>
          </cell>
          <cell r="M188">
            <v>7608.3670000000002</v>
          </cell>
          <cell r="O188">
            <v>0</v>
          </cell>
          <cell r="Q188">
            <v>1</v>
          </cell>
        </row>
        <row r="189">
          <cell r="A189" t="str">
            <v>fincost</v>
          </cell>
          <cell r="B189" t="str">
            <v>FINANCE COSTS</v>
          </cell>
          <cell r="F189" t="str">
            <v xml:space="preserve"> </v>
          </cell>
          <cell r="J189" t="str">
            <v xml:space="preserve"> </v>
          </cell>
          <cell r="K189" t="str">
            <v xml:space="preserve"> </v>
          </cell>
          <cell r="Q189" t="str">
            <v xml:space="preserve"> </v>
          </cell>
        </row>
        <row r="190">
          <cell r="A190">
            <v>60001</v>
          </cell>
          <cell r="B190" t="str">
            <v xml:space="preserve">     Bank overdraft and interest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O190">
            <v>0</v>
          </cell>
          <cell r="Q190" t="str">
            <v xml:space="preserve"> </v>
          </cell>
        </row>
        <row r="191">
          <cell r="A191">
            <v>60002</v>
          </cell>
          <cell r="B191" t="str">
            <v xml:space="preserve">    Short term loan interest</v>
          </cell>
        </row>
        <row r="192">
          <cell r="A192">
            <v>60003</v>
          </cell>
          <cell r="B192" t="str">
            <v xml:space="preserve">    Interest on hire purchase</v>
          </cell>
          <cell r="F192">
            <v>4860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4860</v>
          </cell>
          <cell r="L192" t="str">
            <v>ok</v>
          </cell>
          <cell r="M192">
            <v>2138.3794000000003</v>
          </cell>
          <cell r="N192" t="str">
            <v>ok</v>
          </cell>
          <cell r="O192">
            <v>2987</v>
          </cell>
          <cell r="Q192">
            <v>0.38539094650205763</v>
          </cell>
        </row>
        <row r="193">
          <cell r="F193">
            <v>-4860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-4860</v>
          </cell>
          <cell r="M193">
            <v>-2138.3794000000003</v>
          </cell>
          <cell r="O193">
            <v>-2987</v>
          </cell>
          <cell r="Q193">
            <v>0.38539094650205763</v>
          </cell>
        </row>
        <row r="194">
          <cell r="B194" t="str">
            <v>(LOSS)/ PROFIT for the year before taxation</v>
          </cell>
          <cell r="F194">
            <v>1429202</v>
          </cell>
          <cell r="G194">
            <v>1735</v>
          </cell>
          <cell r="H194">
            <v>1735</v>
          </cell>
          <cell r="I194">
            <v>0</v>
          </cell>
          <cell r="J194">
            <v>0</v>
          </cell>
          <cell r="K194">
            <v>1429202</v>
          </cell>
          <cell r="M194">
            <v>628548.74757999938</v>
          </cell>
          <cell r="N194" t="str">
            <v xml:space="preserve"> </v>
          </cell>
          <cell r="O194">
            <v>1770251.3900000001</v>
          </cell>
          <cell r="Q194">
            <v>-0.23862924205255809</v>
          </cell>
        </row>
        <row r="195">
          <cell r="A195">
            <v>70001</v>
          </cell>
          <cell r="B195" t="str">
            <v xml:space="preserve">   Taxation- current year</v>
          </cell>
          <cell r="F195">
            <v>367411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367411</v>
          </cell>
          <cell r="L195" t="str">
            <v>ok</v>
          </cell>
          <cell r="M195">
            <v>161583.68369000001</v>
          </cell>
          <cell r="N195" t="str">
            <v>ok</v>
          </cell>
          <cell r="O195">
            <v>504007</v>
          </cell>
          <cell r="Q195">
            <v>-0.37177983239478402</v>
          </cell>
        </row>
        <row r="196">
          <cell r="A196">
            <v>70002</v>
          </cell>
          <cell r="B196" t="str">
            <v xml:space="preserve">   Taxation-over/under PY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M196">
            <v>0</v>
          </cell>
          <cell r="Q196" t="str">
            <v xml:space="preserve"> </v>
          </cell>
        </row>
        <row r="197">
          <cell r="A197">
            <v>70003</v>
          </cell>
          <cell r="B197" t="str">
            <v xml:space="preserve">   Taxation-Def tax transfer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Q197" t="str">
            <v xml:space="preserve"> </v>
          </cell>
        </row>
        <row r="198">
          <cell r="A198">
            <v>70000</v>
          </cell>
          <cell r="B198" t="str">
            <v>Taxation</v>
          </cell>
          <cell r="F198">
            <v>-367411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-367411</v>
          </cell>
          <cell r="M198">
            <v>-161583.68369000001</v>
          </cell>
          <cell r="O198">
            <v>-504007</v>
          </cell>
          <cell r="Q198">
            <v>-0.37177983239478402</v>
          </cell>
        </row>
        <row r="199">
          <cell r="B199" t="str">
            <v>PROFIT for the year after taxation</v>
          </cell>
          <cell r="F199">
            <v>1061791</v>
          </cell>
          <cell r="G199">
            <v>1735</v>
          </cell>
          <cell r="H199">
            <v>1735</v>
          </cell>
          <cell r="I199">
            <v>0</v>
          </cell>
          <cell r="J199">
            <v>0</v>
          </cell>
          <cell r="K199">
            <v>1061791</v>
          </cell>
          <cell r="L199" t="str">
            <v>ok</v>
          </cell>
          <cell r="M199">
            <v>466965.06388999941</v>
          </cell>
          <cell r="N199" t="str">
            <v>ok</v>
          </cell>
          <cell r="O199">
            <v>1266244.3900000001</v>
          </cell>
          <cell r="Q199">
            <v>-0.19255521095959574</v>
          </cell>
        </row>
        <row r="200">
          <cell r="K200" t="str">
            <v xml:space="preserve"> 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"/>
      <sheetName val="DATA WP"/>
      <sheetName val="B.1"/>
      <sheetName val="B.1.1"/>
      <sheetName val="B.2"/>
      <sheetName val="B.3"/>
      <sheetName val="B.3.1 Penyusutan"/>
      <sheetName val="B.3.2"/>
      <sheetName val="B.4"/>
      <sheetName val="E.1"/>
      <sheetName val="E.2"/>
      <sheetName val="E.3"/>
      <sheetName val="E.4"/>
      <sheetName val="E.5"/>
      <sheetName val="E.6"/>
      <sheetName val="Pos Koreksi"/>
      <sheetName val="nh badan "/>
      <sheetName val="nh ppn "/>
      <sheetName val="nh final "/>
      <sheetName val="nh 21"/>
      <sheetName val="nh 23"/>
      <sheetName val="nh 26"/>
    </sheetNames>
    <sheetDataSet>
      <sheetData sheetId="0" refreshError="1"/>
      <sheetData sheetId="1" refreshError="1">
        <row r="4">
          <cell r="E4" t="str">
            <v>:  PT Graha Lelang Survindo</v>
          </cell>
        </row>
        <row r="9">
          <cell r="E9" t="str">
            <v>:  1999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0-Cover"/>
      <sheetName val="Ratio"/>
      <sheetName val="FS"/>
      <sheetName val="RJE"/>
      <sheetName val="AJE"/>
      <sheetName val="CJE"/>
      <sheetName val="CashFlow"/>
      <sheetName val="audited BS"/>
      <sheetName val="audited PL"/>
      <sheetName val="audited detailPL"/>
      <sheetName val="NTA"/>
      <sheetName val="BS"/>
      <sheetName val="PL"/>
      <sheetName val="procedure"/>
    </sheetNames>
    <sheetDataSet>
      <sheetData sheetId="0"/>
      <sheetData sheetId="1"/>
      <sheetData sheetId="2" refreshError="1">
        <row r="1">
          <cell r="B1" t="str">
            <v>Client  : Nature Sources Ltd</v>
          </cell>
        </row>
        <row r="2">
          <cell r="B2" t="str">
            <v>(Incorporated in the Republic of Singapore)</v>
          </cell>
        </row>
        <row r="4">
          <cell r="B4" t="str">
            <v>INCOME STATEMENT FOR THE FINANCIAL PERIOD ENDED 30 June 2006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  <cell r="M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  <cell r="M7" t="str">
            <v>audited</v>
          </cell>
        </row>
        <row r="8">
          <cell r="D8" t="str">
            <v>WP REF</v>
          </cell>
          <cell r="F8">
            <v>2006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>
            <v>2006</v>
          </cell>
          <cell r="M8">
            <v>2005</v>
          </cell>
        </row>
        <row r="9">
          <cell r="F9" t="str">
            <v>US$</v>
          </cell>
          <cell r="G9" t="str">
            <v>US$</v>
          </cell>
          <cell r="H9" t="str">
            <v>US$</v>
          </cell>
          <cell r="I9" t="str">
            <v>US$</v>
          </cell>
          <cell r="J9" t="str">
            <v>US$</v>
          </cell>
          <cell r="K9" t="str">
            <v>US$</v>
          </cell>
          <cell r="M9" t="str">
            <v>US$</v>
          </cell>
        </row>
        <row r="11">
          <cell r="A11">
            <v>10000</v>
          </cell>
          <cell r="B11" t="str">
            <v>Turnover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M11">
            <v>0</v>
          </cell>
        </row>
        <row r="13">
          <cell r="A13">
            <v>20000</v>
          </cell>
          <cell r="B13" t="str">
            <v>Cost of sales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M13">
            <v>0</v>
          </cell>
        </row>
        <row r="15">
          <cell r="A15" t="str">
            <v>GP</v>
          </cell>
          <cell r="B15" t="str">
            <v>Gross profit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</row>
        <row r="17">
          <cell r="A17">
            <v>30000</v>
          </cell>
          <cell r="B17" t="str">
            <v>Other operating income</v>
          </cell>
          <cell r="F17">
            <v>563676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563676</v>
          </cell>
          <cell r="M17">
            <v>705</v>
          </cell>
        </row>
        <row r="19">
          <cell r="A19">
            <v>40000</v>
          </cell>
          <cell r="B19" t="str">
            <v>Administrative expenses</v>
          </cell>
          <cell r="F19">
            <v>-3338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-3338</v>
          </cell>
          <cell r="M19">
            <v>-460</v>
          </cell>
        </row>
        <row r="21">
          <cell r="A21">
            <v>50000</v>
          </cell>
          <cell r="B21" t="str">
            <v>Other operating expenses</v>
          </cell>
          <cell r="F21">
            <v>-10237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-10237</v>
          </cell>
          <cell r="M21">
            <v>0</v>
          </cell>
        </row>
        <row r="23">
          <cell r="A23">
            <v>60000</v>
          </cell>
          <cell r="B23" t="str">
            <v>Finance costs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</row>
        <row r="25">
          <cell r="A25" t="str">
            <v>PBT</v>
          </cell>
          <cell r="B25" t="str">
            <v>(Loss)/Profit for the year before taxation</v>
          </cell>
          <cell r="F25">
            <v>550101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550101</v>
          </cell>
          <cell r="M25">
            <v>245</v>
          </cell>
        </row>
        <row r="27">
          <cell r="A27">
            <v>70000</v>
          </cell>
          <cell r="B27" t="str">
            <v>Taxation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</row>
        <row r="29">
          <cell r="A29" t="str">
            <v>PAT</v>
          </cell>
          <cell r="B29" t="str">
            <v>(Loss)/Profit for the year after taxation</v>
          </cell>
          <cell r="F29">
            <v>550101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550101</v>
          </cell>
          <cell r="M29">
            <v>245</v>
          </cell>
        </row>
        <row r="30">
          <cell r="G30" t="str">
            <v>total AJE in Dr</v>
          </cell>
          <cell r="H30" t="str">
            <v>total AJE in Cr</v>
          </cell>
          <cell r="I30" t="str">
            <v>total RJE in Dr</v>
          </cell>
          <cell r="J30" t="str">
            <v>total RJE in Cr</v>
          </cell>
          <cell r="K30">
            <v>0</v>
          </cell>
        </row>
        <row r="34">
          <cell r="B34" t="str">
            <v>Client  : Nature Sources Ltd</v>
          </cell>
        </row>
        <row r="35">
          <cell r="B35" t="str">
            <v>(Incorporated in the Republic of Singapore)</v>
          </cell>
        </row>
        <row r="37">
          <cell r="B37" t="str">
            <v>BALANCE SHEET AS AT 30 June 2006</v>
          </cell>
        </row>
        <row r="38">
          <cell r="F38" t="str">
            <v>unaudited</v>
          </cell>
          <cell r="G38" t="str">
            <v>Audit Adjustment (AJE)</v>
          </cell>
          <cell r="I38" t="str">
            <v>Reclassification (RJE)</v>
          </cell>
          <cell r="K38" t="str">
            <v>audited</v>
          </cell>
          <cell r="M38" t="str">
            <v>audited</v>
          </cell>
        </row>
        <row r="39">
          <cell r="D39" t="str">
            <v>WP REF</v>
          </cell>
          <cell r="F39">
            <v>2006</v>
          </cell>
          <cell r="G39" t="str">
            <v>DR</v>
          </cell>
          <cell r="H39" t="str">
            <v>CR</v>
          </cell>
          <cell r="I39" t="str">
            <v>DR</v>
          </cell>
          <cell r="J39" t="str">
            <v>CR</v>
          </cell>
          <cell r="K39">
            <v>2006</v>
          </cell>
          <cell r="M39">
            <v>2005</v>
          </cell>
        </row>
        <row r="40">
          <cell r="F40" t="str">
            <v>US$</v>
          </cell>
          <cell r="G40" t="str">
            <v>US$</v>
          </cell>
          <cell r="H40" t="str">
            <v>US$</v>
          </cell>
          <cell r="I40" t="str">
            <v>US$</v>
          </cell>
          <cell r="J40" t="str">
            <v>US$</v>
          </cell>
          <cell r="K40" t="str">
            <v>US$</v>
          </cell>
        </row>
        <row r="41">
          <cell r="B41" t="str">
            <v>ASSETS</v>
          </cell>
        </row>
        <row r="42">
          <cell r="B42" t="str">
            <v>Non-current assets</v>
          </cell>
          <cell r="G42">
            <v>0</v>
          </cell>
          <cell r="K42">
            <v>0</v>
          </cell>
        </row>
        <row r="43">
          <cell r="A43">
            <v>1000</v>
          </cell>
          <cell r="B43" t="str">
            <v xml:space="preserve">    Plant and equipment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</row>
        <row r="44">
          <cell r="A44">
            <v>1001</v>
          </cell>
          <cell r="B44" t="str">
            <v xml:space="preserve">    Investments</v>
          </cell>
          <cell r="F44">
            <v>22881</v>
          </cell>
          <cell r="K44">
            <v>22881</v>
          </cell>
        </row>
        <row r="45">
          <cell r="A45">
            <v>1002</v>
          </cell>
          <cell r="B45" t="str">
            <v xml:space="preserve">    Investment in subsidiaries companies</v>
          </cell>
          <cell r="F45">
            <v>0</v>
          </cell>
          <cell r="K45">
            <v>0</v>
          </cell>
          <cell r="M45">
            <v>0</v>
          </cell>
        </row>
        <row r="46">
          <cell r="A46">
            <v>1003</v>
          </cell>
          <cell r="B46" t="str">
            <v xml:space="preserve">    Investment in associated company</v>
          </cell>
          <cell r="F46">
            <v>140000</v>
          </cell>
          <cell r="K46">
            <v>140000</v>
          </cell>
        </row>
        <row r="47">
          <cell r="A47">
            <v>1004</v>
          </cell>
          <cell r="B47" t="str">
            <v xml:space="preserve">    Goodwill on consolidation  </v>
          </cell>
          <cell r="F47">
            <v>0</v>
          </cell>
          <cell r="K47">
            <v>0</v>
          </cell>
        </row>
        <row r="48">
          <cell r="F48">
            <v>162881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162881</v>
          </cell>
          <cell r="M48">
            <v>0</v>
          </cell>
        </row>
        <row r="49"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Current assets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2000</v>
          </cell>
          <cell r="B51" t="str">
            <v xml:space="preserve">    Other receivables,deposits and prepayment</v>
          </cell>
          <cell r="F51">
            <v>7305670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7305670</v>
          </cell>
        </row>
        <row r="52">
          <cell r="A52">
            <v>2100</v>
          </cell>
          <cell r="B52" t="str">
            <v xml:space="preserve">    Amount due from ultimate holding company</v>
          </cell>
          <cell r="F52">
            <v>1400000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1400000</v>
          </cell>
        </row>
        <row r="53">
          <cell r="A53">
            <v>2200</v>
          </cell>
          <cell r="B53" t="str">
            <v xml:space="preserve">    Amount due from intermediate holding company</v>
          </cell>
          <cell r="F53">
            <v>47742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47742</v>
          </cell>
        </row>
        <row r="54">
          <cell r="A54">
            <v>2300</v>
          </cell>
          <cell r="B54" t="str">
            <v xml:space="preserve">    Amount due from an associated company</v>
          </cell>
          <cell r="F54">
            <v>23092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23092</v>
          </cell>
        </row>
        <row r="55">
          <cell r="A55">
            <v>2400</v>
          </cell>
          <cell r="B55" t="str">
            <v xml:space="preserve">    Amount due from subsidiaries companies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</row>
        <row r="56">
          <cell r="A56">
            <v>2500</v>
          </cell>
          <cell r="B56" t="str">
            <v xml:space="preserve">    Cash and bank balances</v>
          </cell>
          <cell r="F56">
            <v>24514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24514</v>
          </cell>
          <cell r="M56">
            <v>0</v>
          </cell>
        </row>
        <row r="57">
          <cell r="K57">
            <v>0</v>
          </cell>
        </row>
        <row r="58">
          <cell r="A58" t="str">
            <v>CA</v>
          </cell>
          <cell r="B58" t="str">
            <v>Total current assets</v>
          </cell>
          <cell r="F58">
            <v>8801018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8801018</v>
          </cell>
          <cell r="M58">
            <v>0</v>
          </cell>
        </row>
        <row r="59">
          <cell r="K59">
            <v>0</v>
          </cell>
        </row>
        <row r="60">
          <cell r="A60" t="str">
            <v>TA</v>
          </cell>
          <cell r="B60" t="str">
            <v>TOTAL ASSETS</v>
          </cell>
          <cell r="F60">
            <v>8963899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8963899</v>
          </cell>
          <cell r="M60">
            <v>0</v>
          </cell>
        </row>
        <row r="61">
          <cell r="K61">
            <v>0</v>
          </cell>
        </row>
        <row r="62">
          <cell r="B62" t="str">
            <v>EQUITY AND LIABILITIES</v>
          </cell>
          <cell r="K62">
            <v>0</v>
          </cell>
        </row>
        <row r="63">
          <cell r="B63" t="str">
            <v>Capital and reserves</v>
          </cell>
          <cell r="K63">
            <v>0</v>
          </cell>
        </row>
        <row r="64">
          <cell r="A64">
            <v>6000</v>
          </cell>
          <cell r="B64" t="str">
            <v xml:space="preserve">    Share capital</v>
          </cell>
          <cell r="F64">
            <v>8430000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8430000</v>
          </cell>
          <cell r="M64">
            <v>0</v>
          </cell>
        </row>
        <row r="65">
          <cell r="A65">
            <v>6100</v>
          </cell>
          <cell r="B65" t="str">
            <v xml:space="preserve">     Reserves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6101</v>
          </cell>
          <cell r="C66" t="str">
            <v>RETAINED EARNINGS</v>
          </cell>
          <cell r="F66">
            <v>-53714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-53714</v>
          </cell>
          <cell r="M66">
            <v>0</v>
          </cell>
        </row>
        <row r="67">
          <cell r="A67">
            <v>6102</v>
          </cell>
          <cell r="C67" t="str">
            <v>PROFIT (LOSS) FOR THE PERIOD</v>
          </cell>
          <cell r="F67">
            <v>550101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550101</v>
          </cell>
          <cell r="M67">
            <v>0</v>
          </cell>
        </row>
        <row r="68">
          <cell r="A68">
            <v>6200</v>
          </cell>
          <cell r="B68" t="str">
            <v xml:space="preserve">    Accumulated Profit / loss</v>
          </cell>
          <cell r="F68">
            <v>496387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496387</v>
          </cell>
          <cell r="M68">
            <v>0</v>
          </cell>
        </row>
        <row r="69">
          <cell r="A69" t="str">
            <v>TEQ</v>
          </cell>
          <cell r="B69" t="str">
            <v>TOTAL EQUITY</v>
          </cell>
          <cell r="F69">
            <v>8926387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8926387</v>
          </cell>
          <cell r="M69">
            <v>0</v>
          </cell>
        </row>
        <row r="70">
          <cell r="B70" t="str">
            <v>Non-current liabilities</v>
          </cell>
          <cell r="K70">
            <v>0</v>
          </cell>
        </row>
        <row r="71">
          <cell r="A71">
            <v>4000</v>
          </cell>
          <cell r="B71" t="str">
            <v xml:space="preserve">    Deferred tax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4101</v>
          </cell>
          <cell r="B72" t="str">
            <v xml:space="preserve">    Hire Purchase creditors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M72">
            <v>0</v>
          </cell>
        </row>
        <row r="73">
          <cell r="A73" t="str">
            <v>LTL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</row>
        <row r="74">
          <cell r="B74" t="str">
            <v>Current liabilities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3000</v>
          </cell>
          <cell r="B75" t="str">
            <v xml:space="preserve">    Other payables and accruals</v>
          </cell>
          <cell r="F75">
            <v>37512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37512</v>
          </cell>
          <cell r="M75">
            <v>0</v>
          </cell>
        </row>
        <row r="76">
          <cell r="A76">
            <v>3100</v>
          </cell>
          <cell r="B76" t="str">
            <v xml:space="preserve">    Amount due to immediate holding companies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4102</v>
          </cell>
          <cell r="B77" t="str">
            <v xml:space="preserve">    Amount due to ultimate holding company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5300</v>
          </cell>
          <cell r="B78" t="str">
            <v xml:space="preserve">    Amount due to shareholders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5000</v>
          </cell>
          <cell r="B79" t="str">
            <v xml:space="preserve">    Amount due to intermediate holding company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3200</v>
          </cell>
          <cell r="B80" t="str">
            <v xml:space="preserve">     Provision for taxation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K81">
            <v>0</v>
          </cell>
        </row>
        <row r="82">
          <cell r="A82" t="str">
            <v>CL</v>
          </cell>
          <cell r="B82" t="str">
            <v>Total Current liabilities</v>
          </cell>
          <cell r="F82">
            <v>37512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37512</v>
          </cell>
          <cell r="M82">
            <v>0</v>
          </cell>
        </row>
        <row r="84">
          <cell r="B84" t="str">
            <v>TOTAL EQUITY AND LIABILITIES</v>
          </cell>
          <cell r="F84">
            <v>8963899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8963899</v>
          </cell>
          <cell r="M84">
            <v>0</v>
          </cell>
        </row>
        <row r="85">
          <cell r="C85" t="str">
            <v>Test check</v>
          </cell>
          <cell r="F85">
            <v>0</v>
          </cell>
          <cell r="H85">
            <v>0</v>
          </cell>
          <cell r="J85">
            <v>0</v>
          </cell>
          <cell r="K85">
            <v>0</v>
          </cell>
          <cell r="M85">
            <v>0</v>
          </cell>
        </row>
        <row r="86">
          <cell r="K86">
            <v>0</v>
          </cell>
        </row>
        <row r="87">
          <cell r="C87" t="str">
            <v>Client  : Nature Sources Ltd</v>
          </cell>
        </row>
        <row r="88">
          <cell r="C88" t="str">
            <v>(Incorporated in the Republic of Singapore)</v>
          </cell>
          <cell r="K88">
            <v>0</v>
          </cell>
        </row>
        <row r="89">
          <cell r="K89">
            <v>0</v>
          </cell>
        </row>
        <row r="90">
          <cell r="C90" t="str">
            <v>DETAILED TRADING, PROFIT &amp; LOSS ACCOUNT FOR THE FINANCIAL YEAR ENDED 30 June 2006</v>
          </cell>
          <cell r="K90">
            <v>0</v>
          </cell>
        </row>
        <row r="91">
          <cell r="K91">
            <v>0</v>
          </cell>
        </row>
        <row r="93">
          <cell r="F93" t="str">
            <v>unaudited</v>
          </cell>
          <cell r="G93" t="str">
            <v>Audit Adjustment (AJE)</v>
          </cell>
          <cell r="I93" t="str">
            <v>Reclassification (RJE)</v>
          </cell>
          <cell r="K93" t="str">
            <v>audited</v>
          </cell>
          <cell r="M93" t="str">
            <v>audited</v>
          </cell>
        </row>
        <row r="94">
          <cell r="D94" t="str">
            <v>WP REF</v>
          </cell>
          <cell r="F94">
            <v>2006</v>
          </cell>
          <cell r="G94" t="str">
            <v>DR</v>
          </cell>
          <cell r="H94" t="str">
            <v>CR</v>
          </cell>
          <cell r="I94" t="str">
            <v>DR</v>
          </cell>
          <cell r="J94" t="str">
            <v>CR</v>
          </cell>
          <cell r="K94">
            <v>2006</v>
          </cell>
          <cell r="M94">
            <v>2005</v>
          </cell>
        </row>
        <row r="95">
          <cell r="F95" t="str">
            <v>US$</v>
          </cell>
          <cell r="G95" t="str">
            <v>US$</v>
          </cell>
          <cell r="H95" t="str">
            <v>US$</v>
          </cell>
          <cell r="I95" t="str">
            <v>US$</v>
          </cell>
          <cell r="J95" t="str">
            <v>US$</v>
          </cell>
          <cell r="K95" t="str">
            <v>US$</v>
          </cell>
          <cell r="M95" t="str">
            <v>US$</v>
          </cell>
          <cell r="O95" t="str">
            <v>Trend</v>
          </cell>
        </row>
        <row r="96">
          <cell r="A96">
            <v>10000</v>
          </cell>
          <cell r="B96" t="str">
            <v>SALES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O96" t="str">
            <v xml:space="preserve"> </v>
          </cell>
        </row>
        <row r="97">
          <cell r="O97" t="str">
            <v xml:space="preserve"> </v>
          </cell>
        </row>
        <row r="98">
          <cell r="B98" t="str">
            <v>Less Cost of sales</v>
          </cell>
        </row>
        <row r="99">
          <cell r="A99">
            <v>21000</v>
          </cell>
          <cell r="B99" t="str">
            <v>Cost of sales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O99" t="str">
            <v xml:space="preserve"> </v>
          </cell>
        </row>
        <row r="100">
          <cell r="A100">
            <v>22000</v>
          </cell>
          <cell r="B100" t="str">
            <v>Freight and handling charges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O100" t="str">
            <v xml:space="preserve"> </v>
          </cell>
        </row>
        <row r="101">
          <cell r="A101">
            <v>23000</v>
          </cell>
          <cell r="B101" t="str">
            <v>Warehouse fee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O101" t="str">
            <v xml:space="preserve"> </v>
          </cell>
        </row>
        <row r="102">
          <cell r="A102">
            <v>20000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O102" t="str">
            <v xml:space="preserve"> </v>
          </cell>
        </row>
        <row r="103">
          <cell r="B103" t="str">
            <v>GROSS PROFIT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O103" t="str">
            <v xml:space="preserve"> </v>
          </cell>
        </row>
        <row r="104">
          <cell r="B104" t="str">
            <v>OTHER OPERATING INCOME</v>
          </cell>
          <cell r="K104">
            <v>0</v>
          </cell>
          <cell r="O104" t="str">
            <v xml:space="preserve"> </v>
          </cell>
        </row>
        <row r="105">
          <cell r="A105">
            <v>30001</v>
          </cell>
          <cell r="B105" t="str">
            <v xml:space="preserve">    Reversal of accrued expenses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O105" t="str">
            <v xml:space="preserve"> </v>
          </cell>
        </row>
        <row r="106">
          <cell r="A106">
            <v>30002</v>
          </cell>
          <cell r="B106" t="str">
            <v xml:space="preserve">    Exchange gain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O106" t="str">
            <v xml:space="preserve"> </v>
          </cell>
        </row>
        <row r="107">
          <cell r="A107">
            <v>30003</v>
          </cell>
          <cell r="B107" t="str">
            <v xml:space="preserve">    Interest income</v>
          </cell>
          <cell r="F107">
            <v>13390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13390</v>
          </cell>
          <cell r="M107">
            <v>705</v>
          </cell>
        </row>
        <row r="108">
          <cell r="A108">
            <v>30004</v>
          </cell>
          <cell r="B108" t="str">
            <v xml:space="preserve">    Gain on disposal of subsidiaries </v>
          </cell>
          <cell r="F108">
            <v>540000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540000</v>
          </cell>
        </row>
        <row r="109">
          <cell r="A109">
            <v>30005</v>
          </cell>
          <cell r="B109" t="str">
            <v xml:space="preserve">    Dividend</v>
          </cell>
          <cell r="F109">
            <v>10286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10286</v>
          </cell>
        </row>
        <row r="110">
          <cell r="A110">
            <v>30006</v>
          </cell>
          <cell r="B110" t="str">
            <v xml:space="preserve">    Other income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O111" t="str">
            <v xml:space="preserve"> </v>
          </cell>
        </row>
        <row r="112">
          <cell r="A112">
            <v>30000</v>
          </cell>
          <cell r="F112">
            <v>563676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563676</v>
          </cell>
          <cell r="M112">
            <v>705</v>
          </cell>
          <cell r="O112">
            <v>798.54042553191493</v>
          </cell>
        </row>
        <row r="113">
          <cell r="B113" t="str">
            <v>ADMINISTRATIVE EXPENSES</v>
          </cell>
          <cell r="O113" t="str">
            <v xml:space="preserve"> </v>
          </cell>
        </row>
        <row r="114">
          <cell r="A114">
            <v>40001</v>
          </cell>
          <cell r="B114" t="str">
            <v xml:space="preserve">    Accountancy fee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O114" t="str">
            <v xml:space="preserve"> </v>
          </cell>
        </row>
        <row r="115">
          <cell r="A115">
            <v>40002</v>
          </cell>
          <cell r="B115" t="str">
            <v xml:space="preserve">    Advertisement 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O115" t="str">
            <v xml:space="preserve"> </v>
          </cell>
        </row>
        <row r="116">
          <cell r="A116">
            <v>40003</v>
          </cell>
          <cell r="B116" t="str">
            <v xml:space="preserve">    Auditors’ remuneration</v>
          </cell>
          <cell r="F116">
            <v>1029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1029</v>
          </cell>
          <cell r="M116">
            <v>0</v>
          </cell>
          <cell r="O116" t="e">
            <v>#DIV/0!</v>
          </cell>
        </row>
        <row r="117">
          <cell r="A117">
            <v>40004</v>
          </cell>
          <cell r="B117" t="str">
            <v xml:space="preserve">    Depreciation 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O117" t="str">
            <v xml:space="preserve"> </v>
          </cell>
        </row>
        <row r="118">
          <cell r="A118">
            <v>40005</v>
          </cell>
          <cell r="B118" t="str">
            <v xml:space="preserve">    Director’s remuneration 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O118" t="str">
            <v xml:space="preserve"> </v>
          </cell>
        </row>
        <row r="119">
          <cell r="A119">
            <v>40006</v>
          </cell>
          <cell r="B119" t="str">
            <v xml:space="preserve">    Director’s emolument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O119" t="str">
            <v xml:space="preserve"> </v>
          </cell>
        </row>
        <row r="120">
          <cell r="A120">
            <v>40007</v>
          </cell>
          <cell r="B120" t="str">
            <v xml:space="preserve">    Exchange difference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90</v>
          </cell>
          <cell r="O120">
            <v>-1</v>
          </cell>
        </row>
        <row r="121">
          <cell r="A121">
            <v>40008</v>
          </cell>
          <cell r="B121" t="str">
            <v xml:space="preserve">    Entertainment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O121" t="str">
            <v xml:space="preserve"> </v>
          </cell>
        </row>
        <row r="122">
          <cell r="A122">
            <v>40009</v>
          </cell>
          <cell r="B122" t="str">
            <v xml:space="preserve">    General expenses</v>
          </cell>
          <cell r="F122">
            <v>647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647</v>
          </cell>
          <cell r="M122">
            <v>0</v>
          </cell>
          <cell r="O122" t="e">
            <v>#DIV/0!</v>
          </cell>
        </row>
        <row r="123">
          <cell r="A123">
            <v>40010</v>
          </cell>
          <cell r="B123" t="str">
            <v xml:space="preserve">    Insurance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O123" t="str">
            <v xml:space="preserve"> </v>
          </cell>
        </row>
        <row r="124">
          <cell r="A124">
            <v>40011</v>
          </cell>
          <cell r="B124" t="str">
            <v xml:space="preserve">    Medical expenses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O124" t="str">
            <v xml:space="preserve"> </v>
          </cell>
        </row>
        <row r="125">
          <cell r="A125">
            <v>40012</v>
          </cell>
          <cell r="B125" t="str">
            <v xml:space="preserve">    Office rental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O125" t="str">
            <v xml:space="preserve"> </v>
          </cell>
        </row>
        <row r="126">
          <cell r="A126">
            <v>40013</v>
          </cell>
          <cell r="B126" t="str">
            <v xml:space="preserve">    Postage and courier</v>
          </cell>
          <cell r="F126">
            <v>292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292</v>
          </cell>
          <cell r="M126">
            <v>244</v>
          </cell>
          <cell r="O126">
            <v>0.19672131147540983</v>
          </cell>
        </row>
        <row r="127">
          <cell r="A127">
            <v>40014</v>
          </cell>
          <cell r="B127" t="str">
            <v xml:space="preserve">    Printing and stationery 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O127" t="str">
            <v xml:space="preserve"> </v>
          </cell>
        </row>
        <row r="128">
          <cell r="A128">
            <v>40015</v>
          </cell>
          <cell r="B128" t="str">
            <v xml:space="preserve">    Professional fees</v>
          </cell>
          <cell r="F128">
            <v>1370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1370</v>
          </cell>
          <cell r="M128">
            <v>126</v>
          </cell>
          <cell r="O128">
            <v>9.8730158730158735</v>
          </cell>
        </row>
        <row r="129">
          <cell r="A129">
            <v>40016</v>
          </cell>
          <cell r="B129" t="str">
            <v xml:space="preserve">    Repair and maintenance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O129" t="str">
            <v xml:space="preserve"> </v>
          </cell>
        </row>
        <row r="130">
          <cell r="A130">
            <v>40017</v>
          </cell>
          <cell r="B130" t="str">
            <v xml:space="preserve">    Refreshments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O130" t="str">
            <v xml:space="preserve"> </v>
          </cell>
        </row>
        <row r="131">
          <cell r="A131">
            <v>40018</v>
          </cell>
          <cell r="B131" t="str">
            <v xml:space="preserve">    Secretarial fees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M131">
            <v>0</v>
          </cell>
          <cell r="O131" t="str">
            <v xml:space="preserve"> </v>
          </cell>
        </row>
        <row r="132">
          <cell r="A132">
            <v>40019</v>
          </cell>
          <cell r="B132" t="str">
            <v xml:space="preserve">    Salaries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O132" t="str">
            <v xml:space="preserve"> </v>
          </cell>
        </row>
        <row r="133">
          <cell r="A133">
            <v>40020</v>
          </cell>
          <cell r="B133" t="str">
            <v xml:space="preserve">    Staff CPF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O133" t="str">
            <v xml:space="preserve"> </v>
          </cell>
        </row>
        <row r="134">
          <cell r="A134">
            <v>40021</v>
          </cell>
          <cell r="B134" t="str">
            <v xml:space="preserve">    Staff welfare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O134" t="str">
            <v xml:space="preserve"> </v>
          </cell>
        </row>
        <row r="135">
          <cell r="A135">
            <v>40022</v>
          </cell>
          <cell r="B135" t="str">
            <v xml:space="preserve">    Subscriptions and renewals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O135" t="str">
            <v xml:space="preserve"> </v>
          </cell>
        </row>
        <row r="136">
          <cell r="A136">
            <v>40023</v>
          </cell>
          <cell r="B136" t="str">
            <v xml:space="preserve">    Telephone and telex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O136" t="str">
            <v xml:space="preserve"> </v>
          </cell>
        </row>
        <row r="137">
          <cell r="A137">
            <v>40024</v>
          </cell>
          <cell r="B137" t="str">
            <v xml:space="preserve">    Transport expenses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O137" t="str">
            <v xml:space="preserve"> </v>
          </cell>
        </row>
        <row r="138">
          <cell r="A138">
            <v>40025</v>
          </cell>
          <cell r="B138" t="str">
            <v xml:space="preserve">    Travelling expenses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O138" t="str">
            <v xml:space="preserve"> </v>
          </cell>
        </row>
        <row r="139">
          <cell r="A139">
            <v>40026</v>
          </cell>
          <cell r="B139" t="str">
            <v xml:space="preserve">    Upkeep of motor vehicle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O139" t="str">
            <v xml:space="preserve"> </v>
          </cell>
        </row>
        <row r="140">
          <cell r="A140">
            <v>40027</v>
          </cell>
          <cell r="B140" t="str">
            <v xml:space="preserve">    Upkeep of office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O140" t="str">
            <v xml:space="preserve"> </v>
          </cell>
        </row>
        <row r="141">
          <cell r="A141">
            <v>40028</v>
          </cell>
          <cell r="B141" t="str">
            <v xml:space="preserve">    Water and electricity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O141" t="str">
            <v xml:space="preserve"> </v>
          </cell>
        </row>
        <row r="142"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O142" t="str">
            <v xml:space="preserve"> </v>
          </cell>
        </row>
        <row r="143"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O143" t="str">
            <v xml:space="preserve"> </v>
          </cell>
        </row>
        <row r="144">
          <cell r="A144">
            <v>40000</v>
          </cell>
          <cell r="F144">
            <v>3338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3338</v>
          </cell>
          <cell r="M144">
            <v>460</v>
          </cell>
          <cell r="O144">
            <v>6.2565217391304344</v>
          </cell>
        </row>
        <row r="145">
          <cell r="B145" t="str">
            <v>OTHER OPERATING EXPENSES</v>
          </cell>
          <cell r="K145">
            <v>0</v>
          </cell>
          <cell r="O145" t="str">
            <v xml:space="preserve"> </v>
          </cell>
        </row>
        <row r="146">
          <cell r="A146">
            <v>50001</v>
          </cell>
          <cell r="B146" t="str">
            <v xml:space="preserve">    Provision for doubtful debts written off/(back) - trade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O146" t="str">
            <v xml:space="preserve"> </v>
          </cell>
        </row>
        <row r="147">
          <cell r="A147">
            <v>50002</v>
          </cell>
          <cell r="B147" t="str">
            <v xml:space="preserve">    Provision for diminution in value</v>
          </cell>
          <cell r="F147">
            <v>10237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10237</v>
          </cell>
          <cell r="M147">
            <v>0</v>
          </cell>
          <cell r="O147" t="e">
            <v>#DIV/0!</v>
          </cell>
        </row>
        <row r="148">
          <cell r="A148">
            <v>50003</v>
          </cell>
          <cell r="B148" t="str">
            <v xml:space="preserve">    Other operating expenses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O148" t="str">
            <v xml:space="preserve"> </v>
          </cell>
        </row>
        <row r="149">
          <cell r="A149">
            <v>50000</v>
          </cell>
          <cell r="F149">
            <v>10237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10237</v>
          </cell>
          <cell r="M149">
            <v>0</v>
          </cell>
          <cell r="O149" t="e">
            <v>#DIV/0!</v>
          </cell>
        </row>
        <row r="150">
          <cell r="B150" t="str">
            <v>FINANCE COSTS</v>
          </cell>
          <cell r="K150">
            <v>0</v>
          </cell>
          <cell r="O150" t="str">
            <v xml:space="preserve"> </v>
          </cell>
        </row>
        <row r="151">
          <cell r="A151">
            <v>60001</v>
          </cell>
          <cell r="B151" t="str">
            <v xml:space="preserve">     Bank charges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O151" t="str">
            <v xml:space="preserve"> </v>
          </cell>
        </row>
        <row r="152">
          <cell r="A152">
            <v>60002</v>
          </cell>
          <cell r="B152" t="str">
            <v xml:space="preserve">     Hire Purhcase interest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O152" t="str">
            <v xml:space="preserve"> </v>
          </cell>
        </row>
        <row r="153">
          <cell r="A153">
            <v>60000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M153">
            <v>0</v>
          </cell>
          <cell r="O153" t="str">
            <v xml:space="preserve"> </v>
          </cell>
        </row>
        <row r="154">
          <cell r="B154" t="str">
            <v>(LOSS)/ PROFIT for the year before taxation</v>
          </cell>
          <cell r="F154">
            <v>550101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550101</v>
          </cell>
          <cell r="M154">
            <v>245</v>
          </cell>
          <cell r="O154">
            <v>2244.3102040816325</v>
          </cell>
        </row>
        <row r="155">
          <cell r="A155">
            <v>70001</v>
          </cell>
          <cell r="B155" t="str">
            <v xml:space="preserve">   Taxation- current year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O155" t="str">
            <v xml:space="preserve"> </v>
          </cell>
        </row>
        <row r="156">
          <cell r="A156">
            <v>70002</v>
          </cell>
          <cell r="B156" t="str">
            <v xml:space="preserve">   Taxation-over/under PY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O156" t="str">
            <v xml:space="preserve"> </v>
          </cell>
        </row>
        <row r="157">
          <cell r="A157">
            <v>70003</v>
          </cell>
          <cell r="B157" t="str">
            <v xml:space="preserve">   Taxation-Def tax transfer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O157" t="str">
            <v xml:space="preserve"> </v>
          </cell>
        </row>
        <row r="158">
          <cell r="A158">
            <v>70000</v>
          </cell>
          <cell r="B158" t="str">
            <v>Taxation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M158">
            <v>0</v>
          </cell>
          <cell r="O158" t="str">
            <v xml:space="preserve"> </v>
          </cell>
        </row>
        <row r="159">
          <cell r="B159" t="str">
            <v>PROFIT for the year after taxation</v>
          </cell>
          <cell r="F159">
            <v>550101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550101</v>
          </cell>
          <cell r="M159">
            <v>245</v>
          </cell>
          <cell r="O159">
            <v>2244.3102040816325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"/>
      <sheetName val="DATA1"/>
      <sheetName val="DATA2"/>
      <sheetName val="DATA3"/>
      <sheetName val="Alkar"/>
      <sheetName val="Master2"/>
      <sheetName val="1721"/>
      <sheetName val="1721-A"/>
      <sheetName val="1721-A1 (2)"/>
      <sheetName val="1721-A1-1"/>
      <sheetName val="1721-A1"/>
      <sheetName val="1721-A2"/>
      <sheetName val="1721-B"/>
      <sheetName val="1721-C"/>
    </sheetNames>
    <sheetDataSet>
      <sheetData sheetId="0"/>
      <sheetData sheetId="1">
        <row r="11">
          <cell r="C11">
            <v>60284</v>
          </cell>
        </row>
      </sheetData>
      <sheetData sheetId="2"/>
      <sheetData sheetId="3"/>
      <sheetData sheetId="4"/>
      <sheetData sheetId="5"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  <row r="9">
          <cell r="A9">
            <v>8</v>
          </cell>
        </row>
        <row r="10">
          <cell r="A10">
            <v>9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  <row r="32">
          <cell r="A32">
            <v>31</v>
          </cell>
        </row>
        <row r="33">
          <cell r="A33">
            <v>32</v>
          </cell>
        </row>
        <row r="34">
          <cell r="A34">
            <v>33</v>
          </cell>
        </row>
        <row r="35">
          <cell r="A35">
            <v>34</v>
          </cell>
        </row>
        <row r="36">
          <cell r="A36">
            <v>35</v>
          </cell>
        </row>
        <row r="37">
          <cell r="A37">
            <v>36</v>
          </cell>
        </row>
        <row r="38">
          <cell r="A38">
            <v>37</v>
          </cell>
        </row>
        <row r="39">
          <cell r="A39">
            <v>38</v>
          </cell>
        </row>
        <row r="40">
          <cell r="A40">
            <v>39</v>
          </cell>
        </row>
        <row r="41">
          <cell r="A41">
            <v>40</v>
          </cell>
        </row>
        <row r="42">
          <cell r="A42">
            <v>41</v>
          </cell>
        </row>
        <row r="43">
          <cell r="A43">
            <v>42</v>
          </cell>
        </row>
        <row r="44">
          <cell r="A44">
            <v>43</v>
          </cell>
        </row>
        <row r="45">
          <cell r="A45">
            <v>44</v>
          </cell>
        </row>
        <row r="46">
          <cell r="A46">
            <v>45</v>
          </cell>
        </row>
        <row r="47">
          <cell r="A47">
            <v>46</v>
          </cell>
        </row>
        <row r="48">
          <cell r="A48">
            <v>47</v>
          </cell>
        </row>
        <row r="49">
          <cell r="A49">
            <v>48</v>
          </cell>
        </row>
        <row r="50">
          <cell r="A50">
            <v>49</v>
          </cell>
        </row>
        <row r="51">
          <cell r="A51">
            <v>50</v>
          </cell>
        </row>
        <row r="52">
          <cell r="A52">
            <v>51</v>
          </cell>
        </row>
        <row r="53">
          <cell r="A53">
            <v>52</v>
          </cell>
        </row>
        <row r="54">
          <cell r="A54">
            <v>53</v>
          </cell>
        </row>
        <row r="55">
          <cell r="A55">
            <v>54</v>
          </cell>
        </row>
        <row r="56">
          <cell r="A56">
            <v>55</v>
          </cell>
        </row>
        <row r="57">
          <cell r="A57">
            <v>56</v>
          </cell>
        </row>
        <row r="58">
          <cell r="A58">
            <v>57</v>
          </cell>
        </row>
        <row r="59">
          <cell r="A59">
            <v>58</v>
          </cell>
        </row>
        <row r="60">
          <cell r="A60">
            <v>59</v>
          </cell>
        </row>
        <row r="61">
          <cell r="A61">
            <v>60</v>
          </cell>
        </row>
        <row r="62">
          <cell r="A62">
            <v>61</v>
          </cell>
        </row>
        <row r="63">
          <cell r="A63">
            <v>62</v>
          </cell>
        </row>
        <row r="64">
          <cell r="A64">
            <v>63</v>
          </cell>
        </row>
        <row r="65">
          <cell r="A65">
            <v>64</v>
          </cell>
        </row>
        <row r="66">
          <cell r="A66">
            <v>65</v>
          </cell>
        </row>
        <row r="67">
          <cell r="A67">
            <v>66</v>
          </cell>
        </row>
        <row r="68">
          <cell r="A68">
            <v>67</v>
          </cell>
        </row>
        <row r="69">
          <cell r="A69">
            <v>68</v>
          </cell>
        </row>
        <row r="70">
          <cell r="A70">
            <v>69</v>
          </cell>
        </row>
        <row r="71">
          <cell r="A71">
            <v>70</v>
          </cell>
        </row>
        <row r="72">
          <cell r="A72">
            <v>71</v>
          </cell>
        </row>
        <row r="73">
          <cell r="A73">
            <v>72</v>
          </cell>
        </row>
        <row r="74">
          <cell r="A74">
            <v>73</v>
          </cell>
        </row>
        <row r="75">
          <cell r="A75">
            <v>74</v>
          </cell>
        </row>
        <row r="76">
          <cell r="A76">
            <v>75</v>
          </cell>
        </row>
        <row r="77">
          <cell r="A77">
            <v>76</v>
          </cell>
        </row>
        <row r="78">
          <cell r="A78">
            <v>77</v>
          </cell>
        </row>
        <row r="79">
          <cell r="A79">
            <v>78</v>
          </cell>
        </row>
        <row r="80">
          <cell r="A80">
            <v>79</v>
          </cell>
        </row>
        <row r="81">
          <cell r="A81">
            <v>80</v>
          </cell>
        </row>
        <row r="82">
          <cell r="A82">
            <v>81</v>
          </cell>
        </row>
        <row r="83">
          <cell r="A83">
            <v>82</v>
          </cell>
        </row>
        <row r="84">
          <cell r="A84">
            <v>83</v>
          </cell>
        </row>
        <row r="85">
          <cell r="A85">
            <v>84</v>
          </cell>
        </row>
        <row r="86">
          <cell r="A86">
            <v>85</v>
          </cell>
        </row>
        <row r="87">
          <cell r="A87">
            <v>86</v>
          </cell>
        </row>
        <row r="88">
          <cell r="A88">
            <v>87</v>
          </cell>
        </row>
        <row r="89">
          <cell r="A89">
            <v>88</v>
          </cell>
        </row>
        <row r="90">
          <cell r="A90">
            <v>89</v>
          </cell>
        </row>
        <row r="91">
          <cell r="A91">
            <v>90</v>
          </cell>
        </row>
        <row r="92">
          <cell r="A92">
            <v>91</v>
          </cell>
        </row>
        <row r="93">
          <cell r="A93">
            <v>92</v>
          </cell>
        </row>
        <row r="94">
          <cell r="A94">
            <v>93</v>
          </cell>
        </row>
        <row r="95">
          <cell r="A95">
            <v>94</v>
          </cell>
        </row>
        <row r="96">
          <cell r="A96">
            <v>95</v>
          </cell>
        </row>
        <row r="97">
          <cell r="A97">
            <v>96</v>
          </cell>
        </row>
        <row r="98">
          <cell r="A98">
            <v>97</v>
          </cell>
        </row>
        <row r="99">
          <cell r="A99">
            <v>98</v>
          </cell>
        </row>
        <row r="100">
          <cell r="A100">
            <v>99</v>
          </cell>
        </row>
        <row r="101">
          <cell r="A101">
            <v>100</v>
          </cell>
        </row>
        <row r="102">
          <cell r="A102">
            <v>101</v>
          </cell>
        </row>
        <row r="103">
          <cell r="A103">
            <v>102</v>
          </cell>
        </row>
        <row r="104">
          <cell r="A104">
            <v>103</v>
          </cell>
        </row>
        <row r="105">
          <cell r="A105">
            <v>104</v>
          </cell>
        </row>
        <row r="106">
          <cell r="A106">
            <v>105</v>
          </cell>
        </row>
        <row r="107">
          <cell r="A107">
            <v>106</v>
          </cell>
        </row>
        <row r="108">
          <cell r="A108">
            <v>107</v>
          </cell>
        </row>
        <row r="109">
          <cell r="A109">
            <v>108</v>
          </cell>
        </row>
        <row r="110">
          <cell r="A110">
            <v>109</v>
          </cell>
        </row>
        <row r="111">
          <cell r="A111">
            <v>110</v>
          </cell>
        </row>
        <row r="112">
          <cell r="A112">
            <v>111</v>
          </cell>
        </row>
        <row r="113">
          <cell r="A113">
            <v>112</v>
          </cell>
        </row>
        <row r="114">
          <cell r="A114">
            <v>113</v>
          </cell>
        </row>
        <row r="115">
          <cell r="A115">
            <v>114</v>
          </cell>
        </row>
        <row r="116">
          <cell r="A116">
            <v>115</v>
          </cell>
        </row>
        <row r="117">
          <cell r="A117">
            <v>116</v>
          </cell>
        </row>
        <row r="118">
          <cell r="A118">
            <v>117</v>
          </cell>
        </row>
        <row r="119">
          <cell r="A119">
            <v>118</v>
          </cell>
        </row>
        <row r="120">
          <cell r="A120">
            <v>119</v>
          </cell>
        </row>
        <row r="121">
          <cell r="A121">
            <v>120</v>
          </cell>
        </row>
        <row r="122">
          <cell r="A122">
            <v>121</v>
          </cell>
        </row>
        <row r="123">
          <cell r="A123">
            <v>122</v>
          </cell>
        </row>
        <row r="124">
          <cell r="A124">
            <v>123</v>
          </cell>
        </row>
        <row r="125">
          <cell r="A125">
            <v>124</v>
          </cell>
        </row>
        <row r="126">
          <cell r="A126">
            <v>125</v>
          </cell>
        </row>
        <row r="127">
          <cell r="A127">
            <v>126</v>
          </cell>
        </row>
        <row r="128">
          <cell r="A128">
            <v>127</v>
          </cell>
        </row>
        <row r="129">
          <cell r="A129">
            <v>128</v>
          </cell>
        </row>
        <row r="130">
          <cell r="A130">
            <v>129</v>
          </cell>
        </row>
        <row r="131">
          <cell r="A131">
            <v>130</v>
          </cell>
        </row>
        <row r="132">
          <cell r="A132">
            <v>131</v>
          </cell>
        </row>
        <row r="133">
          <cell r="A133">
            <v>132</v>
          </cell>
        </row>
        <row r="134">
          <cell r="A134">
            <v>133</v>
          </cell>
        </row>
        <row r="135">
          <cell r="A135">
            <v>134</v>
          </cell>
        </row>
        <row r="136">
          <cell r="A136">
            <v>135</v>
          </cell>
        </row>
        <row r="137">
          <cell r="A137">
            <v>136</v>
          </cell>
        </row>
        <row r="138">
          <cell r="A138">
            <v>137</v>
          </cell>
        </row>
        <row r="139">
          <cell r="A139">
            <v>138</v>
          </cell>
        </row>
        <row r="140">
          <cell r="A140">
            <v>139</v>
          </cell>
        </row>
        <row r="141">
          <cell r="A141">
            <v>140</v>
          </cell>
        </row>
        <row r="142">
          <cell r="A142">
            <v>141</v>
          </cell>
        </row>
        <row r="143">
          <cell r="A143">
            <v>142</v>
          </cell>
        </row>
        <row r="144">
          <cell r="A144">
            <v>143</v>
          </cell>
        </row>
        <row r="145">
          <cell r="A145">
            <v>144</v>
          </cell>
        </row>
        <row r="146">
          <cell r="A146">
            <v>145</v>
          </cell>
        </row>
        <row r="147">
          <cell r="A147">
            <v>146</v>
          </cell>
        </row>
        <row r="148">
          <cell r="A148">
            <v>147</v>
          </cell>
        </row>
        <row r="149">
          <cell r="A149">
            <v>148</v>
          </cell>
        </row>
        <row r="150">
          <cell r="A150">
            <v>149</v>
          </cell>
        </row>
        <row r="151">
          <cell r="A151">
            <v>150</v>
          </cell>
        </row>
        <row r="152">
          <cell r="A152">
            <v>151</v>
          </cell>
        </row>
        <row r="153">
          <cell r="A153">
            <v>152</v>
          </cell>
        </row>
        <row r="154">
          <cell r="A154">
            <v>153</v>
          </cell>
        </row>
        <row r="155">
          <cell r="A155">
            <v>154</v>
          </cell>
        </row>
        <row r="156">
          <cell r="A156">
            <v>155</v>
          </cell>
        </row>
        <row r="157">
          <cell r="A157">
            <v>156</v>
          </cell>
        </row>
        <row r="158">
          <cell r="A158">
            <v>157</v>
          </cell>
        </row>
        <row r="159">
          <cell r="A159">
            <v>158</v>
          </cell>
        </row>
        <row r="160">
          <cell r="A160">
            <v>159</v>
          </cell>
        </row>
        <row r="161">
          <cell r="A161">
            <v>160</v>
          </cell>
        </row>
        <row r="162">
          <cell r="A162">
            <v>161</v>
          </cell>
        </row>
        <row r="163">
          <cell r="A163">
            <v>162</v>
          </cell>
        </row>
        <row r="164">
          <cell r="A164">
            <v>163</v>
          </cell>
        </row>
        <row r="165">
          <cell r="A165">
            <v>164</v>
          </cell>
        </row>
        <row r="166">
          <cell r="A166">
            <v>165</v>
          </cell>
        </row>
        <row r="167">
          <cell r="A167">
            <v>166</v>
          </cell>
        </row>
        <row r="168">
          <cell r="A168">
            <v>167</v>
          </cell>
        </row>
        <row r="169">
          <cell r="A169">
            <v>168</v>
          </cell>
        </row>
        <row r="170">
          <cell r="A170">
            <v>169</v>
          </cell>
        </row>
        <row r="171">
          <cell r="A171">
            <v>170</v>
          </cell>
        </row>
        <row r="172">
          <cell r="A172">
            <v>171</v>
          </cell>
        </row>
        <row r="173">
          <cell r="A173">
            <v>172</v>
          </cell>
        </row>
        <row r="174">
          <cell r="A174">
            <v>173</v>
          </cell>
        </row>
        <row r="175">
          <cell r="A175">
            <v>174</v>
          </cell>
        </row>
        <row r="176">
          <cell r="A176">
            <v>175</v>
          </cell>
        </row>
        <row r="177">
          <cell r="A177">
            <v>176</v>
          </cell>
        </row>
        <row r="178">
          <cell r="A178">
            <v>177</v>
          </cell>
        </row>
        <row r="179">
          <cell r="A179">
            <v>178</v>
          </cell>
        </row>
        <row r="180">
          <cell r="A180">
            <v>179</v>
          </cell>
        </row>
        <row r="181">
          <cell r="A181">
            <v>180</v>
          </cell>
        </row>
        <row r="182">
          <cell r="A182">
            <v>181</v>
          </cell>
        </row>
        <row r="183">
          <cell r="A183">
            <v>182</v>
          </cell>
        </row>
        <row r="184">
          <cell r="A184">
            <v>183</v>
          </cell>
        </row>
        <row r="185">
          <cell r="A185">
            <v>184</v>
          </cell>
        </row>
        <row r="186">
          <cell r="A186">
            <v>185</v>
          </cell>
        </row>
        <row r="187">
          <cell r="A187">
            <v>186</v>
          </cell>
        </row>
        <row r="188">
          <cell r="A188">
            <v>187</v>
          </cell>
        </row>
        <row r="189">
          <cell r="A189">
            <v>188</v>
          </cell>
        </row>
        <row r="190">
          <cell r="A190">
            <v>189</v>
          </cell>
        </row>
        <row r="191">
          <cell r="A191">
            <v>190</v>
          </cell>
        </row>
        <row r="192">
          <cell r="A192">
            <v>191</v>
          </cell>
        </row>
        <row r="193">
          <cell r="A193">
            <v>192</v>
          </cell>
        </row>
        <row r="194">
          <cell r="A194">
            <v>193</v>
          </cell>
        </row>
        <row r="195">
          <cell r="A195">
            <v>194</v>
          </cell>
        </row>
        <row r="196">
          <cell r="A196">
            <v>195</v>
          </cell>
        </row>
        <row r="197">
          <cell r="A197">
            <v>196</v>
          </cell>
        </row>
        <row r="198">
          <cell r="A198">
            <v>197</v>
          </cell>
        </row>
        <row r="199">
          <cell r="A199">
            <v>198</v>
          </cell>
        </row>
        <row r="200">
          <cell r="A200">
            <v>199</v>
          </cell>
        </row>
        <row r="201">
          <cell r="A201">
            <v>200</v>
          </cell>
        </row>
        <row r="202">
          <cell r="A202">
            <v>201</v>
          </cell>
        </row>
        <row r="203">
          <cell r="A203">
            <v>202</v>
          </cell>
        </row>
        <row r="204">
          <cell r="A204">
            <v>203</v>
          </cell>
        </row>
        <row r="205">
          <cell r="A205">
            <v>204</v>
          </cell>
        </row>
        <row r="206">
          <cell r="A206">
            <v>205</v>
          </cell>
        </row>
        <row r="207">
          <cell r="A207">
            <v>206</v>
          </cell>
        </row>
        <row r="208">
          <cell r="A208">
            <v>207</v>
          </cell>
        </row>
        <row r="209">
          <cell r="A209">
            <v>208</v>
          </cell>
        </row>
        <row r="210">
          <cell r="A210">
            <v>209</v>
          </cell>
        </row>
        <row r="211">
          <cell r="A211">
            <v>210</v>
          </cell>
        </row>
        <row r="212">
          <cell r="A212">
            <v>211</v>
          </cell>
        </row>
        <row r="213">
          <cell r="A213">
            <v>212</v>
          </cell>
        </row>
        <row r="214">
          <cell r="A214">
            <v>213</v>
          </cell>
        </row>
        <row r="215">
          <cell r="A215">
            <v>214</v>
          </cell>
        </row>
        <row r="216">
          <cell r="A216">
            <v>215</v>
          </cell>
        </row>
        <row r="217">
          <cell r="A217">
            <v>216</v>
          </cell>
        </row>
        <row r="218">
          <cell r="A218">
            <v>217</v>
          </cell>
        </row>
        <row r="219">
          <cell r="A219">
            <v>218</v>
          </cell>
        </row>
        <row r="220">
          <cell r="A220">
            <v>219</v>
          </cell>
        </row>
        <row r="221">
          <cell r="A221">
            <v>220</v>
          </cell>
        </row>
        <row r="222">
          <cell r="A222">
            <v>221</v>
          </cell>
        </row>
        <row r="223">
          <cell r="A223">
            <v>222</v>
          </cell>
        </row>
        <row r="224">
          <cell r="A224">
            <v>223</v>
          </cell>
        </row>
        <row r="225">
          <cell r="A225">
            <v>224</v>
          </cell>
        </row>
        <row r="226">
          <cell r="A226">
            <v>225</v>
          </cell>
        </row>
        <row r="227">
          <cell r="A227">
            <v>226</v>
          </cell>
        </row>
        <row r="228">
          <cell r="A228">
            <v>227</v>
          </cell>
        </row>
        <row r="229">
          <cell r="A229">
            <v>228</v>
          </cell>
        </row>
        <row r="230">
          <cell r="A230">
            <v>229</v>
          </cell>
        </row>
        <row r="231">
          <cell r="A231">
            <v>230</v>
          </cell>
        </row>
        <row r="232">
          <cell r="A232">
            <v>231</v>
          </cell>
        </row>
        <row r="233">
          <cell r="A233">
            <v>232</v>
          </cell>
        </row>
        <row r="234">
          <cell r="A234">
            <v>233</v>
          </cell>
        </row>
        <row r="235">
          <cell r="A235">
            <v>234</v>
          </cell>
        </row>
        <row r="236">
          <cell r="A236">
            <v>235</v>
          </cell>
        </row>
        <row r="237">
          <cell r="A237">
            <v>236</v>
          </cell>
        </row>
        <row r="238">
          <cell r="A238">
            <v>237</v>
          </cell>
        </row>
        <row r="239">
          <cell r="A239">
            <v>238</v>
          </cell>
        </row>
        <row r="240">
          <cell r="A240">
            <v>239</v>
          </cell>
        </row>
        <row r="241">
          <cell r="A241">
            <v>240</v>
          </cell>
        </row>
        <row r="242">
          <cell r="A242">
            <v>241</v>
          </cell>
        </row>
        <row r="243">
          <cell r="A243">
            <v>242</v>
          </cell>
        </row>
        <row r="244">
          <cell r="A244">
            <v>243</v>
          </cell>
        </row>
        <row r="245">
          <cell r="A245">
            <v>244</v>
          </cell>
        </row>
        <row r="246">
          <cell r="A246">
            <v>245</v>
          </cell>
        </row>
        <row r="247">
          <cell r="A247">
            <v>246</v>
          </cell>
        </row>
        <row r="248">
          <cell r="A248">
            <v>247</v>
          </cell>
        </row>
        <row r="249">
          <cell r="A249">
            <v>248</v>
          </cell>
        </row>
        <row r="250">
          <cell r="A250">
            <v>249</v>
          </cell>
        </row>
        <row r="251">
          <cell r="A251">
            <v>250</v>
          </cell>
        </row>
        <row r="252">
          <cell r="A252">
            <v>251</v>
          </cell>
        </row>
        <row r="253">
          <cell r="A253">
            <v>252</v>
          </cell>
        </row>
        <row r="254">
          <cell r="A254">
            <v>253</v>
          </cell>
        </row>
        <row r="255">
          <cell r="A255">
            <v>254</v>
          </cell>
        </row>
        <row r="256">
          <cell r="A256">
            <v>255</v>
          </cell>
        </row>
        <row r="257">
          <cell r="A257">
            <v>256</v>
          </cell>
        </row>
        <row r="258">
          <cell r="A258">
            <v>257</v>
          </cell>
        </row>
        <row r="259">
          <cell r="A259">
            <v>258</v>
          </cell>
        </row>
        <row r="260">
          <cell r="A260">
            <v>259</v>
          </cell>
        </row>
        <row r="261">
          <cell r="A261">
            <v>260</v>
          </cell>
        </row>
        <row r="262">
          <cell r="A262">
            <v>261</v>
          </cell>
        </row>
        <row r="263">
          <cell r="A263">
            <v>262</v>
          </cell>
        </row>
        <row r="264">
          <cell r="A264">
            <v>263</v>
          </cell>
        </row>
        <row r="265">
          <cell r="A265">
            <v>264</v>
          </cell>
        </row>
        <row r="266">
          <cell r="A266">
            <v>265</v>
          </cell>
        </row>
        <row r="267">
          <cell r="A267">
            <v>266</v>
          </cell>
        </row>
        <row r="268">
          <cell r="A268">
            <v>267</v>
          </cell>
        </row>
        <row r="269">
          <cell r="A269">
            <v>268</v>
          </cell>
        </row>
        <row r="270">
          <cell r="A270">
            <v>269</v>
          </cell>
        </row>
        <row r="271">
          <cell r="A271">
            <v>270</v>
          </cell>
        </row>
        <row r="272">
          <cell r="A272">
            <v>271</v>
          </cell>
        </row>
        <row r="273">
          <cell r="A273">
            <v>272</v>
          </cell>
        </row>
        <row r="274">
          <cell r="A274">
            <v>273</v>
          </cell>
        </row>
        <row r="275">
          <cell r="A275">
            <v>274</v>
          </cell>
        </row>
        <row r="276">
          <cell r="A276">
            <v>275</v>
          </cell>
        </row>
        <row r="277">
          <cell r="A277">
            <v>276</v>
          </cell>
        </row>
        <row r="278">
          <cell r="A278">
            <v>277</v>
          </cell>
        </row>
        <row r="279">
          <cell r="A279">
            <v>278</v>
          </cell>
        </row>
        <row r="280">
          <cell r="A280">
            <v>279</v>
          </cell>
        </row>
        <row r="281">
          <cell r="A281">
            <v>280</v>
          </cell>
        </row>
        <row r="282">
          <cell r="A282">
            <v>281</v>
          </cell>
        </row>
        <row r="283">
          <cell r="A283">
            <v>282</v>
          </cell>
        </row>
        <row r="284">
          <cell r="A284">
            <v>283</v>
          </cell>
        </row>
        <row r="285">
          <cell r="A285">
            <v>284</v>
          </cell>
        </row>
        <row r="286">
          <cell r="A286">
            <v>285</v>
          </cell>
        </row>
        <row r="287">
          <cell r="A287">
            <v>286</v>
          </cell>
        </row>
        <row r="288">
          <cell r="A288">
            <v>287</v>
          </cell>
        </row>
        <row r="289">
          <cell r="A289">
            <v>288</v>
          </cell>
        </row>
        <row r="290">
          <cell r="A290">
            <v>289</v>
          </cell>
        </row>
        <row r="291">
          <cell r="A291">
            <v>290</v>
          </cell>
        </row>
        <row r="292">
          <cell r="A292">
            <v>291</v>
          </cell>
        </row>
        <row r="293">
          <cell r="A293">
            <v>292</v>
          </cell>
        </row>
        <row r="294">
          <cell r="A294">
            <v>293</v>
          </cell>
        </row>
        <row r="295">
          <cell r="A295">
            <v>294</v>
          </cell>
        </row>
        <row r="296">
          <cell r="A296">
            <v>295</v>
          </cell>
        </row>
        <row r="297">
          <cell r="A297">
            <v>296</v>
          </cell>
        </row>
        <row r="298">
          <cell r="A298">
            <v>297</v>
          </cell>
        </row>
        <row r="299">
          <cell r="A299">
            <v>298</v>
          </cell>
        </row>
        <row r="300">
          <cell r="A300">
            <v>299</v>
          </cell>
        </row>
        <row r="301">
          <cell r="A301">
            <v>300</v>
          </cell>
        </row>
        <row r="302">
          <cell r="A302">
            <v>301</v>
          </cell>
        </row>
        <row r="303">
          <cell r="A303">
            <v>302</v>
          </cell>
        </row>
        <row r="304">
          <cell r="A304">
            <v>303</v>
          </cell>
        </row>
        <row r="305">
          <cell r="A305">
            <v>304</v>
          </cell>
        </row>
        <row r="306">
          <cell r="A306">
            <v>305</v>
          </cell>
        </row>
        <row r="307">
          <cell r="A307">
            <v>306</v>
          </cell>
        </row>
        <row r="308">
          <cell r="A308">
            <v>307</v>
          </cell>
        </row>
        <row r="309">
          <cell r="A309">
            <v>308</v>
          </cell>
        </row>
        <row r="310">
          <cell r="A310">
            <v>309</v>
          </cell>
        </row>
        <row r="311">
          <cell r="A311">
            <v>310</v>
          </cell>
        </row>
        <row r="312">
          <cell r="A312">
            <v>311</v>
          </cell>
        </row>
        <row r="313">
          <cell r="A313">
            <v>312</v>
          </cell>
        </row>
        <row r="314">
          <cell r="A314">
            <v>313</v>
          </cell>
        </row>
        <row r="315">
          <cell r="A315">
            <v>314</v>
          </cell>
        </row>
        <row r="316">
          <cell r="A316">
            <v>315</v>
          </cell>
        </row>
        <row r="317">
          <cell r="A317">
            <v>316</v>
          </cell>
        </row>
        <row r="318">
          <cell r="A318">
            <v>317</v>
          </cell>
        </row>
        <row r="319">
          <cell r="A319">
            <v>318</v>
          </cell>
        </row>
        <row r="320">
          <cell r="A320">
            <v>319</v>
          </cell>
        </row>
        <row r="321">
          <cell r="A321">
            <v>320</v>
          </cell>
        </row>
        <row r="322">
          <cell r="A322">
            <v>321</v>
          </cell>
        </row>
        <row r="323">
          <cell r="A323">
            <v>322</v>
          </cell>
        </row>
        <row r="324">
          <cell r="A324">
            <v>323</v>
          </cell>
        </row>
        <row r="325">
          <cell r="A325">
            <v>324</v>
          </cell>
        </row>
        <row r="326">
          <cell r="A326">
            <v>325</v>
          </cell>
        </row>
        <row r="327">
          <cell r="A327">
            <v>326</v>
          </cell>
        </row>
        <row r="328">
          <cell r="A328">
            <v>327</v>
          </cell>
        </row>
        <row r="329">
          <cell r="A329">
            <v>328</v>
          </cell>
        </row>
        <row r="330">
          <cell r="A330">
            <v>329</v>
          </cell>
        </row>
        <row r="331">
          <cell r="A331">
            <v>330</v>
          </cell>
        </row>
        <row r="332">
          <cell r="A332">
            <v>331</v>
          </cell>
        </row>
        <row r="333">
          <cell r="A333">
            <v>332</v>
          </cell>
        </row>
        <row r="334">
          <cell r="A334">
            <v>333</v>
          </cell>
        </row>
        <row r="335">
          <cell r="A335">
            <v>334</v>
          </cell>
        </row>
        <row r="336">
          <cell r="A336">
            <v>335</v>
          </cell>
        </row>
        <row r="337">
          <cell r="A337">
            <v>336</v>
          </cell>
        </row>
        <row r="338">
          <cell r="A338">
            <v>337</v>
          </cell>
        </row>
        <row r="339">
          <cell r="A339">
            <v>338</v>
          </cell>
        </row>
        <row r="340">
          <cell r="A340">
            <v>339</v>
          </cell>
        </row>
        <row r="341">
          <cell r="A341">
            <v>340</v>
          </cell>
        </row>
        <row r="342">
          <cell r="A342">
            <v>341</v>
          </cell>
        </row>
        <row r="343">
          <cell r="A343">
            <v>342</v>
          </cell>
        </row>
        <row r="344">
          <cell r="A344">
            <v>343</v>
          </cell>
        </row>
        <row r="345">
          <cell r="A345">
            <v>344</v>
          </cell>
        </row>
        <row r="346">
          <cell r="A346">
            <v>345</v>
          </cell>
        </row>
        <row r="347">
          <cell r="A347">
            <v>346</v>
          </cell>
        </row>
        <row r="348">
          <cell r="A348">
            <v>347</v>
          </cell>
        </row>
        <row r="349">
          <cell r="A349">
            <v>348</v>
          </cell>
        </row>
        <row r="350">
          <cell r="A350">
            <v>349</v>
          </cell>
        </row>
        <row r="351">
          <cell r="A351">
            <v>350</v>
          </cell>
        </row>
        <row r="352">
          <cell r="A352">
            <v>351</v>
          </cell>
        </row>
        <row r="353">
          <cell r="A353">
            <v>352</v>
          </cell>
        </row>
        <row r="354">
          <cell r="A354">
            <v>353</v>
          </cell>
        </row>
        <row r="355">
          <cell r="A355">
            <v>354</v>
          </cell>
        </row>
        <row r="356">
          <cell r="A356">
            <v>355</v>
          </cell>
        </row>
        <row r="357">
          <cell r="A357">
            <v>356</v>
          </cell>
        </row>
        <row r="358">
          <cell r="A358">
            <v>357</v>
          </cell>
        </row>
        <row r="359">
          <cell r="A359">
            <v>358</v>
          </cell>
        </row>
        <row r="360">
          <cell r="A360">
            <v>359</v>
          </cell>
        </row>
        <row r="361">
          <cell r="A361">
            <v>360</v>
          </cell>
        </row>
        <row r="362">
          <cell r="A362">
            <v>361</v>
          </cell>
        </row>
        <row r="363">
          <cell r="A363">
            <v>362</v>
          </cell>
        </row>
        <row r="364">
          <cell r="A364">
            <v>363</v>
          </cell>
        </row>
        <row r="365">
          <cell r="A365">
            <v>364</v>
          </cell>
        </row>
        <row r="366">
          <cell r="A366">
            <v>365</v>
          </cell>
        </row>
        <row r="367">
          <cell r="A367">
            <v>366</v>
          </cell>
        </row>
        <row r="368">
          <cell r="A368">
            <v>367</v>
          </cell>
        </row>
        <row r="369">
          <cell r="A369">
            <v>368</v>
          </cell>
        </row>
        <row r="370">
          <cell r="A370">
            <v>369</v>
          </cell>
        </row>
        <row r="371">
          <cell r="A371">
            <v>370</v>
          </cell>
        </row>
        <row r="372">
          <cell r="A372">
            <v>371</v>
          </cell>
        </row>
        <row r="373">
          <cell r="A373">
            <v>372</v>
          </cell>
        </row>
        <row r="374">
          <cell r="A374">
            <v>373</v>
          </cell>
        </row>
        <row r="375">
          <cell r="A375">
            <v>374</v>
          </cell>
        </row>
        <row r="376">
          <cell r="A376">
            <v>375</v>
          </cell>
        </row>
        <row r="377">
          <cell r="A377">
            <v>376</v>
          </cell>
        </row>
        <row r="378">
          <cell r="A378">
            <v>377</v>
          </cell>
        </row>
        <row r="379">
          <cell r="A379">
            <v>378</v>
          </cell>
        </row>
        <row r="380">
          <cell r="A380">
            <v>379</v>
          </cell>
        </row>
        <row r="381">
          <cell r="A381">
            <v>380</v>
          </cell>
        </row>
        <row r="382">
          <cell r="A382">
            <v>381</v>
          </cell>
        </row>
        <row r="383">
          <cell r="A383">
            <v>382</v>
          </cell>
        </row>
        <row r="384">
          <cell r="A384">
            <v>383</v>
          </cell>
        </row>
        <row r="385">
          <cell r="A385">
            <v>384</v>
          </cell>
        </row>
        <row r="386">
          <cell r="A386">
            <v>385</v>
          </cell>
        </row>
        <row r="387">
          <cell r="A387">
            <v>386</v>
          </cell>
        </row>
        <row r="388">
          <cell r="A388">
            <v>387</v>
          </cell>
        </row>
        <row r="389">
          <cell r="A389">
            <v>388</v>
          </cell>
        </row>
        <row r="390">
          <cell r="A390">
            <v>389</v>
          </cell>
        </row>
        <row r="391">
          <cell r="A391">
            <v>390</v>
          </cell>
        </row>
        <row r="392">
          <cell r="A392">
            <v>391</v>
          </cell>
        </row>
        <row r="393">
          <cell r="A393">
            <v>392</v>
          </cell>
        </row>
        <row r="394">
          <cell r="A394">
            <v>393</v>
          </cell>
        </row>
        <row r="395">
          <cell r="A395">
            <v>394</v>
          </cell>
        </row>
        <row r="396">
          <cell r="A396">
            <v>395</v>
          </cell>
        </row>
        <row r="397">
          <cell r="A397">
            <v>396</v>
          </cell>
        </row>
        <row r="398">
          <cell r="A398">
            <v>397</v>
          </cell>
        </row>
        <row r="399">
          <cell r="A399">
            <v>398</v>
          </cell>
        </row>
        <row r="400">
          <cell r="A400">
            <v>399</v>
          </cell>
        </row>
        <row r="401">
          <cell r="A401">
            <v>400</v>
          </cell>
        </row>
        <row r="402">
          <cell r="A402">
            <v>401</v>
          </cell>
        </row>
        <row r="403">
          <cell r="A403">
            <v>402</v>
          </cell>
        </row>
        <row r="404">
          <cell r="A404">
            <v>403</v>
          </cell>
        </row>
        <row r="405">
          <cell r="A405">
            <v>404</v>
          </cell>
        </row>
        <row r="406">
          <cell r="A406">
            <v>405</v>
          </cell>
        </row>
        <row r="407">
          <cell r="A407">
            <v>406</v>
          </cell>
        </row>
        <row r="408">
          <cell r="A408">
            <v>407</v>
          </cell>
        </row>
        <row r="409">
          <cell r="A409">
            <v>408</v>
          </cell>
        </row>
        <row r="410">
          <cell r="A410">
            <v>409</v>
          </cell>
        </row>
        <row r="411">
          <cell r="A411">
            <v>410</v>
          </cell>
        </row>
        <row r="412">
          <cell r="A412">
            <v>411</v>
          </cell>
        </row>
        <row r="413">
          <cell r="A413">
            <v>412</v>
          </cell>
        </row>
        <row r="414">
          <cell r="A414">
            <v>413</v>
          </cell>
        </row>
        <row r="415">
          <cell r="A415">
            <v>414</v>
          </cell>
        </row>
        <row r="416">
          <cell r="A416">
            <v>415</v>
          </cell>
        </row>
        <row r="417">
          <cell r="A417">
            <v>416</v>
          </cell>
        </row>
        <row r="418">
          <cell r="A418">
            <v>417</v>
          </cell>
        </row>
        <row r="419">
          <cell r="A419">
            <v>418</v>
          </cell>
        </row>
        <row r="420">
          <cell r="A420">
            <v>419</v>
          </cell>
        </row>
        <row r="421">
          <cell r="A421">
            <v>420</v>
          </cell>
        </row>
        <row r="422">
          <cell r="A422">
            <v>421</v>
          </cell>
        </row>
        <row r="423">
          <cell r="A423">
            <v>422</v>
          </cell>
        </row>
        <row r="424">
          <cell r="A424">
            <v>423</v>
          </cell>
        </row>
        <row r="425">
          <cell r="A425">
            <v>424</v>
          </cell>
        </row>
        <row r="426">
          <cell r="A426">
            <v>425</v>
          </cell>
        </row>
        <row r="427">
          <cell r="A427">
            <v>426</v>
          </cell>
        </row>
        <row r="428">
          <cell r="A428">
            <v>427</v>
          </cell>
        </row>
        <row r="429">
          <cell r="A429">
            <v>428</v>
          </cell>
        </row>
        <row r="430">
          <cell r="A430">
            <v>429</v>
          </cell>
        </row>
        <row r="431">
          <cell r="A431">
            <v>430</v>
          </cell>
        </row>
        <row r="432">
          <cell r="A432">
            <v>431</v>
          </cell>
        </row>
        <row r="433">
          <cell r="A433">
            <v>432</v>
          </cell>
        </row>
        <row r="434">
          <cell r="A434">
            <v>433</v>
          </cell>
        </row>
        <row r="435">
          <cell r="A435">
            <v>434</v>
          </cell>
        </row>
        <row r="436">
          <cell r="A436">
            <v>435</v>
          </cell>
        </row>
        <row r="437">
          <cell r="A437">
            <v>436</v>
          </cell>
        </row>
        <row r="438">
          <cell r="A438">
            <v>437</v>
          </cell>
        </row>
        <row r="439">
          <cell r="A439">
            <v>438</v>
          </cell>
        </row>
        <row r="440">
          <cell r="A440">
            <v>439</v>
          </cell>
        </row>
        <row r="441">
          <cell r="A441">
            <v>440</v>
          </cell>
        </row>
        <row r="442">
          <cell r="A442">
            <v>441</v>
          </cell>
        </row>
        <row r="443">
          <cell r="A443">
            <v>442</v>
          </cell>
        </row>
        <row r="444">
          <cell r="A444">
            <v>443</v>
          </cell>
        </row>
        <row r="445">
          <cell r="A445">
            <v>444</v>
          </cell>
        </row>
        <row r="446">
          <cell r="A446">
            <v>445</v>
          </cell>
        </row>
        <row r="447">
          <cell r="A447">
            <v>446</v>
          </cell>
        </row>
        <row r="448">
          <cell r="A448">
            <v>447</v>
          </cell>
        </row>
        <row r="449">
          <cell r="A449">
            <v>448</v>
          </cell>
        </row>
        <row r="450">
          <cell r="A450">
            <v>449</v>
          </cell>
        </row>
        <row r="451">
          <cell r="A451">
            <v>450</v>
          </cell>
        </row>
        <row r="452">
          <cell r="A452">
            <v>451</v>
          </cell>
        </row>
        <row r="453">
          <cell r="A453">
            <v>452</v>
          </cell>
        </row>
        <row r="454">
          <cell r="A454">
            <v>453</v>
          </cell>
        </row>
        <row r="455">
          <cell r="A455">
            <v>454</v>
          </cell>
        </row>
        <row r="456">
          <cell r="A456">
            <v>455</v>
          </cell>
        </row>
        <row r="457">
          <cell r="A457">
            <v>456</v>
          </cell>
        </row>
        <row r="458">
          <cell r="A458">
            <v>457</v>
          </cell>
        </row>
        <row r="459">
          <cell r="A459">
            <v>458</v>
          </cell>
        </row>
        <row r="460">
          <cell r="A460">
            <v>459</v>
          </cell>
        </row>
        <row r="461">
          <cell r="A461">
            <v>460</v>
          </cell>
        </row>
        <row r="462">
          <cell r="A462">
            <v>461</v>
          </cell>
        </row>
        <row r="463">
          <cell r="A463">
            <v>462</v>
          </cell>
        </row>
        <row r="464">
          <cell r="A464">
            <v>463</v>
          </cell>
        </row>
        <row r="465">
          <cell r="A465">
            <v>464</v>
          </cell>
        </row>
        <row r="466">
          <cell r="A466">
            <v>465</v>
          </cell>
        </row>
        <row r="467">
          <cell r="A467">
            <v>466</v>
          </cell>
        </row>
        <row r="468">
          <cell r="A468">
            <v>467</v>
          </cell>
        </row>
        <row r="469">
          <cell r="A469">
            <v>468</v>
          </cell>
        </row>
        <row r="470">
          <cell r="A470">
            <v>469</v>
          </cell>
        </row>
        <row r="471">
          <cell r="A471">
            <v>470</v>
          </cell>
        </row>
        <row r="472">
          <cell r="A472">
            <v>471</v>
          </cell>
        </row>
        <row r="473">
          <cell r="A473">
            <v>472</v>
          </cell>
        </row>
        <row r="474">
          <cell r="A474">
            <v>473</v>
          </cell>
        </row>
        <row r="475">
          <cell r="A475">
            <v>474</v>
          </cell>
        </row>
        <row r="476">
          <cell r="A476">
            <v>475</v>
          </cell>
        </row>
        <row r="477">
          <cell r="A477">
            <v>476</v>
          </cell>
        </row>
        <row r="478">
          <cell r="A478">
            <v>477</v>
          </cell>
        </row>
        <row r="479">
          <cell r="A479">
            <v>478</v>
          </cell>
        </row>
        <row r="480">
          <cell r="A480">
            <v>479</v>
          </cell>
        </row>
        <row r="481">
          <cell r="A481">
            <v>480</v>
          </cell>
        </row>
        <row r="482">
          <cell r="A482">
            <v>481</v>
          </cell>
        </row>
        <row r="483">
          <cell r="A483">
            <v>482</v>
          </cell>
        </row>
        <row r="484">
          <cell r="A484">
            <v>483</v>
          </cell>
        </row>
        <row r="485">
          <cell r="A485">
            <v>484</v>
          </cell>
        </row>
        <row r="486">
          <cell r="A486">
            <v>485</v>
          </cell>
        </row>
        <row r="487">
          <cell r="A487">
            <v>486</v>
          </cell>
        </row>
        <row r="488">
          <cell r="A488">
            <v>487</v>
          </cell>
        </row>
        <row r="489">
          <cell r="A489">
            <v>488</v>
          </cell>
        </row>
        <row r="490">
          <cell r="A490">
            <v>489</v>
          </cell>
        </row>
        <row r="491">
          <cell r="A491">
            <v>490</v>
          </cell>
        </row>
        <row r="492">
          <cell r="A492">
            <v>491</v>
          </cell>
        </row>
        <row r="493">
          <cell r="A493">
            <v>492</v>
          </cell>
        </row>
        <row r="494">
          <cell r="A494">
            <v>493</v>
          </cell>
        </row>
        <row r="495">
          <cell r="A495">
            <v>494</v>
          </cell>
        </row>
        <row r="496">
          <cell r="A496">
            <v>495</v>
          </cell>
        </row>
        <row r="497">
          <cell r="A497">
            <v>496</v>
          </cell>
        </row>
        <row r="498">
          <cell r="A498">
            <v>497</v>
          </cell>
        </row>
        <row r="499">
          <cell r="A499">
            <v>498</v>
          </cell>
        </row>
        <row r="500">
          <cell r="A500">
            <v>499</v>
          </cell>
        </row>
        <row r="501">
          <cell r="A501">
            <v>500</v>
          </cell>
        </row>
        <row r="502">
          <cell r="A502">
            <v>501</v>
          </cell>
        </row>
        <row r="503">
          <cell r="A503">
            <v>502</v>
          </cell>
        </row>
        <row r="504">
          <cell r="A504">
            <v>503</v>
          </cell>
        </row>
        <row r="505">
          <cell r="A505">
            <v>504</v>
          </cell>
        </row>
        <row r="506">
          <cell r="A506">
            <v>505</v>
          </cell>
        </row>
        <row r="507">
          <cell r="A507">
            <v>506</v>
          </cell>
        </row>
        <row r="508">
          <cell r="A508">
            <v>507</v>
          </cell>
        </row>
        <row r="509">
          <cell r="A509">
            <v>508</v>
          </cell>
        </row>
        <row r="510">
          <cell r="A510">
            <v>509</v>
          </cell>
        </row>
        <row r="511">
          <cell r="A511">
            <v>510</v>
          </cell>
        </row>
        <row r="512">
          <cell r="A512">
            <v>511</v>
          </cell>
        </row>
        <row r="513">
          <cell r="A513">
            <v>512</v>
          </cell>
        </row>
        <row r="514">
          <cell r="A514">
            <v>513</v>
          </cell>
        </row>
        <row r="515">
          <cell r="A515">
            <v>514</v>
          </cell>
        </row>
        <row r="516">
          <cell r="A516">
            <v>515</v>
          </cell>
        </row>
        <row r="517">
          <cell r="A517">
            <v>516</v>
          </cell>
        </row>
        <row r="518">
          <cell r="A518">
            <v>517</v>
          </cell>
        </row>
        <row r="519">
          <cell r="A519">
            <v>518</v>
          </cell>
        </row>
        <row r="520">
          <cell r="A520">
            <v>519</v>
          </cell>
        </row>
        <row r="521">
          <cell r="A521">
            <v>520</v>
          </cell>
        </row>
        <row r="522">
          <cell r="A522">
            <v>521</v>
          </cell>
        </row>
        <row r="523">
          <cell r="A523">
            <v>522</v>
          </cell>
        </row>
        <row r="524">
          <cell r="A524">
            <v>523</v>
          </cell>
        </row>
        <row r="525">
          <cell r="A525">
            <v>524</v>
          </cell>
        </row>
        <row r="526">
          <cell r="A526">
            <v>525</v>
          </cell>
        </row>
        <row r="527">
          <cell r="A527">
            <v>526</v>
          </cell>
        </row>
        <row r="528">
          <cell r="A528">
            <v>527</v>
          </cell>
        </row>
        <row r="529">
          <cell r="A529">
            <v>528</v>
          </cell>
        </row>
        <row r="530">
          <cell r="A530">
            <v>529</v>
          </cell>
        </row>
        <row r="531">
          <cell r="A531">
            <v>530</v>
          </cell>
        </row>
        <row r="532">
          <cell r="A532">
            <v>531</v>
          </cell>
        </row>
        <row r="533">
          <cell r="A533">
            <v>532</v>
          </cell>
        </row>
        <row r="534">
          <cell r="A534">
            <v>533</v>
          </cell>
        </row>
        <row r="535">
          <cell r="A535">
            <v>534</v>
          </cell>
        </row>
        <row r="536">
          <cell r="A536">
            <v>535</v>
          </cell>
        </row>
        <row r="537">
          <cell r="A537">
            <v>536</v>
          </cell>
        </row>
        <row r="538">
          <cell r="A538">
            <v>537</v>
          </cell>
        </row>
        <row r="539">
          <cell r="A539">
            <v>538</v>
          </cell>
        </row>
        <row r="540">
          <cell r="A540">
            <v>539</v>
          </cell>
        </row>
        <row r="541">
          <cell r="A541">
            <v>540</v>
          </cell>
        </row>
        <row r="542">
          <cell r="A542">
            <v>541</v>
          </cell>
        </row>
        <row r="543">
          <cell r="A543">
            <v>542</v>
          </cell>
        </row>
        <row r="544">
          <cell r="A544">
            <v>543</v>
          </cell>
        </row>
        <row r="545">
          <cell r="A545">
            <v>544</v>
          </cell>
        </row>
        <row r="546">
          <cell r="A546">
            <v>545</v>
          </cell>
        </row>
        <row r="547">
          <cell r="A547">
            <v>546</v>
          </cell>
        </row>
        <row r="548">
          <cell r="A548">
            <v>547</v>
          </cell>
        </row>
        <row r="549">
          <cell r="A549">
            <v>548</v>
          </cell>
        </row>
        <row r="550">
          <cell r="A550">
            <v>549</v>
          </cell>
        </row>
        <row r="551">
          <cell r="A551">
            <v>550</v>
          </cell>
        </row>
        <row r="552">
          <cell r="A552">
            <v>551</v>
          </cell>
        </row>
        <row r="553">
          <cell r="A553">
            <v>552</v>
          </cell>
        </row>
        <row r="554">
          <cell r="A554">
            <v>553</v>
          </cell>
        </row>
        <row r="555">
          <cell r="A555">
            <v>554</v>
          </cell>
        </row>
        <row r="556">
          <cell r="A556">
            <v>555</v>
          </cell>
        </row>
        <row r="557">
          <cell r="A557">
            <v>556</v>
          </cell>
        </row>
        <row r="558">
          <cell r="A558">
            <v>557</v>
          </cell>
        </row>
        <row r="559">
          <cell r="A559">
            <v>558</v>
          </cell>
        </row>
        <row r="560">
          <cell r="A560">
            <v>559</v>
          </cell>
        </row>
        <row r="561">
          <cell r="A561">
            <v>560</v>
          </cell>
        </row>
        <row r="562">
          <cell r="A562">
            <v>561</v>
          </cell>
        </row>
        <row r="563">
          <cell r="A563">
            <v>562</v>
          </cell>
        </row>
        <row r="564">
          <cell r="A564">
            <v>563</v>
          </cell>
        </row>
        <row r="565">
          <cell r="A565">
            <v>564</v>
          </cell>
        </row>
        <row r="566">
          <cell r="A566">
            <v>565</v>
          </cell>
        </row>
        <row r="567">
          <cell r="A567">
            <v>566</v>
          </cell>
        </row>
        <row r="568">
          <cell r="A568">
            <v>567</v>
          </cell>
        </row>
        <row r="569">
          <cell r="A569">
            <v>568</v>
          </cell>
        </row>
        <row r="570">
          <cell r="A570">
            <v>569</v>
          </cell>
        </row>
        <row r="571">
          <cell r="A571">
            <v>570</v>
          </cell>
        </row>
        <row r="572">
          <cell r="A572">
            <v>571</v>
          </cell>
        </row>
        <row r="573">
          <cell r="A573">
            <v>572</v>
          </cell>
        </row>
        <row r="574">
          <cell r="A574">
            <v>573</v>
          </cell>
        </row>
        <row r="575">
          <cell r="A575">
            <v>574</v>
          </cell>
        </row>
        <row r="576">
          <cell r="A576">
            <v>575</v>
          </cell>
        </row>
        <row r="577">
          <cell r="A577">
            <v>576</v>
          </cell>
        </row>
        <row r="578">
          <cell r="A578">
            <v>577</v>
          </cell>
        </row>
        <row r="579">
          <cell r="A579">
            <v>578</v>
          </cell>
        </row>
        <row r="580">
          <cell r="A580">
            <v>579</v>
          </cell>
        </row>
        <row r="581">
          <cell r="A581">
            <v>580</v>
          </cell>
        </row>
        <row r="582">
          <cell r="A582">
            <v>581</v>
          </cell>
        </row>
        <row r="583">
          <cell r="A583">
            <v>582</v>
          </cell>
        </row>
        <row r="584">
          <cell r="A584">
            <v>583</v>
          </cell>
        </row>
        <row r="585">
          <cell r="A585">
            <v>584</v>
          </cell>
        </row>
        <row r="586">
          <cell r="A586">
            <v>585</v>
          </cell>
        </row>
        <row r="587">
          <cell r="A587">
            <v>586</v>
          </cell>
        </row>
        <row r="588">
          <cell r="A588">
            <v>587</v>
          </cell>
        </row>
        <row r="589">
          <cell r="A589">
            <v>588</v>
          </cell>
        </row>
        <row r="590">
          <cell r="A590">
            <v>589</v>
          </cell>
        </row>
        <row r="591">
          <cell r="A591">
            <v>590</v>
          </cell>
        </row>
        <row r="592">
          <cell r="A592">
            <v>591</v>
          </cell>
        </row>
        <row r="593">
          <cell r="A593">
            <v>592</v>
          </cell>
        </row>
        <row r="594">
          <cell r="A594">
            <v>593</v>
          </cell>
        </row>
        <row r="595">
          <cell r="A595">
            <v>594</v>
          </cell>
        </row>
        <row r="596">
          <cell r="A596">
            <v>595</v>
          </cell>
        </row>
        <row r="597">
          <cell r="A597">
            <v>596</v>
          </cell>
        </row>
        <row r="598">
          <cell r="A598">
            <v>597</v>
          </cell>
        </row>
        <row r="599">
          <cell r="A599">
            <v>598</v>
          </cell>
        </row>
        <row r="600">
          <cell r="A600">
            <v>599</v>
          </cell>
        </row>
        <row r="601">
          <cell r="A601">
            <v>600</v>
          </cell>
        </row>
        <row r="602">
          <cell r="A602">
            <v>601</v>
          </cell>
        </row>
        <row r="603">
          <cell r="A603">
            <v>602</v>
          </cell>
        </row>
        <row r="604">
          <cell r="A604">
            <v>603</v>
          </cell>
        </row>
        <row r="605">
          <cell r="A605">
            <v>604</v>
          </cell>
        </row>
        <row r="606">
          <cell r="A606">
            <v>605</v>
          </cell>
        </row>
        <row r="607">
          <cell r="A607">
            <v>606</v>
          </cell>
        </row>
        <row r="608">
          <cell r="A608">
            <v>607</v>
          </cell>
        </row>
        <row r="609">
          <cell r="A609">
            <v>608</v>
          </cell>
        </row>
        <row r="610">
          <cell r="A610">
            <v>609</v>
          </cell>
        </row>
        <row r="611">
          <cell r="A611">
            <v>610</v>
          </cell>
        </row>
        <row r="612">
          <cell r="A612">
            <v>611</v>
          </cell>
        </row>
        <row r="613">
          <cell r="A613">
            <v>612</v>
          </cell>
        </row>
        <row r="614">
          <cell r="A614">
            <v>613</v>
          </cell>
        </row>
        <row r="615">
          <cell r="A615">
            <v>614</v>
          </cell>
        </row>
        <row r="616">
          <cell r="A616">
            <v>615</v>
          </cell>
        </row>
        <row r="617">
          <cell r="A617">
            <v>616</v>
          </cell>
        </row>
        <row r="618">
          <cell r="A618">
            <v>617</v>
          </cell>
        </row>
        <row r="619">
          <cell r="A619">
            <v>618</v>
          </cell>
        </row>
        <row r="620">
          <cell r="A620">
            <v>619</v>
          </cell>
        </row>
        <row r="621">
          <cell r="A621">
            <v>620</v>
          </cell>
        </row>
        <row r="622">
          <cell r="A622">
            <v>621</v>
          </cell>
        </row>
        <row r="623">
          <cell r="A623">
            <v>622</v>
          </cell>
        </row>
        <row r="624">
          <cell r="A624">
            <v>623</v>
          </cell>
        </row>
        <row r="625">
          <cell r="A625">
            <v>624</v>
          </cell>
        </row>
        <row r="626">
          <cell r="A626">
            <v>625</v>
          </cell>
        </row>
        <row r="627">
          <cell r="A627">
            <v>626</v>
          </cell>
        </row>
        <row r="628">
          <cell r="A628">
            <v>627</v>
          </cell>
        </row>
        <row r="629">
          <cell r="A629">
            <v>628</v>
          </cell>
        </row>
        <row r="630">
          <cell r="A630">
            <v>629</v>
          </cell>
        </row>
        <row r="631">
          <cell r="A631">
            <v>630</v>
          </cell>
        </row>
        <row r="632">
          <cell r="A632">
            <v>631</v>
          </cell>
        </row>
        <row r="633">
          <cell r="A633">
            <v>632</v>
          </cell>
        </row>
        <row r="634">
          <cell r="A634">
            <v>633</v>
          </cell>
        </row>
        <row r="635">
          <cell r="A635">
            <v>634</v>
          </cell>
        </row>
        <row r="636">
          <cell r="A636">
            <v>635</v>
          </cell>
        </row>
        <row r="637">
          <cell r="A637">
            <v>636</v>
          </cell>
        </row>
        <row r="638">
          <cell r="A638">
            <v>637</v>
          </cell>
        </row>
        <row r="639">
          <cell r="A639">
            <v>638</v>
          </cell>
        </row>
        <row r="640">
          <cell r="A640">
            <v>639</v>
          </cell>
        </row>
        <row r="641">
          <cell r="A641">
            <v>640</v>
          </cell>
        </row>
        <row r="642">
          <cell r="A642">
            <v>641</v>
          </cell>
        </row>
        <row r="643">
          <cell r="A643">
            <v>642</v>
          </cell>
        </row>
        <row r="644">
          <cell r="A644">
            <v>643</v>
          </cell>
        </row>
        <row r="645">
          <cell r="A645">
            <v>644</v>
          </cell>
        </row>
        <row r="646">
          <cell r="A646">
            <v>645</v>
          </cell>
        </row>
        <row r="647">
          <cell r="A647">
            <v>646</v>
          </cell>
        </row>
        <row r="648">
          <cell r="A648">
            <v>647</v>
          </cell>
        </row>
        <row r="649">
          <cell r="A649">
            <v>648</v>
          </cell>
        </row>
        <row r="650">
          <cell r="A650">
            <v>649</v>
          </cell>
        </row>
        <row r="651">
          <cell r="A651">
            <v>650</v>
          </cell>
        </row>
        <row r="652">
          <cell r="A652">
            <v>651</v>
          </cell>
        </row>
        <row r="653">
          <cell r="A653">
            <v>652</v>
          </cell>
        </row>
        <row r="654">
          <cell r="A654">
            <v>653</v>
          </cell>
        </row>
        <row r="655">
          <cell r="A655">
            <v>654</v>
          </cell>
        </row>
        <row r="656">
          <cell r="A656">
            <v>655</v>
          </cell>
        </row>
        <row r="657">
          <cell r="A657">
            <v>656</v>
          </cell>
        </row>
        <row r="658">
          <cell r="A658">
            <v>657</v>
          </cell>
        </row>
        <row r="659">
          <cell r="A659">
            <v>658</v>
          </cell>
        </row>
        <row r="660">
          <cell r="A660">
            <v>659</v>
          </cell>
        </row>
        <row r="661">
          <cell r="A661">
            <v>660</v>
          </cell>
        </row>
        <row r="662">
          <cell r="A662">
            <v>661</v>
          </cell>
        </row>
        <row r="663">
          <cell r="A663">
            <v>662</v>
          </cell>
        </row>
        <row r="664">
          <cell r="A664">
            <v>663</v>
          </cell>
        </row>
        <row r="665">
          <cell r="A665">
            <v>664</v>
          </cell>
        </row>
        <row r="666">
          <cell r="A666">
            <v>665</v>
          </cell>
        </row>
        <row r="667">
          <cell r="A667">
            <v>666</v>
          </cell>
        </row>
        <row r="668">
          <cell r="A668">
            <v>667</v>
          </cell>
        </row>
        <row r="669">
          <cell r="A669">
            <v>668</v>
          </cell>
        </row>
        <row r="670">
          <cell r="A670">
            <v>669</v>
          </cell>
        </row>
        <row r="671">
          <cell r="A671">
            <v>670</v>
          </cell>
        </row>
        <row r="672">
          <cell r="A672">
            <v>671</v>
          </cell>
        </row>
        <row r="673">
          <cell r="A673">
            <v>672</v>
          </cell>
        </row>
        <row r="674">
          <cell r="A674">
            <v>673</v>
          </cell>
        </row>
        <row r="675">
          <cell r="A675">
            <v>674</v>
          </cell>
        </row>
        <row r="676">
          <cell r="A676">
            <v>675</v>
          </cell>
        </row>
        <row r="677">
          <cell r="A677">
            <v>676</v>
          </cell>
        </row>
        <row r="678">
          <cell r="A678">
            <v>677</v>
          </cell>
        </row>
        <row r="679">
          <cell r="A679">
            <v>678</v>
          </cell>
        </row>
        <row r="680">
          <cell r="A680">
            <v>679</v>
          </cell>
        </row>
        <row r="681">
          <cell r="A681">
            <v>680</v>
          </cell>
        </row>
        <row r="682">
          <cell r="A682">
            <v>681</v>
          </cell>
        </row>
        <row r="683">
          <cell r="A683">
            <v>682</v>
          </cell>
        </row>
        <row r="684">
          <cell r="A684">
            <v>683</v>
          </cell>
        </row>
        <row r="685">
          <cell r="A685">
            <v>684</v>
          </cell>
        </row>
        <row r="686">
          <cell r="A686">
            <v>685</v>
          </cell>
        </row>
        <row r="687">
          <cell r="A687">
            <v>686</v>
          </cell>
        </row>
        <row r="688">
          <cell r="A688">
            <v>687</v>
          </cell>
        </row>
        <row r="689">
          <cell r="A689">
            <v>688</v>
          </cell>
        </row>
        <row r="690">
          <cell r="A690">
            <v>689</v>
          </cell>
        </row>
        <row r="691">
          <cell r="A691">
            <v>690</v>
          </cell>
        </row>
        <row r="692">
          <cell r="A692">
            <v>691</v>
          </cell>
        </row>
        <row r="693">
          <cell r="A693">
            <v>692</v>
          </cell>
        </row>
        <row r="694">
          <cell r="A694">
            <v>693</v>
          </cell>
        </row>
        <row r="695">
          <cell r="A695">
            <v>694</v>
          </cell>
        </row>
        <row r="696">
          <cell r="A696">
            <v>695</v>
          </cell>
        </row>
        <row r="697">
          <cell r="A697">
            <v>696</v>
          </cell>
        </row>
        <row r="698">
          <cell r="A698">
            <v>697</v>
          </cell>
        </row>
        <row r="699">
          <cell r="A699">
            <v>698</v>
          </cell>
        </row>
        <row r="700">
          <cell r="A700">
            <v>699</v>
          </cell>
        </row>
        <row r="701">
          <cell r="A701">
            <v>700</v>
          </cell>
        </row>
        <row r="702">
          <cell r="A702">
            <v>701</v>
          </cell>
        </row>
        <row r="703">
          <cell r="A703">
            <v>702</v>
          </cell>
        </row>
        <row r="704">
          <cell r="A704">
            <v>703</v>
          </cell>
        </row>
        <row r="705">
          <cell r="A705">
            <v>704</v>
          </cell>
        </row>
        <row r="706">
          <cell r="A706">
            <v>705</v>
          </cell>
        </row>
        <row r="707">
          <cell r="A707">
            <v>706</v>
          </cell>
        </row>
        <row r="708">
          <cell r="A708">
            <v>707</v>
          </cell>
        </row>
        <row r="709">
          <cell r="A709">
            <v>708</v>
          </cell>
        </row>
        <row r="710">
          <cell r="A710">
            <v>709</v>
          </cell>
        </row>
        <row r="711">
          <cell r="A711">
            <v>710</v>
          </cell>
        </row>
        <row r="712">
          <cell r="A712">
            <v>711</v>
          </cell>
        </row>
        <row r="713">
          <cell r="A713">
            <v>712</v>
          </cell>
        </row>
        <row r="714">
          <cell r="A714">
            <v>713</v>
          </cell>
        </row>
        <row r="715">
          <cell r="A715">
            <v>714</v>
          </cell>
        </row>
        <row r="716">
          <cell r="A716">
            <v>715</v>
          </cell>
        </row>
        <row r="717">
          <cell r="A717">
            <v>716</v>
          </cell>
        </row>
        <row r="718">
          <cell r="A718">
            <v>717</v>
          </cell>
        </row>
        <row r="719">
          <cell r="A719">
            <v>718</v>
          </cell>
        </row>
        <row r="720">
          <cell r="A720">
            <v>719</v>
          </cell>
        </row>
        <row r="721">
          <cell r="A721">
            <v>720</v>
          </cell>
        </row>
        <row r="722">
          <cell r="A722">
            <v>721</v>
          </cell>
        </row>
        <row r="723">
          <cell r="A723">
            <v>722</v>
          </cell>
        </row>
        <row r="724">
          <cell r="A724">
            <v>723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B"/>
      <sheetName val="SPM"/>
      <sheetName val="B4"/>
      <sheetName val="LIST"/>
    </sheetNames>
    <sheetDataSet>
      <sheetData sheetId="0" refreshError="1"/>
      <sheetData sheetId="1" refreshError="1"/>
      <sheetData sheetId="2" refreshError="1"/>
      <sheetData sheetId="3" refreshError="1">
        <row r="4">
          <cell r="B4" t="str">
            <v>AALBORG INDUSTRIES</v>
          </cell>
          <cell r="C4">
            <v>10695161055</v>
          </cell>
        </row>
        <row r="5">
          <cell r="B5" t="str">
            <v>ABDIKARSA TEGUHBUANA</v>
          </cell>
          <cell r="C5">
            <v>16836868024</v>
          </cell>
        </row>
        <row r="6">
          <cell r="B6" t="str">
            <v>ABDINUSA USAHASEMESTA</v>
          </cell>
          <cell r="C6">
            <v>15542038021</v>
          </cell>
        </row>
        <row r="7">
          <cell r="B7" t="str">
            <v>ACCORINDO INTERNUSA</v>
          </cell>
          <cell r="C7" t="str">
            <v>018047175042000</v>
          </cell>
        </row>
        <row r="8">
          <cell r="B8" t="str">
            <v>ACTEC PRIMA</v>
          </cell>
          <cell r="C8">
            <v>18239392022</v>
          </cell>
        </row>
        <row r="9">
          <cell r="B9" t="str">
            <v>ADHI TRIKARYA MANDIRI</v>
          </cell>
          <cell r="C9">
            <v>17659822042</v>
          </cell>
        </row>
        <row r="10">
          <cell r="B10" t="str">
            <v>ADHIKA DWI PUTRA</v>
          </cell>
          <cell r="C10" t="str">
            <v>015720998033000</v>
          </cell>
        </row>
        <row r="11">
          <cell r="B11" t="str">
            <v>ADIPROTEK ENVIRODUNIA</v>
          </cell>
          <cell r="C11">
            <v>15727266002</v>
          </cell>
        </row>
        <row r="12">
          <cell r="B12" t="str">
            <v>AGUNG RAYA</v>
          </cell>
          <cell r="C12" t="str">
            <v>013166038042000</v>
          </cell>
        </row>
        <row r="13">
          <cell r="B13" t="str">
            <v>AIR LIQUIDE</v>
          </cell>
          <cell r="C13" t="str">
            <v>013514534413001</v>
          </cell>
        </row>
        <row r="14">
          <cell r="B14" t="str">
            <v>AIR PRODUCTS</v>
          </cell>
          <cell r="C14" t="str">
            <v>011335213413001</v>
          </cell>
        </row>
        <row r="15">
          <cell r="B15" t="str">
            <v>AIR TIGER EXPRESINDO</v>
          </cell>
          <cell r="C15">
            <v>16215295025</v>
          </cell>
        </row>
        <row r="16">
          <cell r="B16" t="str">
            <v>AIRIN</v>
          </cell>
          <cell r="C16" t="str">
            <v>013166046051000</v>
          </cell>
        </row>
        <row r="17">
          <cell r="B17" t="str">
            <v>ALAM JEMBAR BARU</v>
          </cell>
          <cell r="C17" t="str">
            <v>017383522026000</v>
          </cell>
        </row>
        <row r="18">
          <cell r="B18" t="str">
            <v>ALBA UNGGUL METAL</v>
          </cell>
          <cell r="C18" t="str">
            <v>014554497411000</v>
          </cell>
        </row>
        <row r="19">
          <cell r="B19" t="str">
            <v>ALCORINDO SEJAHTERA</v>
          </cell>
          <cell r="C19" t="str">
            <v>015394299411001</v>
          </cell>
        </row>
        <row r="20">
          <cell r="B20" t="str">
            <v>ALIANSI SAKTI</v>
          </cell>
          <cell r="C20">
            <v>19303064034</v>
          </cell>
        </row>
        <row r="21">
          <cell r="B21" t="str">
            <v>ALPHA AUSTENITE</v>
          </cell>
          <cell r="C21">
            <v>10028918403</v>
          </cell>
        </row>
        <row r="22">
          <cell r="B22" t="str">
            <v>ALPHA PENTA SINERGI</v>
          </cell>
          <cell r="C22" t="str">
            <v>121789706015000</v>
          </cell>
        </row>
        <row r="23">
          <cell r="B23" t="str">
            <v>AMANDIKA YUNIAR</v>
          </cell>
          <cell r="C23" t="str">
            <v>019692953413000</v>
          </cell>
        </row>
        <row r="24">
          <cell r="B24" t="str">
            <v>AMBARWULAN</v>
          </cell>
          <cell r="C24">
            <v>69091833034</v>
          </cell>
        </row>
        <row r="25">
          <cell r="B25" t="str">
            <v>ANARGA YASA KOMUNIKASI</v>
          </cell>
          <cell r="C25" t="str">
            <v>018562165028000</v>
          </cell>
        </row>
        <row r="26">
          <cell r="B26" t="str">
            <v>ANDALAN DUNIA</v>
          </cell>
          <cell r="C26" t="str">
            <v>17464785025</v>
          </cell>
        </row>
        <row r="27">
          <cell r="B27" t="str">
            <v>ANDALAN SEKAR MAKMUR</v>
          </cell>
          <cell r="C27" t="str">
            <v>020154092011000</v>
          </cell>
        </row>
        <row r="28">
          <cell r="B28" t="str">
            <v>ANEKA LENGKAP P.</v>
          </cell>
          <cell r="C28">
            <v>16914822026</v>
          </cell>
        </row>
        <row r="29">
          <cell r="B29" t="str">
            <v>ANUGERAH SEJAHTERA</v>
          </cell>
          <cell r="C29">
            <v>17745951026</v>
          </cell>
        </row>
        <row r="30">
          <cell r="B30" t="str">
            <v>ANUGRAHRAHARJA I.</v>
          </cell>
          <cell r="C30" t="str">
            <v>013496799026000</v>
          </cell>
        </row>
        <row r="31">
          <cell r="B31" t="str">
            <v>ARKADIA PRADANA</v>
          </cell>
          <cell r="C31">
            <v>15584295011</v>
          </cell>
        </row>
        <row r="32">
          <cell r="B32" t="str">
            <v>ARMSTRONG INDUSTRI</v>
          </cell>
          <cell r="C32" t="str">
            <v>01071278413001</v>
          </cell>
        </row>
        <row r="33">
          <cell r="B33" t="str">
            <v>ARTHAGYA PALEM</v>
          </cell>
          <cell r="C33" t="str">
            <v>017973074017000</v>
          </cell>
        </row>
        <row r="34">
          <cell r="B34" t="str">
            <v>ASIATEC FUJISAWA</v>
          </cell>
          <cell r="C34" t="str">
            <v>010816254413000</v>
          </cell>
        </row>
        <row r="35">
          <cell r="B35" t="str">
            <v>ASRYSURYA CARAKA</v>
          </cell>
          <cell r="C35">
            <v>15404726027</v>
          </cell>
        </row>
        <row r="36">
          <cell r="B36" t="str">
            <v>ASSAB STEELS IND.</v>
          </cell>
          <cell r="C36" t="str">
            <v>018692509055000</v>
          </cell>
        </row>
        <row r="37">
          <cell r="B37" t="str">
            <v>ASTRA - GRAPHIA</v>
          </cell>
          <cell r="C37" t="str">
            <v>013072616408001</v>
          </cell>
        </row>
        <row r="38">
          <cell r="B38" t="str">
            <v>AT INDONESIA</v>
          </cell>
          <cell r="C38">
            <v>13694518408</v>
          </cell>
        </row>
        <row r="39">
          <cell r="B39" t="str">
            <v>ATLANTIK MULTITRANS</v>
          </cell>
          <cell r="C39">
            <v>18845305003</v>
          </cell>
        </row>
        <row r="40">
          <cell r="B40" t="str">
            <v>ATLAS COPCO INDONESIA</v>
          </cell>
          <cell r="C40" t="str">
            <v>018323428056000</v>
          </cell>
        </row>
        <row r="41">
          <cell r="B41" t="str">
            <v>ATLAS PETROCHEM</v>
          </cell>
          <cell r="C41" t="str">
            <v>017383688026000</v>
          </cell>
        </row>
        <row r="42">
          <cell r="B42" t="str">
            <v>AUTOTEKNINDO</v>
          </cell>
          <cell r="C42" t="str">
            <v>017778994032000</v>
          </cell>
        </row>
        <row r="43">
          <cell r="B43" t="str">
            <v>AVIA CAHYA RAYA</v>
          </cell>
          <cell r="C43" t="str">
            <v>017320805015000</v>
          </cell>
        </row>
        <row r="44">
          <cell r="B44" t="str">
            <v>BADJA ABADI SENTOSA</v>
          </cell>
          <cell r="C44">
            <v>13393392032</v>
          </cell>
        </row>
        <row r="45">
          <cell r="B45" t="str">
            <v>BALTRANSINDO</v>
          </cell>
          <cell r="C45">
            <v>16611386022</v>
          </cell>
        </row>
        <row r="46">
          <cell r="B46" t="str">
            <v>BANDAR KRIDA</v>
          </cell>
          <cell r="C46" t="str">
            <v>013690763042000</v>
          </cell>
        </row>
        <row r="47">
          <cell r="B47" t="str">
            <v>BANGUN JAYA PERKASA</v>
          </cell>
          <cell r="C47">
            <v>15938566407</v>
          </cell>
        </row>
        <row r="48">
          <cell r="B48" t="str">
            <v>BANTRUNK MURNI</v>
          </cell>
          <cell r="C48" t="str">
            <v>013695424004000</v>
          </cell>
        </row>
        <row r="49">
          <cell r="B49" t="str">
            <v>BARUNGU ANEKA SISTEM</v>
          </cell>
          <cell r="C49">
            <v>19362805011</v>
          </cell>
        </row>
        <row r="50">
          <cell r="B50" t="str">
            <v>BATARA MEGA KRIDA</v>
          </cell>
          <cell r="C50">
            <v>17556358035</v>
          </cell>
        </row>
        <row r="51">
          <cell r="B51" t="str">
            <v>BEKASI CONTAINER</v>
          </cell>
          <cell r="C51">
            <v>10816098407</v>
          </cell>
        </row>
        <row r="52">
          <cell r="B52" t="str">
            <v>BEKASI SEJATI GAS</v>
          </cell>
          <cell r="C52">
            <v>11057809407</v>
          </cell>
        </row>
        <row r="53">
          <cell r="B53" t="str">
            <v>BERCA INDONESIA</v>
          </cell>
          <cell r="C53" t="str">
            <v>013084421032000</v>
          </cell>
        </row>
        <row r="54">
          <cell r="B54" t="str">
            <v>BERLIAN KATER</v>
          </cell>
          <cell r="C54" t="str">
            <v>021590690407000</v>
          </cell>
        </row>
        <row r="55">
          <cell r="B55" t="str">
            <v>BERSAMA LEMINDO ABADI</v>
          </cell>
          <cell r="C55" t="str">
            <v>014414858403000</v>
          </cell>
        </row>
        <row r="56">
          <cell r="B56" t="str">
            <v>BESTINDO INTISELARAS</v>
          </cell>
          <cell r="C56" t="str">
            <v>015891302031000</v>
          </cell>
        </row>
        <row r="57">
          <cell r="B57" t="str">
            <v>BETAWIMAS CEMERLANG</v>
          </cell>
          <cell r="C57">
            <v>15891302031</v>
          </cell>
        </row>
        <row r="58">
          <cell r="B58" t="str">
            <v>BHAKTI BERKAH ABADI</v>
          </cell>
          <cell r="C58">
            <v>18492884031</v>
          </cell>
        </row>
        <row r="59">
          <cell r="B59" t="str">
            <v>BHANDA GRAHARA REKSA</v>
          </cell>
          <cell r="C59" t="str">
            <v>01000521051000</v>
          </cell>
        </row>
        <row r="60">
          <cell r="B60" t="str">
            <v>BHUANA REKSA</v>
          </cell>
          <cell r="C60">
            <v>17604786012</v>
          </cell>
        </row>
        <row r="61">
          <cell r="B61" t="str">
            <v>BIMA SAKTI</v>
          </cell>
          <cell r="C61" t="str">
            <v>020745253413000</v>
          </cell>
        </row>
        <row r="62">
          <cell r="B62" t="str">
            <v>BIMA SARANA</v>
          </cell>
          <cell r="C62">
            <v>13956965056</v>
          </cell>
        </row>
        <row r="63">
          <cell r="B63" t="str">
            <v>BIMARUNA JAYA</v>
          </cell>
          <cell r="C63" t="str">
            <v>010708147006001</v>
          </cell>
        </row>
        <row r="64">
          <cell r="B64" t="str">
            <v>BINA MUTUPRIMA</v>
          </cell>
          <cell r="C64" t="str">
            <v>016350944028000</v>
          </cell>
        </row>
        <row r="65">
          <cell r="B65" t="str">
            <v>BINA SINAR AMITY</v>
          </cell>
          <cell r="C65" t="str">
            <v>016702003058000</v>
          </cell>
        </row>
        <row r="66">
          <cell r="B66" t="str">
            <v>BINTANG BARUTAMA</v>
          </cell>
          <cell r="C66" t="str">
            <v>013561246026000</v>
          </cell>
        </row>
        <row r="67">
          <cell r="B67" t="str">
            <v>BINTANG TIMUR</v>
          </cell>
          <cell r="C67">
            <v>17776972032</v>
          </cell>
        </row>
        <row r="68">
          <cell r="B68" t="str">
            <v>BIROTIKA SEMESTA</v>
          </cell>
          <cell r="C68" t="str">
            <v>013107743015000</v>
          </cell>
        </row>
        <row r="69">
          <cell r="B69" t="str">
            <v>BNI '46 PURWAKARTA</v>
          </cell>
          <cell r="C69" t="str">
            <v>010016061409002</v>
          </cell>
        </row>
        <row r="70">
          <cell r="B70" t="str">
            <v>BRISTAR MITRA CARGO</v>
          </cell>
          <cell r="C70">
            <v>14978910042</v>
          </cell>
        </row>
        <row r="71">
          <cell r="B71" t="str">
            <v>BUANA LOKA UTAMA</v>
          </cell>
          <cell r="C71">
            <v>13651971025</v>
          </cell>
        </row>
        <row r="72">
          <cell r="B72" t="str">
            <v>BUKIT INTAN GEMILANG</v>
          </cell>
          <cell r="C72" t="str">
            <v>018704536402000</v>
          </cell>
        </row>
        <row r="73">
          <cell r="B73" t="str">
            <v>BUMI BUANA CITRA</v>
          </cell>
          <cell r="C73">
            <v>14259022623</v>
          </cell>
        </row>
        <row r="74">
          <cell r="B74" t="str">
            <v>BUMI KAYA STEEL I.</v>
          </cell>
          <cell r="C74" t="str">
            <v>010030112026000</v>
          </cell>
        </row>
        <row r="75">
          <cell r="B75" t="str">
            <v>BUNGA RAYA</v>
          </cell>
          <cell r="C75">
            <v>17865999407</v>
          </cell>
        </row>
        <row r="76">
          <cell r="B76" t="str">
            <v>BUSINESS NEWS</v>
          </cell>
          <cell r="C76">
            <v>13636618028</v>
          </cell>
        </row>
        <row r="77">
          <cell r="B77" t="str">
            <v>CAHAYA BENTENG MAS</v>
          </cell>
          <cell r="C77">
            <v>13653738026</v>
          </cell>
        </row>
        <row r="78">
          <cell r="B78" t="str">
            <v>CAKRA INFOTIKA</v>
          </cell>
          <cell r="C78" t="str">
            <v>015668189003000</v>
          </cell>
        </row>
        <row r="79">
          <cell r="B79" t="str">
            <v>CARDIG AIR</v>
          </cell>
          <cell r="C79">
            <v>13051099402</v>
          </cell>
        </row>
        <row r="80">
          <cell r="B80" t="str">
            <v>CARDINDO CITRA BUANA</v>
          </cell>
          <cell r="C80" t="str">
            <v>016564080035000</v>
          </cell>
        </row>
        <row r="81">
          <cell r="B81" t="str">
            <v>CASTOR WHEEL</v>
          </cell>
          <cell r="C81">
            <v>15259831022</v>
          </cell>
        </row>
        <row r="82">
          <cell r="B82" t="str">
            <v>CATRA TOOLSINDO</v>
          </cell>
          <cell r="C82" t="str">
            <v>020164851413000</v>
          </cell>
        </row>
        <row r="83">
          <cell r="B83" t="str">
            <v>CENTRAL BEARINDO</v>
          </cell>
          <cell r="C83">
            <v>16912347026</v>
          </cell>
        </row>
        <row r="84">
          <cell r="B84" t="str">
            <v>CENTRALTEKNINDO</v>
          </cell>
          <cell r="C84" t="str">
            <v>013034046026000</v>
          </cell>
        </row>
        <row r="85">
          <cell r="B85" t="str">
            <v xml:space="preserve">CHANDRAKARYA </v>
          </cell>
          <cell r="C85">
            <v>15620537025</v>
          </cell>
        </row>
        <row r="86">
          <cell r="B86" t="str">
            <v>CHANDRAMAHKOTA PRIMA</v>
          </cell>
          <cell r="C86" t="str">
            <v>015673635022000</v>
          </cell>
        </row>
        <row r="87">
          <cell r="B87" t="str">
            <v>CHEMACO</v>
          </cell>
          <cell r="C87">
            <v>64118862041</v>
          </cell>
        </row>
        <row r="88">
          <cell r="B88" t="str">
            <v>CIPTA GEMILANG</v>
          </cell>
          <cell r="C88" t="str">
            <v>019303940034000</v>
          </cell>
        </row>
        <row r="89">
          <cell r="B89" t="str">
            <v>CIPTA JAYA DHARMA</v>
          </cell>
          <cell r="C89" t="str">
            <v>021590948407000</v>
          </cell>
        </row>
        <row r="90">
          <cell r="B90" t="str">
            <v>CIPTA MEDIA</v>
          </cell>
          <cell r="C90">
            <v>13161328004</v>
          </cell>
        </row>
        <row r="91">
          <cell r="B91" t="str">
            <v>CIPTA PRATAMA P.</v>
          </cell>
          <cell r="C91">
            <v>13441118002</v>
          </cell>
        </row>
        <row r="92">
          <cell r="B92" t="str">
            <v>CITRA EKA ADITAMA</v>
          </cell>
          <cell r="C92" t="str">
            <v>013343066028000</v>
          </cell>
        </row>
        <row r="93">
          <cell r="B93" t="str">
            <v>CITRA PERSADAMAS</v>
          </cell>
          <cell r="C93" t="str">
            <v>016565855402000</v>
          </cell>
        </row>
        <row r="94">
          <cell r="B94" t="str">
            <v>CITRA PUSAKA B.S.</v>
          </cell>
          <cell r="C94">
            <v>13967500042</v>
          </cell>
        </row>
        <row r="95">
          <cell r="B95" t="str">
            <v>CITRA SUKSES EKAPRATAMA</v>
          </cell>
          <cell r="C95" t="str">
            <v>015571409042000</v>
          </cell>
        </row>
        <row r="96">
          <cell r="B96" t="str">
            <v>CODISTRIB INDORAYA</v>
          </cell>
          <cell r="C96">
            <v>17778416032</v>
          </cell>
        </row>
        <row r="97">
          <cell r="B97" t="str">
            <v>COMETA PERDANA ENG</v>
          </cell>
          <cell r="C97">
            <v>17732256041</v>
          </cell>
        </row>
        <row r="98">
          <cell r="B98" t="str">
            <v>COSMOTEC SARANA</v>
          </cell>
          <cell r="C98">
            <v>18505230005</v>
          </cell>
        </row>
        <row r="99">
          <cell r="B99" t="str">
            <v>CYBERINDO ADITAMA</v>
          </cell>
          <cell r="C99" t="str">
            <v>017398686022000</v>
          </cell>
        </row>
        <row r="100">
          <cell r="B100" t="str">
            <v>CYKLOPINDO UTAMA</v>
          </cell>
          <cell r="C100">
            <v>18413674042</v>
          </cell>
        </row>
        <row r="101">
          <cell r="B101" t="str">
            <v>DAE GIL INDONESIA</v>
          </cell>
          <cell r="C101" t="str">
            <v>010693430403001</v>
          </cell>
        </row>
        <row r="102">
          <cell r="B102" t="str">
            <v>DAISY MUTIARA</v>
          </cell>
          <cell r="C102">
            <v>16913824026</v>
          </cell>
        </row>
        <row r="103">
          <cell r="B103" t="str">
            <v>DAMIANUS ALAM</v>
          </cell>
          <cell r="C103">
            <v>66312703035</v>
          </cell>
        </row>
        <row r="104">
          <cell r="B104" t="str">
            <v>DATASCRIP</v>
          </cell>
          <cell r="C104" t="str">
            <v>013040100027000</v>
          </cell>
        </row>
        <row r="105">
          <cell r="B105" t="str">
            <v>DAYA BUDY</v>
          </cell>
          <cell r="C105" t="str">
            <v>016427098015000</v>
          </cell>
        </row>
        <row r="106">
          <cell r="B106" t="str">
            <v>DAYARAYA ARYADANA</v>
          </cell>
          <cell r="C106">
            <v>15920622041</v>
          </cell>
        </row>
        <row r="107">
          <cell r="B107" t="str">
            <v>DFDS TRANSPORT</v>
          </cell>
          <cell r="C107" t="str">
            <v>015908916056000</v>
          </cell>
        </row>
        <row r="108">
          <cell r="B108" t="str">
            <v>DHARMA KARYATAMA M.</v>
          </cell>
          <cell r="C108">
            <v>18067843005</v>
          </cell>
        </row>
        <row r="109">
          <cell r="B109" t="str">
            <v>DHARMA LAUTAN N.TJ.</v>
          </cell>
          <cell r="C109" t="str">
            <v>010610343051000</v>
          </cell>
        </row>
        <row r="110">
          <cell r="B110" t="str">
            <v>DHARMA PRECISION MOULD</v>
          </cell>
          <cell r="C110" t="str">
            <v>010847549413000</v>
          </cell>
        </row>
        <row r="111">
          <cell r="B111" t="str">
            <v>DHARMINDO ADHIDUTA</v>
          </cell>
          <cell r="C111">
            <v>13233317054</v>
          </cell>
        </row>
        <row r="112">
          <cell r="B112" t="str">
            <v>DIBLESTARI DJAUHARI</v>
          </cell>
          <cell r="C112" t="str">
            <v>015092984407000</v>
          </cell>
        </row>
        <row r="113">
          <cell r="B113" t="str">
            <v>DIFA KREASI</v>
          </cell>
          <cell r="C113" t="str">
            <v>019509405408000</v>
          </cell>
        </row>
        <row r="114">
          <cell r="B114" t="str">
            <v>DITOSA</v>
          </cell>
          <cell r="C114">
            <v>13101126025</v>
          </cell>
        </row>
        <row r="115">
          <cell r="B115" t="str">
            <v>DJAKARTA COMPUTER</v>
          </cell>
          <cell r="C115">
            <v>10029676021</v>
          </cell>
        </row>
        <row r="116">
          <cell r="B116" t="str">
            <v xml:space="preserve">DOMNICK HUNTER </v>
          </cell>
          <cell r="C116" t="str">
            <v>017498361043000</v>
          </cell>
        </row>
        <row r="117">
          <cell r="B117" t="str">
            <v>DUNIA EXPRESS</v>
          </cell>
          <cell r="C117" t="str">
            <v>010692879058000</v>
          </cell>
        </row>
        <row r="118">
          <cell r="B118" t="str">
            <v>DUTA FUJI ELECTRIC</v>
          </cell>
          <cell r="C118" t="str">
            <v>013106711025000</v>
          </cell>
        </row>
        <row r="119">
          <cell r="B119" t="str">
            <v>DUTA INTEGRASI</v>
          </cell>
          <cell r="C119">
            <v>16925836028</v>
          </cell>
        </row>
        <row r="120">
          <cell r="B120" t="str">
            <v>DWIJAYATEK ERATEKINDO</v>
          </cell>
          <cell r="C120">
            <v>13937099403</v>
          </cell>
        </row>
        <row r="121">
          <cell r="B121" t="str">
            <v>DWIPAHASTA UTAMADUTA</v>
          </cell>
          <cell r="C121">
            <v>13324058042</v>
          </cell>
        </row>
        <row r="122">
          <cell r="B122" t="str">
            <v>DWIPAKHARISMA MITRA</v>
          </cell>
          <cell r="C122" t="str">
            <v>017465360028000</v>
          </cell>
        </row>
        <row r="123">
          <cell r="B123" t="str">
            <v>EAGLE INDUSTRY</v>
          </cell>
          <cell r="C123" t="str">
            <v>010693547413001</v>
          </cell>
        </row>
        <row r="124">
          <cell r="B124" t="str">
            <v>EJIP</v>
          </cell>
          <cell r="C124" t="str">
            <v>010691244413001</v>
          </cell>
        </row>
        <row r="125">
          <cell r="B125" t="str">
            <v>EKADHARMA TAPE</v>
          </cell>
          <cell r="C125">
            <v>13601794054</v>
          </cell>
        </row>
        <row r="126">
          <cell r="B126" t="str">
            <v>EKAMEGA RAMAJAYA</v>
          </cell>
          <cell r="C126">
            <v>16963894025</v>
          </cell>
        </row>
        <row r="127">
          <cell r="B127" t="str">
            <v>EKASURYA INOUT INDONESIA</v>
          </cell>
          <cell r="C127" t="str">
            <v>019945468413000</v>
          </cell>
        </row>
        <row r="128">
          <cell r="B128" t="str">
            <v>ELASTOMER NUSINDO</v>
          </cell>
          <cell r="C128" t="str">
            <v>016410078026000</v>
          </cell>
        </row>
        <row r="129">
          <cell r="B129" t="str">
            <v>ELMECON MULTIKENCANA</v>
          </cell>
          <cell r="C129" t="str">
            <v>017777269032000</v>
          </cell>
        </row>
        <row r="130">
          <cell r="B130" t="str">
            <v>ELSISCOM PRIMA</v>
          </cell>
          <cell r="C130" t="str">
            <v>014021208025000</v>
          </cell>
        </row>
        <row r="131">
          <cell r="B131" t="str">
            <v>ERARESIK HUNIAN</v>
          </cell>
          <cell r="C131" t="str">
            <v>018436899035000</v>
          </cell>
        </row>
        <row r="132">
          <cell r="B132" t="str">
            <v>ERKAWIDURI  K.</v>
          </cell>
          <cell r="C132">
            <v>13493457014</v>
          </cell>
        </row>
        <row r="133">
          <cell r="B133" t="str">
            <v>ERNIJUTA AGUNG</v>
          </cell>
          <cell r="C133" t="str">
            <v>016245516002000</v>
          </cell>
        </row>
        <row r="134">
          <cell r="B134" t="str">
            <v>EWINDO</v>
          </cell>
          <cell r="C134" t="str">
            <v>010017382423001</v>
          </cell>
        </row>
        <row r="135">
          <cell r="B135" t="str">
            <v>EXPRESS CONTAINER</v>
          </cell>
          <cell r="C135" t="str">
            <v>013541263035000</v>
          </cell>
        </row>
        <row r="136">
          <cell r="B136" t="str">
            <v>FAJAR MAS MURNI</v>
          </cell>
          <cell r="C136" t="str">
            <v>013019690407001</v>
          </cell>
        </row>
        <row r="137">
          <cell r="B137" t="str">
            <v>FAJAR NUSAJAYA</v>
          </cell>
          <cell r="C137" t="str">
            <v>018022210014000</v>
          </cell>
        </row>
        <row r="138">
          <cell r="B138" t="str">
            <v>FANUC - PINDAD T.C.</v>
          </cell>
          <cell r="C138">
            <v>10617280424</v>
          </cell>
        </row>
        <row r="139">
          <cell r="B139" t="str">
            <v>FANUC GE AUTOMATION</v>
          </cell>
          <cell r="C139" t="str">
            <v>010617280424001</v>
          </cell>
        </row>
        <row r="140">
          <cell r="B140" t="str">
            <v>FERRINDO TATA</v>
          </cell>
          <cell r="C140">
            <v>17807066013</v>
          </cell>
        </row>
        <row r="141">
          <cell r="B141" t="str">
            <v>FILTER SARI / JAKIR  S.</v>
          </cell>
          <cell r="C141">
            <v>66920240041</v>
          </cell>
        </row>
        <row r="142">
          <cell r="B142" t="str">
            <v>FIRST AND SMILE LOGISTICS</v>
          </cell>
          <cell r="C142" t="str">
            <v>020212494058000</v>
          </cell>
        </row>
        <row r="143">
          <cell r="B143" t="str">
            <v>FLEXINDOMAS</v>
          </cell>
          <cell r="C143" t="str">
            <v>016700254033000</v>
          </cell>
        </row>
        <row r="144">
          <cell r="B144" t="str">
            <v>FLOTEK NUSAPRATAMA</v>
          </cell>
          <cell r="C144" t="str">
            <v>016410987026000</v>
          </cell>
        </row>
        <row r="145">
          <cell r="B145" t="str">
            <v>FOAMINDEX GUNA</v>
          </cell>
          <cell r="C145" t="str">
            <v>016750820035000</v>
          </cell>
        </row>
        <row r="146">
          <cell r="B146" t="str">
            <v>FORTA-LARESE</v>
          </cell>
          <cell r="C146" t="str">
            <v>010018281028000</v>
          </cell>
        </row>
        <row r="147">
          <cell r="B147" t="str">
            <v>FREIGHT LINI EXPRESS</v>
          </cell>
          <cell r="C147" t="str">
            <v>015585706028000</v>
          </cell>
        </row>
        <row r="148">
          <cell r="B148" t="str">
            <v>FREIGHT MANAGEMENT I.</v>
          </cell>
          <cell r="C148" t="str">
            <v>014662258042000</v>
          </cell>
        </row>
        <row r="149">
          <cell r="B149" t="str">
            <v>FUJI PRESISI</v>
          </cell>
          <cell r="C149" t="str">
            <v>010816056413000</v>
          </cell>
        </row>
        <row r="150">
          <cell r="B150" t="str">
            <v>FUJI STAFF INDONESIA</v>
          </cell>
          <cell r="C150">
            <v>10816056407</v>
          </cell>
        </row>
        <row r="151">
          <cell r="B151" t="str">
            <v>FUJI SYSTEM CONSULTANT</v>
          </cell>
          <cell r="C151">
            <v>18701763056</v>
          </cell>
        </row>
        <row r="152">
          <cell r="B152" t="str">
            <v>FUJISEI PLASTIK</v>
          </cell>
          <cell r="C152" t="str">
            <v>018097469413001</v>
          </cell>
        </row>
        <row r="153">
          <cell r="B153" t="str">
            <v>FULGORINDO TEKNIK</v>
          </cell>
          <cell r="C153">
            <v>18938647014</v>
          </cell>
        </row>
        <row r="154">
          <cell r="B154" t="str">
            <v>GALA SENTOSA ABADI</v>
          </cell>
          <cell r="C154" t="str">
            <v>017922642028000</v>
          </cell>
        </row>
        <row r="155">
          <cell r="B155" t="str">
            <v>GAMAKO MANDIRI</v>
          </cell>
          <cell r="C155">
            <v>19669563032</v>
          </cell>
        </row>
        <row r="156">
          <cell r="B156" t="str">
            <v>GAMAKO MANUNGGAL</v>
          </cell>
          <cell r="C156">
            <v>13927330032</v>
          </cell>
        </row>
        <row r="157">
          <cell r="B157" t="str">
            <v>GARUDA INDONESIA</v>
          </cell>
          <cell r="C157" t="str">
            <v>010016343051000</v>
          </cell>
        </row>
        <row r="158">
          <cell r="B158" t="str">
            <v>GARUDA METALINDO</v>
          </cell>
          <cell r="C158" t="str">
            <v>013614797041000</v>
          </cell>
        </row>
        <row r="159">
          <cell r="B159" t="str">
            <v>GATRA PIRANTI GAHARI</v>
          </cell>
          <cell r="C159" t="str">
            <v>013591177026000</v>
          </cell>
        </row>
        <row r="160">
          <cell r="B160" t="str">
            <v>GEMA NAWAGRAHA</v>
          </cell>
          <cell r="C160" t="str">
            <v>016024184043000</v>
          </cell>
        </row>
        <row r="161">
          <cell r="B161" t="str">
            <v>GEMAR LAUT BIRU</v>
          </cell>
          <cell r="C161" t="str">
            <v>013689492042000</v>
          </cell>
        </row>
        <row r="162">
          <cell r="B162" t="str">
            <v>GEMILANG UNGGUL</v>
          </cell>
        </row>
        <row r="163">
          <cell r="B163" t="str">
            <v>GERMANTARA TOOLINDO</v>
          </cell>
          <cell r="C163">
            <v>13971593043</v>
          </cell>
        </row>
        <row r="164">
          <cell r="B164" t="str">
            <v>GIA UTAMA</v>
          </cell>
          <cell r="C164" t="str">
            <v>019240829411000</v>
          </cell>
        </row>
        <row r="165">
          <cell r="B165" t="str">
            <v>GIKOKO KOGYO</v>
          </cell>
          <cell r="C165" t="str">
            <v>010706828055000</v>
          </cell>
        </row>
        <row r="166">
          <cell r="B166" t="str">
            <v>GLOBAL DINAMIKA</v>
          </cell>
          <cell r="C166" t="str">
            <v>019003375012000</v>
          </cell>
        </row>
        <row r="167">
          <cell r="B167" t="str">
            <v>GLOBAL FREIGHT</v>
          </cell>
          <cell r="C167">
            <v>16541271035</v>
          </cell>
        </row>
        <row r="168">
          <cell r="B168" t="str">
            <v>GOLTENS JAKARTA</v>
          </cell>
          <cell r="C168">
            <v>10708733056</v>
          </cell>
        </row>
        <row r="169">
          <cell r="B169" t="str">
            <v>GS BATTERY</v>
          </cell>
          <cell r="C169" t="str">
            <v>010001105055000</v>
          </cell>
        </row>
        <row r="170">
          <cell r="B170" t="str">
            <v>GRAHA KERINDO UTAMA</v>
          </cell>
          <cell r="C170" t="str">
            <v>013855267413001</v>
          </cell>
        </row>
        <row r="171">
          <cell r="B171" t="str">
            <v>GUNUNGSARI WIDITAMA</v>
          </cell>
          <cell r="C171" t="str">
            <v>013304142032000</v>
          </cell>
        </row>
        <row r="172">
          <cell r="B172" t="str">
            <v>HAKAN NUSANTARA</v>
          </cell>
          <cell r="C172">
            <v>13176631015</v>
          </cell>
        </row>
        <row r="173">
          <cell r="B173" t="str">
            <v>HANANO LUBRIKA</v>
          </cell>
          <cell r="C173" t="str">
            <v>017499716043000</v>
          </cell>
        </row>
        <row r="174">
          <cell r="B174" t="str">
            <v>HARMONI PRIMA MAKMUR</v>
          </cell>
          <cell r="C174" t="str">
            <v>019008325036000</v>
          </cell>
        </row>
        <row r="175">
          <cell r="B175" t="str">
            <v>HARTAPERSADA  I.</v>
          </cell>
          <cell r="C175" t="str">
            <v>015944994011000</v>
          </cell>
        </row>
        <row r="176">
          <cell r="B176" t="str">
            <v>HASTA PERDANA</v>
          </cell>
          <cell r="C176" t="str">
            <v>013393616033000</v>
          </cell>
        </row>
        <row r="177">
          <cell r="B177" t="str">
            <v>HENDRA KARYADI</v>
          </cell>
          <cell r="C177" t="str">
            <v>040491961018000</v>
          </cell>
        </row>
        <row r="178">
          <cell r="B178" t="str">
            <v>HENTRACO</v>
          </cell>
          <cell r="C178">
            <v>11503067607</v>
          </cell>
        </row>
        <row r="179">
          <cell r="B179" t="str">
            <v>HIMALAYA EVEREST</v>
          </cell>
          <cell r="C179" t="str">
            <v>013011515034000</v>
          </cell>
        </row>
        <row r="180">
          <cell r="B180" t="str">
            <v>HOKOMEGA TRANSPORTAMA</v>
          </cell>
          <cell r="C180" t="str">
            <v>017465972026000</v>
          </cell>
        </row>
        <row r="181">
          <cell r="B181" t="str">
            <v>HORIGUCHI ENG. IND.</v>
          </cell>
          <cell r="C181" t="str">
            <v>010816296408000</v>
          </cell>
        </row>
        <row r="182">
          <cell r="B182" t="str">
            <v>IBM</v>
          </cell>
          <cell r="C182">
            <v>10011567053</v>
          </cell>
        </row>
        <row r="183">
          <cell r="B183" t="str">
            <v>IBM INDONESIA</v>
          </cell>
          <cell r="C183" t="str">
            <v>019576321091000</v>
          </cell>
        </row>
        <row r="184">
          <cell r="B184" t="str">
            <v>IKA WIRA NIAGA</v>
          </cell>
          <cell r="C184">
            <v>40045718026</v>
          </cell>
        </row>
        <row r="185">
          <cell r="B185" t="str">
            <v>IMPACINDO MITRASEMBADA</v>
          </cell>
          <cell r="C185">
            <v>15704182013</v>
          </cell>
        </row>
        <row r="186">
          <cell r="B186" t="str">
            <v>INDAHVARIA EKASELARAS</v>
          </cell>
          <cell r="C186" t="str">
            <v>017745001411000</v>
          </cell>
        </row>
        <row r="187">
          <cell r="B187" t="str">
            <v>INDO SUMMIT LOGISTICS</v>
          </cell>
          <cell r="C187" t="str">
            <v>010816098407001</v>
          </cell>
        </row>
        <row r="188">
          <cell r="B188" t="str">
            <v>INDOBARA BAHANA</v>
          </cell>
          <cell r="C188" t="str">
            <v>015407059027000</v>
          </cell>
        </row>
        <row r="189">
          <cell r="B189" t="str">
            <v>INDOMALCO INFO CENTER</v>
          </cell>
          <cell r="C189" t="str">
            <v>021155783058000</v>
          </cell>
        </row>
        <row r="190">
          <cell r="B190" t="str">
            <v>INDOMALKON REKANANDA</v>
          </cell>
          <cell r="C190" t="str">
            <v>018071761005000</v>
          </cell>
        </row>
        <row r="191">
          <cell r="B191" t="str">
            <v>INDOMURAYAMA</v>
          </cell>
          <cell r="C191" t="str">
            <v>010695534413000</v>
          </cell>
        </row>
        <row r="192">
          <cell r="B192" t="str">
            <v>INDONAKANOGUMI</v>
          </cell>
          <cell r="C192">
            <v>13956784022</v>
          </cell>
        </row>
        <row r="193">
          <cell r="B193" t="str">
            <v>INDOPRO PACIFIC</v>
          </cell>
          <cell r="C193" t="str">
            <v>026568555035000</v>
          </cell>
        </row>
        <row r="194">
          <cell r="B194" t="str">
            <v>INDOSERAKO PERKASA</v>
          </cell>
          <cell r="C194">
            <v>15529035026</v>
          </cell>
        </row>
        <row r="195">
          <cell r="B195" t="str">
            <v>INDOSOL MULTIDAYA</v>
          </cell>
          <cell r="C195">
            <v>13511613031</v>
          </cell>
        </row>
        <row r="196">
          <cell r="B196" t="str">
            <v>INDRAGRAHA NUSAPLASINDO</v>
          </cell>
          <cell r="C196" t="str">
            <v>017181934029000</v>
          </cell>
        </row>
        <row r="197">
          <cell r="B197" t="str">
            <v>INDRAJAYA TERMINAL</v>
          </cell>
          <cell r="C197">
            <v>18047969042</v>
          </cell>
        </row>
        <row r="198">
          <cell r="B198" t="str">
            <v>INFOTEL APRAMANA</v>
          </cell>
          <cell r="C198">
            <v>16046294021</v>
          </cell>
        </row>
        <row r="199">
          <cell r="B199" t="str">
            <v>INTAN MOTOR</v>
          </cell>
          <cell r="C199" t="str">
            <v>013702014041000</v>
          </cell>
        </row>
        <row r="200">
          <cell r="B200" t="str">
            <v>INTANCO PRECISION</v>
          </cell>
          <cell r="C200" t="str">
            <v>010816148413000</v>
          </cell>
        </row>
        <row r="201">
          <cell r="B201" t="str">
            <v>INTEGRASI TEKNOLOGI</v>
          </cell>
          <cell r="C201" t="str">
            <v>018882225054000</v>
          </cell>
        </row>
        <row r="202">
          <cell r="B202" t="str">
            <v>INTER ADMARK</v>
          </cell>
          <cell r="C202" t="str">
            <v>013143375022000</v>
          </cell>
        </row>
        <row r="203">
          <cell r="B203" t="str">
            <v>INTERNUSA HASTA B.</v>
          </cell>
          <cell r="C203" t="str">
            <v>015775000042000</v>
          </cell>
        </row>
        <row r="204">
          <cell r="B204" t="str">
            <v>INTERPACIFIC  PRATAMA</v>
          </cell>
          <cell r="C204" t="str">
            <v>015658495036000</v>
          </cell>
        </row>
        <row r="205">
          <cell r="B205" t="str">
            <v xml:space="preserve">INTERPACIFIC  SARANA </v>
          </cell>
          <cell r="C205">
            <v>18191221016</v>
          </cell>
        </row>
        <row r="206">
          <cell r="B206" t="str">
            <v>INTERPANCA KHARISMA</v>
          </cell>
          <cell r="C206" t="str">
            <v>019698364026000</v>
          </cell>
        </row>
        <row r="207">
          <cell r="B207" t="str">
            <v>INTERPANCA WIRADI.</v>
          </cell>
          <cell r="C207">
            <v>13444377032</v>
          </cell>
        </row>
        <row r="208">
          <cell r="B208" t="str">
            <v>INTI DAKSINA TUNGGAL</v>
          </cell>
          <cell r="C208" t="str">
            <v>013438114025000</v>
          </cell>
        </row>
        <row r="209">
          <cell r="B209" t="str">
            <v>INTI PRESISI TOOLSINDO</v>
          </cell>
          <cell r="C209" t="str">
            <v>019698349026000</v>
          </cell>
        </row>
        <row r="210">
          <cell r="B210" t="str">
            <v>INTIMAS ARYANUSA</v>
          </cell>
          <cell r="C210">
            <v>17254632402</v>
          </cell>
        </row>
        <row r="211">
          <cell r="B211" t="str">
            <v>INTRADA SARANA</v>
          </cell>
          <cell r="C211" t="str">
            <v>018774505026000</v>
          </cell>
        </row>
        <row r="212">
          <cell r="B212" t="str">
            <v>ISTA SAMUDERA CARGO</v>
          </cell>
          <cell r="C212" t="str">
            <v>013606553033000</v>
          </cell>
        </row>
        <row r="213">
          <cell r="B213" t="str">
            <v>ITOCHU MANAGE. S. I.</v>
          </cell>
          <cell r="C213">
            <v>10707610052</v>
          </cell>
        </row>
        <row r="214">
          <cell r="B214" t="str">
            <v>IWATANI ENGINEERING</v>
          </cell>
          <cell r="C214" t="str">
            <v>017579673053000</v>
          </cell>
        </row>
        <row r="215">
          <cell r="B215" t="str">
            <v>IWATANI INDUSTRIAL</v>
          </cell>
          <cell r="C215">
            <v>10717189408</v>
          </cell>
        </row>
        <row r="216">
          <cell r="B216" t="str">
            <v>J.H. BACHMANN INDONESIA</v>
          </cell>
          <cell r="C216" t="str">
            <v>019579465056000</v>
          </cell>
        </row>
        <row r="217">
          <cell r="B217" t="str">
            <v>JAC INDONESIA</v>
          </cell>
          <cell r="C217" t="str">
            <v>020626255021000</v>
          </cell>
        </row>
        <row r="218">
          <cell r="B218" t="str">
            <v>JAKARTA INTERNATIONAL</v>
          </cell>
          <cell r="C218" t="str">
            <v>018868398091000</v>
          </cell>
        </row>
        <row r="219">
          <cell r="B219" t="str">
            <v>JALY INDONESIA</v>
          </cell>
          <cell r="C219" t="str">
            <v>014951545403000</v>
          </cell>
        </row>
        <row r="220">
          <cell r="B220" t="str">
            <v>JASA ANGKASA SEMESTA</v>
          </cell>
          <cell r="C220" t="str">
            <v>010653228402001</v>
          </cell>
        </row>
        <row r="221">
          <cell r="B221" t="str">
            <v>JASUINDO TIGA P.</v>
          </cell>
          <cell r="C221">
            <v>15312614603</v>
          </cell>
        </row>
        <row r="222">
          <cell r="B222" t="str">
            <v>JASUN MAS SAKTI</v>
          </cell>
          <cell r="C222" t="str">
            <v>019522440004000</v>
          </cell>
        </row>
        <row r="223">
          <cell r="B223" t="str">
            <v>JATAYU SURYA PUTRA</v>
          </cell>
          <cell r="C223" t="str">
            <v>018601781032000</v>
          </cell>
        </row>
        <row r="224">
          <cell r="B224" t="str">
            <v>JAYA INDAH CASTING</v>
          </cell>
          <cell r="C224" t="str">
            <v>010847440413001</v>
          </cell>
        </row>
        <row r="225">
          <cell r="B225" t="str">
            <v>JAYA OBAYASHI</v>
          </cell>
          <cell r="C225" t="str">
            <v>10000842056</v>
          </cell>
        </row>
        <row r="226">
          <cell r="B226" t="str">
            <v>JAYA PUTRA DARMA</v>
          </cell>
          <cell r="C226" t="str">
            <v>018072314005000</v>
          </cell>
        </row>
        <row r="227">
          <cell r="B227" t="str">
            <v>Jennywati Hermanta</v>
          </cell>
        </row>
        <row r="228">
          <cell r="B228" t="str">
            <v>JUMBO POWER</v>
          </cell>
          <cell r="C228">
            <v>13103981025</v>
          </cell>
        </row>
        <row r="229">
          <cell r="B229" t="str">
            <v>KADI INTERNATIONAL</v>
          </cell>
          <cell r="C229">
            <v>10017044052</v>
          </cell>
        </row>
        <row r="230">
          <cell r="B230" t="str">
            <v>KANSAI PAINT</v>
          </cell>
          <cell r="C230" t="str">
            <v>018826503413001</v>
          </cell>
        </row>
        <row r="231">
          <cell r="B231" t="str">
            <v>KARAWANG SPORTS</v>
          </cell>
          <cell r="C231">
            <v>10693646408</v>
          </cell>
        </row>
        <row r="232">
          <cell r="B232" t="str">
            <v>KARGO LINTAS A.</v>
          </cell>
          <cell r="C232" t="str">
            <v>016700916042000</v>
          </cell>
        </row>
        <row r="233">
          <cell r="B233" t="str">
            <v>KARGO LINTAS SAMUDRA</v>
          </cell>
          <cell r="C233" t="str">
            <v>018937383014000</v>
          </cell>
        </row>
        <row r="234">
          <cell r="B234" t="str">
            <v>KARTA TOMEI INDUSTRIES</v>
          </cell>
          <cell r="C234" t="str">
            <v>010694834052000</v>
          </cell>
        </row>
        <row r="235">
          <cell r="B235" t="str">
            <v>KARTIKA EKA YUDHA</v>
          </cell>
          <cell r="C235">
            <v>17385055026</v>
          </cell>
        </row>
        <row r="236">
          <cell r="B236" t="str">
            <v>KARYA ABDI LUHUR</v>
          </cell>
          <cell r="C236" t="str">
            <v>013690268042000</v>
          </cell>
        </row>
        <row r="237">
          <cell r="B237" t="str">
            <v>KASANA TEKNINDO</v>
          </cell>
          <cell r="C237" t="str">
            <v>018469387072000</v>
          </cell>
        </row>
        <row r="238">
          <cell r="B238" t="str">
            <v>KASHIMA SEIKI INDONESIA</v>
          </cell>
          <cell r="C238" t="str">
            <v>010719862413001</v>
          </cell>
        </row>
        <row r="239">
          <cell r="B239" t="str">
            <v>KAWAN LAMA SEJAHTERA</v>
          </cell>
          <cell r="C239" t="str">
            <v>013633672035000</v>
          </cell>
        </row>
        <row r="240">
          <cell r="B240" t="str">
            <v>KAWASHO STEEL</v>
          </cell>
          <cell r="C240" t="str">
            <v>010710358407001</v>
          </cell>
        </row>
        <row r="241">
          <cell r="B241" t="str">
            <v>KB NUSANTARA</v>
          </cell>
          <cell r="C241">
            <v>10610376051</v>
          </cell>
        </row>
        <row r="242">
          <cell r="B242" t="str">
            <v>KEEP INDONESIA</v>
          </cell>
          <cell r="C242" t="str">
            <v>018694091413001</v>
          </cell>
        </row>
        <row r="243">
          <cell r="B243" t="str">
            <v>KENINDO KENCANA</v>
          </cell>
          <cell r="C243" t="str">
            <v>018515254413000</v>
          </cell>
        </row>
        <row r="244">
          <cell r="B244" t="str">
            <v>KMK PLASTICS</v>
          </cell>
          <cell r="C244" t="str">
            <v>010815850407000</v>
          </cell>
        </row>
        <row r="245">
          <cell r="B245" t="str">
            <v>KN - SIGMA TRANS</v>
          </cell>
          <cell r="C245" t="str">
            <v>019362490058000</v>
          </cell>
        </row>
        <row r="246">
          <cell r="B246" t="str">
            <v>KOMATSU BANE</v>
          </cell>
          <cell r="C246" t="str">
            <v>010719425409001</v>
          </cell>
        </row>
        <row r="247">
          <cell r="B247" t="str">
            <v>KOMPRESINDO UTAMA</v>
          </cell>
          <cell r="C247" t="str">
            <v>016056285413000</v>
          </cell>
        </row>
        <row r="248">
          <cell r="B248" t="str">
            <v>KOMTELINDO ERABUANA</v>
          </cell>
          <cell r="C248">
            <v>16141293031</v>
          </cell>
        </row>
        <row r="249">
          <cell r="B249" t="str">
            <v>KORNET TRANS UTAMA</v>
          </cell>
          <cell r="C249">
            <v>19779362014</v>
          </cell>
        </row>
        <row r="250">
          <cell r="B250" t="str">
            <v>KRAMADIBRATA &amp; PARTNERS</v>
          </cell>
          <cell r="C250">
            <v>18666362012</v>
          </cell>
        </row>
        <row r="251">
          <cell r="B251" t="str">
            <v>KUMAGAI GUMI CO.,LTD</v>
          </cell>
          <cell r="C251" t="str">
            <v>010019644053000</v>
          </cell>
        </row>
        <row r="252">
          <cell r="B252" t="str">
            <v>KUMAGAI-KADII JO</v>
          </cell>
          <cell r="C252" t="str">
            <v>010608727053001</v>
          </cell>
        </row>
        <row r="253">
          <cell r="B253" t="str">
            <v>KURITEC INDONESIA</v>
          </cell>
          <cell r="C253">
            <v>10712693056</v>
          </cell>
        </row>
        <row r="254">
          <cell r="B254" t="str">
            <v>LASER PRATYAKSA</v>
          </cell>
          <cell r="C254" t="str">
            <v>010623932027000</v>
          </cell>
        </row>
        <row r="255">
          <cell r="B255" t="str">
            <v>LAUTAN LUAS</v>
          </cell>
          <cell r="C255" t="str">
            <v>013159009054000</v>
          </cell>
        </row>
        <row r="256">
          <cell r="B256" t="str">
            <v>LIANG CHI  INDONESIA</v>
          </cell>
          <cell r="C256">
            <v>10693299055</v>
          </cell>
        </row>
        <row r="257">
          <cell r="B257" t="str">
            <v>LIBRA EMAS PERMATA</v>
          </cell>
          <cell r="C257">
            <v>16596751032</v>
          </cell>
        </row>
        <row r="258">
          <cell r="B258" t="str">
            <v>LLOYD'S REGISTER</v>
          </cell>
          <cell r="C258" t="str">
            <v>010014611053000</v>
          </cell>
        </row>
        <row r="259">
          <cell r="B259" t="str">
            <v>LOKA SEJATI MULIA</v>
          </cell>
          <cell r="C259">
            <v>16734105043</v>
          </cell>
        </row>
        <row r="260">
          <cell r="B260" t="str">
            <v>LPT-UI</v>
          </cell>
          <cell r="C260" t="str">
            <v>013696646023000</v>
          </cell>
        </row>
        <row r="261">
          <cell r="B261" t="str">
            <v>MAERSK LOGISTICS</v>
          </cell>
          <cell r="C261" t="str">
            <v>015427834022000</v>
          </cell>
        </row>
        <row r="262">
          <cell r="B262" t="str">
            <v>MAGNA PERKASA</v>
          </cell>
          <cell r="C262">
            <v>13411889002</v>
          </cell>
        </row>
        <row r="263">
          <cell r="B263" t="str">
            <v>MAKMUR META GRAHA</v>
          </cell>
          <cell r="C263" t="str">
            <v>013713383033000</v>
          </cell>
        </row>
        <row r="264">
          <cell r="B264" t="str">
            <v>MALAKA EXPRESS LINE</v>
          </cell>
          <cell r="C264">
            <v>16599003031</v>
          </cell>
        </row>
        <row r="265">
          <cell r="B265" t="str">
            <v>MANAGEMENT DEVELOPMENT</v>
          </cell>
          <cell r="C265" t="str">
            <v>015923600041000</v>
          </cell>
        </row>
        <row r="266">
          <cell r="B266" t="str">
            <v>MANDALA CITRA P.</v>
          </cell>
          <cell r="C266">
            <v>17658840042</v>
          </cell>
        </row>
        <row r="267">
          <cell r="B267" t="str">
            <v>MANDALA SUMBER  R.</v>
          </cell>
          <cell r="C267" t="str">
            <v>017215534044000</v>
          </cell>
        </row>
        <row r="268">
          <cell r="B268" t="str">
            <v>MARKINDO REKATEKNIK</v>
          </cell>
          <cell r="C268" t="str">
            <v>018213405028000</v>
          </cell>
        </row>
        <row r="269">
          <cell r="B269" t="str">
            <v>MARUKA INDONESIA</v>
          </cell>
          <cell r="C269" t="str">
            <v>017864026407000</v>
          </cell>
        </row>
        <row r="270">
          <cell r="B270" t="str">
            <v>MASA JAYA PERKASA</v>
          </cell>
          <cell r="C270" t="str">
            <v>013659792032000</v>
          </cell>
        </row>
        <row r="271">
          <cell r="B271" t="str">
            <v>MASAJI TATANAN</v>
          </cell>
          <cell r="C271" t="str">
            <v>015775083043000</v>
          </cell>
        </row>
        <row r="272">
          <cell r="B272" t="str">
            <v>MASASARANA GRAHA</v>
          </cell>
          <cell r="C272">
            <v>13907340011</v>
          </cell>
        </row>
        <row r="273">
          <cell r="B273" t="str">
            <v>MATSHITA TRADING</v>
          </cell>
          <cell r="C273" t="str">
            <v>021080817413000</v>
          </cell>
        </row>
        <row r="274">
          <cell r="B274" t="str">
            <v>MAZDA INDONESIA</v>
          </cell>
          <cell r="C274">
            <v>10618395055</v>
          </cell>
        </row>
        <row r="275">
          <cell r="B275" t="str">
            <v>MCSB SOFTWARE</v>
          </cell>
          <cell r="C275">
            <v>18243402056</v>
          </cell>
        </row>
        <row r="276">
          <cell r="B276" t="str">
            <v>MECOSUPRIN GRAFIA</v>
          </cell>
          <cell r="C276">
            <v>13693106004</v>
          </cell>
        </row>
        <row r="277">
          <cell r="B277" t="str">
            <v>MEGARAMA LESTARINDO</v>
          </cell>
          <cell r="C277">
            <v>13478284041</v>
          </cell>
        </row>
        <row r="278">
          <cell r="B278" t="str">
            <v>MESINDO PRIMADUTA</v>
          </cell>
          <cell r="C278">
            <v>17864026407</v>
          </cell>
        </row>
        <row r="279">
          <cell r="B279" t="str">
            <v>METAGUNA INTERPART</v>
          </cell>
          <cell r="C279" t="str">
            <v>016600603032000</v>
          </cell>
        </row>
        <row r="280">
          <cell r="B280" t="str">
            <v>MHE-DEMATIC INDONESIA</v>
          </cell>
          <cell r="C280" t="str">
            <v>010005890055000</v>
          </cell>
        </row>
        <row r="281">
          <cell r="B281" t="str">
            <v>MITRA CARAKA PRATAMA</v>
          </cell>
          <cell r="C281">
            <v>17658840042</v>
          </cell>
        </row>
        <row r="282">
          <cell r="B282" t="str">
            <v>MITRA KUALITAS UTAMA</v>
          </cell>
          <cell r="C282" t="str">
            <v>018078709011000</v>
          </cell>
        </row>
        <row r="283">
          <cell r="B283" t="str">
            <v>MONANG SIANIPAR</v>
          </cell>
          <cell r="C283" t="str">
            <v>013631544018000</v>
          </cell>
        </row>
        <row r="284">
          <cell r="B284" t="str">
            <v>MORITA TJOKRO G.</v>
          </cell>
          <cell r="C284" t="str">
            <v>013213723004000</v>
          </cell>
        </row>
        <row r="285">
          <cell r="B285" t="str">
            <v>MULTI BINA PURA</v>
          </cell>
          <cell r="C285" t="str">
            <v>013964556058000</v>
          </cell>
        </row>
        <row r="286">
          <cell r="B286" t="str">
            <v>MULTI TEKNIK</v>
          </cell>
          <cell r="C286" t="str">
            <v>015477334025000</v>
          </cell>
        </row>
        <row r="287">
          <cell r="B287" t="str">
            <v>MULTI TERMINAL INDONESIA</v>
          </cell>
          <cell r="C287" t="str">
            <v>021066204051000</v>
          </cell>
        </row>
        <row r="288">
          <cell r="B288" t="str">
            <v>MULTIMEDIA NUSANTARA</v>
          </cell>
          <cell r="C288">
            <v>18322586027</v>
          </cell>
        </row>
        <row r="289">
          <cell r="B289" t="str">
            <v>MULTIMEDIA UNGGUL.</v>
          </cell>
          <cell r="C289">
            <v>15720030033</v>
          </cell>
        </row>
        <row r="290">
          <cell r="B290" t="str">
            <v>MULTISAGARA INTERKEM</v>
          </cell>
          <cell r="C290">
            <v>15720808033</v>
          </cell>
        </row>
        <row r="291">
          <cell r="B291" t="str">
            <v>MULTISTORAGE</v>
          </cell>
          <cell r="C291">
            <v>16598401032</v>
          </cell>
        </row>
        <row r="292">
          <cell r="B292" t="str">
            <v>NADITAMA DUTA TRANS</v>
          </cell>
          <cell r="C292">
            <v>15724925014</v>
          </cell>
        </row>
        <row r="293">
          <cell r="B293" t="str">
            <v>NADITAMA TRANCY L.</v>
          </cell>
          <cell r="C293" t="str">
            <v>020055059056000</v>
          </cell>
        </row>
        <row r="294">
          <cell r="B294" t="str">
            <v>NALCO PERKASA</v>
          </cell>
          <cell r="C294">
            <v>10615979403</v>
          </cell>
        </row>
        <row r="295">
          <cell r="B295" t="str">
            <v>NARWASTA</v>
          </cell>
          <cell r="C295" t="str">
            <v>061814943032000</v>
          </cell>
        </row>
        <row r="296">
          <cell r="B296" t="str">
            <v>NESINAK INDUSTRIES</v>
          </cell>
          <cell r="C296" t="str">
            <v>018243485413001</v>
          </cell>
        </row>
        <row r="297">
          <cell r="B297" t="str">
            <v>NEVILLE-CLARKE</v>
          </cell>
          <cell r="C297" t="str">
            <v>018245977058000</v>
          </cell>
        </row>
        <row r="298">
          <cell r="B298" t="str">
            <v>NEW WAVE LOGISTICS</v>
          </cell>
          <cell r="C298" t="str">
            <v>019580000407001</v>
          </cell>
        </row>
        <row r="299">
          <cell r="B299" t="str">
            <v>NEWSNET ASIA</v>
          </cell>
          <cell r="C299">
            <v>18697649056</v>
          </cell>
        </row>
        <row r="300">
          <cell r="B300" t="str">
            <v>NIAZ EMERALD</v>
          </cell>
          <cell r="C300">
            <v>13490610011</v>
          </cell>
        </row>
        <row r="301">
          <cell r="B301" t="str">
            <v>NICHIMEN INDONESIA</v>
          </cell>
          <cell r="C301" t="str">
            <v>010706737056000</v>
          </cell>
        </row>
        <row r="302">
          <cell r="B302" t="str">
            <v>NICORINDO BAJA</v>
          </cell>
          <cell r="C302" t="str">
            <v>010713261407001</v>
          </cell>
        </row>
        <row r="303">
          <cell r="B303" t="str">
            <v>NIPARINDO SARITAMA</v>
          </cell>
          <cell r="C303" t="str">
            <v>016701161042000</v>
          </cell>
        </row>
        <row r="304">
          <cell r="B304" t="str">
            <v>NIPPON EXPRESS</v>
          </cell>
          <cell r="C304" t="str">
            <v>020588075058000</v>
          </cell>
        </row>
        <row r="305">
          <cell r="B305" t="str">
            <v>NIPSEA PAINT</v>
          </cell>
          <cell r="C305" t="str">
            <v>010017697052000</v>
          </cell>
        </row>
        <row r="306">
          <cell r="B306" t="str">
            <v>NIRWAANA PARATRANS</v>
          </cell>
          <cell r="C306">
            <v>17745308026</v>
          </cell>
        </row>
        <row r="307">
          <cell r="B307" t="str">
            <v>NITTO ALAM</v>
          </cell>
          <cell r="C307" t="str">
            <v>010615326411001</v>
          </cell>
        </row>
        <row r="308">
          <cell r="B308" t="str">
            <v>NITTO MATERIALS</v>
          </cell>
          <cell r="C308" t="str">
            <v>018242826413001</v>
          </cell>
        </row>
        <row r="309">
          <cell r="B309" t="str">
            <v>NNA INDONESIA</v>
          </cell>
          <cell r="C309" t="str">
            <v>018697649056000</v>
          </cell>
        </row>
        <row r="310">
          <cell r="B310" t="str">
            <v>NTL NAIGAI TRANS LINE</v>
          </cell>
          <cell r="C310" t="str">
            <v>020056453058000</v>
          </cell>
        </row>
        <row r="311">
          <cell r="B311" t="str">
            <v>NUANSA PROMO</v>
          </cell>
          <cell r="C311" t="str">
            <v>010989256411000</v>
          </cell>
        </row>
        <row r="312">
          <cell r="B312" t="str">
            <v>NUGRAHA SITI KUMALA</v>
          </cell>
          <cell r="C312" t="str">
            <v>013478623026000</v>
          </cell>
        </row>
        <row r="313">
          <cell r="B313" t="str">
            <v>NUSANTARA SYSTEMS I.</v>
          </cell>
          <cell r="C313" t="str">
            <v>014819783058000</v>
          </cell>
        </row>
        <row r="314">
          <cell r="B314" t="str">
            <v>NUSATRINDO SEJATI</v>
          </cell>
          <cell r="C314">
            <v>15477201028</v>
          </cell>
        </row>
        <row r="315">
          <cell r="B315" t="str">
            <v>OMEGA MAJU SEJAHTERA</v>
          </cell>
          <cell r="C315" t="str">
            <v>018773705026000</v>
          </cell>
        </row>
        <row r="316">
          <cell r="B316" t="str">
            <v>OMETRACO ARYA S.</v>
          </cell>
          <cell r="C316">
            <v>13690193042</v>
          </cell>
        </row>
        <row r="317">
          <cell r="B317" t="str">
            <v>OMRON MANUFACTURING</v>
          </cell>
          <cell r="C317" t="str">
            <v>10815835407</v>
          </cell>
        </row>
        <row r="318">
          <cell r="B318" t="str">
            <v>OPTEC D.D</v>
          </cell>
          <cell r="C318" t="str">
            <v>010712230413001</v>
          </cell>
        </row>
        <row r="319">
          <cell r="B319" t="str">
            <v>ORCALINDO LAMTAMA</v>
          </cell>
          <cell r="C319" t="str">
            <v>020564373005000</v>
          </cell>
        </row>
        <row r="320">
          <cell r="B320" t="str">
            <v>ORIENTAL ASAHI LYMAN</v>
          </cell>
          <cell r="C320" t="str">
            <v>010815884413000</v>
          </cell>
        </row>
        <row r="321">
          <cell r="B321" t="str">
            <v>P.B.M ANDINI NUGRAHA</v>
          </cell>
          <cell r="C321">
            <v>18322743011</v>
          </cell>
        </row>
        <row r="322">
          <cell r="B322" t="str">
            <v>P.B.M. ADIPURUSA</v>
          </cell>
          <cell r="C322">
            <v>13295787034</v>
          </cell>
        </row>
        <row r="323">
          <cell r="B323" t="str">
            <v>P.B.M. TRIJASA DERMAGA</v>
          </cell>
          <cell r="C323">
            <v>13713995042</v>
          </cell>
        </row>
        <row r="324">
          <cell r="B324" t="str">
            <v>PADAMAS PUTERA</v>
          </cell>
          <cell r="C324">
            <v>17744962026</v>
          </cell>
        </row>
        <row r="325">
          <cell r="B325" t="str">
            <v>PADMA SOODE</v>
          </cell>
          <cell r="C325">
            <v>10719920407</v>
          </cell>
        </row>
        <row r="326">
          <cell r="B326" t="str">
            <v>PAGODA SAKTI RAYA</v>
          </cell>
          <cell r="C326">
            <v>13057336032</v>
          </cell>
        </row>
        <row r="327">
          <cell r="B327" t="str">
            <v>PAKARTI RIKEN</v>
          </cell>
          <cell r="C327" t="str">
            <v>010002285617001</v>
          </cell>
        </row>
        <row r="328">
          <cell r="B328" t="str">
            <v>PALINDO SURYA MANDIRI</v>
          </cell>
          <cell r="C328" t="str">
            <v>019031673413000</v>
          </cell>
        </row>
        <row r="329">
          <cell r="B329" t="str">
            <v>PANALPINA NUSAJAYA</v>
          </cell>
          <cell r="C329" t="str">
            <v>013581699011000</v>
          </cell>
        </row>
        <row r="330">
          <cell r="B330" t="str">
            <v>PANCURAN BENGAWAN</v>
          </cell>
          <cell r="C330">
            <v>13093620027</v>
          </cell>
        </row>
        <row r="331">
          <cell r="B331" t="str">
            <v>PARKER ENGINEERING</v>
          </cell>
          <cell r="C331">
            <v>10719177056</v>
          </cell>
        </row>
        <row r="332">
          <cell r="B332" t="str">
            <v>PAUL BUANA</v>
          </cell>
          <cell r="C332" t="str">
            <v>018245605411001</v>
          </cell>
        </row>
        <row r="333">
          <cell r="B333" t="str">
            <v>PD. Jaya Mas</v>
          </cell>
        </row>
        <row r="334">
          <cell r="B334" t="str">
            <v>PD. Sumber Tirta</v>
          </cell>
          <cell r="C334" t="str">
            <v>065304834035000</v>
          </cell>
        </row>
        <row r="335">
          <cell r="B335" t="str">
            <v>P-E INTERNATIONAL IND.</v>
          </cell>
          <cell r="C335">
            <v>10706844056</v>
          </cell>
        </row>
        <row r="336">
          <cell r="B336" t="str">
            <v>PELAB. IND. II TP</v>
          </cell>
          <cell r="C336" t="str">
            <v>010610053051000</v>
          </cell>
        </row>
        <row r="337">
          <cell r="B337" t="str">
            <v>PELAB. IND. II TP - I</v>
          </cell>
          <cell r="C337">
            <v>10610053051</v>
          </cell>
        </row>
        <row r="338">
          <cell r="B338" t="str">
            <v>PENGEMASAN</v>
          </cell>
          <cell r="C338">
            <v>13181433026</v>
          </cell>
        </row>
        <row r="339">
          <cell r="B339" t="str">
            <v>PENTA MAKMUR</v>
          </cell>
          <cell r="C339" t="str">
            <v>17920430043</v>
          </cell>
        </row>
        <row r="340">
          <cell r="B340" t="str">
            <v>PERDONI</v>
          </cell>
          <cell r="C340" t="str">
            <v>013019096015000</v>
          </cell>
        </row>
        <row r="341">
          <cell r="B341" t="str">
            <v>PERGUDANGAN NASIONAL</v>
          </cell>
          <cell r="C341" t="str">
            <v>020020020032000</v>
          </cell>
        </row>
        <row r="342">
          <cell r="B342" t="str">
            <v>PERKOM INDAH MURNI</v>
          </cell>
          <cell r="C342" t="str">
            <v>013710512018000</v>
          </cell>
        </row>
        <row r="343">
          <cell r="B343" t="str">
            <v>PERTAMINA</v>
          </cell>
          <cell r="C343" t="str">
            <v>010016640051000</v>
          </cell>
        </row>
        <row r="344">
          <cell r="B344" t="str">
            <v>PESAKA LOKA</v>
          </cell>
          <cell r="C344">
            <v>13687124407</v>
          </cell>
        </row>
        <row r="345">
          <cell r="B345" t="str">
            <v>PIMURHO</v>
          </cell>
          <cell r="C345">
            <v>13718879005</v>
          </cell>
        </row>
        <row r="346">
          <cell r="B346" t="str">
            <v>PIONEER TRADING</v>
          </cell>
          <cell r="C346" t="str">
            <v>013139746025000</v>
          </cell>
        </row>
        <row r="347">
          <cell r="B347" t="str">
            <v>PLASTIK INDRA</v>
          </cell>
          <cell r="C347" t="str">
            <v>042074724041000</v>
          </cell>
        </row>
        <row r="348">
          <cell r="B348" t="str">
            <v>POWERLAN INDONESIA</v>
          </cell>
          <cell r="C348" t="str">
            <v>013492947022000</v>
          </cell>
        </row>
        <row r="349">
          <cell r="B349" t="str">
            <v>PPLI</v>
          </cell>
          <cell r="C349" t="str">
            <v>010707784403001</v>
          </cell>
        </row>
        <row r="350">
          <cell r="B350" t="str">
            <v>PRECISION MOULD</v>
          </cell>
          <cell r="C350">
            <v>10847549407</v>
          </cell>
        </row>
        <row r="351">
          <cell r="B351" t="str">
            <v>PRIMA JASA MANDIRI</v>
          </cell>
          <cell r="C351" t="str">
            <v>019842277407001</v>
          </cell>
        </row>
        <row r="352">
          <cell r="B352" t="str">
            <v>PRIMA NUR PANURJWAN</v>
          </cell>
          <cell r="C352" t="str">
            <v>013690185042000</v>
          </cell>
        </row>
        <row r="353">
          <cell r="B353" t="str">
            <v>PRIMA TEKNIK</v>
          </cell>
          <cell r="C353" t="str">
            <v>021588298413000</v>
          </cell>
        </row>
        <row r="354">
          <cell r="B354" t="str">
            <v>PRIMA TIGON</v>
          </cell>
          <cell r="C354">
            <v>15557093025</v>
          </cell>
        </row>
        <row r="355">
          <cell r="B355" t="str">
            <v>PRIMAKARYA ADIGUNAJAYA</v>
          </cell>
          <cell r="C355">
            <v>13282199015</v>
          </cell>
        </row>
        <row r="356">
          <cell r="B356" t="str">
            <v>PRIMANATA JASA</v>
          </cell>
          <cell r="C356">
            <v>18047134042</v>
          </cell>
        </row>
        <row r="357">
          <cell r="B357" t="str">
            <v>PRIMATRONIC DINAMIKA</v>
          </cell>
          <cell r="C357" t="str">
            <v>020628236037000</v>
          </cell>
        </row>
        <row r="358">
          <cell r="B358" t="str">
            <v>PROSES MATERIAL IND.</v>
          </cell>
          <cell r="C358" t="str">
            <v>019580422056000</v>
          </cell>
        </row>
        <row r="359">
          <cell r="B359" t="str">
            <v>PT. Asama Indonesia</v>
          </cell>
          <cell r="C359" t="str">
            <v>010816338408001</v>
          </cell>
        </row>
        <row r="360">
          <cell r="B360" t="str">
            <v>PT. Asia Electric Industries</v>
          </cell>
          <cell r="C360" t="str">
            <v>020100558004000</v>
          </cell>
        </row>
        <row r="361">
          <cell r="B361" t="str">
            <v>PT. Baja Putih</v>
          </cell>
          <cell r="C361" t="str">
            <v>010029098004000</v>
          </cell>
        </row>
        <row r="362">
          <cell r="B362" t="str">
            <v>PT. Denpoo Mandiri</v>
          </cell>
          <cell r="C362" t="str">
            <v>017211731032000</v>
          </cell>
        </row>
        <row r="363">
          <cell r="B363" t="str">
            <v>PT. Dua Putra Perkasa</v>
          </cell>
          <cell r="C363" t="str">
            <v>017328436031000</v>
          </cell>
        </row>
        <row r="364">
          <cell r="B364" t="str">
            <v>PT. Galangmegah Upaya</v>
          </cell>
          <cell r="C364" t="str">
            <v>010689856001000</v>
          </cell>
        </row>
        <row r="365">
          <cell r="B365" t="str">
            <v>PT. Jaya Indah Casting</v>
          </cell>
          <cell r="C365" t="str">
            <v>010847440413001</v>
          </cell>
        </row>
        <row r="366">
          <cell r="B366" t="str">
            <v>PT. LG Electronics Indonesia</v>
          </cell>
          <cell r="C366" t="str">
            <v>010693232411001</v>
          </cell>
        </row>
        <row r="367">
          <cell r="B367" t="str">
            <v>PT. National Gobel</v>
          </cell>
          <cell r="C367" t="str">
            <v>010006047055000</v>
          </cell>
        </row>
        <row r="368">
          <cell r="B368" t="str">
            <v>PT. Pramesti Kasih Ibu</v>
          </cell>
          <cell r="C368" t="str">
            <v>017299322005000</v>
          </cell>
        </row>
        <row r="369">
          <cell r="B369" t="str">
            <v>PT. Sadhana Ekapraya Amitra</v>
          </cell>
          <cell r="C369" t="str">
            <v>016701062035000</v>
          </cell>
        </row>
        <row r="370">
          <cell r="B370" t="str">
            <v>PT. Sanyo Industries</v>
          </cell>
          <cell r="C370" t="str">
            <v>010001808055000</v>
          </cell>
        </row>
        <row r="371">
          <cell r="B371" t="str">
            <v>PT. Sharp Yasonta</v>
          </cell>
          <cell r="C371" t="str">
            <v>010018802092000</v>
          </cell>
        </row>
        <row r="372">
          <cell r="B372" t="str">
            <v>PUNDIPUTRA C.</v>
          </cell>
          <cell r="C372">
            <v>17525601407</v>
          </cell>
        </row>
        <row r="373">
          <cell r="B373" t="str">
            <v>PUNINAR PACIFIC</v>
          </cell>
          <cell r="C373" t="str">
            <v>010695286058000</v>
          </cell>
        </row>
        <row r="374">
          <cell r="B374" t="str">
            <v>PURISERASI ARTHA SANTIKA</v>
          </cell>
          <cell r="C374" t="str">
            <v>013579362028000</v>
          </cell>
        </row>
        <row r="375">
          <cell r="B375" t="str">
            <v>PUSAKA PRATAMA</v>
          </cell>
          <cell r="C375">
            <v>18234104004</v>
          </cell>
        </row>
        <row r="376">
          <cell r="B376" t="str">
            <v>PUSAKA YUDHANUSA</v>
          </cell>
          <cell r="C376" t="str">
            <v>013311865021000</v>
          </cell>
        </row>
        <row r="377">
          <cell r="B377" t="str">
            <v>RAKINTAM G.E.</v>
          </cell>
          <cell r="C377">
            <v>10021764052</v>
          </cell>
        </row>
        <row r="378">
          <cell r="B378" t="str">
            <v>RASCO</v>
          </cell>
          <cell r="C378" t="str">
            <v>020365946503000</v>
          </cell>
        </row>
        <row r="379">
          <cell r="B379" t="str">
            <v>RATINDARAYA PRIMA</v>
          </cell>
          <cell r="C379" t="str">
            <v>016831810017000</v>
          </cell>
        </row>
        <row r="380">
          <cell r="B380" t="str">
            <v>REKATAMA ALAM</v>
          </cell>
          <cell r="C380" t="str">
            <v>017813783041000</v>
          </cell>
        </row>
        <row r="381">
          <cell r="B381" t="str">
            <v>REMCA PIONEER</v>
          </cell>
          <cell r="C381" t="str">
            <v>018596098026000</v>
          </cell>
        </row>
        <row r="382">
          <cell r="B382" t="str">
            <v>REPEX PERDANA</v>
          </cell>
          <cell r="C382" t="str">
            <v>013628490031000</v>
          </cell>
        </row>
        <row r="383">
          <cell r="B383" t="str">
            <v>RESTU WARINGIN TRANS</v>
          </cell>
          <cell r="C383" t="str">
            <v>017812918026000</v>
          </cell>
        </row>
        <row r="384">
          <cell r="B384" t="str">
            <v>RHEEM INDONESIA</v>
          </cell>
          <cell r="C384">
            <v>10005312052</v>
          </cell>
        </row>
        <row r="385">
          <cell r="B385" t="str">
            <v>RITRA CARGO INDONESIA</v>
          </cell>
          <cell r="C385" t="str">
            <v>013107438061000</v>
          </cell>
        </row>
        <row r="386">
          <cell r="B386" t="str">
            <v>RITRA KONNAS FREIGHT</v>
          </cell>
          <cell r="C386" t="str">
            <v>010713964056000</v>
          </cell>
        </row>
        <row r="387">
          <cell r="B387" t="str">
            <v>RIVASTAMA LARAS</v>
          </cell>
          <cell r="C387" t="str">
            <v>018235390004000</v>
          </cell>
        </row>
        <row r="388">
          <cell r="B388" t="str">
            <v>S NET FREIGHT LOGISTICS</v>
          </cell>
          <cell r="C388" t="str">
            <v>019604677056000</v>
          </cell>
        </row>
        <row r="389">
          <cell r="B389" t="str">
            <v>SADIKUN NIAGAMAS</v>
          </cell>
          <cell r="C389">
            <v>13707476032</v>
          </cell>
        </row>
        <row r="390">
          <cell r="B390" t="str">
            <v>SAEKINDO SAKTI</v>
          </cell>
          <cell r="C390" t="str">
            <v>018410753042000</v>
          </cell>
        </row>
        <row r="391">
          <cell r="B391" t="str">
            <v>SAGATEKNINDO SEJATI</v>
          </cell>
          <cell r="C391" t="str">
            <v>015945744023000</v>
          </cell>
        </row>
        <row r="392">
          <cell r="B392" t="str">
            <v>SAITAMA STAMPING</v>
          </cell>
          <cell r="C392" t="str">
            <v>010710671408001</v>
          </cell>
        </row>
        <row r="393">
          <cell r="B393" t="str">
            <v>SAKA PATRIA PERKASA</v>
          </cell>
          <cell r="C393" t="str">
            <v>019380096022000</v>
          </cell>
        </row>
        <row r="394">
          <cell r="B394" t="str">
            <v>SAMAFITRO</v>
          </cell>
          <cell r="C394" t="str">
            <v>013109087025000</v>
          </cell>
        </row>
        <row r="395">
          <cell r="B395" t="str">
            <v>SAMATORSURYA A.G.</v>
          </cell>
          <cell r="C395">
            <v>13463831031</v>
          </cell>
        </row>
        <row r="396">
          <cell r="B396" t="str">
            <v>SAMUDERA INDONESIA</v>
          </cell>
          <cell r="C396" t="str">
            <v>010018950054000</v>
          </cell>
        </row>
        <row r="397">
          <cell r="B397" t="str">
            <v>SAMUDRA TEKNINDO</v>
          </cell>
          <cell r="C397" t="str">
            <v>013358577041000</v>
          </cell>
        </row>
        <row r="398">
          <cell r="B398" t="str">
            <v>SANDVIK INDONESIA</v>
          </cell>
          <cell r="C398" t="str">
            <v>013176631056000</v>
          </cell>
        </row>
        <row r="399">
          <cell r="B399" t="str">
            <v>SANJAYA SAKTI</v>
          </cell>
          <cell r="C399" t="str">
            <v>013058714042</v>
          </cell>
        </row>
        <row r="400">
          <cell r="B400" t="str">
            <v>SANKYU IND. INT'L</v>
          </cell>
          <cell r="C400" t="str">
            <v>010001279056000</v>
          </cell>
        </row>
        <row r="401">
          <cell r="B401" t="str">
            <v>SANOH INDONESIA</v>
          </cell>
          <cell r="C401" t="str">
            <v>010005742413001</v>
          </cell>
        </row>
        <row r="402">
          <cell r="B402" t="str">
            <v>SANTI YOGA</v>
          </cell>
          <cell r="C402" t="str">
            <v>013027693025000</v>
          </cell>
        </row>
        <row r="403">
          <cell r="B403" t="str">
            <v>SANYO ELECTRIC CO.LTD</v>
          </cell>
          <cell r="C403" t="str">
            <v>010000000000407</v>
          </cell>
        </row>
        <row r="404">
          <cell r="B404" t="str">
            <v>SANYO INDUSTRIES</v>
          </cell>
          <cell r="C404" t="str">
            <v>010001808055000</v>
          </cell>
        </row>
        <row r="405">
          <cell r="B405" t="str">
            <v>SARANA CITRA ADICARYA</v>
          </cell>
          <cell r="C405" t="str">
            <v>013312665016000</v>
          </cell>
        </row>
        <row r="406">
          <cell r="B406" t="str">
            <v>SARANA PRESISI UTAMA</v>
          </cell>
          <cell r="C406" t="str">
            <v>018095505413000</v>
          </cell>
        </row>
        <row r="407">
          <cell r="B407" t="str">
            <v>SARANA WIDIASTANA PURA</v>
          </cell>
          <cell r="C407">
            <v>16024820042</v>
          </cell>
        </row>
        <row r="408">
          <cell r="B408" t="str">
            <v>SARI SARANA KIMIA</v>
          </cell>
          <cell r="C408">
            <v>13007554034</v>
          </cell>
        </row>
        <row r="409">
          <cell r="B409" t="str">
            <v>SATUAN PERGUDANGAN</v>
          </cell>
          <cell r="C409" t="str">
            <v>020020020032000</v>
          </cell>
        </row>
        <row r="410">
          <cell r="B410" t="str">
            <v>SECOM INDOPRATAMA</v>
          </cell>
          <cell r="C410" t="str">
            <v>010708048058000</v>
          </cell>
        </row>
        <row r="411">
          <cell r="B411" t="str">
            <v>SEKA PRADANA</v>
          </cell>
          <cell r="C411">
            <v>15717509033</v>
          </cell>
        </row>
        <row r="412">
          <cell r="B412" t="str">
            <v>SEKAWAN SEJAHTERA</v>
          </cell>
          <cell r="C412" t="str">
            <v>021100698005000</v>
          </cell>
        </row>
        <row r="413">
          <cell r="B413" t="str">
            <v>SELTECH UTAMA</v>
          </cell>
          <cell r="C413">
            <v>12179354031</v>
          </cell>
        </row>
        <row r="414">
          <cell r="B414" t="str">
            <v>SEMERUTECH</v>
          </cell>
          <cell r="C414" t="str">
            <v>019400605413000</v>
          </cell>
        </row>
        <row r="415">
          <cell r="B415" t="str">
            <v>SENATAMA LABORANUSA</v>
          </cell>
          <cell r="C415" t="str">
            <v>017796483407000</v>
          </cell>
        </row>
        <row r="416">
          <cell r="B416" t="str">
            <v>SENAWANGI FREIGHT</v>
          </cell>
          <cell r="C416">
            <v>13372404011</v>
          </cell>
        </row>
        <row r="417">
          <cell r="B417" t="str">
            <v>SENTRAMAS B MAKMURINDO</v>
          </cell>
          <cell r="C417" t="str">
            <v>015890411036000</v>
          </cell>
        </row>
        <row r="418">
          <cell r="B418" t="str">
            <v>SERASI AUTORAYA</v>
          </cell>
          <cell r="C418">
            <v>13575832005</v>
          </cell>
        </row>
        <row r="419">
          <cell r="B419" t="str">
            <v>SERVITAMA ERA</v>
          </cell>
          <cell r="C419" t="str">
            <v>016837221024000</v>
          </cell>
        </row>
        <row r="420">
          <cell r="B420" t="str">
            <v>SETC</v>
          </cell>
          <cell r="C420" t="str">
            <v>010000000000407</v>
          </cell>
        </row>
        <row r="421">
          <cell r="B421" t="str">
            <v>SETIAWAN SEDJATI</v>
          </cell>
          <cell r="C421" t="str">
            <v>013017926026001</v>
          </cell>
        </row>
        <row r="422">
          <cell r="B422" t="str">
            <v>SHIN-AIR REKADAYA</v>
          </cell>
          <cell r="C422">
            <v>17439480042</v>
          </cell>
        </row>
        <row r="423">
          <cell r="B423" t="str">
            <v>SIDDHARTA CONSULTING</v>
          </cell>
          <cell r="C423" t="str">
            <v>013373097022000</v>
          </cell>
        </row>
        <row r="424">
          <cell r="B424" t="str">
            <v>SIDDHARTA SIDDHARTA</v>
          </cell>
          <cell r="C424" t="str">
            <v>017107715022000</v>
          </cell>
        </row>
        <row r="425">
          <cell r="B425" t="str">
            <v>SIGMA ANDALAN</v>
          </cell>
          <cell r="C425" t="str">
            <v>019961721034000</v>
          </cell>
        </row>
        <row r="426">
          <cell r="B426" t="str">
            <v>SIMBARCO KENCANA</v>
          </cell>
          <cell r="C426">
            <v>13735956026</v>
          </cell>
        </row>
        <row r="427">
          <cell r="B427" t="str">
            <v>SINACTRANS ADHI SAKTI</v>
          </cell>
          <cell r="C427" t="str">
            <v>013246921407001</v>
          </cell>
        </row>
        <row r="428">
          <cell r="B428" t="str">
            <v>SINAR BAHAGIA</v>
          </cell>
          <cell r="C428" t="str">
            <v>041539982037000</v>
          </cell>
        </row>
        <row r="429">
          <cell r="B429" t="str">
            <v>SINAR MUTIARA CEMERLANG</v>
          </cell>
          <cell r="C429" t="str">
            <v>017213125032000</v>
          </cell>
        </row>
        <row r="430">
          <cell r="B430" t="str">
            <v>SINAR MUTIARA TEHNIKINDO</v>
          </cell>
          <cell r="C430" t="str">
            <v>017776253032000</v>
          </cell>
        </row>
        <row r="431">
          <cell r="B431" t="str">
            <v>SINAR TERANG KENCANA</v>
          </cell>
          <cell r="C431">
            <v>13072046026</v>
          </cell>
        </row>
        <row r="432">
          <cell r="B432" t="str">
            <v>SISTEMINDRA K.</v>
          </cell>
          <cell r="C432">
            <v>16613176022</v>
          </cell>
        </row>
        <row r="433">
          <cell r="B433" t="str">
            <v>SISTIM SOLUSINDO INT'L</v>
          </cell>
          <cell r="C433">
            <v>17592411027</v>
          </cell>
        </row>
        <row r="434">
          <cell r="B434" t="str">
            <v>SKYPAK INTERNATIONAL</v>
          </cell>
          <cell r="C434" t="str">
            <v>013044060022000</v>
          </cell>
        </row>
        <row r="435">
          <cell r="B435" t="str">
            <v>SOMAGEDE PERKASA</v>
          </cell>
          <cell r="C435" t="str">
            <v>013479050026000</v>
          </cell>
        </row>
        <row r="436">
          <cell r="B436" t="str">
            <v>STEEL CENTER INDONESIA</v>
          </cell>
          <cell r="C436" t="str">
            <v>010601185055000</v>
          </cell>
        </row>
        <row r="437">
          <cell r="B437" t="str">
            <v>STILMETINDO</v>
          </cell>
          <cell r="C437">
            <v>13444385026</v>
          </cell>
        </row>
        <row r="438">
          <cell r="B438" t="str">
            <v>STILMETINDO PRIMA</v>
          </cell>
          <cell r="C438" t="str">
            <v>019572262026000</v>
          </cell>
        </row>
        <row r="439">
          <cell r="B439" t="str">
            <v>SUBUR DJAJA TEGUH</v>
          </cell>
          <cell r="C439">
            <v>13699996005</v>
          </cell>
        </row>
        <row r="440">
          <cell r="B440" t="str">
            <v>SUCOFINDO</v>
          </cell>
          <cell r="C440" t="str">
            <v>013009923407001</v>
          </cell>
        </row>
        <row r="441">
          <cell r="B441" t="str">
            <v>SUKSES JAYA</v>
          </cell>
          <cell r="C441" t="str">
            <v>065847295002000</v>
          </cell>
        </row>
        <row r="442">
          <cell r="B442" t="str">
            <v>SUKSES MEDICOM</v>
          </cell>
          <cell r="C442" t="str">
            <v>018095778413000</v>
          </cell>
        </row>
        <row r="443">
          <cell r="B443" t="str">
            <v>SUMATERA INPACK</v>
          </cell>
          <cell r="C443">
            <v>18104471015</v>
          </cell>
        </row>
        <row r="444">
          <cell r="B444" t="str">
            <v>SUMMITEC</v>
          </cell>
          <cell r="C444">
            <v>15582513012</v>
          </cell>
        </row>
        <row r="445">
          <cell r="B445" t="str">
            <v>SUPER EXIM SARI</v>
          </cell>
          <cell r="C445" t="str">
            <v>014950489403000</v>
          </cell>
        </row>
        <row r="446">
          <cell r="B446" t="str">
            <v>SUPER STEEL INDAH</v>
          </cell>
          <cell r="C446" t="str">
            <v>010011013055000</v>
          </cell>
        </row>
        <row r="447">
          <cell r="B447" t="str">
            <v>SUPORTINDO SARANA</v>
          </cell>
          <cell r="C447">
            <v>71824700407</v>
          </cell>
        </row>
        <row r="448">
          <cell r="B448" t="str">
            <v>SUPRA ENGINEERING</v>
          </cell>
          <cell r="C448">
            <v>16025728025</v>
          </cell>
        </row>
        <row r="449">
          <cell r="B449" t="str">
            <v>SUPRA RAGA TRANSPORT</v>
          </cell>
          <cell r="C449" t="str">
            <v>013422688014000</v>
          </cell>
        </row>
        <row r="450">
          <cell r="B450" t="str">
            <v>SURVEYOR INDONESIA</v>
          </cell>
          <cell r="C450" t="str">
            <v>010694743051000</v>
          </cell>
        </row>
        <row r="451">
          <cell r="B451" t="str">
            <v>SURYA SARANA SENTOSA</v>
          </cell>
          <cell r="C451" t="str">
            <v>019388529042000</v>
          </cell>
        </row>
        <row r="452">
          <cell r="B452" t="str">
            <v>SURYA TOTO</v>
          </cell>
          <cell r="C452">
            <v>10002392054</v>
          </cell>
        </row>
        <row r="453">
          <cell r="B453" t="str">
            <v>SYSPEX KEMASINDO</v>
          </cell>
          <cell r="C453">
            <v>19243906411</v>
          </cell>
        </row>
        <row r="454">
          <cell r="B454" t="str">
            <v>TAHARICA</v>
          </cell>
          <cell r="C454" t="str">
            <v>018447276002000</v>
          </cell>
        </row>
        <row r="455">
          <cell r="B455" t="str">
            <v>TAIKISHA IND. ENG.</v>
          </cell>
          <cell r="C455" t="str">
            <v>10619146056</v>
          </cell>
        </row>
        <row r="456">
          <cell r="B456" t="str">
            <v>TAIYO SINAR RAYA</v>
          </cell>
          <cell r="C456" t="str">
            <v>010031581058000</v>
          </cell>
        </row>
        <row r="457">
          <cell r="B457" t="str">
            <v>TANGGUH SAMUDERA</v>
          </cell>
          <cell r="C457">
            <v>13776778042</v>
          </cell>
        </row>
        <row r="458">
          <cell r="B458" t="str">
            <v>TECO MULTIGUNA</v>
          </cell>
          <cell r="C458">
            <v>10602977055</v>
          </cell>
        </row>
        <row r="459">
          <cell r="B459" t="str">
            <v>TELKOM</v>
          </cell>
          <cell r="C459" t="str">
            <v>010000131407001</v>
          </cell>
        </row>
        <row r="460">
          <cell r="B460" t="str">
            <v>TESKO INDO GEMILANG</v>
          </cell>
          <cell r="C460">
            <v>18097865407</v>
          </cell>
        </row>
        <row r="461">
          <cell r="B461" t="str">
            <v>TETHA ALPHINDO</v>
          </cell>
          <cell r="C461">
            <v>15895097002</v>
          </cell>
        </row>
        <row r="462">
          <cell r="B462" t="str">
            <v>TIKI JALUR N.E.</v>
          </cell>
          <cell r="C462">
            <v>15397102031</v>
          </cell>
        </row>
        <row r="463">
          <cell r="B463" t="str">
            <v>TIRA AUSTENITE</v>
          </cell>
          <cell r="C463">
            <v>13005756054</v>
          </cell>
        </row>
        <row r="464">
          <cell r="B464" t="str">
            <v>TIRTA INVESTAMA</v>
          </cell>
          <cell r="C464" t="str">
            <v>016743767408001</v>
          </cell>
        </row>
        <row r="465">
          <cell r="B465" t="str">
            <v>TIRTAJAYA LUMASINDO</v>
          </cell>
          <cell r="C465" t="str">
            <v>017424086014000</v>
          </cell>
        </row>
        <row r="466">
          <cell r="B466" t="str">
            <v>TJOKRO BERSAUDARA</v>
          </cell>
          <cell r="C466" t="str">
            <v>015938996413000</v>
          </cell>
        </row>
        <row r="467">
          <cell r="B467" t="str">
            <v>TOHODIROHA</v>
          </cell>
          <cell r="C467" t="str">
            <v>017109570011000</v>
          </cell>
        </row>
        <row r="468">
          <cell r="B468" t="str">
            <v>TOPLA ABADI</v>
          </cell>
          <cell r="C468">
            <v>10709038407</v>
          </cell>
        </row>
        <row r="469">
          <cell r="B469" t="str">
            <v>TORISHIMA GUNA IND.</v>
          </cell>
          <cell r="C469">
            <v>10601458052</v>
          </cell>
        </row>
        <row r="470">
          <cell r="B470" t="str">
            <v>TOSIN PLASTIK</v>
          </cell>
          <cell r="C470" t="str">
            <v>010714616413001</v>
          </cell>
        </row>
        <row r="471">
          <cell r="B471" t="str">
            <v>TPK KOJA</v>
          </cell>
          <cell r="C471" t="str">
            <v>018045344042000</v>
          </cell>
        </row>
        <row r="472">
          <cell r="B472" t="str">
            <v>TRAFINDO PERKASA</v>
          </cell>
          <cell r="C472">
            <v>13107875054</v>
          </cell>
        </row>
        <row r="473">
          <cell r="B473" t="str">
            <v>TRAKTOR NUSANTARA</v>
          </cell>
          <cell r="C473" t="str">
            <v>013104831004000</v>
          </cell>
        </row>
        <row r="474">
          <cell r="B474" t="str">
            <v>TRANSMAJU EKSPRESINDO</v>
          </cell>
          <cell r="C474">
            <v>15661747041</v>
          </cell>
        </row>
        <row r="475">
          <cell r="B475" t="str">
            <v>TRANSTELINDO TRIMITRA</v>
          </cell>
          <cell r="C475">
            <v>18317792021</v>
          </cell>
        </row>
        <row r="476">
          <cell r="B476" t="str">
            <v>TRENDS QUALITIPRIMA</v>
          </cell>
          <cell r="C476">
            <v>18469601022</v>
          </cell>
        </row>
        <row r="477">
          <cell r="B477" t="str">
            <v>TRI SARI</v>
          </cell>
          <cell r="C477">
            <v>10004919051</v>
          </cell>
        </row>
        <row r="478">
          <cell r="B478" t="str">
            <v xml:space="preserve">TRI TUNGGAL </v>
          </cell>
          <cell r="C478">
            <v>18247601407</v>
          </cell>
        </row>
        <row r="479">
          <cell r="B479" t="str">
            <v>TRI WALL INDONESIA</v>
          </cell>
          <cell r="C479" t="str">
            <v>018246983413001</v>
          </cell>
        </row>
        <row r="480">
          <cell r="B480" t="str">
            <v>TRIAS MANDIRI PERSADA</v>
          </cell>
          <cell r="C480" t="str">
            <v>016601882032000</v>
          </cell>
        </row>
        <row r="481">
          <cell r="B481" t="str">
            <v>TRIDAYA ADI SENTOSA</v>
          </cell>
          <cell r="C481" t="str">
            <v>020380747031000</v>
          </cell>
        </row>
        <row r="482">
          <cell r="B482" t="str">
            <v>TRIJASA DERMAGA S.N.</v>
          </cell>
          <cell r="C482">
            <v>13713995042</v>
          </cell>
        </row>
        <row r="483">
          <cell r="B483" t="str">
            <v>TRIMITRA SWADAYA</v>
          </cell>
          <cell r="C483">
            <v>19927540027</v>
          </cell>
        </row>
        <row r="484">
          <cell r="B484" t="str">
            <v>TRITAMA TEKNOLOGI</v>
          </cell>
          <cell r="C484" t="str">
            <v>019523869006000</v>
          </cell>
        </row>
        <row r="485">
          <cell r="B485" t="str">
            <v>TRIVENI DINAMIKA</v>
          </cell>
          <cell r="C485">
            <v>13488903022</v>
          </cell>
        </row>
        <row r="486">
          <cell r="B486" t="str">
            <v>TRIWARGA DIAN SAKTI</v>
          </cell>
          <cell r="C486">
            <v>17529827407</v>
          </cell>
        </row>
        <row r="487">
          <cell r="B487" t="str">
            <v>TUNAS MAPAN SAKSAMA</v>
          </cell>
          <cell r="C487" t="str">
            <v>019944768407000</v>
          </cell>
        </row>
        <row r="488">
          <cell r="B488" t="str">
            <v>TUNAS MOBILINDO</v>
          </cell>
          <cell r="C488" t="str">
            <v>013755574025000</v>
          </cell>
        </row>
        <row r="489">
          <cell r="B489" t="str">
            <v>TUNAS SAMUDRA</v>
          </cell>
          <cell r="C489" t="str">
            <v>013489737028000</v>
          </cell>
        </row>
        <row r="490">
          <cell r="B490" t="str">
            <v>TUNGYA MITSUI-SOKO</v>
          </cell>
          <cell r="C490" t="str">
            <v>018244798058000</v>
          </cell>
        </row>
        <row r="491">
          <cell r="B491" t="str">
            <v>UD. Karya Sakti</v>
          </cell>
          <cell r="C491" t="str">
            <v>068731105413000</v>
          </cell>
        </row>
        <row r="492">
          <cell r="B492" t="str">
            <v>UJUNG LIMA</v>
          </cell>
          <cell r="C492">
            <v>10004927051</v>
          </cell>
        </row>
        <row r="493">
          <cell r="B493" t="str">
            <v>ULTRAFILTER</v>
          </cell>
          <cell r="C493" t="str">
            <v>020589123056000</v>
          </cell>
        </row>
        <row r="494">
          <cell r="B494" t="str">
            <v>UMEDA KOGYO</v>
          </cell>
          <cell r="C494">
            <v>10710879407</v>
          </cell>
        </row>
        <row r="495">
          <cell r="B495" t="str">
            <v>UNGGUL FISTA</v>
          </cell>
          <cell r="C495" t="str">
            <v>016864951042000</v>
          </cell>
        </row>
        <row r="496">
          <cell r="B496" t="str">
            <v>UNGGUL SEMESTA</v>
          </cell>
          <cell r="C496" t="str">
            <v>013362397035000</v>
          </cell>
        </row>
        <row r="497">
          <cell r="B497" t="str">
            <v>UNIAIR INDOTAMA</v>
          </cell>
          <cell r="C497" t="str">
            <v>013444856026000</v>
          </cell>
        </row>
        <row r="498">
          <cell r="B498" t="str">
            <v>UNIMETRIKA UTAMA</v>
          </cell>
          <cell r="C498">
            <v>16032518042</v>
          </cell>
        </row>
        <row r="499">
          <cell r="B499" t="str">
            <v>UNINET MEDIA SAKTI</v>
          </cell>
          <cell r="C499" t="str">
            <v>017473943021000</v>
          </cell>
        </row>
        <row r="500">
          <cell r="B500" t="str">
            <v>UNITED CONTROLS</v>
          </cell>
          <cell r="C500" t="str">
            <v>013034004026000</v>
          </cell>
        </row>
        <row r="501">
          <cell r="B501" t="str">
            <v>UNITED STEEL CENTER</v>
          </cell>
          <cell r="C501" t="str">
            <v>020476172408000</v>
          </cell>
        </row>
        <row r="502">
          <cell r="B502" t="str">
            <v>UNO GOBEL INDONESIA</v>
          </cell>
          <cell r="C502" t="str">
            <v>016568537011000</v>
          </cell>
        </row>
        <row r="503">
          <cell r="B503" t="str">
            <v>VECTRON PRIMADATA</v>
          </cell>
          <cell r="C503" t="str">
            <v>15478696022</v>
          </cell>
        </row>
        <row r="504">
          <cell r="B504" t="str">
            <v>WAHANA DIRGANTARA</v>
          </cell>
          <cell r="C504">
            <v>19361914011</v>
          </cell>
        </row>
        <row r="505">
          <cell r="B505" t="str">
            <v>WAJA KAMAJAYA</v>
          </cell>
          <cell r="C505">
            <v>13996988004</v>
          </cell>
        </row>
        <row r="506">
          <cell r="B506" t="str">
            <v>WARINGIN AMARTA</v>
          </cell>
          <cell r="C506" t="str">
            <v>017427485041000</v>
          </cell>
        </row>
        <row r="507">
          <cell r="B507" t="str">
            <v>WIJAYA GITA</v>
          </cell>
          <cell r="C507">
            <v>13995378042</v>
          </cell>
        </row>
        <row r="508">
          <cell r="B508" t="str">
            <v>WIJI KANAKA</v>
          </cell>
          <cell r="C508">
            <v>17372772012</v>
          </cell>
        </row>
        <row r="509">
          <cell r="B509" t="str">
            <v>WILISINDOMAS I.</v>
          </cell>
          <cell r="C509" t="str">
            <v>013382312036000</v>
          </cell>
        </row>
        <row r="510">
          <cell r="B510" t="str">
            <v>WIRA DEREKINDO</v>
          </cell>
          <cell r="C510" t="str">
            <v xml:space="preserve"> 016351314028000</v>
          </cell>
        </row>
        <row r="511">
          <cell r="B511" t="str">
            <v>YAKIN MAJU SENTOSA</v>
          </cell>
          <cell r="C511" t="str">
            <v>015529324032000</v>
          </cell>
        </row>
        <row r="512">
          <cell r="B512" t="str">
            <v>YAMAMOTO KEIKI</v>
          </cell>
          <cell r="C512" t="str">
            <v>010680262407001</v>
          </cell>
        </row>
        <row r="513">
          <cell r="B513" t="str">
            <v>YKK  INDONESIA</v>
          </cell>
          <cell r="C513">
            <v>10017515052</v>
          </cell>
        </row>
        <row r="514">
          <cell r="B514" t="str">
            <v>YOKOGAWA INDONESIA</v>
          </cell>
          <cell r="C514" t="str">
            <v>010708709058000</v>
          </cell>
        </row>
        <row r="515">
          <cell r="B515" t="str">
            <v>YUBI CITRA KARYADIKARA</v>
          </cell>
          <cell r="C515">
            <v>10708709056</v>
          </cell>
        </row>
        <row r="516">
          <cell r="B516" t="str">
            <v>YUSEN AIR</v>
          </cell>
          <cell r="C516" t="str">
            <v>013311865058000</v>
          </cell>
        </row>
      </sheetData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k Package"/>
      <sheetName val="Package"/>
      <sheetName val="Pack, Bulk, Exim YTD Feb'20"/>
      <sheetName val="Sheet1"/>
    </sheetNames>
    <sheetDataSet>
      <sheetData sheetId="0">
        <row r="21">
          <cell r="M21">
            <v>1</v>
          </cell>
          <cell r="O21">
            <v>13</v>
          </cell>
        </row>
        <row r="22">
          <cell r="C22">
            <v>43466</v>
          </cell>
        </row>
        <row r="23">
          <cell r="C23">
            <v>9509.9521440000008</v>
          </cell>
        </row>
        <row r="24">
          <cell r="C24">
            <v>13316.55552</v>
          </cell>
        </row>
        <row r="25">
          <cell r="C25">
            <v>13121.640162158337</v>
          </cell>
        </row>
        <row r="69">
          <cell r="L69">
            <v>1</v>
          </cell>
          <cell r="N69">
            <v>13</v>
          </cell>
        </row>
        <row r="70">
          <cell r="C70">
            <v>43466</v>
          </cell>
        </row>
        <row r="71">
          <cell r="C71">
            <v>1835.4745780000001</v>
          </cell>
        </row>
        <row r="72">
          <cell r="C72">
            <v>3184.7614580000004</v>
          </cell>
        </row>
        <row r="73">
          <cell r="C73">
            <v>2526.1692034291113</v>
          </cell>
        </row>
        <row r="117">
          <cell r="K117">
            <v>1</v>
          </cell>
          <cell r="M117">
            <v>13</v>
          </cell>
        </row>
        <row r="118">
          <cell r="C118">
            <v>43466</v>
          </cell>
        </row>
        <row r="119">
          <cell r="C119">
            <v>504.29922599999998</v>
          </cell>
        </row>
        <row r="120">
          <cell r="C120">
            <v>1508.6937579999999</v>
          </cell>
        </row>
        <row r="121">
          <cell r="C121">
            <v>977.64959807688331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WP"/>
      <sheetName val="Lists&amp;Calcs"/>
      <sheetName val="Readme"/>
      <sheetName val="Parameters"/>
      <sheetName val="Permanent info"/>
      <sheetName val="DATA01-08-2004"/>
      <sheetName val="Links"/>
      <sheetName val="LTLGroup"/>
      <sheetName val="Disposal Tanah"/>
      <sheetName val="NY ADMI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S Worksheet (3Yrs)"/>
      <sheetName val="Summary (3Yrs)"/>
      <sheetName val="FS Worksheet (5Yrs)"/>
      <sheetName val="Summary (5Yrs)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PS Stock"/>
      <sheetName val="Inventory"/>
      <sheetName val="Available"/>
      <sheetName val="Out"/>
      <sheetName val="Erorr-broken"/>
      <sheetName val="SMS units"/>
      <sheetName val="SNperPO"/>
      <sheetName val="Additional Part"/>
      <sheetName val="Sheet2"/>
      <sheetName val="Sheet1"/>
      <sheetName val="Sheet4"/>
      <sheetName val="Sheet"/>
      <sheetName val="PREMI"/>
      <sheetName val="Forex Exp MTM -28-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">
          <cell r="A1" t="str">
            <v>SN</v>
          </cell>
          <cell r="B1" t="str">
            <v>PO</v>
          </cell>
        </row>
        <row r="2">
          <cell r="A2" t="str">
            <v>A300Q104805121</v>
          </cell>
          <cell r="B2">
            <v>300026</v>
          </cell>
        </row>
        <row r="3">
          <cell r="A3" t="str">
            <v>A300Q104805122</v>
          </cell>
          <cell r="B3">
            <v>300026</v>
          </cell>
        </row>
        <row r="4">
          <cell r="A4" t="str">
            <v>A300Q104805123</v>
          </cell>
          <cell r="B4">
            <v>300026</v>
          </cell>
        </row>
        <row r="5">
          <cell r="A5" t="str">
            <v>A300Q104805124</v>
          </cell>
          <cell r="B5">
            <v>300026</v>
          </cell>
        </row>
        <row r="6">
          <cell r="A6" t="str">
            <v>A300Q104805125</v>
          </cell>
          <cell r="B6">
            <v>300026</v>
          </cell>
        </row>
        <row r="7">
          <cell r="A7" t="str">
            <v>A300Q104805126</v>
          </cell>
          <cell r="B7">
            <v>300026</v>
          </cell>
        </row>
        <row r="8">
          <cell r="A8" t="str">
            <v>A300Q104805127</v>
          </cell>
          <cell r="B8">
            <v>300026</v>
          </cell>
        </row>
        <row r="9">
          <cell r="A9" t="str">
            <v>A300Q104805128</v>
          </cell>
          <cell r="B9">
            <v>300026</v>
          </cell>
        </row>
        <row r="10">
          <cell r="A10" t="str">
            <v>A300Q104805129</v>
          </cell>
          <cell r="B10">
            <v>300026</v>
          </cell>
        </row>
        <row r="11">
          <cell r="A11" t="str">
            <v>A300Q104805130</v>
          </cell>
          <cell r="B11">
            <v>300026</v>
          </cell>
        </row>
        <row r="12">
          <cell r="A12" t="str">
            <v>A300Q104805131</v>
          </cell>
          <cell r="B12">
            <v>300026</v>
          </cell>
        </row>
        <row r="13">
          <cell r="A13" t="str">
            <v>A300Q104805132</v>
          </cell>
          <cell r="B13">
            <v>300026</v>
          </cell>
        </row>
        <row r="14">
          <cell r="A14" t="str">
            <v>A300Q104805133</v>
          </cell>
          <cell r="B14">
            <v>300026</v>
          </cell>
        </row>
        <row r="15">
          <cell r="A15" t="str">
            <v>A300Q104805134</v>
          </cell>
          <cell r="B15">
            <v>300026</v>
          </cell>
        </row>
        <row r="16">
          <cell r="A16" t="str">
            <v>A300Q104805135</v>
          </cell>
          <cell r="B16">
            <v>300026</v>
          </cell>
        </row>
        <row r="17">
          <cell r="A17" t="str">
            <v>A300Q104805136</v>
          </cell>
          <cell r="B17">
            <v>300026</v>
          </cell>
        </row>
        <row r="18">
          <cell r="A18" t="str">
            <v>A300Q104805137</v>
          </cell>
          <cell r="B18">
            <v>300026</v>
          </cell>
        </row>
        <row r="19">
          <cell r="A19" t="str">
            <v>A300Q104805138</v>
          </cell>
          <cell r="B19">
            <v>300026</v>
          </cell>
        </row>
        <row r="20">
          <cell r="A20" t="str">
            <v>A300Q104805139</v>
          </cell>
          <cell r="B20">
            <v>300026</v>
          </cell>
        </row>
        <row r="21">
          <cell r="A21" t="str">
            <v>A300Q104805140</v>
          </cell>
          <cell r="B21">
            <v>300026</v>
          </cell>
        </row>
        <row r="22">
          <cell r="A22" t="str">
            <v>A300Q104805141</v>
          </cell>
          <cell r="B22">
            <v>300026</v>
          </cell>
        </row>
        <row r="23">
          <cell r="A23" t="str">
            <v>A300Q104805142</v>
          </cell>
          <cell r="B23">
            <v>300026</v>
          </cell>
        </row>
        <row r="24">
          <cell r="A24" t="str">
            <v>A300Q104805143</v>
          </cell>
          <cell r="B24">
            <v>300026</v>
          </cell>
        </row>
        <row r="25">
          <cell r="A25" t="str">
            <v>A300Q104805144</v>
          </cell>
          <cell r="B25">
            <v>300026</v>
          </cell>
        </row>
        <row r="26">
          <cell r="A26" t="str">
            <v>A300Q104805145</v>
          </cell>
          <cell r="B26">
            <v>300026</v>
          </cell>
        </row>
        <row r="27">
          <cell r="A27" t="str">
            <v>A300Q104805146</v>
          </cell>
          <cell r="B27">
            <v>300026</v>
          </cell>
        </row>
        <row r="28">
          <cell r="A28" t="str">
            <v>A300Q104805147</v>
          </cell>
          <cell r="B28">
            <v>300026</v>
          </cell>
        </row>
        <row r="29">
          <cell r="A29" t="str">
            <v>A300Q104805148</v>
          </cell>
          <cell r="B29">
            <v>300026</v>
          </cell>
        </row>
        <row r="30">
          <cell r="A30" t="str">
            <v>A300Q104805149</v>
          </cell>
          <cell r="B30">
            <v>300026</v>
          </cell>
        </row>
        <row r="31">
          <cell r="A31" t="str">
            <v>A300Q104805150</v>
          </cell>
          <cell r="B31">
            <v>300026</v>
          </cell>
        </row>
        <row r="32">
          <cell r="A32" t="str">
            <v>A300Q104805151</v>
          </cell>
          <cell r="B32">
            <v>300019</v>
          </cell>
        </row>
        <row r="33">
          <cell r="A33" t="str">
            <v>A300Q104805152</v>
          </cell>
          <cell r="B33">
            <v>300019</v>
          </cell>
        </row>
        <row r="34">
          <cell r="A34" t="str">
            <v>A300Q104805153</v>
          </cell>
          <cell r="B34">
            <v>300019</v>
          </cell>
        </row>
        <row r="35">
          <cell r="A35" t="str">
            <v>A300Q104805154</v>
          </cell>
          <cell r="B35">
            <v>300019</v>
          </cell>
        </row>
        <row r="36">
          <cell r="A36" t="str">
            <v>A300Q104805155</v>
          </cell>
          <cell r="B36">
            <v>300019</v>
          </cell>
        </row>
        <row r="37">
          <cell r="A37" t="str">
            <v>A300Q104805156</v>
          </cell>
          <cell r="B37">
            <v>300019</v>
          </cell>
        </row>
        <row r="38">
          <cell r="A38" t="str">
            <v>A300Q104805157</v>
          </cell>
          <cell r="B38">
            <v>300019</v>
          </cell>
        </row>
        <row r="39">
          <cell r="A39" t="str">
            <v>A300Q104805158</v>
          </cell>
          <cell r="B39">
            <v>300019</v>
          </cell>
        </row>
        <row r="40">
          <cell r="A40" t="str">
            <v>A300Q104805159</v>
          </cell>
          <cell r="B40">
            <v>300019</v>
          </cell>
        </row>
        <row r="41">
          <cell r="A41" t="str">
            <v>A300Q104805160</v>
          </cell>
          <cell r="B41">
            <v>300019</v>
          </cell>
        </row>
        <row r="42">
          <cell r="A42" t="str">
            <v>A300Q104805161</v>
          </cell>
          <cell r="B42">
            <v>300019</v>
          </cell>
        </row>
        <row r="43">
          <cell r="A43" t="str">
            <v>A300Q104805162</v>
          </cell>
          <cell r="B43">
            <v>300019</v>
          </cell>
        </row>
        <row r="44">
          <cell r="A44" t="str">
            <v>A300Q104805163</v>
          </cell>
          <cell r="B44">
            <v>300019</v>
          </cell>
        </row>
        <row r="45">
          <cell r="A45" t="str">
            <v>A300Q104805164</v>
          </cell>
          <cell r="B45">
            <v>300019</v>
          </cell>
        </row>
        <row r="46">
          <cell r="A46" t="str">
            <v>A300Q104805165</v>
          </cell>
          <cell r="B46">
            <v>300019</v>
          </cell>
        </row>
        <row r="47">
          <cell r="A47" t="str">
            <v>A300Q104805166</v>
          </cell>
          <cell r="B47">
            <v>300019</v>
          </cell>
        </row>
        <row r="48">
          <cell r="A48" t="str">
            <v>A300Q104805167</v>
          </cell>
          <cell r="B48">
            <v>300019</v>
          </cell>
        </row>
        <row r="49">
          <cell r="A49" t="str">
            <v>A300Q104805168</v>
          </cell>
          <cell r="B49">
            <v>300019</v>
          </cell>
        </row>
        <row r="50">
          <cell r="A50" t="str">
            <v>A300Q104805169</v>
          </cell>
          <cell r="B50">
            <v>300019</v>
          </cell>
        </row>
        <row r="51">
          <cell r="A51" t="str">
            <v>A300Q104805170</v>
          </cell>
          <cell r="B51">
            <v>300019</v>
          </cell>
        </row>
        <row r="52">
          <cell r="A52" t="str">
            <v>A300Q104805171</v>
          </cell>
          <cell r="B52">
            <v>300019</v>
          </cell>
        </row>
        <row r="53">
          <cell r="A53" t="str">
            <v>A300Q104805172</v>
          </cell>
          <cell r="B53">
            <v>300019</v>
          </cell>
        </row>
        <row r="54">
          <cell r="A54" t="str">
            <v>A300Q104805173</v>
          </cell>
          <cell r="B54">
            <v>300019</v>
          </cell>
        </row>
        <row r="55">
          <cell r="A55" t="str">
            <v>A300Q104805174</v>
          </cell>
          <cell r="B55">
            <v>300019</v>
          </cell>
        </row>
        <row r="56">
          <cell r="A56" t="str">
            <v>A300Q104805175</v>
          </cell>
          <cell r="B56">
            <v>300019</v>
          </cell>
        </row>
        <row r="57">
          <cell r="A57" t="str">
            <v>A300Q104805201</v>
          </cell>
          <cell r="B57">
            <v>300025</v>
          </cell>
        </row>
        <row r="58">
          <cell r="A58" t="str">
            <v>A300Q104805202</v>
          </cell>
          <cell r="B58">
            <v>300025</v>
          </cell>
        </row>
        <row r="59">
          <cell r="A59" t="str">
            <v>A300Q104805203</v>
          </cell>
          <cell r="B59">
            <v>300025</v>
          </cell>
        </row>
        <row r="60">
          <cell r="A60" t="str">
            <v>A300Q104805204</v>
          </cell>
          <cell r="B60">
            <v>300025</v>
          </cell>
        </row>
        <row r="61">
          <cell r="A61" t="str">
            <v>A300Q104805205</v>
          </cell>
          <cell r="B61">
            <v>300025</v>
          </cell>
        </row>
        <row r="62">
          <cell r="A62" t="str">
            <v>A300Q104805206</v>
          </cell>
          <cell r="B62">
            <v>300025</v>
          </cell>
        </row>
        <row r="63">
          <cell r="A63" t="str">
            <v>A300Q104805207</v>
          </cell>
          <cell r="B63">
            <v>300025</v>
          </cell>
        </row>
        <row r="64">
          <cell r="A64" t="str">
            <v>A300Q104805208</v>
          </cell>
          <cell r="B64">
            <v>300025</v>
          </cell>
        </row>
        <row r="65">
          <cell r="A65" t="str">
            <v>A300Q104805209</v>
          </cell>
          <cell r="B65">
            <v>300025</v>
          </cell>
        </row>
        <row r="66">
          <cell r="A66" t="str">
            <v>A300Q104805210</v>
          </cell>
          <cell r="B66">
            <v>300025</v>
          </cell>
        </row>
        <row r="67">
          <cell r="A67" t="str">
            <v>A300Q104805211</v>
          </cell>
          <cell r="B67">
            <v>300025</v>
          </cell>
        </row>
        <row r="68">
          <cell r="A68" t="str">
            <v>A300Q104805212</v>
          </cell>
          <cell r="B68">
            <v>300025</v>
          </cell>
        </row>
        <row r="69">
          <cell r="A69" t="str">
            <v>A300Q104805213</v>
          </cell>
          <cell r="B69">
            <v>300025</v>
          </cell>
        </row>
        <row r="70">
          <cell r="A70" t="str">
            <v>A300Q104805214</v>
          </cell>
          <cell r="B70">
            <v>300025</v>
          </cell>
        </row>
        <row r="71">
          <cell r="A71" t="str">
            <v>A300Q104805215</v>
          </cell>
          <cell r="B71">
            <v>300025</v>
          </cell>
        </row>
        <row r="72">
          <cell r="A72" t="str">
            <v>A300Q104805216</v>
          </cell>
          <cell r="B72">
            <v>300025</v>
          </cell>
        </row>
        <row r="73">
          <cell r="A73" t="str">
            <v>A300Q104805217</v>
          </cell>
          <cell r="B73">
            <v>300025</v>
          </cell>
        </row>
        <row r="74">
          <cell r="A74" t="str">
            <v>A300Q104805218</v>
          </cell>
          <cell r="B74">
            <v>300025</v>
          </cell>
        </row>
        <row r="75">
          <cell r="A75" t="str">
            <v>A300Q104805219</v>
          </cell>
          <cell r="B75">
            <v>300025</v>
          </cell>
        </row>
        <row r="76">
          <cell r="A76" t="str">
            <v>A300Q104805220</v>
          </cell>
          <cell r="B76">
            <v>300025</v>
          </cell>
        </row>
        <row r="77">
          <cell r="A77" t="str">
            <v>A300Q104805221</v>
          </cell>
          <cell r="B77">
            <v>300025</v>
          </cell>
        </row>
        <row r="78">
          <cell r="A78" t="str">
            <v>A300Q104805222</v>
          </cell>
          <cell r="B78">
            <v>300025</v>
          </cell>
        </row>
        <row r="79">
          <cell r="A79" t="str">
            <v>A300Q104805223</v>
          </cell>
          <cell r="B79">
            <v>300025</v>
          </cell>
        </row>
        <row r="80">
          <cell r="A80" t="str">
            <v>A300Q104805224</v>
          </cell>
          <cell r="B80">
            <v>300025</v>
          </cell>
        </row>
        <row r="81">
          <cell r="A81" t="str">
            <v>A300Q104805225</v>
          </cell>
          <cell r="B81">
            <v>300025</v>
          </cell>
        </row>
        <row r="82">
          <cell r="A82" t="str">
            <v>A300Q104805226</v>
          </cell>
          <cell r="B82">
            <v>300025</v>
          </cell>
        </row>
        <row r="83">
          <cell r="A83" t="str">
            <v>A300Q104805227</v>
          </cell>
          <cell r="B83">
            <v>300025</v>
          </cell>
        </row>
        <row r="84">
          <cell r="A84" t="str">
            <v>A300Q104805228</v>
          </cell>
          <cell r="B84">
            <v>300025</v>
          </cell>
        </row>
        <row r="85">
          <cell r="A85" t="str">
            <v>A300Q104805229</v>
          </cell>
          <cell r="B85">
            <v>300025</v>
          </cell>
        </row>
        <row r="86">
          <cell r="A86" t="str">
            <v>A300Q104805230</v>
          </cell>
          <cell r="B86">
            <v>300025</v>
          </cell>
        </row>
        <row r="87">
          <cell r="A87" t="str">
            <v>A300Q104805231</v>
          </cell>
          <cell r="B87">
            <v>300025</v>
          </cell>
        </row>
        <row r="88">
          <cell r="A88" t="str">
            <v>A300Q104805232</v>
          </cell>
          <cell r="B88">
            <v>300025</v>
          </cell>
        </row>
        <row r="89">
          <cell r="A89" t="str">
            <v>A300Q104805233</v>
          </cell>
          <cell r="B89">
            <v>300025</v>
          </cell>
        </row>
        <row r="90">
          <cell r="A90" t="str">
            <v>A300Q104805234</v>
          </cell>
          <cell r="B90">
            <v>300025</v>
          </cell>
        </row>
        <row r="91">
          <cell r="A91" t="str">
            <v>A300Q104805235</v>
          </cell>
          <cell r="B91">
            <v>300025</v>
          </cell>
        </row>
        <row r="92">
          <cell r="A92" t="str">
            <v>A300Q104805236</v>
          </cell>
          <cell r="B92">
            <v>300025</v>
          </cell>
        </row>
        <row r="93">
          <cell r="A93" t="str">
            <v>A300Q104805237</v>
          </cell>
          <cell r="B93">
            <v>300025</v>
          </cell>
        </row>
        <row r="94">
          <cell r="A94" t="str">
            <v>A300Q104805238</v>
          </cell>
          <cell r="B94">
            <v>300025</v>
          </cell>
        </row>
        <row r="95">
          <cell r="A95" t="str">
            <v>A300Q104805239</v>
          </cell>
          <cell r="B95">
            <v>300025</v>
          </cell>
        </row>
        <row r="96">
          <cell r="A96" t="str">
            <v>A300Q104805240</v>
          </cell>
          <cell r="B96">
            <v>300025</v>
          </cell>
        </row>
        <row r="97">
          <cell r="A97" t="str">
            <v>A300Q104805241</v>
          </cell>
          <cell r="B97">
            <v>300025</v>
          </cell>
        </row>
        <row r="98">
          <cell r="A98" t="str">
            <v>A300Q104805242</v>
          </cell>
          <cell r="B98">
            <v>300025</v>
          </cell>
        </row>
        <row r="99">
          <cell r="A99" t="str">
            <v>A300Q104805243</v>
          </cell>
          <cell r="B99">
            <v>300025</v>
          </cell>
        </row>
        <row r="100">
          <cell r="A100" t="str">
            <v>A300Q104805244</v>
          </cell>
          <cell r="B100">
            <v>300025</v>
          </cell>
        </row>
        <row r="101">
          <cell r="A101" t="str">
            <v>A300Q104805245</v>
          </cell>
          <cell r="B101">
            <v>300025</v>
          </cell>
        </row>
        <row r="102">
          <cell r="A102" t="str">
            <v>A300Q104805246</v>
          </cell>
          <cell r="B102">
            <v>300025</v>
          </cell>
        </row>
        <row r="103">
          <cell r="A103" t="str">
            <v>A300Q104805247</v>
          </cell>
          <cell r="B103">
            <v>300025</v>
          </cell>
        </row>
        <row r="104">
          <cell r="A104" t="str">
            <v>A300Q104805248</v>
          </cell>
          <cell r="B104">
            <v>300025</v>
          </cell>
        </row>
        <row r="105">
          <cell r="A105" t="str">
            <v>A300Q104805249</v>
          </cell>
          <cell r="B105">
            <v>300025</v>
          </cell>
        </row>
        <row r="106">
          <cell r="A106" t="str">
            <v>A300Q104805250</v>
          </cell>
          <cell r="B106">
            <v>300025</v>
          </cell>
        </row>
        <row r="107">
          <cell r="A107" t="str">
            <v>A300Q104805251</v>
          </cell>
          <cell r="B107">
            <v>300025</v>
          </cell>
        </row>
        <row r="108">
          <cell r="A108" t="str">
            <v>A300Q104805252</v>
          </cell>
          <cell r="B108">
            <v>300025</v>
          </cell>
        </row>
        <row r="109">
          <cell r="A109" t="str">
            <v>A300Q104805253</v>
          </cell>
          <cell r="B109">
            <v>300025</v>
          </cell>
        </row>
        <row r="110">
          <cell r="A110" t="str">
            <v>A300Q104805254</v>
          </cell>
          <cell r="B110">
            <v>300025</v>
          </cell>
        </row>
        <row r="111">
          <cell r="A111" t="str">
            <v>A300Q104805255</v>
          </cell>
          <cell r="B111">
            <v>300025</v>
          </cell>
        </row>
        <row r="112">
          <cell r="A112" t="str">
            <v>A300Q104805256</v>
          </cell>
          <cell r="B112">
            <v>300025</v>
          </cell>
        </row>
        <row r="113">
          <cell r="A113" t="str">
            <v>A300Q104805257</v>
          </cell>
          <cell r="B113">
            <v>300025</v>
          </cell>
        </row>
        <row r="114">
          <cell r="A114" t="str">
            <v>A300Q104805258</v>
          </cell>
          <cell r="B114">
            <v>300025</v>
          </cell>
        </row>
        <row r="115">
          <cell r="A115" t="str">
            <v>A300Q104805259</v>
          </cell>
          <cell r="B115">
            <v>300025</v>
          </cell>
        </row>
        <row r="116">
          <cell r="A116" t="str">
            <v>A300Q104805260</v>
          </cell>
          <cell r="B116">
            <v>300025</v>
          </cell>
        </row>
        <row r="117">
          <cell r="A117" t="str">
            <v>A300Q104805261</v>
          </cell>
          <cell r="B117">
            <v>300025</v>
          </cell>
        </row>
        <row r="118">
          <cell r="A118" t="str">
            <v>A300Q104805262</v>
          </cell>
          <cell r="B118">
            <v>300025</v>
          </cell>
        </row>
        <row r="119">
          <cell r="A119" t="str">
            <v>A300Q104805263</v>
          </cell>
          <cell r="B119">
            <v>300025</v>
          </cell>
        </row>
        <row r="120">
          <cell r="A120" t="str">
            <v>A300Q104805264</v>
          </cell>
          <cell r="B120">
            <v>300025</v>
          </cell>
        </row>
        <row r="121">
          <cell r="A121" t="str">
            <v>A300Q104805265</v>
          </cell>
          <cell r="B121">
            <v>300025</v>
          </cell>
        </row>
        <row r="122">
          <cell r="A122" t="str">
            <v>A300Q104805266</v>
          </cell>
          <cell r="B122">
            <v>300025</v>
          </cell>
        </row>
        <row r="123">
          <cell r="A123" t="str">
            <v>A300Q104805267</v>
          </cell>
          <cell r="B123">
            <v>300025</v>
          </cell>
        </row>
        <row r="124">
          <cell r="A124" t="str">
            <v>A300Q104805268</v>
          </cell>
          <cell r="B124">
            <v>300025</v>
          </cell>
        </row>
        <row r="125">
          <cell r="A125" t="str">
            <v>A300Q104805269</v>
          </cell>
          <cell r="B125">
            <v>300025</v>
          </cell>
        </row>
        <row r="126">
          <cell r="A126" t="str">
            <v>A300Q104805270</v>
          </cell>
          <cell r="B126">
            <v>300025</v>
          </cell>
        </row>
        <row r="127">
          <cell r="A127" t="str">
            <v>A300Q104805271</v>
          </cell>
          <cell r="B127">
            <v>300025</v>
          </cell>
        </row>
        <row r="128">
          <cell r="A128" t="str">
            <v>A300Q104805272</v>
          </cell>
          <cell r="B128">
            <v>300025</v>
          </cell>
        </row>
        <row r="129">
          <cell r="A129" t="str">
            <v>A300Q104805273</v>
          </cell>
          <cell r="B129">
            <v>300025</v>
          </cell>
        </row>
        <row r="130">
          <cell r="A130" t="str">
            <v>A300Q104805274</v>
          </cell>
          <cell r="B130">
            <v>300025</v>
          </cell>
        </row>
        <row r="131">
          <cell r="A131" t="str">
            <v>A300Q104805275</v>
          </cell>
          <cell r="B131">
            <v>300025</v>
          </cell>
        </row>
        <row r="132">
          <cell r="A132" t="str">
            <v>A300Q104805276</v>
          </cell>
          <cell r="B132">
            <v>300025</v>
          </cell>
        </row>
        <row r="133">
          <cell r="A133" t="str">
            <v>A300Q104805277</v>
          </cell>
          <cell r="B133">
            <v>300025</v>
          </cell>
        </row>
        <row r="134">
          <cell r="A134" t="str">
            <v>A300Q104805278</v>
          </cell>
          <cell r="B134">
            <v>300025</v>
          </cell>
        </row>
        <row r="135">
          <cell r="A135" t="str">
            <v>A300Q104805279</v>
          </cell>
          <cell r="B135">
            <v>300025</v>
          </cell>
        </row>
        <row r="136">
          <cell r="A136" t="str">
            <v>A300Q104805280</v>
          </cell>
          <cell r="B136">
            <v>300025</v>
          </cell>
        </row>
        <row r="137">
          <cell r="A137" t="str">
            <v>A300Q104805281</v>
          </cell>
          <cell r="B137">
            <v>300025</v>
          </cell>
        </row>
        <row r="138">
          <cell r="A138" t="str">
            <v>A300Q104805282</v>
          </cell>
          <cell r="B138">
            <v>300025</v>
          </cell>
        </row>
        <row r="139">
          <cell r="A139" t="str">
            <v>A300Q104805283</v>
          </cell>
          <cell r="B139">
            <v>300025</v>
          </cell>
        </row>
        <row r="140">
          <cell r="A140" t="str">
            <v>A300Q104805284</v>
          </cell>
          <cell r="B140">
            <v>300025</v>
          </cell>
        </row>
        <row r="141">
          <cell r="A141" t="str">
            <v>A300Q104805285</v>
          </cell>
          <cell r="B141">
            <v>300025</v>
          </cell>
        </row>
        <row r="142">
          <cell r="A142" t="str">
            <v>A300Q104805286</v>
          </cell>
          <cell r="B142">
            <v>300025</v>
          </cell>
        </row>
        <row r="143">
          <cell r="A143" t="str">
            <v>A300Q104805287</v>
          </cell>
          <cell r="B143">
            <v>300025</v>
          </cell>
        </row>
        <row r="144">
          <cell r="A144" t="str">
            <v>A300Q104805288</v>
          </cell>
          <cell r="B144">
            <v>300025</v>
          </cell>
        </row>
        <row r="145">
          <cell r="A145" t="str">
            <v>A300Q104805289</v>
          </cell>
          <cell r="B145">
            <v>300025</v>
          </cell>
        </row>
        <row r="146">
          <cell r="A146" t="str">
            <v>A300Q104805290</v>
          </cell>
          <cell r="B146">
            <v>300025</v>
          </cell>
        </row>
        <row r="147">
          <cell r="A147" t="str">
            <v>A300Q104805291</v>
          </cell>
          <cell r="B147">
            <v>300025</v>
          </cell>
        </row>
        <row r="148">
          <cell r="A148" t="str">
            <v>A300Q104805292</v>
          </cell>
          <cell r="B148">
            <v>300025</v>
          </cell>
        </row>
        <row r="149">
          <cell r="A149" t="str">
            <v>A300Q104805293</v>
          </cell>
          <cell r="B149">
            <v>300025</v>
          </cell>
        </row>
        <row r="150">
          <cell r="A150" t="str">
            <v>A300Q104805294</v>
          </cell>
          <cell r="B150">
            <v>300025</v>
          </cell>
        </row>
        <row r="151">
          <cell r="A151" t="str">
            <v>A300Q104805295</v>
          </cell>
          <cell r="B151">
            <v>300025</v>
          </cell>
        </row>
        <row r="152">
          <cell r="A152" t="str">
            <v>A300Q104805296</v>
          </cell>
          <cell r="B152">
            <v>300025</v>
          </cell>
        </row>
        <row r="153">
          <cell r="A153" t="str">
            <v>A300Q104805297</v>
          </cell>
          <cell r="B153">
            <v>300025</v>
          </cell>
        </row>
        <row r="154">
          <cell r="A154" t="str">
            <v>A300Q104805298</v>
          </cell>
          <cell r="B154">
            <v>300025</v>
          </cell>
        </row>
        <row r="155">
          <cell r="A155" t="str">
            <v>A300Q104805299</v>
          </cell>
          <cell r="B155">
            <v>300025</v>
          </cell>
        </row>
        <row r="156">
          <cell r="A156" t="str">
            <v>A300Q104805300</v>
          </cell>
          <cell r="B156">
            <v>300025</v>
          </cell>
        </row>
        <row r="157">
          <cell r="A157" t="str">
            <v>A300Q104805521</v>
          </cell>
          <cell r="B157">
            <v>300026</v>
          </cell>
        </row>
        <row r="158">
          <cell r="A158" t="str">
            <v>A300Q104805522</v>
          </cell>
          <cell r="B158">
            <v>300026</v>
          </cell>
        </row>
        <row r="159">
          <cell r="A159" t="str">
            <v>A300Q104805523</v>
          </cell>
          <cell r="B159">
            <v>300026</v>
          </cell>
        </row>
        <row r="160">
          <cell r="A160" t="str">
            <v>A300Q104805524</v>
          </cell>
          <cell r="B160">
            <v>300026</v>
          </cell>
        </row>
        <row r="161">
          <cell r="A161" t="str">
            <v>A300Q104805525</v>
          </cell>
          <cell r="B161">
            <v>300026</v>
          </cell>
        </row>
        <row r="162">
          <cell r="A162" t="str">
            <v>A300Q104805526</v>
          </cell>
          <cell r="B162">
            <v>300026</v>
          </cell>
        </row>
        <row r="163">
          <cell r="A163" t="str">
            <v>A300Q104805527</v>
          </cell>
          <cell r="B163">
            <v>300026</v>
          </cell>
        </row>
        <row r="164">
          <cell r="A164" t="str">
            <v>A300Q104805528</v>
          </cell>
          <cell r="B164">
            <v>300026</v>
          </cell>
        </row>
        <row r="165">
          <cell r="A165" t="str">
            <v>A300Q104805529</v>
          </cell>
          <cell r="B165">
            <v>300026</v>
          </cell>
        </row>
        <row r="166">
          <cell r="A166" t="str">
            <v>A300Q104805530</v>
          </cell>
          <cell r="B166">
            <v>300026</v>
          </cell>
        </row>
        <row r="167">
          <cell r="A167" t="str">
            <v>A300Q104805531</v>
          </cell>
          <cell r="B167">
            <v>300026</v>
          </cell>
        </row>
        <row r="168">
          <cell r="A168" t="str">
            <v>A300Q104805532</v>
          </cell>
          <cell r="B168">
            <v>300026</v>
          </cell>
        </row>
        <row r="169">
          <cell r="A169" t="str">
            <v>A300Q104805533</v>
          </cell>
          <cell r="B169">
            <v>300026</v>
          </cell>
        </row>
        <row r="170">
          <cell r="A170" t="str">
            <v>A300Q104805534</v>
          </cell>
          <cell r="B170">
            <v>300026</v>
          </cell>
        </row>
        <row r="171">
          <cell r="A171" t="str">
            <v>A300Q104805535</v>
          </cell>
          <cell r="B171">
            <v>300026</v>
          </cell>
        </row>
        <row r="172">
          <cell r="A172" t="str">
            <v>A300Q104805536</v>
          </cell>
          <cell r="B172">
            <v>300026</v>
          </cell>
        </row>
        <row r="173">
          <cell r="A173" t="str">
            <v>A300Q104805537</v>
          </cell>
          <cell r="B173">
            <v>300026</v>
          </cell>
        </row>
        <row r="174">
          <cell r="A174" t="str">
            <v>A300Q104805538</v>
          </cell>
          <cell r="B174">
            <v>300026</v>
          </cell>
        </row>
        <row r="175">
          <cell r="A175" t="str">
            <v>A300Q104805539</v>
          </cell>
          <cell r="B175">
            <v>300026</v>
          </cell>
        </row>
        <row r="176">
          <cell r="A176" t="str">
            <v>A300Q104805540</v>
          </cell>
          <cell r="B176">
            <v>300026</v>
          </cell>
        </row>
        <row r="177">
          <cell r="A177" t="str">
            <v>A300Q104805561</v>
          </cell>
          <cell r="B177">
            <v>300026</v>
          </cell>
        </row>
        <row r="178">
          <cell r="A178" t="str">
            <v>A300Q104805562</v>
          </cell>
          <cell r="B178">
            <v>300026</v>
          </cell>
        </row>
        <row r="179">
          <cell r="A179" t="str">
            <v>A300Q104805563</v>
          </cell>
          <cell r="B179">
            <v>300026</v>
          </cell>
        </row>
        <row r="180">
          <cell r="A180" t="str">
            <v>A300Q104805564</v>
          </cell>
          <cell r="B180">
            <v>300026</v>
          </cell>
        </row>
        <row r="181">
          <cell r="A181" t="str">
            <v>A300Q104805565</v>
          </cell>
          <cell r="B181">
            <v>300026</v>
          </cell>
        </row>
        <row r="182">
          <cell r="A182" t="str">
            <v>A300Q104805566</v>
          </cell>
          <cell r="B182">
            <v>300026</v>
          </cell>
        </row>
        <row r="183">
          <cell r="A183" t="str">
            <v>A300Q104805567</v>
          </cell>
          <cell r="B183">
            <v>300026</v>
          </cell>
        </row>
        <row r="184">
          <cell r="A184" t="str">
            <v>A300Q104805568</v>
          </cell>
          <cell r="B184">
            <v>300026</v>
          </cell>
        </row>
        <row r="185">
          <cell r="A185" t="str">
            <v>A300Q104805569</v>
          </cell>
          <cell r="B185">
            <v>300026</v>
          </cell>
        </row>
        <row r="186">
          <cell r="A186" t="str">
            <v>A300Q104805570</v>
          </cell>
          <cell r="B186">
            <v>300026</v>
          </cell>
        </row>
        <row r="187">
          <cell r="A187" t="str">
            <v>A300Q104805571</v>
          </cell>
          <cell r="B187">
            <v>300026</v>
          </cell>
        </row>
        <row r="188">
          <cell r="A188" t="str">
            <v>A300Q104805572</v>
          </cell>
          <cell r="B188">
            <v>300026</v>
          </cell>
        </row>
        <row r="189">
          <cell r="A189" t="str">
            <v>A300Q104805573</v>
          </cell>
          <cell r="B189">
            <v>300026</v>
          </cell>
        </row>
        <row r="190">
          <cell r="A190" t="str">
            <v>A300Q104805574</v>
          </cell>
          <cell r="B190">
            <v>300026</v>
          </cell>
        </row>
        <row r="191">
          <cell r="A191" t="str">
            <v>A300Q104805575</v>
          </cell>
          <cell r="B191">
            <v>300026</v>
          </cell>
        </row>
        <row r="192">
          <cell r="A192" t="str">
            <v>A300Q104805576</v>
          </cell>
          <cell r="B192">
            <v>300026</v>
          </cell>
        </row>
        <row r="193">
          <cell r="A193" t="str">
            <v>A300Q104805577</v>
          </cell>
          <cell r="B193">
            <v>300026</v>
          </cell>
        </row>
        <row r="194">
          <cell r="A194" t="str">
            <v>A300Q104805578</v>
          </cell>
          <cell r="B194">
            <v>300026</v>
          </cell>
        </row>
        <row r="195">
          <cell r="A195" t="str">
            <v>A300Q104805579</v>
          </cell>
          <cell r="B195">
            <v>300026</v>
          </cell>
        </row>
        <row r="196">
          <cell r="A196" t="str">
            <v>A300Q104805580</v>
          </cell>
          <cell r="B196">
            <v>300026</v>
          </cell>
        </row>
        <row r="197">
          <cell r="A197" t="str">
            <v>A300Q104805581</v>
          </cell>
          <cell r="B197">
            <v>300026</v>
          </cell>
        </row>
        <row r="198">
          <cell r="A198" t="str">
            <v>A300Q104805582</v>
          </cell>
          <cell r="B198">
            <v>300026</v>
          </cell>
        </row>
        <row r="199">
          <cell r="A199" t="str">
            <v>A300Q104805583</v>
          </cell>
          <cell r="B199">
            <v>300026</v>
          </cell>
        </row>
        <row r="200">
          <cell r="A200" t="str">
            <v>A300Q104805584</v>
          </cell>
          <cell r="B200">
            <v>300026</v>
          </cell>
        </row>
        <row r="201">
          <cell r="A201" t="str">
            <v>A300Q104805585</v>
          </cell>
          <cell r="B201">
            <v>300026</v>
          </cell>
        </row>
        <row r="202">
          <cell r="A202" t="str">
            <v>A300Q104805586</v>
          </cell>
          <cell r="B202">
            <v>300026</v>
          </cell>
        </row>
        <row r="203">
          <cell r="A203" t="str">
            <v>A300Q104805587</v>
          </cell>
          <cell r="B203">
            <v>300026</v>
          </cell>
        </row>
        <row r="204">
          <cell r="A204" t="str">
            <v>A300Q104805588</v>
          </cell>
          <cell r="B204">
            <v>300026</v>
          </cell>
        </row>
        <row r="205">
          <cell r="A205" t="str">
            <v>A300Q104805589</v>
          </cell>
          <cell r="B205">
            <v>300026</v>
          </cell>
        </row>
        <row r="206">
          <cell r="A206" t="str">
            <v>A300Q104805590</v>
          </cell>
          <cell r="B206">
            <v>300026</v>
          </cell>
        </row>
        <row r="207">
          <cell r="A207" t="str">
            <v>A300Q104805591</v>
          </cell>
          <cell r="B207">
            <v>300026</v>
          </cell>
        </row>
        <row r="208">
          <cell r="A208" t="str">
            <v>A300Q104805592</v>
          </cell>
          <cell r="B208">
            <v>300026</v>
          </cell>
        </row>
        <row r="209">
          <cell r="A209" t="str">
            <v>A300Q104805593</v>
          </cell>
          <cell r="B209">
            <v>300026</v>
          </cell>
        </row>
        <row r="210">
          <cell r="A210" t="str">
            <v>A300Q104805594</v>
          </cell>
          <cell r="B210">
            <v>300026</v>
          </cell>
        </row>
        <row r="211">
          <cell r="A211" t="str">
            <v>A300Q104805595</v>
          </cell>
          <cell r="B211">
            <v>300026</v>
          </cell>
        </row>
        <row r="212">
          <cell r="A212" t="str">
            <v>A300Q104805596</v>
          </cell>
          <cell r="B212">
            <v>300026</v>
          </cell>
        </row>
        <row r="213">
          <cell r="A213" t="str">
            <v>A300Q104805597</v>
          </cell>
          <cell r="B213">
            <v>300026</v>
          </cell>
        </row>
        <row r="214">
          <cell r="A214" t="str">
            <v>A300Q104805598</v>
          </cell>
          <cell r="B214">
            <v>300026</v>
          </cell>
        </row>
        <row r="215">
          <cell r="A215" t="str">
            <v>A300Q104805599</v>
          </cell>
          <cell r="B215">
            <v>300026</v>
          </cell>
        </row>
        <row r="216">
          <cell r="A216" t="str">
            <v>A300Q104805600</v>
          </cell>
          <cell r="B216">
            <v>300026</v>
          </cell>
        </row>
        <row r="217">
          <cell r="A217" t="str">
            <v>A300Q104805601</v>
          </cell>
          <cell r="B217">
            <v>300026</v>
          </cell>
        </row>
        <row r="218">
          <cell r="A218" t="str">
            <v>A300Q104805602</v>
          </cell>
          <cell r="B218">
            <v>300026</v>
          </cell>
        </row>
        <row r="219">
          <cell r="A219" t="str">
            <v>A300Q104805603</v>
          </cell>
          <cell r="B219">
            <v>300026</v>
          </cell>
        </row>
        <row r="220">
          <cell r="A220" t="str">
            <v>A300Q104805604</v>
          </cell>
          <cell r="B220">
            <v>300026</v>
          </cell>
        </row>
        <row r="221">
          <cell r="A221" t="str">
            <v>A300Q104805605</v>
          </cell>
          <cell r="B221">
            <v>300026</v>
          </cell>
        </row>
        <row r="222">
          <cell r="A222" t="str">
            <v>A300Q104805606</v>
          </cell>
          <cell r="B222">
            <v>300026</v>
          </cell>
        </row>
        <row r="223">
          <cell r="A223" t="str">
            <v>A300Q104805607</v>
          </cell>
          <cell r="B223">
            <v>300026</v>
          </cell>
        </row>
        <row r="224">
          <cell r="A224" t="str">
            <v>A300Q104805608</v>
          </cell>
          <cell r="B224">
            <v>300026</v>
          </cell>
        </row>
        <row r="225">
          <cell r="A225" t="str">
            <v>A300Q104805609</v>
          </cell>
          <cell r="B225">
            <v>300026</v>
          </cell>
        </row>
        <row r="226">
          <cell r="A226" t="str">
            <v>A300Q104805610</v>
          </cell>
          <cell r="B226">
            <v>300026</v>
          </cell>
        </row>
        <row r="227">
          <cell r="A227" t="str">
            <v>A300Q104805611</v>
          </cell>
          <cell r="B227">
            <v>300031</v>
          </cell>
        </row>
        <row r="228">
          <cell r="A228" t="str">
            <v>A300Q104805612</v>
          </cell>
          <cell r="B228">
            <v>300031</v>
          </cell>
        </row>
        <row r="229">
          <cell r="A229" t="str">
            <v>A300Q104805613</v>
          </cell>
          <cell r="B229">
            <v>300031</v>
          </cell>
        </row>
        <row r="230">
          <cell r="A230" t="str">
            <v>A300Q104805614</v>
          </cell>
          <cell r="B230">
            <v>300031</v>
          </cell>
        </row>
        <row r="231">
          <cell r="A231" t="str">
            <v>A300Q104805615</v>
          </cell>
          <cell r="B231">
            <v>300031</v>
          </cell>
        </row>
        <row r="232">
          <cell r="A232" t="str">
            <v>A300Q104805616</v>
          </cell>
          <cell r="B232">
            <v>300031</v>
          </cell>
        </row>
        <row r="233">
          <cell r="A233" t="str">
            <v>A300Q104805617</v>
          </cell>
          <cell r="B233">
            <v>300031</v>
          </cell>
        </row>
        <row r="234">
          <cell r="A234" t="str">
            <v>A300Q104805618</v>
          </cell>
          <cell r="B234">
            <v>300031</v>
          </cell>
        </row>
        <row r="235">
          <cell r="A235" t="str">
            <v>A300Q104805619</v>
          </cell>
          <cell r="B235">
            <v>300031</v>
          </cell>
        </row>
        <row r="236">
          <cell r="A236" t="str">
            <v>A300Q104805620</v>
          </cell>
          <cell r="B236">
            <v>300031</v>
          </cell>
        </row>
        <row r="237">
          <cell r="A237" t="str">
            <v>A300Q104805621</v>
          </cell>
          <cell r="B237">
            <v>300031</v>
          </cell>
        </row>
        <row r="238">
          <cell r="A238" t="str">
            <v>A300Q104805622</v>
          </cell>
          <cell r="B238">
            <v>300031</v>
          </cell>
        </row>
        <row r="239">
          <cell r="A239" t="str">
            <v>A300Q104805623</v>
          </cell>
          <cell r="B239">
            <v>300031</v>
          </cell>
        </row>
        <row r="240">
          <cell r="A240" t="str">
            <v>A300Q104805624</v>
          </cell>
          <cell r="B240">
            <v>300031</v>
          </cell>
        </row>
        <row r="241">
          <cell r="A241" t="str">
            <v>A300Q104805625</v>
          </cell>
          <cell r="B241">
            <v>300031</v>
          </cell>
        </row>
        <row r="242">
          <cell r="A242" t="str">
            <v>A300Q104805626</v>
          </cell>
          <cell r="B242">
            <v>300031</v>
          </cell>
        </row>
        <row r="243">
          <cell r="A243" t="str">
            <v>A300Q104805627</v>
          </cell>
          <cell r="B243">
            <v>300031</v>
          </cell>
        </row>
        <row r="244">
          <cell r="A244" t="str">
            <v>A300Q104805628</v>
          </cell>
          <cell r="B244">
            <v>300031</v>
          </cell>
        </row>
        <row r="245">
          <cell r="A245" t="str">
            <v>A300Q104805629</v>
          </cell>
          <cell r="B245">
            <v>300031</v>
          </cell>
        </row>
        <row r="246">
          <cell r="A246" t="str">
            <v>A300Q104805630</v>
          </cell>
          <cell r="B246">
            <v>300031</v>
          </cell>
        </row>
        <row r="247">
          <cell r="A247" t="str">
            <v>A300Q104805631</v>
          </cell>
          <cell r="B247">
            <v>300031</v>
          </cell>
        </row>
        <row r="248">
          <cell r="A248" t="str">
            <v>A300Q104805632</v>
          </cell>
          <cell r="B248">
            <v>300031</v>
          </cell>
        </row>
        <row r="249">
          <cell r="A249" t="str">
            <v>A300Q104805633</v>
          </cell>
          <cell r="B249">
            <v>300031</v>
          </cell>
        </row>
        <row r="250">
          <cell r="A250" t="str">
            <v>A300Q104805634</v>
          </cell>
          <cell r="B250">
            <v>300031</v>
          </cell>
        </row>
        <row r="251">
          <cell r="A251" t="str">
            <v>A300Q104805635</v>
          </cell>
          <cell r="B251">
            <v>300031</v>
          </cell>
        </row>
        <row r="252">
          <cell r="A252" t="str">
            <v>A300Q104805636</v>
          </cell>
          <cell r="B252">
            <v>300031</v>
          </cell>
        </row>
        <row r="253">
          <cell r="A253" t="str">
            <v>A300Q104805637</v>
          </cell>
          <cell r="B253">
            <v>300031</v>
          </cell>
        </row>
        <row r="254">
          <cell r="A254" t="str">
            <v>A300Q104805638</v>
          </cell>
          <cell r="B254">
            <v>300031</v>
          </cell>
        </row>
        <row r="255">
          <cell r="A255" t="str">
            <v>A300Q104805639</v>
          </cell>
          <cell r="B255">
            <v>300031</v>
          </cell>
        </row>
        <row r="256">
          <cell r="A256" t="str">
            <v>A300Q104805640</v>
          </cell>
          <cell r="B256">
            <v>300031</v>
          </cell>
        </row>
        <row r="257">
          <cell r="A257" t="str">
            <v>A300Q104805641</v>
          </cell>
          <cell r="B257">
            <v>300031</v>
          </cell>
        </row>
        <row r="258">
          <cell r="A258" t="str">
            <v>A300Q104805642</v>
          </cell>
          <cell r="B258">
            <v>300031</v>
          </cell>
        </row>
        <row r="259">
          <cell r="A259" t="str">
            <v>A300Q104805643</v>
          </cell>
          <cell r="B259">
            <v>300031</v>
          </cell>
        </row>
        <row r="260">
          <cell r="A260" t="str">
            <v>A300Q104805644</v>
          </cell>
          <cell r="B260">
            <v>300031</v>
          </cell>
        </row>
        <row r="261">
          <cell r="A261" t="str">
            <v>A300Q104805645</v>
          </cell>
          <cell r="B261">
            <v>300031</v>
          </cell>
        </row>
        <row r="262">
          <cell r="A262" t="str">
            <v>A300Q104805646</v>
          </cell>
          <cell r="B262">
            <v>300031</v>
          </cell>
        </row>
        <row r="263">
          <cell r="A263" t="str">
            <v>A300Q104805647</v>
          </cell>
          <cell r="B263">
            <v>300031</v>
          </cell>
        </row>
        <row r="264">
          <cell r="A264" t="str">
            <v>A300Q104805648</v>
          </cell>
          <cell r="B264">
            <v>300031</v>
          </cell>
        </row>
        <row r="265">
          <cell r="A265" t="str">
            <v>A300Q104805649</v>
          </cell>
          <cell r="B265">
            <v>300031</v>
          </cell>
        </row>
        <row r="266">
          <cell r="A266" t="str">
            <v>A300Q104805650</v>
          </cell>
          <cell r="B266">
            <v>300031</v>
          </cell>
        </row>
        <row r="267">
          <cell r="A267" t="str">
            <v>A300Q104805651</v>
          </cell>
          <cell r="B267">
            <v>300031</v>
          </cell>
        </row>
        <row r="268">
          <cell r="A268" t="str">
            <v>A300Q104805652</v>
          </cell>
          <cell r="B268">
            <v>300031</v>
          </cell>
        </row>
        <row r="269">
          <cell r="A269" t="str">
            <v>A300Q104805653</v>
          </cell>
          <cell r="B269">
            <v>300031</v>
          </cell>
        </row>
        <row r="270">
          <cell r="A270" t="str">
            <v>A300Q104805654</v>
          </cell>
          <cell r="B270">
            <v>300031</v>
          </cell>
        </row>
        <row r="271">
          <cell r="A271" t="str">
            <v>A300Q104805655</v>
          </cell>
          <cell r="B271">
            <v>300031</v>
          </cell>
        </row>
        <row r="272">
          <cell r="A272" t="str">
            <v>A300Q104805656</v>
          </cell>
          <cell r="B272">
            <v>300031</v>
          </cell>
        </row>
        <row r="273">
          <cell r="A273" t="str">
            <v>A300Q104805657</v>
          </cell>
          <cell r="B273">
            <v>300031</v>
          </cell>
        </row>
        <row r="274">
          <cell r="A274" t="str">
            <v>A300Q104805658</v>
          </cell>
          <cell r="B274">
            <v>300031</v>
          </cell>
        </row>
        <row r="275">
          <cell r="A275" t="str">
            <v>A300Q104805659</v>
          </cell>
          <cell r="B275">
            <v>300031</v>
          </cell>
        </row>
        <row r="276">
          <cell r="A276" t="str">
            <v>A300Q104805660</v>
          </cell>
          <cell r="B276">
            <v>300031</v>
          </cell>
        </row>
        <row r="277">
          <cell r="A277" t="str">
            <v>A300Q104805661</v>
          </cell>
          <cell r="B277">
            <v>300031</v>
          </cell>
        </row>
        <row r="278">
          <cell r="A278" t="str">
            <v>A300Q104805662</v>
          </cell>
          <cell r="B278">
            <v>300031</v>
          </cell>
        </row>
        <row r="279">
          <cell r="A279" t="str">
            <v>A300Q104805663</v>
          </cell>
          <cell r="B279">
            <v>300031</v>
          </cell>
        </row>
        <row r="280">
          <cell r="A280" t="str">
            <v>A300Q104805664</v>
          </cell>
          <cell r="B280">
            <v>300031</v>
          </cell>
        </row>
        <row r="281">
          <cell r="A281" t="str">
            <v>A300Q104805665</v>
          </cell>
          <cell r="B281">
            <v>300031</v>
          </cell>
        </row>
        <row r="282">
          <cell r="A282" t="str">
            <v>A300Q104805666</v>
          </cell>
          <cell r="B282">
            <v>300031</v>
          </cell>
        </row>
        <row r="283">
          <cell r="A283" t="str">
            <v>A300Q104805667</v>
          </cell>
          <cell r="B283">
            <v>300031</v>
          </cell>
        </row>
        <row r="284">
          <cell r="A284" t="str">
            <v>A300Q104805668</v>
          </cell>
          <cell r="B284">
            <v>300031</v>
          </cell>
        </row>
        <row r="285">
          <cell r="A285" t="str">
            <v>A300Q104805669</v>
          </cell>
          <cell r="B285">
            <v>300031</v>
          </cell>
        </row>
        <row r="286">
          <cell r="A286" t="str">
            <v>A300Q104805670</v>
          </cell>
          <cell r="B286">
            <v>300031</v>
          </cell>
        </row>
        <row r="287">
          <cell r="A287" t="str">
            <v>A300Q104807101</v>
          </cell>
          <cell r="B287">
            <v>300044</v>
          </cell>
        </row>
        <row r="288">
          <cell r="A288" t="str">
            <v>A300Q104807102</v>
          </cell>
          <cell r="B288">
            <v>300044</v>
          </cell>
        </row>
        <row r="289">
          <cell r="A289" t="str">
            <v>A300Q104807103</v>
          </cell>
          <cell r="B289">
            <v>300044</v>
          </cell>
        </row>
        <row r="290">
          <cell r="A290" t="str">
            <v>A300Q104807104</v>
          </cell>
          <cell r="B290">
            <v>300044</v>
          </cell>
        </row>
        <row r="291">
          <cell r="A291" t="str">
            <v>A300Q104807105</v>
          </cell>
          <cell r="B291">
            <v>300044</v>
          </cell>
        </row>
        <row r="292">
          <cell r="A292" t="str">
            <v>A300Q104807106</v>
          </cell>
          <cell r="B292">
            <v>300044</v>
          </cell>
        </row>
        <row r="293">
          <cell r="A293" t="str">
            <v>A300Q104807107</v>
          </cell>
          <cell r="B293">
            <v>300044</v>
          </cell>
        </row>
        <row r="294">
          <cell r="A294" t="str">
            <v>A300Q104807108</v>
          </cell>
          <cell r="B294">
            <v>300044</v>
          </cell>
        </row>
        <row r="295">
          <cell r="A295" t="str">
            <v>A300Q104807109</v>
          </cell>
          <cell r="B295">
            <v>300044</v>
          </cell>
        </row>
        <row r="296">
          <cell r="A296" t="str">
            <v>A300Q104807110</v>
          </cell>
          <cell r="B296">
            <v>300044</v>
          </cell>
        </row>
        <row r="297">
          <cell r="A297" t="str">
            <v>A300Q104807111</v>
          </cell>
          <cell r="B297">
            <v>300044</v>
          </cell>
        </row>
        <row r="298">
          <cell r="A298" t="str">
            <v>A300Q104807112</v>
          </cell>
          <cell r="B298">
            <v>300044</v>
          </cell>
        </row>
        <row r="299">
          <cell r="A299" t="str">
            <v>A300Q104807113</v>
          </cell>
          <cell r="B299">
            <v>300044</v>
          </cell>
        </row>
        <row r="300">
          <cell r="A300" t="str">
            <v>A300Q104807114</v>
          </cell>
          <cell r="B300">
            <v>300044</v>
          </cell>
        </row>
        <row r="301">
          <cell r="A301" t="str">
            <v>A300Q104807115</v>
          </cell>
          <cell r="B301">
            <v>300044</v>
          </cell>
        </row>
        <row r="302">
          <cell r="A302" t="str">
            <v>A300Q104807116</v>
          </cell>
          <cell r="B302">
            <v>300044</v>
          </cell>
        </row>
        <row r="303">
          <cell r="A303" t="str">
            <v>A300Q104807117</v>
          </cell>
          <cell r="B303">
            <v>300044</v>
          </cell>
        </row>
        <row r="304">
          <cell r="A304" t="str">
            <v>A300Q104807118</v>
          </cell>
          <cell r="B304">
            <v>300044</v>
          </cell>
        </row>
        <row r="305">
          <cell r="A305" t="str">
            <v>A300Q104807119</v>
          </cell>
          <cell r="B305">
            <v>300044</v>
          </cell>
        </row>
        <row r="306">
          <cell r="A306" t="str">
            <v>A300Q104807120</v>
          </cell>
          <cell r="B306">
            <v>300044</v>
          </cell>
        </row>
        <row r="307">
          <cell r="A307" t="str">
            <v>A300Q104807121</v>
          </cell>
          <cell r="B307">
            <v>300044</v>
          </cell>
        </row>
        <row r="308">
          <cell r="A308" t="str">
            <v>A300Q104807122</v>
          </cell>
          <cell r="B308">
            <v>300044</v>
          </cell>
        </row>
        <row r="309">
          <cell r="A309" t="str">
            <v>A300Q104807123</v>
          </cell>
          <cell r="B309">
            <v>300044</v>
          </cell>
        </row>
        <row r="310">
          <cell r="A310" t="str">
            <v>A300Q104807124</v>
          </cell>
          <cell r="B310">
            <v>300044</v>
          </cell>
        </row>
        <row r="311">
          <cell r="A311" t="str">
            <v>A300Q104807125</v>
          </cell>
          <cell r="B311">
            <v>300044</v>
          </cell>
        </row>
        <row r="312">
          <cell r="A312" t="str">
            <v>A300Q104807126</v>
          </cell>
          <cell r="B312">
            <v>300044</v>
          </cell>
        </row>
        <row r="313">
          <cell r="A313" t="str">
            <v>A300Q104807127</v>
          </cell>
          <cell r="B313">
            <v>300044</v>
          </cell>
        </row>
        <row r="314">
          <cell r="A314" t="str">
            <v>A300Q104807128</v>
          </cell>
          <cell r="B314">
            <v>300044</v>
          </cell>
        </row>
        <row r="315">
          <cell r="A315" t="str">
            <v>A300Q104807129</v>
          </cell>
          <cell r="B315">
            <v>300044</v>
          </cell>
        </row>
        <row r="316">
          <cell r="A316" t="str">
            <v>A300Q104807130</v>
          </cell>
          <cell r="B316">
            <v>300044</v>
          </cell>
        </row>
        <row r="317">
          <cell r="A317" t="str">
            <v>A300Q104807131</v>
          </cell>
          <cell r="B317">
            <v>300044</v>
          </cell>
        </row>
        <row r="318">
          <cell r="A318" t="str">
            <v>A300Q104807132</v>
          </cell>
          <cell r="B318">
            <v>300044</v>
          </cell>
        </row>
        <row r="319">
          <cell r="A319" t="str">
            <v>A300Q104807133</v>
          </cell>
          <cell r="B319">
            <v>300044</v>
          </cell>
        </row>
        <row r="320">
          <cell r="A320" t="str">
            <v>A300Q104807134</v>
          </cell>
          <cell r="B320">
            <v>300044</v>
          </cell>
        </row>
        <row r="321">
          <cell r="A321" t="str">
            <v>A300Q104807135</v>
          </cell>
          <cell r="B321">
            <v>300044</v>
          </cell>
        </row>
        <row r="322">
          <cell r="A322" t="str">
            <v>A300Q104807136</v>
          </cell>
          <cell r="B322">
            <v>300044</v>
          </cell>
        </row>
        <row r="323">
          <cell r="A323" t="str">
            <v>A300Q104807137</v>
          </cell>
          <cell r="B323">
            <v>300044</v>
          </cell>
        </row>
        <row r="324">
          <cell r="A324" t="str">
            <v>A300Q104807138</v>
          </cell>
          <cell r="B324">
            <v>300044</v>
          </cell>
        </row>
        <row r="325">
          <cell r="A325" t="str">
            <v>A300Q104807139</v>
          </cell>
          <cell r="B325">
            <v>300044</v>
          </cell>
        </row>
        <row r="326">
          <cell r="A326" t="str">
            <v>A300Q104807140</v>
          </cell>
          <cell r="B326">
            <v>300044</v>
          </cell>
        </row>
        <row r="327">
          <cell r="A327" t="str">
            <v>A300Q104807141</v>
          </cell>
          <cell r="B327">
            <v>300044</v>
          </cell>
        </row>
        <row r="328">
          <cell r="A328" t="str">
            <v>A300Q104807142</v>
          </cell>
          <cell r="B328">
            <v>300044</v>
          </cell>
        </row>
        <row r="329">
          <cell r="A329" t="str">
            <v>A300Q104807143</v>
          </cell>
          <cell r="B329">
            <v>300044</v>
          </cell>
        </row>
        <row r="330">
          <cell r="A330" t="str">
            <v>A300Q104807144</v>
          </cell>
          <cell r="B330">
            <v>300044</v>
          </cell>
        </row>
        <row r="331">
          <cell r="A331" t="str">
            <v>A300Q104807145</v>
          </cell>
          <cell r="B331">
            <v>300044</v>
          </cell>
        </row>
        <row r="332">
          <cell r="A332" t="str">
            <v>A300Q104807146</v>
          </cell>
          <cell r="B332">
            <v>300044</v>
          </cell>
        </row>
        <row r="333">
          <cell r="A333" t="str">
            <v>A300Q104807147</v>
          </cell>
          <cell r="B333">
            <v>300044</v>
          </cell>
        </row>
        <row r="334">
          <cell r="A334" t="str">
            <v>A300Q104807148</v>
          </cell>
          <cell r="B334">
            <v>300044</v>
          </cell>
        </row>
        <row r="335">
          <cell r="A335" t="str">
            <v>A300Q104807149</v>
          </cell>
          <cell r="B335">
            <v>300044</v>
          </cell>
        </row>
        <row r="336">
          <cell r="A336" t="str">
            <v>A300Q104807150</v>
          </cell>
          <cell r="B336">
            <v>300044</v>
          </cell>
        </row>
        <row r="337">
          <cell r="A337" t="str">
            <v>A300Q104807151</v>
          </cell>
          <cell r="B337">
            <v>300044</v>
          </cell>
        </row>
        <row r="338">
          <cell r="A338" t="str">
            <v>A300Q104807152</v>
          </cell>
          <cell r="B338">
            <v>300044</v>
          </cell>
        </row>
        <row r="339">
          <cell r="A339" t="str">
            <v>A300Q104807153</v>
          </cell>
          <cell r="B339">
            <v>300044</v>
          </cell>
        </row>
        <row r="340">
          <cell r="A340" t="str">
            <v>A300Q104807154</v>
          </cell>
          <cell r="B340">
            <v>300044</v>
          </cell>
        </row>
        <row r="341">
          <cell r="A341" t="str">
            <v>A300Q104807155</v>
          </cell>
          <cell r="B341">
            <v>300044</v>
          </cell>
        </row>
        <row r="342">
          <cell r="A342" t="str">
            <v>A300Q104807156</v>
          </cell>
          <cell r="B342">
            <v>300044</v>
          </cell>
        </row>
        <row r="343">
          <cell r="A343" t="str">
            <v>A300Q104807157</v>
          </cell>
          <cell r="B343">
            <v>300044</v>
          </cell>
        </row>
        <row r="344">
          <cell r="A344" t="str">
            <v>A300Q104807158</v>
          </cell>
          <cell r="B344">
            <v>300044</v>
          </cell>
        </row>
        <row r="345">
          <cell r="A345" t="str">
            <v>A300Q104807159</v>
          </cell>
          <cell r="B345">
            <v>300044</v>
          </cell>
        </row>
        <row r="346">
          <cell r="A346" t="str">
            <v>A300Q104807160</v>
          </cell>
          <cell r="B346">
            <v>300044</v>
          </cell>
        </row>
        <row r="347">
          <cell r="A347" t="str">
            <v>A300Q104807161</v>
          </cell>
          <cell r="B347">
            <v>300044</v>
          </cell>
        </row>
        <row r="348">
          <cell r="A348" t="str">
            <v>A300Q104807162</v>
          </cell>
          <cell r="B348">
            <v>300044</v>
          </cell>
        </row>
        <row r="349">
          <cell r="A349" t="str">
            <v>A300Q104807163</v>
          </cell>
          <cell r="B349">
            <v>300044</v>
          </cell>
        </row>
        <row r="350">
          <cell r="A350" t="str">
            <v>A300Q104807164</v>
          </cell>
          <cell r="B350">
            <v>300044</v>
          </cell>
        </row>
        <row r="351">
          <cell r="A351" t="str">
            <v>A300Q104807165</v>
          </cell>
          <cell r="B351">
            <v>300044</v>
          </cell>
        </row>
        <row r="352">
          <cell r="A352" t="str">
            <v>A300Q104807166</v>
          </cell>
          <cell r="B352">
            <v>300044</v>
          </cell>
        </row>
        <row r="353">
          <cell r="A353" t="str">
            <v>A300Q104807167</v>
          </cell>
          <cell r="B353">
            <v>300044</v>
          </cell>
        </row>
        <row r="354">
          <cell r="A354" t="str">
            <v>A300Q104807168</v>
          </cell>
          <cell r="B354">
            <v>300044</v>
          </cell>
        </row>
        <row r="355">
          <cell r="A355" t="str">
            <v>A300Q104807169</v>
          </cell>
          <cell r="B355">
            <v>300044</v>
          </cell>
        </row>
        <row r="356">
          <cell r="A356" t="str">
            <v>A300Q104807170</v>
          </cell>
          <cell r="B356">
            <v>300044</v>
          </cell>
        </row>
        <row r="357">
          <cell r="A357" t="str">
            <v>A300Q104807171</v>
          </cell>
          <cell r="B357">
            <v>300044</v>
          </cell>
        </row>
        <row r="358">
          <cell r="A358" t="str">
            <v>A300Q104807172</v>
          </cell>
          <cell r="B358">
            <v>300044</v>
          </cell>
        </row>
        <row r="359">
          <cell r="A359" t="str">
            <v>A300Q104807173</v>
          </cell>
          <cell r="B359">
            <v>300044</v>
          </cell>
        </row>
        <row r="360">
          <cell r="A360" t="str">
            <v>A300Q104807174</v>
          </cell>
          <cell r="B360">
            <v>300044</v>
          </cell>
        </row>
        <row r="361">
          <cell r="A361" t="str">
            <v>A300Q104807175</v>
          </cell>
          <cell r="B361">
            <v>300044</v>
          </cell>
        </row>
        <row r="362">
          <cell r="A362" t="str">
            <v>A300Q104807176</v>
          </cell>
          <cell r="B362">
            <v>300044</v>
          </cell>
        </row>
        <row r="363">
          <cell r="A363" t="str">
            <v>A300Q104807177</v>
          </cell>
          <cell r="B363">
            <v>300044</v>
          </cell>
        </row>
        <row r="364">
          <cell r="A364" t="str">
            <v>A300Q104807178</v>
          </cell>
          <cell r="B364">
            <v>300044</v>
          </cell>
        </row>
        <row r="365">
          <cell r="A365" t="str">
            <v>A300Q104807179</v>
          </cell>
          <cell r="B365">
            <v>300044</v>
          </cell>
        </row>
        <row r="366">
          <cell r="A366" t="str">
            <v>A300Q104807180</v>
          </cell>
          <cell r="B366">
            <v>300044</v>
          </cell>
        </row>
        <row r="367">
          <cell r="A367" t="str">
            <v>A300Q104807181</v>
          </cell>
          <cell r="B367">
            <v>300044</v>
          </cell>
        </row>
        <row r="368">
          <cell r="A368" t="str">
            <v>A300Q104807182</v>
          </cell>
          <cell r="B368">
            <v>300044</v>
          </cell>
        </row>
        <row r="369">
          <cell r="A369" t="str">
            <v>A300Q104807183</v>
          </cell>
          <cell r="B369">
            <v>300044</v>
          </cell>
        </row>
        <row r="370">
          <cell r="A370" t="str">
            <v>A300Q104807184</v>
          </cell>
          <cell r="B370">
            <v>300044</v>
          </cell>
        </row>
        <row r="371">
          <cell r="A371" t="str">
            <v>A300Q104807185</v>
          </cell>
          <cell r="B371">
            <v>300044</v>
          </cell>
        </row>
        <row r="372">
          <cell r="A372" t="str">
            <v>A300Q104807186</v>
          </cell>
          <cell r="B372">
            <v>300044</v>
          </cell>
        </row>
        <row r="373">
          <cell r="A373" t="str">
            <v>A300Q104807187</v>
          </cell>
          <cell r="B373">
            <v>300044</v>
          </cell>
        </row>
        <row r="374">
          <cell r="A374" t="str">
            <v>A300Q104807188</v>
          </cell>
          <cell r="B374">
            <v>300044</v>
          </cell>
        </row>
        <row r="375">
          <cell r="A375" t="str">
            <v>A300Q104807189</v>
          </cell>
          <cell r="B375">
            <v>300044</v>
          </cell>
        </row>
        <row r="376">
          <cell r="A376" t="str">
            <v>A300Q104807190</v>
          </cell>
          <cell r="B376">
            <v>300044</v>
          </cell>
        </row>
        <row r="377">
          <cell r="A377" t="str">
            <v>A300Q104807191</v>
          </cell>
          <cell r="B377">
            <v>300044</v>
          </cell>
        </row>
        <row r="378">
          <cell r="A378" t="str">
            <v>A300Q104807192</v>
          </cell>
          <cell r="B378">
            <v>300044</v>
          </cell>
        </row>
        <row r="379">
          <cell r="A379" t="str">
            <v>A300Q104807193</v>
          </cell>
          <cell r="B379">
            <v>300044</v>
          </cell>
        </row>
        <row r="380">
          <cell r="A380" t="str">
            <v>A300Q104807194</v>
          </cell>
          <cell r="B380">
            <v>300044</v>
          </cell>
        </row>
        <row r="381">
          <cell r="A381" t="str">
            <v>A300Q104807195</v>
          </cell>
          <cell r="B381">
            <v>300044</v>
          </cell>
        </row>
        <row r="382">
          <cell r="A382" t="str">
            <v>A300Q104807196</v>
          </cell>
          <cell r="B382">
            <v>300044</v>
          </cell>
        </row>
        <row r="383">
          <cell r="A383" t="str">
            <v>A300Q104807197</v>
          </cell>
          <cell r="B383">
            <v>300044</v>
          </cell>
        </row>
        <row r="384">
          <cell r="A384" t="str">
            <v>A300Q104807198</v>
          </cell>
          <cell r="B384">
            <v>300044</v>
          </cell>
        </row>
        <row r="385">
          <cell r="A385" t="str">
            <v>A300Q104807199</v>
          </cell>
          <cell r="B385">
            <v>300044</v>
          </cell>
        </row>
        <row r="386">
          <cell r="A386" t="str">
            <v>A300Q104807200</v>
          </cell>
          <cell r="B386">
            <v>300044</v>
          </cell>
        </row>
      </sheetData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 Tunai"/>
      <sheetName val="ETI H"/>
      <sheetName val="aNTHONY"/>
      <sheetName val="BE$-98 (3)"/>
      <sheetName val="REALISASI eKSPOR (2)"/>
      <sheetName val="REALISASI eKSPOR"/>
      <sheetName val="PPN "/>
      <sheetName val="REALISASI"/>
      <sheetName val="BE$-98 (2)"/>
      <sheetName val="BE$-98"/>
      <sheetName val="Sheet1"/>
      <sheetName val="Sheet2"/>
      <sheetName val="Sheet3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ice"/>
      <sheetName val="Employee"/>
      <sheetName val="Skema"/>
      <sheetName val="SGA"/>
      <sheetName val="Investasi"/>
      <sheetName val="FS Worksheet_Awal"/>
      <sheetName val="Summary_Awal"/>
      <sheetName val="FS Worksheet_Actual"/>
      <sheetName val="Summary_Actual"/>
      <sheetName val="Sheet7"/>
    </sheetNames>
    <sheetDataSet>
      <sheetData sheetId="0"/>
      <sheetData sheetId="1">
        <row r="3">
          <cell r="BI3" t="str">
            <v>Shipment</v>
          </cell>
          <cell r="BJ3" t="str">
            <v>Log. Rental</v>
          </cell>
          <cell r="BK3" t="str">
            <v>KM</v>
          </cell>
          <cell r="BL3" t="str">
            <v>Ton</v>
          </cell>
          <cell r="BM3" t="str">
            <v>Box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Table - comparison"/>
      <sheetName val="Distribution Overhead Actual"/>
      <sheetName val="Distribution Summ - DC"/>
      <sheetName val="Data Table"/>
      <sheetName val="Distribution Summ -  Op Perf"/>
      <sheetName val="Distribution  Detail"/>
      <sheetName val="Distribution Overhead Budget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Home"/>
      <sheetName val="Prof"/>
      <sheetName val="Do"/>
      <sheetName val="Perf"/>
      <sheetName val="Align"/>
      <sheetName val="Chal"/>
      <sheetName val="Role"/>
      <sheetName val="Score"/>
      <sheetName val="Cap"/>
      <sheetName val="CapS"/>
      <sheetName val="Cap2"/>
      <sheetName val="Time"/>
      <sheetName val="Val"/>
      <sheetName val="Val2"/>
      <sheetName val="Resource"/>
      <sheetName val="audit"/>
      <sheetName val="jawab"/>
      <sheetName val="RFC"/>
      <sheetName val="Chg"/>
      <sheetName val="7S"/>
      <sheetName val="Akt"/>
    </sheetNames>
    <sheetDataSet>
      <sheetData sheetId="0">
        <row r="1">
          <cell r="D1" t="str">
            <v>Y</v>
          </cell>
          <cell r="E1" t="str">
            <v>T</v>
          </cell>
        </row>
        <row r="2">
          <cell r="D2">
            <v>1</v>
          </cell>
          <cell r="E2">
            <v>2</v>
          </cell>
          <cell r="F2">
            <v>3</v>
          </cell>
          <cell r="G2">
            <v>4</v>
          </cell>
          <cell r="H2">
            <v>5</v>
          </cell>
          <cell r="I2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721-A1"/>
      <sheetName val="DATA"/>
      <sheetName val="PARAMETER"/>
    </sheetNames>
    <sheetDataSet>
      <sheetData sheetId="0"/>
      <sheetData sheetId="1"/>
      <sheetData sheetId="2">
        <row r="1">
          <cell r="A1" t="str">
            <v>K/0</v>
          </cell>
          <cell r="B1">
            <v>4320000</v>
          </cell>
        </row>
        <row r="2">
          <cell r="A2" t="str">
            <v>K/1</v>
          </cell>
          <cell r="B2">
            <v>5760000</v>
          </cell>
        </row>
        <row r="3">
          <cell r="A3" t="str">
            <v>K/2</v>
          </cell>
          <cell r="B3">
            <v>7200000</v>
          </cell>
        </row>
        <row r="4">
          <cell r="A4" t="str">
            <v>K/3</v>
          </cell>
          <cell r="B4">
            <v>8640000</v>
          </cell>
        </row>
        <row r="5">
          <cell r="A5" t="str">
            <v>TK</v>
          </cell>
          <cell r="B5">
            <v>2880000</v>
          </cell>
        </row>
      </sheetData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0-Cover"/>
      <sheetName val="Ratio"/>
      <sheetName val="FS"/>
      <sheetName val="RJE"/>
      <sheetName val="AJE"/>
      <sheetName val="CJE"/>
      <sheetName val="CashFlow"/>
      <sheetName val="audited BS"/>
      <sheetName val="audited PL"/>
      <sheetName val="audited detailPL"/>
      <sheetName val="NTA"/>
      <sheetName val="BS"/>
      <sheetName val="PL"/>
      <sheetName val="procedure"/>
    </sheetNames>
    <sheetDataSet>
      <sheetData sheetId="0"/>
      <sheetData sheetId="1"/>
      <sheetData sheetId="2" refreshError="1">
        <row r="1">
          <cell r="B1" t="str">
            <v>Client  : Qingdao Grand Ocean</v>
          </cell>
        </row>
        <row r="2">
          <cell r="B2" t="str">
            <v>(Incorporated in the Republic of Singapore)</v>
          </cell>
        </row>
        <row r="4">
          <cell r="B4" t="str">
            <v>INCOME STATEMENT FOR THE FINANCIAL PERIOD ENDED 30 June 2006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</row>
        <row r="8">
          <cell r="D8" t="str">
            <v>WP REF</v>
          </cell>
          <cell r="F8">
            <v>2006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>
            <v>2006</v>
          </cell>
        </row>
        <row r="9">
          <cell r="F9" t="str">
            <v>US$</v>
          </cell>
          <cell r="G9" t="str">
            <v>US$</v>
          </cell>
          <cell r="H9" t="str">
            <v>US$</v>
          </cell>
          <cell r="I9" t="str">
            <v>US$</v>
          </cell>
          <cell r="J9" t="str">
            <v>US$</v>
          </cell>
          <cell r="K9" t="str">
            <v>US$</v>
          </cell>
        </row>
        <row r="11">
          <cell r="A11">
            <v>10000</v>
          </cell>
          <cell r="B11" t="str">
            <v>Turnover</v>
          </cell>
          <cell r="F11">
            <v>43793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43793</v>
          </cell>
        </row>
        <row r="13">
          <cell r="A13">
            <v>20000</v>
          </cell>
          <cell r="B13" t="str">
            <v>Cost of sales</v>
          </cell>
          <cell r="F13">
            <v>-2190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-2190</v>
          </cell>
        </row>
        <row r="15">
          <cell r="A15" t="str">
            <v>GP</v>
          </cell>
          <cell r="B15" t="str">
            <v>Gross profit</v>
          </cell>
          <cell r="F15">
            <v>41603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41603</v>
          </cell>
        </row>
        <row r="17">
          <cell r="A17">
            <v>30000</v>
          </cell>
          <cell r="B17" t="str">
            <v>Other operating income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9">
          <cell r="A19">
            <v>40000</v>
          </cell>
          <cell r="B19" t="str">
            <v>Administrative expenses</v>
          </cell>
          <cell r="F19">
            <v>-35536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-35536</v>
          </cell>
        </row>
        <row r="21">
          <cell r="A21">
            <v>50000</v>
          </cell>
          <cell r="B21" t="str">
            <v>Other operating expenses</v>
          </cell>
          <cell r="F21">
            <v>-119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-119</v>
          </cell>
        </row>
        <row r="23">
          <cell r="A23">
            <v>60000</v>
          </cell>
          <cell r="B23" t="str">
            <v>Finance costs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5">
          <cell r="A25" t="str">
            <v>PBT</v>
          </cell>
          <cell r="B25" t="str">
            <v>(Loss)/Profit for the year before taxation</v>
          </cell>
          <cell r="F25">
            <v>5948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5948</v>
          </cell>
        </row>
        <row r="27">
          <cell r="A27">
            <v>70000</v>
          </cell>
          <cell r="B27" t="str">
            <v>Taxation</v>
          </cell>
          <cell r="F27">
            <v>1963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1963</v>
          </cell>
        </row>
        <row r="29">
          <cell r="A29" t="str">
            <v>PAT</v>
          </cell>
          <cell r="B29" t="str">
            <v>(Loss)/Profit for the year after taxation</v>
          </cell>
          <cell r="F29">
            <v>3985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7911</v>
          </cell>
        </row>
        <row r="30">
          <cell r="G30" t="str">
            <v>total AJE in Dr</v>
          </cell>
          <cell r="H30" t="str">
            <v>total AJE in Cr</v>
          </cell>
          <cell r="I30" t="str">
            <v>total RJE in Dr</v>
          </cell>
          <cell r="J30" t="str">
            <v>total RJE in Cr</v>
          </cell>
          <cell r="K30">
            <v>-3926</v>
          </cell>
        </row>
        <row r="34">
          <cell r="B34" t="str">
            <v>Client  : Qingdao Grand Ocean</v>
          </cell>
        </row>
        <row r="35">
          <cell r="B35" t="str">
            <v>(Incorporated in the Republic of Singapore)</v>
          </cell>
        </row>
        <row r="37">
          <cell r="B37" t="str">
            <v>BALANCE SHEET AS AT 30 June 2006</v>
          </cell>
        </row>
        <row r="38">
          <cell r="F38" t="str">
            <v>unaudited</v>
          </cell>
          <cell r="G38" t="str">
            <v>Audit Adjustment (AJE)</v>
          </cell>
          <cell r="I38" t="str">
            <v>Reclassification (RJE)</v>
          </cell>
          <cell r="K38" t="str">
            <v>audited</v>
          </cell>
        </row>
        <row r="39">
          <cell r="D39" t="str">
            <v>WP REF</v>
          </cell>
          <cell r="F39">
            <v>2006</v>
          </cell>
          <cell r="G39" t="str">
            <v>DR</v>
          </cell>
          <cell r="H39" t="str">
            <v>CR</v>
          </cell>
          <cell r="I39" t="str">
            <v>DR</v>
          </cell>
          <cell r="J39" t="str">
            <v>CR</v>
          </cell>
          <cell r="K39">
            <v>2006</v>
          </cell>
        </row>
        <row r="40">
          <cell r="F40" t="str">
            <v>US$</v>
          </cell>
          <cell r="G40" t="str">
            <v>US$</v>
          </cell>
          <cell r="H40" t="str">
            <v>US$</v>
          </cell>
          <cell r="I40" t="str">
            <v>US$</v>
          </cell>
          <cell r="J40" t="str">
            <v>US$</v>
          </cell>
          <cell r="K40" t="str">
            <v>US$</v>
          </cell>
        </row>
        <row r="41">
          <cell r="B41" t="str">
            <v>ASSETS</v>
          </cell>
        </row>
        <row r="42">
          <cell r="B42" t="str">
            <v>Non-current assets</v>
          </cell>
          <cell r="G42">
            <v>0</v>
          </cell>
          <cell r="K42">
            <v>0</v>
          </cell>
        </row>
        <row r="43">
          <cell r="A43">
            <v>1000</v>
          </cell>
          <cell r="B43" t="str">
            <v xml:space="preserve">    Plant and equipment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1001</v>
          </cell>
          <cell r="B44" t="str">
            <v xml:space="preserve">    Investments</v>
          </cell>
          <cell r="F44">
            <v>0</v>
          </cell>
          <cell r="K44">
            <v>0</v>
          </cell>
        </row>
        <row r="45">
          <cell r="A45">
            <v>1002</v>
          </cell>
          <cell r="B45" t="str">
            <v xml:space="preserve">    Investment in subsidiaries companies</v>
          </cell>
          <cell r="F45">
            <v>0</v>
          </cell>
          <cell r="K45">
            <v>0</v>
          </cell>
        </row>
        <row r="46">
          <cell r="A46">
            <v>1003</v>
          </cell>
          <cell r="B46" t="str">
            <v xml:space="preserve">    Investment in associated company</v>
          </cell>
          <cell r="F46">
            <v>0</v>
          </cell>
          <cell r="K46">
            <v>0</v>
          </cell>
        </row>
        <row r="47">
          <cell r="A47">
            <v>1004</v>
          </cell>
          <cell r="B47" t="str">
            <v xml:space="preserve">    Goodwill on consolidation  </v>
          </cell>
          <cell r="F47">
            <v>0</v>
          </cell>
          <cell r="K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Current assets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2000</v>
          </cell>
          <cell r="B51" t="str">
            <v xml:space="preserve">    Other receivables,deposits and prepayment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2100</v>
          </cell>
          <cell r="B52" t="str">
            <v xml:space="preserve">    Amount due from ultimate holding company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2200</v>
          </cell>
          <cell r="B53" t="str">
            <v xml:space="preserve">    Amount due from intermediate holding company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2300</v>
          </cell>
          <cell r="B54" t="str">
            <v xml:space="preserve">    Amount due from an associated company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2400</v>
          </cell>
          <cell r="B55" t="str">
            <v xml:space="preserve">    Amount due from subsidiaries companies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2500</v>
          </cell>
          <cell r="B56" t="str">
            <v xml:space="preserve">    Cash and bank balances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K57">
            <v>0</v>
          </cell>
        </row>
        <row r="58">
          <cell r="A58" t="str">
            <v>CA</v>
          </cell>
          <cell r="B58" t="str">
            <v>Total current assets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K59">
            <v>0</v>
          </cell>
        </row>
        <row r="60">
          <cell r="A60" t="str">
            <v>TA</v>
          </cell>
          <cell r="B60" t="str">
            <v>TOTAL ASSETS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K61">
            <v>0</v>
          </cell>
        </row>
        <row r="62">
          <cell r="B62" t="str">
            <v>EQUITY AND LIABILITIES</v>
          </cell>
          <cell r="K62">
            <v>0</v>
          </cell>
        </row>
        <row r="63">
          <cell r="B63" t="str">
            <v>Capital and reserves</v>
          </cell>
          <cell r="K63">
            <v>0</v>
          </cell>
        </row>
        <row r="64">
          <cell r="A64">
            <v>6000</v>
          </cell>
          <cell r="B64" t="str">
            <v xml:space="preserve">    Share capital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A65">
            <v>6100</v>
          </cell>
          <cell r="B65" t="str">
            <v xml:space="preserve">     Reserves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6101</v>
          </cell>
          <cell r="C66" t="str">
            <v>RETAINED EARNINGS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A67">
            <v>6102</v>
          </cell>
          <cell r="C67" t="str">
            <v>PROFIT (LOSS) FOR THE PERIOD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6200</v>
          </cell>
          <cell r="B68" t="str">
            <v xml:space="preserve">    Accumulated Profit / loss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A69" t="str">
            <v>TEQ</v>
          </cell>
          <cell r="B69" t="str">
            <v>TOTAL EQUITY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Non-current liabilities</v>
          </cell>
          <cell r="K70">
            <v>0</v>
          </cell>
        </row>
        <row r="71">
          <cell r="A71">
            <v>4000</v>
          </cell>
          <cell r="B71" t="str">
            <v xml:space="preserve">    Deferred tax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4101</v>
          </cell>
          <cell r="B72" t="str">
            <v xml:space="preserve">    Hire Purchase creditors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 t="str">
            <v>LTL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Current liabilities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3000</v>
          </cell>
          <cell r="B75" t="str">
            <v xml:space="preserve">    Other payables and accruals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3100</v>
          </cell>
          <cell r="B76" t="str">
            <v xml:space="preserve">    Amount due to immediate holding companies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4102</v>
          </cell>
          <cell r="B77" t="str">
            <v xml:space="preserve">    Amount due to ultimate holding company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5300</v>
          </cell>
          <cell r="B78" t="str">
            <v xml:space="preserve">    Amount due to shareholders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5000</v>
          </cell>
          <cell r="B79" t="str">
            <v xml:space="preserve">    Amount due to intermediate holding company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3200</v>
          </cell>
          <cell r="B80" t="str">
            <v xml:space="preserve">     Provision for taxation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K81">
            <v>0</v>
          </cell>
        </row>
        <row r="82">
          <cell r="A82" t="str">
            <v>CL</v>
          </cell>
          <cell r="B82" t="str">
            <v>Total Current liabilities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4">
          <cell r="B84" t="str">
            <v>TOTAL EQUITY AND LIABILITIES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C85" t="str">
            <v>Test check</v>
          </cell>
          <cell r="F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K86">
            <v>0</v>
          </cell>
        </row>
        <row r="87">
          <cell r="C87" t="str">
            <v>Client  : Qingdao Grand Ocean</v>
          </cell>
        </row>
        <row r="88">
          <cell r="C88" t="str">
            <v>(Incorporated in the Republic of Singapore)</v>
          </cell>
          <cell r="K88">
            <v>0</v>
          </cell>
        </row>
        <row r="89">
          <cell r="K89">
            <v>0</v>
          </cell>
        </row>
        <row r="90">
          <cell r="C90" t="str">
            <v>DETAILED TRADING, PROFIT &amp; LOSS ACCOUNT FOR THE FINANCIAL YEAR ENDED 30 June 2006</v>
          </cell>
          <cell r="K90">
            <v>0</v>
          </cell>
        </row>
        <row r="91">
          <cell r="K91">
            <v>0</v>
          </cell>
        </row>
        <row r="93">
          <cell r="F93" t="str">
            <v>unaudited</v>
          </cell>
          <cell r="G93" t="str">
            <v>Audit Adjustment (AJE)</v>
          </cell>
          <cell r="I93" t="str">
            <v>Reclassification (RJE)</v>
          </cell>
          <cell r="K93" t="str">
            <v>audited</v>
          </cell>
        </row>
        <row r="94">
          <cell r="D94" t="str">
            <v>WP REF</v>
          </cell>
          <cell r="F94">
            <v>2006</v>
          </cell>
          <cell r="G94" t="str">
            <v>DR</v>
          </cell>
          <cell r="H94" t="str">
            <v>CR</v>
          </cell>
          <cell r="I94" t="str">
            <v>DR</v>
          </cell>
          <cell r="J94" t="str">
            <v>CR</v>
          </cell>
          <cell r="K94">
            <v>2006</v>
          </cell>
        </row>
        <row r="95">
          <cell r="F95" t="str">
            <v>US$</v>
          </cell>
          <cell r="G95" t="str">
            <v>US$</v>
          </cell>
          <cell r="H95" t="str">
            <v>US$</v>
          </cell>
          <cell r="I95" t="str">
            <v>US$</v>
          </cell>
          <cell r="J95" t="str">
            <v>US$</v>
          </cell>
          <cell r="K95" t="str">
            <v>US$</v>
          </cell>
        </row>
        <row r="96">
          <cell r="A96">
            <v>10000</v>
          </cell>
          <cell r="B96" t="str">
            <v>SALES</v>
          </cell>
          <cell r="F96">
            <v>43793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43793</v>
          </cell>
        </row>
        <row r="98">
          <cell r="B98" t="str">
            <v>Less Cost of sales</v>
          </cell>
        </row>
        <row r="99">
          <cell r="A99">
            <v>21000</v>
          </cell>
          <cell r="B99" t="str">
            <v>Cost of sales</v>
          </cell>
          <cell r="F99">
            <v>2190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2190</v>
          </cell>
        </row>
        <row r="100">
          <cell r="A100">
            <v>22000</v>
          </cell>
          <cell r="B100" t="str">
            <v>Freight and handling charges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23000</v>
          </cell>
          <cell r="B101" t="str">
            <v>Warehouse fee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A102">
            <v>20000</v>
          </cell>
          <cell r="F102">
            <v>2190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2190</v>
          </cell>
        </row>
        <row r="103">
          <cell r="B103" t="str">
            <v>GROSS PROFIT</v>
          </cell>
          <cell r="F103">
            <v>41603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41603</v>
          </cell>
        </row>
        <row r="104">
          <cell r="B104" t="str">
            <v>OTHER OPERATING INCOME</v>
          </cell>
          <cell r="K104">
            <v>0</v>
          </cell>
        </row>
        <row r="105">
          <cell r="A105">
            <v>30001</v>
          </cell>
          <cell r="B105" t="str">
            <v xml:space="preserve">    Reversal of accrued expenses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30002</v>
          </cell>
          <cell r="B106" t="str">
            <v xml:space="preserve">    Exchange gain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30003</v>
          </cell>
          <cell r="B107" t="str">
            <v xml:space="preserve">    Interest income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30004</v>
          </cell>
          <cell r="B108" t="str">
            <v xml:space="preserve">    Gain on disposal of subsidiaries 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A109">
            <v>30005</v>
          </cell>
          <cell r="B109" t="str">
            <v xml:space="preserve">    Dividend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A110">
            <v>30006</v>
          </cell>
          <cell r="B110" t="str">
            <v xml:space="preserve">    Other income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30000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ADMINISTRATIVE EXPENSES</v>
          </cell>
        </row>
        <row r="114">
          <cell r="A114">
            <v>40001</v>
          </cell>
          <cell r="B114" t="str">
            <v xml:space="preserve">    Accountancy fee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40002</v>
          </cell>
          <cell r="B115" t="str">
            <v xml:space="preserve">    Advertisement 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40003</v>
          </cell>
          <cell r="B116" t="str">
            <v xml:space="preserve">    Auditors’ remuneration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A117">
            <v>40004</v>
          </cell>
          <cell r="B117" t="str">
            <v xml:space="preserve">    Depreciation 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A118">
            <v>40005</v>
          </cell>
          <cell r="B118" t="str">
            <v xml:space="preserve">    Director’s remuneration 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A119">
            <v>40006</v>
          </cell>
          <cell r="B119" t="str">
            <v xml:space="preserve">    Director’s emolument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A120">
            <v>40007</v>
          </cell>
          <cell r="B120" t="str">
            <v xml:space="preserve">    Exchange difference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A121">
            <v>40008</v>
          </cell>
          <cell r="B121" t="str">
            <v xml:space="preserve">    Entertainment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40009</v>
          </cell>
          <cell r="B122" t="str">
            <v xml:space="preserve">    General expenses</v>
          </cell>
          <cell r="F122">
            <v>35536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35536</v>
          </cell>
        </row>
        <row r="123">
          <cell r="A123">
            <v>40010</v>
          </cell>
          <cell r="B123" t="str">
            <v xml:space="preserve">    Insurance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A124">
            <v>40011</v>
          </cell>
          <cell r="B124" t="str">
            <v xml:space="preserve">    Medical expenses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40012</v>
          </cell>
          <cell r="B125" t="str">
            <v xml:space="preserve">    Office rental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A126">
            <v>40013</v>
          </cell>
          <cell r="B126" t="str">
            <v xml:space="preserve">    Postage and courier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A127">
            <v>40014</v>
          </cell>
          <cell r="B127" t="str">
            <v xml:space="preserve">    Printing and stationery 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A128">
            <v>40015</v>
          </cell>
          <cell r="B128" t="str">
            <v xml:space="preserve">    Professional fees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A129">
            <v>40016</v>
          </cell>
          <cell r="B129" t="str">
            <v xml:space="preserve">    Repair and maintenance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40017</v>
          </cell>
          <cell r="B130" t="str">
            <v xml:space="preserve">    Refreshments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A131">
            <v>40018</v>
          </cell>
          <cell r="B131" t="str">
            <v xml:space="preserve">    Secretarial fees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A132">
            <v>40019</v>
          </cell>
          <cell r="B132" t="str">
            <v xml:space="preserve">    Salaries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A133">
            <v>40020</v>
          </cell>
          <cell r="B133" t="str">
            <v xml:space="preserve">    Staff CPF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A134">
            <v>40021</v>
          </cell>
          <cell r="B134" t="str">
            <v xml:space="preserve">    Staff welfare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A135">
            <v>40022</v>
          </cell>
          <cell r="B135" t="str">
            <v xml:space="preserve">    Subscriptions and renewals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A136">
            <v>40023</v>
          </cell>
          <cell r="B136" t="str">
            <v xml:space="preserve">    Telephone and telex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A137">
            <v>40024</v>
          </cell>
          <cell r="B137" t="str">
            <v xml:space="preserve">    Transport expenses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A138">
            <v>40025</v>
          </cell>
          <cell r="B138" t="str">
            <v xml:space="preserve">    Travelling expenses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A139">
            <v>40026</v>
          </cell>
          <cell r="B139" t="str">
            <v xml:space="preserve">    Upkeep of motor vehicle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40027</v>
          </cell>
          <cell r="B140" t="str">
            <v xml:space="preserve">    Upkeep of office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A141">
            <v>40028</v>
          </cell>
          <cell r="B141" t="str">
            <v xml:space="preserve">    Water and electricity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40000</v>
          </cell>
          <cell r="F144">
            <v>35536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35536</v>
          </cell>
        </row>
        <row r="145">
          <cell r="B145" t="str">
            <v>OTHER OPERATING EXPENSES</v>
          </cell>
          <cell r="K145">
            <v>0</v>
          </cell>
        </row>
        <row r="146">
          <cell r="A146">
            <v>50001</v>
          </cell>
          <cell r="B146" t="str">
            <v xml:space="preserve">    Provision for doubtful debts written off/(back) - trade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A147">
            <v>50002</v>
          </cell>
          <cell r="B147" t="str">
            <v xml:space="preserve">    Provision for diminution in value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A148">
            <v>50003</v>
          </cell>
          <cell r="B148" t="str">
            <v xml:space="preserve">    Other operating expenses</v>
          </cell>
          <cell r="F148">
            <v>119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119</v>
          </cell>
        </row>
        <row r="149">
          <cell r="A149">
            <v>50000</v>
          </cell>
          <cell r="F149">
            <v>119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119</v>
          </cell>
        </row>
        <row r="150">
          <cell r="B150" t="str">
            <v>FINANCE COSTS</v>
          </cell>
          <cell r="K150">
            <v>0</v>
          </cell>
        </row>
        <row r="151">
          <cell r="A151">
            <v>60001</v>
          </cell>
          <cell r="B151" t="str">
            <v xml:space="preserve">     Bank charges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A152">
            <v>60002</v>
          </cell>
          <cell r="B152" t="str">
            <v xml:space="preserve">     Hire Purhcase interest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A153">
            <v>60000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(LOSS)/ PROFIT for the year before taxation</v>
          </cell>
          <cell r="F154">
            <v>5948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5948</v>
          </cell>
        </row>
        <row r="155">
          <cell r="A155">
            <v>70001</v>
          </cell>
          <cell r="B155" t="str">
            <v xml:space="preserve">   Taxation- current year</v>
          </cell>
          <cell r="F155">
            <v>1963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1963</v>
          </cell>
        </row>
        <row r="156">
          <cell r="A156">
            <v>70002</v>
          </cell>
          <cell r="B156" t="str">
            <v xml:space="preserve">   Taxation-over/under PY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A157">
            <v>70003</v>
          </cell>
          <cell r="B157" t="str">
            <v xml:space="preserve">   Taxation-Def tax transfer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A158">
            <v>70000</v>
          </cell>
          <cell r="B158" t="str">
            <v>Taxation</v>
          </cell>
          <cell r="F158">
            <v>1963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1963</v>
          </cell>
        </row>
        <row r="159">
          <cell r="B159" t="str">
            <v>PROFIT for the year after taxation</v>
          </cell>
          <cell r="F159">
            <v>3985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3985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BUATAN"/>
      <sheetName val="SUM FUTONG"/>
      <sheetName val="Buatan"/>
      <sheetName val="FUTONG"/>
      <sheetName val="Futong (2)"/>
      <sheetName val="Buatan (2)"/>
    </sheetNames>
    <sheetDataSet>
      <sheetData sheetId="0"/>
      <sheetData sheetId="1"/>
      <sheetData sheetId="2"/>
      <sheetData sheetId="3">
        <row r="3">
          <cell r="A3" t="str">
            <v>Period</v>
          </cell>
          <cell r="B3" t="str">
            <v>TruckCode</v>
          </cell>
          <cell r="C3" t="str">
            <v>Name</v>
          </cell>
          <cell r="D3" t="str">
            <v>.Faktur</v>
          </cell>
          <cell r="E3" t="str">
            <v>SKF</v>
          </cell>
          <cell r="F3" t="str">
            <v>Location</v>
          </cell>
          <cell r="G3" t="str">
            <v>Ton</v>
          </cell>
          <cell r="H3" t="str">
            <v>TimeActual2a</v>
          </cell>
          <cell r="I3" t="str">
            <v>TimeActual3a</v>
          </cell>
          <cell r="J3" t="str">
            <v>TimeActual4a</v>
          </cell>
          <cell r="K3" t="str">
            <v>TimeActual5a</v>
          </cell>
          <cell r="L3" t="str">
            <v>TimeActual6a</v>
          </cell>
          <cell r="M3" t="str">
            <v>TimeActual7a</v>
          </cell>
          <cell r="N3" t="str">
            <v>TimeActual8a</v>
          </cell>
          <cell r="O3" t="str">
            <v>TimeActual9a</v>
          </cell>
          <cell r="P3" t="str">
            <v>TimeActual10a</v>
          </cell>
          <cell r="Q3" t="str">
            <v>TimeActual11a</v>
          </cell>
          <cell r="R3" t="str">
            <v>TimeActual12a</v>
          </cell>
          <cell r="S3" t="str">
            <v>Cycle2</v>
          </cell>
        </row>
        <row r="4">
          <cell r="A4">
            <v>40122</v>
          </cell>
          <cell r="B4" t="str">
            <v>RTI0002</v>
          </cell>
          <cell r="C4" t="str">
            <v>SULAIMAN. R</v>
          </cell>
          <cell r="D4" t="str">
            <v>90511009;90511010</v>
          </cell>
          <cell r="E4" t="str">
            <v>P-PULF</v>
          </cell>
          <cell r="F4" t="str">
            <v>Pulp Transport</v>
          </cell>
          <cell r="G4">
            <v>120</v>
          </cell>
          <cell r="H4">
            <v>6.9444444444445308E-3</v>
          </cell>
          <cell r="I4">
            <v>5.5555555555555358E-3</v>
          </cell>
          <cell r="J4">
            <v>7.0833333333333304E-2</v>
          </cell>
          <cell r="K4">
            <v>3.4722222222222099E-3</v>
          </cell>
          <cell r="L4">
            <v>6.9444444444444198E-3</v>
          </cell>
          <cell r="M4">
            <v>1.6666666666666607E-2</v>
          </cell>
          <cell r="N4">
            <v>3.472222222222222E-3</v>
          </cell>
          <cell r="O4">
            <v>9.6527777777777768E-2</v>
          </cell>
          <cell r="P4">
            <v>3.4027777777777768E-2</v>
          </cell>
          <cell r="Q4">
            <v>2.430555555555558E-2</v>
          </cell>
          <cell r="R4">
            <v>7.9861111111111133E-2</v>
          </cell>
          <cell r="S4">
            <v>0.34861111111111109</v>
          </cell>
        </row>
        <row r="5">
          <cell r="A5">
            <v>40122</v>
          </cell>
          <cell r="B5" t="str">
            <v>BFI0001</v>
          </cell>
          <cell r="C5" t="str">
            <v>PEPEN EFFENDI</v>
          </cell>
          <cell r="D5" t="str">
            <v>90511003;90511004</v>
          </cell>
          <cell r="E5" t="str">
            <v>P-PULF</v>
          </cell>
          <cell r="F5" t="str">
            <v>Pulp Transport</v>
          </cell>
          <cell r="G5">
            <v>144</v>
          </cell>
          <cell r="H5">
            <v>2.7083333333333237E-2</v>
          </cell>
          <cell r="I5">
            <v>3.5416666666666763E-2</v>
          </cell>
          <cell r="J5">
            <v>2.083333333333337E-2</v>
          </cell>
          <cell r="K5">
            <v>4.513888888888884E-2</v>
          </cell>
          <cell r="L5">
            <v>2.4305555555555469E-2</v>
          </cell>
          <cell r="M5">
            <v>1.736111111111116E-2</v>
          </cell>
          <cell r="N5">
            <v>2.2222222222222223E-2</v>
          </cell>
          <cell r="O5">
            <v>0.14583333333333334</v>
          </cell>
          <cell r="P5">
            <v>6.9444444444445308E-3</v>
          </cell>
          <cell r="Q5">
            <v>2.430555555555558E-2</v>
          </cell>
          <cell r="R5">
            <v>7.9861111111111133E-2</v>
          </cell>
          <cell r="S5">
            <v>0.44930555555555562</v>
          </cell>
        </row>
        <row r="6">
          <cell r="A6">
            <v>40122</v>
          </cell>
          <cell r="B6" t="str">
            <v>RTI0020</v>
          </cell>
          <cell r="C6" t="str">
            <v>SAFRI SIREGAR</v>
          </cell>
          <cell r="D6" t="str">
            <v>90511007;90511008</v>
          </cell>
          <cell r="E6" t="str">
            <v>P-PULF</v>
          </cell>
          <cell r="F6" t="str">
            <v>Pulp Transport</v>
          </cell>
          <cell r="G6">
            <v>120</v>
          </cell>
          <cell r="H6">
            <v>1.041666666666663E-2</v>
          </cell>
          <cell r="I6">
            <v>6.9444444444445308E-3</v>
          </cell>
          <cell r="J6">
            <v>4.8611111111110938E-3</v>
          </cell>
          <cell r="K6">
            <v>2.6388888888888906E-2</v>
          </cell>
          <cell r="L6">
            <v>1.388888888888884E-2</v>
          </cell>
          <cell r="M6">
            <v>4.6527777777777835E-2</v>
          </cell>
          <cell r="N6">
            <v>5.5555555555555558E-3</v>
          </cell>
          <cell r="O6">
            <v>0.15694444444444444</v>
          </cell>
          <cell r="P6">
            <v>9.7222222222221877E-3</v>
          </cell>
          <cell r="Q6">
            <v>2.430555555555558E-2</v>
          </cell>
          <cell r="R6">
            <v>7.9861111111111133E-2</v>
          </cell>
          <cell r="S6">
            <v>0.38541666666666674</v>
          </cell>
        </row>
        <row r="7">
          <cell r="A7">
            <v>40122</v>
          </cell>
          <cell r="B7" t="str">
            <v>RTI0002</v>
          </cell>
          <cell r="C7" t="str">
            <v>J.R. SINAGA</v>
          </cell>
          <cell r="D7" t="str">
            <v>1038128;1038129</v>
          </cell>
          <cell r="E7" t="str">
            <v>P-PULF</v>
          </cell>
          <cell r="F7" t="str">
            <v>Pulp Transport</v>
          </cell>
          <cell r="G7">
            <v>120</v>
          </cell>
          <cell r="H7">
            <v>3.4722222222222099E-3</v>
          </cell>
          <cell r="I7">
            <v>1.736111111111116E-2</v>
          </cell>
          <cell r="J7">
            <v>2.0833333333333315E-2</v>
          </cell>
          <cell r="K7">
            <v>3.4722222222222099E-3</v>
          </cell>
          <cell r="L7">
            <v>1.3888888888888895E-2</v>
          </cell>
          <cell r="M7">
            <v>1.3888888888888895E-2</v>
          </cell>
          <cell r="N7">
            <v>3.472222222222222E-3</v>
          </cell>
          <cell r="O7">
            <v>7.4305555555555555E-2</v>
          </cell>
          <cell r="P7">
            <v>7.8472222222222221E-2</v>
          </cell>
          <cell r="Q7">
            <v>6.9444444444444198E-3</v>
          </cell>
          <cell r="R7">
            <v>7.9861111111111133E-2</v>
          </cell>
          <cell r="S7">
            <v>0.31597222222222221</v>
          </cell>
        </row>
        <row r="8">
          <cell r="A8">
            <v>40122</v>
          </cell>
          <cell r="B8" t="str">
            <v>RTI0006</v>
          </cell>
          <cell r="C8" t="str">
            <v>YULIANTO</v>
          </cell>
          <cell r="D8" t="str">
            <v>1038126;1038127</v>
          </cell>
          <cell r="E8" t="str">
            <v>P-PULF</v>
          </cell>
          <cell r="F8" t="str">
            <v>Pulp Transport</v>
          </cell>
          <cell r="G8">
            <v>120</v>
          </cell>
          <cell r="H8">
            <v>6.9444444444444198E-3</v>
          </cell>
          <cell r="I8">
            <v>6.9444444444445308E-3</v>
          </cell>
          <cell r="J8">
            <v>2.0833333333333259E-2</v>
          </cell>
          <cell r="K8">
            <v>2.430555555555558E-2</v>
          </cell>
          <cell r="L8">
            <v>1.0416666666666519E-2</v>
          </cell>
          <cell r="M8">
            <v>2.7777777777777901E-2</v>
          </cell>
          <cell r="N8">
            <v>2.0833333333333332E-2</v>
          </cell>
          <cell r="O8">
            <v>7.2916666666666671E-2</v>
          </cell>
          <cell r="P8">
            <v>1.0138888888888888</v>
          </cell>
          <cell r="Q8">
            <v>1.3888888888889062E-2</v>
          </cell>
          <cell r="R8">
            <v>7.9861111111111133E-2</v>
          </cell>
          <cell r="S8">
            <v>1.2986111111111114</v>
          </cell>
        </row>
        <row r="9">
          <cell r="A9">
            <v>40122</v>
          </cell>
          <cell r="B9" t="str">
            <v>RTI0011</v>
          </cell>
          <cell r="C9" t="str">
            <v>BUDI HANDOKO</v>
          </cell>
          <cell r="D9" t="str">
            <v>90511001;90511002</v>
          </cell>
          <cell r="E9" t="str">
            <v>P-PULF</v>
          </cell>
          <cell r="F9" t="str">
            <v>Pulp Transport</v>
          </cell>
          <cell r="G9">
            <v>120</v>
          </cell>
          <cell r="H9">
            <v>6.9444444444444198E-3</v>
          </cell>
          <cell r="I9">
            <v>6.9444444444445308E-3</v>
          </cell>
          <cell r="J9">
            <v>1.7361111111110938E-2</v>
          </cell>
          <cell r="K9">
            <v>2.430555555555558E-2</v>
          </cell>
          <cell r="L9">
            <v>8.0555555555555491E-2</v>
          </cell>
          <cell r="M9">
            <v>2.7777777777777679E-3</v>
          </cell>
          <cell r="N9">
            <v>3.472222222222222E-3</v>
          </cell>
          <cell r="O9">
            <v>7.6388888888888895E-2</v>
          </cell>
          <cell r="P9">
            <v>2.7777777777777679E-2</v>
          </cell>
          <cell r="Q9">
            <v>1.3888888888888951E-2</v>
          </cell>
          <cell r="R9">
            <v>7.9861111111111133E-2</v>
          </cell>
          <cell r="S9">
            <v>0.34027777777777757</v>
          </cell>
        </row>
        <row r="10">
          <cell r="A10">
            <v>40122</v>
          </cell>
          <cell r="B10" t="str">
            <v>RTI0006</v>
          </cell>
          <cell r="C10" t="str">
            <v>EKO MUSTANTO</v>
          </cell>
          <cell r="D10" t="str">
            <v>1038266;1038268</v>
          </cell>
          <cell r="E10" t="str">
            <v>P-PULF</v>
          </cell>
          <cell r="F10" t="str">
            <v>Pulp Transport</v>
          </cell>
          <cell r="G10">
            <v>120</v>
          </cell>
          <cell r="H10">
            <v>1.041666666666663E-2</v>
          </cell>
          <cell r="I10">
            <v>3.8194444444444309E-2</v>
          </cell>
          <cell r="J10">
            <v>3.4722222222222321E-2</v>
          </cell>
          <cell r="K10">
            <v>2.430555555555558E-2</v>
          </cell>
          <cell r="L10">
            <v>2.4305555555555469E-2</v>
          </cell>
          <cell r="M10">
            <v>4.166666666666663E-2</v>
          </cell>
          <cell r="N10">
            <v>3.8194444444444441E-2</v>
          </cell>
          <cell r="O10">
            <v>7.6388888888888895E-2</v>
          </cell>
          <cell r="P10">
            <v>2.7777777777777679E-2</v>
          </cell>
          <cell r="Q10">
            <v>4.1666666666666664E-2</v>
          </cell>
          <cell r="R10">
            <v>0.10416666666666666</v>
          </cell>
          <cell r="S10">
            <v>0.46180555555555536</v>
          </cell>
        </row>
        <row r="11">
          <cell r="A11">
            <v>40122</v>
          </cell>
          <cell r="B11" t="str">
            <v>RTI0010</v>
          </cell>
          <cell r="C11" t="str">
            <v>BAMBANG SUHENDRI</v>
          </cell>
          <cell r="D11" t="str">
            <v>1038226;1038227</v>
          </cell>
          <cell r="E11" t="str">
            <v>P-PULF</v>
          </cell>
          <cell r="F11" t="str">
            <v>Pulp Transport</v>
          </cell>
          <cell r="G11">
            <v>120</v>
          </cell>
          <cell r="H11">
            <v>1.7361111111111105E-2</v>
          </cell>
          <cell r="I11">
            <v>1.3888888888888895E-2</v>
          </cell>
          <cell r="J11">
            <v>1.3888888888888951E-2</v>
          </cell>
          <cell r="K11">
            <v>1.7361111111111049E-2</v>
          </cell>
          <cell r="L11">
            <v>1.0416666666666685E-2</v>
          </cell>
          <cell r="M11">
            <v>1.0416666666666685E-2</v>
          </cell>
          <cell r="N11">
            <v>1.3888888888888888E-2</v>
          </cell>
          <cell r="O11">
            <v>7.6388888888888895E-2</v>
          </cell>
          <cell r="P11">
            <v>7.291666666666663E-2</v>
          </cell>
          <cell r="Q11">
            <v>1.0416666666666741E-2</v>
          </cell>
          <cell r="R11">
            <v>0.13541666666666663</v>
          </cell>
          <cell r="S11">
            <v>0.39236111111111116</v>
          </cell>
        </row>
        <row r="12">
          <cell r="A12">
            <v>40122</v>
          </cell>
          <cell r="B12" t="str">
            <v>RTI0005</v>
          </cell>
          <cell r="C12" t="str">
            <v>HALOMOAN PASARIBU</v>
          </cell>
          <cell r="D12" t="str">
            <v>1038301;1038343</v>
          </cell>
          <cell r="E12" t="str">
            <v>P-PULF</v>
          </cell>
          <cell r="F12" t="str">
            <v>Pulp Transport</v>
          </cell>
          <cell r="G12">
            <v>120</v>
          </cell>
          <cell r="H12">
            <v>1.388888888888884E-2</v>
          </cell>
          <cell r="I12">
            <v>1.3888888888888951E-2</v>
          </cell>
          <cell r="J12">
            <v>1.388888888888884E-2</v>
          </cell>
          <cell r="K12">
            <v>1.388888888888884E-2</v>
          </cell>
          <cell r="L12">
            <v>1.3888888888888951E-2</v>
          </cell>
          <cell r="M12">
            <v>1.388888888888884E-2</v>
          </cell>
          <cell r="N12">
            <v>1.3888888888888888E-2</v>
          </cell>
          <cell r="O12">
            <v>7.6388888888888895E-2</v>
          </cell>
          <cell r="P12">
            <v>2.7777777777777679E-2</v>
          </cell>
          <cell r="Q12">
            <v>1.0416666666666664E-2</v>
          </cell>
          <cell r="R12">
            <v>0.10069444444444445</v>
          </cell>
          <cell r="S12">
            <v>0.31249999999999983</v>
          </cell>
        </row>
        <row r="13">
          <cell r="A13">
            <v>40152</v>
          </cell>
          <cell r="B13" t="str">
            <v>RTI0006</v>
          </cell>
          <cell r="C13" t="str">
            <v>YULIANTO</v>
          </cell>
          <cell r="D13" t="str">
            <v>1038400;1038401</v>
          </cell>
          <cell r="E13" t="str">
            <v>P-PULF</v>
          </cell>
          <cell r="F13" t="str">
            <v>Pulp Transport</v>
          </cell>
          <cell r="G13">
            <v>120</v>
          </cell>
          <cell r="H13">
            <v>1.3888888888888895E-2</v>
          </cell>
          <cell r="I13">
            <v>6.9444444444445308E-3</v>
          </cell>
          <cell r="J13">
            <v>2.7777777777777901E-2</v>
          </cell>
          <cell r="K13">
            <v>6.9444444444443088E-3</v>
          </cell>
          <cell r="L13">
            <v>1.3888888888888951E-2</v>
          </cell>
          <cell r="M13">
            <v>1.736111111111116E-2</v>
          </cell>
          <cell r="N13">
            <v>1.3888888888888888E-2</v>
          </cell>
          <cell r="O13">
            <v>7.6388888888888895E-2</v>
          </cell>
          <cell r="P13">
            <v>6.9444444444446418E-3</v>
          </cell>
          <cell r="Q13">
            <v>9.7222222222222099E-2</v>
          </cell>
          <cell r="R13">
            <v>7.9861111111111133E-2</v>
          </cell>
          <cell r="S13">
            <v>0.36111111111111138</v>
          </cell>
        </row>
        <row r="14">
          <cell r="A14">
            <v>40122</v>
          </cell>
          <cell r="B14" t="str">
            <v>RTI0020</v>
          </cell>
          <cell r="C14" t="str">
            <v>SAFRI SIREGAR</v>
          </cell>
          <cell r="D14" t="str">
            <v>1038434;1038435</v>
          </cell>
          <cell r="E14" t="str">
            <v>P-PULF</v>
          </cell>
          <cell r="F14" t="str">
            <v>Pulp Transport</v>
          </cell>
          <cell r="G14">
            <v>120</v>
          </cell>
          <cell r="H14">
            <v>4.1666666666666796E-3</v>
          </cell>
          <cell r="I14">
            <v>5.5555555555555358E-3</v>
          </cell>
          <cell r="J14">
            <v>1.7361111111111133E-2</v>
          </cell>
          <cell r="K14">
            <v>4.5138888888888895E-2</v>
          </cell>
          <cell r="L14">
            <v>1.041666666666663E-2</v>
          </cell>
          <cell r="M14">
            <v>1.736111111111116E-2</v>
          </cell>
          <cell r="N14">
            <v>1.3888888888888895E-2</v>
          </cell>
          <cell r="O14">
            <v>7.6388888888888895E-2</v>
          </cell>
          <cell r="P14">
            <v>1.388888888888884E-2</v>
          </cell>
          <cell r="Q14">
            <v>1.0416666666666685E-2</v>
          </cell>
          <cell r="R14">
            <v>7.9861111111111133E-2</v>
          </cell>
          <cell r="S14">
            <v>0.29444444444444451</v>
          </cell>
        </row>
        <row r="15">
          <cell r="A15">
            <v>40152</v>
          </cell>
          <cell r="B15" t="str">
            <v>RTI0001</v>
          </cell>
          <cell r="C15" t="str">
            <v>JONSON  TAMPUBOLON</v>
          </cell>
          <cell r="D15" t="str">
            <v>1038439;1038441</v>
          </cell>
          <cell r="E15" t="str">
            <v>P-PULF</v>
          </cell>
          <cell r="F15" t="str">
            <v>Pulp Transport</v>
          </cell>
          <cell r="G15">
            <v>120</v>
          </cell>
          <cell r="H15">
            <v>5.5555555555555358E-3</v>
          </cell>
          <cell r="I15">
            <v>8.3333333333333037E-3</v>
          </cell>
          <cell r="J15">
            <v>3.125E-2</v>
          </cell>
          <cell r="K15">
            <v>1.041666666666663E-2</v>
          </cell>
          <cell r="L15">
            <v>2.083333333333337E-2</v>
          </cell>
          <cell r="M15">
            <v>2.0833333333333259E-2</v>
          </cell>
          <cell r="N15">
            <v>3.472222222222222E-3</v>
          </cell>
          <cell r="O15">
            <v>7.6388888888888895E-2</v>
          </cell>
          <cell r="P15">
            <v>3.125E-2</v>
          </cell>
          <cell r="Q15">
            <v>2.430555555555558E-2</v>
          </cell>
          <cell r="R15">
            <v>7.9861111111111133E-2</v>
          </cell>
          <cell r="S15">
            <v>0.31249999999999989</v>
          </cell>
        </row>
        <row r="16">
          <cell r="A16">
            <v>40152</v>
          </cell>
          <cell r="B16" t="str">
            <v>RTI0005</v>
          </cell>
          <cell r="C16" t="str">
            <v>M. ISA GANI</v>
          </cell>
          <cell r="D16" t="str">
            <v>1038450;1038523</v>
          </cell>
          <cell r="E16" t="str">
            <v>P-PULF</v>
          </cell>
          <cell r="F16" t="str">
            <v>Pulp Transport</v>
          </cell>
          <cell r="G16">
            <v>120</v>
          </cell>
          <cell r="H16">
            <v>3.4722222222222265E-2</v>
          </cell>
          <cell r="I16">
            <v>6.9444444444445308E-3</v>
          </cell>
          <cell r="J16">
            <v>3.8194444444444531E-2</v>
          </cell>
          <cell r="K16">
            <v>1.388888888888884E-3</v>
          </cell>
          <cell r="L16">
            <v>1.2499999999999956E-2</v>
          </cell>
          <cell r="M16">
            <v>1.736111111111116E-2</v>
          </cell>
          <cell r="N16">
            <v>3.472222222222222E-3</v>
          </cell>
          <cell r="O16">
            <v>8.3333333333333329E-2</v>
          </cell>
          <cell r="P16">
            <v>4.861111111111116E-2</v>
          </cell>
          <cell r="Q16">
            <v>1.8749999999999933E-2</v>
          </cell>
          <cell r="R16">
            <v>7.9861111111111133E-2</v>
          </cell>
          <cell r="S16">
            <v>0.34513888888888911</v>
          </cell>
        </row>
        <row r="17">
          <cell r="A17">
            <v>40152</v>
          </cell>
          <cell r="B17" t="str">
            <v>RTI0008</v>
          </cell>
          <cell r="C17" t="str">
            <v>M. NASIR</v>
          </cell>
          <cell r="D17" t="str">
            <v>1038375;1038379</v>
          </cell>
          <cell r="E17" t="str">
            <v>P-PULF</v>
          </cell>
          <cell r="F17" t="str">
            <v>Pulp Transport</v>
          </cell>
          <cell r="G17">
            <v>120</v>
          </cell>
          <cell r="H17">
            <v>6.9444444444444753E-3</v>
          </cell>
          <cell r="I17">
            <v>6.25E-2</v>
          </cell>
          <cell r="J17">
            <v>6.2499999999999972E-2</v>
          </cell>
          <cell r="K17">
            <v>2.777777777777779E-2</v>
          </cell>
          <cell r="L17">
            <v>6.9444444444444198E-3</v>
          </cell>
          <cell r="M17">
            <v>2.777777777777779E-2</v>
          </cell>
          <cell r="N17">
            <v>1.3888888888888888E-2</v>
          </cell>
          <cell r="O17">
            <v>7.638888888888884E-2</v>
          </cell>
          <cell r="P17">
            <v>6.9444444444443088E-3</v>
          </cell>
          <cell r="Q17">
            <v>2.430555555555558E-2</v>
          </cell>
          <cell r="R17">
            <v>7.9861111111111133E-2</v>
          </cell>
          <cell r="S17">
            <v>0.39583333333333326</v>
          </cell>
        </row>
        <row r="18">
          <cell r="A18">
            <v>40152</v>
          </cell>
          <cell r="B18" t="str">
            <v>RTI0007</v>
          </cell>
          <cell r="C18" t="str">
            <v>RUSDI</v>
          </cell>
          <cell r="D18" t="str">
            <v>1038376;1038381</v>
          </cell>
          <cell r="E18" t="str">
            <v>P-PULF</v>
          </cell>
          <cell r="F18" t="str">
            <v>Pulp Transport</v>
          </cell>
          <cell r="G18">
            <v>120</v>
          </cell>
          <cell r="H18">
            <v>1.388888888888884E-2</v>
          </cell>
          <cell r="I18">
            <v>2.083333333333337E-2</v>
          </cell>
          <cell r="J18">
            <v>2.083333333333337E-2</v>
          </cell>
          <cell r="K18">
            <v>1.388888888888884E-2</v>
          </cell>
          <cell r="L18">
            <v>1.041666666666663E-2</v>
          </cell>
          <cell r="M18">
            <v>3.4722222222222654E-3</v>
          </cell>
          <cell r="N18">
            <v>1.3888888888888895E-2</v>
          </cell>
          <cell r="O18">
            <v>7.638888888888884E-2</v>
          </cell>
          <cell r="P18">
            <v>2.7777777777777679E-2</v>
          </cell>
          <cell r="Q18">
            <v>2.430555555555558E-2</v>
          </cell>
          <cell r="R18">
            <v>7.9861111111111133E-2</v>
          </cell>
          <cell r="S18">
            <v>0.30555555555555547</v>
          </cell>
        </row>
        <row r="19">
          <cell r="A19">
            <v>40122</v>
          </cell>
          <cell r="B19" t="str">
            <v>RTI0010</v>
          </cell>
          <cell r="C19" t="str">
            <v>SUPARNO</v>
          </cell>
          <cell r="D19" t="str">
            <v>1038433;1038436</v>
          </cell>
          <cell r="E19" t="str">
            <v>P-PULF</v>
          </cell>
          <cell r="F19" t="str">
            <v>Pulp Transport</v>
          </cell>
          <cell r="G19">
            <v>120</v>
          </cell>
          <cell r="H19">
            <v>8.3333333333333592E-3</v>
          </cell>
          <cell r="I19">
            <v>3.4722222222222099E-3</v>
          </cell>
          <cell r="J19">
            <v>6.4583333333333326E-2</v>
          </cell>
          <cell r="K19">
            <v>8.3333333333333315E-3</v>
          </cell>
          <cell r="L19">
            <v>1.7361111111111105E-2</v>
          </cell>
          <cell r="M19">
            <v>2.083333333333337E-2</v>
          </cell>
          <cell r="N19">
            <v>1.0416666666666666E-2</v>
          </cell>
          <cell r="O19">
            <v>7.638888888888884E-2</v>
          </cell>
          <cell r="P19">
            <v>2.4305555555555691E-2</v>
          </cell>
          <cell r="Q19">
            <v>2.430555555555558E-2</v>
          </cell>
          <cell r="R19">
            <v>7.9861111111111133E-2</v>
          </cell>
          <cell r="S19">
            <v>0.33819444444444458</v>
          </cell>
        </row>
        <row r="20">
          <cell r="A20">
            <v>40152</v>
          </cell>
          <cell r="B20" t="str">
            <v>RTI0001</v>
          </cell>
          <cell r="C20" t="str">
            <v>JAMES SINAMBELA</v>
          </cell>
          <cell r="D20" t="str">
            <v>1038490;1038503</v>
          </cell>
          <cell r="E20" t="str">
            <v>P-PULF</v>
          </cell>
          <cell r="F20" t="str">
            <v>Pulp Transport</v>
          </cell>
          <cell r="G20">
            <v>120</v>
          </cell>
          <cell r="H20">
            <v>6.9444444444444753E-3</v>
          </cell>
          <cell r="I20">
            <v>1.388888888888884E-2</v>
          </cell>
          <cell r="J20">
            <v>4.1666666666666741E-2</v>
          </cell>
          <cell r="K20">
            <v>2.0833333333333315E-2</v>
          </cell>
          <cell r="L20">
            <v>2.4305555555555525E-2</v>
          </cell>
          <cell r="M20">
            <v>1.041666666666663E-2</v>
          </cell>
          <cell r="N20">
            <v>3.472222222222222E-3</v>
          </cell>
          <cell r="O20">
            <v>0.1076388888888889</v>
          </cell>
          <cell r="P20">
            <v>6.9444444444444198E-3</v>
          </cell>
          <cell r="Q20">
            <v>3.472222222222221E-2</v>
          </cell>
          <cell r="R20">
            <v>7.9861111111111133E-2</v>
          </cell>
          <cell r="S20">
            <v>0.35069444444444442</v>
          </cell>
        </row>
        <row r="21">
          <cell r="A21">
            <v>40122</v>
          </cell>
          <cell r="B21" t="str">
            <v>RTI0002</v>
          </cell>
          <cell r="C21" t="str">
            <v>SULAIMAN. R</v>
          </cell>
          <cell r="D21" t="str">
            <v>1038321;1038432</v>
          </cell>
          <cell r="E21" t="str">
            <v>P-PULF</v>
          </cell>
          <cell r="F21" t="str">
            <v>Pulp Transport</v>
          </cell>
          <cell r="G21">
            <v>120</v>
          </cell>
          <cell r="H21">
            <v>1.8749999999999989E-2</v>
          </cell>
          <cell r="I21">
            <v>5.5555555555555358E-3</v>
          </cell>
          <cell r="J21">
            <v>5.3472222222222227E-2</v>
          </cell>
          <cell r="K21">
            <v>2.0833333333333537E-3</v>
          </cell>
          <cell r="L21">
            <v>2.0833333333333343E-2</v>
          </cell>
          <cell r="M21">
            <v>5.2083333333333315E-2</v>
          </cell>
          <cell r="N21">
            <v>6.9444444444444441E-3</v>
          </cell>
          <cell r="O21">
            <v>9.375E-2</v>
          </cell>
          <cell r="P21">
            <v>0.10069444444444442</v>
          </cell>
          <cell r="Q21">
            <v>2.430555555555558E-2</v>
          </cell>
          <cell r="R21">
            <v>7.9861111111111133E-2</v>
          </cell>
          <cell r="S21">
            <v>0.45833333333333337</v>
          </cell>
        </row>
        <row r="22">
          <cell r="A22">
            <v>40122</v>
          </cell>
          <cell r="B22" t="str">
            <v>RTI0005</v>
          </cell>
          <cell r="C22" t="str">
            <v>PARDAMEAN T</v>
          </cell>
          <cell r="D22" t="str">
            <v>1038136;1038137</v>
          </cell>
          <cell r="E22" t="str">
            <v>P-PULF</v>
          </cell>
          <cell r="F22" t="str">
            <v>Pulp Transport</v>
          </cell>
          <cell r="G22">
            <v>120</v>
          </cell>
          <cell r="H22">
            <v>1.7361111111111105E-2</v>
          </cell>
          <cell r="I22">
            <v>1.8749999999999989E-2</v>
          </cell>
          <cell r="J22">
            <v>2.2916666666666696E-2</v>
          </cell>
          <cell r="K22">
            <v>3.4722222222222099E-3</v>
          </cell>
          <cell r="L22">
            <v>1.388888888888884E-2</v>
          </cell>
          <cell r="M22">
            <v>3.125E-2</v>
          </cell>
          <cell r="N22">
            <v>3.472222222222222E-3</v>
          </cell>
          <cell r="O22">
            <v>0.12708333333333333</v>
          </cell>
          <cell r="P22">
            <v>6.9444444444444198E-3</v>
          </cell>
          <cell r="Q22">
            <v>0.1020833333333333</v>
          </cell>
          <cell r="R22">
            <v>7.9861111111111133E-2</v>
          </cell>
          <cell r="S22">
            <v>0.42708333333333326</v>
          </cell>
        </row>
        <row r="23">
          <cell r="A23" t="str">
            <v>13/5/2009</v>
          </cell>
          <cell r="B23" t="str">
            <v>RTI0009</v>
          </cell>
          <cell r="C23" t="str">
            <v>JANTER SILALAHI</v>
          </cell>
          <cell r="D23" t="str">
            <v>1038756;1038757</v>
          </cell>
          <cell r="E23" t="str">
            <v>P-PULF</v>
          </cell>
          <cell r="F23" t="str">
            <v>Pulp Transport</v>
          </cell>
          <cell r="G23">
            <v>120</v>
          </cell>
          <cell r="H23">
            <v>1.041666666666663E-2</v>
          </cell>
          <cell r="I23">
            <v>1.0416666666666685E-2</v>
          </cell>
          <cell r="J23">
            <v>1.7361111111111049E-2</v>
          </cell>
          <cell r="K23">
            <v>1.3888888888888951E-2</v>
          </cell>
          <cell r="L23">
            <v>1.7361111111111049E-2</v>
          </cell>
          <cell r="M23">
            <v>1.7361111111111216E-2</v>
          </cell>
          <cell r="N23">
            <v>1.7361111111111112E-2</v>
          </cell>
          <cell r="O23">
            <v>7.638888888888884E-2</v>
          </cell>
          <cell r="P23">
            <v>9.7222222222222321E-2</v>
          </cell>
          <cell r="Q23">
            <v>1.388888888888884E-2</v>
          </cell>
          <cell r="R23">
            <v>0.11458333333333337</v>
          </cell>
          <cell r="S23">
            <v>0.40625000000000006</v>
          </cell>
        </row>
        <row r="24">
          <cell r="A24" t="str">
            <v>13/5/2009</v>
          </cell>
          <cell r="B24" t="str">
            <v>RTI0008</v>
          </cell>
          <cell r="C24" t="str">
            <v>JAILANI</v>
          </cell>
          <cell r="D24" t="str">
            <v>1038688;1038691</v>
          </cell>
          <cell r="E24" t="str">
            <v>P-PULF</v>
          </cell>
          <cell r="F24" t="str">
            <v>Pulp Transport</v>
          </cell>
          <cell r="G24">
            <v>120</v>
          </cell>
          <cell r="H24">
            <v>6.9444444444444475E-3</v>
          </cell>
          <cell r="I24">
            <v>1.7361111111111105E-2</v>
          </cell>
          <cell r="J24">
            <v>1.7361111111111119E-2</v>
          </cell>
          <cell r="K24">
            <v>1.7361111111111105E-2</v>
          </cell>
          <cell r="L24">
            <v>1.7361111111111119E-2</v>
          </cell>
          <cell r="M24">
            <v>1.3888888888888895E-2</v>
          </cell>
          <cell r="N24">
            <v>1.7361111111111112E-2</v>
          </cell>
          <cell r="O24">
            <v>7.638888888888884E-2</v>
          </cell>
          <cell r="P24">
            <v>9.3749999999999972E-2</v>
          </cell>
          <cell r="Q24">
            <v>1.0416666666666685E-2</v>
          </cell>
          <cell r="R24">
            <v>0.20763888888888887</v>
          </cell>
          <cell r="S24">
            <v>0.49583333333333324</v>
          </cell>
        </row>
        <row r="25">
          <cell r="A25" t="str">
            <v>13/5/2009</v>
          </cell>
          <cell r="B25" t="str">
            <v>RTI0006</v>
          </cell>
          <cell r="C25" t="str">
            <v>IMRAN NASUTION</v>
          </cell>
          <cell r="D25" t="str">
            <v>1038689;1038690</v>
          </cell>
          <cell r="E25" t="str">
            <v>P-PULF</v>
          </cell>
          <cell r="F25" t="str">
            <v>Pulp Transport</v>
          </cell>
          <cell r="G25">
            <v>120</v>
          </cell>
          <cell r="H25">
            <v>1.041666666666663E-2</v>
          </cell>
          <cell r="I25">
            <v>6.9444444444444475E-3</v>
          </cell>
          <cell r="J25">
            <v>1.0416666666666671E-2</v>
          </cell>
          <cell r="K25">
            <v>1.7361111111111105E-2</v>
          </cell>
          <cell r="L25">
            <v>1.3888888888888895E-2</v>
          </cell>
          <cell r="M25">
            <v>1.7361111111111105E-2</v>
          </cell>
          <cell r="N25">
            <v>1.3888888888888888E-2</v>
          </cell>
          <cell r="O25">
            <v>7.638888888888884E-2</v>
          </cell>
          <cell r="P25">
            <v>9.375E-2</v>
          </cell>
          <cell r="Q25">
            <v>1.0416666666666685E-2</v>
          </cell>
          <cell r="R25">
            <v>0.19791666666666663</v>
          </cell>
          <cell r="S25">
            <v>0.46874999999999989</v>
          </cell>
        </row>
        <row r="26">
          <cell r="A26" t="str">
            <v>13/5/2009</v>
          </cell>
          <cell r="B26" t="str">
            <v>RTI0007</v>
          </cell>
          <cell r="C26" t="str">
            <v>RUSDI</v>
          </cell>
          <cell r="D26" t="str">
            <v>1038723;1038724</v>
          </cell>
          <cell r="E26" t="str">
            <v>P-PULF</v>
          </cell>
          <cell r="F26" t="str">
            <v>Pulp Transport</v>
          </cell>
          <cell r="G26">
            <v>120</v>
          </cell>
          <cell r="H26">
            <v>1.041666666666663E-2</v>
          </cell>
          <cell r="I26">
            <v>6.9444444444444441E-3</v>
          </cell>
          <cell r="J26">
            <v>1.3888888888888888E-2</v>
          </cell>
          <cell r="K26">
            <v>1.3888888888888888E-2</v>
          </cell>
          <cell r="L26">
            <v>1.3888888888888888E-2</v>
          </cell>
          <cell r="M26">
            <v>1.7361111111111119E-2</v>
          </cell>
          <cell r="N26">
            <v>1.0416666666666666E-2</v>
          </cell>
          <cell r="O26">
            <v>7.638888888888884E-2</v>
          </cell>
          <cell r="P26">
            <v>8.3333333333333329E-2</v>
          </cell>
          <cell r="Q26">
            <v>1.3888888888888895E-2</v>
          </cell>
          <cell r="R26">
            <v>0.22013888888888886</v>
          </cell>
          <cell r="S26">
            <v>0.4805555555555554</v>
          </cell>
        </row>
        <row r="27">
          <cell r="A27" t="str">
            <v>13/5/2009</v>
          </cell>
          <cell r="B27" t="str">
            <v>BFI0002</v>
          </cell>
          <cell r="C27" t="str">
            <v>DONRY  IRVAN</v>
          </cell>
          <cell r="D27" t="str">
            <v>1038639;1038704</v>
          </cell>
          <cell r="E27" t="str">
            <v>P-PULF</v>
          </cell>
          <cell r="F27" t="str">
            <v>Pulp Transport</v>
          </cell>
          <cell r="G27">
            <v>144</v>
          </cell>
          <cell r="H27">
            <v>6.9444444444444475E-3</v>
          </cell>
          <cell r="I27">
            <v>1.3888888888888888E-2</v>
          </cell>
          <cell r="J27">
            <v>1.8055555555555561E-2</v>
          </cell>
          <cell r="K27">
            <v>1.6666666666666663E-2</v>
          </cell>
          <cell r="L27">
            <v>2.0138888888888873E-2</v>
          </cell>
          <cell r="M27">
            <v>2.1527777777777798E-2</v>
          </cell>
          <cell r="N27">
            <v>2.361111111111111E-2</v>
          </cell>
          <cell r="O27">
            <v>7.638888888888884E-2</v>
          </cell>
          <cell r="P27">
            <v>9.0277777777777762E-2</v>
          </cell>
          <cell r="Q27">
            <v>1.3888888888888895E-2</v>
          </cell>
          <cell r="R27">
            <v>0.13541666666666663</v>
          </cell>
          <cell r="S27">
            <v>0.4368055555555555</v>
          </cell>
        </row>
        <row r="28">
          <cell r="A28" t="str">
            <v>13/5/2009</v>
          </cell>
          <cell r="B28" t="str">
            <v>RTI0002</v>
          </cell>
          <cell r="C28" t="str">
            <v>PAHOT.S</v>
          </cell>
          <cell r="D28" t="str">
            <v>1038702;1038703</v>
          </cell>
          <cell r="E28" t="str">
            <v>P-PULF</v>
          </cell>
          <cell r="F28" t="str">
            <v>Pulp Transport</v>
          </cell>
          <cell r="G28">
            <v>120</v>
          </cell>
          <cell r="H28">
            <v>6.9444444444444441E-3</v>
          </cell>
          <cell r="I28">
            <v>1.7361111111111112E-2</v>
          </cell>
          <cell r="J28">
            <v>1.7361111111111112E-2</v>
          </cell>
          <cell r="K28">
            <v>1.7361111111111112E-2</v>
          </cell>
          <cell r="L28">
            <v>1.7361111111111105E-2</v>
          </cell>
          <cell r="M28">
            <v>1.3888888888888895E-2</v>
          </cell>
          <cell r="N28">
            <v>1.7361111111111112E-2</v>
          </cell>
          <cell r="O28">
            <v>7.638888888888884E-2</v>
          </cell>
          <cell r="P28">
            <v>0.11111111111111113</v>
          </cell>
          <cell r="Q28">
            <v>1.3888888888888867E-2</v>
          </cell>
          <cell r="R28">
            <v>0.12152777777777773</v>
          </cell>
          <cell r="S28">
            <v>0.43055555555555541</v>
          </cell>
        </row>
        <row r="29">
          <cell r="A29">
            <v>40152</v>
          </cell>
          <cell r="B29" t="str">
            <v>RTI0005</v>
          </cell>
          <cell r="C29" t="str">
            <v>M. ISA GANI</v>
          </cell>
          <cell r="D29" t="str">
            <v>1038438;1038440</v>
          </cell>
          <cell r="E29" t="str">
            <v>P-PULF</v>
          </cell>
          <cell r="F29" t="str">
            <v>Pulp Transport</v>
          </cell>
          <cell r="G29">
            <v>120</v>
          </cell>
          <cell r="H29">
            <v>6.9444444444443088E-3</v>
          </cell>
          <cell r="I29">
            <v>1.736111111111116E-2</v>
          </cell>
          <cell r="J29">
            <v>1.0416666666666741E-2</v>
          </cell>
          <cell r="K29">
            <v>1.388888888888884E-2</v>
          </cell>
          <cell r="L29">
            <v>1.736111111111116E-2</v>
          </cell>
          <cell r="M29">
            <v>1.041666666666663E-2</v>
          </cell>
          <cell r="N29">
            <v>1.3888888888888888E-2</v>
          </cell>
          <cell r="O29">
            <v>7.638888888888884E-2</v>
          </cell>
          <cell r="P29">
            <v>6.9444444444444531E-2</v>
          </cell>
          <cell r="Q29">
            <v>1.388888888888884E-2</v>
          </cell>
          <cell r="R29">
            <v>7.9861111111111133E-2</v>
          </cell>
          <cell r="S29">
            <v>0.32986111111111105</v>
          </cell>
        </row>
        <row r="30">
          <cell r="A30">
            <v>40152</v>
          </cell>
          <cell r="B30" t="str">
            <v>RTI0001</v>
          </cell>
          <cell r="C30" t="str">
            <v>JONSON  TAMPUBOLON</v>
          </cell>
          <cell r="D30" t="str">
            <v>1038528;1038529</v>
          </cell>
          <cell r="E30" t="str">
            <v>P-PULF</v>
          </cell>
          <cell r="F30" t="str">
            <v>Pulp Transport</v>
          </cell>
          <cell r="G30">
            <v>120</v>
          </cell>
          <cell r="H30">
            <v>1.0416666666666666E-2</v>
          </cell>
          <cell r="I30">
            <v>6.9444444444443088E-3</v>
          </cell>
          <cell r="J30">
            <v>1.8055555555555602E-2</v>
          </cell>
          <cell r="K30">
            <v>9.7222222222221877E-3</v>
          </cell>
          <cell r="L30">
            <v>1.388888888888884E-2</v>
          </cell>
          <cell r="M30">
            <v>1.736111111111116E-2</v>
          </cell>
          <cell r="N30">
            <v>1.0416666666666666E-2</v>
          </cell>
          <cell r="O30">
            <v>7.638888888888884E-2</v>
          </cell>
          <cell r="P30">
            <v>2.7777777777777679E-2</v>
          </cell>
          <cell r="Q30">
            <v>1.3888888888888888E-2</v>
          </cell>
          <cell r="R30">
            <v>0.16319444444444445</v>
          </cell>
          <cell r="S30">
            <v>0.36805555555555525</v>
          </cell>
        </row>
        <row r="31">
          <cell r="A31">
            <v>40152</v>
          </cell>
          <cell r="B31" t="str">
            <v>RTI0009</v>
          </cell>
          <cell r="C31" t="str">
            <v>JAMALUDDIN IB</v>
          </cell>
          <cell r="D31" t="str">
            <v>1038524;1038526</v>
          </cell>
          <cell r="E31" t="str">
            <v>P-PULF</v>
          </cell>
          <cell r="F31" t="str">
            <v>Pulp Transport</v>
          </cell>
          <cell r="G31">
            <v>120</v>
          </cell>
          <cell r="H31">
            <v>1.041666666666663E-2</v>
          </cell>
          <cell r="I31">
            <v>6.9444444444444198E-3</v>
          </cell>
          <cell r="J31">
            <v>1.736111111111116E-2</v>
          </cell>
          <cell r="K31">
            <v>1.041666666666663E-2</v>
          </cell>
          <cell r="L31">
            <v>1.388888888888884E-2</v>
          </cell>
          <cell r="M31">
            <v>1.736111111111116E-2</v>
          </cell>
          <cell r="N31">
            <v>1.0416666666666666E-2</v>
          </cell>
          <cell r="O31">
            <v>7.638888888888884E-2</v>
          </cell>
          <cell r="P31">
            <v>2.7777777777777679E-2</v>
          </cell>
          <cell r="Q31">
            <v>1.0416666666666664E-2</v>
          </cell>
          <cell r="R31">
            <v>0.15625</v>
          </cell>
          <cell r="S31">
            <v>0.35763888888888873</v>
          </cell>
        </row>
        <row r="32">
          <cell r="A32">
            <v>40152</v>
          </cell>
          <cell r="B32" t="str">
            <v>BFI0002</v>
          </cell>
          <cell r="C32" t="str">
            <v>DONRY  IRVAN</v>
          </cell>
          <cell r="D32" t="str">
            <v>1038505;1038506</v>
          </cell>
          <cell r="E32" t="str">
            <v>P-PULF</v>
          </cell>
          <cell r="F32" t="str">
            <v>Pulp Transport</v>
          </cell>
          <cell r="G32">
            <v>144</v>
          </cell>
          <cell r="H32">
            <v>6.9444444444445308E-3</v>
          </cell>
          <cell r="I32">
            <v>1.388888888888884E-2</v>
          </cell>
          <cell r="J32">
            <v>1.3888888888888895E-2</v>
          </cell>
          <cell r="K32">
            <v>1.3888888888888895E-2</v>
          </cell>
          <cell r="L32">
            <v>1.7361111111111105E-2</v>
          </cell>
          <cell r="M32">
            <v>1.0416666666666685E-2</v>
          </cell>
          <cell r="N32">
            <v>1.3888888888888888E-2</v>
          </cell>
          <cell r="O32">
            <v>7.638888888888884E-2</v>
          </cell>
          <cell r="P32">
            <v>6.5972222222222265E-2</v>
          </cell>
          <cell r="Q32">
            <v>2.4305555555555469E-2</v>
          </cell>
          <cell r="R32">
            <v>0.125</v>
          </cell>
          <cell r="S32">
            <v>0.38194444444444442</v>
          </cell>
        </row>
        <row r="33">
          <cell r="A33">
            <v>40152</v>
          </cell>
          <cell r="B33" t="str">
            <v>BFI0002</v>
          </cell>
          <cell r="C33" t="str">
            <v>NASIB</v>
          </cell>
          <cell r="D33" t="str">
            <v>1038622;1038623</v>
          </cell>
          <cell r="E33" t="str">
            <v>P-PULF</v>
          </cell>
          <cell r="F33" t="str">
            <v>Pulp Transport</v>
          </cell>
          <cell r="G33">
            <v>144</v>
          </cell>
          <cell r="H33">
            <v>6.9444444444444198E-3</v>
          </cell>
          <cell r="I33">
            <v>1.736111111111116E-2</v>
          </cell>
          <cell r="J33">
            <v>1.041666666666663E-2</v>
          </cell>
          <cell r="K33">
            <v>1.736111111111116E-2</v>
          </cell>
          <cell r="L33">
            <v>1.5277777777777835E-2</v>
          </cell>
          <cell r="M33">
            <v>1.2499999999999845E-2</v>
          </cell>
          <cell r="N33">
            <v>1.3888888888888888E-2</v>
          </cell>
          <cell r="O33">
            <v>7.638888888888884E-2</v>
          </cell>
          <cell r="P33">
            <v>9.0277777777777457E-3</v>
          </cell>
          <cell r="Q33">
            <v>2.777777777777779E-2</v>
          </cell>
          <cell r="R33">
            <v>7.9861111111111133E-2</v>
          </cell>
          <cell r="S33">
            <v>0.28680555555555542</v>
          </cell>
        </row>
        <row r="34">
          <cell r="A34">
            <v>40152</v>
          </cell>
          <cell r="B34" t="str">
            <v>RTI0002</v>
          </cell>
          <cell r="C34" t="str">
            <v>J.R. SINAGA</v>
          </cell>
          <cell r="D34" t="str">
            <v>1038602;10386003</v>
          </cell>
          <cell r="E34" t="str">
            <v>P-PULF</v>
          </cell>
          <cell r="F34" t="str">
            <v>Pulp Transport</v>
          </cell>
          <cell r="G34">
            <v>120</v>
          </cell>
          <cell r="H34">
            <v>6.9444444444443088E-3</v>
          </cell>
          <cell r="I34">
            <v>1.736111111111116E-2</v>
          </cell>
          <cell r="J34">
            <v>1.0416666666666741E-2</v>
          </cell>
          <cell r="K34">
            <v>1.388888888888884E-2</v>
          </cell>
          <cell r="L34">
            <v>1.736111111111116E-2</v>
          </cell>
          <cell r="M34">
            <v>1.041666666666663E-2</v>
          </cell>
          <cell r="N34">
            <v>1.7361111111111112E-2</v>
          </cell>
          <cell r="O34">
            <v>7.638888888888884E-2</v>
          </cell>
          <cell r="P34">
            <v>7.8472222222222165E-2</v>
          </cell>
          <cell r="Q34">
            <v>1.041666666666663E-2</v>
          </cell>
          <cell r="R34">
            <v>0.11805555555555558</v>
          </cell>
          <cell r="S34">
            <v>0.37708333333333316</v>
          </cell>
        </row>
        <row r="35">
          <cell r="A35">
            <v>40152</v>
          </cell>
          <cell r="B35" t="str">
            <v>RTI0008</v>
          </cell>
          <cell r="C35" t="str">
            <v>JAILANI</v>
          </cell>
          <cell r="D35" t="str">
            <v>1038625;1038626</v>
          </cell>
          <cell r="E35" t="str">
            <v>P-PULF</v>
          </cell>
          <cell r="F35" t="str">
            <v>Pulp Transport</v>
          </cell>
          <cell r="G35">
            <v>120</v>
          </cell>
          <cell r="H35">
            <v>1.041666666666663E-2</v>
          </cell>
          <cell r="I35">
            <v>6.9444444444443088E-3</v>
          </cell>
          <cell r="J35">
            <v>1.736111111111116E-2</v>
          </cell>
          <cell r="K35">
            <v>1.0416666666666741E-2</v>
          </cell>
          <cell r="L35">
            <v>1.736111111111116E-2</v>
          </cell>
          <cell r="M35">
            <v>1.388888888888884E-2</v>
          </cell>
          <cell r="N35">
            <v>1.0416666666666666E-2</v>
          </cell>
          <cell r="O35">
            <v>7.638888888888884E-2</v>
          </cell>
          <cell r="P35">
            <v>1.5277777777777835E-2</v>
          </cell>
          <cell r="Q35">
            <v>1.2499999999999845E-2</v>
          </cell>
          <cell r="R35">
            <v>5.208333333333337E-2</v>
          </cell>
          <cell r="S35">
            <v>0.24305555555555541</v>
          </cell>
        </row>
        <row r="36">
          <cell r="A36">
            <v>40152</v>
          </cell>
          <cell r="B36" t="str">
            <v>RTI0009</v>
          </cell>
          <cell r="C36" t="str">
            <v>HALOMOAN PASARIBU</v>
          </cell>
          <cell r="D36" t="str">
            <v>1038584;1038585</v>
          </cell>
          <cell r="E36" t="str">
            <v>P-PULF</v>
          </cell>
          <cell r="F36" t="str">
            <v>Pulp Transport</v>
          </cell>
          <cell r="G36">
            <v>120</v>
          </cell>
          <cell r="H36">
            <v>6.9444444444444753E-3</v>
          </cell>
          <cell r="I36">
            <v>1.7361111111111105E-2</v>
          </cell>
          <cell r="J36">
            <v>1.3888888888888895E-2</v>
          </cell>
          <cell r="K36">
            <v>1.0416666666666685E-2</v>
          </cell>
          <cell r="L36">
            <v>2.2222222222222199E-2</v>
          </cell>
          <cell r="M36">
            <v>1.9444444444444486E-2</v>
          </cell>
          <cell r="N36">
            <v>1.7361111111111112E-2</v>
          </cell>
          <cell r="O36">
            <v>7.638888888888884E-2</v>
          </cell>
          <cell r="P36">
            <v>1.736111111111116E-2</v>
          </cell>
          <cell r="Q36">
            <v>2.0833333333333259E-2</v>
          </cell>
          <cell r="R36">
            <v>4.1666666666666741E-2</v>
          </cell>
          <cell r="S36">
            <v>0.26388888888888895</v>
          </cell>
        </row>
        <row r="37">
          <cell r="A37">
            <v>40152</v>
          </cell>
          <cell r="B37" t="str">
            <v>RTI0004</v>
          </cell>
          <cell r="C37" t="str">
            <v>HENGKY FERNANDO</v>
          </cell>
          <cell r="D37" t="str">
            <v>1038586;1038587</v>
          </cell>
          <cell r="E37" t="str">
            <v>P-PULF</v>
          </cell>
          <cell r="F37" t="str">
            <v>Pulp Transport</v>
          </cell>
          <cell r="G37">
            <v>120</v>
          </cell>
          <cell r="H37">
            <v>1.041666666666663E-2</v>
          </cell>
          <cell r="I37">
            <v>6.9444444444444198E-3</v>
          </cell>
          <cell r="J37">
            <v>1.6666666666666663E-2</v>
          </cell>
          <cell r="K37">
            <v>1.8055555555555602E-2</v>
          </cell>
          <cell r="L37">
            <v>1.8749999999999933E-2</v>
          </cell>
          <cell r="M37">
            <v>9.0277777777777457E-3</v>
          </cell>
          <cell r="N37">
            <v>1.6666666666666666E-2</v>
          </cell>
          <cell r="O37">
            <v>7.638888888888884E-2</v>
          </cell>
          <cell r="P37">
            <v>1.3888888888888951E-2</v>
          </cell>
          <cell r="Q37">
            <v>1.7361111111111049E-2</v>
          </cell>
          <cell r="R37">
            <v>4.861111111111116E-2</v>
          </cell>
          <cell r="S37">
            <v>0.25277777777777766</v>
          </cell>
        </row>
        <row r="38">
          <cell r="A38">
            <v>40152</v>
          </cell>
          <cell r="B38" t="str">
            <v>BFI0001</v>
          </cell>
          <cell r="C38" t="str">
            <v>NIRMAN</v>
          </cell>
          <cell r="D38" t="str">
            <v>1038319;1038320</v>
          </cell>
          <cell r="E38" t="str">
            <v>P-PULF</v>
          </cell>
          <cell r="F38" t="str">
            <v>Pulp Transport</v>
          </cell>
          <cell r="G38">
            <v>144</v>
          </cell>
          <cell r="H38">
            <v>1.041666666666663E-2</v>
          </cell>
          <cell r="I38">
            <v>6.9444444444444475E-3</v>
          </cell>
          <cell r="J38">
            <v>1.0416666666666657E-2</v>
          </cell>
          <cell r="K38">
            <v>1.0416666666666671E-2</v>
          </cell>
          <cell r="L38">
            <v>1.7361111111111105E-2</v>
          </cell>
          <cell r="M38">
            <v>1.3888888888888895E-2</v>
          </cell>
          <cell r="N38">
            <v>1.0416666666666666E-2</v>
          </cell>
          <cell r="O38">
            <v>7.638888888888884E-2</v>
          </cell>
          <cell r="P38">
            <v>1.7361111111111105E-2</v>
          </cell>
          <cell r="Q38">
            <v>1.0416666666666685E-2</v>
          </cell>
          <cell r="R38">
            <v>5.5555555555555552E-2</v>
          </cell>
          <cell r="S38">
            <v>0.23958333333333326</v>
          </cell>
        </row>
        <row r="39">
          <cell r="A39">
            <v>40152</v>
          </cell>
          <cell r="B39" t="str">
            <v>RTI0004</v>
          </cell>
          <cell r="C39" t="str">
            <v>SLAMET</v>
          </cell>
          <cell r="D39" t="str">
            <v>1038489;1038491</v>
          </cell>
          <cell r="E39" t="str">
            <v>P-PULF</v>
          </cell>
          <cell r="F39" t="str">
            <v>Pulp Transport</v>
          </cell>
          <cell r="G39">
            <v>120</v>
          </cell>
          <cell r="H39">
            <v>6.9444444444444475E-3</v>
          </cell>
          <cell r="I39">
            <v>1.7361111111111105E-2</v>
          </cell>
          <cell r="J39">
            <v>1.0416666666666685E-2</v>
          </cell>
          <cell r="K39">
            <v>1.3888888888888867E-2</v>
          </cell>
          <cell r="L39">
            <v>2.0833333333333343E-2</v>
          </cell>
          <cell r="M39">
            <v>1.7361111111111105E-2</v>
          </cell>
          <cell r="N39">
            <v>1.5277777777777777E-2</v>
          </cell>
          <cell r="O39">
            <v>7.638888888888884E-2</v>
          </cell>
          <cell r="P39">
            <v>1.9444444444444431E-2</v>
          </cell>
          <cell r="Q39">
            <v>1.5277777777777779E-2</v>
          </cell>
          <cell r="R39">
            <v>7.986111111111116E-2</v>
          </cell>
          <cell r="S39">
            <v>0.29305555555555551</v>
          </cell>
        </row>
        <row r="40">
          <cell r="A40" t="str">
            <v>13/5/2009</v>
          </cell>
          <cell r="B40" t="str">
            <v>RTI0002</v>
          </cell>
          <cell r="C40" t="str">
            <v>J.R. SINAGA</v>
          </cell>
          <cell r="D40" t="str">
            <v>1038758;1038759</v>
          </cell>
          <cell r="E40" t="str">
            <v>P-PULF</v>
          </cell>
          <cell r="F40" t="str">
            <v>Pulp Transport</v>
          </cell>
          <cell r="G40">
            <v>120</v>
          </cell>
          <cell r="H40">
            <v>6.9444444444445308E-3</v>
          </cell>
          <cell r="I40">
            <v>1.7361111111111049E-2</v>
          </cell>
          <cell r="J40">
            <v>1.0416666666666685E-2</v>
          </cell>
          <cell r="K40">
            <v>1.7361111111111105E-2</v>
          </cell>
          <cell r="L40">
            <v>1.3888888888888895E-2</v>
          </cell>
          <cell r="M40">
            <v>1.0416666666666685E-2</v>
          </cell>
          <cell r="N40">
            <v>1.5972222222222224E-2</v>
          </cell>
          <cell r="O40">
            <v>7.638888888888884E-2</v>
          </cell>
          <cell r="P40">
            <v>1.2500000000000011E-2</v>
          </cell>
          <cell r="Q40">
            <v>1.2499999999999956E-2</v>
          </cell>
          <cell r="R40">
            <v>7.9861111111111133E-2</v>
          </cell>
          <cell r="S40">
            <v>0.27361111111111114</v>
          </cell>
        </row>
        <row r="41">
          <cell r="A41" t="str">
            <v>13/5/2009</v>
          </cell>
          <cell r="B41" t="str">
            <v>RTI0001</v>
          </cell>
          <cell r="C41" t="str">
            <v>JAMES SINAMBELA</v>
          </cell>
          <cell r="D41" t="str">
            <v>1038708;1038709</v>
          </cell>
          <cell r="E41" t="str">
            <v>P-PULF</v>
          </cell>
          <cell r="F41" t="str">
            <v>Pulp Transport</v>
          </cell>
          <cell r="G41">
            <v>120</v>
          </cell>
          <cell r="H41">
            <v>6.9444444444444198E-3</v>
          </cell>
          <cell r="I41">
            <v>1.7361111111111105E-2</v>
          </cell>
          <cell r="J41">
            <v>1.0416666666666685E-2</v>
          </cell>
          <cell r="K41">
            <v>1.3888888888888867E-2</v>
          </cell>
          <cell r="L41">
            <v>1.8750000000000017E-2</v>
          </cell>
          <cell r="M41">
            <v>9.0277777777777735E-3</v>
          </cell>
          <cell r="N41">
            <v>1.5972222222222224E-2</v>
          </cell>
          <cell r="O41">
            <v>7.638888888888884E-2</v>
          </cell>
          <cell r="P41">
            <v>1.0416666666666685E-2</v>
          </cell>
          <cell r="Q41">
            <v>1.388888888888884E-2</v>
          </cell>
          <cell r="R41">
            <v>6.5277777777777823E-2</v>
          </cell>
          <cell r="S41">
            <v>0.2583333333333333</v>
          </cell>
        </row>
        <row r="42">
          <cell r="A42">
            <v>40152</v>
          </cell>
          <cell r="B42" t="str">
            <v>RTI0004</v>
          </cell>
          <cell r="C42" t="str">
            <v>HENGKY FERNANDO</v>
          </cell>
          <cell r="D42" t="str">
            <v>1038525;1038527</v>
          </cell>
          <cell r="E42" t="str">
            <v>P-PULF</v>
          </cell>
          <cell r="F42" t="str">
            <v>Pulp Transport</v>
          </cell>
          <cell r="G42">
            <v>120</v>
          </cell>
          <cell r="H42">
            <v>6.9444444444444198E-3</v>
          </cell>
          <cell r="I42">
            <v>1.2500000000000067E-2</v>
          </cell>
          <cell r="J42">
            <v>1.5277777777777835E-2</v>
          </cell>
          <cell r="K42">
            <v>1.388888888888884E-2</v>
          </cell>
          <cell r="L42">
            <v>1.1805555555555625E-2</v>
          </cell>
          <cell r="M42">
            <v>9.0277777777776347E-3</v>
          </cell>
          <cell r="N42">
            <v>1.3888888888888888E-2</v>
          </cell>
          <cell r="O42">
            <v>7.638888888888884E-2</v>
          </cell>
          <cell r="P42">
            <v>1.388888888888884E-2</v>
          </cell>
          <cell r="Q42">
            <v>1.388888888888884E-2</v>
          </cell>
          <cell r="R42">
            <v>7.9861111111111133E-2</v>
          </cell>
          <cell r="S42">
            <v>0.26736111111111094</v>
          </cell>
        </row>
        <row r="43">
          <cell r="A43" t="str">
            <v>13/5/2009</v>
          </cell>
          <cell r="B43" t="str">
            <v>RTI0005</v>
          </cell>
          <cell r="C43" t="str">
            <v>M. ISA GANI</v>
          </cell>
          <cell r="D43" t="str">
            <v>1038754;1038755</v>
          </cell>
          <cell r="E43" t="str">
            <v>P-PULF</v>
          </cell>
          <cell r="F43" t="str">
            <v>Pulp Transport</v>
          </cell>
          <cell r="G43">
            <v>120</v>
          </cell>
          <cell r="H43">
            <v>1.041666666666663E-2</v>
          </cell>
          <cell r="I43">
            <v>6.9444444444444475E-3</v>
          </cell>
          <cell r="J43">
            <v>1.2500000000000011E-2</v>
          </cell>
          <cell r="K43">
            <v>1.5277777777777779E-2</v>
          </cell>
          <cell r="L43">
            <v>1.3888888888888867E-2</v>
          </cell>
          <cell r="M43">
            <v>1.6666666666666691E-2</v>
          </cell>
          <cell r="N43">
            <v>1.1111111111111112E-2</v>
          </cell>
          <cell r="O43">
            <v>7.638888888888884E-2</v>
          </cell>
          <cell r="P43">
            <v>1.8750000000000044E-2</v>
          </cell>
          <cell r="Q43">
            <v>1.5972222222222165E-2</v>
          </cell>
          <cell r="R43">
            <v>4.5138888888888895E-2</v>
          </cell>
          <cell r="S43">
            <v>0.24305555555555547</v>
          </cell>
        </row>
        <row r="44">
          <cell r="A44" t="str">
            <v>13/5/2009</v>
          </cell>
          <cell r="B44" t="str">
            <v>RTI0010</v>
          </cell>
          <cell r="C44" t="str">
            <v>BAMBANG SUHENDRI</v>
          </cell>
          <cell r="D44" t="str">
            <v>1038630;1038631</v>
          </cell>
          <cell r="E44" t="str">
            <v>P-PULF</v>
          </cell>
          <cell r="F44" t="str">
            <v>Pulp Transport</v>
          </cell>
          <cell r="G44">
            <v>120</v>
          </cell>
          <cell r="H44">
            <v>6.9444444444444475E-3</v>
          </cell>
          <cell r="I44">
            <v>1.6666666666666663E-2</v>
          </cell>
          <cell r="J44">
            <v>1.8055555555555561E-2</v>
          </cell>
          <cell r="K44">
            <v>1.3888888888888867E-2</v>
          </cell>
          <cell r="L44">
            <v>1.1111111111111127E-2</v>
          </cell>
          <cell r="M44">
            <v>1.6666666666666663E-2</v>
          </cell>
          <cell r="N44">
            <v>1.8749999999999999E-2</v>
          </cell>
          <cell r="O44">
            <v>7.638888888888884E-2</v>
          </cell>
          <cell r="P44">
            <v>5.902777777777779E-2</v>
          </cell>
          <cell r="Q44">
            <v>2.4305555555555525E-2</v>
          </cell>
          <cell r="R44">
            <v>8.333333333333337E-2</v>
          </cell>
          <cell r="S44">
            <v>0.34513888888888888</v>
          </cell>
        </row>
        <row r="45">
          <cell r="A45" t="str">
            <v>13/5/2009</v>
          </cell>
          <cell r="B45" t="str">
            <v>BFI0001</v>
          </cell>
          <cell r="C45" t="str">
            <v>PEPEN EFFENDI</v>
          </cell>
          <cell r="D45" t="str">
            <v>1038752;1038753</v>
          </cell>
          <cell r="E45" t="str">
            <v>P-PULF</v>
          </cell>
          <cell r="F45" t="str">
            <v>Pulp Transport</v>
          </cell>
          <cell r="G45">
            <v>144</v>
          </cell>
          <cell r="H45">
            <v>6.9444444444444475E-3</v>
          </cell>
          <cell r="I45">
            <v>1.7361111111111105E-2</v>
          </cell>
          <cell r="J45">
            <v>1.3888888888888909E-2</v>
          </cell>
          <cell r="K45">
            <v>1.0416666666666657E-2</v>
          </cell>
          <cell r="L45">
            <v>1.7361111111111105E-2</v>
          </cell>
          <cell r="M45">
            <v>1.0416666666666657E-2</v>
          </cell>
          <cell r="N45">
            <v>1.3888888888888888E-2</v>
          </cell>
          <cell r="O45">
            <v>7.638888888888884E-2</v>
          </cell>
          <cell r="P45">
            <v>2.4305555555555552E-2</v>
          </cell>
          <cell r="Q45">
            <v>1.7361111111111133E-2</v>
          </cell>
          <cell r="R45">
            <v>4.8611111111111133E-2</v>
          </cell>
          <cell r="S45">
            <v>0.25694444444444442</v>
          </cell>
        </row>
        <row r="46">
          <cell r="A46" t="str">
            <v>13/5/2009</v>
          </cell>
          <cell r="B46" t="str">
            <v>RTI0001</v>
          </cell>
          <cell r="C46" t="str">
            <v>JAMES SINAMBELA</v>
          </cell>
          <cell r="D46" t="str">
            <v>1038796;1038797</v>
          </cell>
          <cell r="E46" t="str">
            <v>P-PULF</v>
          </cell>
          <cell r="F46" t="str">
            <v>Pulp Transport</v>
          </cell>
          <cell r="G46">
            <v>120</v>
          </cell>
          <cell r="H46">
            <v>9.0277777777777457E-3</v>
          </cell>
          <cell r="I46">
            <v>1.5277777777777835E-2</v>
          </cell>
          <cell r="J46">
            <v>1.041666666666663E-2</v>
          </cell>
          <cell r="K46">
            <v>1.5972222222222276E-2</v>
          </cell>
          <cell r="L46">
            <v>1.6666666666666718E-2</v>
          </cell>
          <cell r="M46">
            <v>9.0277777777777457E-3</v>
          </cell>
          <cell r="N46">
            <v>1.3888888888888888E-2</v>
          </cell>
          <cell r="O46">
            <v>7.638888888888884E-2</v>
          </cell>
          <cell r="P46">
            <v>1.041666666666663E-2</v>
          </cell>
          <cell r="Q46">
            <v>1.388888888888884E-2</v>
          </cell>
          <cell r="R46">
            <v>4.166666666666663E-2</v>
          </cell>
          <cell r="S46">
            <v>0.23263888888888878</v>
          </cell>
        </row>
        <row r="47">
          <cell r="A47" t="str">
            <v>13/5/2009</v>
          </cell>
          <cell r="B47" t="str">
            <v>RTI0009</v>
          </cell>
          <cell r="C47" t="str">
            <v>JANTER SILALAHI</v>
          </cell>
          <cell r="D47" t="str">
            <v>1038799;1038800</v>
          </cell>
          <cell r="E47" t="str">
            <v>P-PULF</v>
          </cell>
          <cell r="F47" t="str">
            <v>Pulp Transport</v>
          </cell>
          <cell r="G47">
            <v>120</v>
          </cell>
          <cell r="H47">
            <v>3.4722222222223209E-3</v>
          </cell>
          <cell r="I47">
            <v>6.9444444444444198E-3</v>
          </cell>
          <cell r="J47">
            <v>0.11805555555555558</v>
          </cell>
          <cell r="K47">
            <v>3.4722222222222099E-3</v>
          </cell>
          <cell r="L47">
            <v>1.388888888888884E-2</v>
          </cell>
          <cell r="M47">
            <v>3.4722222222223209E-3</v>
          </cell>
          <cell r="N47">
            <v>1.0416666666666666E-2</v>
          </cell>
          <cell r="O47">
            <v>7.638888888888884E-2</v>
          </cell>
          <cell r="P47">
            <v>1.736111111111116E-2</v>
          </cell>
          <cell r="Q47">
            <v>1.736111111111116E-2</v>
          </cell>
          <cell r="R47">
            <v>0.24305555555555558</v>
          </cell>
          <cell r="S47">
            <v>0.51388888888888906</v>
          </cell>
        </row>
        <row r="48">
          <cell r="A48" t="str">
            <v>13/5/2009</v>
          </cell>
          <cell r="B48" t="str">
            <v>RTI0002</v>
          </cell>
          <cell r="C48" t="str">
            <v>PAHOT.S</v>
          </cell>
          <cell r="D48" t="str">
            <v>1038798;1038801</v>
          </cell>
          <cell r="E48" t="str">
            <v>P-PULF</v>
          </cell>
          <cell r="F48" t="str">
            <v>Pulp Transport</v>
          </cell>
          <cell r="G48">
            <v>120</v>
          </cell>
          <cell r="H48">
            <v>6.9444444444445308E-3</v>
          </cell>
          <cell r="I48">
            <v>1.041666666666663E-2</v>
          </cell>
          <cell r="J48">
            <v>2.083333333333337E-2</v>
          </cell>
          <cell r="K48">
            <v>2.430555555555558E-2</v>
          </cell>
          <cell r="L48">
            <v>6.9444444444443088E-3</v>
          </cell>
          <cell r="M48">
            <v>1.0416666666666741E-2</v>
          </cell>
          <cell r="N48">
            <v>3.472222222222222E-3</v>
          </cell>
          <cell r="O48">
            <v>0.19097222222222221</v>
          </cell>
          <cell r="P48">
            <v>1.388888888888884E-2</v>
          </cell>
          <cell r="Q48">
            <v>6.9444444444444198E-3</v>
          </cell>
          <cell r="R48">
            <v>0.10069444444444442</v>
          </cell>
          <cell r="S48">
            <v>0.39583333333333326</v>
          </cell>
        </row>
        <row r="49">
          <cell r="A49" t="str">
            <v>13/5/2009</v>
          </cell>
          <cell r="B49" t="str">
            <v>RTI0005</v>
          </cell>
          <cell r="C49" t="str">
            <v>ANTON RAJAGUGUK</v>
          </cell>
          <cell r="D49" t="str">
            <v>1038794;1038795</v>
          </cell>
          <cell r="E49" t="str">
            <v>P-PULF</v>
          </cell>
          <cell r="F49" t="str">
            <v>Pulp Transport</v>
          </cell>
          <cell r="G49">
            <v>120</v>
          </cell>
          <cell r="H49">
            <v>6.9444444444443088E-3</v>
          </cell>
          <cell r="I49">
            <v>6.9444444444445308E-3</v>
          </cell>
          <cell r="J49">
            <v>2.4305555555555469E-2</v>
          </cell>
          <cell r="K49">
            <v>3.4722222222223209E-3</v>
          </cell>
          <cell r="L49">
            <v>2.7777777777777679E-2</v>
          </cell>
          <cell r="M49">
            <v>2.777777777777779E-2</v>
          </cell>
          <cell r="N49">
            <v>3.472222222222222E-3</v>
          </cell>
          <cell r="O49">
            <v>0.1875</v>
          </cell>
          <cell r="P49">
            <v>3.4722222222223209E-3</v>
          </cell>
          <cell r="Q49">
            <v>3.819444444444442E-2</v>
          </cell>
          <cell r="R49">
            <v>0.14236111111111116</v>
          </cell>
          <cell r="S49">
            <v>0.47222222222222221</v>
          </cell>
        </row>
        <row r="50">
          <cell r="A50" t="str">
            <v>13/5/2009</v>
          </cell>
          <cell r="B50" t="str">
            <v>RTI0004</v>
          </cell>
          <cell r="C50" t="str">
            <v>SLAMET</v>
          </cell>
          <cell r="D50" t="str">
            <v>1038792;1038793</v>
          </cell>
          <cell r="E50" t="str">
            <v>P-PULF</v>
          </cell>
          <cell r="F50" t="str">
            <v>Pulp Transport</v>
          </cell>
          <cell r="G50">
            <v>120</v>
          </cell>
          <cell r="H50">
            <v>3.4722222222220989E-3</v>
          </cell>
          <cell r="I50">
            <v>3.4722222222223209E-3</v>
          </cell>
          <cell r="J50">
            <v>4.166666666666663E-2</v>
          </cell>
          <cell r="K50">
            <v>2.430555555555558E-2</v>
          </cell>
          <cell r="L50">
            <v>2.4305555555555469E-2</v>
          </cell>
          <cell r="M50">
            <v>1.736111111111116E-2</v>
          </cell>
          <cell r="N50">
            <v>1.3888888888888888E-2</v>
          </cell>
          <cell r="O50">
            <v>7.638888888888884E-2</v>
          </cell>
          <cell r="P50">
            <v>2.0833333333333259E-2</v>
          </cell>
          <cell r="Q50">
            <v>2.430555555555558E-2</v>
          </cell>
          <cell r="R50">
            <v>8.680555555555558E-2</v>
          </cell>
          <cell r="S50">
            <v>0.33680555555555541</v>
          </cell>
        </row>
        <row r="51">
          <cell r="A51" t="str">
            <v>13/5/2009</v>
          </cell>
          <cell r="B51" t="str">
            <v>RTI0004</v>
          </cell>
          <cell r="C51" t="str">
            <v>HENGKY FERNANDO</v>
          </cell>
          <cell r="D51" t="str">
            <v>1038822;1038823</v>
          </cell>
          <cell r="E51" t="str">
            <v>P-PULF</v>
          </cell>
          <cell r="F51" t="str">
            <v>Pulp Transport</v>
          </cell>
          <cell r="G51">
            <v>120</v>
          </cell>
          <cell r="H51">
            <v>3.4722222222222099E-3</v>
          </cell>
          <cell r="I51">
            <v>6.9444444444444198E-3</v>
          </cell>
          <cell r="J51">
            <v>1.0416666666666741E-2</v>
          </cell>
          <cell r="K51">
            <v>2.777777777777779E-2</v>
          </cell>
          <cell r="L51">
            <v>1.041666666666663E-2</v>
          </cell>
          <cell r="M51">
            <v>3.4722222222222099E-3</v>
          </cell>
          <cell r="N51">
            <v>1.3888888888888888E-2</v>
          </cell>
          <cell r="O51">
            <v>7.638888888888884E-2</v>
          </cell>
          <cell r="P51">
            <v>3.125E-2</v>
          </cell>
          <cell r="Q51">
            <v>1.0416666666666741E-2</v>
          </cell>
          <cell r="R51">
            <v>0.10069444444444442</v>
          </cell>
          <cell r="S51">
            <v>0.2951388888888889</v>
          </cell>
        </row>
        <row r="52">
          <cell r="A52" t="str">
            <v>13/5/2009</v>
          </cell>
          <cell r="B52" t="str">
            <v>RTI0010</v>
          </cell>
          <cell r="C52" t="str">
            <v>DAMRAH</v>
          </cell>
          <cell r="D52" t="str">
            <v>1038711;1038812</v>
          </cell>
          <cell r="E52" t="str">
            <v>P-PULF</v>
          </cell>
          <cell r="F52" t="str">
            <v>Pulp Transport</v>
          </cell>
          <cell r="G52">
            <v>120</v>
          </cell>
          <cell r="H52">
            <v>6.2499999999998668E-3</v>
          </cell>
          <cell r="I52">
            <v>4.5833333333333393E-2</v>
          </cell>
          <cell r="J52">
            <v>6.9444444444445308E-3</v>
          </cell>
          <cell r="K52">
            <v>1.388888888888884E-2</v>
          </cell>
          <cell r="L52">
            <v>2.4305555555555469E-2</v>
          </cell>
          <cell r="M52">
            <v>1.736111111111116E-2</v>
          </cell>
          <cell r="N52">
            <v>2.0833333333333333E-3</v>
          </cell>
          <cell r="O52">
            <v>7.638888888888884E-2</v>
          </cell>
          <cell r="P52">
            <v>1.388888888888884E-2</v>
          </cell>
          <cell r="Q52">
            <v>1.041666666666663E-2</v>
          </cell>
          <cell r="R52">
            <v>6.5972222222222321E-2</v>
          </cell>
          <cell r="S52">
            <v>0.28333333333333321</v>
          </cell>
        </row>
        <row r="53">
          <cell r="A53">
            <v>40152</v>
          </cell>
          <cell r="B53" t="str">
            <v>RTI0011</v>
          </cell>
          <cell r="C53" t="str">
            <v>BUDI HANDOKO</v>
          </cell>
          <cell r="D53" t="str">
            <v>1038640;1038641</v>
          </cell>
          <cell r="E53" t="str">
            <v>P-PULF</v>
          </cell>
          <cell r="F53" t="str">
            <v>Pulp Transport</v>
          </cell>
          <cell r="G53">
            <v>120</v>
          </cell>
          <cell r="H53">
            <v>1.388888888888884E-2</v>
          </cell>
          <cell r="I53">
            <v>6.9444444444445308E-3</v>
          </cell>
          <cell r="J53">
            <v>1.7361111111111112E-2</v>
          </cell>
          <cell r="K53">
            <v>2.430555555555558E-2</v>
          </cell>
          <cell r="L53">
            <v>4.1666666666666519E-2</v>
          </cell>
          <cell r="M53">
            <v>9.0277777777778567E-3</v>
          </cell>
          <cell r="N53">
            <v>1.3888888888888888E-2</v>
          </cell>
          <cell r="O53">
            <v>7.638888888888884E-2</v>
          </cell>
          <cell r="P53">
            <v>1.7361111111111382E-2</v>
          </cell>
          <cell r="Q53">
            <v>6.9444444444444198E-3</v>
          </cell>
          <cell r="R53">
            <v>9.7222222222222321E-2</v>
          </cell>
          <cell r="S53">
            <v>0.32500000000000029</v>
          </cell>
        </row>
        <row r="54">
          <cell r="A54">
            <v>40152</v>
          </cell>
          <cell r="B54" t="str">
            <v>RTI0020</v>
          </cell>
          <cell r="C54" t="str">
            <v>AGUS SIAHAAN</v>
          </cell>
          <cell r="D54" t="str">
            <v>1038604;1038605</v>
          </cell>
          <cell r="E54" t="str">
            <v>P-PULF</v>
          </cell>
          <cell r="F54" t="str">
            <v>Pulp Transport</v>
          </cell>
          <cell r="G54">
            <v>120</v>
          </cell>
          <cell r="H54">
            <v>6.9444444444445308E-3</v>
          </cell>
          <cell r="I54">
            <v>2.7777777777777679E-2</v>
          </cell>
          <cell r="J54">
            <v>3.4722222222223209E-3</v>
          </cell>
          <cell r="K54">
            <v>3.4722222222222099E-3</v>
          </cell>
          <cell r="L54">
            <v>5.5555555555555469E-2</v>
          </cell>
          <cell r="M54">
            <v>1.736111111111116E-2</v>
          </cell>
          <cell r="N54">
            <v>1.0416666666666666E-2</v>
          </cell>
          <cell r="O54">
            <v>7.638888888888884E-2</v>
          </cell>
          <cell r="P54">
            <v>1.736111111111116E-2</v>
          </cell>
          <cell r="Q54">
            <v>5.208333333333337E-2</v>
          </cell>
          <cell r="R54">
            <v>0.11458333333333326</v>
          </cell>
          <cell r="S54">
            <v>0.38541666666666663</v>
          </cell>
        </row>
        <row r="55">
          <cell r="A55" t="str">
            <v>13/5/2009</v>
          </cell>
          <cell r="B55" t="str">
            <v>BFI0001</v>
          </cell>
          <cell r="C55" t="str">
            <v>PEPEN EFFENDI</v>
          </cell>
          <cell r="D55" t="str">
            <v>1038813;1038814</v>
          </cell>
          <cell r="E55" t="str">
            <v>P-PULF</v>
          </cell>
          <cell r="F55" t="str">
            <v>Pulp Transport</v>
          </cell>
          <cell r="G55">
            <v>144</v>
          </cell>
          <cell r="H55">
            <v>6.9444444444445308E-3</v>
          </cell>
          <cell r="I55">
            <v>6.25E-2</v>
          </cell>
          <cell r="J55">
            <v>2.4305555555555469E-2</v>
          </cell>
          <cell r="K55">
            <v>2.430555555555558E-2</v>
          </cell>
          <cell r="L55">
            <v>1.736111111111116E-2</v>
          </cell>
          <cell r="M55">
            <v>3.4722222222222099E-3</v>
          </cell>
          <cell r="N55">
            <v>1.7361111111111112E-2</v>
          </cell>
          <cell r="O55">
            <v>7.638888888888884E-2</v>
          </cell>
          <cell r="P55">
            <v>7.638888888888884E-2</v>
          </cell>
          <cell r="Q55">
            <v>2.777777777777779E-2</v>
          </cell>
          <cell r="R55">
            <v>0.10069444444444453</v>
          </cell>
          <cell r="S55">
            <v>0.43750000000000006</v>
          </cell>
        </row>
        <row r="56">
          <cell r="A56" t="str">
            <v>14/5/2009</v>
          </cell>
          <cell r="B56" t="str">
            <v>RTI0001</v>
          </cell>
          <cell r="C56" t="str">
            <v>JONSON  TAMPUBOLON</v>
          </cell>
          <cell r="D56" t="str">
            <v>1038768;1038769</v>
          </cell>
          <cell r="E56" t="str">
            <v>P-PULF</v>
          </cell>
          <cell r="F56" t="str">
            <v>Pulp Transport</v>
          </cell>
          <cell r="G56">
            <v>120</v>
          </cell>
          <cell r="H56">
            <v>6.9444444444443088E-3</v>
          </cell>
          <cell r="I56">
            <v>1.736111111111116E-2</v>
          </cell>
          <cell r="J56">
            <v>1.736111111111116E-2</v>
          </cell>
          <cell r="K56">
            <v>2.430555555555558E-2</v>
          </cell>
          <cell r="L56">
            <v>2.4305555555555469E-2</v>
          </cell>
          <cell r="M56">
            <v>2.0833333333333332E-2</v>
          </cell>
          <cell r="N56">
            <v>2.7777777777777776E-2</v>
          </cell>
          <cell r="O56">
            <v>7.638888888888884E-2</v>
          </cell>
          <cell r="P56">
            <v>2.4305555555555552E-2</v>
          </cell>
          <cell r="Q56">
            <v>1.8055555555555547E-2</v>
          </cell>
          <cell r="R56">
            <v>1.0479166666666666</v>
          </cell>
          <cell r="S56">
            <v>1.3055555555555554</v>
          </cell>
        </row>
        <row r="57">
          <cell r="A57" t="str">
            <v>14/5/2009</v>
          </cell>
          <cell r="B57" t="str">
            <v>RTI0002</v>
          </cell>
          <cell r="C57" t="str">
            <v>PAHOT.S</v>
          </cell>
          <cell r="D57" t="str">
            <v>1038846;1038847</v>
          </cell>
          <cell r="E57" t="str">
            <v>P-PULF</v>
          </cell>
          <cell r="F57" t="str">
            <v>Pulp Transport</v>
          </cell>
          <cell r="G57">
            <v>120</v>
          </cell>
          <cell r="H57">
            <v>1.3888888888888881E-2</v>
          </cell>
          <cell r="I57">
            <v>1.3888888888888895E-2</v>
          </cell>
          <cell r="J57">
            <v>1.3888888888888895E-2</v>
          </cell>
          <cell r="K57">
            <v>1.7361111111111105E-2</v>
          </cell>
          <cell r="L57">
            <v>1.0416666666666657E-2</v>
          </cell>
          <cell r="M57">
            <v>1.7361111111111133E-2</v>
          </cell>
          <cell r="N57">
            <v>2.0833333333333332E-2</v>
          </cell>
          <cell r="O57">
            <v>7.638888888888884E-2</v>
          </cell>
          <cell r="P57">
            <v>1.9444444444444459E-2</v>
          </cell>
          <cell r="Q57">
            <v>1.5277777777777807E-2</v>
          </cell>
          <cell r="R57">
            <v>6.944444444444442E-2</v>
          </cell>
          <cell r="S57">
            <v>0.28819444444444442</v>
          </cell>
        </row>
        <row r="58">
          <cell r="A58" t="str">
            <v>15/5/2009</v>
          </cell>
          <cell r="B58" t="str">
            <v>RTI0007</v>
          </cell>
          <cell r="C58" t="str">
            <v>RUSDI</v>
          </cell>
          <cell r="D58" t="str">
            <v>1038931;1039042</v>
          </cell>
          <cell r="E58" t="str">
            <v>P-PULF</v>
          </cell>
          <cell r="F58" t="str">
            <v>Pulp Transport</v>
          </cell>
          <cell r="G58">
            <v>120</v>
          </cell>
          <cell r="H58">
            <v>6.9444444444444475E-3</v>
          </cell>
          <cell r="I58">
            <v>1.7361111111111105E-2</v>
          </cell>
          <cell r="J58">
            <v>1.7361111111111133E-2</v>
          </cell>
          <cell r="K58">
            <v>1.7361111111111077E-2</v>
          </cell>
          <cell r="L58">
            <v>1.3888888888888923E-2</v>
          </cell>
          <cell r="M58">
            <v>1.0416666666666657E-2</v>
          </cell>
          <cell r="N58">
            <v>1.7361111111111112E-2</v>
          </cell>
          <cell r="O58">
            <v>7.638888888888884E-2</v>
          </cell>
          <cell r="P58">
            <v>1.7361111111111105E-2</v>
          </cell>
          <cell r="Q58">
            <v>1.7361111111111105E-2</v>
          </cell>
          <cell r="R58">
            <v>7.9861111111111133E-2</v>
          </cell>
          <cell r="S58">
            <v>0.29166666666666663</v>
          </cell>
        </row>
        <row r="59">
          <cell r="A59" t="str">
            <v>15/5/2009</v>
          </cell>
          <cell r="B59" t="str">
            <v>RTI0011</v>
          </cell>
          <cell r="C59" t="str">
            <v>NIKSON SAMOSIR</v>
          </cell>
          <cell r="D59" t="str">
            <v>1039010;1039011</v>
          </cell>
          <cell r="E59" t="str">
            <v>P-PULF</v>
          </cell>
          <cell r="F59" t="str">
            <v>Pulp Transport</v>
          </cell>
          <cell r="G59">
            <v>120</v>
          </cell>
          <cell r="H59">
            <v>1.7361111111111105E-2</v>
          </cell>
          <cell r="I59">
            <v>1.0416666666666671E-2</v>
          </cell>
          <cell r="J59">
            <v>1.7361111111111105E-2</v>
          </cell>
          <cell r="K59">
            <v>1.3888888888888895E-2</v>
          </cell>
          <cell r="L59">
            <v>1.7361111111111133E-2</v>
          </cell>
          <cell r="M59">
            <v>1.3888888888888867E-2</v>
          </cell>
          <cell r="N59">
            <v>1.6666666666666691E-2</v>
          </cell>
          <cell r="O59">
            <v>7.638888888888884E-2</v>
          </cell>
          <cell r="P59">
            <v>1.7361111111111077E-2</v>
          </cell>
          <cell r="Q59">
            <v>3.1250000000000028E-2</v>
          </cell>
          <cell r="R59">
            <v>4.5138888888888895E-2</v>
          </cell>
          <cell r="S59">
            <v>0.27708333333333329</v>
          </cell>
        </row>
        <row r="60">
          <cell r="A60" t="str">
            <v>14/5/2009</v>
          </cell>
          <cell r="B60" t="str">
            <v>RTI0011</v>
          </cell>
          <cell r="C60" t="str">
            <v>HOTMAN SM. HUTASOIT</v>
          </cell>
          <cell r="D60" t="str">
            <v>1038843;1038852</v>
          </cell>
          <cell r="E60" t="str">
            <v>P-PULF</v>
          </cell>
          <cell r="F60" t="str">
            <v>Pulp Transport</v>
          </cell>
          <cell r="G60">
            <v>120</v>
          </cell>
          <cell r="H60">
            <v>6.9444444444444406E-3</v>
          </cell>
          <cell r="I60">
            <v>1.7361111111111119E-2</v>
          </cell>
          <cell r="J60">
            <v>1.3888888888888895E-2</v>
          </cell>
          <cell r="K60">
            <v>1.7361111111111105E-2</v>
          </cell>
          <cell r="L60">
            <v>1.7361111111111105E-2</v>
          </cell>
          <cell r="M60">
            <v>1.7361111111111119E-2</v>
          </cell>
          <cell r="N60">
            <v>1.7361111111111105E-2</v>
          </cell>
          <cell r="O60">
            <v>7.638888888888884E-2</v>
          </cell>
          <cell r="P60">
            <v>1.7361111111111105E-2</v>
          </cell>
          <cell r="Q60">
            <v>1.7361111111111133E-2</v>
          </cell>
          <cell r="R60">
            <v>4.1666666666666685E-2</v>
          </cell>
          <cell r="S60">
            <v>0.26041666666666663</v>
          </cell>
        </row>
        <row r="61">
          <cell r="A61" t="str">
            <v>15/5/2009</v>
          </cell>
          <cell r="B61" t="str">
            <v>RTI0010</v>
          </cell>
          <cell r="C61" t="str">
            <v>HOTMAN SM. HUTASOIT</v>
          </cell>
          <cell r="D61" t="str">
            <v>1039002;1039003</v>
          </cell>
          <cell r="E61" t="str">
            <v>P-PULF</v>
          </cell>
          <cell r="F61" t="str">
            <v>Pulp Transport</v>
          </cell>
          <cell r="G61">
            <v>120</v>
          </cell>
          <cell r="H61">
            <v>6.9444444444444406E-3</v>
          </cell>
          <cell r="I61">
            <v>1.3888888888888881E-2</v>
          </cell>
          <cell r="J61">
            <v>2.0833333333333343E-2</v>
          </cell>
          <cell r="K61">
            <v>2.4305555555555552E-2</v>
          </cell>
          <cell r="L61">
            <v>1.7361111111111119E-2</v>
          </cell>
          <cell r="M61">
            <v>1.7361111111111105E-2</v>
          </cell>
          <cell r="N61">
            <v>2.430555555555558E-2</v>
          </cell>
          <cell r="O61">
            <v>7.638888888888884E-2</v>
          </cell>
          <cell r="P61">
            <v>2.4305555555555552E-2</v>
          </cell>
          <cell r="Q61">
            <v>1.7361111111111133E-2</v>
          </cell>
          <cell r="R61">
            <v>4.1666666666666657E-2</v>
          </cell>
          <cell r="S61">
            <v>0.28472222222222221</v>
          </cell>
        </row>
        <row r="62">
          <cell r="A62" t="str">
            <v>14/5/2009</v>
          </cell>
          <cell r="B62" t="str">
            <v>RTI0001</v>
          </cell>
          <cell r="C62" t="str">
            <v>JONSON  TAMPUBOLON</v>
          </cell>
          <cell r="D62" t="str">
            <v>1038856;1039004</v>
          </cell>
          <cell r="E62" t="str">
            <v>P-PULF</v>
          </cell>
          <cell r="F62" t="str">
            <v>Pulp Transport</v>
          </cell>
          <cell r="G62">
            <v>120</v>
          </cell>
          <cell r="H62">
            <v>1.3888888888888951E-2</v>
          </cell>
          <cell r="I62">
            <v>1.388888888888884E-2</v>
          </cell>
          <cell r="J62">
            <v>1.736111111111116E-2</v>
          </cell>
          <cell r="K62">
            <v>1.388888888888884E-2</v>
          </cell>
          <cell r="L62">
            <v>1.388888888888884E-2</v>
          </cell>
          <cell r="M62">
            <v>1.736111111111116E-2</v>
          </cell>
          <cell r="N62">
            <v>1.388888888888884E-2</v>
          </cell>
          <cell r="O62">
            <v>7.638888888888884E-2</v>
          </cell>
          <cell r="P62">
            <v>2.430555555555558E-2</v>
          </cell>
          <cell r="Q62">
            <v>2.4305555555555469E-2</v>
          </cell>
          <cell r="R62">
            <v>4.1666666666666741E-2</v>
          </cell>
          <cell r="S62">
            <v>0.27083333333333326</v>
          </cell>
        </row>
        <row r="63">
          <cell r="A63" t="str">
            <v>14/5/2009</v>
          </cell>
          <cell r="B63" t="str">
            <v>RTI0009</v>
          </cell>
          <cell r="C63" t="str">
            <v>MARLIN SAMOSIR</v>
          </cell>
          <cell r="D63" t="str">
            <v>1038932;1038933</v>
          </cell>
          <cell r="E63" t="str">
            <v>P-PULF</v>
          </cell>
          <cell r="F63" t="str">
            <v>Pulp Transport</v>
          </cell>
          <cell r="G63">
            <v>120</v>
          </cell>
          <cell r="H63">
            <v>6.9444444444444198E-3</v>
          </cell>
          <cell r="I63">
            <v>1.6666666666666663E-2</v>
          </cell>
          <cell r="J63">
            <v>1.1111111111111127E-2</v>
          </cell>
          <cell r="K63">
            <v>1.0416666666666685E-2</v>
          </cell>
          <cell r="L63">
            <v>1.5972222222222221E-2</v>
          </cell>
          <cell r="M63">
            <v>1.5277777777777724E-2</v>
          </cell>
          <cell r="N63">
            <v>1.736111111111116E-2</v>
          </cell>
          <cell r="O63">
            <v>7.638888888888884E-2</v>
          </cell>
          <cell r="P63">
            <v>1.0416666666666685E-2</v>
          </cell>
          <cell r="Q63">
            <v>1.3888888888888895E-2</v>
          </cell>
          <cell r="R63">
            <v>7.9861111111111133E-2</v>
          </cell>
          <cell r="S63">
            <v>0.27430555555555558</v>
          </cell>
        </row>
        <row r="64">
          <cell r="A64" t="str">
            <v>14/5/2009</v>
          </cell>
          <cell r="B64" t="str">
            <v>RTI0008</v>
          </cell>
          <cell r="C64" t="str">
            <v>SAFRI SIREGAR</v>
          </cell>
          <cell r="D64" t="str">
            <v>1038760;1038761</v>
          </cell>
          <cell r="E64" t="str">
            <v>P-PULF</v>
          </cell>
          <cell r="F64" t="str">
            <v>Pulp Transport</v>
          </cell>
          <cell r="G64">
            <v>120</v>
          </cell>
          <cell r="H64">
            <v>6.9444444444444475E-3</v>
          </cell>
          <cell r="I64">
            <v>1.3888888888888867E-2</v>
          </cell>
          <cell r="J64">
            <v>1.3888888888888895E-2</v>
          </cell>
          <cell r="K64">
            <v>1.7361111111111133E-2</v>
          </cell>
          <cell r="L64">
            <v>1.3888888888888867E-2</v>
          </cell>
          <cell r="M64">
            <v>1.0416666666666685E-2</v>
          </cell>
          <cell r="N64">
            <v>1.7361111111111105E-2</v>
          </cell>
          <cell r="O64">
            <v>7.638888888888884E-2</v>
          </cell>
          <cell r="P64">
            <v>1.9444444444444459E-2</v>
          </cell>
          <cell r="Q64">
            <v>1.3194444444444398E-2</v>
          </cell>
          <cell r="R64">
            <v>7.9861111111111133E-2</v>
          </cell>
          <cell r="S64">
            <v>0.28263888888888883</v>
          </cell>
        </row>
        <row r="65">
          <cell r="A65" t="str">
            <v>13/5/2009</v>
          </cell>
          <cell r="B65" t="str">
            <v>BFI0001</v>
          </cell>
          <cell r="C65" t="str">
            <v>AMRIL</v>
          </cell>
          <cell r="D65" t="str">
            <v>1038826;1038827</v>
          </cell>
          <cell r="E65" t="str">
            <v>P-PULF</v>
          </cell>
          <cell r="F65" t="str">
            <v>Pulp Transport</v>
          </cell>
          <cell r="G65">
            <v>144</v>
          </cell>
          <cell r="H65">
            <v>6.9444444444444198E-3</v>
          </cell>
          <cell r="I65">
            <v>1.736111111111116E-2</v>
          </cell>
          <cell r="J65">
            <v>1.388888888888884E-2</v>
          </cell>
          <cell r="K65">
            <v>1.388888888888884E-2</v>
          </cell>
          <cell r="L65">
            <v>1.1805555555555625E-2</v>
          </cell>
          <cell r="M65">
            <v>1.2500000000000067E-2</v>
          </cell>
          <cell r="N65">
            <v>1.388888888888884E-2</v>
          </cell>
          <cell r="O65">
            <v>7.638888888888884E-2</v>
          </cell>
          <cell r="P65">
            <v>1.7361111111111049E-2</v>
          </cell>
          <cell r="Q65">
            <v>1.736111111111116E-2</v>
          </cell>
          <cell r="R65">
            <v>4.166666666666663E-2</v>
          </cell>
          <cell r="S65">
            <v>0.24305555555555547</v>
          </cell>
        </row>
        <row r="66">
          <cell r="A66" t="str">
            <v>13/5/2009</v>
          </cell>
          <cell r="B66" t="str">
            <v>RTI0010</v>
          </cell>
          <cell r="C66" t="str">
            <v>DAMRAH</v>
          </cell>
          <cell r="D66" t="str">
            <v>1038828;1038829</v>
          </cell>
          <cell r="E66" t="str">
            <v>P-PULF</v>
          </cell>
          <cell r="F66" t="str">
            <v>Pulp Transport</v>
          </cell>
          <cell r="G66">
            <v>120</v>
          </cell>
          <cell r="H66">
            <v>6.9444444444445308E-3</v>
          </cell>
          <cell r="I66">
            <v>1.736111111111116E-2</v>
          </cell>
          <cell r="J66">
            <v>1.041666666666663E-2</v>
          </cell>
          <cell r="K66">
            <v>1.388888888888884E-2</v>
          </cell>
          <cell r="L66">
            <v>1.736111111111116E-2</v>
          </cell>
          <cell r="M66">
            <v>1.041666666666663E-2</v>
          </cell>
          <cell r="N66">
            <v>1.7361111111111049E-2</v>
          </cell>
          <cell r="O66">
            <v>7.638888888888884E-2</v>
          </cell>
          <cell r="P66">
            <v>1.0416666666666741E-2</v>
          </cell>
          <cell r="Q66">
            <v>2.0833333333333259E-2</v>
          </cell>
          <cell r="R66">
            <v>4.1666666666666741E-2</v>
          </cell>
          <cell r="S66">
            <v>0.24305555555555558</v>
          </cell>
        </row>
        <row r="67">
          <cell r="A67" t="str">
            <v>14/5/2009</v>
          </cell>
          <cell r="B67" t="str">
            <v>RTI0005</v>
          </cell>
          <cell r="C67" t="str">
            <v>ANTON RAJAGUGUK</v>
          </cell>
          <cell r="D67" t="str">
            <v>1038830;1038831</v>
          </cell>
          <cell r="E67" t="str">
            <v>P-PULF</v>
          </cell>
          <cell r="F67" t="str">
            <v>Pulp Transport</v>
          </cell>
          <cell r="G67">
            <v>120</v>
          </cell>
          <cell r="H67">
            <v>1.7361111111111105E-2</v>
          </cell>
          <cell r="I67">
            <v>1.0416666666666671E-2</v>
          </cell>
          <cell r="J67">
            <v>1.3888888888888895E-2</v>
          </cell>
          <cell r="K67">
            <v>1.3888888888888867E-2</v>
          </cell>
          <cell r="L67">
            <v>2.083333333333337E-2</v>
          </cell>
          <cell r="M67">
            <v>2.4305555555555525E-2</v>
          </cell>
          <cell r="N67">
            <v>1.7361111111111133E-2</v>
          </cell>
          <cell r="O67">
            <v>7.638888888888884E-2</v>
          </cell>
          <cell r="P67">
            <v>2.0833333333333343E-2</v>
          </cell>
          <cell r="Q67">
            <v>1.3888888888888895E-2</v>
          </cell>
          <cell r="R67">
            <v>7.9861111111111133E-2</v>
          </cell>
          <cell r="S67">
            <v>0.30902777777777779</v>
          </cell>
        </row>
        <row r="68">
          <cell r="A68" t="str">
            <v>14/5/2009</v>
          </cell>
          <cell r="B68" t="str">
            <v>RTI0006</v>
          </cell>
          <cell r="C68" t="str">
            <v>EKO MUSTANTO</v>
          </cell>
          <cell r="D68" t="str">
            <v>1038848;1038849</v>
          </cell>
          <cell r="E68" t="str">
            <v>P-PULF</v>
          </cell>
          <cell r="F68" t="str">
            <v>Pulp Transport</v>
          </cell>
          <cell r="G68">
            <v>120</v>
          </cell>
          <cell r="H68">
            <v>6.9444444444444198E-3</v>
          </cell>
          <cell r="I68">
            <v>1.7361111111111133E-2</v>
          </cell>
          <cell r="J68">
            <v>1.7361111111111133E-2</v>
          </cell>
          <cell r="K68">
            <v>2.0833333333333315E-2</v>
          </cell>
          <cell r="L68">
            <v>1.3888888888888895E-2</v>
          </cell>
          <cell r="M68">
            <v>1.7361111111111105E-2</v>
          </cell>
          <cell r="N68">
            <v>2.777777777777779E-2</v>
          </cell>
          <cell r="O68">
            <v>4.8611111111111105E-2</v>
          </cell>
          <cell r="P68">
            <v>1.7361111111111049E-2</v>
          </cell>
          <cell r="Q68">
            <v>2.083333333333337E-2</v>
          </cell>
          <cell r="R68">
            <v>5.2083333333333315E-2</v>
          </cell>
          <cell r="S68">
            <v>0.26041666666666663</v>
          </cell>
        </row>
        <row r="69">
          <cell r="A69" t="str">
            <v>14/5/2009</v>
          </cell>
          <cell r="B69" t="str">
            <v>RTI0006</v>
          </cell>
          <cell r="C69" t="str">
            <v>IMRAN NASUTION</v>
          </cell>
          <cell r="D69" t="str">
            <v>1038929;1038930</v>
          </cell>
          <cell r="E69" t="str">
            <v>P-PULF</v>
          </cell>
          <cell r="F69" t="str">
            <v>Pulp Transport</v>
          </cell>
          <cell r="G69">
            <v>120</v>
          </cell>
          <cell r="H69">
            <v>6.9444444444444198E-3</v>
          </cell>
          <cell r="I69">
            <v>1.041666666666663E-2</v>
          </cell>
          <cell r="J69">
            <v>1.041666666666663E-2</v>
          </cell>
          <cell r="K69">
            <v>1.736111111111116E-2</v>
          </cell>
          <cell r="L69">
            <v>1.5277777777777835E-2</v>
          </cell>
          <cell r="M69">
            <v>9.0277777777777457E-3</v>
          </cell>
          <cell r="N69">
            <v>1.388888888888884E-2</v>
          </cell>
          <cell r="O69">
            <v>7.638888888888884E-2</v>
          </cell>
          <cell r="P69">
            <v>1.041666666666663E-2</v>
          </cell>
          <cell r="Q69">
            <v>1.736111111111116E-2</v>
          </cell>
          <cell r="R69">
            <v>7.9861111111111133E-2</v>
          </cell>
          <cell r="S69">
            <v>0.26736111111111105</v>
          </cell>
        </row>
        <row r="70">
          <cell r="A70" t="str">
            <v>14/5/2009</v>
          </cell>
          <cell r="B70" t="str">
            <v>BFI0002</v>
          </cell>
          <cell r="C70" t="str">
            <v>NASIB</v>
          </cell>
          <cell r="D70" t="str">
            <v>1038853;1038854</v>
          </cell>
          <cell r="E70" t="str">
            <v>P-PULF</v>
          </cell>
          <cell r="F70" t="str">
            <v>Pulp Transport</v>
          </cell>
          <cell r="G70">
            <v>144</v>
          </cell>
          <cell r="H70">
            <v>6.9444444444444198E-3</v>
          </cell>
          <cell r="I70">
            <v>1.2499999999999956E-2</v>
          </cell>
          <cell r="J70">
            <v>8.3333333333333037E-3</v>
          </cell>
          <cell r="K70">
            <v>1.388888888888884E-2</v>
          </cell>
          <cell r="L70">
            <v>1.3888888888889062E-2</v>
          </cell>
          <cell r="M70">
            <v>1.388888888888884E-2</v>
          </cell>
          <cell r="N70">
            <v>1.388888888888884E-2</v>
          </cell>
          <cell r="O70">
            <v>7.638888888888884E-2</v>
          </cell>
          <cell r="P70">
            <v>1.388888888888884E-2</v>
          </cell>
          <cell r="Q70">
            <v>1.736111111111116E-2</v>
          </cell>
          <cell r="R70">
            <v>4.166666666666663E-2</v>
          </cell>
          <cell r="S70">
            <v>0.23263888888888873</v>
          </cell>
        </row>
        <row r="71">
          <cell r="A71" t="str">
            <v>14/5/2009</v>
          </cell>
          <cell r="B71" t="str">
            <v>BFI0001</v>
          </cell>
          <cell r="C71" t="str">
            <v>AMRIL</v>
          </cell>
          <cell r="D71" t="str">
            <v>1038926;1038927</v>
          </cell>
          <cell r="E71" t="str">
            <v>P-PULF</v>
          </cell>
          <cell r="F71" t="str">
            <v>Pulp Transport</v>
          </cell>
          <cell r="G71">
            <v>144</v>
          </cell>
          <cell r="H71">
            <v>6.9444444444445308E-3</v>
          </cell>
          <cell r="I71">
            <v>1.388888888888884E-2</v>
          </cell>
          <cell r="J71">
            <v>1.388888888888884E-2</v>
          </cell>
          <cell r="K71">
            <v>1.388888888888884E-2</v>
          </cell>
          <cell r="L71">
            <v>1.736111111111116E-2</v>
          </cell>
          <cell r="M71">
            <v>1.0416666666666741E-2</v>
          </cell>
          <cell r="N71">
            <v>1.736111111111116E-2</v>
          </cell>
          <cell r="O71">
            <v>7.638888888888884E-2</v>
          </cell>
          <cell r="P71">
            <v>1.8055555555555602E-2</v>
          </cell>
          <cell r="Q71">
            <v>1.7361111111110938E-2</v>
          </cell>
          <cell r="R71">
            <v>7.9861111111111133E-2</v>
          </cell>
          <cell r="S71">
            <v>0.28541666666666665</v>
          </cell>
        </row>
        <row r="72">
          <cell r="A72" t="str">
            <v>14/5/2009</v>
          </cell>
          <cell r="B72" t="str">
            <v>RTI0008</v>
          </cell>
          <cell r="C72" t="str">
            <v>SAFRI SIREGAR</v>
          </cell>
          <cell r="D72" t="str">
            <v>1038928;1038936</v>
          </cell>
          <cell r="E72" t="str">
            <v>P-PULF</v>
          </cell>
          <cell r="F72" t="str">
            <v>Pulp Transport</v>
          </cell>
          <cell r="G72">
            <v>120</v>
          </cell>
          <cell r="H72">
            <v>6.9444444444444198E-3</v>
          </cell>
          <cell r="I72">
            <v>1.388888888888884E-2</v>
          </cell>
          <cell r="J72">
            <v>1.3888888888888951E-2</v>
          </cell>
          <cell r="K72">
            <v>1.7361111111111049E-2</v>
          </cell>
          <cell r="L72">
            <v>2.430555555555558E-2</v>
          </cell>
          <cell r="M72">
            <v>1.388888888888884E-2</v>
          </cell>
          <cell r="N72">
            <v>1.736111111111116E-2</v>
          </cell>
          <cell r="O72">
            <v>7.638888888888884E-2</v>
          </cell>
          <cell r="P72">
            <v>1.6666666666666607E-2</v>
          </cell>
          <cell r="Q72">
            <v>1.4583333333333393E-2</v>
          </cell>
          <cell r="R72">
            <v>5.9027777777777679E-2</v>
          </cell>
          <cell r="S72">
            <v>0.27430555555555536</v>
          </cell>
        </row>
        <row r="73">
          <cell r="A73" t="str">
            <v>14/5/2009</v>
          </cell>
          <cell r="B73" t="str">
            <v>RTI0010</v>
          </cell>
          <cell r="C73" t="str">
            <v>SUPARNO</v>
          </cell>
          <cell r="D73" t="str">
            <v>1038850;1038923</v>
          </cell>
          <cell r="E73" t="str">
            <v>P-PULF</v>
          </cell>
          <cell r="F73" t="str">
            <v>Pulp Transport</v>
          </cell>
          <cell r="G73">
            <v>120</v>
          </cell>
          <cell r="H73">
            <v>6.9444444444444198E-3</v>
          </cell>
          <cell r="I73">
            <v>1.041666666666663E-2</v>
          </cell>
          <cell r="J73">
            <v>1.041666666666663E-2</v>
          </cell>
          <cell r="K73">
            <v>1.388888888888884E-2</v>
          </cell>
          <cell r="L73">
            <v>1.0416666666666741E-2</v>
          </cell>
          <cell r="M73">
            <v>1.736111111111116E-2</v>
          </cell>
          <cell r="N73">
            <v>1.736111111111116E-2</v>
          </cell>
          <cell r="O73">
            <v>7.638888888888884E-2</v>
          </cell>
          <cell r="P73">
            <v>1.736111111111116E-2</v>
          </cell>
          <cell r="Q73">
            <v>1.7361111111110938E-2</v>
          </cell>
          <cell r="R73">
            <v>7.9861111111111133E-2</v>
          </cell>
          <cell r="S73">
            <v>0.27777777777777768</v>
          </cell>
        </row>
        <row r="74">
          <cell r="A74" t="str">
            <v>14/5/2009</v>
          </cell>
          <cell r="B74" t="str">
            <v>RTI0001</v>
          </cell>
          <cell r="C74" t="str">
            <v>JONSON  TAMPUBOLON</v>
          </cell>
          <cell r="D74" t="str">
            <v>1038955;1038956</v>
          </cell>
          <cell r="E74" t="str">
            <v>P-PULF</v>
          </cell>
          <cell r="F74" t="str">
            <v>Pulp Transport</v>
          </cell>
          <cell r="G74">
            <v>120</v>
          </cell>
          <cell r="H74">
            <v>6.9444444444445308E-3</v>
          </cell>
          <cell r="I74">
            <v>1.7361111111111049E-2</v>
          </cell>
          <cell r="J74">
            <v>1.041666666666663E-2</v>
          </cell>
          <cell r="K74">
            <v>1.736111111111116E-2</v>
          </cell>
          <cell r="L74">
            <v>1.388888888888884E-2</v>
          </cell>
          <cell r="M74">
            <v>1.0416666666666741E-2</v>
          </cell>
          <cell r="N74">
            <v>1.736111111111116E-2</v>
          </cell>
          <cell r="O74">
            <v>7.638888888888884E-2</v>
          </cell>
          <cell r="P74">
            <v>9.7222222222222987E-3</v>
          </cell>
          <cell r="Q74">
            <v>1.736111111111116E-2</v>
          </cell>
          <cell r="R74">
            <v>4.166666666666663E-2</v>
          </cell>
          <cell r="S74">
            <v>0.23888888888888904</v>
          </cell>
        </row>
        <row r="75">
          <cell r="A75" t="str">
            <v>14/5/2009</v>
          </cell>
          <cell r="B75" t="str">
            <v>RTI0009</v>
          </cell>
          <cell r="C75" t="str">
            <v>JAMALUDDIN IB</v>
          </cell>
          <cell r="D75" t="str">
            <v>1038844;1038845</v>
          </cell>
          <cell r="E75" t="str">
            <v>P-PULF</v>
          </cell>
          <cell r="F75" t="str">
            <v>Pulp Transport</v>
          </cell>
          <cell r="G75">
            <v>120</v>
          </cell>
          <cell r="H75">
            <v>6.9444444444444475E-3</v>
          </cell>
          <cell r="I75">
            <v>1.7361111111111105E-2</v>
          </cell>
          <cell r="J75">
            <v>1.0416666666666671E-2</v>
          </cell>
          <cell r="K75">
            <v>1.3888888888888895E-2</v>
          </cell>
          <cell r="L75">
            <v>1.7361111111111105E-2</v>
          </cell>
          <cell r="M75">
            <v>1.7361111111111105E-2</v>
          </cell>
          <cell r="N75">
            <v>1.7361111111111105E-2</v>
          </cell>
          <cell r="O75">
            <v>7.638888888888884E-2</v>
          </cell>
          <cell r="P75">
            <v>1.7361111111111105E-2</v>
          </cell>
          <cell r="Q75">
            <v>2.4305555555555552E-2</v>
          </cell>
          <cell r="R75">
            <v>7.9861111111111133E-2</v>
          </cell>
          <cell r="S75">
            <v>0.29861111111111105</v>
          </cell>
        </row>
        <row r="76">
          <cell r="A76" t="str">
            <v>14/5/2009</v>
          </cell>
          <cell r="B76" t="str">
            <v>STI0003</v>
          </cell>
          <cell r="C76" t="str">
            <v>HENDRI</v>
          </cell>
          <cell r="D76" t="str">
            <v>1270872;1270864</v>
          </cell>
          <cell r="E76" t="str">
            <v>P-PULF</v>
          </cell>
          <cell r="F76" t="str">
            <v>Pulp Transport</v>
          </cell>
          <cell r="G76">
            <v>120</v>
          </cell>
          <cell r="H76">
            <v>6.9444444444444753E-3</v>
          </cell>
          <cell r="I76">
            <v>1.388888888888884E-2</v>
          </cell>
          <cell r="J76">
            <v>1.3888888888888895E-2</v>
          </cell>
          <cell r="K76">
            <v>1.7361111111111105E-2</v>
          </cell>
          <cell r="L76">
            <v>1.5972222222222276E-2</v>
          </cell>
          <cell r="M76">
            <v>1.5277777777777724E-2</v>
          </cell>
          <cell r="N76">
            <v>2.430555555555558E-2</v>
          </cell>
          <cell r="O76">
            <v>7.638888888888884E-2</v>
          </cell>
          <cell r="P76">
            <v>2.7777777777777679E-2</v>
          </cell>
          <cell r="Q76">
            <v>1.0416666666666741E-2</v>
          </cell>
          <cell r="R76">
            <v>7.9861111111111049E-2</v>
          </cell>
          <cell r="S76">
            <v>0.3020833333333332</v>
          </cell>
        </row>
        <row r="77">
          <cell r="A77" t="str">
            <v>15/5/2009</v>
          </cell>
          <cell r="B77" t="str">
            <v>RTI0010</v>
          </cell>
          <cell r="C77" t="str">
            <v>SUPARNO</v>
          </cell>
          <cell r="D77" t="str">
            <v>1039233;1039234</v>
          </cell>
          <cell r="E77" t="str">
            <v>P-PULF</v>
          </cell>
          <cell r="F77" t="str">
            <v>Pulp Transport</v>
          </cell>
          <cell r="G77">
            <v>120</v>
          </cell>
          <cell r="H77">
            <v>6.9444444444443088E-3</v>
          </cell>
          <cell r="I77">
            <v>1.736111111111116E-2</v>
          </cell>
          <cell r="J77">
            <v>1.736111111111116E-2</v>
          </cell>
          <cell r="K77">
            <v>2.2916666666666585E-2</v>
          </cell>
          <cell r="L77">
            <v>1.1805555555555625E-2</v>
          </cell>
          <cell r="M77">
            <v>1.736111111111116E-2</v>
          </cell>
          <cell r="N77">
            <v>2.0138888888888817E-2</v>
          </cell>
          <cell r="O77">
            <v>7.638888888888884E-2</v>
          </cell>
          <cell r="P77">
            <v>1.736111111111116E-2</v>
          </cell>
          <cell r="Q77">
            <v>1.736111111111116E-2</v>
          </cell>
          <cell r="R77">
            <v>4.1666666666666741E-2</v>
          </cell>
          <cell r="S77">
            <v>0.26666666666666672</v>
          </cell>
        </row>
        <row r="78">
          <cell r="A78" t="str">
            <v>15/5/2009</v>
          </cell>
          <cell r="B78" t="str">
            <v>BFI0002</v>
          </cell>
          <cell r="C78" t="str">
            <v>NASIB</v>
          </cell>
          <cell r="D78" t="str">
            <v>1038857;1038858</v>
          </cell>
          <cell r="E78" t="str">
            <v>P-PULF</v>
          </cell>
          <cell r="F78" t="str">
            <v>Pulp Transport</v>
          </cell>
          <cell r="G78">
            <v>144</v>
          </cell>
          <cell r="H78">
            <v>6.9444444444444475E-3</v>
          </cell>
          <cell r="I78">
            <v>1.7361111111111105E-2</v>
          </cell>
          <cell r="J78">
            <v>1.7361111111111133E-2</v>
          </cell>
          <cell r="K78">
            <v>2.4305555555555525E-2</v>
          </cell>
          <cell r="L78">
            <v>1.0416666666666685E-2</v>
          </cell>
          <cell r="M78">
            <v>1.3888888888888867E-2</v>
          </cell>
          <cell r="N78">
            <v>1.9444444444444459E-2</v>
          </cell>
          <cell r="O78">
            <v>7.638888888888884E-2</v>
          </cell>
          <cell r="P78">
            <v>2.4305555555555525E-2</v>
          </cell>
          <cell r="Q78">
            <v>1.0416666666666685E-2</v>
          </cell>
          <cell r="R78">
            <v>5.555555555555558E-2</v>
          </cell>
          <cell r="S78">
            <v>0.27638888888888885</v>
          </cell>
        </row>
        <row r="79">
          <cell r="A79" t="str">
            <v>15/5/2009</v>
          </cell>
          <cell r="B79" t="str">
            <v>RTI0005</v>
          </cell>
          <cell r="C79" t="str">
            <v>PARDAMEAN T</v>
          </cell>
          <cell r="D79" t="str">
            <v>1039200;1039201</v>
          </cell>
          <cell r="E79" t="str">
            <v>P-PULF</v>
          </cell>
          <cell r="F79" t="str">
            <v>Pulp Transport</v>
          </cell>
          <cell r="G79">
            <v>120</v>
          </cell>
          <cell r="H79">
            <v>6.9444444444445308E-3</v>
          </cell>
          <cell r="I79">
            <v>1.6666666666666607E-2</v>
          </cell>
          <cell r="J79">
            <v>1.1111111111111072E-2</v>
          </cell>
          <cell r="K79">
            <v>1.736111111111116E-2</v>
          </cell>
          <cell r="L79">
            <v>1.5277777777777835E-2</v>
          </cell>
          <cell r="M79">
            <v>1.2499999999999845E-2</v>
          </cell>
          <cell r="N79">
            <v>2.7777777777777901E-2</v>
          </cell>
          <cell r="O79">
            <v>7.638888888888884E-2</v>
          </cell>
          <cell r="P79">
            <v>2.2916666666666474E-2</v>
          </cell>
          <cell r="Q79">
            <v>1.8750000000000155E-2</v>
          </cell>
          <cell r="R79">
            <v>4.8611111111111049E-2</v>
          </cell>
          <cell r="S79">
            <v>0.27430555555555547</v>
          </cell>
        </row>
        <row r="80">
          <cell r="A80" t="str">
            <v>14/5/2009</v>
          </cell>
          <cell r="B80" t="str">
            <v>RTI0009</v>
          </cell>
          <cell r="C80" t="str">
            <v>MARLIN SAMOSIR</v>
          </cell>
          <cell r="D80" t="str">
            <v>1038957;1038958</v>
          </cell>
          <cell r="E80" t="str">
            <v>P-PULF</v>
          </cell>
          <cell r="F80" t="str">
            <v>Pulp Transport</v>
          </cell>
          <cell r="G80">
            <v>120</v>
          </cell>
          <cell r="H80">
            <v>6.9444444444445308E-3</v>
          </cell>
          <cell r="I80">
            <v>1.041666666666663E-2</v>
          </cell>
          <cell r="J80">
            <v>1.0416666666666741E-2</v>
          </cell>
          <cell r="K80">
            <v>1.736111111111116E-2</v>
          </cell>
          <cell r="L80">
            <v>1.388888888888884E-2</v>
          </cell>
          <cell r="M80">
            <v>1.041666666666663E-2</v>
          </cell>
          <cell r="N80">
            <v>3.125E-2</v>
          </cell>
          <cell r="O80">
            <v>7.638888888888884E-2</v>
          </cell>
          <cell r="P80">
            <v>2.4305555555555469E-2</v>
          </cell>
          <cell r="Q80">
            <v>1.0416666666666741E-2</v>
          </cell>
          <cell r="R80">
            <v>5.5555555555555469E-2</v>
          </cell>
          <cell r="S80">
            <v>0.26736111111111105</v>
          </cell>
        </row>
        <row r="81">
          <cell r="A81" t="str">
            <v>15/5/2009</v>
          </cell>
          <cell r="B81" t="str">
            <v>RTI0009</v>
          </cell>
          <cell r="C81" t="str">
            <v>MARLIN SAMOSIR</v>
          </cell>
          <cell r="D81" t="str">
            <v>1038978;1038979</v>
          </cell>
          <cell r="E81" t="str">
            <v>P-PULF</v>
          </cell>
          <cell r="F81" t="str">
            <v>Pulp Transport</v>
          </cell>
          <cell r="G81">
            <v>120</v>
          </cell>
          <cell r="H81">
            <v>6.9444444444444753E-3</v>
          </cell>
          <cell r="I81">
            <v>1.7361111111111105E-2</v>
          </cell>
          <cell r="J81">
            <v>1.041666666666663E-2</v>
          </cell>
          <cell r="K81">
            <v>1.3888888888888951E-2</v>
          </cell>
          <cell r="L81">
            <v>2.0833333333333315E-2</v>
          </cell>
          <cell r="M81">
            <v>1.3888888888888895E-2</v>
          </cell>
          <cell r="N81">
            <v>1.7361111111111105E-2</v>
          </cell>
          <cell r="O81">
            <v>7.638888888888884E-2</v>
          </cell>
          <cell r="P81">
            <v>1.3888888888888895E-2</v>
          </cell>
          <cell r="Q81">
            <v>1.7361111111111105E-2</v>
          </cell>
          <cell r="R81">
            <v>7.9861111111111133E-2</v>
          </cell>
          <cell r="S81">
            <v>0.28819444444444442</v>
          </cell>
        </row>
        <row r="82">
          <cell r="A82" t="str">
            <v>15/5/2009</v>
          </cell>
          <cell r="B82" t="str">
            <v>BFI0001</v>
          </cell>
          <cell r="C82" t="str">
            <v>AMRIL</v>
          </cell>
          <cell r="D82" t="str">
            <v>1038859;1038860</v>
          </cell>
          <cell r="E82" t="str">
            <v>P-PULF</v>
          </cell>
          <cell r="F82" t="str">
            <v>Pulp Transport</v>
          </cell>
          <cell r="G82">
            <v>144</v>
          </cell>
          <cell r="H82">
            <v>6.9444444444444475E-3</v>
          </cell>
          <cell r="I82">
            <v>2.0833333333333315E-2</v>
          </cell>
          <cell r="J82">
            <v>1.3888888888888895E-2</v>
          </cell>
          <cell r="K82">
            <v>1.9444444444444459E-2</v>
          </cell>
          <cell r="L82">
            <v>1.5277777777777779E-2</v>
          </cell>
          <cell r="M82">
            <v>1.5277777777777751E-2</v>
          </cell>
          <cell r="N82">
            <v>1.5972222222222249E-2</v>
          </cell>
          <cell r="O82">
            <v>7.638888888888884E-2</v>
          </cell>
          <cell r="P82">
            <v>2.4305555555555525E-2</v>
          </cell>
          <cell r="Q82">
            <v>1.7361111111111105E-2</v>
          </cell>
          <cell r="R82">
            <v>4.861111111111116E-2</v>
          </cell>
          <cell r="S82">
            <v>0.27430555555555552</v>
          </cell>
        </row>
        <row r="83">
          <cell r="A83" t="str">
            <v>15/5/2009</v>
          </cell>
          <cell r="B83" t="str">
            <v>RTI0006</v>
          </cell>
          <cell r="C83" t="str">
            <v>IMRAN NASUTION</v>
          </cell>
          <cell r="D83" t="str">
            <v>1039022;1039023</v>
          </cell>
          <cell r="E83" t="str">
            <v>P-PULF</v>
          </cell>
          <cell r="F83" t="str">
            <v>Pulp Transport</v>
          </cell>
          <cell r="G83">
            <v>120</v>
          </cell>
          <cell r="H83">
            <v>6.9444444444444475E-3</v>
          </cell>
          <cell r="I83">
            <v>1.3888888888888881E-2</v>
          </cell>
          <cell r="J83">
            <v>1.3888888888888895E-2</v>
          </cell>
          <cell r="K83">
            <v>1.3888888888888895E-2</v>
          </cell>
          <cell r="L83">
            <v>1.8749999999999989E-2</v>
          </cell>
          <cell r="M83">
            <v>1.2499999999999983E-2</v>
          </cell>
          <cell r="N83">
            <v>1.2500000000000001E-2</v>
          </cell>
          <cell r="O83">
            <v>7.638888888888884E-2</v>
          </cell>
          <cell r="P83">
            <v>1.8055555555555519E-2</v>
          </cell>
          <cell r="Q83">
            <v>1.7361111111111133E-2</v>
          </cell>
          <cell r="R83">
            <v>4.8611111111111133E-2</v>
          </cell>
          <cell r="S83">
            <v>0.25277777777777771</v>
          </cell>
        </row>
        <row r="84">
          <cell r="A84" t="str">
            <v>15/5/2009</v>
          </cell>
          <cell r="B84" t="str">
            <v>RTI0005</v>
          </cell>
          <cell r="C84" t="str">
            <v>ANTON RAJAGUGUK</v>
          </cell>
          <cell r="D84" t="str">
            <v>1039047;1039051</v>
          </cell>
          <cell r="E84" t="str">
            <v>P-PULF</v>
          </cell>
          <cell r="F84" t="str">
            <v>Pulp Transport</v>
          </cell>
          <cell r="G84">
            <v>120</v>
          </cell>
          <cell r="H84">
            <v>6.9444444444444198E-3</v>
          </cell>
          <cell r="I84">
            <v>1.0416666666666741E-2</v>
          </cell>
          <cell r="J84">
            <v>1.041666666666663E-2</v>
          </cell>
          <cell r="K84">
            <v>1.736111111111116E-2</v>
          </cell>
          <cell r="L84">
            <v>1.388888888888884E-2</v>
          </cell>
          <cell r="M84">
            <v>1.736111111111116E-2</v>
          </cell>
          <cell r="N84">
            <v>1.7361111111111049E-2</v>
          </cell>
          <cell r="O84">
            <v>7.638888888888884E-2</v>
          </cell>
          <cell r="P84">
            <v>1.388888888888884E-2</v>
          </cell>
          <cell r="Q84">
            <v>1.736111111111116E-2</v>
          </cell>
          <cell r="R84">
            <v>4.166666666666663E-2</v>
          </cell>
          <cell r="S84">
            <v>0.24305555555555547</v>
          </cell>
        </row>
        <row r="85">
          <cell r="A85" t="str">
            <v>15/5/2009</v>
          </cell>
          <cell r="B85" t="str">
            <v>RTI0010</v>
          </cell>
          <cell r="C85" t="str">
            <v>HOTMAN SM. HUTASOIT</v>
          </cell>
          <cell r="D85" t="str">
            <v>1039281;1039362</v>
          </cell>
          <cell r="E85" t="str">
            <v>P-PULF</v>
          </cell>
          <cell r="F85" t="str">
            <v>Pulp Transport</v>
          </cell>
          <cell r="G85">
            <v>120</v>
          </cell>
          <cell r="H85">
            <v>6.9444444444445308E-3</v>
          </cell>
          <cell r="I85">
            <v>2.083333333333337E-2</v>
          </cell>
          <cell r="J85">
            <v>2.4305555555555469E-2</v>
          </cell>
          <cell r="K85">
            <v>1.736111111111116E-2</v>
          </cell>
          <cell r="L85">
            <v>2.2916666666666585E-2</v>
          </cell>
          <cell r="M85">
            <v>1.1805555555555625E-2</v>
          </cell>
          <cell r="N85">
            <v>1.388888888888884E-2</v>
          </cell>
          <cell r="O85">
            <v>7.638888888888884E-2</v>
          </cell>
          <cell r="P85">
            <v>2.7777777777777679E-2</v>
          </cell>
          <cell r="Q85">
            <v>1.7361111111111112E-2</v>
          </cell>
          <cell r="R85">
            <v>1.0416666666666667</v>
          </cell>
          <cell r="S85">
            <v>1.28125</v>
          </cell>
        </row>
        <row r="86">
          <cell r="A86" t="str">
            <v>15/5/2009</v>
          </cell>
          <cell r="B86" t="str">
            <v>RTI0009</v>
          </cell>
          <cell r="C86" t="str">
            <v>MARLIN SAMOSIR</v>
          </cell>
          <cell r="D86" t="str">
            <v>1039045;1039046</v>
          </cell>
          <cell r="E86" t="str">
            <v>P-PULF</v>
          </cell>
          <cell r="F86" t="str">
            <v>Pulp Transport</v>
          </cell>
          <cell r="G86">
            <v>120</v>
          </cell>
          <cell r="H86">
            <v>6.9444444444443088E-3</v>
          </cell>
          <cell r="I86">
            <v>1.3888888888889062E-2</v>
          </cell>
          <cell r="J86">
            <v>1.388888888888884E-2</v>
          </cell>
          <cell r="K86">
            <v>1.388888888888884E-2</v>
          </cell>
          <cell r="L86">
            <v>1.736111111111116E-2</v>
          </cell>
          <cell r="M86">
            <v>1.388888888888884E-2</v>
          </cell>
          <cell r="N86">
            <v>1.736111111111116E-2</v>
          </cell>
          <cell r="O86">
            <v>7.638888888888884E-2</v>
          </cell>
          <cell r="P86">
            <v>1.1111111111111183E-2</v>
          </cell>
          <cell r="Q86">
            <v>1.388888888888884E-2</v>
          </cell>
          <cell r="R86">
            <v>4.166666666666663E-2</v>
          </cell>
          <cell r="S86">
            <v>0.2402777777777777</v>
          </cell>
        </row>
        <row r="87">
          <cell r="A87" t="str">
            <v>15/5/2009</v>
          </cell>
          <cell r="B87" t="str">
            <v>RTI0011</v>
          </cell>
          <cell r="C87" t="str">
            <v>SAFRI SIREGAR</v>
          </cell>
          <cell r="D87" t="str">
            <v>1039043;1039044</v>
          </cell>
          <cell r="E87" t="str">
            <v>P-PULF</v>
          </cell>
          <cell r="F87" t="str">
            <v>Pulp Transport</v>
          </cell>
          <cell r="G87">
            <v>120</v>
          </cell>
          <cell r="H87">
            <v>3.4722222222223209E-3</v>
          </cell>
          <cell r="I87">
            <v>6.9444444444445308E-3</v>
          </cell>
          <cell r="J87">
            <v>1.388888888888884E-2</v>
          </cell>
          <cell r="K87">
            <v>1.736111111111116E-2</v>
          </cell>
          <cell r="L87">
            <v>1.0416666666666741E-2</v>
          </cell>
          <cell r="M87">
            <v>1.388888888888884E-2</v>
          </cell>
          <cell r="N87">
            <v>1.736111111111116E-2</v>
          </cell>
          <cell r="O87">
            <v>7.638888888888884E-2</v>
          </cell>
          <cell r="P87">
            <v>1.041666666666663E-2</v>
          </cell>
          <cell r="Q87">
            <v>1.736111111111116E-2</v>
          </cell>
          <cell r="R87">
            <v>7.9861111111111133E-2</v>
          </cell>
          <cell r="S87">
            <v>0.26736111111111138</v>
          </cell>
        </row>
        <row r="88">
          <cell r="A88" t="str">
            <v>15/5/2009</v>
          </cell>
          <cell r="B88" t="str">
            <v>RTI0004</v>
          </cell>
          <cell r="C88" t="str">
            <v>HENGKY FERNANDO</v>
          </cell>
          <cell r="D88" t="str">
            <v>1039277;1039278</v>
          </cell>
          <cell r="E88" t="str">
            <v>P-PULF</v>
          </cell>
          <cell r="F88" t="str">
            <v>Pulp Transport</v>
          </cell>
          <cell r="G88">
            <v>120</v>
          </cell>
          <cell r="H88">
            <v>6.9444444444443088E-3</v>
          </cell>
          <cell r="I88">
            <v>1.3888888888888951E-2</v>
          </cell>
          <cell r="J88">
            <v>1.388888888888884E-2</v>
          </cell>
          <cell r="K88">
            <v>1.388888888888884E-2</v>
          </cell>
          <cell r="L88">
            <v>1.3888888888889062E-2</v>
          </cell>
          <cell r="M88">
            <v>1.388888888888884E-2</v>
          </cell>
          <cell r="N88">
            <v>1.4583333333333393E-2</v>
          </cell>
          <cell r="O88">
            <v>7.638888888888884E-2</v>
          </cell>
          <cell r="P88">
            <v>2.7777777777777679E-2</v>
          </cell>
          <cell r="Q88">
            <v>2.0833333333333332E-2</v>
          </cell>
          <cell r="R88">
            <v>1.0486111111111112</v>
          </cell>
          <cell r="S88">
            <v>1.2645833333333332</v>
          </cell>
        </row>
        <row r="89">
          <cell r="A89" t="str">
            <v>15/5/2009</v>
          </cell>
          <cell r="B89" t="str">
            <v>RTI0007</v>
          </cell>
          <cell r="C89" t="str">
            <v>DAMRAH</v>
          </cell>
          <cell r="D89" t="str">
            <v>1039279;1039280</v>
          </cell>
          <cell r="E89" t="str">
            <v>P-PULF</v>
          </cell>
          <cell r="F89" t="str">
            <v>Pulp Transport</v>
          </cell>
          <cell r="G89">
            <v>120</v>
          </cell>
          <cell r="H89">
            <v>6.9444444444445308E-3</v>
          </cell>
          <cell r="I89">
            <v>1.041666666666663E-2</v>
          </cell>
          <cell r="J89">
            <v>1.0416666666666741E-2</v>
          </cell>
          <cell r="K89">
            <v>1.388888888888884E-2</v>
          </cell>
          <cell r="L89">
            <v>1.736111111111116E-2</v>
          </cell>
          <cell r="M89">
            <v>1.041666666666663E-2</v>
          </cell>
          <cell r="N89">
            <v>1.736111111111116E-2</v>
          </cell>
          <cell r="O89">
            <v>7.638888888888884E-2</v>
          </cell>
          <cell r="P89">
            <v>1.5277777777777835E-2</v>
          </cell>
          <cell r="Q89">
            <v>1.388888888888884E-2</v>
          </cell>
          <cell r="R89">
            <v>7.9861111111111133E-2</v>
          </cell>
          <cell r="S89">
            <v>0.27222222222222237</v>
          </cell>
        </row>
        <row r="90">
          <cell r="A90" t="str">
            <v>15/5/2009</v>
          </cell>
          <cell r="B90" t="str">
            <v>RTI0008</v>
          </cell>
          <cell r="C90" t="str">
            <v>JAILANI</v>
          </cell>
          <cell r="D90" t="str">
            <v>1039008;1039009</v>
          </cell>
          <cell r="E90" t="str">
            <v>P-PULF</v>
          </cell>
          <cell r="F90" t="str">
            <v>Pulp Transport</v>
          </cell>
          <cell r="G90">
            <v>120</v>
          </cell>
          <cell r="H90">
            <v>6.9444444444444441E-3</v>
          </cell>
          <cell r="I90">
            <v>1.3888888888888888E-2</v>
          </cell>
          <cell r="J90">
            <v>1.3888888888888888E-2</v>
          </cell>
          <cell r="K90">
            <v>1.3888888888888888E-2</v>
          </cell>
          <cell r="L90">
            <v>1.7361111111111119E-2</v>
          </cell>
          <cell r="M90">
            <v>1.0416666666666657E-2</v>
          </cell>
          <cell r="N90">
            <v>1.7361111111111105E-2</v>
          </cell>
          <cell r="O90">
            <v>7.638888888888884E-2</v>
          </cell>
          <cell r="P90">
            <v>1.5972222222222235E-2</v>
          </cell>
          <cell r="Q90">
            <v>2.4305555555555552E-2</v>
          </cell>
          <cell r="R90">
            <v>4.1666666666666657E-2</v>
          </cell>
          <cell r="S90">
            <v>0.25208333333333327</v>
          </cell>
        </row>
        <row r="91">
          <cell r="A91" t="str">
            <v>16/5/2009</v>
          </cell>
          <cell r="B91" t="str">
            <v>RTI0011</v>
          </cell>
          <cell r="C91" t="str">
            <v>NIKSON SAMOSIR</v>
          </cell>
          <cell r="D91" t="str">
            <v>1039384;1039385</v>
          </cell>
          <cell r="E91" t="str">
            <v>P-PULF</v>
          </cell>
          <cell r="F91" t="str">
            <v>Pulp Transport</v>
          </cell>
          <cell r="G91">
            <v>120</v>
          </cell>
          <cell r="H91">
            <v>6.9444444444444475E-3</v>
          </cell>
          <cell r="I91">
            <v>1.3888888888888895E-2</v>
          </cell>
          <cell r="J91">
            <v>1.3888888888888881E-2</v>
          </cell>
          <cell r="K91">
            <v>1.3888888888888895E-2</v>
          </cell>
          <cell r="L91">
            <v>2.0833333333333315E-2</v>
          </cell>
          <cell r="M91">
            <v>1.7361111111111133E-2</v>
          </cell>
          <cell r="N91">
            <v>2.0833333333333343E-2</v>
          </cell>
          <cell r="O91">
            <v>7.638888888888884E-2</v>
          </cell>
          <cell r="P91">
            <v>1.7361111111111133E-2</v>
          </cell>
          <cell r="Q91">
            <v>2.4305555555555552E-2</v>
          </cell>
          <cell r="R91">
            <v>6.597222222222221E-2</v>
          </cell>
          <cell r="S91">
            <v>0.29166666666666663</v>
          </cell>
        </row>
        <row r="92">
          <cell r="A92" t="str">
            <v>16/5/2009</v>
          </cell>
          <cell r="B92" t="str">
            <v>RTI0009</v>
          </cell>
          <cell r="C92" t="str">
            <v>JAMALUDDIN IB</v>
          </cell>
          <cell r="D92" t="str">
            <v>1039382;1039383</v>
          </cell>
          <cell r="E92" t="str">
            <v>P-PULF</v>
          </cell>
          <cell r="F92" t="str">
            <v>Pulp Transport</v>
          </cell>
          <cell r="G92">
            <v>120</v>
          </cell>
          <cell r="H92">
            <v>6.9444444444444475E-3</v>
          </cell>
          <cell r="I92">
            <v>1.3888888888888895E-2</v>
          </cell>
          <cell r="J92">
            <v>1.3888888888888895E-2</v>
          </cell>
          <cell r="K92">
            <v>2.0833333333333315E-2</v>
          </cell>
          <cell r="L92">
            <v>2.7777777777777762E-2</v>
          </cell>
          <cell r="M92">
            <v>1.7361111111111133E-2</v>
          </cell>
          <cell r="N92">
            <v>1.7361111111111133E-2</v>
          </cell>
          <cell r="O92">
            <v>7.638888888888884E-2</v>
          </cell>
          <cell r="P92">
            <v>2.430555555555558E-2</v>
          </cell>
          <cell r="Q92">
            <v>2.083333333333337E-2</v>
          </cell>
          <cell r="R92">
            <v>4.513888888888884E-2</v>
          </cell>
          <cell r="S92">
            <v>0.28472222222222221</v>
          </cell>
        </row>
        <row r="93">
          <cell r="A93" t="str">
            <v>15/5/2009</v>
          </cell>
          <cell r="B93" t="str">
            <v>RTI0007</v>
          </cell>
          <cell r="C93" t="str">
            <v>M. JONTRA</v>
          </cell>
          <cell r="D93" t="str">
            <v>1039347;1039348</v>
          </cell>
          <cell r="E93" t="str">
            <v>P-PULF</v>
          </cell>
          <cell r="F93" t="str">
            <v>Pulp Transport</v>
          </cell>
          <cell r="G93">
            <v>120</v>
          </cell>
          <cell r="H93">
            <v>6.9444444444444475E-3</v>
          </cell>
          <cell r="I93">
            <v>2.0833333333333329E-2</v>
          </cell>
          <cell r="J93">
            <v>1.7361111111111105E-2</v>
          </cell>
          <cell r="K93">
            <v>1.5972222222222221E-2</v>
          </cell>
          <cell r="L93">
            <v>8.3333333333333454E-3</v>
          </cell>
          <cell r="M93">
            <v>1.7361111111111105E-2</v>
          </cell>
          <cell r="N93">
            <v>2.0138888888888901E-2</v>
          </cell>
          <cell r="O93">
            <v>7.638888888888884E-2</v>
          </cell>
          <cell r="P93">
            <v>2.4305555555555525E-2</v>
          </cell>
          <cell r="Q93">
            <v>2.4305555555555552E-2</v>
          </cell>
          <cell r="R93">
            <v>6.25E-2</v>
          </cell>
          <cell r="S93">
            <v>0.2944444444444444</v>
          </cell>
        </row>
        <row r="94">
          <cell r="A94" t="str">
            <v>16/052009</v>
          </cell>
          <cell r="B94" t="str">
            <v>RTI0018</v>
          </cell>
          <cell r="C94" t="str">
            <v>GANDA PASARIBU</v>
          </cell>
          <cell r="D94" t="str">
            <v>1039491;1039564</v>
          </cell>
          <cell r="E94" t="str">
            <v>P-PULF</v>
          </cell>
          <cell r="F94" t="str">
            <v>Pulp Transport</v>
          </cell>
          <cell r="G94">
            <v>120</v>
          </cell>
          <cell r="H94">
            <v>1.041666666666663E-2</v>
          </cell>
          <cell r="I94">
            <v>6.9444444444445308E-3</v>
          </cell>
          <cell r="J94">
            <v>4.8611111111111049E-2</v>
          </cell>
          <cell r="K94">
            <v>6.9444444444444198E-3</v>
          </cell>
          <cell r="L94">
            <v>2.4305555555555469E-2</v>
          </cell>
          <cell r="M94">
            <v>5.208333333333337E-2</v>
          </cell>
          <cell r="N94">
            <v>3.4722222222223209E-3</v>
          </cell>
          <cell r="O94">
            <v>0.125</v>
          </cell>
          <cell r="P94">
            <v>6.9444444444443088E-3</v>
          </cell>
          <cell r="Q94">
            <v>3.4722222222222321E-2</v>
          </cell>
          <cell r="R94">
            <v>0.11666666666666647</v>
          </cell>
          <cell r="S94">
            <v>0.43611111111111089</v>
          </cell>
        </row>
        <row r="95">
          <cell r="A95" t="str">
            <v>16/052009</v>
          </cell>
          <cell r="B95" t="str">
            <v>RTI0001</v>
          </cell>
          <cell r="C95" t="str">
            <v>JAMES SINAMBELA</v>
          </cell>
          <cell r="D95" t="str">
            <v>1039517;1039518</v>
          </cell>
          <cell r="E95" t="str">
            <v>P-PULF</v>
          </cell>
          <cell r="F95" t="str">
            <v>Pulp Transport</v>
          </cell>
          <cell r="G95">
            <v>120</v>
          </cell>
          <cell r="H95">
            <v>6.9444444444445308E-3</v>
          </cell>
          <cell r="I95">
            <v>2.083333333333337E-2</v>
          </cell>
          <cell r="J95">
            <v>2.7777777777777679E-2</v>
          </cell>
          <cell r="K95">
            <v>1.3888888888888951E-2</v>
          </cell>
          <cell r="L95">
            <v>1.7361111111111049E-2</v>
          </cell>
          <cell r="M95">
            <v>3.125E-2</v>
          </cell>
          <cell r="N95">
            <v>3.4722222222223209E-3</v>
          </cell>
          <cell r="O95">
            <v>0.125</v>
          </cell>
          <cell r="P95">
            <v>1.0416666666666741E-2</v>
          </cell>
          <cell r="Q95">
            <v>9.0277777777777679E-2</v>
          </cell>
          <cell r="R95">
            <v>8.3333333333333259E-2</v>
          </cell>
          <cell r="S95">
            <v>0.43055555555555558</v>
          </cell>
        </row>
        <row r="96">
          <cell r="A96" t="str">
            <v>16/052009</v>
          </cell>
          <cell r="B96" t="str">
            <v>RTI0006</v>
          </cell>
          <cell r="C96" t="str">
            <v>EKO MUSTANTO</v>
          </cell>
          <cell r="D96" t="str">
            <v>1039562;1039563</v>
          </cell>
          <cell r="E96" t="str">
            <v>P-PULF</v>
          </cell>
          <cell r="F96" t="str">
            <v>Pulp Transport</v>
          </cell>
          <cell r="G96">
            <v>120</v>
          </cell>
          <cell r="H96">
            <v>6.9444444444444198E-3</v>
          </cell>
          <cell r="I96">
            <v>3.6111111111111205E-2</v>
          </cell>
          <cell r="J96">
            <v>2.9861111111111005E-2</v>
          </cell>
          <cell r="K96">
            <v>3.4722222222222099E-3</v>
          </cell>
          <cell r="L96">
            <v>1.736111111111116E-2</v>
          </cell>
          <cell r="M96">
            <v>1.041666666666663E-2</v>
          </cell>
          <cell r="N96">
            <v>6.9444444444445308E-3</v>
          </cell>
          <cell r="O96">
            <v>7.638888888888884E-2</v>
          </cell>
          <cell r="P96">
            <v>1.041666666666663E-2</v>
          </cell>
          <cell r="Q96">
            <v>0.13541666666666674</v>
          </cell>
          <cell r="R96">
            <v>0.11458333333333337</v>
          </cell>
          <cell r="S96">
            <v>0.44791666666666674</v>
          </cell>
        </row>
        <row r="97">
          <cell r="A97" t="str">
            <v>16/052009</v>
          </cell>
          <cell r="B97" t="str">
            <v>RTI0005</v>
          </cell>
          <cell r="C97" t="str">
            <v>M. ISA GANI</v>
          </cell>
          <cell r="D97" t="str">
            <v>1039612;1039613</v>
          </cell>
          <cell r="E97" t="str">
            <v>P-PULF</v>
          </cell>
          <cell r="F97" t="str">
            <v>Pulp Transport</v>
          </cell>
          <cell r="G97">
            <v>120</v>
          </cell>
          <cell r="H97">
            <v>1.388888888888884E-2</v>
          </cell>
          <cell r="I97">
            <v>1.8055555555555602E-2</v>
          </cell>
          <cell r="J97">
            <v>2.3611111111111027E-2</v>
          </cell>
          <cell r="K97">
            <v>2.430555555555558E-2</v>
          </cell>
          <cell r="L97">
            <v>8.3333333333335258E-3</v>
          </cell>
          <cell r="M97">
            <v>1.041666666666663E-2</v>
          </cell>
          <cell r="N97">
            <v>3.4722222222222099E-3</v>
          </cell>
          <cell r="O97">
            <v>4.7222222222222221E-2</v>
          </cell>
          <cell r="P97">
            <v>2.7777777777777679E-2</v>
          </cell>
          <cell r="Q97">
            <v>2.0833333333333481E-2</v>
          </cell>
          <cell r="R97">
            <v>0.11458333333333326</v>
          </cell>
          <cell r="S97">
            <v>0.31250000000000006</v>
          </cell>
        </row>
        <row r="98">
          <cell r="A98" t="str">
            <v>16/052009</v>
          </cell>
          <cell r="B98" t="str">
            <v>RTI0001</v>
          </cell>
          <cell r="C98" t="str">
            <v>SULAIMAN. R</v>
          </cell>
          <cell r="D98" t="str">
            <v>1039852;1039853</v>
          </cell>
          <cell r="E98" t="str">
            <v>P-PULF</v>
          </cell>
          <cell r="F98" t="str">
            <v>Pulp Transport</v>
          </cell>
          <cell r="G98">
            <v>120</v>
          </cell>
          <cell r="H98">
            <v>6.9444444444444753E-3</v>
          </cell>
          <cell r="I98">
            <v>5.3472222222222199E-2</v>
          </cell>
          <cell r="J98">
            <v>3.6805555555555591E-2</v>
          </cell>
          <cell r="K98">
            <v>3.4722222222221544E-3</v>
          </cell>
          <cell r="L98">
            <v>1.9444444444444431E-2</v>
          </cell>
          <cell r="M98">
            <v>5.5555555555556468E-3</v>
          </cell>
          <cell r="N98">
            <v>4.1666666666666519E-3</v>
          </cell>
          <cell r="O98">
            <v>0.10277777777777775</v>
          </cell>
          <cell r="P98">
            <v>5.1388888888888873E-2</v>
          </cell>
          <cell r="Q98">
            <v>1.388888888888884E-3</v>
          </cell>
          <cell r="R98">
            <v>0.12083333333333335</v>
          </cell>
          <cell r="S98">
            <v>0.40625</v>
          </cell>
        </row>
        <row r="99">
          <cell r="A99" t="str">
            <v>16/052009</v>
          </cell>
          <cell r="B99" t="str">
            <v>RTI0010</v>
          </cell>
          <cell r="C99" t="str">
            <v>SUPARNO</v>
          </cell>
          <cell r="D99" t="str">
            <v>1039365;1039370</v>
          </cell>
          <cell r="E99" t="str">
            <v>P-PULF</v>
          </cell>
          <cell r="F99" t="str">
            <v>Pulp Transport</v>
          </cell>
          <cell r="G99">
            <v>120</v>
          </cell>
          <cell r="H99">
            <v>6.9444444444444198E-3</v>
          </cell>
          <cell r="I99">
            <v>5.4166666666666696E-2</v>
          </cell>
          <cell r="J99">
            <v>2.9166666666666619E-2</v>
          </cell>
          <cell r="K99">
            <v>3.4722222222222654E-3</v>
          </cell>
          <cell r="L99">
            <v>2.0833333333333315E-2</v>
          </cell>
          <cell r="M99">
            <v>1.0416666666666685E-2</v>
          </cell>
          <cell r="N99">
            <v>1.3888888888888895E-2</v>
          </cell>
          <cell r="O99">
            <v>0.13541666666666674</v>
          </cell>
          <cell r="P99">
            <v>2.7777777777777679E-2</v>
          </cell>
          <cell r="Q99">
            <v>4.8611111111112049E-3</v>
          </cell>
          <cell r="R99">
            <v>0.11805555555555536</v>
          </cell>
          <cell r="S99">
            <v>0.42499999999999988</v>
          </cell>
        </row>
        <row r="100">
          <cell r="A100" t="str">
            <v>16/052009</v>
          </cell>
          <cell r="B100" t="str">
            <v>BFI0002</v>
          </cell>
          <cell r="C100" t="str">
            <v>DONRY  IRVAN</v>
          </cell>
          <cell r="D100" t="str">
            <v>1039582;1039583</v>
          </cell>
          <cell r="E100" t="str">
            <v>P-PULF</v>
          </cell>
          <cell r="F100" t="str">
            <v>Pulp Transport</v>
          </cell>
          <cell r="G100">
            <v>144</v>
          </cell>
          <cell r="H100">
            <v>3.4722222222222099E-3</v>
          </cell>
          <cell r="I100">
            <v>5.5555555555555469E-2</v>
          </cell>
          <cell r="J100">
            <v>4.5138888888889062E-2</v>
          </cell>
          <cell r="K100">
            <v>3.125E-2</v>
          </cell>
          <cell r="L100">
            <v>2.1527777777777701E-2</v>
          </cell>
          <cell r="M100">
            <v>9.7222222222222987E-3</v>
          </cell>
          <cell r="N100">
            <v>3.4722222222220989E-3</v>
          </cell>
          <cell r="O100">
            <v>7.638888888888884E-2</v>
          </cell>
          <cell r="P100">
            <v>8.8194444444444464E-2</v>
          </cell>
          <cell r="Q100">
            <v>6.9444444444444198E-3</v>
          </cell>
          <cell r="R100">
            <v>0.13194444444444442</v>
          </cell>
          <cell r="S100">
            <v>0.47361111111111098</v>
          </cell>
        </row>
        <row r="101">
          <cell r="A101" t="str">
            <v>16/052009</v>
          </cell>
          <cell r="B101" t="str">
            <v>RTI0009</v>
          </cell>
          <cell r="C101" t="str">
            <v>RUSDI</v>
          </cell>
          <cell r="D101" t="str">
            <v>1039487;1039488</v>
          </cell>
          <cell r="E101" t="str">
            <v>P-PULF</v>
          </cell>
          <cell r="F101" t="str">
            <v>Pulp Transport</v>
          </cell>
          <cell r="G101">
            <v>120</v>
          </cell>
          <cell r="H101">
            <v>3.4722222222222099E-3</v>
          </cell>
          <cell r="I101">
            <v>1.5972222222222165E-2</v>
          </cell>
          <cell r="J101">
            <v>6.9444444444444198E-3</v>
          </cell>
          <cell r="K101">
            <v>3.6111111111111205E-2</v>
          </cell>
          <cell r="L101">
            <v>3.472222222222221E-2</v>
          </cell>
          <cell r="M101">
            <v>2.777777777777779E-2</v>
          </cell>
          <cell r="N101">
            <v>3.4722222222222099E-3</v>
          </cell>
          <cell r="O101">
            <v>7.638888888888884E-2</v>
          </cell>
          <cell r="P101">
            <v>3.4722222222223209E-3</v>
          </cell>
          <cell r="Q101">
            <v>6.9444444444444198E-3</v>
          </cell>
          <cell r="R101">
            <v>0.11111111111111116</v>
          </cell>
          <cell r="S101">
            <v>0.32638888888888895</v>
          </cell>
        </row>
        <row r="102">
          <cell r="A102" t="str">
            <v>16/052009</v>
          </cell>
          <cell r="B102" t="str">
            <v>BFI0001</v>
          </cell>
          <cell r="C102" t="str">
            <v>PEPEN EFFENDI</v>
          </cell>
          <cell r="D102" t="str">
            <v>1039565;1039566</v>
          </cell>
          <cell r="E102" t="str">
            <v>P-PULF</v>
          </cell>
          <cell r="F102" t="str">
            <v>Pulp Transport</v>
          </cell>
          <cell r="G102">
            <v>144</v>
          </cell>
          <cell r="H102">
            <v>6.2499999999999778E-3</v>
          </cell>
          <cell r="I102">
            <v>1.041666666666663E-2</v>
          </cell>
          <cell r="J102">
            <v>1.7361111111111112E-2</v>
          </cell>
          <cell r="K102">
            <v>2.430555555555558E-2</v>
          </cell>
          <cell r="L102">
            <v>2.083333333333337E-2</v>
          </cell>
          <cell r="M102">
            <v>1.736111111111116E-2</v>
          </cell>
          <cell r="N102">
            <v>1.3888888888888895E-2</v>
          </cell>
          <cell r="O102">
            <v>7.638888888888884E-2</v>
          </cell>
          <cell r="P102">
            <v>3.4722222222220989E-3</v>
          </cell>
          <cell r="Q102">
            <v>6.9444444444444198E-3</v>
          </cell>
          <cell r="R102">
            <v>8.680555555555558E-2</v>
          </cell>
          <cell r="S102">
            <v>0.28402777777777766</v>
          </cell>
        </row>
        <row r="103">
          <cell r="A103" t="str">
            <v>16/052009</v>
          </cell>
          <cell r="B103" t="str">
            <v>RTI0008</v>
          </cell>
          <cell r="C103" t="str">
            <v>M. NASIR</v>
          </cell>
          <cell r="D103" t="str">
            <v>1039603;1039603</v>
          </cell>
          <cell r="E103" t="str">
            <v>P-PULF</v>
          </cell>
          <cell r="F103" t="str">
            <v>Pulp Transport</v>
          </cell>
          <cell r="G103">
            <v>120</v>
          </cell>
          <cell r="H103">
            <v>3.2638888888888884E-2</v>
          </cell>
          <cell r="I103">
            <v>4.0972222222222188E-2</v>
          </cell>
          <cell r="J103">
            <v>3.3333333333333437E-2</v>
          </cell>
          <cell r="K103">
            <v>1.9444444444444375E-2</v>
          </cell>
          <cell r="L103">
            <v>8.3333333333333037E-3</v>
          </cell>
          <cell r="M103">
            <v>2.3611111111111027E-2</v>
          </cell>
          <cell r="N103">
            <v>1.3888888888888895E-2</v>
          </cell>
          <cell r="O103">
            <v>7.638888888888884E-2</v>
          </cell>
          <cell r="P103">
            <v>2.5694444444444464E-2</v>
          </cell>
          <cell r="Q103">
            <v>2.430555555555558E-2</v>
          </cell>
          <cell r="R103">
            <v>0.10069444444444464</v>
          </cell>
          <cell r="S103">
            <v>0.39930555555555564</v>
          </cell>
        </row>
        <row r="104">
          <cell r="A104" t="str">
            <v>16/052009</v>
          </cell>
          <cell r="B104" t="str">
            <v>RTI0018</v>
          </cell>
          <cell r="C104" t="str">
            <v>EKO MUSTANTO</v>
          </cell>
          <cell r="D104" t="str">
            <v>1039777;1039779</v>
          </cell>
          <cell r="E104" t="str">
            <v>P-PULF</v>
          </cell>
          <cell r="F104" t="str">
            <v>Pulp Transport</v>
          </cell>
          <cell r="G104">
            <v>120</v>
          </cell>
          <cell r="H104">
            <v>3.4722222222222099E-3</v>
          </cell>
          <cell r="I104">
            <v>5.2083333333333356E-2</v>
          </cell>
          <cell r="J104">
            <v>1.1805555555555541E-2</v>
          </cell>
          <cell r="K104">
            <v>9.0277777777777735E-3</v>
          </cell>
          <cell r="L104">
            <v>3.125E-2</v>
          </cell>
          <cell r="M104">
            <v>1.3888888888888895E-2</v>
          </cell>
          <cell r="N104">
            <v>3.4722222222222099E-3</v>
          </cell>
          <cell r="O104">
            <v>7.638888888888884E-2</v>
          </cell>
          <cell r="P104">
            <v>1.0416666666666741E-2</v>
          </cell>
          <cell r="Q104">
            <v>2.4305555555555469E-2</v>
          </cell>
          <cell r="R104">
            <v>0.10763888888888895</v>
          </cell>
          <cell r="S104">
            <v>0.34375</v>
          </cell>
        </row>
        <row r="105">
          <cell r="A105" t="str">
            <v>17/5/2009</v>
          </cell>
          <cell r="B105" t="str">
            <v>RTI0001</v>
          </cell>
          <cell r="C105" t="str">
            <v>JAMES SINAMBELA</v>
          </cell>
          <cell r="D105" t="str">
            <v>1040232;1040233</v>
          </cell>
          <cell r="E105" t="str">
            <v>P-PULF</v>
          </cell>
          <cell r="F105" t="str">
            <v>Pulp Transport</v>
          </cell>
          <cell r="G105">
            <v>120</v>
          </cell>
          <cell r="H105">
            <v>2.0833333333333333E-3</v>
          </cell>
          <cell r="I105">
            <v>1.1805555555555555E-2</v>
          </cell>
          <cell r="J105">
            <v>3.4722222222222238E-3</v>
          </cell>
          <cell r="K105">
            <v>1.0416666666666664E-2</v>
          </cell>
          <cell r="L105">
            <v>2.0833333333333336E-2</v>
          </cell>
          <cell r="M105">
            <v>1.1111111111111113E-2</v>
          </cell>
          <cell r="N105">
            <v>6.2500000000000003E-3</v>
          </cell>
          <cell r="O105">
            <v>0.125</v>
          </cell>
          <cell r="P105">
            <v>6.9444444444444475E-3</v>
          </cell>
          <cell r="Q105">
            <v>4.5138888888888895E-2</v>
          </cell>
          <cell r="R105">
            <v>7.9861111111111133E-2</v>
          </cell>
          <cell r="S105">
            <v>0.32291666666666669</v>
          </cell>
        </row>
        <row r="106">
          <cell r="A106" t="str">
            <v>15/5/2009</v>
          </cell>
          <cell r="B106" t="str">
            <v>RTI0004</v>
          </cell>
          <cell r="C106" t="str">
            <v>HENGKY FERNANDO</v>
          </cell>
          <cell r="D106" t="str">
            <v>1039363;1039364</v>
          </cell>
          <cell r="E106" t="str">
            <v>P-PULF</v>
          </cell>
          <cell r="F106" t="str">
            <v>Pulp Transport</v>
          </cell>
          <cell r="G106">
            <v>120</v>
          </cell>
          <cell r="H106">
            <v>1.0416666666666685E-2</v>
          </cell>
          <cell r="I106">
            <v>1.0416666666666657E-2</v>
          </cell>
          <cell r="J106">
            <v>1.3888888888888867E-2</v>
          </cell>
          <cell r="K106">
            <v>3.125E-2</v>
          </cell>
          <cell r="L106">
            <v>1.0416666666666685E-2</v>
          </cell>
          <cell r="M106">
            <v>6.9444444444444475E-3</v>
          </cell>
          <cell r="N106">
            <v>1.3888888888888895E-2</v>
          </cell>
          <cell r="O106">
            <v>7.638888888888884E-2</v>
          </cell>
          <cell r="P106">
            <v>7.0138888888888862E-2</v>
          </cell>
          <cell r="Q106">
            <v>3.3333333333333326E-2</v>
          </cell>
          <cell r="R106">
            <v>7.4305555555555625E-2</v>
          </cell>
          <cell r="S106">
            <v>0.35138888888888886</v>
          </cell>
        </row>
        <row r="107">
          <cell r="A107" t="str">
            <v>16/5/2009</v>
          </cell>
          <cell r="B107" t="str">
            <v>BFI0002</v>
          </cell>
          <cell r="C107" t="str">
            <v>NASIB</v>
          </cell>
          <cell r="D107" t="str">
            <v>1039432;1039434</v>
          </cell>
          <cell r="E107" t="str">
            <v>P-PULF</v>
          </cell>
          <cell r="F107" t="str">
            <v>Pulp Transport</v>
          </cell>
          <cell r="G107">
            <v>144</v>
          </cell>
          <cell r="H107">
            <v>1.0416666666666741E-2</v>
          </cell>
          <cell r="I107">
            <v>6.9444444444445308E-3</v>
          </cell>
          <cell r="J107">
            <v>3.819444444444442E-2</v>
          </cell>
          <cell r="K107">
            <v>3.4722222222220989E-3</v>
          </cell>
          <cell r="L107">
            <v>1.0416666666666741E-2</v>
          </cell>
          <cell r="M107">
            <v>1.388888888888884E-2</v>
          </cell>
          <cell r="N107">
            <v>3.4722222222223209E-3</v>
          </cell>
          <cell r="O107">
            <v>0.13888888888888884</v>
          </cell>
          <cell r="P107">
            <v>1.0416666666666519E-2</v>
          </cell>
          <cell r="Q107">
            <v>3.125E-2</v>
          </cell>
          <cell r="R107">
            <v>6.5972222222222321E-2</v>
          </cell>
          <cell r="S107">
            <v>0.33333333333333337</v>
          </cell>
        </row>
        <row r="108">
          <cell r="A108" t="str">
            <v>16/5/2009</v>
          </cell>
          <cell r="B108" t="str">
            <v>RTI0006</v>
          </cell>
          <cell r="C108" t="str">
            <v>EKO MUSTANTO</v>
          </cell>
          <cell r="D108" t="str">
            <v>1039349;1039433</v>
          </cell>
          <cell r="E108" t="str">
            <v>P-PULF</v>
          </cell>
          <cell r="F108" t="str">
            <v>Pulp Transport</v>
          </cell>
          <cell r="G108">
            <v>120</v>
          </cell>
          <cell r="H108">
            <v>1.388888888888884E-2</v>
          </cell>
          <cell r="I108">
            <v>6.9444444444445308E-3</v>
          </cell>
          <cell r="J108">
            <v>1.7361111111111112E-2</v>
          </cell>
          <cell r="K108">
            <v>3.4722222222223209E-3</v>
          </cell>
          <cell r="L108">
            <v>2.0833333333333259E-2</v>
          </cell>
          <cell r="M108">
            <v>3.8194444444444642E-2</v>
          </cell>
          <cell r="N108">
            <v>3.4722222222218768E-3</v>
          </cell>
          <cell r="O108">
            <v>0.15277777777777812</v>
          </cell>
          <cell r="P108">
            <v>2.847222222222201E-2</v>
          </cell>
          <cell r="Q108">
            <v>1.6666666666666607E-2</v>
          </cell>
          <cell r="R108">
            <v>9.375E-2</v>
          </cell>
          <cell r="S108">
            <v>0.39583333333333331</v>
          </cell>
        </row>
        <row r="109">
          <cell r="A109" t="str">
            <v>16/5/2009</v>
          </cell>
          <cell r="B109" t="str">
            <v>RTI0018</v>
          </cell>
          <cell r="C109" t="str">
            <v>SAFRI SIREGAR</v>
          </cell>
          <cell r="D109" t="str">
            <v>1039367;1039371</v>
          </cell>
          <cell r="E109" t="str">
            <v>P-PULF</v>
          </cell>
          <cell r="F109" t="str">
            <v>Pulp Transport</v>
          </cell>
          <cell r="G109">
            <v>120</v>
          </cell>
          <cell r="H109">
            <v>3.4722222222222654E-3</v>
          </cell>
          <cell r="I109">
            <v>6.9444444444444198E-3</v>
          </cell>
          <cell r="J109">
            <v>3.472222222222221E-2</v>
          </cell>
          <cell r="K109">
            <v>1.0416666666666685E-2</v>
          </cell>
          <cell r="L109">
            <v>3.4722222222221544E-3</v>
          </cell>
          <cell r="M109">
            <v>1.3888888888888951E-2</v>
          </cell>
          <cell r="N109">
            <v>6.9444444444444198E-3</v>
          </cell>
          <cell r="O109">
            <v>0.1076388888888889</v>
          </cell>
          <cell r="P109">
            <v>3.125E-2</v>
          </cell>
          <cell r="Q109">
            <v>3.4722222222222099E-3</v>
          </cell>
          <cell r="R109">
            <v>0.11111111111111116</v>
          </cell>
          <cell r="S109">
            <v>0.33333333333333337</v>
          </cell>
        </row>
        <row r="110">
          <cell r="A110" t="str">
            <v>16/5/2009</v>
          </cell>
          <cell r="B110" t="str">
            <v>RTI0002</v>
          </cell>
          <cell r="C110" t="str">
            <v xml:space="preserve">SAHRUM RAMBE </v>
          </cell>
          <cell r="D110" t="str">
            <v>1039350;1039351</v>
          </cell>
          <cell r="E110" t="str">
            <v>P-PULF</v>
          </cell>
          <cell r="F110" t="str">
            <v>Pulp Transport</v>
          </cell>
          <cell r="G110">
            <v>120</v>
          </cell>
          <cell r="H110">
            <v>6.9444444444444198E-3</v>
          </cell>
          <cell r="I110">
            <v>3.472222222222221E-2</v>
          </cell>
          <cell r="J110">
            <v>2.430555555555558E-2</v>
          </cell>
          <cell r="K110">
            <v>3.4722222222222099E-3</v>
          </cell>
          <cell r="L110">
            <v>1.3888888888888895E-2</v>
          </cell>
          <cell r="M110">
            <v>2.0833333333333315E-2</v>
          </cell>
          <cell r="N110">
            <v>1.1805555555555569E-2</v>
          </cell>
          <cell r="O110">
            <v>0.14236111111111116</v>
          </cell>
          <cell r="P110">
            <v>5.4861111111111138E-2</v>
          </cell>
          <cell r="Q110">
            <v>1.3888888888887729E-3</v>
          </cell>
          <cell r="R110">
            <v>9.5138888888888884E-2</v>
          </cell>
          <cell r="S110">
            <v>0.40972222222222215</v>
          </cell>
        </row>
        <row r="111">
          <cell r="A111" t="str">
            <v>16/5/2009</v>
          </cell>
          <cell r="B111" t="str">
            <v>RTI0020</v>
          </cell>
          <cell r="C111" t="str">
            <v>SULAIMAN. R</v>
          </cell>
          <cell r="D111" t="str">
            <v>1039482;1039483</v>
          </cell>
          <cell r="E111" t="str">
            <v>P-PULF</v>
          </cell>
          <cell r="F111" t="str">
            <v>Pulp Transport</v>
          </cell>
          <cell r="G111">
            <v>120</v>
          </cell>
          <cell r="H111">
            <v>6.9444444444444198E-3</v>
          </cell>
          <cell r="I111">
            <v>1.8055555555555547E-2</v>
          </cell>
          <cell r="J111">
            <v>3.5416666666666652E-2</v>
          </cell>
          <cell r="K111">
            <v>1.388888888888884E-3</v>
          </cell>
          <cell r="L111">
            <v>1.8055555555555547E-2</v>
          </cell>
          <cell r="M111">
            <v>1.736111111111116E-2</v>
          </cell>
          <cell r="N111">
            <v>2.9166666666666674E-2</v>
          </cell>
          <cell r="O111">
            <v>7.638888888888884E-2</v>
          </cell>
          <cell r="P111">
            <v>2.7777777777777679E-2</v>
          </cell>
          <cell r="Q111">
            <v>1.388888888888884E-2</v>
          </cell>
          <cell r="R111">
            <v>9.375E-2</v>
          </cell>
          <cell r="S111">
            <v>0.33819444444444424</v>
          </cell>
        </row>
        <row r="112">
          <cell r="A112" t="str">
            <v>16/5/2009</v>
          </cell>
          <cell r="B112" t="str">
            <v>RTI0008</v>
          </cell>
          <cell r="C112" t="str">
            <v>SUPARNO</v>
          </cell>
          <cell r="D112" t="str">
            <v>1039470;1039471</v>
          </cell>
          <cell r="E112" t="str">
            <v>P-PULF</v>
          </cell>
          <cell r="F112" t="str">
            <v>Pulp Transport</v>
          </cell>
          <cell r="G112">
            <v>120</v>
          </cell>
          <cell r="H112">
            <v>6.9444444444445308E-3</v>
          </cell>
          <cell r="I112">
            <v>6.9444444444445308E-3</v>
          </cell>
          <cell r="J112">
            <v>3.4722222222222321E-2</v>
          </cell>
          <cell r="K112">
            <v>3.4722222222220989E-3</v>
          </cell>
          <cell r="L112">
            <v>1.0416666666666519E-2</v>
          </cell>
          <cell r="M112">
            <v>6.9444444444444642E-2</v>
          </cell>
          <cell r="N112">
            <v>6.9444444444444198E-3</v>
          </cell>
          <cell r="O112">
            <v>7.638888888888884E-2</v>
          </cell>
          <cell r="P112">
            <v>4.1666666666666741E-2</v>
          </cell>
          <cell r="Q112">
            <v>3.4722222222220989E-3</v>
          </cell>
          <cell r="R112">
            <v>0.10416666666666652</v>
          </cell>
          <cell r="S112">
            <v>0.36458333333333326</v>
          </cell>
        </row>
        <row r="113">
          <cell r="A113" t="str">
            <v>16/5/2009</v>
          </cell>
          <cell r="B113" t="str">
            <v>BFI0001</v>
          </cell>
          <cell r="C113" t="str">
            <v>NIRMAN</v>
          </cell>
          <cell r="D113" t="str">
            <v>1039435;1039437</v>
          </cell>
          <cell r="E113" t="str">
            <v>P-PULF</v>
          </cell>
          <cell r="F113" t="str">
            <v>Pulp Transport</v>
          </cell>
          <cell r="G113">
            <v>144</v>
          </cell>
          <cell r="H113">
            <v>1.0416666666666741E-2</v>
          </cell>
          <cell r="I113">
            <v>6.9444444444445308E-3</v>
          </cell>
          <cell r="J113">
            <v>1.7361111111111112E-2</v>
          </cell>
          <cell r="K113">
            <v>2.430555555555558E-2</v>
          </cell>
          <cell r="L113">
            <v>2.4305555555555469E-2</v>
          </cell>
          <cell r="M113">
            <v>1.0416666666666741E-2</v>
          </cell>
          <cell r="N113">
            <v>6.9444444444441977E-3</v>
          </cell>
          <cell r="O113">
            <v>0.14236111111111138</v>
          </cell>
          <cell r="P113">
            <v>1.3888888888888618E-2</v>
          </cell>
          <cell r="Q113">
            <v>4.1666666666666741E-2</v>
          </cell>
          <cell r="R113">
            <v>0.10763888888888906</v>
          </cell>
          <cell r="S113">
            <v>0.40625000000000017</v>
          </cell>
        </row>
        <row r="114">
          <cell r="A114" t="str">
            <v>16/5/2009</v>
          </cell>
          <cell r="B114" t="str">
            <v>RTI0005</v>
          </cell>
          <cell r="C114" t="str">
            <v>PARDAMEAN T</v>
          </cell>
          <cell r="D114" t="str">
            <v>1039484;1039485</v>
          </cell>
          <cell r="E114" t="str">
            <v>P-PULF</v>
          </cell>
          <cell r="F114" t="str">
            <v>Pulp Transport</v>
          </cell>
          <cell r="G114">
            <v>120</v>
          </cell>
          <cell r="H114">
            <v>1.041666666666663E-2</v>
          </cell>
          <cell r="I114">
            <v>6.9444444444445308E-3</v>
          </cell>
          <cell r="J114">
            <v>2.430555555555558E-2</v>
          </cell>
          <cell r="K114">
            <v>3.4722222222220989E-3</v>
          </cell>
          <cell r="L114">
            <v>6.9444444444445308E-3</v>
          </cell>
          <cell r="M114">
            <v>7.6388888888888618E-3</v>
          </cell>
          <cell r="N114">
            <v>9.7222222222221877E-3</v>
          </cell>
          <cell r="O114">
            <v>9.6527777777777768E-2</v>
          </cell>
          <cell r="P114">
            <v>1.0416666666666741E-2</v>
          </cell>
          <cell r="Q114">
            <v>4.9305555555555491E-2</v>
          </cell>
          <cell r="R114">
            <v>5.208333333333337E-2</v>
          </cell>
          <cell r="S114">
            <v>0.27777777777777779</v>
          </cell>
        </row>
        <row r="115">
          <cell r="A115" t="str">
            <v>16/5/2009</v>
          </cell>
          <cell r="B115" t="str">
            <v>RTI0002</v>
          </cell>
          <cell r="C115" t="str">
            <v>J.R. SINAGA</v>
          </cell>
          <cell r="D115" t="str">
            <v>1039489;1039490</v>
          </cell>
          <cell r="E115" t="str">
            <v>P-PULF</v>
          </cell>
          <cell r="F115" t="str">
            <v>Pulp Transport</v>
          </cell>
          <cell r="G115">
            <v>120</v>
          </cell>
          <cell r="H115">
            <v>1.041666666666663E-2</v>
          </cell>
          <cell r="I115">
            <v>1.388888888888884E-2</v>
          </cell>
          <cell r="J115">
            <v>2.4305555555555691E-2</v>
          </cell>
          <cell r="K115">
            <v>3.4722222222222099E-3</v>
          </cell>
          <cell r="L115">
            <v>2.1527777777777701E-2</v>
          </cell>
          <cell r="M115">
            <v>3.0555555555555558E-2</v>
          </cell>
          <cell r="N115">
            <v>3.4722222222222099E-3</v>
          </cell>
          <cell r="O115">
            <v>7.0833333333333415E-2</v>
          </cell>
          <cell r="P115">
            <v>2.9861111111111116E-2</v>
          </cell>
          <cell r="Q115">
            <v>2.430555555555558E-2</v>
          </cell>
          <cell r="R115">
            <v>5.2083333333333259E-2</v>
          </cell>
          <cell r="S115">
            <v>0.28472222222222221</v>
          </cell>
        </row>
        <row r="116">
          <cell r="A116" t="str">
            <v>16/5/2009</v>
          </cell>
          <cell r="B116" t="str">
            <v>RTI0020</v>
          </cell>
          <cell r="C116" t="str">
            <v>AGUS SIAHAAN</v>
          </cell>
          <cell r="D116" t="str">
            <v>1039519;1039595</v>
          </cell>
          <cell r="E116" t="str">
            <v>P-PULF</v>
          </cell>
          <cell r="F116" t="str">
            <v>Pulp Transport</v>
          </cell>
          <cell r="G116">
            <v>120</v>
          </cell>
          <cell r="H116">
            <v>1.3194444444444398E-2</v>
          </cell>
          <cell r="I116">
            <v>2.7777777777777901E-2</v>
          </cell>
          <cell r="J116">
            <v>1.5277777777777724E-2</v>
          </cell>
          <cell r="K116">
            <v>5.5555555555555358E-3</v>
          </cell>
          <cell r="L116">
            <v>1.736111111111116E-2</v>
          </cell>
          <cell r="M116">
            <v>4.8611111111111049E-2</v>
          </cell>
          <cell r="N116">
            <v>1.3888888888888895E-2</v>
          </cell>
          <cell r="O116">
            <v>7.638888888888884E-2</v>
          </cell>
          <cell r="P116">
            <v>1.0416666666666741E-2</v>
          </cell>
          <cell r="Q116">
            <v>1.736111111111116E-2</v>
          </cell>
          <cell r="R116">
            <v>0.10763888888888884</v>
          </cell>
          <cell r="S116">
            <v>0.35347222222222224</v>
          </cell>
        </row>
        <row r="117">
          <cell r="A117" t="str">
            <v>16/5/2009</v>
          </cell>
          <cell r="B117" t="str">
            <v>BFI0001</v>
          </cell>
          <cell r="C117" t="str">
            <v>PEPEN EFFENDI</v>
          </cell>
          <cell r="D117" t="str">
            <v>1039721;1039812</v>
          </cell>
          <cell r="E117" t="str">
            <v>P-PULF</v>
          </cell>
          <cell r="F117" t="str">
            <v>Pulp Transport</v>
          </cell>
          <cell r="G117">
            <v>144</v>
          </cell>
          <cell r="H117">
            <v>6.9444444444444475E-3</v>
          </cell>
          <cell r="I117">
            <v>3.819444444444442E-2</v>
          </cell>
          <cell r="J117">
            <v>1.7361111111111133E-2</v>
          </cell>
          <cell r="K117">
            <v>2.430555555555558E-2</v>
          </cell>
          <cell r="L117">
            <v>1.7361111111111105E-2</v>
          </cell>
          <cell r="M117">
            <v>3.4722222222222099E-3</v>
          </cell>
          <cell r="N117">
            <v>2.777777777777779E-2</v>
          </cell>
          <cell r="O117">
            <v>0.10416666666666663</v>
          </cell>
          <cell r="P117">
            <v>6.9444444444445308E-3</v>
          </cell>
          <cell r="Q117">
            <v>2.7777777777777735E-2</v>
          </cell>
          <cell r="R117">
            <v>0.22569444444444442</v>
          </cell>
          <cell r="S117">
            <v>0.5</v>
          </cell>
        </row>
        <row r="118">
          <cell r="A118" t="str">
            <v>16/5/2009</v>
          </cell>
          <cell r="B118" t="str">
            <v>RTI0008</v>
          </cell>
          <cell r="C118" t="str">
            <v>M. NASIR</v>
          </cell>
          <cell r="D118" t="str">
            <v>1039776;1039778</v>
          </cell>
          <cell r="E118" t="str">
            <v>P-PULF</v>
          </cell>
          <cell r="F118" t="str">
            <v>Pulp Transport</v>
          </cell>
          <cell r="G118">
            <v>120</v>
          </cell>
          <cell r="H118">
            <v>1.0416666666666685E-2</v>
          </cell>
          <cell r="I118">
            <v>2.9861111111111116E-2</v>
          </cell>
          <cell r="J118">
            <v>6.9444444444444475E-3</v>
          </cell>
          <cell r="K118">
            <v>2.2222222222222227E-2</v>
          </cell>
          <cell r="L118">
            <v>1.7361111111111077E-2</v>
          </cell>
          <cell r="M118">
            <v>4.8611111111111105E-2</v>
          </cell>
          <cell r="N118">
            <v>3.4722222222222099E-3</v>
          </cell>
          <cell r="O118">
            <v>0.11041666666666666</v>
          </cell>
          <cell r="P118">
            <v>3.5416666666666707E-2</v>
          </cell>
          <cell r="Q118">
            <v>3.4722222222222099E-3</v>
          </cell>
          <cell r="R118">
            <v>7.291666666666663E-2</v>
          </cell>
          <cell r="S118">
            <v>0.36111111111111105</v>
          </cell>
        </row>
        <row r="119">
          <cell r="A119" t="str">
            <v>16/5/2009</v>
          </cell>
          <cell r="B119" t="str">
            <v>RTI0004</v>
          </cell>
          <cell r="C119" t="str">
            <v>M. ISA GANI</v>
          </cell>
          <cell r="D119" t="str">
            <v>1039781;1039803</v>
          </cell>
          <cell r="E119" t="str">
            <v>P-PULF</v>
          </cell>
          <cell r="F119" t="str">
            <v>Pulp Transport</v>
          </cell>
          <cell r="G119">
            <v>120</v>
          </cell>
          <cell r="H119">
            <v>1.388888888888884E-3</v>
          </cell>
          <cell r="I119">
            <v>4.7222222222222221E-2</v>
          </cell>
          <cell r="J119">
            <v>2.777777777777779E-2</v>
          </cell>
          <cell r="K119">
            <v>2.430555555555558E-2</v>
          </cell>
          <cell r="L119">
            <v>1.0416666666666685E-2</v>
          </cell>
          <cell r="M119">
            <v>5.4861111111111083E-2</v>
          </cell>
          <cell r="N119">
            <v>4.1666666666666519E-3</v>
          </cell>
          <cell r="O119">
            <v>7.638888888888884E-2</v>
          </cell>
          <cell r="P119">
            <v>6.597222222222221E-2</v>
          </cell>
          <cell r="Q119">
            <v>4.1666666666666519E-3</v>
          </cell>
          <cell r="R119">
            <v>7.7777777777777835E-2</v>
          </cell>
          <cell r="S119">
            <v>0.39444444444444443</v>
          </cell>
        </row>
        <row r="120">
          <cell r="A120" t="str">
            <v>16/5/2009</v>
          </cell>
          <cell r="B120" t="str">
            <v>RTI0002</v>
          </cell>
          <cell r="C120" t="str">
            <v>J.R. SINAGA</v>
          </cell>
          <cell r="D120" t="str">
            <v>1039655;1039659</v>
          </cell>
          <cell r="E120" t="str">
            <v>P-PULF</v>
          </cell>
          <cell r="F120" t="str">
            <v>Pulp Transport</v>
          </cell>
          <cell r="G120">
            <v>120</v>
          </cell>
          <cell r="H120">
            <v>2.5694444444444464E-2</v>
          </cell>
          <cell r="I120">
            <v>2.2916666666666585E-2</v>
          </cell>
          <cell r="J120">
            <v>1.7361111111111112E-2</v>
          </cell>
          <cell r="K120">
            <v>1.3888888888889062E-2</v>
          </cell>
          <cell r="L120">
            <v>1.0416666666666519E-2</v>
          </cell>
          <cell r="M120">
            <v>3.4722222222223209E-3</v>
          </cell>
          <cell r="N120">
            <v>1.3888888888888895E-2</v>
          </cell>
          <cell r="O120">
            <v>4.861111111111116E-2</v>
          </cell>
          <cell r="P120">
            <v>1.388888888888884E-2</v>
          </cell>
          <cell r="Q120">
            <v>1.736111111111116E-2</v>
          </cell>
          <cell r="R120">
            <v>0.1527777777777779</v>
          </cell>
          <cell r="S120">
            <v>0.34027777777777801</v>
          </cell>
        </row>
        <row r="121">
          <cell r="A121" t="str">
            <v>17/5/2009</v>
          </cell>
          <cell r="B121" t="str">
            <v>BFI0001</v>
          </cell>
          <cell r="C121" t="str">
            <v xml:space="preserve">SAHRUM RAMBE </v>
          </cell>
          <cell r="D121" t="str">
            <v>1039933;1039934</v>
          </cell>
          <cell r="E121" t="str">
            <v>P-PULF</v>
          </cell>
          <cell r="F121" t="str">
            <v>Pulp Transport</v>
          </cell>
          <cell r="G121">
            <v>144</v>
          </cell>
          <cell r="H121">
            <v>1.041666666666663E-2</v>
          </cell>
          <cell r="I121">
            <v>6.9444444444445308E-3</v>
          </cell>
          <cell r="J121">
            <v>1.8750000000000044E-2</v>
          </cell>
          <cell r="K121">
            <v>2.430555555555558E-2</v>
          </cell>
          <cell r="L121">
            <v>1.1111111111111072E-2</v>
          </cell>
          <cell r="M121">
            <v>1.1805555555555569E-2</v>
          </cell>
          <cell r="N121">
            <v>1.3888888888888895E-2</v>
          </cell>
          <cell r="O121">
            <v>0.10416666666666669</v>
          </cell>
          <cell r="P121">
            <v>8.333333333333337E-2</v>
          </cell>
          <cell r="Q121">
            <v>5.5555555555555469E-2</v>
          </cell>
          <cell r="R121">
            <v>0.11111111111111116</v>
          </cell>
          <cell r="S121">
            <v>0.45138888888888901</v>
          </cell>
        </row>
        <row r="122">
          <cell r="A122" t="str">
            <v>17/5/2009</v>
          </cell>
          <cell r="B122" t="str">
            <v>RTI0009</v>
          </cell>
          <cell r="C122" t="str">
            <v>HALOMOAN PASARIBU</v>
          </cell>
          <cell r="D122" t="str">
            <v>1040103;1040104</v>
          </cell>
          <cell r="E122" t="str">
            <v>P-PULF</v>
          </cell>
          <cell r="F122" t="str">
            <v>Pulp Transport</v>
          </cell>
          <cell r="G122">
            <v>120</v>
          </cell>
          <cell r="H122">
            <v>3.4722222222223209E-3</v>
          </cell>
          <cell r="I122">
            <v>1.2499999999999845E-2</v>
          </cell>
          <cell r="J122">
            <v>2.5000000000000133E-2</v>
          </cell>
          <cell r="K122">
            <v>6.9444444444444198E-3</v>
          </cell>
          <cell r="L122">
            <v>1.8055555555555602E-2</v>
          </cell>
          <cell r="M122">
            <v>1.041666666666663E-2</v>
          </cell>
          <cell r="N122">
            <v>3.4722222222222099E-3</v>
          </cell>
          <cell r="O122">
            <v>0.1597222222222221</v>
          </cell>
          <cell r="P122">
            <v>6.9444444444446418E-3</v>
          </cell>
          <cell r="Q122">
            <v>0.11458333333333326</v>
          </cell>
          <cell r="R122">
            <v>0.125</v>
          </cell>
          <cell r="S122">
            <v>0.48611111111111116</v>
          </cell>
        </row>
        <row r="123">
          <cell r="A123" t="str">
            <v>17/5/2009</v>
          </cell>
          <cell r="B123" t="str">
            <v>BFI0002</v>
          </cell>
          <cell r="C123" t="str">
            <v>DONRY  IRVAN</v>
          </cell>
          <cell r="D123" t="str">
            <v>1040152;1040154</v>
          </cell>
          <cell r="E123" t="str">
            <v>P-PULF</v>
          </cell>
          <cell r="F123" t="str">
            <v>Pulp Transport</v>
          </cell>
          <cell r="G123">
            <v>144</v>
          </cell>
          <cell r="H123">
            <v>1.041666666666663E-2</v>
          </cell>
          <cell r="I123">
            <v>1.7361111111111049E-2</v>
          </cell>
          <cell r="J123">
            <v>5.555555555555558E-2</v>
          </cell>
          <cell r="K123">
            <v>3.472222222222221E-2</v>
          </cell>
          <cell r="L123">
            <v>1.388888888888884E-2</v>
          </cell>
          <cell r="M123">
            <v>2.083333333333337E-2</v>
          </cell>
          <cell r="N123">
            <v>3.4722222222223209E-3</v>
          </cell>
          <cell r="O123">
            <v>9.3749999999999889E-2</v>
          </cell>
          <cell r="P123">
            <v>6.9444444444444198E-3</v>
          </cell>
          <cell r="Q123">
            <v>0.10277777777777786</v>
          </cell>
          <cell r="R123">
            <v>0.10902777777777772</v>
          </cell>
          <cell r="S123">
            <v>0.46874999999999989</v>
          </cell>
        </row>
        <row r="124">
          <cell r="A124" t="str">
            <v>17/5/2009</v>
          </cell>
          <cell r="B124" t="str">
            <v>RTI0006</v>
          </cell>
          <cell r="C124" t="str">
            <v>YULIANTO</v>
          </cell>
          <cell r="D124" t="str">
            <v>1040071;1040102</v>
          </cell>
          <cell r="E124" t="str">
            <v>P-PULF</v>
          </cell>
          <cell r="F124" t="str">
            <v>Pulp Transport</v>
          </cell>
          <cell r="G124">
            <v>120</v>
          </cell>
          <cell r="H124">
            <v>3.4722222222223209E-3</v>
          </cell>
          <cell r="I124">
            <v>6.9444444444444309E-2</v>
          </cell>
          <cell r="J124">
            <v>3.4722222222222321E-2</v>
          </cell>
          <cell r="K124">
            <v>2.430555555555558E-2</v>
          </cell>
          <cell r="L124">
            <v>3.4722222222222099E-3</v>
          </cell>
          <cell r="M124">
            <v>1.736111111111116E-2</v>
          </cell>
          <cell r="N124">
            <v>1.041666666666663E-2</v>
          </cell>
          <cell r="O124">
            <v>7.638888888888884E-2</v>
          </cell>
          <cell r="P124">
            <v>8.333333333333337E-2</v>
          </cell>
          <cell r="Q124">
            <v>0.13749999999999996</v>
          </cell>
          <cell r="R124">
            <v>7.0833333333333304E-2</v>
          </cell>
          <cell r="S124">
            <v>0.53125</v>
          </cell>
        </row>
        <row r="125">
          <cell r="A125" t="str">
            <v>17/5/2009</v>
          </cell>
          <cell r="B125" t="str">
            <v>RTI0007</v>
          </cell>
          <cell r="C125" t="str">
            <v>M. JONTRA</v>
          </cell>
          <cell r="D125" t="str">
            <v>1039780;1039818</v>
          </cell>
          <cell r="E125" t="str">
            <v>P-PULF</v>
          </cell>
          <cell r="F125" t="str">
            <v>Pulp Transport</v>
          </cell>
          <cell r="G125">
            <v>120</v>
          </cell>
          <cell r="H125">
            <v>1.736111111111116E-2</v>
          </cell>
          <cell r="I125">
            <v>6.9444444444445308E-3</v>
          </cell>
          <cell r="J125">
            <v>3.819444444444442E-2</v>
          </cell>
          <cell r="K125">
            <v>1.7361111111111105E-2</v>
          </cell>
          <cell r="L125">
            <v>2.430555555555558E-2</v>
          </cell>
          <cell r="M125">
            <v>1.388888888888884E-2</v>
          </cell>
          <cell r="N125">
            <v>3.4722222222222654E-3</v>
          </cell>
          <cell r="O125">
            <v>0.11805555555555558</v>
          </cell>
          <cell r="P125">
            <v>2.7777777777777735E-2</v>
          </cell>
          <cell r="Q125">
            <v>2.430555555555558E-2</v>
          </cell>
          <cell r="R125">
            <v>15.076388888888889</v>
          </cell>
          <cell r="S125">
            <v>15.368055555555555</v>
          </cell>
        </row>
        <row r="126">
          <cell r="A126" t="str">
            <v>17/5/2009</v>
          </cell>
          <cell r="B126" t="str">
            <v>RTI0008</v>
          </cell>
          <cell r="C126" t="str">
            <v>GANDA PASARIBU</v>
          </cell>
          <cell r="D126" t="str">
            <v>1039892;1039894</v>
          </cell>
          <cell r="E126" t="str">
            <v>P-PULF</v>
          </cell>
          <cell r="F126" t="str">
            <v>Pulp Transport</v>
          </cell>
          <cell r="G126">
            <v>120</v>
          </cell>
          <cell r="H126">
            <v>6.9444444444444753E-3</v>
          </cell>
          <cell r="I126">
            <v>6.9444444444444198E-3</v>
          </cell>
          <cell r="J126">
            <v>3.4722222222222321E-2</v>
          </cell>
          <cell r="K126">
            <v>6.9444444444444198E-3</v>
          </cell>
          <cell r="L126">
            <v>3.4722222222222099E-3</v>
          </cell>
          <cell r="M126">
            <v>1.041666666666663E-2</v>
          </cell>
          <cell r="N126">
            <v>3.4722222222222099E-3</v>
          </cell>
          <cell r="O126">
            <v>9.722222222222221E-2</v>
          </cell>
          <cell r="P126">
            <v>2.430555555555558E-2</v>
          </cell>
          <cell r="Q126">
            <v>3.4722222222223209E-3</v>
          </cell>
          <cell r="R126">
            <v>8.6805555555555469E-2</v>
          </cell>
          <cell r="S126">
            <v>0.28472222222222227</v>
          </cell>
        </row>
        <row r="127">
          <cell r="A127" t="str">
            <v>17/5/2009</v>
          </cell>
          <cell r="B127" t="str">
            <v>RTI0009</v>
          </cell>
          <cell r="C127" t="str">
            <v>MARLIN SAMOSIR</v>
          </cell>
          <cell r="D127" t="str">
            <v>1039935;1039936</v>
          </cell>
          <cell r="E127" t="str">
            <v>P-PULF</v>
          </cell>
          <cell r="F127" t="str">
            <v>Pulp Transport</v>
          </cell>
          <cell r="G127">
            <v>120</v>
          </cell>
          <cell r="H127">
            <v>3.4722222222222099E-3</v>
          </cell>
          <cell r="I127">
            <v>6.9444444444445308E-3</v>
          </cell>
          <cell r="J127">
            <v>1.1805555555555514E-2</v>
          </cell>
          <cell r="K127">
            <v>2.5694444444444409E-2</v>
          </cell>
          <cell r="L127">
            <v>9.0277777777777457E-3</v>
          </cell>
          <cell r="M127">
            <v>1.0416666666666741E-2</v>
          </cell>
          <cell r="N127">
            <v>3.4722222222222099E-3</v>
          </cell>
          <cell r="O127">
            <v>0.13194444444444442</v>
          </cell>
          <cell r="P127">
            <v>6.9444444444444198E-3</v>
          </cell>
          <cell r="Q127">
            <v>1.041666666666663E-2</v>
          </cell>
          <cell r="R127">
            <v>0.11111111111111116</v>
          </cell>
          <cell r="S127">
            <v>0.33124999999999999</v>
          </cell>
        </row>
        <row r="128">
          <cell r="A128" t="str">
            <v>17/5/2009</v>
          </cell>
          <cell r="B128" t="str">
            <v>RTI0006</v>
          </cell>
          <cell r="C128" t="str">
            <v>NASIB</v>
          </cell>
          <cell r="D128" t="str">
            <v>1039937;1039938</v>
          </cell>
          <cell r="E128" t="str">
            <v>P-PULF</v>
          </cell>
          <cell r="F128" t="str">
            <v>Pulp Transport</v>
          </cell>
          <cell r="G128">
            <v>120</v>
          </cell>
          <cell r="H128">
            <v>6.9444444444444198E-3</v>
          </cell>
          <cell r="I128">
            <v>3.4722222222222265E-2</v>
          </cell>
          <cell r="J128">
            <v>2.7777777777777735E-2</v>
          </cell>
          <cell r="K128">
            <v>3.4722222222222099E-3</v>
          </cell>
          <cell r="L128">
            <v>3.4722222222222099E-3</v>
          </cell>
          <cell r="M128">
            <v>1.3888888888888951E-2</v>
          </cell>
          <cell r="N128">
            <v>3.4722222222222099E-3</v>
          </cell>
          <cell r="O128">
            <v>0.10416666666666663</v>
          </cell>
          <cell r="P128">
            <v>2.7777777777777679E-2</v>
          </cell>
          <cell r="Q128">
            <v>3.125E-2</v>
          </cell>
          <cell r="R128">
            <v>0.10069444444444442</v>
          </cell>
          <cell r="S128">
            <v>0.35763888888888873</v>
          </cell>
        </row>
        <row r="129">
          <cell r="A129" t="str">
            <v>17/5/2009</v>
          </cell>
          <cell r="B129" t="str">
            <v>RTI0001</v>
          </cell>
          <cell r="C129" t="str">
            <v>JAMES SINAMBELA</v>
          </cell>
          <cell r="D129" t="str">
            <v>1039981;1040013</v>
          </cell>
          <cell r="E129" t="str">
            <v>P-PULF</v>
          </cell>
          <cell r="F129" t="str">
            <v>Pulp Transport</v>
          </cell>
          <cell r="G129">
            <v>120</v>
          </cell>
          <cell r="H129">
            <v>3.4722222222220989E-3</v>
          </cell>
          <cell r="I129">
            <v>2.2916666666666696E-2</v>
          </cell>
          <cell r="J129">
            <v>2.2222222222222254E-2</v>
          </cell>
          <cell r="K129">
            <v>6.9444444444445308E-3</v>
          </cell>
          <cell r="L129">
            <v>4.166666666666663E-2</v>
          </cell>
          <cell r="M129">
            <v>5.5555555555555469E-2</v>
          </cell>
          <cell r="N129">
            <v>3.4722222222222099E-3</v>
          </cell>
          <cell r="O129">
            <v>8.6805555555555691E-2</v>
          </cell>
          <cell r="P129">
            <v>2.7777777777777679E-2</v>
          </cell>
          <cell r="Q129">
            <v>2.083333333333337E-2</v>
          </cell>
          <cell r="R129">
            <v>0.10763888888888884</v>
          </cell>
          <cell r="S129">
            <v>0.39930555555555547</v>
          </cell>
        </row>
        <row r="130">
          <cell r="A130" t="str">
            <v>17/5/2009</v>
          </cell>
          <cell r="B130" t="str">
            <v>BFI0001</v>
          </cell>
          <cell r="C130" t="str">
            <v>PEPEN EFFENDI</v>
          </cell>
          <cell r="D130" t="str">
            <v>1040015;1040018</v>
          </cell>
          <cell r="E130" t="str">
            <v>P-PULF</v>
          </cell>
          <cell r="F130" t="str">
            <v>Pulp Transport</v>
          </cell>
          <cell r="G130">
            <v>144</v>
          </cell>
          <cell r="H130">
            <v>6.9444444444444198E-3</v>
          </cell>
          <cell r="I130">
            <v>1.4583333333333393E-2</v>
          </cell>
          <cell r="J130">
            <v>3.7499999999999978E-2</v>
          </cell>
          <cell r="K130">
            <v>4.1666666666666519E-3</v>
          </cell>
          <cell r="L130">
            <v>3.125E-2</v>
          </cell>
          <cell r="M130">
            <v>9.7222222222222987E-3</v>
          </cell>
          <cell r="N130">
            <v>2.9861111111111005E-2</v>
          </cell>
          <cell r="O130">
            <v>8.333333333333337E-2</v>
          </cell>
          <cell r="P130">
            <v>6.25E-2</v>
          </cell>
          <cell r="Q130">
            <v>3.4722222222222099E-3</v>
          </cell>
          <cell r="R130">
            <v>7.9861111111111049E-2</v>
          </cell>
          <cell r="S130">
            <v>0.36319444444444438</v>
          </cell>
        </row>
        <row r="131">
          <cell r="A131" t="str">
            <v>17/5/2009</v>
          </cell>
          <cell r="B131" t="str">
            <v>RTI0010</v>
          </cell>
          <cell r="C131" t="str">
            <v>SUPARNO</v>
          </cell>
          <cell r="D131" t="str">
            <v>1040052;1040057</v>
          </cell>
          <cell r="E131" t="str">
            <v>P-PULF</v>
          </cell>
          <cell r="F131" t="str">
            <v>Pulp Transport</v>
          </cell>
          <cell r="G131">
            <v>120</v>
          </cell>
          <cell r="H131">
            <v>6.9444444444444198E-3</v>
          </cell>
          <cell r="I131">
            <v>6.9444444444445308E-3</v>
          </cell>
          <cell r="J131">
            <v>3.6805555555555425E-2</v>
          </cell>
          <cell r="K131">
            <v>1.388888888888884E-3</v>
          </cell>
          <cell r="L131">
            <v>1.3888888888888951E-2</v>
          </cell>
          <cell r="M131">
            <v>6.9444444444444198E-3</v>
          </cell>
          <cell r="N131">
            <v>1.3888888888888951E-2</v>
          </cell>
          <cell r="O131">
            <v>0.12847222222222221</v>
          </cell>
          <cell r="P131">
            <v>7.291666666666663E-2</v>
          </cell>
          <cell r="Q131">
            <v>1.388888888888884E-3</v>
          </cell>
          <cell r="R131">
            <v>0.14444444444444438</v>
          </cell>
          <cell r="S131">
            <v>0.43402777777777768</v>
          </cell>
        </row>
        <row r="132">
          <cell r="A132" t="str">
            <v>17/5/2009</v>
          </cell>
          <cell r="B132" t="str">
            <v>RTI0005</v>
          </cell>
          <cell r="C132" t="str">
            <v>PARDAMEAN T</v>
          </cell>
          <cell r="D132" t="str">
            <v>1040061;1040094</v>
          </cell>
          <cell r="E132" t="str">
            <v>P-PULF</v>
          </cell>
          <cell r="F132" t="str">
            <v>Pulp Transport</v>
          </cell>
          <cell r="G132">
            <v>120</v>
          </cell>
          <cell r="H132">
            <v>1.041666666666663E-2</v>
          </cell>
          <cell r="I132">
            <v>6.9444444444445308E-3</v>
          </cell>
          <cell r="J132">
            <v>2.7777777777777901E-2</v>
          </cell>
          <cell r="K132">
            <v>1.388888888888884E-3</v>
          </cell>
          <cell r="L132">
            <v>9.0277777777777457E-3</v>
          </cell>
          <cell r="M132">
            <v>3.472222222222221E-2</v>
          </cell>
          <cell r="N132">
            <v>1.3888888888888895E-2</v>
          </cell>
          <cell r="O132">
            <v>7.638888888888884E-2</v>
          </cell>
          <cell r="P132">
            <v>0.10763888888888884</v>
          </cell>
          <cell r="Q132">
            <v>6.9444444444444198E-3</v>
          </cell>
          <cell r="R132">
            <v>9.375E-2</v>
          </cell>
          <cell r="S132">
            <v>0.3888888888888889</v>
          </cell>
        </row>
        <row r="133">
          <cell r="A133" t="str">
            <v>17/5/2009</v>
          </cell>
          <cell r="B133" t="str">
            <v>RTI0010</v>
          </cell>
          <cell r="C133" t="str">
            <v>BAMBANG SUHENDRI</v>
          </cell>
          <cell r="D133" t="str">
            <v>1040299;1040301</v>
          </cell>
          <cell r="E133" t="str">
            <v>P-PULF</v>
          </cell>
          <cell r="F133" t="str">
            <v>Pulp Transport</v>
          </cell>
          <cell r="G133">
            <v>120</v>
          </cell>
          <cell r="H133">
            <v>6.9444444444444475E-3</v>
          </cell>
          <cell r="I133">
            <v>6.9444444444444198E-3</v>
          </cell>
          <cell r="J133">
            <v>5.555555555555558E-2</v>
          </cell>
          <cell r="K133">
            <v>3.4722222222222099E-3</v>
          </cell>
          <cell r="L133">
            <v>1.3888888888888895E-2</v>
          </cell>
          <cell r="M133">
            <v>4.5138888888888867E-2</v>
          </cell>
          <cell r="N133">
            <v>1.0416666666666685E-2</v>
          </cell>
          <cell r="O133">
            <v>8.3333333333333315E-2</v>
          </cell>
          <cell r="P133">
            <v>6.9444444444444198E-3</v>
          </cell>
          <cell r="Q133">
            <v>1.0416666666666685E-2</v>
          </cell>
          <cell r="R133">
            <v>0.1076388888888889</v>
          </cell>
          <cell r="S133">
            <v>0.35069444444444442</v>
          </cell>
        </row>
        <row r="134">
          <cell r="A134" t="str">
            <v>17/5/2009</v>
          </cell>
          <cell r="B134" t="str">
            <v>RTI0006</v>
          </cell>
          <cell r="C134" t="str">
            <v>YULIANTO</v>
          </cell>
          <cell r="D134" t="str">
            <v>1040240;1040294</v>
          </cell>
          <cell r="E134" t="str">
            <v>P-PULF</v>
          </cell>
          <cell r="F134" t="str">
            <v>Pulp Transport</v>
          </cell>
          <cell r="G134">
            <v>120</v>
          </cell>
          <cell r="H134">
            <v>1.2500000000000011E-2</v>
          </cell>
          <cell r="I134">
            <v>2.0833333333333315E-2</v>
          </cell>
          <cell r="J134">
            <v>2.361111111111111E-2</v>
          </cell>
          <cell r="K134">
            <v>2.430555555555558E-2</v>
          </cell>
          <cell r="L134">
            <v>9.0277777777777735E-3</v>
          </cell>
          <cell r="M134">
            <v>4.5138888888888923E-2</v>
          </cell>
          <cell r="N134">
            <v>1.0416666666666657E-2</v>
          </cell>
          <cell r="O134">
            <v>0.11458333333333331</v>
          </cell>
          <cell r="P134">
            <v>1.736111111111116E-2</v>
          </cell>
          <cell r="Q134">
            <v>3.4722222222221544E-3</v>
          </cell>
          <cell r="R134">
            <v>0.11458333333333331</v>
          </cell>
          <cell r="S134">
            <v>0.39583333333333331</v>
          </cell>
        </row>
        <row r="135">
          <cell r="A135" t="str">
            <v>18/5/2009</v>
          </cell>
          <cell r="B135" t="str">
            <v>RTI0002</v>
          </cell>
          <cell r="C135" t="str">
            <v>PAHOT.S</v>
          </cell>
          <cell r="D135" t="str">
            <v>1041909;1041910</v>
          </cell>
          <cell r="E135" t="str">
            <v>P-PULF</v>
          </cell>
          <cell r="F135" t="str">
            <v>Pulp Transport</v>
          </cell>
          <cell r="G135">
            <v>120</v>
          </cell>
          <cell r="H135">
            <v>6.9444444444445308E-3</v>
          </cell>
          <cell r="I135">
            <v>1.388888888888884E-2</v>
          </cell>
          <cell r="J135">
            <v>1.388888888888884E-2</v>
          </cell>
          <cell r="K135">
            <v>1.736111111111116E-2</v>
          </cell>
          <cell r="L135">
            <v>2.0138888888888817E-2</v>
          </cell>
          <cell r="M135">
            <v>1.1111111111111183E-2</v>
          </cell>
          <cell r="N135">
            <v>2.430555555555558E-2</v>
          </cell>
          <cell r="O135">
            <v>7.638888888888884E-2</v>
          </cell>
          <cell r="P135">
            <v>1.736111111111116E-2</v>
          </cell>
          <cell r="Q135">
            <v>2.4305555555555469E-2</v>
          </cell>
          <cell r="R135">
            <v>5.208333333333337E-2</v>
          </cell>
          <cell r="S135">
            <v>0.27777777777777779</v>
          </cell>
        </row>
        <row r="136">
          <cell r="A136" t="str">
            <v>18/5/2009</v>
          </cell>
          <cell r="B136" t="str">
            <v>RTI0011</v>
          </cell>
          <cell r="C136" t="str">
            <v>USMAN ARITONANG</v>
          </cell>
          <cell r="D136" t="str">
            <v>1041052;1041053</v>
          </cell>
          <cell r="E136" t="str">
            <v>P-PULF</v>
          </cell>
          <cell r="F136" t="str">
            <v>Pulp Transport</v>
          </cell>
          <cell r="G136">
            <v>120</v>
          </cell>
          <cell r="H136">
            <v>6.9444444444443088E-3</v>
          </cell>
          <cell r="I136">
            <v>1.3888888888889062E-2</v>
          </cell>
          <cell r="J136">
            <v>1.388888888888884E-2</v>
          </cell>
          <cell r="K136">
            <v>1.736111111111116E-2</v>
          </cell>
          <cell r="L136">
            <v>2.0138888888888706E-2</v>
          </cell>
          <cell r="M136">
            <v>1.1111111111111294E-2</v>
          </cell>
          <cell r="N136">
            <v>2.4305555555555469E-2</v>
          </cell>
          <cell r="O136">
            <v>7.638888888888884E-2</v>
          </cell>
          <cell r="P136">
            <v>2.4305555555555469E-2</v>
          </cell>
          <cell r="Q136">
            <v>2.430555555555558E-2</v>
          </cell>
          <cell r="R136">
            <v>6.5972222222222321E-2</v>
          </cell>
          <cell r="S136">
            <v>0.29861111111111105</v>
          </cell>
        </row>
        <row r="137">
          <cell r="A137" t="str">
            <v>18/5/2009</v>
          </cell>
          <cell r="B137" t="str">
            <v>RTI0005</v>
          </cell>
          <cell r="C137" t="str">
            <v>M. NASIR</v>
          </cell>
          <cell r="D137" t="str">
            <v>1041965;1041977</v>
          </cell>
          <cell r="E137" t="str">
            <v>P-PULF</v>
          </cell>
          <cell r="F137" t="str">
            <v>Pulp Transport</v>
          </cell>
          <cell r="G137">
            <v>120</v>
          </cell>
          <cell r="H137">
            <v>6.9444444444443088E-3</v>
          </cell>
          <cell r="I137">
            <v>1.3888888888888951E-2</v>
          </cell>
          <cell r="J137">
            <v>2.083333333333337E-2</v>
          </cell>
          <cell r="K137">
            <v>1.7361111111111049E-2</v>
          </cell>
          <cell r="L137">
            <v>1.736111111111116E-2</v>
          </cell>
          <cell r="M137">
            <v>1.388888888888884E-2</v>
          </cell>
          <cell r="N137">
            <v>1.736111111111116E-2</v>
          </cell>
          <cell r="O137">
            <v>7.638888888888884E-2</v>
          </cell>
          <cell r="P137">
            <v>2.0833333333333259E-2</v>
          </cell>
          <cell r="Q137">
            <v>2.083333333333337E-2</v>
          </cell>
          <cell r="R137">
            <v>6.25E-2</v>
          </cell>
          <cell r="S137">
            <v>0.28819444444444431</v>
          </cell>
        </row>
        <row r="138">
          <cell r="A138" t="str">
            <v>18/5/2009</v>
          </cell>
          <cell r="B138" t="str">
            <v>RTI0006</v>
          </cell>
          <cell r="C138" t="str">
            <v>YULIANTO</v>
          </cell>
          <cell r="D138" t="str">
            <v>1040508;1040509</v>
          </cell>
          <cell r="E138" t="str">
            <v>P-PULF</v>
          </cell>
          <cell r="F138" t="str">
            <v>Pulp Transport</v>
          </cell>
          <cell r="G138">
            <v>120</v>
          </cell>
          <cell r="H138">
            <v>6.9444444444443088E-3</v>
          </cell>
          <cell r="I138">
            <v>1.0416666666666741E-2</v>
          </cell>
          <cell r="J138">
            <v>1.3888888888888951E-2</v>
          </cell>
          <cell r="K138">
            <v>1.041666666666663E-2</v>
          </cell>
          <cell r="L138">
            <v>2.083333333333337E-2</v>
          </cell>
          <cell r="M138">
            <v>2.083333333333337E-2</v>
          </cell>
          <cell r="N138">
            <v>2.0833333333333259E-2</v>
          </cell>
          <cell r="O138">
            <v>7.638888888888884E-2</v>
          </cell>
          <cell r="P138">
            <v>1.7361111111111049E-2</v>
          </cell>
          <cell r="Q138">
            <v>3.125E-2</v>
          </cell>
          <cell r="R138">
            <v>6.25E-2</v>
          </cell>
          <cell r="S138">
            <v>0.29166666666666652</v>
          </cell>
        </row>
        <row r="139">
          <cell r="A139" t="str">
            <v>18/5/2009</v>
          </cell>
          <cell r="B139" t="str">
            <v>RTI0001</v>
          </cell>
          <cell r="C139" t="str">
            <v>JONSON  TAMPUBOLON</v>
          </cell>
          <cell r="D139" t="str">
            <v>1041033;1041035</v>
          </cell>
          <cell r="E139" t="str">
            <v>P-PULF</v>
          </cell>
          <cell r="F139" t="str">
            <v>Pulp Transport</v>
          </cell>
          <cell r="G139">
            <v>120</v>
          </cell>
          <cell r="H139">
            <v>6.9444444444445308E-3</v>
          </cell>
          <cell r="I139">
            <v>1.388888888888884E-2</v>
          </cell>
          <cell r="J139">
            <v>2.083333333333337E-2</v>
          </cell>
          <cell r="K139">
            <v>1.388888888888884E-2</v>
          </cell>
          <cell r="L139">
            <v>2.083333333333337E-2</v>
          </cell>
          <cell r="M139">
            <v>1.736111111111116E-2</v>
          </cell>
          <cell r="N139">
            <v>1.388888888888884E-2</v>
          </cell>
          <cell r="O139">
            <v>7.638888888888884E-2</v>
          </cell>
          <cell r="P139">
            <v>1.736111111111116E-2</v>
          </cell>
          <cell r="Q139">
            <v>2.0138888888888817E-2</v>
          </cell>
          <cell r="R139">
            <v>5.9722222222222232E-2</v>
          </cell>
          <cell r="S139">
            <v>0.28125</v>
          </cell>
        </row>
        <row r="140">
          <cell r="A140" t="str">
            <v>18/5/2009</v>
          </cell>
          <cell r="B140" t="str">
            <v>RTI0009</v>
          </cell>
          <cell r="C140" t="str">
            <v>JAMALUDDIN IB</v>
          </cell>
          <cell r="D140" t="str">
            <v>1040422;1040423</v>
          </cell>
          <cell r="E140" t="str">
            <v>P-PULF</v>
          </cell>
          <cell r="F140" t="str">
            <v>Pulp Transport</v>
          </cell>
          <cell r="G140">
            <v>120</v>
          </cell>
          <cell r="H140">
            <v>6.9444444444444753E-3</v>
          </cell>
          <cell r="I140">
            <v>1.388888888888884E-2</v>
          </cell>
          <cell r="J140">
            <v>1.3888888888888951E-2</v>
          </cell>
          <cell r="K140">
            <v>1.3888888888888895E-2</v>
          </cell>
          <cell r="L140">
            <v>1.7361111111111105E-2</v>
          </cell>
          <cell r="M140">
            <v>1.041666666666663E-2</v>
          </cell>
          <cell r="N140">
            <v>1.3888888888888951E-2</v>
          </cell>
          <cell r="O140">
            <v>7.638888888888884E-2</v>
          </cell>
          <cell r="P140">
            <v>1.1805555555555569E-2</v>
          </cell>
          <cell r="Q140">
            <v>1.3888888888888951E-2</v>
          </cell>
          <cell r="R140">
            <v>6.5972222222222099E-2</v>
          </cell>
          <cell r="S140">
            <v>0.2583333333333333</v>
          </cell>
        </row>
        <row r="141">
          <cell r="A141" t="str">
            <v>18/5/2009</v>
          </cell>
          <cell r="B141" t="str">
            <v>RTI0007</v>
          </cell>
          <cell r="C141" t="str">
            <v>DAMRAH</v>
          </cell>
          <cell r="D141" t="str">
            <v>1040376;1040377</v>
          </cell>
          <cell r="E141" t="str">
            <v>P-PULF</v>
          </cell>
          <cell r="F141" t="str">
            <v>Pulp Transport</v>
          </cell>
          <cell r="G141">
            <v>120</v>
          </cell>
          <cell r="H141">
            <v>6.9444444444444753E-3</v>
          </cell>
          <cell r="I141">
            <v>1.388888888888884E-2</v>
          </cell>
          <cell r="J141">
            <v>1.3888888888888951E-2</v>
          </cell>
          <cell r="K141">
            <v>1.7361111111111049E-2</v>
          </cell>
          <cell r="L141">
            <v>1.3888888888888951E-2</v>
          </cell>
          <cell r="M141">
            <v>1.041666666666663E-2</v>
          </cell>
          <cell r="N141">
            <v>1.7361111111111105E-2</v>
          </cell>
          <cell r="O141">
            <v>7.638888888888884E-2</v>
          </cell>
          <cell r="P141">
            <v>1.0416666666666685E-2</v>
          </cell>
          <cell r="Q141">
            <v>1.7361111111111049E-2</v>
          </cell>
          <cell r="R141">
            <v>6.0416666666666785E-2</v>
          </cell>
          <cell r="S141">
            <v>0.25833333333333336</v>
          </cell>
        </row>
        <row r="142">
          <cell r="A142" t="str">
            <v>18/5/2009</v>
          </cell>
          <cell r="B142" t="str">
            <v>RTI0001</v>
          </cell>
          <cell r="C142" t="str">
            <v>JONSON  TAMPUBOLON</v>
          </cell>
          <cell r="D142" t="str">
            <v>1040341;1040372</v>
          </cell>
          <cell r="E142" t="str">
            <v>P-PULF</v>
          </cell>
          <cell r="F142" t="str">
            <v>Pulp Transport</v>
          </cell>
          <cell r="G142">
            <v>120</v>
          </cell>
          <cell r="H142">
            <v>6.9444444444444753E-3</v>
          </cell>
          <cell r="I142">
            <v>1.7361111111111105E-2</v>
          </cell>
          <cell r="J142">
            <v>1.736111111111116E-2</v>
          </cell>
          <cell r="K142">
            <v>1.7361111111111049E-2</v>
          </cell>
          <cell r="L142">
            <v>1.0416666666666685E-2</v>
          </cell>
          <cell r="M142">
            <v>1.7361111111111105E-2</v>
          </cell>
          <cell r="N142">
            <v>1.3888888888888895E-2</v>
          </cell>
          <cell r="O142">
            <v>7.638888888888884E-2</v>
          </cell>
          <cell r="P142">
            <v>1.7361111111111049E-2</v>
          </cell>
          <cell r="Q142">
            <v>1.3888888888888951E-2</v>
          </cell>
          <cell r="R142">
            <v>4.6527777777777779E-2</v>
          </cell>
          <cell r="S142">
            <v>0.25486111111111109</v>
          </cell>
        </row>
        <row r="143">
          <cell r="A143" t="str">
            <v>18/5/2009</v>
          </cell>
          <cell r="B143" t="str">
            <v>RTI0011</v>
          </cell>
          <cell r="C143" t="str">
            <v>USMAN ARITONANG</v>
          </cell>
          <cell r="D143" t="str">
            <v>1040321;1040362;1040363</v>
          </cell>
          <cell r="E143" t="str">
            <v>P-PULF</v>
          </cell>
          <cell r="F143" t="str">
            <v>Pulp Transport</v>
          </cell>
          <cell r="G143">
            <v>120</v>
          </cell>
          <cell r="H143">
            <v>6.9444444444444198E-3</v>
          </cell>
          <cell r="I143">
            <v>2.0833333333333315E-2</v>
          </cell>
          <cell r="J143">
            <v>2.430555555555558E-2</v>
          </cell>
          <cell r="K143">
            <v>1.3888888888888895E-2</v>
          </cell>
          <cell r="L143">
            <v>1.7361111111111049E-2</v>
          </cell>
          <cell r="M143">
            <v>1.3888888888888951E-2</v>
          </cell>
          <cell r="N143">
            <v>2.0833333333333315E-2</v>
          </cell>
          <cell r="O143">
            <v>7.638888888888884E-2</v>
          </cell>
          <cell r="P143">
            <v>1.7361111111111105E-2</v>
          </cell>
          <cell r="Q143">
            <v>1.7361111111111105E-2</v>
          </cell>
          <cell r="R143">
            <v>6.9444444444444475E-2</v>
          </cell>
          <cell r="S143">
            <v>0.29861111111111105</v>
          </cell>
        </row>
        <row r="144">
          <cell r="A144" t="str">
            <v>18/5/2009</v>
          </cell>
          <cell r="B144" t="str">
            <v>RTI0010</v>
          </cell>
          <cell r="C144" t="str">
            <v>HOTMAN SM. HUTASOIT</v>
          </cell>
          <cell r="D144" t="str">
            <v>1040374;1040375</v>
          </cell>
          <cell r="E144" t="str">
            <v>P-PULF</v>
          </cell>
          <cell r="F144" t="str">
            <v>Pulp Transport</v>
          </cell>
          <cell r="G144">
            <v>120</v>
          </cell>
          <cell r="H144">
            <v>1.3888888888888895E-2</v>
          </cell>
          <cell r="I144">
            <v>1.7361111111111105E-2</v>
          </cell>
          <cell r="J144">
            <v>1.736111111111116E-2</v>
          </cell>
          <cell r="K144">
            <v>1.7361111111111049E-2</v>
          </cell>
          <cell r="L144">
            <v>1.0416666666666685E-2</v>
          </cell>
          <cell r="M144">
            <v>1.7361111111111049E-2</v>
          </cell>
          <cell r="N144">
            <v>1.3888888888888951E-2</v>
          </cell>
          <cell r="O144">
            <v>7.638888888888884E-2</v>
          </cell>
          <cell r="P144">
            <v>1.736111111111116E-2</v>
          </cell>
          <cell r="Q144">
            <v>1.736111111111116E-2</v>
          </cell>
          <cell r="R144">
            <v>8.3333333333333259E-2</v>
          </cell>
          <cell r="S144">
            <v>0.30208333333333331</v>
          </cell>
        </row>
        <row r="145">
          <cell r="A145" t="str">
            <v>18/5/2009</v>
          </cell>
          <cell r="B145" t="str">
            <v>BFI0002</v>
          </cell>
          <cell r="C145" t="str">
            <v>NASIB</v>
          </cell>
          <cell r="D145" t="str">
            <v>1040355;1040357</v>
          </cell>
          <cell r="E145" t="str">
            <v>P-PULF</v>
          </cell>
          <cell r="F145" t="str">
            <v>Pulp Transport</v>
          </cell>
          <cell r="G145">
            <v>120</v>
          </cell>
          <cell r="H145">
            <v>6.9444444444444198E-3</v>
          </cell>
          <cell r="I145">
            <v>1.3888888888888951E-2</v>
          </cell>
          <cell r="J145">
            <v>1.388888888888884E-2</v>
          </cell>
          <cell r="K145">
            <v>1.7361111111111105E-2</v>
          </cell>
          <cell r="L145">
            <v>1.3888888888888895E-2</v>
          </cell>
          <cell r="M145">
            <v>1.0416666666666685E-2</v>
          </cell>
          <cell r="N145">
            <v>1.7361111111111105E-2</v>
          </cell>
          <cell r="O145">
            <v>7.638888888888884E-2</v>
          </cell>
          <cell r="P145">
            <v>1.0416666666666685E-2</v>
          </cell>
          <cell r="Q145">
            <v>1.3888888888888895E-2</v>
          </cell>
          <cell r="R145">
            <v>4.513888888888884E-2</v>
          </cell>
          <cell r="S145">
            <v>0.23958333333333326</v>
          </cell>
        </row>
        <row r="146">
          <cell r="A146" t="str">
            <v>17/5/2009</v>
          </cell>
          <cell r="B146" t="str">
            <v>RTI0008</v>
          </cell>
          <cell r="C146" t="str">
            <v>M. NASIR</v>
          </cell>
          <cell r="D146" t="str">
            <v>1040099;1040101</v>
          </cell>
          <cell r="E146" t="str">
            <v>P-PULF</v>
          </cell>
          <cell r="F146" t="str">
            <v>Pulp Transport</v>
          </cell>
          <cell r="G146">
            <v>120</v>
          </cell>
          <cell r="H146">
            <v>6.9444444444444198E-3</v>
          </cell>
          <cell r="I146">
            <v>1.736111111111116E-2</v>
          </cell>
          <cell r="J146">
            <v>1.041666666666663E-2</v>
          </cell>
          <cell r="K146">
            <v>1.736111111111116E-2</v>
          </cell>
          <cell r="L146">
            <v>1.388888888888884E-2</v>
          </cell>
          <cell r="M146">
            <v>1.041666666666663E-2</v>
          </cell>
          <cell r="N146">
            <v>1.736111111111116E-2</v>
          </cell>
          <cell r="O146">
            <v>7.638888888888884E-2</v>
          </cell>
          <cell r="P146">
            <v>1.736111111111116E-2</v>
          </cell>
          <cell r="Q146">
            <v>2.430555555555558E-2</v>
          </cell>
          <cell r="R146">
            <v>4.8611111111111049E-2</v>
          </cell>
          <cell r="S146">
            <v>0.26041666666666663</v>
          </cell>
        </row>
        <row r="147">
          <cell r="A147" t="str">
            <v>18/5/2009</v>
          </cell>
          <cell r="B147" t="str">
            <v>RTI0006</v>
          </cell>
          <cell r="C147" t="str">
            <v>IMRAN NASUTION</v>
          </cell>
          <cell r="D147" t="str">
            <v>1040364;1040417</v>
          </cell>
          <cell r="E147" t="str">
            <v>P-PULF</v>
          </cell>
          <cell r="F147" t="str">
            <v>Pulp Transport</v>
          </cell>
          <cell r="G147">
            <v>120</v>
          </cell>
          <cell r="H147">
            <v>6.9444444444444198E-3</v>
          </cell>
          <cell r="I147">
            <v>1.3888888888888951E-2</v>
          </cell>
          <cell r="J147">
            <v>1.388888888888884E-2</v>
          </cell>
          <cell r="K147">
            <v>1.7361111111111105E-2</v>
          </cell>
          <cell r="L147">
            <v>1.3888888888888895E-2</v>
          </cell>
          <cell r="M147">
            <v>1.0416666666666685E-2</v>
          </cell>
          <cell r="N147">
            <v>1.7361111111111105E-2</v>
          </cell>
          <cell r="O147">
            <v>7.638888888888884E-2</v>
          </cell>
          <cell r="P147">
            <v>1.3888888888888951E-2</v>
          </cell>
          <cell r="Q147">
            <v>1.7361111111111049E-2</v>
          </cell>
          <cell r="R147">
            <v>5.555555555555558E-2</v>
          </cell>
          <cell r="S147">
            <v>0.25694444444444442</v>
          </cell>
        </row>
        <row r="148">
          <cell r="A148" t="str">
            <v>17/5/2009</v>
          </cell>
          <cell r="B148" t="str">
            <v>RTI0004</v>
          </cell>
          <cell r="C148" t="str">
            <v>RUSMAN  MANURUNG</v>
          </cell>
          <cell r="D148" t="str">
            <v>1040162;1040163</v>
          </cell>
          <cell r="E148" t="str">
            <v>P-PULF</v>
          </cell>
          <cell r="F148" t="str">
            <v>Pulp Transport</v>
          </cell>
          <cell r="G148">
            <v>120</v>
          </cell>
          <cell r="H148">
            <v>6.9444444444443088E-3</v>
          </cell>
          <cell r="I148">
            <v>1.3888888888889062E-2</v>
          </cell>
          <cell r="J148">
            <v>1.388888888888884E-2</v>
          </cell>
          <cell r="K148">
            <v>1.736111111111116E-2</v>
          </cell>
          <cell r="L148">
            <v>2.0833333333333259E-2</v>
          </cell>
          <cell r="M148">
            <v>1.7361111111111049E-2</v>
          </cell>
          <cell r="N148">
            <v>1.736111111111116E-2</v>
          </cell>
          <cell r="O148">
            <v>7.638888888888884E-2</v>
          </cell>
          <cell r="P148">
            <v>2.4305555555555469E-2</v>
          </cell>
          <cell r="Q148">
            <v>1.736111111111116E-2</v>
          </cell>
          <cell r="R148">
            <v>6.9444444444444309E-2</v>
          </cell>
          <cell r="S148">
            <v>0.29513888888888862</v>
          </cell>
        </row>
        <row r="149">
          <cell r="A149" t="str">
            <v>18/5/2009</v>
          </cell>
          <cell r="B149" t="str">
            <v>RTI0004</v>
          </cell>
          <cell r="C149" t="str">
            <v>RUSMAN  MANURUNG</v>
          </cell>
          <cell r="D149" t="str">
            <v>1040383;1040386</v>
          </cell>
          <cell r="E149" t="str">
            <v>P-PULF</v>
          </cell>
          <cell r="F149" t="str">
            <v>Pulp Transport</v>
          </cell>
          <cell r="G149">
            <v>120</v>
          </cell>
          <cell r="H149">
            <v>1.3888888888888867E-2</v>
          </cell>
          <cell r="I149">
            <v>1.7361111111111133E-2</v>
          </cell>
          <cell r="J149">
            <v>1.7361111111111077E-2</v>
          </cell>
          <cell r="K149">
            <v>1.7361111111111133E-2</v>
          </cell>
          <cell r="L149">
            <v>1.7361111111111133E-2</v>
          </cell>
          <cell r="M149">
            <v>2.4305555555555525E-2</v>
          </cell>
          <cell r="N149">
            <v>2.4305555555555525E-2</v>
          </cell>
          <cell r="O149">
            <v>7.638888888888884E-2</v>
          </cell>
          <cell r="P149">
            <v>1.7361111111111049E-2</v>
          </cell>
          <cell r="Q149">
            <v>2.430555555555558E-2</v>
          </cell>
          <cell r="R149">
            <v>4.8611111111111105E-2</v>
          </cell>
          <cell r="S149">
            <v>0.29861111111111094</v>
          </cell>
        </row>
        <row r="150">
          <cell r="A150" t="str">
            <v>18/5/2009</v>
          </cell>
          <cell r="B150" t="str">
            <v>RTI0002</v>
          </cell>
          <cell r="C150" t="str">
            <v>PAHOT.S</v>
          </cell>
          <cell r="D150" t="str">
            <v>1040320;1040340</v>
          </cell>
          <cell r="E150" t="str">
            <v>P-PULF</v>
          </cell>
          <cell r="F150" t="str">
            <v>Pulp Transport</v>
          </cell>
          <cell r="G150">
            <v>120</v>
          </cell>
          <cell r="H150">
            <v>6.9444444444444475E-3</v>
          </cell>
          <cell r="I150">
            <v>1.7361111111111105E-2</v>
          </cell>
          <cell r="J150">
            <v>1.0416666666666657E-2</v>
          </cell>
          <cell r="K150">
            <v>1.3888888888888895E-2</v>
          </cell>
          <cell r="L150">
            <v>1.7361111111111105E-2</v>
          </cell>
          <cell r="M150">
            <v>1.0416666666666685E-2</v>
          </cell>
          <cell r="N150">
            <v>1.7361111111111105E-2</v>
          </cell>
          <cell r="O150">
            <v>7.638888888888884E-2</v>
          </cell>
          <cell r="P150">
            <v>1.7361111111111133E-2</v>
          </cell>
          <cell r="Q150">
            <v>2.0833333333333315E-2</v>
          </cell>
          <cell r="R150">
            <v>5.2083333333333315E-2</v>
          </cell>
          <cell r="S150">
            <v>0.26041666666666663</v>
          </cell>
        </row>
        <row r="151">
          <cell r="A151" t="str">
            <v>18/5/2009</v>
          </cell>
          <cell r="B151" t="str">
            <v>RTI0008</v>
          </cell>
          <cell r="C151" t="str">
            <v>JAILANI</v>
          </cell>
          <cell r="D151" t="str">
            <v>1040366;1040367</v>
          </cell>
          <cell r="E151" t="str">
            <v>P-PULF</v>
          </cell>
          <cell r="F151" t="str">
            <v>Pulp Transport</v>
          </cell>
          <cell r="G151">
            <v>120</v>
          </cell>
          <cell r="H151">
            <v>6.9444444444444198E-3</v>
          </cell>
          <cell r="I151">
            <v>1.041666666666663E-2</v>
          </cell>
          <cell r="J151">
            <v>1.7361111111111105E-2</v>
          </cell>
          <cell r="K151">
            <v>1.736111111111116E-2</v>
          </cell>
          <cell r="L151">
            <v>1.7361111111111105E-2</v>
          </cell>
          <cell r="M151">
            <v>1.3888888888888895E-2</v>
          </cell>
          <cell r="N151">
            <v>1.7361111111111105E-2</v>
          </cell>
          <cell r="O151">
            <v>7.638888888888884E-2</v>
          </cell>
          <cell r="P151">
            <v>2.430555555555558E-2</v>
          </cell>
          <cell r="Q151">
            <v>1.7361111111111105E-2</v>
          </cell>
          <cell r="R151">
            <v>7.2222222222222299E-2</v>
          </cell>
          <cell r="S151">
            <v>0.29097222222222224</v>
          </cell>
        </row>
        <row r="152">
          <cell r="A152" t="str">
            <v>18/5/2009</v>
          </cell>
          <cell r="B152" t="str">
            <v>RTI0005</v>
          </cell>
          <cell r="C152" t="str">
            <v>BUDI HANDOKO</v>
          </cell>
          <cell r="D152" t="str">
            <v>1040324;1040326</v>
          </cell>
          <cell r="E152" t="str">
            <v>P-PULF</v>
          </cell>
          <cell r="F152" t="str">
            <v>Pulp Transport</v>
          </cell>
          <cell r="G152">
            <v>120</v>
          </cell>
          <cell r="H152">
            <v>6.9444444444444475E-3</v>
          </cell>
          <cell r="I152">
            <v>1.3888888888888867E-2</v>
          </cell>
          <cell r="J152">
            <v>2.083333333333337E-2</v>
          </cell>
          <cell r="K152">
            <v>1.7361111111111077E-2</v>
          </cell>
          <cell r="L152">
            <v>1.3888888888888923E-2</v>
          </cell>
          <cell r="M152">
            <v>1.0416666666666657E-2</v>
          </cell>
          <cell r="N152">
            <v>2.0833333333333343E-2</v>
          </cell>
          <cell r="O152">
            <v>7.638888888888884E-2</v>
          </cell>
          <cell r="P152">
            <v>2.4305555555555525E-2</v>
          </cell>
          <cell r="Q152">
            <v>1.7361111111111105E-2</v>
          </cell>
          <cell r="R152">
            <v>7.2222222222222243E-2</v>
          </cell>
          <cell r="S152">
            <v>0.2944444444444444</v>
          </cell>
        </row>
        <row r="153">
          <cell r="A153" t="str">
            <v>18/5/2009</v>
          </cell>
          <cell r="B153" t="str">
            <v>RTP0003</v>
          </cell>
          <cell r="C153" t="str">
            <v>JULIANTO</v>
          </cell>
          <cell r="D153" t="str">
            <v>1039953;1039956</v>
          </cell>
          <cell r="E153" t="str">
            <v>P-PULF</v>
          </cell>
          <cell r="F153" t="str">
            <v>Pulp Transport</v>
          </cell>
          <cell r="G153">
            <v>120</v>
          </cell>
          <cell r="H153">
            <v>6.9444444444444441E-3</v>
          </cell>
          <cell r="I153">
            <v>1.7361111111111112E-2</v>
          </cell>
          <cell r="J153">
            <v>1.7361111111111112E-2</v>
          </cell>
          <cell r="K153">
            <v>2.0833333333333322E-2</v>
          </cell>
          <cell r="L153">
            <v>2.0833333333333343E-2</v>
          </cell>
          <cell r="M153">
            <v>1.7361111111111119E-2</v>
          </cell>
          <cell r="N153">
            <v>1.7361111111111105E-2</v>
          </cell>
          <cell r="O153">
            <v>7.638888888888884E-2</v>
          </cell>
          <cell r="P153">
            <v>1.3888888888888895E-2</v>
          </cell>
          <cell r="Q153">
            <v>1.7361111111111133E-2</v>
          </cell>
          <cell r="R153">
            <v>7.2916666666666657E-2</v>
          </cell>
          <cell r="S153">
            <v>0.2986111111111111</v>
          </cell>
        </row>
        <row r="154">
          <cell r="A154" t="str">
            <v>17/5/2009</v>
          </cell>
          <cell r="B154" t="str">
            <v>RTI0007</v>
          </cell>
          <cell r="C154" t="str">
            <v>RUSDI</v>
          </cell>
          <cell r="D154" t="str">
            <v>1040332;1040334;1040335</v>
          </cell>
          <cell r="E154" t="str">
            <v>P-PULF</v>
          </cell>
          <cell r="F154" t="str">
            <v>Pulp Transport</v>
          </cell>
          <cell r="G154">
            <v>120</v>
          </cell>
          <cell r="H154">
            <v>6.9444444444444198E-3</v>
          </cell>
          <cell r="I154">
            <v>9.0277777777778012E-3</v>
          </cell>
          <cell r="J154">
            <v>1.7361111111111112E-2</v>
          </cell>
          <cell r="K154">
            <v>6.9444444444444753E-3</v>
          </cell>
          <cell r="L154">
            <v>1.388888888888884E-2</v>
          </cell>
          <cell r="M154">
            <v>5.555555555555558E-2</v>
          </cell>
          <cell r="N154">
            <v>1.3888888888888895E-2</v>
          </cell>
          <cell r="O154">
            <v>7.638888888888884E-2</v>
          </cell>
          <cell r="P154">
            <v>2.7777777777777679E-2</v>
          </cell>
          <cell r="Q154">
            <v>3.6805555555555536E-2</v>
          </cell>
          <cell r="R154">
            <v>0.11458333333333337</v>
          </cell>
          <cell r="S154">
            <v>0.37916666666666654</v>
          </cell>
        </row>
        <row r="155">
          <cell r="A155" t="str">
            <v>18/5/2009</v>
          </cell>
          <cell r="B155" t="str">
            <v>BFI0002</v>
          </cell>
          <cell r="C155" t="str">
            <v>NASIB</v>
          </cell>
          <cell r="D155" t="str">
            <v>1040504;1040505</v>
          </cell>
          <cell r="E155" t="str">
            <v>P-PULF</v>
          </cell>
          <cell r="F155" t="str">
            <v>Pulp Transport</v>
          </cell>
          <cell r="G155">
            <v>144</v>
          </cell>
          <cell r="H155">
            <v>1.041666666666663E-2</v>
          </cell>
          <cell r="I155">
            <v>5.9027777777777679E-2</v>
          </cell>
          <cell r="J155">
            <v>3.4722222222222321E-2</v>
          </cell>
          <cell r="K155">
            <v>3.472222222222221E-2</v>
          </cell>
          <cell r="L155">
            <v>1.388888888888884E-2</v>
          </cell>
          <cell r="M155">
            <v>1.736111111111116E-2</v>
          </cell>
          <cell r="N155">
            <v>1.041666666666663E-2</v>
          </cell>
          <cell r="O155">
            <v>0.125</v>
          </cell>
          <cell r="P155">
            <v>2.0138888888888928E-2</v>
          </cell>
          <cell r="Q155">
            <v>1.1111111111111183E-2</v>
          </cell>
          <cell r="R155">
            <v>0.1284722222222221</v>
          </cell>
          <cell r="S155">
            <v>0.46527777777777768</v>
          </cell>
        </row>
        <row r="156">
          <cell r="A156" t="str">
            <v>18/5/2009</v>
          </cell>
          <cell r="B156" t="str">
            <v>RTI0005</v>
          </cell>
          <cell r="C156" t="str">
            <v>ANTON RAJAGUGUK</v>
          </cell>
          <cell r="D156" t="str">
            <v>1042351;1042362</v>
          </cell>
          <cell r="E156" t="str">
            <v>P-PULF</v>
          </cell>
          <cell r="F156" t="str">
            <v>Pulp Transport</v>
          </cell>
          <cell r="G156">
            <v>120</v>
          </cell>
          <cell r="H156">
            <v>6.9444444444444198E-3</v>
          </cell>
          <cell r="I156">
            <v>3.4722222222222099E-3</v>
          </cell>
          <cell r="J156">
            <v>1.7361111111111112E-2</v>
          </cell>
          <cell r="K156">
            <v>2.430555555555558E-2</v>
          </cell>
          <cell r="L156">
            <v>1.5972222222222165E-2</v>
          </cell>
          <cell r="M156">
            <v>7.6388888888889173E-3</v>
          </cell>
          <cell r="N156">
            <v>2.7777777777777679E-3</v>
          </cell>
          <cell r="O156">
            <v>0.10416666666666669</v>
          </cell>
          <cell r="P156">
            <v>6.9444444444444198E-3</v>
          </cell>
          <cell r="Q156">
            <v>1.736111111111116E-2</v>
          </cell>
          <cell r="R156">
            <v>0.1111111111111111</v>
          </cell>
          <cell r="S156">
            <v>0.31805555555555554</v>
          </cell>
        </row>
        <row r="157">
          <cell r="A157" t="str">
            <v>17/5/2009</v>
          </cell>
          <cell r="B157" t="str">
            <v>RTI0007</v>
          </cell>
          <cell r="C157" t="str">
            <v>RUSDI</v>
          </cell>
          <cell r="D157" t="str">
            <v>1039994;1039997</v>
          </cell>
          <cell r="E157" t="str">
            <v>P-PULF</v>
          </cell>
          <cell r="F157" t="str">
            <v>Pulp Transport</v>
          </cell>
          <cell r="G157">
            <v>120</v>
          </cell>
          <cell r="H157">
            <v>2.0833333333333259E-2</v>
          </cell>
          <cell r="I157">
            <v>1.736111111111116E-2</v>
          </cell>
          <cell r="J157">
            <v>3.4722222222220989E-3</v>
          </cell>
          <cell r="K157">
            <v>1.736111111111116E-2</v>
          </cell>
          <cell r="L157">
            <v>2.7777777777777901E-2</v>
          </cell>
          <cell r="M157">
            <v>1.736111111111116E-2</v>
          </cell>
          <cell r="N157">
            <v>6.9444444444445308E-3</v>
          </cell>
          <cell r="O157">
            <v>0.11458333333333326</v>
          </cell>
          <cell r="P157">
            <v>3.125E-2</v>
          </cell>
          <cell r="Q157">
            <v>3.4722222222222099E-3</v>
          </cell>
          <cell r="R157">
            <v>9.0277777777777901E-2</v>
          </cell>
          <cell r="S157">
            <v>0.35069444444444464</v>
          </cell>
        </row>
        <row r="158">
          <cell r="A158" t="str">
            <v>18/5/2009</v>
          </cell>
          <cell r="B158" t="str">
            <v>RTI0010</v>
          </cell>
          <cell r="C158" t="str">
            <v>BAMBANG SUHENDRI</v>
          </cell>
          <cell r="D158" t="str">
            <v>1041061;1041906</v>
          </cell>
          <cell r="E158" t="str">
            <v>P-PULF</v>
          </cell>
          <cell r="F158" t="str">
            <v>Pulp Transport</v>
          </cell>
          <cell r="G158">
            <v>120</v>
          </cell>
          <cell r="H158">
            <v>6.9444444444444198E-3</v>
          </cell>
          <cell r="I158">
            <v>1.7361111111111049E-2</v>
          </cell>
          <cell r="J158">
            <v>3.125E-2</v>
          </cell>
          <cell r="K158">
            <v>2.430555555555558E-2</v>
          </cell>
          <cell r="L158">
            <v>2.4305555555555691E-2</v>
          </cell>
          <cell r="M158">
            <v>4.513888888888884E-2</v>
          </cell>
          <cell r="N158">
            <v>6.9444444444444198E-3</v>
          </cell>
          <cell r="O158">
            <v>0.13888888888888884</v>
          </cell>
          <cell r="P158">
            <v>5.208333333333337E-2</v>
          </cell>
          <cell r="Q158">
            <v>3.4722222222220989E-3</v>
          </cell>
          <cell r="R158">
            <v>9.7222222222222321E-2</v>
          </cell>
          <cell r="S158">
            <v>0.44791666666666663</v>
          </cell>
        </row>
        <row r="159">
          <cell r="A159">
            <v>39952</v>
          </cell>
          <cell r="B159" t="str">
            <v>RTI0001</v>
          </cell>
          <cell r="C159" t="str">
            <v>JONSON  TAMPUBOLON</v>
          </cell>
          <cell r="D159" t="str">
            <v>1042592;1042593</v>
          </cell>
          <cell r="E159" t="str">
            <v>P-PULF</v>
          </cell>
          <cell r="F159" t="str">
            <v>Pulp Transport</v>
          </cell>
          <cell r="G159">
            <v>120</v>
          </cell>
          <cell r="H159">
            <v>6.9444444444443088E-3</v>
          </cell>
          <cell r="I159">
            <v>1.736111111111116E-2</v>
          </cell>
          <cell r="J159">
            <v>1.0416666666666741E-2</v>
          </cell>
          <cell r="K159">
            <v>1.736111111111116E-2</v>
          </cell>
          <cell r="L159">
            <v>1.388888888888884E-2</v>
          </cell>
          <cell r="M159">
            <v>1.041666666666663E-2</v>
          </cell>
          <cell r="N159">
            <v>1.736111111111116E-2</v>
          </cell>
          <cell r="O159">
            <v>7.638888888888884E-2</v>
          </cell>
          <cell r="P159">
            <v>2.1527777777777812E-2</v>
          </cell>
          <cell r="Q159">
            <v>1.388888888888884E-2</v>
          </cell>
          <cell r="R159">
            <v>9.0277777777777901E-2</v>
          </cell>
          <cell r="S159">
            <v>0.29583333333333339</v>
          </cell>
        </row>
        <row r="160">
          <cell r="A160">
            <v>39952</v>
          </cell>
          <cell r="B160" t="str">
            <v>RTI0011</v>
          </cell>
          <cell r="C160" t="str">
            <v>BUDI HANDOKO</v>
          </cell>
          <cell r="D160" t="str">
            <v>1042551;1042642</v>
          </cell>
          <cell r="E160" t="str">
            <v>P-PULF</v>
          </cell>
          <cell r="F160" t="str">
            <v>Pulp Transport</v>
          </cell>
          <cell r="G160">
            <v>120</v>
          </cell>
          <cell r="H160">
            <v>6.9444444444444198E-3</v>
          </cell>
          <cell r="I160">
            <v>1.3888888888888951E-2</v>
          </cell>
          <cell r="J160">
            <v>1.388888888888884E-2</v>
          </cell>
          <cell r="K160">
            <v>1.736111111111116E-2</v>
          </cell>
          <cell r="L160">
            <v>2.2916666666666585E-2</v>
          </cell>
          <cell r="M160">
            <v>1.8750000000000044E-2</v>
          </cell>
          <cell r="N160">
            <v>2.0138888888888817E-2</v>
          </cell>
          <cell r="O160">
            <v>7.638888888888884E-2</v>
          </cell>
          <cell r="P160">
            <v>1.736111111111116E-2</v>
          </cell>
          <cell r="Q160">
            <v>2.083333333333337E-2</v>
          </cell>
          <cell r="R160">
            <v>6.944444444444442E-2</v>
          </cell>
          <cell r="S160">
            <v>0.29791666666666661</v>
          </cell>
        </row>
        <row r="161">
          <cell r="A161">
            <v>39952</v>
          </cell>
          <cell r="B161" t="str">
            <v>RTI0002</v>
          </cell>
          <cell r="C161" t="str">
            <v>HALOMOAN PASARIBU</v>
          </cell>
          <cell r="D161" t="str">
            <v>1042594;1042595</v>
          </cell>
          <cell r="E161" t="str">
            <v>P-PULF</v>
          </cell>
          <cell r="F161" t="str">
            <v>Pulp Transport</v>
          </cell>
          <cell r="G161">
            <v>120</v>
          </cell>
          <cell r="H161">
            <v>6.9444444444443088E-3</v>
          </cell>
          <cell r="I161">
            <v>1.736111111111116E-2</v>
          </cell>
          <cell r="J161">
            <v>1.0416666666666741E-2</v>
          </cell>
          <cell r="K161">
            <v>1.388888888888884E-2</v>
          </cell>
          <cell r="L161">
            <v>1.736111111111116E-2</v>
          </cell>
          <cell r="M161">
            <v>1.041666666666663E-2</v>
          </cell>
          <cell r="N161">
            <v>2.777777777777779E-2</v>
          </cell>
          <cell r="O161">
            <v>7.638888888888884E-2</v>
          </cell>
          <cell r="P161">
            <v>2.4305555555555469E-2</v>
          </cell>
          <cell r="Q161">
            <v>1.736111111111116E-2</v>
          </cell>
          <cell r="R161">
            <v>6.9444444444444309E-2</v>
          </cell>
          <cell r="S161">
            <v>0.29166666666666641</v>
          </cell>
        </row>
        <row r="162">
          <cell r="A162">
            <v>39952</v>
          </cell>
          <cell r="B162" t="str">
            <v>RTI0006</v>
          </cell>
          <cell r="C162" t="str">
            <v>IMRAN NASUTION</v>
          </cell>
          <cell r="D162" t="str">
            <v>1042398;1042399</v>
          </cell>
          <cell r="E162" t="str">
            <v>P-PULF</v>
          </cell>
          <cell r="F162" t="str">
            <v>Pulp Transport</v>
          </cell>
          <cell r="G162">
            <v>120</v>
          </cell>
          <cell r="H162">
            <v>6.9444444444444198E-3</v>
          </cell>
          <cell r="I162">
            <v>1.3888888888888895E-2</v>
          </cell>
          <cell r="J162">
            <v>1.3888888888888895E-2</v>
          </cell>
          <cell r="K162">
            <v>1.7361111111111105E-2</v>
          </cell>
          <cell r="L162">
            <v>1.3888888888888895E-2</v>
          </cell>
          <cell r="M162">
            <v>1.041666666666663E-2</v>
          </cell>
          <cell r="N162">
            <v>1.3888888888888951E-2</v>
          </cell>
          <cell r="O162">
            <v>7.638888888888884E-2</v>
          </cell>
          <cell r="P162">
            <v>1.0416666666666685E-2</v>
          </cell>
          <cell r="Q162">
            <v>1.7361111111111105E-2</v>
          </cell>
          <cell r="R162">
            <v>6.25E-2</v>
          </cell>
          <cell r="S162">
            <v>0.25694444444444442</v>
          </cell>
        </row>
        <row r="163">
          <cell r="A163">
            <v>39952</v>
          </cell>
          <cell r="B163" t="str">
            <v>RTI0001</v>
          </cell>
          <cell r="C163" t="str">
            <v>JONSON  TAMPUBOLON</v>
          </cell>
          <cell r="D163" t="str">
            <v>1042433;1042434</v>
          </cell>
          <cell r="E163" t="str">
            <v>P-PULF</v>
          </cell>
          <cell r="F163" t="str">
            <v>Pulp Transport</v>
          </cell>
          <cell r="G163">
            <v>120</v>
          </cell>
          <cell r="H163">
            <v>6.9444444444444198E-3</v>
          </cell>
          <cell r="I163">
            <v>1.3888888888888895E-2</v>
          </cell>
          <cell r="J163">
            <v>1.3888888888888895E-2</v>
          </cell>
          <cell r="K163">
            <v>1.3888888888888867E-2</v>
          </cell>
          <cell r="L163">
            <v>1.3888888888888923E-2</v>
          </cell>
          <cell r="M163">
            <v>2.0833333333333343E-2</v>
          </cell>
          <cell r="N163">
            <v>1.7361111111111049E-2</v>
          </cell>
          <cell r="O163">
            <v>7.638888888888884E-2</v>
          </cell>
          <cell r="P163">
            <v>1.388888888888884E-2</v>
          </cell>
          <cell r="Q163">
            <v>2.3611111111111138E-2</v>
          </cell>
          <cell r="R163">
            <v>4.2361111111111072E-2</v>
          </cell>
          <cell r="S163">
            <v>0.25694444444444431</v>
          </cell>
        </row>
        <row r="164">
          <cell r="A164">
            <v>39952</v>
          </cell>
          <cell r="B164" t="str">
            <v>BFI0002</v>
          </cell>
          <cell r="C164" t="str">
            <v>NASIB</v>
          </cell>
          <cell r="D164" t="str">
            <v>1042444;1042466</v>
          </cell>
          <cell r="E164" t="str">
            <v>P-PULF</v>
          </cell>
          <cell r="F164" t="str">
            <v>Pulp Transport</v>
          </cell>
          <cell r="G164">
            <v>144</v>
          </cell>
          <cell r="H164">
            <v>6.9444444444444475E-3</v>
          </cell>
          <cell r="I164">
            <v>1.3888888888888895E-2</v>
          </cell>
          <cell r="J164">
            <v>1.3888888888888895E-2</v>
          </cell>
          <cell r="K164">
            <v>1.7361111111111077E-2</v>
          </cell>
          <cell r="L164">
            <v>1.7361111111111133E-2</v>
          </cell>
          <cell r="M164">
            <v>1.3888888888888867E-2</v>
          </cell>
          <cell r="N164">
            <v>1.8749999999999999E-2</v>
          </cell>
          <cell r="O164">
            <v>7.638888888888884E-2</v>
          </cell>
          <cell r="P164">
            <v>1.7361111111111105E-2</v>
          </cell>
          <cell r="Q164">
            <v>1.3888888888888895E-2</v>
          </cell>
          <cell r="R164">
            <v>8.2638888888888873E-2</v>
          </cell>
          <cell r="S164">
            <v>0.29236111111111102</v>
          </cell>
        </row>
        <row r="165">
          <cell r="A165">
            <v>39952</v>
          </cell>
          <cell r="B165" t="str">
            <v>RTI0002</v>
          </cell>
          <cell r="C165" t="str">
            <v>PAHOT.S</v>
          </cell>
          <cell r="D165" t="str">
            <v>1042445;1042445</v>
          </cell>
          <cell r="E165" t="str">
            <v>P-PULF</v>
          </cell>
          <cell r="F165" t="str">
            <v>Pulp Transport</v>
          </cell>
          <cell r="G165">
            <v>120</v>
          </cell>
          <cell r="H165">
            <v>6.9444444444444198E-3</v>
          </cell>
          <cell r="I165">
            <v>1.7361111111111105E-2</v>
          </cell>
          <cell r="J165">
            <v>1.0416666666666685E-2</v>
          </cell>
          <cell r="K165">
            <v>1.3888888888888867E-2</v>
          </cell>
          <cell r="L165">
            <v>1.7361111111111133E-2</v>
          </cell>
          <cell r="M165">
            <v>1.0416666666666657E-2</v>
          </cell>
          <cell r="N165">
            <v>1.3888888888888895E-2</v>
          </cell>
          <cell r="O165">
            <v>7.638888888888884E-2</v>
          </cell>
          <cell r="P165">
            <v>1.7361111111111105E-2</v>
          </cell>
          <cell r="Q165">
            <v>4.861111111111116E-2</v>
          </cell>
          <cell r="R165">
            <v>6.5972222222222154E-2</v>
          </cell>
          <cell r="S165">
            <v>0.29861111111111105</v>
          </cell>
        </row>
        <row r="166">
          <cell r="A166">
            <v>39952</v>
          </cell>
          <cell r="B166" t="str">
            <v>RTI0011</v>
          </cell>
          <cell r="C166" t="str">
            <v>NIKSON SAMOSIR</v>
          </cell>
          <cell r="D166" t="str">
            <v>1042244;1042388</v>
          </cell>
          <cell r="E166" t="str">
            <v>P-PULF</v>
          </cell>
          <cell r="F166" t="str">
            <v>Pulp Transport</v>
          </cell>
          <cell r="G166">
            <v>120</v>
          </cell>
          <cell r="H166">
            <v>6.9444444444444198E-3</v>
          </cell>
          <cell r="I166">
            <v>1.3888888888888923E-2</v>
          </cell>
          <cell r="J166">
            <v>1.3888888888888867E-2</v>
          </cell>
          <cell r="K166">
            <v>1.3888888888888895E-2</v>
          </cell>
          <cell r="L166">
            <v>1.9444444444444431E-2</v>
          </cell>
          <cell r="M166">
            <v>1.5277777777777779E-2</v>
          </cell>
          <cell r="N166">
            <v>2.430555555555558E-2</v>
          </cell>
          <cell r="O166">
            <v>7.638888888888884E-2</v>
          </cell>
          <cell r="P166">
            <v>2.430555555555558E-2</v>
          </cell>
          <cell r="Q166">
            <v>2.430555555555558E-2</v>
          </cell>
          <cell r="R166">
            <v>6.6666666666666652E-2</v>
          </cell>
          <cell r="S166">
            <v>0.29930555555555555</v>
          </cell>
        </row>
        <row r="167">
          <cell r="A167">
            <v>39952</v>
          </cell>
          <cell r="B167" t="str">
            <v>RTI0001</v>
          </cell>
          <cell r="C167" t="str">
            <v>JAMES SINAMBELA</v>
          </cell>
          <cell r="D167" t="str">
            <v>1042030;1042031</v>
          </cell>
          <cell r="E167" t="str">
            <v>P-PULF</v>
          </cell>
          <cell r="F167" t="str">
            <v>Pulp Transport</v>
          </cell>
          <cell r="G167">
            <v>120</v>
          </cell>
          <cell r="H167">
            <v>6.9444444444443088E-3</v>
          </cell>
          <cell r="I167">
            <v>1.3888888888889062E-2</v>
          </cell>
          <cell r="J167">
            <v>1.388888888888884E-2</v>
          </cell>
          <cell r="K167">
            <v>1.388888888888884E-2</v>
          </cell>
          <cell r="L167">
            <v>1.736111111111116E-2</v>
          </cell>
          <cell r="M167">
            <v>1.041666666666663E-2</v>
          </cell>
          <cell r="N167">
            <v>1.736111111111116E-2</v>
          </cell>
          <cell r="O167">
            <v>7.638888888888884E-2</v>
          </cell>
          <cell r="P167">
            <v>1.736111111111116E-2</v>
          </cell>
          <cell r="Q167">
            <v>1.7361111111110938E-2</v>
          </cell>
          <cell r="R167">
            <v>7.9861111111111133E-2</v>
          </cell>
          <cell r="S167">
            <v>0.2847222222222221</v>
          </cell>
        </row>
        <row r="168">
          <cell r="A168">
            <v>39952</v>
          </cell>
          <cell r="B168" t="str">
            <v>BFI0002</v>
          </cell>
          <cell r="C168" t="str">
            <v>NASIB</v>
          </cell>
          <cell r="D168" t="str">
            <v>1042298;1042301</v>
          </cell>
          <cell r="E168" t="str">
            <v>P-PULF</v>
          </cell>
          <cell r="F168" t="str">
            <v>Pulp Transport</v>
          </cell>
          <cell r="G168">
            <v>144</v>
          </cell>
          <cell r="H168">
            <v>6.9444444444444406E-3</v>
          </cell>
          <cell r="I168">
            <v>1.3888888888888881E-2</v>
          </cell>
          <cell r="J168">
            <v>1.3888888888888895E-2</v>
          </cell>
          <cell r="K168">
            <v>1.3888888888888895E-2</v>
          </cell>
          <cell r="L168">
            <v>1.7361111111111105E-2</v>
          </cell>
          <cell r="M168">
            <v>1.0416666666666671E-2</v>
          </cell>
          <cell r="N168">
            <v>1.3888888888888895E-2</v>
          </cell>
          <cell r="O168">
            <v>7.638888888888884E-2</v>
          </cell>
          <cell r="P168">
            <v>1.7361111111111133E-2</v>
          </cell>
          <cell r="Q168">
            <v>2.4305555555555525E-2</v>
          </cell>
          <cell r="R168">
            <v>9.097222222222226E-2</v>
          </cell>
          <cell r="S168">
            <v>0.29930555555555555</v>
          </cell>
        </row>
        <row r="169">
          <cell r="A169">
            <v>39952</v>
          </cell>
          <cell r="B169" t="str">
            <v>RTI0002</v>
          </cell>
          <cell r="C169" t="str">
            <v>HALOMOAN PASARIBU</v>
          </cell>
          <cell r="D169" t="str">
            <v>1042323;1042326</v>
          </cell>
          <cell r="E169" t="str">
            <v>P-PULF</v>
          </cell>
          <cell r="F169" t="str">
            <v>Pulp Transport</v>
          </cell>
          <cell r="G169">
            <v>120</v>
          </cell>
          <cell r="H169">
            <v>6.9444444444443088E-3</v>
          </cell>
          <cell r="I169">
            <v>1.3888888888889062E-2</v>
          </cell>
          <cell r="J169">
            <v>2.0833333333333259E-2</v>
          </cell>
          <cell r="K169">
            <v>1.388888888888884E-2</v>
          </cell>
          <cell r="L169">
            <v>1.6666666666666607E-2</v>
          </cell>
          <cell r="M169">
            <v>1.8055555555555602E-2</v>
          </cell>
          <cell r="N169">
            <v>1.736111111111116E-2</v>
          </cell>
          <cell r="O169">
            <v>7.638888888888884E-2</v>
          </cell>
          <cell r="P169">
            <v>1.7361111111110938E-2</v>
          </cell>
          <cell r="Q169">
            <v>1.3888888888889062E-2</v>
          </cell>
          <cell r="R169">
            <v>7.2916666666666741E-2</v>
          </cell>
          <cell r="S169">
            <v>0.28819444444444442</v>
          </cell>
        </row>
        <row r="170">
          <cell r="A170">
            <v>39952</v>
          </cell>
          <cell r="B170" t="str">
            <v>RTI0011</v>
          </cell>
          <cell r="C170" t="str">
            <v>BUDI HANDOKO</v>
          </cell>
          <cell r="D170" t="str">
            <v>1042251;1042322</v>
          </cell>
          <cell r="E170" t="str">
            <v>P-PULF</v>
          </cell>
          <cell r="F170" t="str">
            <v>Pulp Transport</v>
          </cell>
          <cell r="G170">
            <v>120</v>
          </cell>
          <cell r="H170">
            <v>6.9444444444444475E-3</v>
          </cell>
          <cell r="I170">
            <v>1.0416666666666657E-2</v>
          </cell>
          <cell r="J170">
            <v>1.7361111111111119E-2</v>
          </cell>
          <cell r="K170">
            <v>2.0833333333333315E-2</v>
          </cell>
          <cell r="L170">
            <v>6.2500000000000028E-2</v>
          </cell>
          <cell r="M170">
            <v>2.0833333333333343E-2</v>
          </cell>
          <cell r="N170">
            <v>2.0833333333333343E-2</v>
          </cell>
          <cell r="O170">
            <v>7.638888888888884E-2</v>
          </cell>
          <cell r="P170">
            <v>1.3888888888888895E-2</v>
          </cell>
          <cell r="Q170">
            <v>1.7361111111111105E-2</v>
          </cell>
          <cell r="R170">
            <v>6.2499999999999944E-2</v>
          </cell>
          <cell r="S170">
            <v>0.32986111111111099</v>
          </cell>
        </row>
        <row r="171">
          <cell r="A171">
            <v>39952</v>
          </cell>
          <cell r="B171" t="str">
            <v>RTI0004</v>
          </cell>
          <cell r="C171" t="str">
            <v>HENGKY FERNANDO</v>
          </cell>
          <cell r="D171" t="str">
            <v>1042207;1042208</v>
          </cell>
          <cell r="E171" t="str">
            <v>P-PULF</v>
          </cell>
          <cell r="F171" t="str">
            <v>Pulp Transport</v>
          </cell>
          <cell r="G171">
            <v>120</v>
          </cell>
          <cell r="H171">
            <v>6.9444444444443088E-3</v>
          </cell>
          <cell r="I171">
            <v>1.3888888888889062E-2</v>
          </cell>
          <cell r="J171">
            <v>1.388888888888884E-2</v>
          </cell>
          <cell r="K171">
            <v>1.736111111111116E-2</v>
          </cell>
          <cell r="L171">
            <v>1.388888888888884E-2</v>
          </cell>
          <cell r="M171">
            <v>1.041666666666663E-2</v>
          </cell>
          <cell r="N171">
            <v>1.736111111111116E-2</v>
          </cell>
          <cell r="O171">
            <v>7.638888888888884E-2</v>
          </cell>
          <cell r="P171">
            <v>1.7361111111110938E-2</v>
          </cell>
          <cell r="Q171">
            <v>1.3888888888889062E-2</v>
          </cell>
          <cell r="R171">
            <v>9.3749999999999889E-2</v>
          </cell>
          <cell r="S171">
            <v>0.29513888888888873</v>
          </cell>
        </row>
        <row r="172">
          <cell r="A172">
            <v>39952</v>
          </cell>
          <cell r="B172" t="str">
            <v>RTI0006</v>
          </cell>
          <cell r="C172" t="str">
            <v>YULIANTO</v>
          </cell>
          <cell r="D172" t="str">
            <v>1042290;1042320</v>
          </cell>
          <cell r="E172" t="str">
            <v>P-PULF</v>
          </cell>
          <cell r="F172" t="str">
            <v>Pulp Transport</v>
          </cell>
          <cell r="G172">
            <v>120</v>
          </cell>
          <cell r="H172">
            <v>6.9444444444443088E-3</v>
          </cell>
          <cell r="I172">
            <v>1.3888888888889062E-2</v>
          </cell>
          <cell r="J172">
            <v>1.388888888888884E-2</v>
          </cell>
          <cell r="K172">
            <v>1.388888888888884E-2</v>
          </cell>
          <cell r="L172">
            <v>1.736111111111116E-2</v>
          </cell>
          <cell r="M172">
            <v>1.7361111111111049E-2</v>
          </cell>
          <cell r="N172">
            <v>1.736111111111116E-2</v>
          </cell>
          <cell r="O172">
            <v>7.638888888888884E-2</v>
          </cell>
          <cell r="P172">
            <v>2.0833333333333259E-2</v>
          </cell>
          <cell r="Q172">
            <v>2.0833333333333481E-2</v>
          </cell>
          <cell r="R172">
            <v>6.25E-2</v>
          </cell>
          <cell r="S172">
            <v>0.28125</v>
          </cell>
        </row>
        <row r="173">
          <cell r="A173">
            <v>39952</v>
          </cell>
          <cell r="B173" t="str">
            <v>RTI0010</v>
          </cell>
          <cell r="C173" t="str">
            <v>BAMBANG SUHENDRI</v>
          </cell>
          <cell r="D173" t="str">
            <v>1042299;1042300</v>
          </cell>
          <cell r="E173" t="str">
            <v>P-PULF</v>
          </cell>
          <cell r="F173" t="str">
            <v>Pulp Transport</v>
          </cell>
          <cell r="G173">
            <v>120</v>
          </cell>
          <cell r="H173">
            <v>6.9444444444444475E-3</v>
          </cell>
          <cell r="I173">
            <v>1.0416666666666657E-2</v>
          </cell>
          <cell r="J173">
            <v>1.7361111111111119E-2</v>
          </cell>
          <cell r="K173">
            <v>1.3888888888888895E-2</v>
          </cell>
          <cell r="L173">
            <v>2.777777777777779E-2</v>
          </cell>
          <cell r="M173">
            <v>1.7361111111111077E-2</v>
          </cell>
          <cell r="N173">
            <v>1.7361111111111133E-2</v>
          </cell>
          <cell r="O173">
            <v>7.638888888888884E-2</v>
          </cell>
          <cell r="P173">
            <v>2.4305555555555552E-2</v>
          </cell>
          <cell r="Q173">
            <v>2.4305555555555525E-2</v>
          </cell>
          <cell r="R173">
            <v>4.861111111111116E-2</v>
          </cell>
          <cell r="S173">
            <v>0.28472222222222221</v>
          </cell>
        </row>
        <row r="174">
          <cell r="A174">
            <v>39952</v>
          </cell>
          <cell r="B174" t="str">
            <v>RTI0008</v>
          </cell>
          <cell r="C174" t="str">
            <v>JAILANI</v>
          </cell>
          <cell r="D174" t="str">
            <v>1042394;1042395</v>
          </cell>
          <cell r="E174" t="str">
            <v>P-PULF</v>
          </cell>
          <cell r="F174" t="str">
            <v>Pulp Transport</v>
          </cell>
          <cell r="G174">
            <v>120</v>
          </cell>
          <cell r="H174">
            <v>1.041666666666663E-2</v>
          </cell>
          <cell r="I174">
            <v>6.9444444444444475E-3</v>
          </cell>
          <cell r="J174">
            <v>2.0833333333333329E-2</v>
          </cell>
          <cell r="K174">
            <v>1.3888888888888895E-2</v>
          </cell>
          <cell r="L174">
            <v>1.7361111111111105E-2</v>
          </cell>
          <cell r="M174">
            <v>1.7361111111111133E-2</v>
          </cell>
          <cell r="N174">
            <v>2.4305555555555525E-2</v>
          </cell>
          <cell r="O174">
            <v>7.638888888888884E-2</v>
          </cell>
          <cell r="P174">
            <v>1.7361111111111077E-2</v>
          </cell>
          <cell r="Q174">
            <v>1.7361111111111133E-2</v>
          </cell>
          <cell r="R174">
            <v>7.9861111111111133E-2</v>
          </cell>
          <cell r="S174">
            <v>0.30208333333333326</v>
          </cell>
        </row>
        <row r="175">
          <cell r="A175">
            <v>39952</v>
          </cell>
          <cell r="B175" t="str">
            <v>RTI0004</v>
          </cell>
          <cell r="C175" t="str">
            <v>HENGKY FERNANDO</v>
          </cell>
          <cell r="D175" t="str">
            <v>1042423;1042424</v>
          </cell>
          <cell r="E175" t="str">
            <v>P-PULF</v>
          </cell>
          <cell r="F175" t="str">
            <v>Pulp Transport</v>
          </cell>
          <cell r="G175">
            <v>120</v>
          </cell>
          <cell r="H175">
            <v>6.9444444444444475E-3</v>
          </cell>
          <cell r="I175">
            <v>1.7361111111111105E-2</v>
          </cell>
          <cell r="J175">
            <v>1.7361111111111119E-2</v>
          </cell>
          <cell r="K175">
            <v>2.0833333333333315E-2</v>
          </cell>
          <cell r="L175">
            <v>1.3888888888888895E-2</v>
          </cell>
          <cell r="M175">
            <v>1.7361111111111133E-2</v>
          </cell>
          <cell r="N175">
            <v>2.0833333333333343E-2</v>
          </cell>
          <cell r="O175">
            <v>7.638888888888884E-2</v>
          </cell>
          <cell r="P175">
            <v>1.7361111111111133E-2</v>
          </cell>
          <cell r="Q175">
            <v>3.1249999999999972E-2</v>
          </cell>
          <cell r="R175">
            <v>6.3194444444444442E-2</v>
          </cell>
          <cell r="S175">
            <v>0.30277777777777776</v>
          </cell>
        </row>
        <row r="176">
          <cell r="A176">
            <v>39951</v>
          </cell>
          <cell r="B176" t="str">
            <v>RTI0007</v>
          </cell>
          <cell r="C176" t="str">
            <v>RUSDI</v>
          </cell>
          <cell r="D176" t="str">
            <v>1042238;1040507</v>
          </cell>
          <cell r="E176" t="str">
            <v>P-PULF</v>
          </cell>
          <cell r="F176" t="str">
            <v>Pulp Transport</v>
          </cell>
          <cell r="G176">
            <v>120</v>
          </cell>
          <cell r="H176">
            <v>6.9444444444445308E-3</v>
          </cell>
          <cell r="I176">
            <v>1.041666666666663E-2</v>
          </cell>
          <cell r="J176">
            <v>2.430555555555558E-2</v>
          </cell>
          <cell r="K176">
            <v>3.4722222222223209E-3</v>
          </cell>
          <cell r="L176">
            <v>1.388888888888884E-2</v>
          </cell>
          <cell r="M176">
            <v>1.041666666666663E-2</v>
          </cell>
          <cell r="N176">
            <v>1.736111111111116E-2</v>
          </cell>
          <cell r="O176">
            <v>7.638888888888884E-2</v>
          </cell>
          <cell r="P176">
            <v>2.4305555555555469E-2</v>
          </cell>
          <cell r="Q176">
            <v>1.736111111111116E-2</v>
          </cell>
          <cell r="R176">
            <v>6.9444444444444531E-2</v>
          </cell>
          <cell r="S176">
            <v>0.27430555555555569</v>
          </cell>
        </row>
        <row r="177">
          <cell r="A177">
            <v>39953</v>
          </cell>
          <cell r="B177" t="str">
            <v>RTI0010</v>
          </cell>
          <cell r="C177" t="str">
            <v>HOTMAN SM. HUTASOIT</v>
          </cell>
          <cell r="D177" t="str">
            <v>1042616;1042617</v>
          </cell>
          <cell r="E177" t="str">
            <v>P-PULF</v>
          </cell>
          <cell r="F177" t="str">
            <v>Pulp Transport</v>
          </cell>
          <cell r="G177">
            <v>120</v>
          </cell>
          <cell r="H177">
            <v>1.0416666666666741E-2</v>
          </cell>
          <cell r="I177">
            <v>6.9444444444445308E-3</v>
          </cell>
          <cell r="J177">
            <v>1.8055555555555491E-2</v>
          </cell>
          <cell r="K177">
            <v>6.2500000000000888E-3</v>
          </cell>
          <cell r="L177">
            <v>2.4305555555555469E-2</v>
          </cell>
          <cell r="M177">
            <v>1.0069444444444444</v>
          </cell>
          <cell r="N177">
            <v>6.9444444444446418E-3</v>
          </cell>
          <cell r="O177">
            <v>9.6527777777777768E-2</v>
          </cell>
          <cell r="P177">
            <v>1.0416666666666519E-2</v>
          </cell>
          <cell r="Q177">
            <v>4.1666666666666519E-3</v>
          </cell>
          <cell r="R177">
            <v>9.7222222222222321E-2</v>
          </cell>
          <cell r="S177">
            <v>1.2881944444444446</v>
          </cell>
        </row>
        <row r="178">
          <cell r="A178">
            <v>39952</v>
          </cell>
          <cell r="B178" t="str">
            <v>RTI0008</v>
          </cell>
          <cell r="C178" t="str">
            <v>JAILANI</v>
          </cell>
          <cell r="D178" t="str">
            <v>1042612;1042613</v>
          </cell>
          <cell r="E178" t="str">
            <v>P-PULF</v>
          </cell>
          <cell r="F178" t="str">
            <v>Pulp Transport</v>
          </cell>
          <cell r="G178">
            <v>120</v>
          </cell>
          <cell r="H178">
            <v>4.4444444444444509E-2</v>
          </cell>
          <cell r="I178">
            <v>1.5972222222222165E-2</v>
          </cell>
          <cell r="J178">
            <v>7.986111111111116E-2</v>
          </cell>
          <cell r="K178">
            <v>1.736111111111116E-2</v>
          </cell>
          <cell r="L178">
            <v>1.4583333333333282E-2</v>
          </cell>
          <cell r="M178">
            <v>2.3611111111111027E-2</v>
          </cell>
          <cell r="N178">
            <v>1.3888888888888895E-2</v>
          </cell>
          <cell r="O178">
            <v>7.638888888888884E-2</v>
          </cell>
          <cell r="P178">
            <v>4.6527777777777724E-2</v>
          </cell>
          <cell r="Q178">
            <v>1.2499999999999956E-2</v>
          </cell>
          <cell r="R178">
            <v>6.944444444444442E-2</v>
          </cell>
          <cell r="S178">
            <v>0.41458333333333314</v>
          </cell>
        </row>
        <row r="179">
          <cell r="A179">
            <v>39952</v>
          </cell>
          <cell r="B179" t="str">
            <v>BFI0002</v>
          </cell>
          <cell r="C179" t="str">
            <v>DONRY  IRVAN</v>
          </cell>
          <cell r="D179" t="str">
            <v>1042684;1042685</v>
          </cell>
          <cell r="E179" t="str">
            <v>P-PULF</v>
          </cell>
          <cell r="F179" t="str">
            <v>Pulp Transport</v>
          </cell>
          <cell r="G179">
            <v>144</v>
          </cell>
          <cell r="H179">
            <v>4.1666666666666519E-3</v>
          </cell>
          <cell r="I179">
            <v>1.0416666666666685E-2</v>
          </cell>
          <cell r="J179">
            <v>2.0833333333333315E-2</v>
          </cell>
          <cell r="K179">
            <v>2.777777777777779E-2</v>
          </cell>
          <cell r="L179">
            <v>1.7361111111111133E-2</v>
          </cell>
          <cell r="M179">
            <v>3.125E-2</v>
          </cell>
          <cell r="N179">
            <v>1.1805555555555569E-2</v>
          </cell>
          <cell r="O179">
            <v>0.10277777777777775</v>
          </cell>
          <cell r="P179">
            <v>2.7777777777777679E-2</v>
          </cell>
          <cell r="Q179">
            <v>9.375E-2</v>
          </cell>
          <cell r="R179">
            <v>0.13055555555555554</v>
          </cell>
          <cell r="S179">
            <v>0.47847222222222208</v>
          </cell>
        </row>
        <row r="180">
          <cell r="A180">
            <v>39953</v>
          </cell>
          <cell r="B180" t="str">
            <v>RTI0009</v>
          </cell>
          <cell r="C180" t="str">
            <v>JAMALUDDIN IB</v>
          </cell>
          <cell r="D180" t="str">
            <v>1042620;1042621</v>
          </cell>
          <cell r="E180" t="str">
            <v>P-PULF</v>
          </cell>
          <cell r="F180" t="str">
            <v>Pulp Transport</v>
          </cell>
          <cell r="G180">
            <v>120</v>
          </cell>
          <cell r="H180">
            <v>3.4722222222222099E-3</v>
          </cell>
          <cell r="I180">
            <v>6.9444444444445308E-3</v>
          </cell>
          <cell r="J180">
            <v>6.25E-2</v>
          </cell>
          <cell r="K180">
            <v>4.8611111111109828E-3</v>
          </cell>
          <cell r="L180">
            <v>1.2499999999999956E-2</v>
          </cell>
          <cell r="M180">
            <v>3.4722222222223209E-3</v>
          </cell>
          <cell r="N180">
            <v>1.0416666666666741E-2</v>
          </cell>
          <cell r="O180">
            <v>0.11041666666666661</v>
          </cell>
          <cell r="P180">
            <v>2.7777777777777679E-2</v>
          </cell>
          <cell r="Q180">
            <v>8.3333333333333037E-3</v>
          </cell>
          <cell r="R180">
            <v>9.0277777777777901E-2</v>
          </cell>
          <cell r="S180">
            <v>0.34097222222222223</v>
          </cell>
        </row>
        <row r="181">
          <cell r="A181">
            <v>39952</v>
          </cell>
          <cell r="B181" t="str">
            <v>RTI0001</v>
          </cell>
          <cell r="C181" t="str">
            <v>JONSON  TAMPUBOLON</v>
          </cell>
          <cell r="D181" t="str">
            <v>1042645;1042646</v>
          </cell>
          <cell r="E181" t="str">
            <v>P-PULF</v>
          </cell>
          <cell r="F181" t="str">
            <v>Pulp Transport</v>
          </cell>
          <cell r="G181">
            <v>120</v>
          </cell>
          <cell r="H181">
            <v>6.9444444444444198E-3</v>
          </cell>
          <cell r="I181">
            <v>1.0416666666666685E-2</v>
          </cell>
          <cell r="J181">
            <v>6.9444444444444198E-3</v>
          </cell>
          <cell r="K181">
            <v>1.3888888888888895E-2</v>
          </cell>
          <cell r="L181">
            <v>2.777777777777779E-2</v>
          </cell>
          <cell r="M181">
            <v>1.736111111111116E-2</v>
          </cell>
          <cell r="N181">
            <v>4.1666666666667074E-3</v>
          </cell>
          <cell r="O181">
            <v>9.3055555555555503E-2</v>
          </cell>
          <cell r="P181">
            <v>0.13611111111111118</v>
          </cell>
          <cell r="Q181">
            <v>1.7361111111111049E-2</v>
          </cell>
          <cell r="R181">
            <v>0.12152777777777779</v>
          </cell>
          <cell r="S181">
            <v>0.4555555555555556</v>
          </cell>
        </row>
        <row r="182">
          <cell r="A182">
            <v>39952</v>
          </cell>
          <cell r="B182" t="str">
            <v>RTI0007</v>
          </cell>
          <cell r="C182" t="str">
            <v>RUSDI</v>
          </cell>
          <cell r="D182" t="str">
            <v>1042602;1042603</v>
          </cell>
          <cell r="E182" t="str">
            <v>P-PULF</v>
          </cell>
          <cell r="F182" t="str">
            <v>Pulp Transport</v>
          </cell>
          <cell r="G182">
            <v>120</v>
          </cell>
          <cell r="H182">
            <v>3.4722222222220989E-3</v>
          </cell>
          <cell r="I182">
            <v>6.9444444444445308E-3</v>
          </cell>
          <cell r="J182">
            <v>2.4305555555555469E-2</v>
          </cell>
          <cell r="K182">
            <v>2.430555555555558E-2</v>
          </cell>
          <cell r="L182">
            <v>1.736111111111116E-2</v>
          </cell>
          <cell r="M182">
            <v>5.208333333333337E-2</v>
          </cell>
          <cell r="N182">
            <v>3.4722222222222099E-3</v>
          </cell>
          <cell r="O182">
            <v>0.11111111111111105</v>
          </cell>
          <cell r="P182">
            <v>2.0833333333333481E-2</v>
          </cell>
          <cell r="Q182">
            <v>3.4722222222220989E-3</v>
          </cell>
          <cell r="R182">
            <v>0.11111111111111116</v>
          </cell>
          <cell r="S182">
            <v>0.37847222222222221</v>
          </cell>
        </row>
        <row r="183">
          <cell r="A183">
            <v>39952</v>
          </cell>
          <cell r="B183" t="str">
            <v>BFI0002</v>
          </cell>
          <cell r="C183" t="str">
            <v>DONRY  IRVAN</v>
          </cell>
          <cell r="D183" t="str">
            <v>1042596;1042597</v>
          </cell>
          <cell r="E183" t="str">
            <v>P-PULF</v>
          </cell>
          <cell r="F183" t="str">
            <v>Pulp Transport</v>
          </cell>
          <cell r="G183">
            <v>144</v>
          </cell>
          <cell r="H183">
            <v>6.9444444444445308E-3</v>
          </cell>
          <cell r="I183">
            <v>2.0833333333333259E-3</v>
          </cell>
          <cell r="J183">
            <v>3.3333333333333215E-2</v>
          </cell>
          <cell r="K183">
            <v>2.777777777777779E-2</v>
          </cell>
          <cell r="L183">
            <v>1.388888888888884E-2</v>
          </cell>
          <cell r="M183">
            <v>2.9166666666666785E-2</v>
          </cell>
          <cell r="N183">
            <v>3.4722222222222099E-3</v>
          </cell>
          <cell r="O183">
            <v>0.10416666666666674</v>
          </cell>
          <cell r="P183">
            <v>1.736111111111116E-2</v>
          </cell>
          <cell r="Q183">
            <v>1.0416666666666519E-2</v>
          </cell>
          <cell r="R183">
            <v>0.11111111111111116</v>
          </cell>
          <cell r="S183">
            <v>0.35972222222222228</v>
          </cell>
        </row>
        <row r="184">
          <cell r="A184">
            <v>39952</v>
          </cell>
          <cell r="B184" t="str">
            <v>RTI0006</v>
          </cell>
          <cell r="C184" t="str">
            <v>YULIANTO</v>
          </cell>
          <cell r="D184" t="str">
            <v>1042580;1042581</v>
          </cell>
          <cell r="E184" t="str">
            <v>P-PULF</v>
          </cell>
          <cell r="F184" t="str">
            <v>Pulp Transport</v>
          </cell>
          <cell r="G184">
            <v>120</v>
          </cell>
          <cell r="H184">
            <v>3.4722222222222099E-3</v>
          </cell>
          <cell r="I184">
            <v>6.9444444444444198E-3</v>
          </cell>
          <cell r="J184">
            <v>1.388888888888884E-2</v>
          </cell>
          <cell r="K184">
            <v>2.430555555555558E-2</v>
          </cell>
          <cell r="L184">
            <v>1.736111111111116E-2</v>
          </cell>
          <cell r="M184">
            <v>6.9444444444444198E-3</v>
          </cell>
          <cell r="N184">
            <v>6.9444444444444198E-3</v>
          </cell>
          <cell r="O184">
            <v>7.986111111111116E-2</v>
          </cell>
          <cell r="P184">
            <v>2.0833333333333259E-2</v>
          </cell>
          <cell r="Q184">
            <v>3.4722222222222099E-3</v>
          </cell>
          <cell r="R184">
            <v>6.5972222222222321E-2</v>
          </cell>
          <cell r="S184">
            <v>0.25</v>
          </cell>
        </row>
        <row r="185">
          <cell r="A185">
            <v>39952</v>
          </cell>
          <cell r="B185" t="str">
            <v>RTI0005</v>
          </cell>
          <cell r="C185" t="str">
            <v>M. ISA GANI</v>
          </cell>
          <cell r="D185" t="str">
            <v>1042647;1042648</v>
          </cell>
          <cell r="E185" t="str">
            <v>P-PULF</v>
          </cell>
          <cell r="F185" t="str">
            <v>Pulp Transport</v>
          </cell>
          <cell r="G185">
            <v>120</v>
          </cell>
          <cell r="H185">
            <v>1.3888888888888895E-2</v>
          </cell>
          <cell r="I185">
            <v>1.0416666666666657E-2</v>
          </cell>
          <cell r="J185">
            <v>2.0833333333333343E-2</v>
          </cell>
          <cell r="K185">
            <v>1.388888888888884E-3</v>
          </cell>
          <cell r="L185">
            <v>1.0416666666666657E-2</v>
          </cell>
          <cell r="M185">
            <v>2.6388888888888906E-2</v>
          </cell>
          <cell r="N185">
            <v>6.9444444444444753E-3</v>
          </cell>
          <cell r="O185">
            <v>7.638888888888884E-2</v>
          </cell>
          <cell r="P185">
            <v>6.9444444444444198E-3</v>
          </cell>
          <cell r="Q185">
            <v>2.083333333333337E-2</v>
          </cell>
          <cell r="R185">
            <v>0.14444444444444438</v>
          </cell>
          <cell r="S185">
            <v>0.3388888888888888</v>
          </cell>
        </row>
        <row r="186">
          <cell r="A186">
            <v>39952</v>
          </cell>
          <cell r="B186" t="str">
            <v>RTI0007</v>
          </cell>
          <cell r="C186" t="str">
            <v>RUSDI</v>
          </cell>
          <cell r="D186" t="str">
            <v>1042649;1042688</v>
          </cell>
          <cell r="E186" t="str">
            <v>P-PULF</v>
          </cell>
          <cell r="F186" t="str">
            <v>Pulp Transport</v>
          </cell>
          <cell r="G186">
            <v>120</v>
          </cell>
          <cell r="H186">
            <v>6.9444444444444475E-3</v>
          </cell>
          <cell r="I186">
            <v>6.9444444444445308E-3</v>
          </cell>
          <cell r="J186">
            <v>3.472222222222221E-2</v>
          </cell>
          <cell r="K186">
            <v>2.430555555555558E-2</v>
          </cell>
          <cell r="L186">
            <v>1.3888888888888895E-2</v>
          </cell>
          <cell r="M186">
            <v>1.3888888888888895E-2</v>
          </cell>
          <cell r="N186">
            <v>6.9444444444444198E-3</v>
          </cell>
          <cell r="O186">
            <v>9.3055555555555558E-2</v>
          </cell>
          <cell r="P186">
            <v>1.8055555555555547E-2</v>
          </cell>
          <cell r="Q186">
            <v>9.027777777777779E-2</v>
          </cell>
          <cell r="R186">
            <v>0.1388888888888889</v>
          </cell>
          <cell r="S186">
            <v>0.4479166666666668</v>
          </cell>
        </row>
        <row r="187">
          <cell r="A187">
            <v>39952</v>
          </cell>
          <cell r="B187" t="str">
            <v>RTI0004</v>
          </cell>
          <cell r="C187" t="str">
            <v>HENGKY FERNANDO</v>
          </cell>
          <cell r="D187" t="str">
            <v>1042530;1042531</v>
          </cell>
          <cell r="E187" t="str">
            <v>P-PULF</v>
          </cell>
          <cell r="F187" t="str">
            <v>Pulp Transport</v>
          </cell>
          <cell r="G187">
            <v>120</v>
          </cell>
          <cell r="H187">
            <v>6.9444444444443088E-3</v>
          </cell>
          <cell r="I187">
            <v>1.041666666666663E-2</v>
          </cell>
          <cell r="J187">
            <v>6.9444444444445308E-3</v>
          </cell>
          <cell r="K187">
            <v>2.777777777777779E-2</v>
          </cell>
          <cell r="L187">
            <v>1.0416666666666741E-2</v>
          </cell>
          <cell r="M187">
            <v>4.513888888888884E-2</v>
          </cell>
          <cell r="N187">
            <v>3.125E-2</v>
          </cell>
          <cell r="O187">
            <v>0.15625</v>
          </cell>
          <cell r="P187">
            <v>2.083333333333337E-2</v>
          </cell>
          <cell r="Q187">
            <v>3.4722222222220989E-3</v>
          </cell>
          <cell r="R187">
            <v>0.10069444444444442</v>
          </cell>
          <cell r="S187">
            <v>0.42013888888888873</v>
          </cell>
        </row>
        <row r="188">
          <cell r="A188">
            <v>39952</v>
          </cell>
          <cell r="B188" t="str">
            <v>RTI0004</v>
          </cell>
          <cell r="C188" t="str">
            <v>HENGKY FERNANDO</v>
          </cell>
          <cell r="D188" t="str">
            <v>1042598;1042599</v>
          </cell>
          <cell r="E188" t="str">
            <v>P-PULF</v>
          </cell>
          <cell r="F188" t="str">
            <v>Pulp Transport</v>
          </cell>
          <cell r="G188">
            <v>120</v>
          </cell>
          <cell r="H188">
            <v>6.9444444444444198E-3</v>
          </cell>
          <cell r="I188">
            <v>4.1666666666666685E-2</v>
          </cell>
          <cell r="J188">
            <v>3.472222222222221E-2</v>
          </cell>
          <cell r="K188">
            <v>2.430555555555558E-2</v>
          </cell>
          <cell r="L188">
            <v>1.0416666666666685E-2</v>
          </cell>
          <cell r="M188">
            <v>1.0416666666666657E-2</v>
          </cell>
          <cell r="N188">
            <v>2.0833333333333315E-2</v>
          </cell>
          <cell r="O188">
            <v>0.10763888888888895</v>
          </cell>
          <cell r="P188">
            <v>1.041666666666663E-2</v>
          </cell>
          <cell r="Q188">
            <v>1.0416666666666685E-2</v>
          </cell>
          <cell r="R188">
            <v>9.0277777777777735E-2</v>
          </cell>
          <cell r="S188">
            <v>0.36805555555555558</v>
          </cell>
        </row>
        <row r="189">
          <cell r="A189">
            <v>39952</v>
          </cell>
          <cell r="B189" t="str">
            <v>RTI0005</v>
          </cell>
          <cell r="C189" t="str">
            <v>M. ISA GANI</v>
          </cell>
          <cell r="D189" t="str">
            <v>1042527;1042528</v>
          </cell>
          <cell r="E189" t="str">
            <v>P-PULF</v>
          </cell>
          <cell r="F189" t="str">
            <v>Pulp Transport</v>
          </cell>
          <cell r="G189">
            <v>120</v>
          </cell>
          <cell r="H189">
            <v>6.9444444444444198E-3</v>
          </cell>
          <cell r="I189">
            <v>6.9444444444445308E-3</v>
          </cell>
          <cell r="J189">
            <v>1.736111111111116E-2</v>
          </cell>
          <cell r="K189">
            <v>1.388888888888884E-3</v>
          </cell>
          <cell r="L189">
            <v>1.5972222222222165E-2</v>
          </cell>
          <cell r="M189">
            <v>1.736111111111116E-2</v>
          </cell>
          <cell r="N189">
            <v>3.4722222222222099E-3</v>
          </cell>
          <cell r="O189">
            <v>0.11805555555555547</v>
          </cell>
          <cell r="P189">
            <v>1.0416666666666741E-2</v>
          </cell>
          <cell r="Q189">
            <v>3.472222222222221E-2</v>
          </cell>
          <cell r="R189">
            <v>0.13194444444444442</v>
          </cell>
          <cell r="S189">
            <v>0.36458333333333337</v>
          </cell>
        </row>
        <row r="190">
          <cell r="A190">
            <v>39953</v>
          </cell>
          <cell r="B190" t="str">
            <v>RTI0005</v>
          </cell>
          <cell r="C190" t="str">
            <v>ANTON RAJAGUGUK</v>
          </cell>
          <cell r="D190" t="str">
            <v>1043734;1042735</v>
          </cell>
          <cell r="E190" t="str">
            <v>P-PULF</v>
          </cell>
          <cell r="F190" t="str">
            <v>Pulp Transport</v>
          </cell>
          <cell r="G190">
            <v>120</v>
          </cell>
          <cell r="H190">
            <v>6.9444444444445308E-3</v>
          </cell>
          <cell r="I190">
            <v>6.9444444444444309E-2</v>
          </cell>
          <cell r="J190">
            <v>2.083333333333337E-2</v>
          </cell>
          <cell r="K190">
            <v>3.4722222222223209E-3</v>
          </cell>
          <cell r="L190">
            <v>6.9444444444443088E-3</v>
          </cell>
          <cell r="M190">
            <v>8.3333333333335258E-3</v>
          </cell>
          <cell r="N190">
            <v>8.3333333333333037E-3</v>
          </cell>
          <cell r="O190">
            <v>0.11874999999999999</v>
          </cell>
          <cell r="P190">
            <v>6.9444444444444198E-3</v>
          </cell>
          <cell r="Q190">
            <v>2.7777777777777901E-2</v>
          </cell>
          <cell r="R190">
            <v>7.6388888888888729E-2</v>
          </cell>
          <cell r="S190">
            <v>0.35416666666666674</v>
          </cell>
        </row>
        <row r="191">
          <cell r="A191">
            <v>39952</v>
          </cell>
          <cell r="B191" t="str">
            <v>RTI0011</v>
          </cell>
          <cell r="C191" t="str">
            <v>BUDI HANDOKO</v>
          </cell>
          <cell r="D191" t="str">
            <v>1042600;1042601</v>
          </cell>
          <cell r="E191" t="str">
            <v>P-PULF</v>
          </cell>
          <cell r="F191" t="str">
            <v>Pulp Transport</v>
          </cell>
          <cell r="G191">
            <v>120</v>
          </cell>
          <cell r="H191">
            <v>3.4722222222222099E-3</v>
          </cell>
          <cell r="I191">
            <v>1.3888888888888895E-2</v>
          </cell>
          <cell r="J191">
            <v>2.4305555555555525E-2</v>
          </cell>
          <cell r="K191">
            <v>3.4722222222222654E-3</v>
          </cell>
          <cell r="L191">
            <v>2.7777777777777735E-2</v>
          </cell>
          <cell r="M191">
            <v>5.9027777777777818E-2</v>
          </cell>
          <cell r="N191">
            <v>3.4722222222222099E-3</v>
          </cell>
          <cell r="O191">
            <v>7.638888888888884E-2</v>
          </cell>
          <cell r="P191">
            <v>2.4305555555555636E-2</v>
          </cell>
          <cell r="Q191">
            <v>6.9444444444444198E-3</v>
          </cell>
          <cell r="R191">
            <v>0.10069444444444442</v>
          </cell>
          <cell r="S191">
            <v>0.34375</v>
          </cell>
        </row>
        <row r="192">
          <cell r="A192">
            <v>39953</v>
          </cell>
          <cell r="B192" t="str">
            <v>RTI0002</v>
          </cell>
          <cell r="C192" t="str">
            <v>HALOMOAN PASARIBU</v>
          </cell>
          <cell r="D192" t="str">
            <v>1042686;1042687</v>
          </cell>
          <cell r="E192" t="str">
            <v>P-PULF</v>
          </cell>
          <cell r="F192" t="str">
            <v>Pulp Transport</v>
          </cell>
          <cell r="G192">
            <v>120</v>
          </cell>
          <cell r="H192">
            <v>6.9444444444444753E-3</v>
          </cell>
          <cell r="I192">
            <v>1.388888888888884E-2</v>
          </cell>
          <cell r="J192">
            <v>2.0833333333333315E-2</v>
          </cell>
          <cell r="K192">
            <v>2.083333333333337E-2</v>
          </cell>
          <cell r="L192">
            <v>1.3888888888888895E-2</v>
          </cell>
          <cell r="M192">
            <v>1.7361111111111049E-2</v>
          </cell>
          <cell r="N192">
            <v>1.736111111111116E-2</v>
          </cell>
          <cell r="O192">
            <v>7.638888888888884E-2</v>
          </cell>
          <cell r="P192">
            <v>0.10069444444444442</v>
          </cell>
          <cell r="Q192">
            <v>1.736111111111116E-2</v>
          </cell>
          <cell r="R192">
            <v>0.11458333333333337</v>
          </cell>
          <cell r="S192">
            <v>0.4201388888888889</v>
          </cell>
        </row>
        <row r="193">
          <cell r="A193">
            <v>39953</v>
          </cell>
          <cell r="B193" t="str">
            <v>BFI0001</v>
          </cell>
          <cell r="C193" t="str">
            <v>AMRIL</v>
          </cell>
          <cell r="D193" t="str">
            <v>1042723;1042726</v>
          </cell>
          <cell r="E193" t="str">
            <v>P-PULF</v>
          </cell>
          <cell r="F193" t="str">
            <v>Pulp Transport</v>
          </cell>
          <cell r="G193">
            <v>144</v>
          </cell>
          <cell r="H193">
            <v>6.9444444444444475E-3</v>
          </cell>
          <cell r="I193">
            <v>1.0416666666666657E-2</v>
          </cell>
          <cell r="J193">
            <v>2.4305555555555566E-2</v>
          </cell>
          <cell r="K193">
            <v>1.3888888888888867E-2</v>
          </cell>
          <cell r="L193">
            <v>2.083333333333337E-2</v>
          </cell>
          <cell r="M193">
            <v>1.7361111111111077E-2</v>
          </cell>
          <cell r="N193">
            <v>2.430555555555558E-2</v>
          </cell>
          <cell r="O193">
            <v>7.638888888888884E-2</v>
          </cell>
          <cell r="P193">
            <v>2.4305555555555552E-2</v>
          </cell>
          <cell r="Q193">
            <v>1.7361111111111105E-2</v>
          </cell>
          <cell r="R193">
            <v>9.0277777777777735E-2</v>
          </cell>
          <cell r="S193">
            <v>0.32638888888888884</v>
          </cell>
        </row>
        <row r="194">
          <cell r="A194">
            <v>39953</v>
          </cell>
          <cell r="B194" t="str">
            <v>RTI0006</v>
          </cell>
          <cell r="C194" t="str">
            <v>IMRAN NASUTION</v>
          </cell>
          <cell r="D194" t="str">
            <v>1043655;1043677</v>
          </cell>
          <cell r="E194" t="str">
            <v>P-PULF</v>
          </cell>
          <cell r="F194" t="str">
            <v>Pulp Transport</v>
          </cell>
          <cell r="G194">
            <v>120</v>
          </cell>
          <cell r="H194">
            <v>6.9444444444445308E-3</v>
          </cell>
          <cell r="I194">
            <v>1.7361111111111049E-2</v>
          </cell>
          <cell r="J194">
            <v>1.7361111111111105E-2</v>
          </cell>
          <cell r="K194">
            <v>2.083333333333337E-2</v>
          </cell>
          <cell r="L194">
            <v>2.0833333333333259E-2</v>
          </cell>
          <cell r="M194">
            <v>2.083333333333337E-2</v>
          </cell>
          <cell r="N194">
            <v>2.777777777777779E-2</v>
          </cell>
          <cell r="O194">
            <v>7.638888888888884E-2</v>
          </cell>
          <cell r="P194">
            <v>1.7361111111111049E-2</v>
          </cell>
          <cell r="Q194">
            <v>2.083333333333337E-2</v>
          </cell>
          <cell r="R194">
            <v>7.9861111111111049E-2</v>
          </cell>
          <cell r="S194">
            <v>0.32638888888888878</v>
          </cell>
        </row>
        <row r="195">
          <cell r="A195">
            <v>39952</v>
          </cell>
          <cell r="B195" t="str">
            <v>RTI0006</v>
          </cell>
          <cell r="C195" t="str">
            <v>IMRAN NASUTION</v>
          </cell>
          <cell r="D195" t="str">
            <v>1042614;1042615</v>
          </cell>
          <cell r="E195" t="str">
            <v>P-PULF</v>
          </cell>
          <cell r="F195" t="str">
            <v>Pulp Transport</v>
          </cell>
          <cell r="G195">
            <v>120</v>
          </cell>
          <cell r="H195">
            <v>6.9444444444443088E-3</v>
          </cell>
          <cell r="I195">
            <v>1.3888888888889062E-2</v>
          </cell>
          <cell r="J195">
            <v>1.388888888888884E-2</v>
          </cell>
          <cell r="K195">
            <v>1.388888888888884E-2</v>
          </cell>
          <cell r="L195">
            <v>1.736111111111116E-2</v>
          </cell>
          <cell r="M195">
            <v>1.736111111111116E-2</v>
          </cell>
          <cell r="N195">
            <v>2.4305555555555469E-2</v>
          </cell>
          <cell r="O195">
            <v>7.638888888888884E-2</v>
          </cell>
          <cell r="P195">
            <v>1.736111111111116E-2</v>
          </cell>
          <cell r="Q195">
            <v>1.736111111111116E-2</v>
          </cell>
          <cell r="R195">
            <v>7.2222222222222299E-2</v>
          </cell>
          <cell r="S195">
            <v>0.2909722222222223</v>
          </cell>
        </row>
        <row r="196">
          <cell r="A196">
            <v>39954</v>
          </cell>
          <cell r="B196" t="str">
            <v>RTI0009</v>
          </cell>
          <cell r="C196" t="str">
            <v>MARLIN SAMOSIR</v>
          </cell>
          <cell r="D196" t="str">
            <v>1043732;1043733</v>
          </cell>
          <cell r="E196" t="str">
            <v>P-PULF</v>
          </cell>
          <cell r="F196" t="str">
            <v>Pulp Transport</v>
          </cell>
          <cell r="G196">
            <v>120</v>
          </cell>
          <cell r="H196">
            <v>3.4722222222220989E-3</v>
          </cell>
          <cell r="I196">
            <v>2.4305555555555691E-2</v>
          </cell>
          <cell r="J196">
            <v>3.472222222222221E-2</v>
          </cell>
          <cell r="K196">
            <v>3.4722222222220989E-3</v>
          </cell>
          <cell r="L196">
            <v>1.8750000000000155E-2</v>
          </cell>
          <cell r="M196">
            <v>2.9861111111111005E-2</v>
          </cell>
          <cell r="N196">
            <v>3.4722222222222099E-3</v>
          </cell>
          <cell r="O196">
            <v>0.14583333333333337</v>
          </cell>
          <cell r="P196">
            <v>6.9444444444444198E-3</v>
          </cell>
          <cell r="Q196">
            <v>3.4722222222222099E-3</v>
          </cell>
          <cell r="R196">
            <v>7.986111111111116E-2</v>
          </cell>
          <cell r="S196">
            <v>0.35416666666666663</v>
          </cell>
        </row>
        <row r="197">
          <cell r="A197">
            <v>39953</v>
          </cell>
          <cell r="B197" t="str">
            <v>BFI0002</v>
          </cell>
          <cell r="C197" t="str">
            <v>NASIB</v>
          </cell>
          <cell r="D197" t="str">
            <v>1043716;1043717</v>
          </cell>
          <cell r="E197" t="str">
            <v>P-PULF</v>
          </cell>
          <cell r="F197" t="str">
            <v>Pulp Transport</v>
          </cell>
          <cell r="G197">
            <v>144</v>
          </cell>
          <cell r="H197">
            <v>1.041666666666663E-2</v>
          </cell>
          <cell r="I197">
            <v>7.291666666666663E-2</v>
          </cell>
          <cell r="J197">
            <v>2.430555555555558E-2</v>
          </cell>
          <cell r="K197">
            <v>3.4722222222222099E-3</v>
          </cell>
          <cell r="L197">
            <v>2.4305555555555469E-2</v>
          </cell>
          <cell r="M197">
            <v>5.0000000000000155E-2</v>
          </cell>
          <cell r="N197">
            <v>1.2499999999999845E-2</v>
          </cell>
          <cell r="O197">
            <v>0.12222222222222223</v>
          </cell>
          <cell r="P197">
            <v>9.7222222222222987E-3</v>
          </cell>
          <cell r="Q197">
            <v>3.4722222222222099E-3</v>
          </cell>
          <cell r="R197">
            <v>9.027777777777779E-2</v>
          </cell>
          <cell r="S197">
            <v>0.42361111111111105</v>
          </cell>
        </row>
        <row r="198">
          <cell r="A198">
            <v>39953</v>
          </cell>
          <cell r="B198" t="str">
            <v>RTI0018</v>
          </cell>
          <cell r="C198" t="str">
            <v>SAFRI SIREGAR</v>
          </cell>
          <cell r="D198" t="str">
            <v>1043728;1043964</v>
          </cell>
          <cell r="E198" t="str">
            <v>P-PULF</v>
          </cell>
          <cell r="F198" t="str">
            <v>Pulp Transport</v>
          </cell>
          <cell r="G198">
            <v>120</v>
          </cell>
          <cell r="H198">
            <v>2.0833333333333259E-3</v>
          </cell>
          <cell r="I198">
            <v>8.3333333333333037E-3</v>
          </cell>
          <cell r="J198">
            <v>3.4722222222222099E-3</v>
          </cell>
          <cell r="K198">
            <v>3.4722222222222321E-2</v>
          </cell>
          <cell r="L198">
            <v>9.7222222222220767E-3</v>
          </cell>
          <cell r="M198">
            <v>1.1111111111111183E-2</v>
          </cell>
          <cell r="N198">
            <v>3.4722222222222099E-3</v>
          </cell>
          <cell r="O198">
            <v>0.10416666666666674</v>
          </cell>
          <cell r="P198">
            <v>6.9444444444444198E-3</v>
          </cell>
          <cell r="Q198">
            <v>1.388888888888884E-2</v>
          </cell>
          <cell r="R198">
            <v>0.22569444444444442</v>
          </cell>
          <cell r="S198">
            <v>0.42361111111111105</v>
          </cell>
        </row>
        <row r="199">
          <cell r="A199">
            <v>39953</v>
          </cell>
          <cell r="B199" t="str">
            <v>RTI0009</v>
          </cell>
          <cell r="C199" t="str">
            <v>MARLIN SAMOSIR</v>
          </cell>
          <cell r="D199" t="str">
            <v>1043969;1043971</v>
          </cell>
          <cell r="E199" t="str">
            <v>P-PULF</v>
          </cell>
          <cell r="F199" t="str">
            <v>Pulp Transport</v>
          </cell>
          <cell r="G199">
            <v>120</v>
          </cell>
          <cell r="H199">
            <v>6.9444444444444614E-3</v>
          </cell>
          <cell r="I199">
            <v>1.0416666666666671E-2</v>
          </cell>
          <cell r="J199">
            <v>1.7361111111111112E-2</v>
          </cell>
          <cell r="K199">
            <v>3.2638888888888912E-2</v>
          </cell>
          <cell r="L199">
            <v>6.9444444444444198E-3</v>
          </cell>
          <cell r="M199">
            <v>1.3888888888888895E-2</v>
          </cell>
          <cell r="N199">
            <v>2.0833333333333315E-2</v>
          </cell>
          <cell r="O199">
            <v>0.11805555555555558</v>
          </cell>
          <cell r="P199">
            <v>1.0416666666666685E-2</v>
          </cell>
          <cell r="Q199">
            <v>4.1666666666666685E-2</v>
          </cell>
          <cell r="R199">
            <v>0.19097222222222215</v>
          </cell>
          <cell r="S199">
            <v>0.47013888888888888</v>
          </cell>
        </row>
        <row r="200">
          <cell r="A200">
            <v>39953</v>
          </cell>
          <cell r="B200" t="str">
            <v>BFI0001</v>
          </cell>
          <cell r="C200" t="str">
            <v>NIRMAN</v>
          </cell>
          <cell r="D200" t="str">
            <v>1043988;1043989</v>
          </cell>
          <cell r="E200" t="str">
            <v>P-PULF</v>
          </cell>
          <cell r="F200" t="str">
            <v>Pulp Transport</v>
          </cell>
          <cell r="G200">
            <v>144</v>
          </cell>
          <cell r="H200">
            <v>1.0416666666666741E-2</v>
          </cell>
          <cell r="I200">
            <v>3.3333333333333326E-2</v>
          </cell>
          <cell r="J200">
            <v>1.7361111111111112E-2</v>
          </cell>
          <cell r="K200">
            <v>5.555555555555558E-2</v>
          </cell>
          <cell r="L200">
            <v>1.388888888888884E-3</v>
          </cell>
          <cell r="M200">
            <v>1.2499999999999956E-2</v>
          </cell>
          <cell r="N200">
            <v>6.9444444444446418E-3</v>
          </cell>
          <cell r="O200">
            <v>0.12291666666666656</v>
          </cell>
          <cell r="P200">
            <v>9.0277777777776347E-3</v>
          </cell>
          <cell r="Q200">
            <v>1.736111111111116E-2</v>
          </cell>
          <cell r="R200">
            <v>0.20833333333333348</v>
          </cell>
          <cell r="S200">
            <v>0.49513888888888907</v>
          </cell>
        </row>
        <row r="201">
          <cell r="A201">
            <v>39953</v>
          </cell>
          <cell r="B201" t="str">
            <v>RTI0010</v>
          </cell>
          <cell r="C201" t="str">
            <v>SUPARNO</v>
          </cell>
          <cell r="D201" t="str">
            <v>1044385;1044386</v>
          </cell>
          <cell r="E201" t="str">
            <v>P-PULF</v>
          </cell>
          <cell r="F201" t="str">
            <v>Pulp Transport</v>
          </cell>
          <cell r="G201">
            <v>120</v>
          </cell>
          <cell r="H201">
            <v>1.041666666666663E-2</v>
          </cell>
          <cell r="I201">
            <v>8.8888888888888795E-2</v>
          </cell>
          <cell r="J201">
            <v>1.7361111111111112E-2</v>
          </cell>
          <cell r="K201">
            <v>1.736111111111116E-2</v>
          </cell>
          <cell r="L201">
            <v>1.0416666666666741E-2</v>
          </cell>
          <cell r="M201">
            <v>6.9444444444444198E-3</v>
          </cell>
          <cell r="N201">
            <v>2.430555555555558E-2</v>
          </cell>
          <cell r="O201">
            <v>7.638888888888884E-2</v>
          </cell>
          <cell r="P201">
            <v>3.3333333333333659E-2</v>
          </cell>
          <cell r="Q201">
            <v>4.3055555555555403E-2</v>
          </cell>
          <cell r="R201">
            <v>0.19791666666666674</v>
          </cell>
          <cell r="S201">
            <v>0.52638888888888902</v>
          </cell>
        </row>
        <row r="202">
          <cell r="A202">
            <v>39953</v>
          </cell>
          <cell r="B202" t="str">
            <v>RTI0006</v>
          </cell>
          <cell r="C202" t="str">
            <v>EKO MUSTANTO</v>
          </cell>
          <cell r="D202" t="str">
            <v>1043968;1043970</v>
          </cell>
          <cell r="E202" t="str">
            <v>P-PULF</v>
          </cell>
          <cell r="F202" t="str">
            <v>Pulp Transport</v>
          </cell>
          <cell r="G202">
            <v>120</v>
          </cell>
          <cell r="H202">
            <v>1.0416666666666741E-2</v>
          </cell>
          <cell r="I202">
            <v>6.9444444444445308E-3</v>
          </cell>
          <cell r="J202">
            <v>1.7361111111111112E-2</v>
          </cell>
          <cell r="K202">
            <v>3.125E-2</v>
          </cell>
          <cell r="L202">
            <v>1.388888888888884E-2</v>
          </cell>
          <cell r="M202">
            <v>2.0833333333333481E-2</v>
          </cell>
          <cell r="N202">
            <v>1.3888888888888895E-2</v>
          </cell>
          <cell r="O202">
            <v>8.6805555555555358E-2</v>
          </cell>
          <cell r="P202">
            <v>7.638888888888884E-2</v>
          </cell>
          <cell r="Q202">
            <v>8.6805555555555802E-2</v>
          </cell>
          <cell r="R202">
            <v>0.1319444444444442</v>
          </cell>
          <cell r="S202">
            <v>0.49652777777777779</v>
          </cell>
        </row>
        <row r="203">
          <cell r="A203">
            <v>39954</v>
          </cell>
          <cell r="B203" t="str">
            <v>RTI0007</v>
          </cell>
          <cell r="C203" t="str">
            <v>DAMRAH</v>
          </cell>
          <cell r="D203" t="str">
            <v>1044786;1044822</v>
          </cell>
          <cell r="E203" t="str">
            <v>P-PULF</v>
          </cell>
          <cell r="F203" t="str">
            <v>Pulp Transport</v>
          </cell>
          <cell r="G203">
            <v>120</v>
          </cell>
          <cell r="H203">
            <v>1.3888888888888951E-2</v>
          </cell>
          <cell r="I203">
            <v>6.9444444444445308E-3</v>
          </cell>
          <cell r="J203">
            <v>4.513888888888884E-2</v>
          </cell>
          <cell r="K203">
            <v>2.9166666666666563E-2</v>
          </cell>
          <cell r="L203">
            <v>1.0416666666666741E-2</v>
          </cell>
          <cell r="M203">
            <v>5.0694444444444375E-2</v>
          </cell>
          <cell r="N203">
            <v>1.3888888888888895E-2</v>
          </cell>
          <cell r="O203">
            <v>7.638888888888884E-2</v>
          </cell>
          <cell r="P203">
            <v>4.3055555555555403E-2</v>
          </cell>
          <cell r="Q203">
            <v>3.4722222222223209E-3</v>
          </cell>
          <cell r="R203">
            <v>0.20833333333333326</v>
          </cell>
          <cell r="S203">
            <v>0.50138888888888866</v>
          </cell>
        </row>
        <row r="204">
          <cell r="A204">
            <v>39954</v>
          </cell>
          <cell r="B204" t="str">
            <v>RTI0001</v>
          </cell>
          <cell r="C204" t="str">
            <v>JONSON  TAMPUBOLON</v>
          </cell>
          <cell r="D204" t="str">
            <v>1044787;1044788</v>
          </cell>
          <cell r="E204" t="str">
            <v>P-PULF</v>
          </cell>
          <cell r="F204" t="str">
            <v>Pulp Transport</v>
          </cell>
          <cell r="G204">
            <v>120</v>
          </cell>
          <cell r="H204">
            <v>1.388888888888884E-2</v>
          </cell>
          <cell r="I204">
            <v>6.9444444444445308E-3</v>
          </cell>
          <cell r="J204">
            <v>2.430555555555558E-2</v>
          </cell>
          <cell r="K204">
            <v>1.388888888888884E-3</v>
          </cell>
          <cell r="L204">
            <v>6.9444444444441977E-3</v>
          </cell>
          <cell r="M204">
            <v>3.3333333333333659E-2</v>
          </cell>
          <cell r="N204">
            <v>6.9444444444441977E-3</v>
          </cell>
          <cell r="O204">
            <v>0.11111111111111116</v>
          </cell>
          <cell r="P204">
            <v>1.388888888888884E-2</v>
          </cell>
          <cell r="Q204">
            <v>1.0416666666666741E-2</v>
          </cell>
          <cell r="R204">
            <v>0.14930555555555558</v>
          </cell>
          <cell r="S204">
            <v>0.37847222222222221</v>
          </cell>
        </row>
        <row r="205">
          <cell r="A205">
            <v>39954</v>
          </cell>
          <cell r="B205" t="str">
            <v>RTI0011</v>
          </cell>
          <cell r="C205" t="str">
            <v>M. JAMIN RAMBE</v>
          </cell>
          <cell r="D205" t="str">
            <v>1044790;1044875</v>
          </cell>
          <cell r="E205" t="str">
            <v>P-PULF</v>
          </cell>
          <cell r="F205" t="str">
            <v>Pulp Transport</v>
          </cell>
          <cell r="G205">
            <v>120</v>
          </cell>
          <cell r="H205">
            <v>3.4722222222222168E-3</v>
          </cell>
          <cell r="I205">
            <v>6.9444444444445308E-3</v>
          </cell>
          <cell r="J205">
            <v>1.388888888888884E-2</v>
          </cell>
          <cell r="K205">
            <v>2.430555555555558E-2</v>
          </cell>
          <cell r="L205">
            <v>2.083333333333337E-2</v>
          </cell>
          <cell r="M205">
            <v>1.041666666666663E-2</v>
          </cell>
          <cell r="N205">
            <v>3.4722222222222099E-3</v>
          </cell>
          <cell r="O205">
            <v>9.722222222222221E-2</v>
          </cell>
          <cell r="P205">
            <v>1.388888888888884E-2</v>
          </cell>
          <cell r="Q205">
            <v>2.430555555555558E-2</v>
          </cell>
          <cell r="R205">
            <v>7.9861111111111133E-2</v>
          </cell>
          <cell r="S205">
            <v>0.29861111111111116</v>
          </cell>
        </row>
        <row r="206">
          <cell r="A206">
            <v>39954</v>
          </cell>
          <cell r="B206" t="str">
            <v>RTI0008</v>
          </cell>
          <cell r="C206" t="str">
            <v>JAILANI</v>
          </cell>
          <cell r="D206" t="str">
            <v>1044832;1044833</v>
          </cell>
          <cell r="E206" t="str">
            <v>P-PULF</v>
          </cell>
          <cell r="F206" t="str">
            <v>Pulp Transport</v>
          </cell>
          <cell r="G206">
            <v>120</v>
          </cell>
          <cell r="H206">
            <v>1.388888888888884E-2</v>
          </cell>
          <cell r="I206">
            <v>6.9444444444444753E-3</v>
          </cell>
          <cell r="J206">
            <v>2.0833333333333315E-2</v>
          </cell>
          <cell r="K206">
            <v>4.5138888888888951E-2</v>
          </cell>
          <cell r="L206">
            <v>3.4722222222221544E-3</v>
          </cell>
          <cell r="M206">
            <v>6.9444444444444475E-2</v>
          </cell>
          <cell r="N206">
            <v>3.4722222222222099E-3</v>
          </cell>
          <cell r="O206">
            <v>0.13194444444444448</v>
          </cell>
          <cell r="P206">
            <v>1.041666666666663E-2</v>
          </cell>
          <cell r="Q206">
            <v>2.083333333333337E-2</v>
          </cell>
          <cell r="R206">
            <v>7.9861111111111049E-2</v>
          </cell>
          <cell r="S206">
            <v>0.40624999999999994</v>
          </cell>
        </row>
        <row r="207">
          <cell r="A207">
            <v>39953</v>
          </cell>
          <cell r="B207" t="str">
            <v>RTI0005</v>
          </cell>
          <cell r="C207" t="str">
            <v>PARDAMEAN T</v>
          </cell>
          <cell r="D207" t="str">
            <v>1044383;1044384</v>
          </cell>
          <cell r="E207" t="str">
            <v>P-PULF</v>
          </cell>
          <cell r="F207" t="str">
            <v>Pulp Transport</v>
          </cell>
          <cell r="G207">
            <v>120</v>
          </cell>
          <cell r="H207">
            <v>6.9444444444444475E-3</v>
          </cell>
          <cell r="I207">
            <v>4.7222222222222221E-2</v>
          </cell>
          <cell r="J207">
            <v>2.5694444444444436E-2</v>
          </cell>
          <cell r="K207">
            <v>2.0833333333333259E-3</v>
          </cell>
          <cell r="L207">
            <v>1.0416666666666671E-2</v>
          </cell>
          <cell r="M207">
            <v>1.3888888888888895E-2</v>
          </cell>
          <cell r="N207">
            <v>1.0416666666666657E-2</v>
          </cell>
          <cell r="O207">
            <v>0.11805555555555555</v>
          </cell>
          <cell r="P207">
            <v>6.9444444444444753E-3</v>
          </cell>
          <cell r="Q207">
            <v>8.680555555555558E-2</v>
          </cell>
          <cell r="R207">
            <v>0.1736111111111111</v>
          </cell>
          <cell r="S207">
            <v>0.50208333333333344</v>
          </cell>
        </row>
        <row r="208">
          <cell r="A208">
            <v>39953</v>
          </cell>
          <cell r="B208" t="str">
            <v>RTI0018</v>
          </cell>
          <cell r="C208" t="str">
            <v>ERIKSON HUTAHAEAN</v>
          </cell>
          <cell r="D208" t="str">
            <v>1042643;1042644</v>
          </cell>
          <cell r="E208" t="str">
            <v>P-PULF</v>
          </cell>
          <cell r="F208" t="str">
            <v>Pulp Transport</v>
          </cell>
          <cell r="G208">
            <v>120</v>
          </cell>
          <cell r="H208">
            <v>6.9444444444443088E-3</v>
          </cell>
          <cell r="I208">
            <v>1.3888888888888951E-2</v>
          </cell>
          <cell r="J208">
            <v>1.388888888888884E-2</v>
          </cell>
          <cell r="K208">
            <v>1.388888888888884E-2</v>
          </cell>
          <cell r="L208">
            <v>1.3888888888889062E-2</v>
          </cell>
          <cell r="M208">
            <v>2.0833333333333259E-2</v>
          </cell>
          <cell r="N208">
            <v>2.083333333333337E-2</v>
          </cell>
          <cell r="O208">
            <v>7.638888888888884E-2</v>
          </cell>
          <cell r="P208">
            <v>1.736111111111116E-2</v>
          </cell>
          <cell r="Q208">
            <v>1.736111111111116E-2</v>
          </cell>
          <cell r="R208">
            <v>5.9027777777777679E-2</v>
          </cell>
          <cell r="S208">
            <v>0.27430555555555547</v>
          </cell>
        </row>
        <row r="209">
          <cell r="A209">
            <v>39952</v>
          </cell>
          <cell r="B209" t="str">
            <v>RTI0020</v>
          </cell>
          <cell r="C209" t="str">
            <v>PEPEN EFFENDI</v>
          </cell>
          <cell r="D209" t="str">
            <v>1042390;1042533</v>
          </cell>
          <cell r="E209" t="str">
            <v>P-PULF</v>
          </cell>
          <cell r="F209" t="str">
            <v>Pulp Transport</v>
          </cell>
          <cell r="G209">
            <v>120</v>
          </cell>
          <cell r="H209">
            <v>6.9444444444444753E-3</v>
          </cell>
          <cell r="I209">
            <v>1.7361111111111105E-2</v>
          </cell>
          <cell r="J209">
            <v>1.3888888888888895E-2</v>
          </cell>
          <cell r="K209">
            <v>1.4583333333333337E-2</v>
          </cell>
          <cell r="L209">
            <v>2.2222222222222199E-2</v>
          </cell>
          <cell r="M209">
            <v>2.5694444444444464E-2</v>
          </cell>
          <cell r="N209">
            <v>1.388888888888884E-2</v>
          </cell>
          <cell r="O209">
            <v>7.638888888888884E-2</v>
          </cell>
          <cell r="P209">
            <v>2.5694444444444464E-2</v>
          </cell>
          <cell r="Q209">
            <v>1.5972222222222165E-2</v>
          </cell>
          <cell r="R209">
            <v>0.10763888888888895</v>
          </cell>
          <cell r="S209">
            <v>0.34027777777777773</v>
          </cell>
        </row>
        <row r="210">
          <cell r="A210">
            <v>39951</v>
          </cell>
          <cell r="B210" t="str">
            <v>RTI0018</v>
          </cell>
          <cell r="C210" t="str">
            <v>EKO MUSTANTO</v>
          </cell>
          <cell r="D210" t="str">
            <v>1041001;1041042</v>
          </cell>
          <cell r="E210" t="str">
            <v>P-PULF</v>
          </cell>
          <cell r="F210" t="str">
            <v>Pulp Transport</v>
          </cell>
          <cell r="G210">
            <v>120</v>
          </cell>
          <cell r="H210">
            <v>6.9444444444444198E-3</v>
          </cell>
          <cell r="I210">
            <v>2.0833333333333315E-2</v>
          </cell>
          <cell r="J210">
            <v>1.7361111111111049E-2</v>
          </cell>
          <cell r="K210">
            <v>1.3888888888888951E-2</v>
          </cell>
          <cell r="L210">
            <v>1.7361111111111049E-2</v>
          </cell>
          <cell r="M210">
            <v>2.430555555555558E-2</v>
          </cell>
          <cell r="N210">
            <v>1.736111111111116E-2</v>
          </cell>
          <cell r="O210">
            <v>7.638888888888884E-2</v>
          </cell>
          <cell r="P210">
            <v>2.430555555555558E-2</v>
          </cell>
          <cell r="Q210">
            <v>1.7361111111111049E-2</v>
          </cell>
          <cell r="R210">
            <v>9.027777777777779E-2</v>
          </cell>
          <cell r="S210">
            <v>0.32638888888888878</v>
          </cell>
        </row>
        <row r="211">
          <cell r="A211">
            <v>39955</v>
          </cell>
          <cell r="B211" t="str">
            <v>RTI0002</v>
          </cell>
          <cell r="C211" t="str">
            <v>J.R. SINAGA</v>
          </cell>
          <cell r="D211" t="str">
            <v>1044976;1045134</v>
          </cell>
          <cell r="E211" t="str">
            <v>P-PULF</v>
          </cell>
          <cell r="F211" t="str">
            <v>Pulp Transport</v>
          </cell>
          <cell r="G211">
            <v>120</v>
          </cell>
          <cell r="H211">
            <v>3.4722222222223209E-3</v>
          </cell>
          <cell r="I211">
            <v>6.9444444444445308E-3</v>
          </cell>
          <cell r="J211">
            <v>1.7361111111111112E-2</v>
          </cell>
          <cell r="K211">
            <v>2.430555555555558E-2</v>
          </cell>
          <cell r="L211">
            <v>1.736111111111116E-2</v>
          </cell>
          <cell r="M211">
            <v>7.6388888888887507E-3</v>
          </cell>
          <cell r="N211">
            <v>6.2500000000003109E-3</v>
          </cell>
          <cell r="O211">
            <v>0.11597222222222214</v>
          </cell>
          <cell r="P211">
            <v>6.8055555555555536E-2</v>
          </cell>
          <cell r="Q211">
            <v>3.4027777777777768E-2</v>
          </cell>
          <cell r="R211">
            <v>8.0555555555555491E-2</v>
          </cell>
          <cell r="S211">
            <v>0.3819444444444447</v>
          </cell>
        </row>
        <row r="212">
          <cell r="A212">
            <v>39955</v>
          </cell>
          <cell r="B212" t="str">
            <v>RTI0005</v>
          </cell>
          <cell r="C212" t="str">
            <v>ANTON RAJAGUGUK</v>
          </cell>
          <cell r="D212" t="str">
            <v>1044977;1045132</v>
          </cell>
          <cell r="E212" t="str">
            <v>P-PULF</v>
          </cell>
          <cell r="F212" t="str">
            <v>Pulp Transport</v>
          </cell>
          <cell r="G212">
            <v>120</v>
          </cell>
          <cell r="H212">
            <v>1.041666666666663E-2</v>
          </cell>
          <cell r="I212">
            <v>6.9444444444445308E-3</v>
          </cell>
          <cell r="J212">
            <v>5.1388888888888928E-2</v>
          </cell>
          <cell r="K212">
            <v>2.8472222222222232E-2</v>
          </cell>
          <cell r="L212">
            <v>2.7777777777777901E-2</v>
          </cell>
          <cell r="M212">
            <v>1.736111111111116E-2</v>
          </cell>
          <cell r="N212">
            <v>3.4722222222223209E-3</v>
          </cell>
          <cell r="O212">
            <v>0.14583333333333348</v>
          </cell>
          <cell r="P212">
            <v>6.9444444444441977E-3</v>
          </cell>
          <cell r="Q212">
            <v>1.0416666666666741E-2</v>
          </cell>
          <cell r="R212">
            <v>0.11805555555555558</v>
          </cell>
          <cell r="S212">
            <v>0.4270833333333337</v>
          </cell>
        </row>
        <row r="213">
          <cell r="A213">
            <v>39955</v>
          </cell>
          <cell r="B213" t="str">
            <v>RTI0010</v>
          </cell>
          <cell r="C213" t="str">
            <v>BAMBANG SUHENDRI</v>
          </cell>
          <cell r="D213" t="str">
            <v>1044911;1045133</v>
          </cell>
          <cell r="E213" t="str">
            <v>P-PULF</v>
          </cell>
          <cell r="F213" t="str">
            <v>Pulp Transport</v>
          </cell>
          <cell r="G213">
            <v>120</v>
          </cell>
          <cell r="H213">
            <v>6.9444444444445308E-3</v>
          </cell>
          <cell r="I213">
            <v>6.9444444444445308E-3</v>
          </cell>
          <cell r="J213">
            <v>6.4583333333333215E-2</v>
          </cell>
          <cell r="K213">
            <v>2.1527777777777812E-2</v>
          </cell>
          <cell r="L213">
            <v>1.1111111111111072E-2</v>
          </cell>
          <cell r="M213">
            <v>6.9444444444444198E-3</v>
          </cell>
          <cell r="N213">
            <v>3.4722222222223209E-3</v>
          </cell>
          <cell r="O213">
            <v>0.12152777777777768</v>
          </cell>
          <cell r="P213">
            <v>1.0416666666666741E-2</v>
          </cell>
          <cell r="Q213">
            <v>3.4722222222222321E-2</v>
          </cell>
          <cell r="R213">
            <v>0.12291666666666679</v>
          </cell>
          <cell r="S213">
            <v>0.41111111111111143</v>
          </cell>
        </row>
        <row r="214">
          <cell r="A214">
            <v>39954</v>
          </cell>
          <cell r="B214" t="str">
            <v>RTI0020</v>
          </cell>
          <cell r="C214" t="str">
            <v>HOTMAN SM. HUTASOIT</v>
          </cell>
          <cell r="D214" t="str">
            <v>1044892;1044893</v>
          </cell>
          <cell r="E214" t="str">
            <v>P-PULF</v>
          </cell>
          <cell r="F214" t="str">
            <v>Pulp Transport</v>
          </cell>
          <cell r="G214">
            <v>120</v>
          </cell>
          <cell r="H214">
            <v>1.041666666666663E-2</v>
          </cell>
          <cell r="I214">
            <v>6.25E-2</v>
          </cell>
          <cell r="J214">
            <v>1.7361111111111112E-2</v>
          </cell>
          <cell r="K214">
            <v>1.388888888888884E-2</v>
          </cell>
          <cell r="L214">
            <v>3.819444444444442E-2</v>
          </cell>
          <cell r="M214">
            <v>1.736111111111116E-2</v>
          </cell>
          <cell r="N214">
            <v>1.0416666666666741E-2</v>
          </cell>
          <cell r="O214">
            <v>9.7222222222222099E-2</v>
          </cell>
          <cell r="P214">
            <v>2.7777777777777901E-2</v>
          </cell>
          <cell r="Q214">
            <v>1.041666666666663E-2</v>
          </cell>
          <cell r="R214">
            <v>0.14930555555555558</v>
          </cell>
          <cell r="S214">
            <v>0.4548611111111111</v>
          </cell>
        </row>
        <row r="215">
          <cell r="A215">
            <v>39954</v>
          </cell>
          <cell r="B215" t="str">
            <v>RTI0008</v>
          </cell>
          <cell r="C215" t="str">
            <v>JAILANI</v>
          </cell>
          <cell r="D215" t="str">
            <v>1044388;1044389</v>
          </cell>
          <cell r="E215" t="str">
            <v>P-PULF</v>
          </cell>
          <cell r="F215" t="str">
            <v>Pulp Transport</v>
          </cell>
          <cell r="G215">
            <v>120</v>
          </cell>
          <cell r="H215">
            <v>6.9444444444444198E-3</v>
          </cell>
          <cell r="I215">
            <v>6.9444444444445308E-3</v>
          </cell>
          <cell r="J215">
            <v>3.4722222222222099E-2</v>
          </cell>
          <cell r="K215">
            <v>1.0416666666666741E-2</v>
          </cell>
          <cell r="L215">
            <v>6.9444444444444198E-3</v>
          </cell>
          <cell r="M215">
            <v>6.9444444444445308E-3</v>
          </cell>
          <cell r="N215">
            <v>3.4722222222222099E-3</v>
          </cell>
          <cell r="O215">
            <v>0.125</v>
          </cell>
          <cell r="P215">
            <v>6.9444444444444198E-3</v>
          </cell>
          <cell r="Q215">
            <v>1.041666666666663E-2</v>
          </cell>
          <cell r="R215">
            <v>0.125</v>
          </cell>
          <cell r="S215">
            <v>0.34375</v>
          </cell>
        </row>
        <row r="216">
          <cell r="A216">
            <v>39954</v>
          </cell>
          <cell r="B216" t="str">
            <v>RTI0009</v>
          </cell>
          <cell r="C216" t="str">
            <v>JAMALUDDIN IB</v>
          </cell>
          <cell r="D216" t="str">
            <v>1044894;1044895</v>
          </cell>
          <cell r="E216" t="str">
            <v>P-PULF</v>
          </cell>
          <cell r="F216" t="str">
            <v>Pulp Transport</v>
          </cell>
          <cell r="G216">
            <v>120</v>
          </cell>
          <cell r="H216">
            <v>3.4722222222222099E-3</v>
          </cell>
          <cell r="I216">
            <v>3.1250000000000111E-2</v>
          </cell>
          <cell r="J216">
            <v>5.9027777777777679E-2</v>
          </cell>
          <cell r="K216">
            <v>3.4722222222223209E-3</v>
          </cell>
          <cell r="L216">
            <v>1.7361111111110938E-2</v>
          </cell>
          <cell r="M216">
            <v>6.9444444444445308E-3</v>
          </cell>
          <cell r="N216">
            <v>1.388888888888884E-2</v>
          </cell>
          <cell r="O216">
            <v>0.11458333333333337</v>
          </cell>
          <cell r="P216">
            <v>6.9444444444444198E-3</v>
          </cell>
          <cell r="Q216">
            <v>6.9444444444445308E-3</v>
          </cell>
          <cell r="R216">
            <v>0.125</v>
          </cell>
          <cell r="S216">
            <v>0.38888888888888895</v>
          </cell>
        </row>
        <row r="217">
          <cell r="A217">
            <v>39953</v>
          </cell>
          <cell r="B217" t="str">
            <v>BFI0002</v>
          </cell>
          <cell r="C217" t="str">
            <v>NASIB</v>
          </cell>
          <cell r="D217" t="str">
            <v>1043990;1043991</v>
          </cell>
          <cell r="E217" t="str">
            <v>P-PULF</v>
          </cell>
          <cell r="F217" t="str">
            <v>Pulp Transport</v>
          </cell>
          <cell r="G217">
            <v>144</v>
          </cell>
          <cell r="H217">
            <v>3.4722222222222307E-3</v>
          </cell>
          <cell r="I217">
            <v>0.10416666666666666</v>
          </cell>
          <cell r="J217">
            <v>4.1666666666666685E-2</v>
          </cell>
          <cell r="K217">
            <v>6.9444444444444198E-4</v>
          </cell>
          <cell r="L217">
            <v>1.6666666666666635E-2</v>
          </cell>
          <cell r="M217">
            <v>1.388888888888884E-3</v>
          </cell>
          <cell r="N217">
            <v>5.5555555555555636E-3</v>
          </cell>
          <cell r="O217">
            <v>7.638888888888884E-2</v>
          </cell>
          <cell r="P217">
            <v>1.041666666666663E-2</v>
          </cell>
          <cell r="Q217">
            <v>1.0416666666666685E-2</v>
          </cell>
          <cell r="R217">
            <v>9.722222222222221E-2</v>
          </cell>
          <cell r="S217">
            <v>0.36805555555555547</v>
          </cell>
        </row>
        <row r="218">
          <cell r="A218">
            <v>39954</v>
          </cell>
          <cell r="B218" t="str">
            <v>RTI0007</v>
          </cell>
          <cell r="C218" t="str">
            <v>RUSDI</v>
          </cell>
          <cell r="D218" t="str">
            <v>1045013;1045014</v>
          </cell>
          <cell r="E218" t="str">
            <v>P-PULF</v>
          </cell>
          <cell r="F218" t="str">
            <v>Pulp Transport</v>
          </cell>
          <cell r="G218">
            <v>120</v>
          </cell>
          <cell r="H218">
            <v>1.0416666666666671E-2</v>
          </cell>
          <cell r="I218">
            <v>1.3888888888888881E-2</v>
          </cell>
          <cell r="J218">
            <v>6.9444444444444475E-3</v>
          </cell>
          <cell r="K218">
            <v>2.0833333333333343E-2</v>
          </cell>
          <cell r="L218">
            <v>3.125E-2</v>
          </cell>
          <cell r="M218">
            <v>1.3888888888888895E-2</v>
          </cell>
          <cell r="N218">
            <v>3.4722222222222099E-3</v>
          </cell>
          <cell r="O218">
            <v>7.638888888888884E-2</v>
          </cell>
          <cell r="P218">
            <v>4.5138888888888895E-2</v>
          </cell>
          <cell r="Q218">
            <v>1.0416666666666741E-2</v>
          </cell>
          <cell r="R218">
            <v>8.3333333333333259E-2</v>
          </cell>
          <cell r="S218">
            <v>0.31597222222222221</v>
          </cell>
        </row>
        <row r="219">
          <cell r="A219">
            <v>39954</v>
          </cell>
          <cell r="B219" t="str">
            <v>RTI0001</v>
          </cell>
          <cell r="C219" t="str">
            <v>SULAIMAN. R</v>
          </cell>
          <cell r="D219" t="str">
            <v>1044905;1044906</v>
          </cell>
          <cell r="E219" t="str">
            <v>P-PULF</v>
          </cell>
          <cell r="F219" t="str">
            <v>Pulp Transport</v>
          </cell>
          <cell r="G219">
            <v>120</v>
          </cell>
          <cell r="H219">
            <v>5.5555555555555358E-3</v>
          </cell>
          <cell r="I219">
            <v>1.041666666666663E-2</v>
          </cell>
          <cell r="J219">
            <v>1.1805555555555514E-2</v>
          </cell>
          <cell r="K219">
            <v>2.2222222222222365E-2</v>
          </cell>
          <cell r="L219">
            <v>6.9444444444444198E-3</v>
          </cell>
          <cell r="M219">
            <v>7.6388888888887507E-3</v>
          </cell>
          <cell r="N219">
            <v>3.4722222222223209E-3</v>
          </cell>
          <cell r="O219">
            <v>8.8194444444444464E-2</v>
          </cell>
          <cell r="P219">
            <v>2.0833333333333259E-2</v>
          </cell>
          <cell r="Q219">
            <v>2.0833333333332149E-3</v>
          </cell>
          <cell r="R219">
            <v>9.7222222222222321E-2</v>
          </cell>
          <cell r="S219">
            <v>0.2763888888888888</v>
          </cell>
        </row>
        <row r="220">
          <cell r="A220">
            <v>39954</v>
          </cell>
          <cell r="B220" t="str">
            <v>RTI0009</v>
          </cell>
          <cell r="C220" t="str">
            <v>MARLIN SAMOSIR</v>
          </cell>
          <cell r="D220" t="str">
            <v>1044391;1045012</v>
          </cell>
          <cell r="E220" t="str">
            <v>P-PULF</v>
          </cell>
          <cell r="F220" t="str">
            <v>Pulp Transport</v>
          </cell>
          <cell r="G220">
            <v>120</v>
          </cell>
          <cell r="H220">
            <v>6.9444444444445308E-3</v>
          </cell>
          <cell r="I220">
            <v>1.388888888888884E-2</v>
          </cell>
          <cell r="J220">
            <v>3.4722222222223209E-3</v>
          </cell>
          <cell r="K220">
            <v>2.430555555555558E-2</v>
          </cell>
          <cell r="L220">
            <v>6.9444444444444198E-3</v>
          </cell>
          <cell r="M220">
            <v>6.9444444444444198E-3</v>
          </cell>
          <cell r="N220">
            <v>3.4722222222223209E-3</v>
          </cell>
          <cell r="O220">
            <v>8.6805555555555358E-2</v>
          </cell>
          <cell r="P220">
            <v>6.9444444444446418E-3</v>
          </cell>
          <cell r="Q220">
            <v>1.0416666666666519E-2</v>
          </cell>
          <cell r="R220">
            <v>7.638888888888884E-2</v>
          </cell>
          <cell r="S220">
            <v>0.24652777777777779</v>
          </cell>
        </row>
        <row r="221">
          <cell r="A221">
            <v>39954</v>
          </cell>
          <cell r="B221" t="str">
            <v>BFI0001</v>
          </cell>
          <cell r="C221" t="str">
            <v>NIRMAN</v>
          </cell>
          <cell r="D221" t="str">
            <v>1044909;1044910</v>
          </cell>
          <cell r="E221" t="str">
            <v>P-PULF</v>
          </cell>
          <cell r="F221" t="str">
            <v>Pulp Transport</v>
          </cell>
          <cell r="G221">
            <v>144</v>
          </cell>
          <cell r="H221">
            <v>8.3333333333333176E-3</v>
          </cell>
          <cell r="I221">
            <v>1.2500000000000011E-2</v>
          </cell>
          <cell r="J221">
            <v>8.3333333333333315E-3</v>
          </cell>
          <cell r="K221">
            <v>2.777777777777779E-2</v>
          </cell>
          <cell r="L221">
            <v>2.7777777777777776E-2</v>
          </cell>
          <cell r="M221">
            <v>6.9444444444444198E-3</v>
          </cell>
          <cell r="N221">
            <v>6.9444444444444753E-3</v>
          </cell>
          <cell r="O221">
            <v>0.10069444444444445</v>
          </cell>
          <cell r="P221">
            <v>3.819444444444442E-2</v>
          </cell>
          <cell r="Q221">
            <v>2.777777777777779E-2</v>
          </cell>
          <cell r="R221">
            <v>0.10416666666666669</v>
          </cell>
          <cell r="S221">
            <v>0.36944444444444446</v>
          </cell>
        </row>
        <row r="222">
          <cell r="A222">
            <v>39954</v>
          </cell>
          <cell r="B222" t="str">
            <v>RTI0011</v>
          </cell>
          <cell r="C222" t="str">
            <v>M. JAMIN RAMBE</v>
          </cell>
          <cell r="D222" t="str">
            <v>1045015;1045016</v>
          </cell>
          <cell r="E222" t="str">
            <v>P-PULF</v>
          </cell>
          <cell r="F222" t="str">
            <v>Pulp Transport</v>
          </cell>
          <cell r="G222">
            <v>120</v>
          </cell>
          <cell r="H222">
            <v>1.041666666666663E-2</v>
          </cell>
          <cell r="I222">
            <v>3.4722222222222099E-3</v>
          </cell>
          <cell r="J222">
            <v>2.708333333333332E-2</v>
          </cell>
          <cell r="K222">
            <v>3.4722222222222099E-3</v>
          </cell>
          <cell r="L222">
            <v>6.9444444444444753E-3</v>
          </cell>
          <cell r="M222">
            <v>1.736111111111116E-2</v>
          </cell>
          <cell r="N222">
            <v>6.9444444444444198E-3</v>
          </cell>
          <cell r="O222">
            <v>0.10625</v>
          </cell>
          <cell r="P222">
            <v>7.6388888888888618E-3</v>
          </cell>
          <cell r="Q222">
            <v>1.8055555555555491E-2</v>
          </cell>
          <cell r="R222">
            <v>8.680555555555558E-2</v>
          </cell>
          <cell r="S222">
            <v>0.29444444444444434</v>
          </cell>
        </row>
        <row r="223">
          <cell r="A223">
            <v>39955</v>
          </cell>
          <cell r="B223" t="str">
            <v>RTI0009</v>
          </cell>
          <cell r="C223" t="str">
            <v>JANTER SILALAHI</v>
          </cell>
          <cell r="D223" t="str">
            <v>1045157;1045158</v>
          </cell>
          <cell r="E223" t="str">
            <v>P-PULF</v>
          </cell>
          <cell r="F223" t="str">
            <v>Pulp Transport</v>
          </cell>
          <cell r="G223">
            <v>120</v>
          </cell>
          <cell r="H223">
            <v>1.0416666666666741E-2</v>
          </cell>
          <cell r="I223">
            <v>6.9444444444445308E-3</v>
          </cell>
          <cell r="J223">
            <v>2.3611111111111027E-2</v>
          </cell>
          <cell r="K223">
            <v>2.430555555555558E-2</v>
          </cell>
          <cell r="L223">
            <v>1.1111111111111183E-2</v>
          </cell>
          <cell r="M223">
            <v>1.736111111111116E-2</v>
          </cell>
          <cell r="N223">
            <v>6.9444444444444198E-3</v>
          </cell>
          <cell r="O223">
            <v>7.291666666666663E-2</v>
          </cell>
          <cell r="P223">
            <v>2.083333333333337E-2</v>
          </cell>
          <cell r="Q223">
            <v>1.041666666666663E-2</v>
          </cell>
          <cell r="R223">
            <v>0.10416666666666674</v>
          </cell>
          <cell r="S223">
            <v>0.30902777777777801</v>
          </cell>
        </row>
        <row r="224">
          <cell r="A224">
            <v>39955</v>
          </cell>
          <cell r="B224" t="str">
            <v>BFI0001</v>
          </cell>
          <cell r="C224" t="str">
            <v>PEPEN EFFENDI</v>
          </cell>
          <cell r="D224" t="str">
            <v>1045153;1045154</v>
          </cell>
          <cell r="E224" t="str">
            <v>P-PULF</v>
          </cell>
          <cell r="F224" t="str">
            <v>Pulp Transport</v>
          </cell>
          <cell r="G224">
            <v>144</v>
          </cell>
          <cell r="H224">
            <v>1.7361111111111049E-2</v>
          </cell>
          <cell r="I224">
            <v>4.8611111111111494E-3</v>
          </cell>
          <cell r="J224">
            <v>3.5416666666666652E-2</v>
          </cell>
          <cell r="K224">
            <v>2.430555555555558E-2</v>
          </cell>
          <cell r="L224">
            <v>1.1805555555555569E-2</v>
          </cell>
          <cell r="M224">
            <v>1.388888888888884E-3</v>
          </cell>
          <cell r="N224">
            <v>1.2500000000000001E-2</v>
          </cell>
          <cell r="O224">
            <v>0.10416666666666663</v>
          </cell>
          <cell r="P224">
            <v>3.125E-2</v>
          </cell>
          <cell r="Q224">
            <v>3.4722222222223209E-3</v>
          </cell>
          <cell r="R224">
            <v>9.0277777777777679E-2</v>
          </cell>
          <cell r="S224">
            <v>0.33680555555555552</v>
          </cell>
        </row>
        <row r="225">
          <cell r="A225">
            <v>39955</v>
          </cell>
          <cell r="B225" t="str">
            <v>RTI0006</v>
          </cell>
          <cell r="C225" t="str">
            <v>YULIANTO</v>
          </cell>
          <cell r="D225" t="str">
            <v>1044978;1044979</v>
          </cell>
          <cell r="E225" t="str">
            <v>P-PULF</v>
          </cell>
          <cell r="F225" t="str">
            <v>Pulp Transport</v>
          </cell>
          <cell r="G225">
            <v>120</v>
          </cell>
          <cell r="H225">
            <v>1.041666666666663E-2</v>
          </cell>
          <cell r="I225">
            <v>6.9444444444445308E-3</v>
          </cell>
          <cell r="J225">
            <v>1.7361111111111112E-2</v>
          </cell>
          <cell r="K225">
            <v>2.5694444444444464E-2</v>
          </cell>
          <cell r="L225">
            <v>3.4722222222223209E-3</v>
          </cell>
          <cell r="M225">
            <v>3.4722222222223209E-3</v>
          </cell>
          <cell r="N225">
            <v>9.0277777777776347E-3</v>
          </cell>
          <cell r="O225">
            <v>0.10902777777777772</v>
          </cell>
          <cell r="P225">
            <v>2.7777777777777679E-2</v>
          </cell>
          <cell r="Q225">
            <v>3.125E-2</v>
          </cell>
          <cell r="R225">
            <v>7.9861111111111133E-2</v>
          </cell>
          <cell r="S225">
            <v>0.32430555555555551</v>
          </cell>
        </row>
        <row r="226">
          <cell r="A226">
            <v>39955</v>
          </cell>
          <cell r="B226" t="str">
            <v>RTI0005</v>
          </cell>
          <cell r="C226" t="str">
            <v>HALOMOAN PASARIBU</v>
          </cell>
          <cell r="D226" t="str">
            <v>1045141;104292</v>
          </cell>
          <cell r="E226" t="str">
            <v>P-PULF</v>
          </cell>
          <cell r="F226" t="str">
            <v>Pulp Transport</v>
          </cell>
          <cell r="G226">
            <v>120</v>
          </cell>
          <cell r="H226">
            <v>3.4722222222222099E-3</v>
          </cell>
          <cell r="I226">
            <v>3.8194444444444531E-2</v>
          </cell>
          <cell r="J226">
            <v>1.5972222222222165E-2</v>
          </cell>
          <cell r="K226">
            <v>6.9444444444444198E-3</v>
          </cell>
          <cell r="L226">
            <v>2.5694444444444464E-2</v>
          </cell>
          <cell r="M226">
            <v>1.041666666666663E-2</v>
          </cell>
          <cell r="N226">
            <v>3.4722222222223209E-3</v>
          </cell>
          <cell r="O226">
            <v>0.15277777777777768</v>
          </cell>
          <cell r="P226">
            <v>6.9444444444445308E-3</v>
          </cell>
          <cell r="Q226">
            <v>2.0833333333333259E-2</v>
          </cell>
          <cell r="R226">
            <v>0.12500000000000011</v>
          </cell>
          <cell r="S226">
            <v>0.40972222222222232</v>
          </cell>
        </row>
        <row r="227">
          <cell r="A227">
            <v>39954</v>
          </cell>
          <cell r="B227" t="str">
            <v>RTI0001</v>
          </cell>
          <cell r="C227" t="str">
            <v>JONSON  TAMPUBOLON</v>
          </cell>
          <cell r="D227" t="str">
            <v>1044838;1044902</v>
          </cell>
          <cell r="E227" t="str">
            <v>P-PULF</v>
          </cell>
          <cell r="F227" t="str">
            <v>Pulp Transport</v>
          </cell>
          <cell r="G227">
            <v>120</v>
          </cell>
          <cell r="H227">
            <v>6.9444444444445308E-3</v>
          </cell>
          <cell r="I227">
            <v>1.388888888888884E-2</v>
          </cell>
          <cell r="J227">
            <v>1.388888888888884E-2</v>
          </cell>
          <cell r="K227">
            <v>1.736111111111116E-2</v>
          </cell>
          <cell r="L227">
            <v>1.5277777777777835E-2</v>
          </cell>
          <cell r="M227">
            <v>9.0277777777777457E-3</v>
          </cell>
          <cell r="N227">
            <v>1.388888888888884E-2</v>
          </cell>
          <cell r="O227">
            <v>0.10069444444444442</v>
          </cell>
          <cell r="P227">
            <v>2.430555555555558E-2</v>
          </cell>
          <cell r="Q227">
            <v>1.736111111111116E-2</v>
          </cell>
          <cell r="R227">
            <v>9.027777777777779E-2</v>
          </cell>
          <cell r="S227">
            <v>0.32291666666666674</v>
          </cell>
        </row>
        <row r="228">
          <cell r="A228">
            <v>39955</v>
          </cell>
          <cell r="B228" t="str">
            <v>RTI0009</v>
          </cell>
          <cell r="C228" t="str">
            <v>MARLIN SAMOSIR</v>
          </cell>
          <cell r="D228" t="str">
            <v>1045362;1045364</v>
          </cell>
          <cell r="E228" t="str">
            <v>P-PULF</v>
          </cell>
          <cell r="F228" t="str">
            <v>Pulp Transport</v>
          </cell>
          <cell r="G228">
            <v>120</v>
          </cell>
          <cell r="H228">
            <v>6.9444444444444198E-3</v>
          </cell>
          <cell r="I228">
            <v>1.736111111111116E-2</v>
          </cell>
          <cell r="J228">
            <v>1.7361111111111049E-2</v>
          </cell>
          <cell r="K228">
            <v>1.736111111111116E-2</v>
          </cell>
          <cell r="L228">
            <v>2.4305555555555469E-2</v>
          </cell>
          <cell r="M228">
            <v>1.8750000000000155E-2</v>
          </cell>
          <cell r="N228">
            <v>1.5972222222222165E-2</v>
          </cell>
          <cell r="O228">
            <v>8.333333333333337E-2</v>
          </cell>
          <cell r="P228">
            <v>2.0833333333333259E-2</v>
          </cell>
          <cell r="Q228">
            <v>2.0833333333333481E-2</v>
          </cell>
          <cell r="R228">
            <v>0.10763888888888884</v>
          </cell>
          <cell r="S228">
            <v>0.35069444444444453</v>
          </cell>
        </row>
        <row r="229">
          <cell r="A229">
            <v>39955</v>
          </cell>
          <cell r="B229" t="str">
            <v>RTI0002</v>
          </cell>
          <cell r="C229" t="str">
            <v>J.R. SINAGA</v>
          </cell>
          <cell r="D229" t="str">
            <v>1044900;1045304</v>
          </cell>
          <cell r="E229" t="str">
            <v>P-PULF</v>
          </cell>
          <cell r="F229" t="str">
            <v>Pulp Transport</v>
          </cell>
          <cell r="G229">
            <v>120</v>
          </cell>
          <cell r="H229">
            <v>6.9444444444445308E-3</v>
          </cell>
          <cell r="I229">
            <v>1.8749999999999933E-2</v>
          </cell>
          <cell r="J229">
            <v>1.5972222222222276E-2</v>
          </cell>
          <cell r="K229">
            <v>2.4305555555555469E-2</v>
          </cell>
          <cell r="L229">
            <v>1.736111111111116E-2</v>
          </cell>
          <cell r="M229">
            <v>2.2916666666666585E-2</v>
          </cell>
          <cell r="N229">
            <v>2.0138888888888928E-2</v>
          </cell>
          <cell r="O229">
            <v>9.027777777777779E-2</v>
          </cell>
          <cell r="P229">
            <v>1.2500000000000067E-2</v>
          </cell>
          <cell r="Q229">
            <v>5.208333333333337E-2</v>
          </cell>
          <cell r="R229">
            <v>8.4027777777777701E-2</v>
          </cell>
          <cell r="S229">
            <v>0.36527777777777781</v>
          </cell>
        </row>
        <row r="230">
          <cell r="A230">
            <v>39955</v>
          </cell>
          <cell r="B230" t="str">
            <v>RTI0006</v>
          </cell>
          <cell r="C230" t="str">
            <v>EKO MUSTANTO</v>
          </cell>
          <cell r="D230" t="str">
            <v>1045306;1045307</v>
          </cell>
          <cell r="E230" t="str">
            <v>P-PULF</v>
          </cell>
          <cell r="F230" t="str">
            <v>Pulp Transport</v>
          </cell>
          <cell r="G230">
            <v>120</v>
          </cell>
          <cell r="H230">
            <v>1.3888888888889062E-2</v>
          </cell>
          <cell r="I230">
            <v>2.7777777777777679E-2</v>
          </cell>
          <cell r="J230">
            <v>1.8750000000000044E-2</v>
          </cell>
          <cell r="K230">
            <v>1.5972222222222276E-2</v>
          </cell>
          <cell r="L230">
            <v>2.4305555555555469E-2</v>
          </cell>
          <cell r="M230">
            <v>1.736111111111116E-2</v>
          </cell>
          <cell r="N230">
            <v>2.4305555555555469E-2</v>
          </cell>
          <cell r="O230">
            <v>7.638888888888884E-2</v>
          </cell>
          <cell r="P230">
            <v>2.3611111111111138E-2</v>
          </cell>
          <cell r="Q230">
            <v>1.8055555555555602E-2</v>
          </cell>
          <cell r="R230">
            <v>5.5555555555555469E-2</v>
          </cell>
          <cell r="S230">
            <v>0.31597222222222221</v>
          </cell>
        </row>
        <row r="231">
          <cell r="A231">
            <v>39955</v>
          </cell>
          <cell r="B231" t="str">
            <v>RTI0001</v>
          </cell>
          <cell r="C231" t="str">
            <v>SULAIMAN. R</v>
          </cell>
          <cell r="D231" t="str">
            <v>1045311;1045363</v>
          </cell>
          <cell r="E231" t="str">
            <v>P-PULF</v>
          </cell>
          <cell r="F231" t="str">
            <v>Pulp Transport</v>
          </cell>
          <cell r="G231">
            <v>120</v>
          </cell>
          <cell r="H231">
            <v>6.9444444444444198E-3</v>
          </cell>
          <cell r="I231">
            <v>2.777777777777779E-2</v>
          </cell>
          <cell r="J231">
            <v>2.4305555555555469E-2</v>
          </cell>
          <cell r="K231">
            <v>1.736111111111116E-2</v>
          </cell>
          <cell r="L231">
            <v>2.430555555555558E-2</v>
          </cell>
          <cell r="M231">
            <v>2.0833333333333259E-2</v>
          </cell>
          <cell r="N231">
            <v>2.083333333333337E-2</v>
          </cell>
          <cell r="O231">
            <v>8.6805555555555469E-2</v>
          </cell>
          <cell r="P231">
            <v>2.083333333333337E-2</v>
          </cell>
          <cell r="Q231">
            <v>2.083333333333337E-2</v>
          </cell>
          <cell r="R231">
            <v>8.680555555555558E-2</v>
          </cell>
          <cell r="S231">
            <v>0.35763888888888884</v>
          </cell>
        </row>
        <row r="232">
          <cell r="A232">
            <v>39955</v>
          </cell>
          <cell r="B232" t="str">
            <v>RTI0001</v>
          </cell>
          <cell r="C232" t="str">
            <v>JAMES SINAMBELA</v>
          </cell>
          <cell r="D232" t="str">
            <v>1043137;1043138</v>
          </cell>
          <cell r="E232" t="str">
            <v>P-PULF</v>
          </cell>
          <cell r="F232" t="str">
            <v>Pulp Transport</v>
          </cell>
          <cell r="G232">
            <v>120</v>
          </cell>
          <cell r="H232">
            <v>6.9444444444445308E-3</v>
          </cell>
          <cell r="I232">
            <v>1.7361111111111049E-2</v>
          </cell>
          <cell r="J232">
            <v>1.7361111111111105E-2</v>
          </cell>
          <cell r="K232">
            <v>2.0833333333333315E-2</v>
          </cell>
          <cell r="L232">
            <v>2.083333333333337E-2</v>
          </cell>
          <cell r="M232">
            <v>2.3611111111111083E-2</v>
          </cell>
          <cell r="N232">
            <v>2.5000000000000078E-2</v>
          </cell>
          <cell r="O232">
            <v>0.10555555555555557</v>
          </cell>
          <cell r="P232">
            <v>1.2499999999999956E-2</v>
          </cell>
          <cell r="Q232">
            <v>4.861111111111116E-2</v>
          </cell>
          <cell r="R232">
            <v>0.10763888888888884</v>
          </cell>
          <cell r="S232">
            <v>0.40625000000000006</v>
          </cell>
        </row>
        <row r="233">
          <cell r="A233">
            <v>39954</v>
          </cell>
          <cell r="B233" t="str">
            <v>RTI0011</v>
          </cell>
          <cell r="C233" t="str">
            <v>M. JAMIN RAMBE</v>
          </cell>
          <cell r="D233" t="str">
            <v>1044903;1044904</v>
          </cell>
          <cell r="E233" t="str">
            <v>P-PULF</v>
          </cell>
          <cell r="F233" t="str">
            <v>Pulp Transport</v>
          </cell>
          <cell r="G233">
            <v>120</v>
          </cell>
          <cell r="H233">
            <v>1.388888888888884E-2</v>
          </cell>
          <cell r="I233">
            <v>2.083333333333337E-2</v>
          </cell>
          <cell r="J233">
            <v>2.083333333333337E-2</v>
          </cell>
          <cell r="K233">
            <v>2.0833333333333259E-2</v>
          </cell>
          <cell r="L233">
            <v>2.3611111111111138E-2</v>
          </cell>
          <cell r="M233">
            <v>2.4999999999999911E-2</v>
          </cell>
          <cell r="N233">
            <v>1.736111111111116E-2</v>
          </cell>
          <cell r="O233">
            <v>6.597222222222221E-2</v>
          </cell>
          <cell r="P233">
            <v>1.3888888888888951E-2</v>
          </cell>
          <cell r="Q233">
            <v>5.208333333333337E-2</v>
          </cell>
          <cell r="R233">
            <v>0.12569444444444444</v>
          </cell>
          <cell r="S233">
            <v>0.4</v>
          </cell>
        </row>
        <row r="234">
          <cell r="A234">
            <v>39954</v>
          </cell>
          <cell r="B234" t="str">
            <v>BFI0001</v>
          </cell>
          <cell r="C234" t="str">
            <v>AMRIL</v>
          </cell>
          <cell r="D234" t="str">
            <v>1044834;1044835</v>
          </cell>
          <cell r="E234" t="str">
            <v>P-PULF</v>
          </cell>
          <cell r="F234" t="str">
            <v>Pulp Transport</v>
          </cell>
          <cell r="G234">
            <v>144</v>
          </cell>
          <cell r="H234">
            <v>6.9444444444444753E-3</v>
          </cell>
          <cell r="I234">
            <v>1.388888888888884E-2</v>
          </cell>
          <cell r="J234">
            <v>1.3888888888888895E-2</v>
          </cell>
          <cell r="K234">
            <v>1.3888888888888951E-2</v>
          </cell>
          <cell r="L234">
            <v>1.7361111111111049E-2</v>
          </cell>
          <cell r="M234">
            <v>1.7361111111111105E-2</v>
          </cell>
          <cell r="N234">
            <v>2.083333333333337E-2</v>
          </cell>
          <cell r="O234">
            <v>6.944444444444442E-2</v>
          </cell>
          <cell r="P234">
            <v>1.388888888888884E-2</v>
          </cell>
          <cell r="Q234">
            <v>2.7777777777777901E-2</v>
          </cell>
          <cell r="R234">
            <v>0.10763888888888884</v>
          </cell>
          <cell r="S234">
            <v>0.32291666666666669</v>
          </cell>
        </row>
        <row r="235">
          <cell r="A235">
            <v>39955</v>
          </cell>
          <cell r="B235" t="str">
            <v>RTI0010</v>
          </cell>
          <cell r="C235" t="str">
            <v>BAMBANG SUHENDRI</v>
          </cell>
          <cell r="D235" t="str">
            <v>1045021;1045302</v>
          </cell>
          <cell r="E235" t="str">
            <v>P-PULF</v>
          </cell>
          <cell r="F235" t="str">
            <v>Pulp Transport</v>
          </cell>
          <cell r="G235">
            <v>120</v>
          </cell>
          <cell r="H235">
            <v>1.736111111111116E-2</v>
          </cell>
          <cell r="I235">
            <v>6.4583333333333215E-2</v>
          </cell>
          <cell r="J235">
            <v>2.0138888888888928E-2</v>
          </cell>
          <cell r="K235">
            <v>2.2916666666666696E-2</v>
          </cell>
          <cell r="L235">
            <v>1.0416666666666741E-2</v>
          </cell>
          <cell r="M235">
            <v>1.388888888888884E-2</v>
          </cell>
          <cell r="N235">
            <v>7.6388888888888618E-3</v>
          </cell>
          <cell r="O235">
            <v>0.12083333333333324</v>
          </cell>
          <cell r="P235">
            <v>2.4305555555555691E-2</v>
          </cell>
          <cell r="Q235">
            <v>2.430555555555558E-2</v>
          </cell>
          <cell r="R235">
            <v>6.944444444444442E-2</v>
          </cell>
          <cell r="S235">
            <v>0.39583333333333337</v>
          </cell>
        </row>
        <row r="236">
          <cell r="A236">
            <v>39954</v>
          </cell>
          <cell r="B236" t="str">
            <v>RTI0007</v>
          </cell>
          <cell r="C236" t="str">
            <v>M. JONTRA</v>
          </cell>
          <cell r="D236" t="str">
            <v>1044823;1044824</v>
          </cell>
          <cell r="E236" t="str">
            <v>P-PULF</v>
          </cell>
          <cell r="F236" t="str">
            <v>Pulp Transport</v>
          </cell>
          <cell r="G236">
            <v>120</v>
          </cell>
          <cell r="H236">
            <v>6.9444444444443088E-3</v>
          </cell>
          <cell r="I236">
            <v>5.5555555555555358E-3</v>
          </cell>
          <cell r="J236">
            <v>3.6111111111111094E-2</v>
          </cell>
          <cell r="K236">
            <v>1.388888888888995E-3</v>
          </cell>
          <cell r="L236">
            <v>1.2500000000000067E-2</v>
          </cell>
          <cell r="M236">
            <v>1.388888888888884E-2</v>
          </cell>
          <cell r="N236">
            <v>3.4722222222220989E-3</v>
          </cell>
          <cell r="O236">
            <v>7.638888888888884E-2</v>
          </cell>
          <cell r="P236">
            <v>2.4305555555555469E-2</v>
          </cell>
          <cell r="Q236">
            <v>2.083333333333337E-2</v>
          </cell>
          <cell r="R236">
            <v>9.0277777777777901E-2</v>
          </cell>
          <cell r="S236">
            <v>0.29166666666666652</v>
          </cell>
        </row>
        <row r="237">
          <cell r="A237">
            <v>39955</v>
          </cell>
          <cell r="B237" t="str">
            <v>RTI0008</v>
          </cell>
          <cell r="C237" t="str">
            <v>M. NASIR</v>
          </cell>
          <cell r="D237" t="str">
            <v>1045135;1045136</v>
          </cell>
          <cell r="E237" t="str">
            <v>P-PULF</v>
          </cell>
          <cell r="F237" t="str">
            <v>Pulp Transport</v>
          </cell>
          <cell r="G237">
            <v>120</v>
          </cell>
          <cell r="H237">
            <v>1.3888888888888895E-2</v>
          </cell>
          <cell r="I237">
            <v>6.9444444444445308E-3</v>
          </cell>
          <cell r="J237">
            <v>6.9444444444444198E-3</v>
          </cell>
          <cell r="K237">
            <v>1.8749999999999989E-2</v>
          </cell>
          <cell r="L237">
            <v>6.9444444444444753E-3</v>
          </cell>
          <cell r="M237">
            <v>3.4722222222222099E-3</v>
          </cell>
          <cell r="N237">
            <v>6.9444444444444198E-4</v>
          </cell>
          <cell r="O237">
            <v>0.15902777777777782</v>
          </cell>
          <cell r="P237">
            <v>1.041666666666663E-2</v>
          </cell>
          <cell r="Q237">
            <v>1.3888888888888951E-2</v>
          </cell>
          <cell r="R237">
            <v>8.3333333333333259E-2</v>
          </cell>
          <cell r="S237">
            <v>0.32430555555555562</v>
          </cell>
        </row>
        <row r="238">
          <cell r="A238">
            <v>39955</v>
          </cell>
          <cell r="B238" t="str">
            <v>BFI0002</v>
          </cell>
          <cell r="C238" t="str">
            <v>BARITA  SIHOMBING</v>
          </cell>
          <cell r="D238" t="str">
            <v>1044898;1044899</v>
          </cell>
          <cell r="E238" t="str">
            <v>P-PULF</v>
          </cell>
          <cell r="F238" t="str">
            <v>Pulp Transport</v>
          </cell>
          <cell r="G238">
            <v>144</v>
          </cell>
          <cell r="H238">
            <v>3.4722222222222654E-3</v>
          </cell>
          <cell r="I238">
            <v>6.9444444444445308E-3</v>
          </cell>
          <cell r="J238">
            <v>2.083333333333337E-2</v>
          </cell>
          <cell r="K238">
            <v>2.777777777777779E-2</v>
          </cell>
          <cell r="L238">
            <v>1.7361111111111049E-2</v>
          </cell>
          <cell r="M238">
            <v>3.125E-2</v>
          </cell>
          <cell r="N238">
            <v>1.736111111111116E-2</v>
          </cell>
          <cell r="O238">
            <v>0.12847222222222221</v>
          </cell>
          <cell r="P238">
            <v>2.777777777777779E-2</v>
          </cell>
          <cell r="Q238">
            <v>1.041666666666663E-2</v>
          </cell>
          <cell r="R238">
            <v>7.291666666666663E-2</v>
          </cell>
          <cell r="S238">
            <v>0.36458333333333343</v>
          </cell>
        </row>
        <row r="239">
          <cell r="A239">
            <v>39955</v>
          </cell>
          <cell r="B239" t="str">
            <v>RTI0020</v>
          </cell>
          <cell r="C239" t="str">
            <v xml:space="preserve">SAHRUM RAMBE </v>
          </cell>
          <cell r="D239" t="str">
            <v>1045140;1045203</v>
          </cell>
          <cell r="E239" t="str">
            <v>P-PULF</v>
          </cell>
          <cell r="F239" t="str">
            <v>Pulp Transport</v>
          </cell>
          <cell r="G239">
            <v>120</v>
          </cell>
          <cell r="H239">
            <v>1.041666666666663E-2</v>
          </cell>
          <cell r="I239">
            <v>6.9444444444445308E-3</v>
          </cell>
          <cell r="J239">
            <v>6.2499999999999778E-3</v>
          </cell>
          <cell r="K239">
            <v>1.041666666666663E-2</v>
          </cell>
          <cell r="L239">
            <v>1.7361111111111049E-2</v>
          </cell>
          <cell r="M239">
            <v>1.736111111111116E-2</v>
          </cell>
          <cell r="N239">
            <v>1.0416666666666741E-2</v>
          </cell>
          <cell r="O239">
            <v>0.125</v>
          </cell>
          <cell r="P239">
            <v>1.388888888888884E-2</v>
          </cell>
          <cell r="Q239">
            <v>1.736111111111116E-2</v>
          </cell>
          <cell r="R239">
            <v>0.125</v>
          </cell>
          <cell r="S239">
            <v>0.36041666666666672</v>
          </cell>
        </row>
        <row r="240">
          <cell r="A240">
            <v>39955</v>
          </cell>
          <cell r="B240" t="str">
            <v>BFI0001</v>
          </cell>
          <cell r="C240" t="str">
            <v>PEPEN EFFENDI</v>
          </cell>
          <cell r="D240" t="str">
            <v>1045303;1045305</v>
          </cell>
          <cell r="E240" t="str">
            <v>P-PULF</v>
          </cell>
          <cell r="F240" t="str">
            <v>Pulp Transport</v>
          </cell>
          <cell r="G240">
            <v>144</v>
          </cell>
          <cell r="H240">
            <v>1.3194444444444509E-2</v>
          </cell>
          <cell r="I240">
            <v>1.041666666666663E-2</v>
          </cell>
          <cell r="J240">
            <v>3.125E-2</v>
          </cell>
          <cell r="K240">
            <v>2.430555555555558E-2</v>
          </cell>
          <cell r="L240">
            <v>1.736111111111116E-2</v>
          </cell>
          <cell r="M240">
            <v>3.4722222222222099E-3</v>
          </cell>
          <cell r="N240">
            <v>1.3888888888888951E-2</v>
          </cell>
          <cell r="O240">
            <v>0.10138888888888886</v>
          </cell>
          <cell r="P240">
            <v>2.7777777777777679E-2</v>
          </cell>
          <cell r="Q240">
            <v>3.125E-2</v>
          </cell>
          <cell r="R240">
            <v>8.3333333333333259E-2</v>
          </cell>
          <cell r="S240">
            <v>0.35763888888888884</v>
          </cell>
        </row>
        <row r="241">
          <cell r="A241">
            <v>39955</v>
          </cell>
          <cell r="B241" t="str">
            <v>RTI0001</v>
          </cell>
          <cell r="C241" t="str">
            <v>SULAIMAN. R</v>
          </cell>
          <cell r="D241" t="str">
            <v>1045299;1045300</v>
          </cell>
          <cell r="E241" t="str">
            <v>P-PULF</v>
          </cell>
          <cell r="F241" t="str">
            <v>Pulp Transport</v>
          </cell>
          <cell r="G241">
            <v>120</v>
          </cell>
          <cell r="H241">
            <v>2.0833333333333398E-3</v>
          </cell>
          <cell r="I241">
            <v>8.3333333333333315E-3</v>
          </cell>
          <cell r="J241">
            <v>3.5416666666666666E-2</v>
          </cell>
          <cell r="K241">
            <v>2.708333333333332E-2</v>
          </cell>
          <cell r="L241">
            <v>8.3333333333333315E-3</v>
          </cell>
          <cell r="M241">
            <v>5.5555555555555636E-3</v>
          </cell>
          <cell r="N241">
            <v>3.4722222222222099E-3</v>
          </cell>
          <cell r="O241">
            <v>7.9861111111111105E-2</v>
          </cell>
          <cell r="P241">
            <v>2.2916666666666724E-2</v>
          </cell>
          <cell r="Q241">
            <v>2.0138888888888873E-2</v>
          </cell>
          <cell r="R241">
            <v>6.6666666666666652E-2</v>
          </cell>
          <cell r="S241">
            <v>0.27986111111111112</v>
          </cell>
        </row>
        <row r="242">
          <cell r="A242">
            <v>39955</v>
          </cell>
          <cell r="B242" t="str">
            <v>RTI0010</v>
          </cell>
          <cell r="C242" t="str">
            <v>SUPARNO</v>
          </cell>
          <cell r="D242" t="str">
            <v>1045204;1045205</v>
          </cell>
          <cell r="E242" t="str">
            <v>P-PULF</v>
          </cell>
          <cell r="F242" t="str">
            <v>Pulp Transport</v>
          </cell>
          <cell r="G242">
            <v>120</v>
          </cell>
          <cell r="H242">
            <v>3.472222222222222E-3</v>
          </cell>
          <cell r="I242">
            <v>1.3888888888888888E-2</v>
          </cell>
          <cell r="J242">
            <v>2.0833333333333332E-2</v>
          </cell>
          <cell r="K242">
            <v>6.9444444444444475E-3</v>
          </cell>
          <cell r="L242">
            <v>1.3888888888888888E-2</v>
          </cell>
          <cell r="M242">
            <v>2.4305555555555566E-2</v>
          </cell>
          <cell r="N242">
            <v>6.9444444444444337E-3</v>
          </cell>
          <cell r="O242">
            <v>0.10069444444444445</v>
          </cell>
          <cell r="P242">
            <v>3.472222222222221E-2</v>
          </cell>
          <cell r="Q242">
            <v>9.0277777777777818E-2</v>
          </cell>
          <cell r="R242">
            <v>0.1111111111111111</v>
          </cell>
          <cell r="S242">
            <v>0.42708333333333331</v>
          </cell>
        </row>
        <row r="243">
          <cell r="A243">
            <v>39955</v>
          </cell>
          <cell r="B243" t="str">
            <v>RTI0006</v>
          </cell>
          <cell r="C243" t="str">
            <v>EKO MUSTANTO</v>
          </cell>
          <cell r="D243" t="str">
            <v>1045206;1045207</v>
          </cell>
          <cell r="E243" t="str">
            <v>P-PULF</v>
          </cell>
          <cell r="F243" t="str">
            <v>Pulp Transport</v>
          </cell>
          <cell r="G243">
            <v>120</v>
          </cell>
          <cell r="H243">
            <v>1.3888888888888892E-2</v>
          </cell>
          <cell r="I243">
            <v>6.9444444444444406E-3</v>
          </cell>
          <cell r="J243">
            <v>9.0277777777777873E-3</v>
          </cell>
          <cell r="K243">
            <v>2.9166666666666653E-2</v>
          </cell>
          <cell r="L243">
            <v>1.7361111111111119E-2</v>
          </cell>
          <cell r="M243">
            <v>2.7777777777777776E-2</v>
          </cell>
          <cell r="N243">
            <v>2.7777777777777957E-3</v>
          </cell>
          <cell r="O243">
            <v>7.3611111111111072E-2</v>
          </cell>
          <cell r="P243">
            <v>3.8194444444444475E-2</v>
          </cell>
          <cell r="Q243">
            <v>7.8472222222222193E-2</v>
          </cell>
          <cell r="R243">
            <v>8.8194444444444464E-2</v>
          </cell>
          <cell r="S243">
            <v>0.38541666666666663</v>
          </cell>
        </row>
        <row r="244">
          <cell r="A244">
            <v>39955</v>
          </cell>
          <cell r="B244" t="str">
            <v>RTI0009</v>
          </cell>
          <cell r="C244" t="str">
            <v>MARLIN SAMOSIR</v>
          </cell>
          <cell r="D244" t="str">
            <v>1045373;1045374</v>
          </cell>
          <cell r="E244" t="str">
            <v>P-PULF</v>
          </cell>
          <cell r="F244" t="str">
            <v>Pulp Transport</v>
          </cell>
          <cell r="G244">
            <v>120</v>
          </cell>
          <cell r="H244">
            <v>6.9444444444444475E-3</v>
          </cell>
          <cell r="I244">
            <v>2.2916666666666669E-2</v>
          </cell>
          <cell r="J244">
            <v>8.3333333333333315E-3</v>
          </cell>
          <cell r="K244">
            <v>3.125E-2</v>
          </cell>
          <cell r="L244">
            <v>6.9444444444444753E-3</v>
          </cell>
          <cell r="M244">
            <v>2.0833333333333315E-2</v>
          </cell>
          <cell r="N244">
            <v>1.3888888888888895E-2</v>
          </cell>
          <cell r="O244">
            <v>9.375E-2</v>
          </cell>
          <cell r="P244">
            <v>7.9861111111111049E-2</v>
          </cell>
          <cell r="Q244">
            <v>6.9444444444445308E-3</v>
          </cell>
          <cell r="R244">
            <v>0.1111111111111111</v>
          </cell>
          <cell r="S244">
            <v>0.40277777777777785</v>
          </cell>
        </row>
        <row r="245">
          <cell r="A245">
            <v>39955</v>
          </cell>
          <cell r="B245" t="str">
            <v>BFI0001</v>
          </cell>
          <cell r="C245" t="str">
            <v>NIRMAN</v>
          </cell>
          <cell r="D245" t="str">
            <v>1045298;1045366</v>
          </cell>
          <cell r="E245" t="str">
            <v>P-PULF</v>
          </cell>
          <cell r="F245" t="str">
            <v>Pulp Transport</v>
          </cell>
          <cell r="G245">
            <v>144</v>
          </cell>
          <cell r="H245">
            <v>6.9444444444444441E-3</v>
          </cell>
          <cell r="I245">
            <v>1.5277777777777782E-2</v>
          </cell>
          <cell r="J245">
            <v>4.027777777777778E-2</v>
          </cell>
          <cell r="K245">
            <v>3.0555555555555544E-2</v>
          </cell>
          <cell r="L245">
            <v>4.1666666666666657E-3</v>
          </cell>
          <cell r="M245">
            <v>1.0416666666666671E-2</v>
          </cell>
          <cell r="N245">
            <v>6.9444444444444614E-3</v>
          </cell>
          <cell r="O245">
            <v>0.11458333333333331</v>
          </cell>
          <cell r="P245">
            <v>7.6388888888888923E-2</v>
          </cell>
          <cell r="Q245">
            <v>0.1111111111111111</v>
          </cell>
          <cell r="R245">
            <v>0.10763888888888884</v>
          </cell>
          <cell r="S245">
            <v>0.52430555555555558</v>
          </cell>
        </row>
        <row r="246">
          <cell r="A246">
            <v>39955</v>
          </cell>
          <cell r="B246" t="str">
            <v>BFI0002</v>
          </cell>
          <cell r="C246" t="str">
            <v>BARITA  SIHOMBING</v>
          </cell>
          <cell r="D246" t="str">
            <v>1045208;1045209</v>
          </cell>
          <cell r="E246" t="str">
            <v>P-PULF</v>
          </cell>
          <cell r="F246" t="str">
            <v>Pulp Transport</v>
          </cell>
          <cell r="G246">
            <v>144</v>
          </cell>
          <cell r="H246">
            <v>3.4722222222222099E-3</v>
          </cell>
          <cell r="I246">
            <v>1.9444444444444486E-2</v>
          </cell>
          <cell r="J246">
            <v>2.9166666666666619E-2</v>
          </cell>
          <cell r="K246">
            <v>6.9444444444444198E-4</v>
          </cell>
          <cell r="L246">
            <v>1.2500000000000039E-2</v>
          </cell>
          <cell r="M246">
            <v>6.9444444444444198E-4</v>
          </cell>
          <cell r="N246">
            <v>6.9444444444444198E-3</v>
          </cell>
          <cell r="O246">
            <v>7.638888888888884E-2</v>
          </cell>
          <cell r="P246">
            <v>3.1249999999999944E-2</v>
          </cell>
          <cell r="Q246">
            <v>4.1666666666666741E-2</v>
          </cell>
          <cell r="R246">
            <v>0.18402777777777768</v>
          </cell>
          <cell r="S246">
            <v>0.40624999999999989</v>
          </cell>
        </row>
        <row r="247">
          <cell r="A247">
            <v>39955</v>
          </cell>
          <cell r="B247" t="str">
            <v>RTI0005</v>
          </cell>
          <cell r="C247" t="str">
            <v>PARDAMEAN T</v>
          </cell>
          <cell r="D247" t="str">
            <v>1045294;1045295</v>
          </cell>
          <cell r="E247" t="str">
            <v>P-PULF</v>
          </cell>
          <cell r="F247" t="str">
            <v>Pulp Transport</v>
          </cell>
          <cell r="G247">
            <v>120</v>
          </cell>
          <cell r="H247">
            <v>1.041666666666663E-2</v>
          </cell>
          <cell r="I247">
            <v>1.388888888888884E-2</v>
          </cell>
          <cell r="J247">
            <v>4.0277777777777857E-2</v>
          </cell>
          <cell r="K247">
            <v>1.388888888888884E-3</v>
          </cell>
          <cell r="L247">
            <v>6.9444444444444198E-3</v>
          </cell>
          <cell r="M247">
            <v>6.9444444444444198E-3</v>
          </cell>
          <cell r="N247">
            <v>6.9444444444444198E-3</v>
          </cell>
          <cell r="O247">
            <v>7.986111111111116E-2</v>
          </cell>
          <cell r="P247">
            <v>6.9444444444444198E-3</v>
          </cell>
          <cell r="Q247">
            <v>7.2916666666666741E-2</v>
          </cell>
          <cell r="R247">
            <v>8.0555555555555491E-2</v>
          </cell>
          <cell r="S247">
            <v>0.32708333333333328</v>
          </cell>
        </row>
        <row r="248">
          <cell r="A248">
            <v>39956</v>
          </cell>
          <cell r="B248" t="str">
            <v>RTI0011</v>
          </cell>
          <cell r="C248" t="str">
            <v>BUDI HANDOKO</v>
          </cell>
          <cell r="D248" t="str">
            <v>1045443;1045444</v>
          </cell>
          <cell r="E248" t="str">
            <v>P-PULF</v>
          </cell>
          <cell r="F248" t="str">
            <v>Pulp Transport</v>
          </cell>
          <cell r="G248">
            <v>120</v>
          </cell>
          <cell r="H248">
            <v>6.9444444444444198E-3</v>
          </cell>
          <cell r="I248">
            <v>2.0138888888888873E-2</v>
          </cell>
          <cell r="J248">
            <v>2.9166666666666674E-2</v>
          </cell>
          <cell r="K248">
            <v>2.7777777777777679E-3</v>
          </cell>
          <cell r="L248">
            <v>3.4722222222222654E-3</v>
          </cell>
          <cell r="M248">
            <v>2.0833333333333315E-2</v>
          </cell>
          <cell r="N248">
            <v>1.3888888888888895E-2</v>
          </cell>
          <cell r="O248">
            <v>5.4166666666666752E-2</v>
          </cell>
          <cell r="P248">
            <v>2.7777777777777679E-2</v>
          </cell>
          <cell r="Q248">
            <v>6.9444444444445308E-3</v>
          </cell>
          <cell r="R248">
            <v>0.12847222222222221</v>
          </cell>
          <cell r="S248">
            <v>0.31458333333333338</v>
          </cell>
        </row>
        <row r="249">
          <cell r="A249">
            <v>39956</v>
          </cell>
          <cell r="B249" t="str">
            <v>RTI0001</v>
          </cell>
          <cell r="C249" t="str">
            <v>JAMES SINAMBELA</v>
          </cell>
          <cell r="D249" t="str">
            <v>1045368;1045369</v>
          </cell>
          <cell r="E249" t="str">
            <v>P-PULF</v>
          </cell>
          <cell r="F249" t="str">
            <v>Pulp Transport</v>
          </cell>
          <cell r="G249">
            <v>120</v>
          </cell>
          <cell r="H249">
            <v>1.3888888888888895E-2</v>
          </cell>
          <cell r="I249">
            <v>1.388888888888884E-2</v>
          </cell>
          <cell r="J249">
            <v>6.9444444444445308E-3</v>
          </cell>
          <cell r="K249">
            <v>1.388888888888884E-2</v>
          </cell>
          <cell r="L249">
            <v>3.472222222222221E-2</v>
          </cell>
          <cell r="M249">
            <v>6.9444444444444198E-3</v>
          </cell>
          <cell r="N249">
            <v>3.4722222222222654E-3</v>
          </cell>
          <cell r="O249">
            <v>9.7222222222222224E-2</v>
          </cell>
          <cell r="P249">
            <v>2.7777777777777679E-2</v>
          </cell>
          <cell r="Q249">
            <v>2.083333333333337E-2</v>
          </cell>
          <cell r="R249">
            <v>9.375E-2</v>
          </cell>
          <cell r="S249">
            <v>0.33333333333333326</v>
          </cell>
        </row>
        <row r="250">
          <cell r="A250">
            <v>39956</v>
          </cell>
          <cell r="B250" t="str">
            <v>RTI0007</v>
          </cell>
          <cell r="C250" t="str">
            <v>RUSDI</v>
          </cell>
          <cell r="D250" t="str">
            <v>1045367;1045442</v>
          </cell>
          <cell r="E250" t="str">
            <v>P-PULF</v>
          </cell>
          <cell r="F250" t="str">
            <v>Pulp Transport</v>
          </cell>
          <cell r="G250">
            <v>120</v>
          </cell>
          <cell r="H250">
            <v>1.041666666666663E-2</v>
          </cell>
          <cell r="I250">
            <v>6.9444444444445308E-3</v>
          </cell>
          <cell r="J250">
            <v>6.5972222222222321E-2</v>
          </cell>
          <cell r="K250">
            <v>2.430555555555558E-2</v>
          </cell>
          <cell r="L250">
            <v>2.4305555555555358E-2</v>
          </cell>
          <cell r="M250">
            <v>3.4722222222223209E-3</v>
          </cell>
          <cell r="N250">
            <v>1.3888888888888895E-2</v>
          </cell>
          <cell r="O250">
            <v>5.2083333333333259E-2</v>
          </cell>
          <cell r="P250">
            <v>2.7777777777777679E-2</v>
          </cell>
          <cell r="Q250">
            <v>6.9444444444444198E-3</v>
          </cell>
          <cell r="R250">
            <v>7.638888888888884E-2</v>
          </cell>
          <cell r="S250">
            <v>0.31249999999999983</v>
          </cell>
        </row>
        <row r="251">
          <cell r="A251">
            <v>39956</v>
          </cell>
          <cell r="B251" t="str">
            <v>RTI0010</v>
          </cell>
          <cell r="C251" t="str">
            <v>BAMBANG SUHENDRI</v>
          </cell>
          <cell r="D251" t="str">
            <v>1045370;1045371</v>
          </cell>
          <cell r="E251" t="str">
            <v>P-PULF</v>
          </cell>
          <cell r="F251" t="str">
            <v>Pulp Transport</v>
          </cell>
          <cell r="G251">
            <v>120</v>
          </cell>
          <cell r="H251">
            <v>6.9444444444444198E-3</v>
          </cell>
          <cell r="I251">
            <v>5.2083333333333315E-2</v>
          </cell>
          <cell r="J251">
            <v>3.4722222222222654E-3</v>
          </cell>
          <cell r="K251">
            <v>2.430555555555558E-2</v>
          </cell>
          <cell r="L251">
            <v>6.9444444444444198E-3</v>
          </cell>
          <cell r="M251">
            <v>9.0277777777777457E-3</v>
          </cell>
          <cell r="N251">
            <v>1.3888888888888895E-2</v>
          </cell>
          <cell r="O251">
            <v>6.3888888888888995E-2</v>
          </cell>
          <cell r="P251">
            <v>1.041666666666663E-2</v>
          </cell>
          <cell r="Q251">
            <v>2.430555555555558E-2</v>
          </cell>
          <cell r="R251">
            <v>4.166666666666663E-2</v>
          </cell>
          <cell r="S251">
            <v>0.25694444444444448</v>
          </cell>
        </row>
        <row r="252">
          <cell r="A252">
            <v>39956</v>
          </cell>
          <cell r="B252" t="str">
            <v>RTI0002</v>
          </cell>
          <cell r="C252" t="str">
            <v>J.R. SINAGA</v>
          </cell>
          <cell r="D252" t="str">
            <v>1045375;1045376</v>
          </cell>
          <cell r="E252" t="str">
            <v>P-PULF</v>
          </cell>
          <cell r="F252" t="str">
            <v>Pulp Transport</v>
          </cell>
          <cell r="G252">
            <v>120</v>
          </cell>
          <cell r="H252">
            <v>3.4722222222222376E-3</v>
          </cell>
          <cell r="I252">
            <v>6.9444444444445308E-3</v>
          </cell>
          <cell r="J252">
            <v>9.0277777777778567E-3</v>
          </cell>
          <cell r="K252">
            <v>1.7361111111111049E-2</v>
          </cell>
          <cell r="L252">
            <v>2.430555555555558E-2</v>
          </cell>
          <cell r="M252">
            <v>1.041666666666663E-2</v>
          </cell>
          <cell r="N252">
            <v>3.4722222222222099E-3</v>
          </cell>
          <cell r="O252">
            <v>6.7361111111111094E-2</v>
          </cell>
          <cell r="P252">
            <v>2.9861111111111116E-2</v>
          </cell>
          <cell r="Q252">
            <v>1.388888888888884E-2</v>
          </cell>
          <cell r="R252">
            <v>6.8055555555555536E-2</v>
          </cell>
          <cell r="S252">
            <v>0.25416666666666665</v>
          </cell>
        </row>
        <row r="253">
          <cell r="A253">
            <v>39956</v>
          </cell>
          <cell r="B253" t="str">
            <v>RTI0005</v>
          </cell>
          <cell r="C253" t="str">
            <v>M. ISA GANI</v>
          </cell>
          <cell r="D253" t="str">
            <v>1045301;1045512</v>
          </cell>
          <cell r="E253" t="str">
            <v>P-PULF</v>
          </cell>
          <cell r="F253" t="str">
            <v>Pulp Transport</v>
          </cell>
          <cell r="G253">
            <v>120</v>
          </cell>
          <cell r="H253">
            <v>1.3888888888888895E-2</v>
          </cell>
          <cell r="I253">
            <v>3.125E-2</v>
          </cell>
          <cell r="J253">
            <v>1.7361111111111112E-2</v>
          </cell>
          <cell r="K253">
            <v>1.0416666666666685E-2</v>
          </cell>
          <cell r="L253">
            <v>2.4305555555555469E-2</v>
          </cell>
          <cell r="M253">
            <v>6.9444444444444198E-3</v>
          </cell>
          <cell r="N253">
            <v>2.430555555555558E-2</v>
          </cell>
          <cell r="O253">
            <v>7.6388888888888951E-2</v>
          </cell>
          <cell r="P253">
            <v>3.4722222222220989E-3</v>
          </cell>
          <cell r="Q253">
            <v>1.0416666666666741E-2</v>
          </cell>
          <cell r="R253">
            <v>9.7222222222222099E-2</v>
          </cell>
          <cell r="S253">
            <v>0.31597222222222204</v>
          </cell>
        </row>
        <row r="254">
          <cell r="A254">
            <v>39955</v>
          </cell>
          <cell r="B254" t="str">
            <v>RTI0018</v>
          </cell>
          <cell r="C254" t="str">
            <v>M. ISA GANI</v>
          </cell>
          <cell r="D254" t="str">
            <v>1045019;1045020</v>
          </cell>
          <cell r="E254" t="str">
            <v>P-PULF</v>
          </cell>
          <cell r="F254" t="str">
            <v>Pulp Transport</v>
          </cell>
          <cell r="G254">
            <v>120</v>
          </cell>
          <cell r="H254">
            <v>1.3888888888888951E-2</v>
          </cell>
          <cell r="I254">
            <v>1.7361111111111049E-2</v>
          </cell>
          <cell r="J254">
            <v>2.4305555555555636E-2</v>
          </cell>
          <cell r="K254">
            <v>1.388888888888884E-3</v>
          </cell>
          <cell r="L254">
            <v>9.0277777777777457E-3</v>
          </cell>
          <cell r="M254">
            <v>3.125E-2</v>
          </cell>
          <cell r="N254">
            <v>3.4722222222222099E-3</v>
          </cell>
          <cell r="O254">
            <v>7.638888888888884E-2</v>
          </cell>
          <cell r="P254">
            <v>1.0416666666666741E-2</v>
          </cell>
          <cell r="Q254">
            <v>1.041666666666663E-2</v>
          </cell>
          <cell r="R254">
            <v>7.638888888888884E-2</v>
          </cell>
          <cell r="S254">
            <v>0.27430555555555552</v>
          </cell>
        </row>
        <row r="255">
          <cell r="A255">
            <v>39955</v>
          </cell>
          <cell r="B255" t="str">
            <v>RTI0020</v>
          </cell>
          <cell r="C255" t="str">
            <v>AGUS SIAHAAN</v>
          </cell>
          <cell r="D255" t="str">
            <v>1045210;1045211</v>
          </cell>
          <cell r="E255" t="str">
            <v>P-PULF</v>
          </cell>
          <cell r="F255" t="str">
            <v>Pulp Transport</v>
          </cell>
          <cell r="G255">
            <v>120</v>
          </cell>
          <cell r="H255">
            <v>1.0416666666666685E-2</v>
          </cell>
          <cell r="I255">
            <v>4.8611111111111105E-2</v>
          </cell>
          <cell r="J255">
            <v>3.4722222222222099E-3</v>
          </cell>
          <cell r="K255">
            <v>3.1250000000000028E-2</v>
          </cell>
          <cell r="L255">
            <v>2.4305555555555469E-2</v>
          </cell>
          <cell r="M255">
            <v>3.4722222222222099E-3</v>
          </cell>
          <cell r="N255">
            <v>6.9444444444444198E-3</v>
          </cell>
          <cell r="O255">
            <v>0.10069444444444443</v>
          </cell>
          <cell r="P255">
            <v>3.4722222222222654E-3</v>
          </cell>
          <cell r="Q255">
            <v>1.3888888888888951E-2</v>
          </cell>
          <cell r="R255">
            <v>0.10069444444444442</v>
          </cell>
          <cell r="S255">
            <v>0.34722222222222221</v>
          </cell>
        </row>
        <row r="256">
          <cell r="A256">
            <v>39956</v>
          </cell>
          <cell r="B256" t="str">
            <v>BFI0001</v>
          </cell>
          <cell r="C256" t="str">
            <v>PEPEN EFFENDI</v>
          </cell>
          <cell r="D256" t="str">
            <v>1045552;1045553</v>
          </cell>
          <cell r="E256" t="str">
            <v>P-PULF</v>
          </cell>
          <cell r="F256" t="str">
            <v>Pulp Transport</v>
          </cell>
          <cell r="G256">
            <v>144</v>
          </cell>
          <cell r="H256">
            <v>1.041666666666663E-2</v>
          </cell>
          <cell r="I256">
            <v>6.9444444444444198E-3</v>
          </cell>
          <cell r="J256">
            <v>2.430555555555558E-2</v>
          </cell>
          <cell r="K256">
            <v>2.430555555555558E-2</v>
          </cell>
          <cell r="L256">
            <v>1.7361111111111049E-2</v>
          </cell>
          <cell r="M256">
            <v>1.736111111111116E-2</v>
          </cell>
          <cell r="N256">
            <v>9.0277777777777457E-3</v>
          </cell>
          <cell r="O256">
            <v>7.986111111111116E-2</v>
          </cell>
          <cell r="P256">
            <v>2.9166666666666563E-2</v>
          </cell>
          <cell r="Q256">
            <v>6.9444444444445308E-3</v>
          </cell>
          <cell r="R256">
            <v>8.6805555555555469E-2</v>
          </cell>
          <cell r="S256">
            <v>0.31249999999999989</v>
          </cell>
        </row>
        <row r="257">
          <cell r="A257">
            <v>39956</v>
          </cell>
          <cell r="B257" t="str">
            <v>RTI0010</v>
          </cell>
          <cell r="C257" t="str">
            <v>BAMBANG SUHENDRI</v>
          </cell>
          <cell r="D257" t="str">
            <v>1045516;1045517</v>
          </cell>
          <cell r="E257" t="str">
            <v>P-PULF</v>
          </cell>
          <cell r="F257" t="str">
            <v>Pulp Transport</v>
          </cell>
          <cell r="G257">
            <v>120</v>
          </cell>
          <cell r="H257">
            <v>1.041666666666663E-2</v>
          </cell>
          <cell r="I257">
            <v>1.0416666666666741E-2</v>
          </cell>
          <cell r="J257">
            <v>1.7361111111111112E-2</v>
          </cell>
          <cell r="K257">
            <v>3.4722222222220989E-3</v>
          </cell>
          <cell r="L257">
            <v>1.736111111111116E-2</v>
          </cell>
          <cell r="M257">
            <v>2.083333333333337E-2</v>
          </cell>
          <cell r="N257">
            <v>3.4722222222222099E-3</v>
          </cell>
          <cell r="O257">
            <v>0.10555555555555551</v>
          </cell>
          <cell r="P257">
            <v>2.9861111111111116E-2</v>
          </cell>
          <cell r="Q257">
            <v>6.25E-2</v>
          </cell>
          <cell r="R257">
            <v>0.12847222222222232</v>
          </cell>
          <cell r="S257">
            <v>0.40972222222222227</v>
          </cell>
        </row>
        <row r="258">
          <cell r="A258">
            <v>39956</v>
          </cell>
          <cell r="B258" t="str">
            <v>RTI0011</v>
          </cell>
          <cell r="C258" t="str">
            <v>BUDI HANDOKO</v>
          </cell>
          <cell r="D258" t="str">
            <v>1045507;1045510</v>
          </cell>
          <cell r="E258" t="str">
            <v>P-PULF</v>
          </cell>
          <cell r="F258" t="str">
            <v>Pulp Transport</v>
          </cell>
          <cell r="G258">
            <v>120</v>
          </cell>
          <cell r="H258">
            <v>6.9444444444445308E-3</v>
          </cell>
          <cell r="I258">
            <v>1.8055555555555491E-2</v>
          </cell>
          <cell r="J258">
            <v>2.083333333333337E-2</v>
          </cell>
          <cell r="K258">
            <v>2.7777777777777679E-3</v>
          </cell>
          <cell r="L258">
            <v>3.6805555555555536E-2</v>
          </cell>
          <cell r="M258">
            <v>2.083333333333337E-2</v>
          </cell>
          <cell r="N258">
            <v>1.041666666666663E-2</v>
          </cell>
          <cell r="O258">
            <v>7.638888888888884E-2</v>
          </cell>
          <cell r="P258">
            <v>6.9444444444445308E-3</v>
          </cell>
          <cell r="Q258">
            <v>2.430555555555558E-2</v>
          </cell>
          <cell r="R258">
            <v>0.10416666666666663</v>
          </cell>
          <cell r="S258">
            <v>0.32847222222222228</v>
          </cell>
        </row>
        <row r="259">
          <cell r="A259">
            <v>39956</v>
          </cell>
          <cell r="B259" t="str">
            <v>RTI0009</v>
          </cell>
          <cell r="C259" t="str">
            <v>JANTER SILALAHI</v>
          </cell>
          <cell r="D259" t="str">
            <v>1045377;1045378</v>
          </cell>
          <cell r="E259" t="str">
            <v>P-PULF</v>
          </cell>
          <cell r="F259" t="str">
            <v>Pulp Transport</v>
          </cell>
          <cell r="G259">
            <v>120</v>
          </cell>
          <cell r="H259">
            <v>1.3888888888888951E-2</v>
          </cell>
          <cell r="I259">
            <v>2.777777777777779E-2</v>
          </cell>
          <cell r="J259">
            <v>5.555555555555558E-2</v>
          </cell>
          <cell r="K259">
            <v>3.4722222222220989E-3</v>
          </cell>
          <cell r="L259">
            <v>1.0416666666666741E-2</v>
          </cell>
          <cell r="M259">
            <v>6.944444444444442E-2</v>
          </cell>
          <cell r="N259">
            <v>3.4722222222222099E-3</v>
          </cell>
          <cell r="O259">
            <v>7.638888888888884E-2</v>
          </cell>
          <cell r="P259">
            <v>2.7777777777777679E-2</v>
          </cell>
          <cell r="Q259">
            <v>2.430555555555558E-2</v>
          </cell>
          <cell r="R259">
            <v>9.0277777777777679E-2</v>
          </cell>
          <cell r="S259">
            <v>0.40277777777777757</v>
          </cell>
        </row>
        <row r="260">
          <cell r="A260">
            <v>39956</v>
          </cell>
          <cell r="B260" t="str">
            <v>RTI0002</v>
          </cell>
          <cell r="C260" t="str">
            <v xml:space="preserve">SAHRUM RAMBE </v>
          </cell>
          <cell r="D260" t="str">
            <v>1045381;1045515</v>
          </cell>
          <cell r="E260" t="str">
            <v>P-PULF</v>
          </cell>
          <cell r="F260" t="str">
            <v>Pulp Transport</v>
          </cell>
          <cell r="G260">
            <v>120</v>
          </cell>
          <cell r="H260">
            <v>1.0416666666666741E-2</v>
          </cell>
          <cell r="I260">
            <v>3.819444444444442E-2</v>
          </cell>
          <cell r="J260">
            <v>4.513888888888884E-2</v>
          </cell>
          <cell r="K260">
            <v>1.388888888888995E-3</v>
          </cell>
          <cell r="L260">
            <v>5.5555555555555358E-3</v>
          </cell>
          <cell r="M260">
            <v>1.388888888888884E-2</v>
          </cell>
          <cell r="N260">
            <v>1.041666666666663E-2</v>
          </cell>
          <cell r="O260">
            <v>9.1666666666666674E-2</v>
          </cell>
          <cell r="P260">
            <v>1.5972222222222276E-2</v>
          </cell>
          <cell r="Q260">
            <v>6.25E-2</v>
          </cell>
          <cell r="R260">
            <v>0.13541666666666652</v>
          </cell>
          <cell r="S260">
            <v>0.43055555555555547</v>
          </cell>
        </row>
        <row r="261">
          <cell r="A261">
            <v>39956</v>
          </cell>
          <cell r="B261" t="str">
            <v>RTI0001</v>
          </cell>
          <cell r="C261" t="str">
            <v>JAMES SINAMBELA</v>
          </cell>
          <cell r="D261" t="str">
            <v>1045506;1045508</v>
          </cell>
          <cell r="E261" t="str">
            <v>P-PULF</v>
          </cell>
          <cell r="F261" t="str">
            <v>Pulp Transport</v>
          </cell>
          <cell r="G261">
            <v>120</v>
          </cell>
          <cell r="H261">
            <v>6.9444444444445308E-3</v>
          </cell>
          <cell r="I261">
            <v>1.388888888888884E-2</v>
          </cell>
          <cell r="J261">
            <v>3.4722222222223209E-3</v>
          </cell>
          <cell r="K261">
            <v>1.7361111111111049E-2</v>
          </cell>
          <cell r="L261">
            <v>2.430555555555558E-2</v>
          </cell>
          <cell r="M261">
            <v>1.7361111111111049E-2</v>
          </cell>
          <cell r="N261">
            <v>3.4722222222223209E-3</v>
          </cell>
          <cell r="O261">
            <v>7.638888888888884E-2</v>
          </cell>
          <cell r="P261">
            <v>2.430555555555558E-2</v>
          </cell>
          <cell r="Q261">
            <v>1.8055555555555602E-2</v>
          </cell>
          <cell r="R261">
            <v>0.1597222222222221</v>
          </cell>
          <cell r="S261">
            <v>0.36527777777777781</v>
          </cell>
        </row>
        <row r="262">
          <cell r="A262">
            <v>39956</v>
          </cell>
          <cell r="B262" t="str">
            <v>RTI0007</v>
          </cell>
          <cell r="C262" t="str">
            <v>M. JONTRA</v>
          </cell>
          <cell r="D262" t="str">
            <v>1045562;1045563</v>
          </cell>
          <cell r="E262" t="str">
            <v>P-PULF</v>
          </cell>
          <cell r="F262" t="str">
            <v>Pulp Transport</v>
          </cell>
          <cell r="G262">
            <v>120</v>
          </cell>
          <cell r="H262">
            <v>3.4722222222222099E-3</v>
          </cell>
          <cell r="I262">
            <v>6.9444444444445308E-3</v>
          </cell>
          <cell r="J262">
            <v>2.777777777777779E-2</v>
          </cell>
          <cell r="K262">
            <v>2.083333333333337E-2</v>
          </cell>
          <cell r="L262">
            <v>1.041666666666663E-2</v>
          </cell>
          <cell r="M262">
            <v>6.9444444444445308E-3</v>
          </cell>
          <cell r="N262">
            <v>1.041666666666663E-2</v>
          </cell>
          <cell r="O262">
            <v>7.638888888888884E-2</v>
          </cell>
          <cell r="P262">
            <v>2.7777777777777679E-2</v>
          </cell>
          <cell r="Q262">
            <v>1.736111111111116E-2</v>
          </cell>
          <cell r="R262">
            <v>0.10763888888888884</v>
          </cell>
          <cell r="S262">
            <v>0.31597222222222221</v>
          </cell>
        </row>
        <row r="263">
          <cell r="A263">
            <v>39956</v>
          </cell>
          <cell r="B263" t="str">
            <v>RTI0006</v>
          </cell>
          <cell r="C263" t="str">
            <v>EKO MUSTANTO</v>
          </cell>
          <cell r="D263" t="str">
            <v>1045564;1045565</v>
          </cell>
          <cell r="E263" t="str">
            <v>P-PULF</v>
          </cell>
          <cell r="F263" t="str">
            <v>Pulp Transport</v>
          </cell>
          <cell r="G263">
            <v>120</v>
          </cell>
          <cell r="H263">
            <v>1.041666666666663E-2</v>
          </cell>
          <cell r="I263">
            <v>1.1805555555555514E-2</v>
          </cell>
          <cell r="J263">
            <v>1.7361111111111112E-2</v>
          </cell>
          <cell r="K263">
            <v>3.125E-2</v>
          </cell>
          <cell r="L263">
            <v>2.4305555555555469E-2</v>
          </cell>
          <cell r="M263">
            <v>1.0416666666666741E-2</v>
          </cell>
          <cell r="N263">
            <v>1.3888888888888895E-2</v>
          </cell>
          <cell r="O263">
            <v>0.13541666666666663</v>
          </cell>
          <cell r="P263">
            <v>1.0416666666666741E-2</v>
          </cell>
          <cell r="Q263">
            <v>3.4722222222222099E-2</v>
          </cell>
          <cell r="R263">
            <v>9.0277777777777901E-2</v>
          </cell>
          <cell r="S263">
            <v>0.39027777777777772</v>
          </cell>
        </row>
        <row r="264">
          <cell r="A264">
            <v>39956</v>
          </cell>
          <cell r="B264" t="str">
            <v>RTI0004</v>
          </cell>
          <cell r="C264" t="str">
            <v>SLAMET</v>
          </cell>
          <cell r="D264" t="str">
            <v>1045509;1045511</v>
          </cell>
          <cell r="E264" t="str">
            <v>P-PULF</v>
          </cell>
          <cell r="F264" t="str">
            <v>Pulp Transport</v>
          </cell>
          <cell r="G264">
            <v>120</v>
          </cell>
          <cell r="H264">
            <v>6.9444444444443088E-3</v>
          </cell>
          <cell r="I264">
            <v>2.777777777777779E-2</v>
          </cell>
          <cell r="J264">
            <v>3.125E-2</v>
          </cell>
          <cell r="K264">
            <v>2.430555555555558E-2</v>
          </cell>
          <cell r="L264">
            <v>1.0416666666666741E-2</v>
          </cell>
          <cell r="M264">
            <v>1.388888888888884E-2</v>
          </cell>
          <cell r="N264">
            <v>6.9444444444444198E-3</v>
          </cell>
          <cell r="O264">
            <v>9.7916666666666763E-2</v>
          </cell>
          <cell r="P264">
            <v>2.2222222222222143E-2</v>
          </cell>
          <cell r="Q264">
            <v>2.430555555555558E-2</v>
          </cell>
          <cell r="R264">
            <v>8.2638888888888706E-2</v>
          </cell>
          <cell r="S264">
            <v>0.34861111111111087</v>
          </cell>
        </row>
        <row r="265">
          <cell r="A265">
            <v>39956</v>
          </cell>
          <cell r="B265" t="str">
            <v>RTI0004</v>
          </cell>
          <cell r="C265" t="str">
            <v>HENGKY FERNANDO</v>
          </cell>
          <cell r="D265" t="str">
            <v>1045445;1045446</v>
          </cell>
          <cell r="E265" t="str">
            <v>P-PULF</v>
          </cell>
          <cell r="F265" t="str">
            <v>Pulp Transport</v>
          </cell>
          <cell r="G265">
            <v>120</v>
          </cell>
          <cell r="H265">
            <v>1.041666666666663E-2</v>
          </cell>
          <cell r="I265">
            <v>1.0416666666666685E-2</v>
          </cell>
          <cell r="J265">
            <v>3.819444444444442E-2</v>
          </cell>
          <cell r="K265">
            <v>1.0416666666666685E-2</v>
          </cell>
          <cell r="L265">
            <v>6.9444444444444753E-3</v>
          </cell>
          <cell r="M265">
            <v>1.736111111111116E-2</v>
          </cell>
          <cell r="N265">
            <v>6.9444444444445308E-3</v>
          </cell>
          <cell r="O265">
            <v>9.027777777777779E-2</v>
          </cell>
          <cell r="P265">
            <v>1.7361111111111049E-2</v>
          </cell>
          <cell r="Q265">
            <v>6.9444444444445308E-3</v>
          </cell>
          <cell r="R265">
            <v>8.3333333333333259E-2</v>
          </cell>
          <cell r="S265">
            <v>0.29861111111111122</v>
          </cell>
        </row>
        <row r="266">
          <cell r="A266">
            <v>39956</v>
          </cell>
          <cell r="B266" t="str">
            <v>RTI0004</v>
          </cell>
          <cell r="C266" t="str">
            <v>RUSMAN  MANURUNG</v>
          </cell>
          <cell r="D266" t="str">
            <v>1045568;1045569</v>
          </cell>
          <cell r="E266" t="str">
            <v>P-PULF</v>
          </cell>
          <cell r="F266" t="str">
            <v>Pulp Transport</v>
          </cell>
          <cell r="G266">
            <v>120</v>
          </cell>
          <cell r="H266">
            <v>9.7222222222222987E-3</v>
          </cell>
          <cell r="I266">
            <v>6.2499999999998668E-3</v>
          </cell>
          <cell r="J266">
            <v>1.8055555555555713E-2</v>
          </cell>
          <cell r="K266">
            <v>2.430555555555558E-2</v>
          </cell>
          <cell r="L266">
            <v>7.6388888888887507E-3</v>
          </cell>
          <cell r="M266">
            <v>1.0416666666666741E-2</v>
          </cell>
          <cell r="N266">
            <v>5.5555555555555358E-3</v>
          </cell>
          <cell r="O266">
            <v>0.12916666666666665</v>
          </cell>
          <cell r="P266">
            <v>2.8472222222222232E-2</v>
          </cell>
          <cell r="Q266">
            <v>2.430555555555558E-2</v>
          </cell>
          <cell r="R266">
            <v>8.6111111111111249E-2</v>
          </cell>
          <cell r="S266">
            <v>0.3500000000000002</v>
          </cell>
        </row>
        <row r="267">
          <cell r="A267">
            <v>39956</v>
          </cell>
          <cell r="B267" t="str">
            <v>RTI0011</v>
          </cell>
          <cell r="C267" t="str">
            <v>M. JAMIN RAMBE</v>
          </cell>
          <cell r="D267" t="str">
            <v>1045617;1045618</v>
          </cell>
          <cell r="E267" t="str">
            <v>P-PULF</v>
          </cell>
          <cell r="F267" t="str">
            <v>Pulp Transport</v>
          </cell>
          <cell r="G267">
            <v>120</v>
          </cell>
          <cell r="H267">
            <v>1.041666666666663E-2</v>
          </cell>
          <cell r="I267">
            <v>9.0277777777777735E-3</v>
          </cell>
          <cell r="J267">
            <v>2.2916666666666669E-2</v>
          </cell>
          <cell r="K267">
            <v>6.2500000000000056E-3</v>
          </cell>
          <cell r="L267">
            <v>2.4305555555555552E-2</v>
          </cell>
          <cell r="M267">
            <v>2.0833333333333315E-2</v>
          </cell>
          <cell r="N267">
            <v>1.3888888888888895E-2</v>
          </cell>
          <cell r="O267">
            <v>9.375E-2</v>
          </cell>
          <cell r="P267">
            <v>2.0833333333333315E-2</v>
          </cell>
          <cell r="Q267">
            <v>1.3888888888888951E-2</v>
          </cell>
          <cell r="R267">
            <v>9.3749999999999944E-2</v>
          </cell>
          <cell r="S267">
            <v>0.32986111111111105</v>
          </cell>
        </row>
        <row r="268">
          <cell r="A268">
            <v>39956</v>
          </cell>
          <cell r="B268" t="str">
            <v>RTI0009</v>
          </cell>
          <cell r="C268" t="str">
            <v>MARLIN SAMOSIR</v>
          </cell>
          <cell r="D268" t="str">
            <v>1045520;1045623</v>
          </cell>
          <cell r="E268" t="str">
            <v>P-PULF</v>
          </cell>
          <cell r="F268" t="str">
            <v>Pulp Transport</v>
          </cell>
          <cell r="G268">
            <v>120</v>
          </cell>
          <cell r="H268">
            <v>6.9444444444444475E-3</v>
          </cell>
          <cell r="I268">
            <v>1.1805555555555569E-2</v>
          </cell>
          <cell r="J268">
            <v>9.0277777777777735E-3</v>
          </cell>
          <cell r="K268">
            <v>3.125E-2</v>
          </cell>
          <cell r="L268">
            <v>6.9444444444444753E-3</v>
          </cell>
          <cell r="M268">
            <v>2.7777777777777735E-2</v>
          </cell>
          <cell r="N268">
            <v>6.9444444444444753E-3</v>
          </cell>
          <cell r="O268">
            <v>8.8888888888888851E-2</v>
          </cell>
          <cell r="P268">
            <v>0.11250000000000004</v>
          </cell>
          <cell r="Q268">
            <v>1.388888888888884E-2</v>
          </cell>
          <cell r="R268">
            <v>0.11319444444444449</v>
          </cell>
          <cell r="S268">
            <v>0.4291666666666667</v>
          </cell>
        </row>
        <row r="269">
          <cell r="A269">
            <v>39957</v>
          </cell>
          <cell r="B269" t="str">
            <v>RTI0020</v>
          </cell>
          <cell r="C269" t="str">
            <v>AGUS SIAHAAN</v>
          </cell>
          <cell r="D269" t="str">
            <v>10465643;1046544</v>
          </cell>
          <cell r="E269" t="str">
            <v>P-PULF</v>
          </cell>
          <cell r="F269" t="str">
            <v>Pulp Transport</v>
          </cell>
          <cell r="G269">
            <v>120</v>
          </cell>
          <cell r="H269">
            <v>6.9444444444444198E-3</v>
          </cell>
          <cell r="I269">
            <v>3.4722222222222099E-3</v>
          </cell>
          <cell r="J269">
            <v>3.4722222222222099E-3</v>
          </cell>
          <cell r="K269">
            <v>1.736111111111116E-2</v>
          </cell>
          <cell r="L269">
            <v>2.4305555555555469E-2</v>
          </cell>
          <cell r="M269">
            <v>3.125E-2</v>
          </cell>
          <cell r="N269">
            <v>1.3888888888888895E-2</v>
          </cell>
          <cell r="O269">
            <v>7.638888888888884E-2</v>
          </cell>
          <cell r="P269">
            <v>1.041666666666663E-2</v>
          </cell>
          <cell r="Q269">
            <v>6.9444444444445308E-3</v>
          </cell>
          <cell r="R269">
            <v>9.027777777777779E-2</v>
          </cell>
          <cell r="S269">
            <v>0.28472222222222215</v>
          </cell>
        </row>
        <row r="270">
          <cell r="A270">
            <v>39957</v>
          </cell>
          <cell r="B270" t="str">
            <v>RTI0020</v>
          </cell>
          <cell r="C270" t="str">
            <v>ERIKSON HUTAHAEAN</v>
          </cell>
          <cell r="D270" t="str">
            <v>1045817;1045818</v>
          </cell>
          <cell r="E270" t="str">
            <v>P-PULF</v>
          </cell>
          <cell r="F270" t="str">
            <v>Pulp Transport</v>
          </cell>
          <cell r="G270">
            <v>120</v>
          </cell>
          <cell r="H270">
            <v>6.9444444444444198E-3</v>
          </cell>
          <cell r="I270">
            <v>3.4722222222222099E-3</v>
          </cell>
          <cell r="J270">
            <v>1.736111111111116E-2</v>
          </cell>
          <cell r="K270">
            <v>2.430555555555558E-2</v>
          </cell>
          <cell r="L270">
            <v>1.041666666666663E-2</v>
          </cell>
          <cell r="M270">
            <v>2.4305555555555469E-2</v>
          </cell>
          <cell r="N270">
            <v>1.0416666666666741E-2</v>
          </cell>
          <cell r="O270">
            <v>7.2916666666666741E-2</v>
          </cell>
          <cell r="P270">
            <v>1.388888888888884E-2</v>
          </cell>
          <cell r="Q270">
            <v>1.388888888888884E-2</v>
          </cell>
          <cell r="R270">
            <v>0.10763888888888884</v>
          </cell>
          <cell r="S270">
            <v>0.30555555555555547</v>
          </cell>
        </row>
        <row r="271">
          <cell r="A271">
            <v>39956</v>
          </cell>
          <cell r="B271" t="str">
            <v>RTI0001</v>
          </cell>
          <cell r="C271" t="str">
            <v>JAMES SINAMBELA</v>
          </cell>
          <cell r="D271" t="str">
            <v>1045521;1045622</v>
          </cell>
          <cell r="E271" t="str">
            <v>P-PULF</v>
          </cell>
          <cell r="F271" t="str">
            <v>Pulp Transport</v>
          </cell>
          <cell r="G271">
            <v>120</v>
          </cell>
          <cell r="H271">
            <v>1.3888888888888895E-2</v>
          </cell>
          <cell r="I271">
            <v>1.5972222222222221E-2</v>
          </cell>
          <cell r="J271">
            <v>4.5833333333333337E-2</v>
          </cell>
          <cell r="K271">
            <v>2.0138888888888901E-2</v>
          </cell>
          <cell r="L271">
            <v>1.3194444444444453E-2</v>
          </cell>
          <cell r="M271">
            <v>6.9444444444444198E-3</v>
          </cell>
          <cell r="N271">
            <v>1.2500000000000001E-2</v>
          </cell>
          <cell r="O271">
            <v>0.10763888888888884</v>
          </cell>
          <cell r="P271">
            <v>1.3888888888888951E-2</v>
          </cell>
          <cell r="Q271">
            <v>1.3888888888888895E-2</v>
          </cell>
          <cell r="R271">
            <v>7.9861111111111133E-2</v>
          </cell>
          <cell r="S271">
            <v>0.34375</v>
          </cell>
        </row>
        <row r="272">
          <cell r="A272">
            <v>39957</v>
          </cell>
          <cell r="B272" t="str">
            <v>RTI0005</v>
          </cell>
          <cell r="C272" t="str">
            <v>M. ISA GANI</v>
          </cell>
          <cell r="D272" t="str">
            <v>1045628;1045629</v>
          </cell>
          <cell r="E272" t="str">
            <v>P-PULF</v>
          </cell>
          <cell r="F272" t="str">
            <v>Pulp Transport</v>
          </cell>
          <cell r="G272">
            <v>120</v>
          </cell>
          <cell r="H272">
            <v>1.3888888888888895E-2</v>
          </cell>
          <cell r="I272">
            <v>1.7361111111111105E-2</v>
          </cell>
          <cell r="J272">
            <v>2.7777777777777735E-2</v>
          </cell>
          <cell r="K272">
            <v>2.430555555555558E-2</v>
          </cell>
          <cell r="L272">
            <v>1.0416666666666685E-2</v>
          </cell>
          <cell r="M272">
            <v>1.0416666666666685E-2</v>
          </cell>
          <cell r="N272">
            <v>3.4722222222222099E-3</v>
          </cell>
          <cell r="O272">
            <v>7.638888888888884E-2</v>
          </cell>
          <cell r="P272">
            <v>6.9444444444444198E-3</v>
          </cell>
          <cell r="Q272">
            <v>1.736111111111116E-2</v>
          </cell>
          <cell r="R272">
            <v>0.10138888888888886</v>
          </cell>
          <cell r="S272">
            <v>0.30972222222222218</v>
          </cell>
        </row>
        <row r="273">
          <cell r="A273">
            <v>39957</v>
          </cell>
          <cell r="B273" t="str">
            <v>BFI0002</v>
          </cell>
          <cell r="C273" t="str">
            <v>NASIB</v>
          </cell>
          <cell r="D273" t="str">
            <v>1045806;1045807</v>
          </cell>
          <cell r="E273" t="str">
            <v>P-PULF</v>
          </cell>
          <cell r="F273" t="str">
            <v>Pulp Transport</v>
          </cell>
          <cell r="G273">
            <v>144</v>
          </cell>
          <cell r="H273">
            <v>6.9444444444444198E-3</v>
          </cell>
          <cell r="I273">
            <v>6.9444444444445308E-3</v>
          </cell>
          <cell r="J273">
            <v>3.4722222222223209E-3</v>
          </cell>
          <cell r="K273">
            <v>2.4305555555555469E-2</v>
          </cell>
          <cell r="L273">
            <v>3.125E-2</v>
          </cell>
          <cell r="M273">
            <v>1.736111111111116E-2</v>
          </cell>
          <cell r="N273">
            <v>3.4722222222222099E-3</v>
          </cell>
          <cell r="O273">
            <v>7.638888888888884E-2</v>
          </cell>
          <cell r="P273">
            <v>2.7777777777777679E-3</v>
          </cell>
          <cell r="Q273">
            <v>1.4583333333333171E-2</v>
          </cell>
          <cell r="R273">
            <v>0.14236111111111116</v>
          </cell>
          <cell r="S273">
            <v>0.32986111111111105</v>
          </cell>
        </row>
        <row r="274">
          <cell r="A274">
            <v>39957</v>
          </cell>
          <cell r="B274" t="str">
            <v>RTI0004</v>
          </cell>
          <cell r="C274" t="str">
            <v>SLAMET</v>
          </cell>
          <cell r="D274" t="str">
            <v>1045663;1045682</v>
          </cell>
          <cell r="E274" t="str">
            <v>P-PULF</v>
          </cell>
          <cell r="F274" t="str">
            <v>Pulp Transport</v>
          </cell>
          <cell r="G274">
            <v>120</v>
          </cell>
          <cell r="H274">
            <v>6.9444444444444198E-3</v>
          </cell>
          <cell r="I274">
            <v>5.2083333333333315E-2</v>
          </cell>
          <cell r="J274">
            <v>2.083333333333337E-2</v>
          </cell>
          <cell r="K274">
            <v>1.3888888888888895E-2</v>
          </cell>
          <cell r="L274">
            <v>6.9444444444444198E-3</v>
          </cell>
          <cell r="M274">
            <v>1.0416666666666685E-2</v>
          </cell>
          <cell r="N274">
            <v>1.041666666666663E-2</v>
          </cell>
          <cell r="O274">
            <v>0.10416666666666669</v>
          </cell>
          <cell r="P274">
            <v>1.041666666666663E-2</v>
          </cell>
          <cell r="Q274">
            <v>6.25E-2</v>
          </cell>
          <cell r="R274">
            <v>0.13541666666666674</v>
          </cell>
          <cell r="S274">
            <v>0.43402777777777779</v>
          </cell>
        </row>
        <row r="275">
          <cell r="A275">
            <v>39957</v>
          </cell>
          <cell r="B275" t="str">
            <v>BFI0002</v>
          </cell>
          <cell r="C275" t="str">
            <v>DONRY  IRVAN</v>
          </cell>
          <cell r="D275" t="str">
            <v>1045619;1045662</v>
          </cell>
          <cell r="E275" t="str">
            <v>P-PULF</v>
          </cell>
          <cell r="F275" t="str">
            <v>Pulp Transport</v>
          </cell>
          <cell r="G275">
            <v>144</v>
          </cell>
          <cell r="H275">
            <v>1.0416666666666657E-2</v>
          </cell>
          <cell r="I275">
            <v>6.9444444444445308E-3</v>
          </cell>
          <cell r="J275">
            <v>3.0555555555555558E-2</v>
          </cell>
          <cell r="K275">
            <v>2.2222222222222199E-2</v>
          </cell>
          <cell r="L275">
            <v>1.9444444444444431E-2</v>
          </cell>
          <cell r="M275">
            <v>3.4722222222222654E-3</v>
          </cell>
          <cell r="N275">
            <v>1.0416666666666685E-2</v>
          </cell>
          <cell r="O275">
            <v>0.11458333333333331</v>
          </cell>
          <cell r="P275">
            <v>2.2916666666666696E-2</v>
          </cell>
          <cell r="Q275">
            <v>2.9166666666666674E-2</v>
          </cell>
          <cell r="R275">
            <v>0.16666666666666663</v>
          </cell>
          <cell r="S275">
            <v>0.43680555555555567</v>
          </cell>
        </row>
        <row r="276">
          <cell r="A276">
            <v>39957</v>
          </cell>
          <cell r="B276" t="str">
            <v>RTI0007</v>
          </cell>
          <cell r="C276" t="str">
            <v>DAMRAH</v>
          </cell>
          <cell r="D276" t="str">
            <v>1045808;1045809</v>
          </cell>
          <cell r="E276" t="str">
            <v>P-PULF</v>
          </cell>
          <cell r="F276" t="str">
            <v>Pulp Transport</v>
          </cell>
          <cell r="G276">
            <v>120</v>
          </cell>
          <cell r="H276">
            <v>6.9444444444445308E-3</v>
          </cell>
          <cell r="I276">
            <v>6.9444444444445308E-3</v>
          </cell>
          <cell r="J276">
            <v>2.3611111111111138E-2</v>
          </cell>
          <cell r="K276">
            <v>2.6388888888888795E-2</v>
          </cell>
          <cell r="L276">
            <v>7.6388888888889728E-3</v>
          </cell>
          <cell r="M276">
            <v>1.388888888888884E-2</v>
          </cell>
          <cell r="N276">
            <v>6.9444444444444198E-3</v>
          </cell>
          <cell r="O276">
            <v>7.7777777777777835E-2</v>
          </cell>
          <cell r="P276">
            <v>1.5972222222222276E-2</v>
          </cell>
          <cell r="Q276">
            <v>2.0833333333333259E-2</v>
          </cell>
          <cell r="R276">
            <v>0.21597222222222223</v>
          </cell>
          <cell r="S276">
            <v>0.42291666666666683</v>
          </cell>
        </row>
        <row r="277">
          <cell r="A277">
            <v>39957</v>
          </cell>
          <cell r="B277" t="str">
            <v>RTI0007</v>
          </cell>
          <cell r="C277" t="str">
            <v>RUSDI</v>
          </cell>
          <cell r="D277" t="str">
            <v>1045624;1046525</v>
          </cell>
          <cell r="E277" t="str">
            <v>P-PULF</v>
          </cell>
          <cell r="F277" t="str">
            <v>Pulp Transport</v>
          </cell>
          <cell r="G277">
            <v>120</v>
          </cell>
          <cell r="H277">
            <v>6.9444444444444475E-3</v>
          </cell>
          <cell r="I277">
            <v>6.9444444444445308E-3</v>
          </cell>
          <cell r="J277">
            <v>3.125E-2</v>
          </cell>
          <cell r="K277">
            <v>2.430555555555558E-2</v>
          </cell>
          <cell r="L277">
            <v>6.9444444444444198E-3</v>
          </cell>
          <cell r="M277">
            <v>6.9444444444445308E-3</v>
          </cell>
          <cell r="N277">
            <v>3.4722222222221544E-3</v>
          </cell>
          <cell r="O277">
            <v>0.1076388888888889</v>
          </cell>
          <cell r="P277">
            <v>1.3888888888888951E-2</v>
          </cell>
          <cell r="Q277">
            <v>2.7777777777777735E-2</v>
          </cell>
          <cell r="R277">
            <v>0.10763888888888895</v>
          </cell>
          <cell r="S277">
            <v>0.34375000000000022</v>
          </cell>
        </row>
        <row r="278">
          <cell r="A278">
            <v>39957</v>
          </cell>
          <cell r="B278" t="str">
            <v>BFI0001</v>
          </cell>
          <cell r="C278" t="str">
            <v>PEPEN EFFENDI</v>
          </cell>
          <cell r="D278" t="str">
            <v>1045620;1045621</v>
          </cell>
          <cell r="E278" t="str">
            <v>P-PULF</v>
          </cell>
          <cell r="F278" t="str">
            <v>Pulp Transport</v>
          </cell>
          <cell r="G278">
            <v>144</v>
          </cell>
          <cell r="H278">
            <v>7.6388888888889173E-3</v>
          </cell>
          <cell r="I278">
            <v>4.7916666666666663E-2</v>
          </cell>
          <cell r="J278">
            <v>2.777777777777779E-2</v>
          </cell>
          <cell r="K278">
            <v>2.430555555555558E-2</v>
          </cell>
          <cell r="L278">
            <v>2.083333333333337E-2</v>
          </cell>
          <cell r="M278">
            <v>1.736111111111116E-2</v>
          </cell>
          <cell r="N278">
            <v>6.9444444444444198E-3</v>
          </cell>
          <cell r="O278">
            <v>0.12013888888888885</v>
          </cell>
          <cell r="P278">
            <v>8.8194444444444464E-2</v>
          </cell>
          <cell r="Q278">
            <v>6.9444444444444198E-3</v>
          </cell>
          <cell r="R278">
            <v>7.6388888888888951E-2</v>
          </cell>
          <cell r="S278">
            <v>0.44444444444444459</v>
          </cell>
        </row>
        <row r="279">
          <cell r="A279">
            <v>39957</v>
          </cell>
          <cell r="B279" t="str">
            <v>RTI0018</v>
          </cell>
          <cell r="C279" t="str">
            <v>HALOMOAN PASARIBU</v>
          </cell>
          <cell r="D279" t="str">
            <v>1045555'1045559</v>
          </cell>
          <cell r="E279" t="str">
            <v>P-PULF</v>
          </cell>
          <cell r="F279" t="str">
            <v>Pulp Transport</v>
          </cell>
          <cell r="G279">
            <v>120</v>
          </cell>
          <cell r="H279">
            <v>3.4722222222222654E-3</v>
          </cell>
          <cell r="I279">
            <v>1.2499999999999956E-2</v>
          </cell>
          <cell r="J279">
            <v>5.6944444444444464E-2</v>
          </cell>
          <cell r="K279">
            <v>6.9444444444444198E-3</v>
          </cell>
          <cell r="L279">
            <v>2.083333333333337E-2</v>
          </cell>
          <cell r="M279">
            <v>1.041666666666663E-2</v>
          </cell>
          <cell r="N279">
            <v>6.9444444444445308E-3</v>
          </cell>
          <cell r="O279">
            <v>0.10416666666666652</v>
          </cell>
          <cell r="P279">
            <v>6.9444444444445308E-3</v>
          </cell>
          <cell r="Q279">
            <v>2.083333333333337E-2</v>
          </cell>
          <cell r="R279">
            <v>9.027777777777779E-2</v>
          </cell>
          <cell r="S279">
            <v>0.34027777777777785</v>
          </cell>
        </row>
        <row r="280">
          <cell r="A280">
            <v>39957</v>
          </cell>
          <cell r="B280" t="str">
            <v>RTI0002</v>
          </cell>
          <cell r="C280" t="str">
            <v>J.R. SINAGA</v>
          </cell>
          <cell r="D280" t="str">
            <v>1045683;1045684</v>
          </cell>
          <cell r="E280" t="str">
            <v>P-PULF</v>
          </cell>
          <cell r="F280" t="str">
            <v>Pulp Transport</v>
          </cell>
          <cell r="G280">
            <v>120</v>
          </cell>
          <cell r="H280">
            <v>4.1666666666666519E-3</v>
          </cell>
          <cell r="I280">
            <v>6.9444444444445308E-3</v>
          </cell>
          <cell r="J280">
            <v>3.4722222222222265E-2</v>
          </cell>
          <cell r="K280">
            <v>2.430555555555558E-2</v>
          </cell>
          <cell r="L280">
            <v>1.388888888888884E-2</v>
          </cell>
          <cell r="M280">
            <v>7.6388888888888951E-2</v>
          </cell>
          <cell r="N280">
            <v>6.9444444444444198E-3</v>
          </cell>
          <cell r="O280">
            <v>0.10416666666666674</v>
          </cell>
          <cell r="P280">
            <v>1.041666666666663E-2</v>
          </cell>
          <cell r="Q280">
            <v>1.041666666666663E-2</v>
          </cell>
          <cell r="R280">
            <v>9.0277777777777679E-2</v>
          </cell>
          <cell r="S280">
            <v>0.38263888888888892</v>
          </cell>
        </row>
        <row r="281">
          <cell r="A281">
            <v>39956</v>
          </cell>
          <cell r="B281" t="str">
            <v>RTI0016</v>
          </cell>
          <cell r="C281" t="str">
            <v>YULIANTO</v>
          </cell>
          <cell r="D281" t="str">
            <v>1045518;1045519</v>
          </cell>
          <cell r="E281" t="str">
            <v>P-PULF</v>
          </cell>
          <cell r="F281" t="str">
            <v>Pulp Transport</v>
          </cell>
          <cell r="G281">
            <v>120</v>
          </cell>
          <cell r="H281">
            <v>1.0416666666666657E-2</v>
          </cell>
          <cell r="I281">
            <v>6.9444444444444198E-3</v>
          </cell>
          <cell r="J281">
            <v>6.9444444444444475E-3</v>
          </cell>
          <cell r="K281">
            <v>2.4305555555555552E-2</v>
          </cell>
          <cell r="L281">
            <v>2.6388888888888906E-2</v>
          </cell>
          <cell r="M281">
            <v>2.9166666666666674E-2</v>
          </cell>
          <cell r="N281">
            <v>1.2500000000000001E-2</v>
          </cell>
          <cell r="O281">
            <v>9.8611111111111094E-2</v>
          </cell>
          <cell r="P281">
            <v>1.7361111111111105E-2</v>
          </cell>
          <cell r="Q281">
            <v>2.430555555555558E-2</v>
          </cell>
          <cell r="R281">
            <v>9.0277777777777735E-2</v>
          </cell>
          <cell r="S281">
            <v>0.34722222222222215</v>
          </cell>
        </row>
        <row r="282">
          <cell r="A282">
            <v>39957</v>
          </cell>
          <cell r="B282" t="str">
            <v>RTI0005</v>
          </cell>
          <cell r="C282" t="str">
            <v>M. ISA GANI</v>
          </cell>
          <cell r="D282" t="str">
            <v>1045788;1045803</v>
          </cell>
          <cell r="E282" t="str">
            <v>P-PULF</v>
          </cell>
          <cell r="F282" t="str">
            <v>Pulp Transport</v>
          </cell>
          <cell r="G282">
            <v>120</v>
          </cell>
          <cell r="H282">
            <v>6.9444444444444198E-3</v>
          </cell>
          <cell r="I282">
            <v>6.9444444444445308E-3</v>
          </cell>
          <cell r="J282">
            <v>1.5277777777777835E-2</v>
          </cell>
          <cell r="K282">
            <v>1.388888888888995E-3</v>
          </cell>
          <cell r="L282">
            <v>1.5972222222222165E-2</v>
          </cell>
          <cell r="M282">
            <v>7.638888888888884E-2</v>
          </cell>
          <cell r="N282">
            <v>3.4722222222222099E-3</v>
          </cell>
          <cell r="O282">
            <v>0.11458333333333337</v>
          </cell>
          <cell r="P282">
            <v>6.9444444444444198E-3</v>
          </cell>
          <cell r="Q282">
            <v>2.0833333333333259E-2</v>
          </cell>
          <cell r="R282">
            <v>9.7222222222222321E-2</v>
          </cell>
          <cell r="S282">
            <v>0.36597222222222237</v>
          </cell>
        </row>
        <row r="283">
          <cell r="A283">
            <v>39957</v>
          </cell>
          <cell r="B283" t="str">
            <v>RTI0002</v>
          </cell>
          <cell r="C283" t="str">
            <v>PAHOT.S</v>
          </cell>
          <cell r="D283" t="str">
            <v>1045787;1045802</v>
          </cell>
          <cell r="E283" t="str">
            <v>P-PULF</v>
          </cell>
          <cell r="F283" t="str">
            <v>Pulp Transport</v>
          </cell>
          <cell r="G283">
            <v>120</v>
          </cell>
          <cell r="H283">
            <v>1.0416666666666741E-2</v>
          </cell>
          <cell r="I283">
            <v>2.8472222222222232E-2</v>
          </cell>
          <cell r="J283">
            <v>3.4027777777777768E-2</v>
          </cell>
          <cell r="K283">
            <v>3.4722222222220989E-3</v>
          </cell>
          <cell r="L283">
            <v>4.1666666666666741E-2</v>
          </cell>
          <cell r="M283">
            <v>1.736111111111116E-2</v>
          </cell>
          <cell r="N283">
            <v>3.4722222222223209E-3</v>
          </cell>
          <cell r="O283">
            <v>0.10763888888888873</v>
          </cell>
          <cell r="P283">
            <v>1.0416666666666741E-2</v>
          </cell>
          <cell r="Q283">
            <v>2.7777777777777901E-2</v>
          </cell>
          <cell r="R283">
            <v>9.7222222222222099E-2</v>
          </cell>
          <cell r="S283">
            <v>0.38194444444444453</v>
          </cell>
        </row>
        <row r="284">
          <cell r="A284">
            <v>39957</v>
          </cell>
          <cell r="B284" t="str">
            <v>RTI0004</v>
          </cell>
          <cell r="C284" t="str">
            <v>HENGKY FERNANDO</v>
          </cell>
          <cell r="D284" t="str">
            <v>1045671;1045782</v>
          </cell>
          <cell r="E284" t="str">
            <v>P-PULF</v>
          </cell>
          <cell r="F284" t="str">
            <v>Pulp Transport</v>
          </cell>
          <cell r="G284">
            <v>120</v>
          </cell>
          <cell r="H284">
            <v>1.0416666666666741E-2</v>
          </cell>
          <cell r="I284">
            <v>1.041666666666663E-2</v>
          </cell>
          <cell r="J284">
            <v>4.513888888888884E-2</v>
          </cell>
          <cell r="K284">
            <v>2.777777777777779E-2</v>
          </cell>
          <cell r="L284">
            <v>1.0416666666666741E-2</v>
          </cell>
          <cell r="M284">
            <v>2.0833333333333259E-2</v>
          </cell>
          <cell r="N284">
            <v>2.083333333333337E-2</v>
          </cell>
          <cell r="O284">
            <v>0.16319444444444442</v>
          </cell>
          <cell r="P284">
            <v>1.0416666666666741E-2</v>
          </cell>
          <cell r="Q284">
            <v>6.9444444444444198E-3</v>
          </cell>
          <cell r="R284">
            <v>7.986111111111116E-2</v>
          </cell>
          <cell r="S284">
            <v>0.40625000000000011</v>
          </cell>
        </row>
        <row r="285">
          <cell r="A285">
            <v>39957</v>
          </cell>
          <cell r="B285" t="str">
            <v>BFI0001</v>
          </cell>
          <cell r="C285" t="str">
            <v>PEPEN EFFENDI</v>
          </cell>
          <cell r="D285" t="str">
            <v>1045754;1045755</v>
          </cell>
          <cell r="E285" t="str">
            <v>P-PULF</v>
          </cell>
          <cell r="F285" t="str">
            <v>Pulp Transport</v>
          </cell>
          <cell r="G285">
            <v>144</v>
          </cell>
          <cell r="H285">
            <v>1.041666666666663E-2</v>
          </cell>
          <cell r="I285">
            <v>1.388888888888884E-2</v>
          </cell>
          <cell r="J285">
            <v>2.083333333333337E-2</v>
          </cell>
          <cell r="K285">
            <v>2.430555555555558E-2</v>
          </cell>
          <cell r="L285">
            <v>1.3888888888888951E-2</v>
          </cell>
          <cell r="M285">
            <v>3.4722222222222099E-3</v>
          </cell>
          <cell r="N285">
            <v>1.388888888888884E-2</v>
          </cell>
          <cell r="O285">
            <v>0.10208333333333341</v>
          </cell>
          <cell r="P285">
            <v>4.7916666666666607E-2</v>
          </cell>
          <cell r="Q285">
            <v>1.3194444444444398E-2</v>
          </cell>
          <cell r="R285">
            <v>7.291666666666663E-2</v>
          </cell>
          <cell r="S285">
            <v>0.33680555555555547</v>
          </cell>
        </row>
        <row r="286">
          <cell r="A286">
            <v>39957</v>
          </cell>
          <cell r="B286" t="str">
            <v>RTI0018</v>
          </cell>
          <cell r="C286" t="str">
            <v>HOTMAN SM. HUTASOIT</v>
          </cell>
          <cell r="D286" t="str">
            <v>1045832;1045833</v>
          </cell>
          <cell r="E286" t="str">
            <v>P-PULF</v>
          </cell>
          <cell r="F286" t="str">
            <v>Pulp Transport</v>
          </cell>
          <cell r="G286">
            <v>120</v>
          </cell>
          <cell r="H286">
            <v>6.9444444444443088E-3</v>
          </cell>
          <cell r="I286">
            <v>7.291666666666663E-2</v>
          </cell>
          <cell r="J286">
            <v>1.7361111111111112E-2</v>
          </cell>
          <cell r="K286">
            <v>2.4305555555555469E-2</v>
          </cell>
          <cell r="L286">
            <v>2.7777777777777901E-2</v>
          </cell>
          <cell r="M286">
            <v>3.125E-2</v>
          </cell>
          <cell r="N286">
            <v>3.125E-2</v>
          </cell>
          <cell r="O286">
            <v>0.10763888888888873</v>
          </cell>
          <cell r="P286">
            <v>3.4722222222223209E-3</v>
          </cell>
          <cell r="Q286">
            <v>1.388888888888884E-2</v>
          </cell>
          <cell r="R286">
            <v>0.20486111111111116</v>
          </cell>
          <cell r="S286">
            <v>0.54166666666666652</v>
          </cell>
        </row>
        <row r="287">
          <cell r="A287">
            <v>39957</v>
          </cell>
          <cell r="B287" t="str">
            <v>RTI0004</v>
          </cell>
          <cell r="C287" t="str">
            <v>HENGKY FERNANDO</v>
          </cell>
          <cell r="D287" t="str">
            <v>1045840;1045841</v>
          </cell>
          <cell r="E287" t="str">
            <v>P-PULF</v>
          </cell>
          <cell r="F287" t="str">
            <v>Pulp Transport</v>
          </cell>
          <cell r="G287">
            <v>120</v>
          </cell>
          <cell r="H287">
            <v>6.9444444444444198E-3</v>
          </cell>
          <cell r="I287">
            <v>1.0416666666666685E-2</v>
          </cell>
          <cell r="J287">
            <v>6.9444444444444475E-3</v>
          </cell>
          <cell r="K287">
            <v>1.3888888888888867E-2</v>
          </cell>
          <cell r="L287">
            <v>1.0416666666666685E-2</v>
          </cell>
          <cell r="M287">
            <v>1.0416666666666657E-2</v>
          </cell>
          <cell r="N287">
            <v>2.777777777777779E-2</v>
          </cell>
          <cell r="O287">
            <v>7.638888888888884E-2</v>
          </cell>
          <cell r="P287">
            <v>2.7777777777777679E-2</v>
          </cell>
          <cell r="Q287">
            <v>1.3888888888888895E-2</v>
          </cell>
          <cell r="R287">
            <v>0.12152777777777779</v>
          </cell>
          <cell r="S287">
            <v>0.32638888888888873</v>
          </cell>
        </row>
        <row r="288">
          <cell r="A288">
            <v>39957</v>
          </cell>
          <cell r="B288" t="str">
            <v>RTI0005</v>
          </cell>
          <cell r="C288" t="str">
            <v>ANTON RAJAGUGUK</v>
          </cell>
          <cell r="D288" t="str">
            <v>1046495;1046497</v>
          </cell>
          <cell r="E288" t="str">
            <v>P-PULF</v>
          </cell>
          <cell r="F288" t="str">
            <v>Pulp Transport</v>
          </cell>
          <cell r="G288">
            <v>120</v>
          </cell>
          <cell r="H288">
            <v>6.9444444444444475E-3</v>
          </cell>
          <cell r="I288">
            <v>4.8611111111111133E-2</v>
          </cell>
          <cell r="J288">
            <v>2.4305555555555552E-2</v>
          </cell>
          <cell r="K288">
            <v>3.4722222222222099E-3</v>
          </cell>
          <cell r="L288">
            <v>1.7361111111111105E-2</v>
          </cell>
          <cell r="M288">
            <v>1.0416666666666685E-2</v>
          </cell>
          <cell r="N288">
            <v>5.5555555555555358E-3</v>
          </cell>
          <cell r="O288">
            <v>0.14374999999999999</v>
          </cell>
          <cell r="P288">
            <v>6.9444444444444198E-3</v>
          </cell>
          <cell r="Q288">
            <v>0.18055555555555552</v>
          </cell>
          <cell r="R288">
            <v>0.10069444444444442</v>
          </cell>
          <cell r="S288">
            <v>0.54861111111111094</v>
          </cell>
        </row>
        <row r="289">
          <cell r="A289">
            <v>39958</v>
          </cell>
          <cell r="B289" t="str">
            <v>RTI0010</v>
          </cell>
          <cell r="C289" t="str">
            <v>JUAHNA TARIGAN</v>
          </cell>
          <cell r="D289" t="str">
            <v>1047290;1047304</v>
          </cell>
          <cell r="E289" t="str">
            <v>P-PULF</v>
          </cell>
          <cell r="F289" t="str">
            <v>Pulp Transport</v>
          </cell>
          <cell r="G289">
            <v>120</v>
          </cell>
          <cell r="H289">
            <v>4.8611111111110938E-3</v>
          </cell>
          <cell r="I289">
            <v>2.9166666666666674E-2</v>
          </cell>
          <cell r="J289">
            <v>1.041666666666663E-2</v>
          </cell>
          <cell r="K289">
            <v>2.430555555555558E-2</v>
          </cell>
          <cell r="L289">
            <v>1.1111111111111072E-2</v>
          </cell>
          <cell r="M289">
            <v>2.2916666666666696E-2</v>
          </cell>
          <cell r="N289">
            <v>4.8611111111110938E-3</v>
          </cell>
          <cell r="O289">
            <v>0.11319444444444438</v>
          </cell>
          <cell r="P289">
            <v>1.388888888888884E-2</v>
          </cell>
          <cell r="Q289">
            <v>4.5833333333333504E-2</v>
          </cell>
          <cell r="R289">
            <v>9.0277777777777679E-2</v>
          </cell>
          <cell r="S289">
            <v>0.37083333333333324</v>
          </cell>
        </row>
        <row r="290">
          <cell r="A290">
            <v>39958</v>
          </cell>
          <cell r="B290" t="str">
            <v>RTI0006</v>
          </cell>
          <cell r="C290" t="str">
            <v>YULIANTO</v>
          </cell>
          <cell r="D290" t="str">
            <v>1046590;1046591</v>
          </cell>
          <cell r="E290" t="str">
            <v>P-PULF</v>
          </cell>
          <cell r="F290" t="str">
            <v>Pulp Transport</v>
          </cell>
          <cell r="G290">
            <v>120</v>
          </cell>
          <cell r="H290">
            <v>3.4722222222222099E-3</v>
          </cell>
          <cell r="I290">
            <v>3.4722222222222099E-3</v>
          </cell>
          <cell r="J290">
            <v>3.3333333333333381E-2</v>
          </cell>
          <cell r="K290">
            <v>2.430555555555558E-2</v>
          </cell>
          <cell r="L290">
            <v>4.8611111111110383E-3</v>
          </cell>
          <cell r="M290">
            <v>1.736111111111116E-2</v>
          </cell>
          <cell r="N290">
            <v>1.0416666666666685E-2</v>
          </cell>
          <cell r="O290">
            <v>0.10069444444444448</v>
          </cell>
          <cell r="P290">
            <v>2.7777777777777679E-2</v>
          </cell>
          <cell r="Q290">
            <v>1.7361111111111049E-2</v>
          </cell>
          <cell r="R290">
            <v>9.3750000000000056E-2</v>
          </cell>
          <cell r="S290">
            <v>0.33680555555555552</v>
          </cell>
        </row>
        <row r="291">
          <cell r="A291">
            <v>39958</v>
          </cell>
          <cell r="B291" t="str">
            <v>RTI0007</v>
          </cell>
          <cell r="C291" t="str">
            <v>RUSDI</v>
          </cell>
          <cell r="D291" t="str">
            <v>1046692;1046693</v>
          </cell>
          <cell r="E291" t="str">
            <v>P-PULF</v>
          </cell>
          <cell r="F291" t="str">
            <v>Pulp Transport</v>
          </cell>
          <cell r="G291">
            <v>120</v>
          </cell>
          <cell r="H291">
            <v>6.9444444444444198E-3</v>
          </cell>
          <cell r="I291">
            <v>6.9444444444445308E-3</v>
          </cell>
          <cell r="J291">
            <v>3.125E-2</v>
          </cell>
          <cell r="K291">
            <v>3.4722222222221544E-3</v>
          </cell>
          <cell r="L291">
            <v>2.4305555555555636E-2</v>
          </cell>
          <cell r="M291">
            <v>1.041666666666663E-2</v>
          </cell>
          <cell r="N291">
            <v>3.4722222222222099E-3</v>
          </cell>
          <cell r="O291">
            <v>7.638888888888884E-2</v>
          </cell>
          <cell r="P291">
            <v>6.9444444444445308E-3</v>
          </cell>
          <cell r="Q291">
            <v>6.9444444444443088E-3</v>
          </cell>
          <cell r="R291">
            <v>0.13750000000000007</v>
          </cell>
          <cell r="S291">
            <v>0.31458333333333333</v>
          </cell>
        </row>
        <row r="292">
          <cell r="A292">
            <v>39958</v>
          </cell>
          <cell r="B292" t="str">
            <v>RTI0018</v>
          </cell>
          <cell r="C292" t="str">
            <v>HALOMOAN PASARIBU</v>
          </cell>
          <cell r="D292" t="str">
            <v>1046617;1046645</v>
          </cell>
          <cell r="E292" t="str">
            <v>P-PULF</v>
          </cell>
          <cell r="F292" t="str">
            <v>Pulp Transport</v>
          </cell>
          <cell r="G292">
            <v>120</v>
          </cell>
          <cell r="H292">
            <v>2.0833333333333315E-2</v>
          </cell>
          <cell r="I292">
            <v>6.9444444444445308E-3</v>
          </cell>
          <cell r="J292">
            <v>3.5416666666666652E-2</v>
          </cell>
          <cell r="K292">
            <v>6.9444444444444753E-3</v>
          </cell>
          <cell r="L292">
            <v>4.0972222222222188E-2</v>
          </cell>
          <cell r="M292">
            <v>2.9861111111111116E-2</v>
          </cell>
          <cell r="N292">
            <v>3.4722222222222099E-3</v>
          </cell>
          <cell r="O292">
            <v>0.16597222222222219</v>
          </cell>
          <cell r="P292">
            <v>6.9444444444445308E-3</v>
          </cell>
          <cell r="Q292">
            <v>1.1111111111111072E-2</v>
          </cell>
          <cell r="R292">
            <v>9.375E-2</v>
          </cell>
          <cell r="S292">
            <v>0.42222222222222228</v>
          </cell>
        </row>
        <row r="293">
          <cell r="A293">
            <v>39958</v>
          </cell>
          <cell r="B293" t="str">
            <v>RTI0001</v>
          </cell>
          <cell r="C293" t="str">
            <v>JAMES SINAMBELA</v>
          </cell>
          <cell r="D293" t="str">
            <v>1046612;1046613</v>
          </cell>
          <cell r="E293" t="str">
            <v>P-PULF</v>
          </cell>
          <cell r="F293" t="str">
            <v>Pulp Transport</v>
          </cell>
          <cell r="G293">
            <v>120</v>
          </cell>
          <cell r="H293">
            <v>3.4722222222220989E-3</v>
          </cell>
          <cell r="I293">
            <v>6.9444444444445308E-3</v>
          </cell>
          <cell r="J293">
            <v>1.7361111111111112E-2</v>
          </cell>
          <cell r="K293">
            <v>1.388888888888884E-2</v>
          </cell>
          <cell r="L293">
            <v>3.4722222222222321E-2</v>
          </cell>
          <cell r="M293">
            <v>3.125E-2</v>
          </cell>
          <cell r="N293">
            <v>3.4722222222223209E-3</v>
          </cell>
          <cell r="O293">
            <v>9.0277777777777679E-2</v>
          </cell>
          <cell r="P293">
            <v>3.125E-2</v>
          </cell>
          <cell r="Q293">
            <v>5.2083333333333259E-2</v>
          </cell>
          <cell r="R293">
            <v>0.125</v>
          </cell>
          <cell r="S293">
            <v>0.40972222222222215</v>
          </cell>
        </row>
        <row r="294">
          <cell r="A294">
            <v>39958</v>
          </cell>
          <cell r="B294" t="str">
            <v>RTI0011</v>
          </cell>
          <cell r="C294" t="str">
            <v>BUDI HANDOKO</v>
          </cell>
          <cell r="D294" t="str">
            <v>1046614;1046615</v>
          </cell>
          <cell r="E294" t="str">
            <v>P-PULF</v>
          </cell>
          <cell r="F294" t="str">
            <v>Pulp Transport</v>
          </cell>
          <cell r="G294">
            <v>120</v>
          </cell>
          <cell r="H294">
            <v>1.3888888888888895E-2</v>
          </cell>
          <cell r="I294">
            <v>6.9444444444445308E-3</v>
          </cell>
          <cell r="J294">
            <v>3.4722222222222265E-2</v>
          </cell>
          <cell r="K294">
            <v>3.4722222222221544E-3</v>
          </cell>
          <cell r="L294">
            <v>6.9444444444445308E-3</v>
          </cell>
          <cell r="M294">
            <v>1.388888888888884E-2</v>
          </cell>
          <cell r="N294">
            <v>3.4722222222222099E-3</v>
          </cell>
          <cell r="O294">
            <v>7.638888888888884E-2</v>
          </cell>
          <cell r="P294">
            <v>1.6666666666666718E-2</v>
          </cell>
          <cell r="Q294">
            <v>3.125E-2</v>
          </cell>
          <cell r="R294">
            <v>0.12638888888888899</v>
          </cell>
          <cell r="S294">
            <v>0.33402777777777798</v>
          </cell>
        </row>
        <row r="295">
          <cell r="A295">
            <v>39957</v>
          </cell>
          <cell r="B295" t="str">
            <v>BFI0001</v>
          </cell>
          <cell r="C295" t="str">
            <v>AMRIL</v>
          </cell>
          <cell r="D295" t="str">
            <v>1046128;1046129</v>
          </cell>
          <cell r="E295" t="str">
            <v>P-PULF</v>
          </cell>
          <cell r="F295" t="str">
            <v>Pulp Transport</v>
          </cell>
          <cell r="G295">
            <v>144</v>
          </cell>
          <cell r="H295">
            <v>1.0416666666666668E-2</v>
          </cell>
          <cell r="I295">
            <v>2.7777777777777783E-2</v>
          </cell>
          <cell r="J295">
            <v>2.4999999999999988E-2</v>
          </cell>
          <cell r="K295">
            <v>2.430555555555558E-2</v>
          </cell>
          <cell r="L295">
            <v>1.1805555555555555E-2</v>
          </cell>
          <cell r="M295">
            <v>1.8750000000000003E-2</v>
          </cell>
          <cell r="N295">
            <v>3.4722222222222376E-3</v>
          </cell>
          <cell r="O295">
            <v>9.583333333333334E-2</v>
          </cell>
          <cell r="P295">
            <v>3.9583333333333304E-2</v>
          </cell>
          <cell r="Q295">
            <v>2.430555555555558E-2</v>
          </cell>
          <cell r="R295">
            <v>7.638888888888884E-2</v>
          </cell>
          <cell r="S295">
            <v>0.3576388888888889</v>
          </cell>
        </row>
        <row r="296">
          <cell r="A296">
            <v>39958</v>
          </cell>
          <cell r="B296" t="str">
            <v>RTI0009</v>
          </cell>
          <cell r="C296" t="str">
            <v>JANTER SILALAHI</v>
          </cell>
          <cell r="D296" t="str">
            <v>1046574;1046576</v>
          </cell>
          <cell r="E296" t="str">
            <v>P-PULF</v>
          </cell>
          <cell r="F296" t="str">
            <v>Pulp Transport</v>
          </cell>
          <cell r="G296">
            <v>120</v>
          </cell>
          <cell r="H296">
            <v>4.5138888888888895E-2</v>
          </cell>
          <cell r="I296">
            <v>1.0416666666666685E-2</v>
          </cell>
          <cell r="J296">
            <v>2.4305555555555525E-2</v>
          </cell>
          <cell r="K296">
            <v>3.4722222222222654E-3</v>
          </cell>
          <cell r="L296">
            <v>1.0416666666666685E-2</v>
          </cell>
          <cell r="M296">
            <v>1.388888888888884E-2</v>
          </cell>
          <cell r="N296">
            <v>3.4722222222222099E-3</v>
          </cell>
          <cell r="O296">
            <v>0.11944444444444446</v>
          </cell>
          <cell r="P296">
            <v>2.7777777777777679E-2</v>
          </cell>
          <cell r="Q296">
            <v>2.430555555555558E-2</v>
          </cell>
          <cell r="R296">
            <v>6.597222222222221E-2</v>
          </cell>
          <cell r="S296">
            <v>0.34861111111111104</v>
          </cell>
        </row>
        <row r="297">
          <cell r="A297">
            <v>39958</v>
          </cell>
          <cell r="B297" t="str">
            <v>RTI0010</v>
          </cell>
          <cell r="C297" t="str">
            <v>BAMBANG SUHENDRI</v>
          </cell>
          <cell r="D297" t="str">
            <v>1046514;1046566</v>
          </cell>
          <cell r="E297" t="str">
            <v>P-PULF</v>
          </cell>
          <cell r="F297" t="str">
            <v>Pulp Transport</v>
          </cell>
          <cell r="G297">
            <v>120</v>
          </cell>
          <cell r="H297">
            <v>1.0416666666666657E-2</v>
          </cell>
          <cell r="I297">
            <v>6.9444444444444753E-3</v>
          </cell>
          <cell r="J297">
            <v>2.7777777777777735E-2</v>
          </cell>
          <cell r="K297">
            <v>5.4166666666666641E-2</v>
          </cell>
          <cell r="L297">
            <v>1.0416666666666685E-2</v>
          </cell>
          <cell r="M297">
            <v>1.1805555555555569E-2</v>
          </cell>
          <cell r="N297">
            <v>6.9444444444444753E-3</v>
          </cell>
          <cell r="O297">
            <v>7.638888888888884E-2</v>
          </cell>
          <cell r="P297">
            <v>2.7777777777777679E-2</v>
          </cell>
          <cell r="Q297">
            <v>6.5972222222222321E-2</v>
          </cell>
          <cell r="R297">
            <v>6.5972222222222099E-2</v>
          </cell>
          <cell r="S297">
            <v>0.36458333333333315</v>
          </cell>
        </row>
        <row r="298">
          <cell r="A298">
            <v>39958</v>
          </cell>
          <cell r="B298" t="str">
            <v>RTI0011</v>
          </cell>
          <cell r="C298" t="str">
            <v>USMAN ARITONANG</v>
          </cell>
          <cell r="D298" t="str">
            <v>1047308;1047309</v>
          </cell>
          <cell r="E298" t="str">
            <v>P-PULF</v>
          </cell>
          <cell r="F298" t="str">
            <v>Pulp Transport</v>
          </cell>
          <cell r="G298">
            <v>120</v>
          </cell>
          <cell r="H298">
            <v>6.9444444444445308E-3</v>
          </cell>
          <cell r="I298">
            <v>2.777777777777779E-2</v>
          </cell>
          <cell r="J298">
            <v>1.388888888888884E-2</v>
          </cell>
          <cell r="K298">
            <v>2.430555555555558E-2</v>
          </cell>
          <cell r="L298">
            <v>1.388888888888884E-2</v>
          </cell>
          <cell r="M298">
            <v>1.041666666666663E-2</v>
          </cell>
          <cell r="N298">
            <v>3.4722222222223209E-3</v>
          </cell>
          <cell r="O298">
            <v>0.13888888888888895</v>
          </cell>
          <cell r="P298">
            <v>1.388888888888884E-2</v>
          </cell>
          <cell r="Q298">
            <v>6.9444444444444198E-3</v>
          </cell>
          <cell r="R298">
            <v>7.638888888888884E-2</v>
          </cell>
          <cell r="S298">
            <v>0.33680555555555558</v>
          </cell>
        </row>
        <row r="299">
          <cell r="A299">
            <v>39958</v>
          </cell>
          <cell r="B299" t="str">
            <v>RTI0009</v>
          </cell>
          <cell r="C299" t="str">
            <v>JANTER SILALAHI</v>
          </cell>
          <cell r="D299" t="str">
            <v>1046740;1046741</v>
          </cell>
          <cell r="E299" t="str">
            <v>P-PULF</v>
          </cell>
          <cell r="F299" t="str">
            <v>Pulp Transport</v>
          </cell>
          <cell r="G299">
            <v>120</v>
          </cell>
          <cell r="H299">
            <v>2.0833333333333259E-3</v>
          </cell>
          <cell r="I299">
            <v>6.9444444444444198E-4</v>
          </cell>
          <cell r="J299">
            <v>2.3611111111111027E-2</v>
          </cell>
          <cell r="K299">
            <v>3.4722222222223209E-3</v>
          </cell>
          <cell r="L299">
            <v>1.0416666666666741E-2</v>
          </cell>
          <cell r="M299">
            <v>1.736111111111116E-2</v>
          </cell>
          <cell r="N299">
            <v>1.041666666666663E-2</v>
          </cell>
          <cell r="O299">
            <v>7.638888888888884E-2</v>
          </cell>
          <cell r="P299">
            <v>1.0416666666666741E-2</v>
          </cell>
          <cell r="Q299">
            <v>2.0833333333333259E-2</v>
          </cell>
          <cell r="R299">
            <v>8.3333333333333481E-2</v>
          </cell>
          <cell r="S299">
            <v>0.25902777777777797</v>
          </cell>
        </row>
        <row r="300">
          <cell r="A300">
            <v>39958</v>
          </cell>
          <cell r="B300" t="str">
            <v>RTI0001</v>
          </cell>
          <cell r="C300" t="str">
            <v>JONSON  TAMPUBOLON</v>
          </cell>
          <cell r="D300" t="str">
            <v>1047305;1047306</v>
          </cell>
          <cell r="E300" t="str">
            <v>P-PULF</v>
          </cell>
          <cell r="F300" t="str">
            <v>Pulp Transport</v>
          </cell>
          <cell r="G300">
            <v>120</v>
          </cell>
          <cell r="H300">
            <v>6.9444444444445308E-3</v>
          </cell>
          <cell r="I300">
            <v>4.166666666666663E-2</v>
          </cell>
          <cell r="J300">
            <v>2.430555555555558E-2</v>
          </cell>
          <cell r="K300">
            <v>2.430555555555558E-2</v>
          </cell>
          <cell r="L300">
            <v>1.736111111111116E-2</v>
          </cell>
          <cell r="M300">
            <v>4.8611111111110938E-3</v>
          </cell>
          <cell r="N300">
            <v>2.0833333333332149E-3</v>
          </cell>
          <cell r="O300">
            <v>0.1215277777777779</v>
          </cell>
          <cell r="P300">
            <v>1.0416666666666519E-2</v>
          </cell>
          <cell r="Q300">
            <v>1.388888888888884E-2</v>
          </cell>
          <cell r="R300">
            <v>7.986111111111116E-2</v>
          </cell>
          <cell r="S300">
            <v>0.34722222222222221</v>
          </cell>
        </row>
        <row r="301">
          <cell r="A301">
            <v>39956</v>
          </cell>
          <cell r="B301" t="str">
            <v>RTI0005</v>
          </cell>
          <cell r="C301" t="str">
            <v>M. ISA GANI</v>
          </cell>
          <cell r="D301" t="str">
            <v>1045379;1045380</v>
          </cell>
          <cell r="E301" t="str">
            <v>P-PULF</v>
          </cell>
          <cell r="F301" t="str">
            <v>Pulp Transport</v>
          </cell>
          <cell r="G301">
            <v>120</v>
          </cell>
          <cell r="H301">
            <v>1.0416666666666741E-2</v>
          </cell>
          <cell r="I301">
            <v>2.0138888888888928E-2</v>
          </cell>
          <cell r="J301">
            <v>3.1944444444444331E-2</v>
          </cell>
          <cell r="K301">
            <v>3.4722222222222099E-3</v>
          </cell>
          <cell r="L301">
            <v>1.041666666666663E-2</v>
          </cell>
          <cell r="M301">
            <v>1.3888888888889062E-2</v>
          </cell>
          <cell r="N301">
            <v>2.0833333333333332E-2</v>
          </cell>
          <cell r="O301">
            <v>0.125</v>
          </cell>
          <cell r="P301">
            <v>6.9444444444441977E-3</v>
          </cell>
          <cell r="Q301">
            <v>7.986111111111116E-2</v>
          </cell>
          <cell r="R301">
            <v>9.375E-2</v>
          </cell>
          <cell r="S301">
            <v>0.41666666666666657</v>
          </cell>
        </row>
        <row r="302">
          <cell r="A302">
            <v>39958</v>
          </cell>
          <cell r="B302" t="str">
            <v>BFI0001</v>
          </cell>
          <cell r="C302" t="str">
            <v>PEPEN EFFENDI</v>
          </cell>
          <cell r="D302" t="str">
            <v>1046616;1046618</v>
          </cell>
          <cell r="E302" t="str">
            <v>P-PULF</v>
          </cell>
          <cell r="F302" t="str">
            <v>Pulp Transport</v>
          </cell>
          <cell r="G302">
            <v>144</v>
          </cell>
          <cell r="H302">
            <v>1.736111111111116E-2</v>
          </cell>
          <cell r="I302">
            <v>6.9444444444445308E-3</v>
          </cell>
          <cell r="J302">
            <v>2.430555555555558E-2</v>
          </cell>
          <cell r="K302">
            <v>2.430555555555558E-2</v>
          </cell>
          <cell r="L302">
            <v>1.388888888888884E-2</v>
          </cell>
          <cell r="M302">
            <v>1.388888888888884E-3</v>
          </cell>
          <cell r="N302">
            <v>9.0277777777777787E-3</v>
          </cell>
          <cell r="O302">
            <v>0.10069444444444448</v>
          </cell>
          <cell r="P302">
            <v>2.7777777777777679E-2</v>
          </cell>
          <cell r="Q302">
            <v>2.430555555555558E-2</v>
          </cell>
          <cell r="R302">
            <v>9.375E-2</v>
          </cell>
          <cell r="S302">
            <v>0.34375000000000011</v>
          </cell>
        </row>
        <row r="303">
          <cell r="A303">
            <v>39958</v>
          </cell>
          <cell r="B303" t="str">
            <v>RTI0004</v>
          </cell>
          <cell r="C303" t="str">
            <v>HENGKY FERNANDO</v>
          </cell>
          <cell r="D303" t="str">
            <v>1047283;1047303</v>
          </cell>
          <cell r="E303" t="str">
            <v>P-PULF</v>
          </cell>
          <cell r="F303" t="str">
            <v>Pulp Transport</v>
          </cell>
          <cell r="G303">
            <v>120</v>
          </cell>
          <cell r="H303">
            <v>6.9444444444443088E-3</v>
          </cell>
          <cell r="I303">
            <v>6.9444444444445308E-3</v>
          </cell>
          <cell r="J303">
            <v>1.7361111111111112E-2</v>
          </cell>
          <cell r="K303">
            <v>3.125E-2</v>
          </cell>
          <cell r="L303">
            <v>2.083333333333337E-2</v>
          </cell>
          <cell r="M303">
            <v>6.9444444444445308E-3</v>
          </cell>
          <cell r="N303">
            <v>2.7777777777777679E-2</v>
          </cell>
          <cell r="O303">
            <v>0.11805555555555569</v>
          </cell>
          <cell r="P303">
            <v>6.9444444444441977E-3</v>
          </cell>
          <cell r="Q303">
            <v>4.861111111111116E-2</v>
          </cell>
          <cell r="R303">
            <v>8.3333333333333481E-2</v>
          </cell>
          <cell r="S303">
            <v>0.37500000000000006</v>
          </cell>
        </row>
        <row r="304">
          <cell r="A304">
            <v>39957</v>
          </cell>
          <cell r="B304" t="str">
            <v>RTI0002</v>
          </cell>
          <cell r="C304" t="str">
            <v>J.R. SINAGA</v>
          </cell>
          <cell r="D304" t="str">
            <v>1046492;1045493</v>
          </cell>
          <cell r="E304" t="str">
            <v>P-PULF</v>
          </cell>
          <cell r="F304" t="str">
            <v>Pulp Transport</v>
          </cell>
          <cell r="G304">
            <v>120</v>
          </cell>
          <cell r="H304">
            <v>6.9444444444444441E-3</v>
          </cell>
          <cell r="I304">
            <v>6.9444444444445308E-3</v>
          </cell>
          <cell r="J304">
            <v>2.5694444444444436E-2</v>
          </cell>
          <cell r="K304">
            <v>1.0416666666666685E-2</v>
          </cell>
          <cell r="L304">
            <v>1.3888888888888867E-2</v>
          </cell>
          <cell r="M304">
            <v>4.1666666666666685E-2</v>
          </cell>
          <cell r="N304">
            <v>3.4722222222222099E-3</v>
          </cell>
          <cell r="O304">
            <v>8.333333333333337E-2</v>
          </cell>
          <cell r="P304">
            <v>5.6944444444444353E-2</v>
          </cell>
          <cell r="Q304">
            <v>4.3750000000000067E-2</v>
          </cell>
          <cell r="R304">
            <v>0.10416666666666669</v>
          </cell>
          <cell r="S304">
            <v>0.39722222222222231</v>
          </cell>
        </row>
        <row r="305">
          <cell r="A305">
            <v>39957</v>
          </cell>
          <cell r="B305" t="str">
            <v>BFI0001</v>
          </cell>
          <cell r="C305" t="str">
            <v>NASIB</v>
          </cell>
          <cell r="D305" t="str">
            <v>10465491;1046491</v>
          </cell>
          <cell r="E305" t="str">
            <v>P-PULF</v>
          </cell>
          <cell r="F305" t="str">
            <v>Pulp Transport</v>
          </cell>
          <cell r="G305">
            <v>144</v>
          </cell>
          <cell r="H305">
            <v>3.4722222222222099E-3</v>
          </cell>
          <cell r="I305">
            <v>1.7361111111111105E-2</v>
          </cell>
          <cell r="J305">
            <v>2.0833333333333343E-2</v>
          </cell>
          <cell r="K305">
            <v>3.4722222222222099E-3</v>
          </cell>
          <cell r="L305">
            <v>1.3888888888888895E-2</v>
          </cell>
          <cell r="M305">
            <v>1.5277777777777779E-2</v>
          </cell>
          <cell r="N305">
            <v>9.0277777777777787E-3</v>
          </cell>
          <cell r="O305">
            <v>7.638888888888884E-2</v>
          </cell>
          <cell r="P305">
            <v>1.388888888888884E-2</v>
          </cell>
          <cell r="Q305">
            <v>6.9444444444445308E-3</v>
          </cell>
          <cell r="R305">
            <v>9.375E-2</v>
          </cell>
          <cell r="S305">
            <v>0.27430555555555552</v>
          </cell>
        </row>
        <row r="306">
          <cell r="A306">
            <v>39958</v>
          </cell>
          <cell r="B306" t="str">
            <v>RTI0001</v>
          </cell>
          <cell r="C306" t="str">
            <v>JONSON  TAMPUBOLON</v>
          </cell>
          <cell r="D306" t="str">
            <v>1047647;1047648</v>
          </cell>
          <cell r="E306" t="str">
            <v>P-PULF</v>
          </cell>
          <cell r="F306" t="str">
            <v>Pulp Transport</v>
          </cell>
          <cell r="G306">
            <v>120</v>
          </cell>
          <cell r="H306">
            <v>4.8611111111111216E-3</v>
          </cell>
          <cell r="I306">
            <v>1.7361111111111077E-2</v>
          </cell>
          <cell r="J306">
            <v>2.777777777777779E-2</v>
          </cell>
          <cell r="K306">
            <v>3.4722222222222099E-3</v>
          </cell>
          <cell r="L306">
            <v>6.9444444444444475E-3</v>
          </cell>
          <cell r="M306">
            <v>6.9444444444444753E-3</v>
          </cell>
          <cell r="N306">
            <v>1.3888888888888888E-2</v>
          </cell>
          <cell r="O306">
            <v>0.11041666666666666</v>
          </cell>
          <cell r="P306">
            <v>1.0416666666666685E-2</v>
          </cell>
          <cell r="Q306">
            <v>3.4722222222222654E-3</v>
          </cell>
          <cell r="R306">
            <v>8.8888888888888851E-2</v>
          </cell>
          <cell r="S306">
            <v>0.29444444444444451</v>
          </cell>
        </row>
        <row r="307">
          <cell r="A307">
            <v>39958</v>
          </cell>
          <cell r="B307" t="str">
            <v>RTI0006</v>
          </cell>
          <cell r="C307" t="str">
            <v>IMRAN NASUTION</v>
          </cell>
          <cell r="D307" t="str">
            <v>1047590;1047591</v>
          </cell>
          <cell r="E307" t="str">
            <v>P-PULF</v>
          </cell>
          <cell r="F307" t="str">
            <v>Pulp Transport</v>
          </cell>
          <cell r="G307">
            <v>120</v>
          </cell>
          <cell r="H307">
            <v>6.9444444444445308E-3</v>
          </cell>
          <cell r="I307">
            <v>4.166666666666663E-2</v>
          </cell>
          <cell r="J307">
            <v>7.638888888888884E-2</v>
          </cell>
          <cell r="K307">
            <v>2.083333333333337E-2</v>
          </cell>
          <cell r="L307">
            <v>1.0416666666666741E-2</v>
          </cell>
          <cell r="M307">
            <v>3.4722222222223209E-3</v>
          </cell>
          <cell r="N307">
            <v>1.3888888888888888E-2</v>
          </cell>
          <cell r="O307">
            <v>7.638888888888884E-2</v>
          </cell>
          <cell r="P307">
            <v>0.11458333333333326</v>
          </cell>
          <cell r="Q307">
            <v>3.125E-2</v>
          </cell>
          <cell r="R307">
            <v>9.3750000000000222E-2</v>
          </cell>
          <cell r="S307">
            <v>0.48958333333333365</v>
          </cell>
        </row>
        <row r="308">
          <cell r="A308">
            <v>39958</v>
          </cell>
          <cell r="B308" t="str">
            <v>BFI0001</v>
          </cell>
          <cell r="C308" t="str">
            <v>PAHOT.S</v>
          </cell>
          <cell r="D308" t="str">
            <v>1047588;1047589</v>
          </cell>
          <cell r="E308" t="str">
            <v>P-PULF</v>
          </cell>
          <cell r="F308" t="str">
            <v>Pulp Transport</v>
          </cell>
          <cell r="G308">
            <v>144</v>
          </cell>
          <cell r="H308">
            <v>3.4722222222220989E-3</v>
          </cell>
          <cell r="I308">
            <v>2.7777777777777901E-2</v>
          </cell>
          <cell r="J308">
            <v>3.4722222222220989E-3</v>
          </cell>
          <cell r="K308">
            <v>1.3888888888888951E-2</v>
          </cell>
          <cell r="L308">
            <v>1.736111111111116E-2</v>
          </cell>
          <cell r="M308">
            <v>3.4722222222223209E-3</v>
          </cell>
          <cell r="N308">
            <v>1.0416666666666666E-2</v>
          </cell>
          <cell r="O308">
            <v>0.10416666666666667</v>
          </cell>
          <cell r="P308">
            <v>1.0416666666666741E-2</v>
          </cell>
          <cell r="Q308">
            <v>2.430555555555558E-2</v>
          </cell>
          <cell r="R308">
            <v>0.11111111111111116</v>
          </cell>
          <cell r="S308">
            <v>0.32986111111111138</v>
          </cell>
        </row>
        <row r="309">
          <cell r="A309">
            <v>39958</v>
          </cell>
          <cell r="B309" t="str">
            <v>RTI0010</v>
          </cell>
          <cell r="C309" t="str">
            <v>JUAHNA TARIGAN</v>
          </cell>
          <cell r="D309" t="str">
            <v>1047605;1047606</v>
          </cell>
          <cell r="E309" t="str">
            <v>P-PULF</v>
          </cell>
          <cell r="F309" t="str">
            <v>Pulp Transport</v>
          </cell>
          <cell r="G309">
            <v>120</v>
          </cell>
          <cell r="H309">
            <v>2.0833333333333259E-3</v>
          </cell>
          <cell r="I309">
            <v>2.0833333333333315E-2</v>
          </cell>
          <cell r="J309">
            <v>1.0416666666666685E-2</v>
          </cell>
          <cell r="K309">
            <v>9.7222222222222154E-3</v>
          </cell>
          <cell r="L309">
            <v>6.3888888888888884E-2</v>
          </cell>
          <cell r="M309">
            <v>4.1666666666667074E-3</v>
          </cell>
          <cell r="N309">
            <v>1.3888888888888888E-2</v>
          </cell>
          <cell r="O309">
            <v>7.638888888888884E-2</v>
          </cell>
          <cell r="P309">
            <v>3.4722222222222099E-3</v>
          </cell>
          <cell r="Q309">
            <v>7.986111111111116E-2</v>
          </cell>
          <cell r="R309">
            <v>9.375E-2</v>
          </cell>
          <cell r="S309">
            <v>0.37847222222222221</v>
          </cell>
        </row>
        <row r="310">
          <cell r="A310">
            <v>39959</v>
          </cell>
          <cell r="B310" t="str">
            <v>RTI0006</v>
          </cell>
          <cell r="C310" t="str">
            <v>EKO MUSTANTO</v>
          </cell>
          <cell r="D310" t="str">
            <v>1047667;1047669</v>
          </cell>
          <cell r="E310" t="str">
            <v>P-PULF</v>
          </cell>
          <cell r="F310" t="str">
            <v>Pulp Transport</v>
          </cell>
          <cell r="G310">
            <v>120</v>
          </cell>
          <cell r="H310">
            <v>1.3888888888888923E-2</v>
          </cell>
          <cell r="I310">
            <v>1.3888888888888867E-2</v>
          </cell>
          <cell r="J310">
            <v>1.3888888888888895E-2</v>
          </cell>
          <cell r="K310">
            <v>1.3888888888888895E-2</v>
          </cell>
          <cell r="L310">
            <v>2.0833333333333315E-2</v>
          </cell>
          <cell r="M310">
            <v>2.430555555555558E-2</v>
          </cell>
          <cell r="N310">
            <v>2.4305555555555556E-2</v>
          </cell>
          <cell r="O310">
            <v>7.638888888888884E-2</v>
          </cell>
          <cell r="P310">
            <v>1.5972222222222221E-2</v>
          </cell>
          <cell r="Q310">
            <v>2.430555555555558E-2</v>
          </cell>
          <cell r="R310">
            <v>4.8611111111111105E-2</v>
          </cell>
          <cell r="S310">
            <v>0.29027777777777775</v>
          </cell>
        </row>
        <row r="311">
          <cell r="A311">
            <v>39958</v>
          </cell>
          <cell r="B311" t="str">
            <v>RTI0011</v>
          </cell>
          <cell r="C311" t="str">
            <v>USMAN ARITONANG</v>
          </cell>
          <cell r="D311" t="str">
            <v>1047610;1047752</v>
          </cell>
          <cell r="E311" t="str">
            <v>P-PULF</v>
          </cell>
          <cell r="F311" t="str">
            <v>Pulp Transport</v>
          </cell>
          <cell r="G311">
            <v>120</v>
          </cell>
          <cell r="H311">
            <v>1.388888888888884E-2</v>
          </cell>
          <cell r="I311">
            <v>2.0833333333333259E-2</v>
          </cell>
          <cell r="J311">
            <v>1.736111111111116E-2</v>
          </cell>
          <cell r="K311">
            <v>1.736111111111116E-2</v>
          </cell>
          <cell r="L311">
            <v>2.430555555555558E-2</v>
          </cell>
          <cell r="M311">
            <v>1.7361111111111049E-2</v>
          </cell>
          <cell r="N311">
            <v>2.0833333333333332E-2</v>
          </cell>
          <cell r="O311">
            <v>7.6388888888888895E-2</v>
          </cell>
          <cell r="P311">
            <v>1.736111111111116E-2</v>
          </cell>
          <cell r="Q311">
            <v>2.7777777777777679E-2</v>
          </cell>
          <cell r="R311">
            <v>6.25E-2</v>
          </cell>
          <cell r="S311">
            <v>0.3159722222222221</v>
          </cell>
        </row>
        <row r="312">
          <cell r="A312">
            <v>39959</v>
          </cell>
          <cell r="B312" t="str">
            <v>RTI0018</v>
          </cell>
          <cell r="C312" t="str">
            <v>SAFRI SIREGAR</v>
          </cell>
          <cell r="D312" t="str">
            <v>1047650;1047651</v>
          </cell>
          <cell r="E312" t="str">
            <v>P-PULF</v>
          </cell>
          <cell r="F312" t="str">
            <v>Pulp Transport</v>
          </cell>
          <cell r="G312">
            <v>120</v>
          </cell>
          <cell r="H312">
            <v>1.0416666666666685E-2</v>
          </cell>
          <cell r="I312">
            <v>1.3888888888888895E-2</v>
          </cell>
          <cell r="J312">
            <v>1.7361111111111049E-2</v>
          </cell>
          <cell r="K312">
            <v>2.430555555555558E-2</v>
          </cell>
          <cell r="L312">
            <v>2.430555555555558E-2</v>
          </cell>
          <cell r="M312">
            <v>1.8749999999999989E-2</v>
          </cell>
          <cell r="N312">
            <v>2.2916666666666669E-2</v>
          </cell>
          <cell r="O312">
            <v>7.638888888888884E-2</v>
          </cell>
          <cell r="P312">
            <v>2.430555555555558E-2</v>
          </cell>
          <cell r="Q312">
            <v>1.7361111111111049E-2</v>
          </cell>
          <cell r="R312">
            <v>4.8611111111111105E-2</v>
          </cell>
          <cell r="S312">
            <v>0.29861111111111105</v>
          </cell>
        </row>
        <row r="313">
          <cell r="A313">
            <v>39959</v>
          </cell>
          <cell r="B313" t="str">
            <v>RTI0007</v>
          </cell>
          <cell r="C313" t="str">
            <v>M. JONTRA</v>
          </cell>
          <cell r="D313" t="str">
            <v>1047760;1047759</v>
          </cell>
          <cell r="E313" t="str">
            <v>P-PULF</v>
          </cell>
          <cell r="F313" t="str">
            <v>Pulp Transport</v>
          </cell>
          <cell r="G313">
            <v>120</v>
          </cell>
          <cell r="H313">
            <v>1.3888888888888895E-2</v>
          </cell>
          <cell r="I313">
            <v>1.3888888888888895E-2</v>
          </cell>
          <cell r="J313">
            <v>1.7361111111111105E-2</v>
          </cell>
          <cell r="K313">
            <v>1.3888888888888895E-2</v>
          </cell>
          <cell r="L313">
            <v>1.7361111111111049E-2</v>
          </cell>
          <cell r="M313">
            <v>2.083333333333337E-2</v>
          </cell>
          <cell r="N313">
            <v>2.7777777777777776E-2</v>
          </cell>
          <cell r="O313">
            <v>7.638888888888884E-2</v>
          </cell>
          <cell r="P313">
            <v>2.7777777777777735E-2</v>
          </cell>
          <cell r="Q313">
            <v>1.3888888888888951E-2</v>
          </cell>
          <cell r="R313">
            <v>4.7222222222222165E-2</v>
          </cell>
          <cell r="S313">
            <v>0.29027777777777769</v>
          </cell>
        </row>
      </sheetData>
      <sheetData sheetId="4"/>
      <sheetData sheetId="5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PREMI"/>
      <sheetName val="master"/>
      <sheetName val="TB-WP"/>
      <sheetName val="RATIO"/>
    </sheetNames>
    <sheetDataSet>
      <sheetData sheetId="0" refreshError="1">
        <row r="5">
          <cell r="B5" t="str">
            <v>IDR</v>
          </cell>
          <cell r="C5">
            <v>9675</v>
          </cell>
          <cell r="D5">
            <v>9675</v>
          </cell>
        </row>
        <row r="6">
          <cell r="B6" t="str">
            <v>DEM</v>
          </cell>
          <cell r="C6">
            <v>2.1405599999999998</v>
          </cell>
          <cell r="D6">
            <v>2.1405599999999998</v>
          </cell>
        </row>
        <row r="7">
          <cell r="B7" t="str">
            <v>GBP</v>
          </cell>
          <cell r="C7">
            <v>1.4676</v>
          </cell>
          <cell r="D7">
            <v>0.68138457345325698</v>
          </cell>
        </row>
        <row r="8">
          <cell r="B8" t="str">
            <v>JPY</v>
          </cell>
          <cell r="C8">
            <v>119.31</v>
          </cell>
          <cell r="D8">
            <v>119.31</v>
          </cell>
        </row>
        <row r="9">
          <cell r="B9" t="str">
            <v>CHF</v>
          </cell>
          <cell r="C9">
            <v>1.6163000000000001</v>
          </cell>
          <cell r="D9">
            <v>1.6163000000000001</v>
          </cell>
        </row>
        <row r="10">
          <cell r="B10" t="str">
            <v>FRF</v>
          </cell>
          <cell r="C10">
            <v>7.1791289999999996</v>
          </cell>
          <cell r="D10">
            <v>7.1791289999999996</v>
          </cell>
        </row>
        <row r="11">
          <cell r="B11" t="str">
            <v>NLG</v>
          </cell>
          <cell r="C11">
            <v>2.4118529999999998</v>
          </cell>
          <cell r="D11">
            <v>2.4118529999999998</v>
          </cell>
        </row>
        <row r="12">
          <cell r="B12" t="str">
            <v>BEF</v>
          </cell>
          <cell r="C12">
            <v>44.150100000000002</v>
          </cell>
          <cell r="D12">
            <v>44.150100000000002</v>
          </cell>
        </row>
        <row r="13">
          <cell r="B13" t="str">
            <v>CAD</v>
          </cell>
          <cell r="C13">
            <v>1.5771999999999999</v>
          </cell>
          <cell r="D13">
            <v>1.5771999999999999</v>
          </cell>
        </row>
        <row r="14">
          <cell r="B14" t="str">
            <v>ITL</v>
          </cell>
          <cell r="C14">
            <v>2119.1379000000002</v>
          </cell>
          <cell r="D14">
            <v>2119.1379000000002</v>
          </cell>
        </row>
        <row r="15">
          <cell r="B15" t="str">
            <v>NOK</v>
          </cell>
          <cell r="C15">
            <v>8.8600999999999992</v>
          </cell>
          <cell r="D15">
            <v>8.8600999999999992</v>
          </cell>
        </row>
        <row r="16">
          <cell r="B16" t="str">
            <v>SEK</v>
          </cell>
          <cell r="C16">
            <v>10.636900000000001</v>
          </cell>
          <cell r="D16">
            <v>10.636900000000001</v>
          </cell>
        </row>
        <row r="17">
          <cell r="B17" t="str">
            <v>DKK</v>
          </cell>
          <cell r="C17">
            <v>8.1374999999999993</v>
          </cell>
          <cell r="D17">
            <v>8.1374999999999993</v>
          </cell>
        </row>
        <row r="18">
          <cell r="B18" t="str">
            <v>ATS</v>
          </cell>
          <cell r="C18">
            <v>15.059977999999999</v>
          </cell>
          <cell r="D18">
            <v>15.059977999999999</v>
          </cell>
        </row>
        <row r="19">
          <cell r="B19" t="str">
            <v>HKD</v>
          </cell>
          <cell r="C19">
            <v>7.7995000000000001</v>
          </cell>
          <cell r="D19">
            <v>7.7995000000000001</v>
          </cell>
        </row>
        <row r="20">
          <cell r="B20" t="str">
            <v>SGD</v>
          </cell>
          <cell r="C20">
            <v>1.7658</v>
          </cell>
          <cell r="D20">
            <v>1.7658</v>
          </cell>
        </row>
        <row r="21">
          <cell r="B21" t="str">
            <v>AUD</v>
          </cell>
          <cell r="C21">
            <v>0.4945</v>
          </cell>
          <cell r="D21">
            <v>2.0222446916076846</v>
          </cell>
        </row>
        <row r="22">
          <cell r="B22" t="str">
            <v>MYR</v>
          </cell>
          <cell r="C22">
            <v>3.8005</v>
          </cell>
          <cell r="D22">
            <v>3.8005</v>
          </cell>
        </row>
        <row r="23">
          <cell r="B23" t="str">
            <v>IEP</v>
          </cell>
          <cell r="C23">
            <v>1.1601600000000001</v>
          </cell>
          <cell r="D23">
            <v>0.86195007585160666</v>
          </cell>
        </row>
        <row r="24">
          <cell r="B24" t="str">
            <v>ESP</v>
          </cell>
          <cell r="C24">
            <v>182.10130000000001</v>
          </cell>
          <cell r="D24">
            <v>182.10130000000001</v>
          </cell>
        </row>
        <row r="25">
          <cell r="B25" t="str">
            <v>EUR</v>
          </cell>
          <cell r="C25">
            <v>0.91369999999999996</v>
          </cell>
          <cell r="D25">
            <v>1.0944511327569224</v>
          </cell>
        </row>
        <row r="26">
          <cell r="B26" t="str">
            <v>USD</v>
          </cell>
          <cell r="C26">
            <v>1</v>
          </cell>
          <cell r="D26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PREMI"/>
      <sheetName val="master"/>
      <sheetName val="TB-WP"/>
      <sheetName val="RATIO"/>
    </sheetNames>
    <sheetDataSet>
      <sheetData sheetId="0" refreshError="1">
        <row r="5">
          <cell r="B5" t="str">
            <v>IDR</v>
          </cell>
          <cell r="C5">
            <v>9675</v>
          </cell>
          <cell r="D5">
            <v>9675</v>
          </cell>
        </row>
        <row r="6">
          <cell r="B6" t="str">
            <v>DEM</v>
          </cell>
          <cell r="C6">
            <v>2.1405599999999998</v>
          </cell>
          <cell r="D6">
            <v>2.1405599999999998</v>
          </cell>
        </row>
        <row r="7">
          <cell r="B7" t="str">
            <v>GBP</v>
          </cell>
          <cell r="C7">
            <v>1.4676</v>
          </cell>
          <cell r="D7">
            <v>0.68138457345325698</v>
          </cell>
        </row>
        <row r="8">
          <cell r="B8" t="str">
            <v>JPY</v>
          </cell>
          <cell r="C8">
            <v>119.31</v>
          </cell>
          <cell r="D8">
            <v>119.31</v>
          </cell>
        </row>
        <row r="9">
          <cell r="B9" t="str">
            <v>CHF</v>
          </cell>
          <cell r="C9">
            <v>1.6163000000000001</v>
          </cell>
          <cell r="D9">
            <v>1.6163000000000001</v>
          </cell>
        </row>
        <row r="10">
          <cell r="B10" t="str">
            <v>FRF</v>
          </cell>
          <cell r="C10">
            <v>7.1791289999999996</v>
          </cell>
          <cell r="D10">
            <v>7.1791289999999996</v>
          </cell>
        </row>
        <row r="11">
          <cell r="B11" t="str">
            <v>NLG</v>
          </cell>
          <cell r="C11">
            <v>2.4118529999999998</v>
          </cell>
          <cell r="D11">
            <v>2.4118529999999998</v>
          </cell>
        </row>
        <row r="12">
          <cell r="B12" t="str">
            <v>BEF</v>
          </cell>
          <cell r="C12">
            <v>44.150100000000002</v>
          </cell>
          <cell r="D12">
            <v>44.150100000000002</v>
          </cell>
        </row>
        <row r="13">
          <cell r="B13" t="str">
            <v>CAD</v>
          </cell>
          <cell r="C13">
            <v>1.5771999999999999</v>
          </cell>
          <cell r="D13">
            <v>1.5771999999999999</v>
          </cell>
        </row>
        <row r="14">
          <cell r="B14" t="str">
            <v>ITL</v>
          </cell>
          <cell r="C14">
            <v>2119.1379000000002</v>
          </cell>
          <cell r="D14">
            <v>2119.1379000000002</v>
          </cell>
        </row>
        <row r="15">
          <cell r="B15" t="str">
            <v>NOK</v>
          </cell>
          <cell r="C15">
            <v>8.8600999999999992</v>
          </cell>
          <cell r="D15">
            <v>8.8600999999999992</v>
          </cell>
        </row>
        <row r="16">
          <cell r="B16" t="str">
            <v>SEK</v>
          </cell>
          <cell r="C16">
            <v>10.636900000000001</v>
          </cell>
          <cell r="D16">
            <v>10.636900000000001</v>
          </cell>
        </row>
        <row r="17">
          <cell r="B17" t="str">
            <v>DKK</v>
          </cell>
          <cell r="C17">
            <v>8.1374999999999993</v>
          </cell>
          <cell r="D17">
            <v>8.1374999999999993</v>
          </cell>
        </row>
        <row r="18">
          <cell r="B18" t="str">
            <v>ATS</v>
          </cell>
          <cell r="C18">
            <v>15.059977999999999</v>
          </cell>
          <cell r="D18">
            <v>15.059977999999999</v>
          </cell>
        </row>
        <row r="19">
          <cell r="B19" t="str">
            <v>HKD</v>
          </cell>
          <cell r="C19">
            <v>7.7995000000000001</v>
          </cell>
          <cell r="D19">
            <v>7.7995000000000001</v>
          </cell>
        </row>
        <row r="20">
          <cell r="B20" t="str">
            <v>SGD</v>
          </cell>
          <cell r="C20">
            <v>1.7658</v>
          </cell>
          <cell r="D20">
            <v>1.7658</v>
          </cell>
        </row>
        <row r="21">
          <cell r="B21" t="str">
            <v>AUD</v>
          </cell>
          <cell r="C21">
            <v>0.4945</v>
          </cell>
          <cell r="D21">
            <v>2.0222446916076846</v>
          </cell>
        </row>
        <row r="22">
          <cell r="B22" t="str">
            <v>MYR</v>
          </cell>
          <cell r="C22">
            <v>3.8005</v>
          </cell>
          <cell r="D22">
            <v>3.8005</v>
          </cell>
        </row>
        <row r="23">
          <cell r="B23" t="str">
            <v>IEP</v>
          </cell>
          <cell r="C23">
            <v>1.1601600000000001</v>
          </cell>
          <cell r="D23">
            <v>0.86195007585160666</v>
          </cell>
        </row>
        <row r="24">
          <cell r="B24" t="str">
            <v>ESP</v>
          </cell>
          <cell r="C24">
            <v>182.10130000000001</v>
          </cell>
          <cell r="D24">
            <v>182.10130000000001</v>
          </cell>
        </row>
        <row r="25">
          <cell r="B25" t="str">
            <v>EUR</v>
          </cell>
          <cell r="C25">
            <v>0.91369999999999996</v>
          </cell>
          <cell r="D25">
            <v>1.0944511327569224</v>
          </cell>
        </row>
        <row r="26">
          <cell r="B26" t="str">
            <v>USD</v>
          </cell>
          <cell r="C26">
            <v>1</v>
          </cell>
          <cell r="D26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0-Cover"/>
      <sheetName val="Ratio"/>
      <sheetName val="FS"/>
      <sheetName val="RJE"/>
      <sheetName val="AJE"/>
      <sheetName val="CJE"/>
      <sheetName val="CashFlow"/>
      <sheetName val="audited BS"/>
      <sheetName val="audited PL"/>
      <sheetName val="audited detailPL"/>
      <sheetName val="NTA"/>
      <sheetName val="BS"/>
      <sheetName val="PL"/>
      <sheetName val="procedure"/>
    </sheetNames>
    <sheetDataSet>
      <sheetData sheetId="0"/>
      <sheetData sheetId="1"/>
      <sheetData sheetId="2" refreshError="1">
        <row r="1">
          <cell r="B1" t="str">
            <v>Client  : Regal Ocean International Limited</v>
          </cell>
        </row>
        <row r="2">
          <cell r="B2" t="str">
            <v>(Incorporated in the Republic of Singapore)</v>
          </cell>
        </row>
        <row r="4">
          <cell r="B4" t="str">
            <v>INCOME STATEMENT FOR THE FINANCIAL PERIOD ENDED 30 June 2006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</row>
        <row r="8">
          <cell r="D8" t="str">
            <v>WP REF</v>
          </cell>
          <cell r="F8">
            <v>2006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>
            <v>2006</v>
          </cell>
        </row>
        <row r="9">
          <cell r="F9" t="str">
            <v>US$</v>
          </cell>
          <cell r="G9" t="str">
            <v>US$</v>
          </cell>
          <cell r="H9" t="str">
            <v>US$</v>
          </cell>
          <cell r="I9" t="str">
            <v>US$</v>
          </cell>
          <cell r="J9" t="str">
            <v>US$</v>
          </cell>
          <cell r="K9" t="str">
            <v>US$</v>
          </cell>
        </row>
        <row r="11">
          <cell r="A11">
            <v>10000</v>
          </cell>
          <cell r="B11" t="str">
            <v>Turnover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3">
          <cell r="A13">
            <v>20000</v>
          </cell>
          <cell r="B13" t="str">
            <v>Cost of sales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5">
          <cell r="A15" t="str">
            <v>GP</v>
          </cell>
          <cell r="B15" t="str">
            <v>Gross profit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7">
          <cell r="A17">
            <v>30000</v>
          </cell>
          <cell r="B17" t="str">
            <v>Other operating income</v>
          </cell>
          <cell r="F17">
            <v>1018.92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1018.92</v>
          </cell>
        </row>
        <row r="19">
          <cell r="A19">
            <v>40000</v>
          </cell>
          <cell r="B19" t="str">
            <v>Administrative expenses</v>
          </cell>
          <cell r="F19">
            <v>-150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-150</v>
          </cell>
        </row>
        <row r="21">
          <cell r="A21">
            <v>50000</v>
          </cell>
          <cell r="B21" t="str">
            <v>Other operating expenses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3">
          <cell r="A23">
            <v>60000</v>
          </cell>
          <cell r="B23" t="str">
            <v>Finance costs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5">
          <cell r="A25" t="str">
            <v>PBT</v>
          </cell>
          <cell r="B25" t="str">
            <v>(Loss)/Profit for the year before taxation</v>
          </cell>
          <cell r="F25">
            <v>868.92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868.92</v>
          </cell>
        </row>
        <row r="27">
          <cell r="A27">
            <v>70000</v>
          </cell>
          <cell r="B27" t="str">
            <v>Taxation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9">
          <cell r="A29" t="str">
            <v>PAT</v>
          </cell>
          <cell r="B29" t="str">
            <v>(Loss)/Profit for the year after taxation</v>
          </cell>
          <cell r="F29">
            <v>868.92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868.92</v>
          </cell>
        </row>
        <row r="30">
          <cell r="G30" t="str">
            <v>total AJE in Dr</v>
          </cell>
          <cell r="H30" t="str">
            <v>total AJE in Cr</v>
          </cell>
          <cell r="I30" t="str">
            <v>total RJE in Dr</v>
          </cell>
          <cell r="J30" t="str">
            <v>total RJE in Cr</v>
          </cell>
          <cell r="K30">
            <v>0</v>
          </cell>
        </row>
        <row r="34">
          <cell r="B34" t="str">
            <v>Client  : Regal Ocean International Limited</v>
          </cell>
        </row>
        <row r="35">
          <cell r="B35" t="str">
            <v>(Incorporated in the Republic of Singapore)</v>
          </cell>
        </row>
        <row r="37">
          <cell r="B37" t="str">
            <v>BALANCE SHEET AS AT 30 June 2006</v>
          </cell>
        </row>
        <row r="38">
          <cell r="F38" t="str">
            <v>unaudited</v>
          </cell>
          <cell r="G38" t="str">
            <v>Audit Adjustment (AJE)</v>
          </cell>
          <cell r="I38" t="str">
            <v>Reclassification (RJE)</v>
          </cell>
          <cell r="K38" t="str">
            <v>audited</v>
          </cell>
        </row>
        <row r="39">
          <cell r="D39" t="str">
            <v>WP REF</v>
          </cell>
          <cell r="F39">
            <v>2006</v>
          </cell>
          <cell r="G39" t="str">
            <v>DR</v>
          </cell>
          <cell r="H39" t="str">
            <v>CR</v>
          </cell>
          <cell r="I39" t="str">
            <v>DR</v>
          </cell>
          <cell r="J39" t="str">
            <v>CR</v>
          </cell>
          <cell r="K39">
            <v>2006</v>
          </cell>
        </row>
        <row r="40">
          <cell r="F40" t="str">
            <v>US$</v>
          </cell>
          <cell r="G40" t="str">
            <v>US$</v>
          </cell>
          <cell r="H40" t="str">
            <v>US$</v>
          </cell>
          <cell r="I40" t="str">
            <v>US$</v>
          </cell>
          <cell r="J40" t="str">
            <v>US$</v>
          </cell>
          <cell r="K40" t="str">
            <v>US$</v>
          </cell>
        </row>
        <row r="41">
          <cell r="B41" t="str">
            <v>ASSETS</v>
          </cell>
        </row>
        <row r="42">
          <cell r="B42" t="str">
            <v>Non-current assets</v>
          </cell>
          <cell r="G42">
            <v>0</v>
          </cell>
          <cell r="K42">
            <v>0</v>
          </cell>
        </row>
        <row r="43">
          <cell r="A43">
            <v>1000</v>
          </cell>
          <cell r="B43" t="str">
            <v xml:space="preserve">    Plant and equipment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1001</v>
          </cell>
          <cell r="B44" t="str">
            <v xml:space="preserve">    Investments</v>
          </cell>
          <cell r="F44">
            <v>0</v>
          </cell>
          <cell r="K44">
            <v>0</v>
          </cell>
        </row>
        <row r="45">
          <cell r="A45">
            <v>1002</v>
          </cell>
          <cell r="B45" t="str">
            <v xml:space="preserve">    Investment in subsidiaries companies</v>
          </cell>
          <cell r="F45">
            <v>0</v>
          </cell>
          <cell r="K45">
            <v>0</v>
          </cell>
        </row>
        <row r="46">
          <cell r="A46">
            <v>1003</v>
          </cell>
          <cell r="B46" t="str">
            <v xml:space="preserve">    Investment in associated company</v>
          </cell>
          <cell r="F46">
            <v>0</v>
          </cell>
          <cell r="K46">
            <v>0</v>
          </cell>
        </row>
        <row r="47">
          <cell r="A47">
            <v>1004</v>
          </cell>
          <cell r="B47" t="str">
            <v xml:space="preserve">    Goodwill on consolidation  </v>
          </cell>
          <cell r="F47">
            <v>0</v>
          </cell>
          <cell r="K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Current assets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2000</v>
          </cell>
          <cell r="B51" t="str">
            <v xml:space="preserve">    Other receivables,deposits and prepayment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2100</v>
          </cell>
          <cell r="B52" t="str">
            <v xml:space="preserve">    Amount due from ultimate holding company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2200</v>
          </cell>
          <cell r="B53" t="str">
            <v xml:space="preserve">    Amount due from intermediate holding company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2300</v>
          </cell>
          <cell r="B54" t="str">
            <v xml:space="preserve">    Amount due from an associated company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2400</v>
          </cell>
          <cell r="B55" t="str">
            <v xml:space="preserve">    Amount due from subsidiaries companies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2500</v>
          </cell>
          <cell r="B56" t="str">
            <v xml:space="preserve">    Cash and bank balances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K57">
            <v>0</v>
          </cell>
        </row>
        <row r="58">
          <cell r="A58" t="str">
            <v>CA</v>
          </cell>
          <cell r="B58" t="str">
            <v>Total current assets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K59">
            <v>0</v>
          </cell>
        </row>
        <row r="60">
          <cell r="A60" t="str">
            <v>TA</v>
          </cell>
          <cell r="B60" t="str">
            <v>TOTAL ASSETS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K61">
            <v>0</v>
          </cell>
        </row>
        <row r="62">
          <cell r="B62" t="str">
            <v>EQUITY AND LIABILITIES</v>
          </cell>
          <cell r="K62">
            <v>0</v>
          </cell>
        </row>
        <row r="63">
          <cell r="B63" t="str">
            <v>Capital and reserves</v>
          </cell>
          <cell r="K63">
            <v>0</v>
          </cell>
        </row>
        <row r="64">
          <cell r="A64">
            <v>6000</v>
          </cell>
          <cell r="B64" t="str">
            <v xml:space="preserve">    Share capital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A65">
            <v>6100</v>
          </cell>
          <cell r="B65" t="str">
            <v xml:space="preserve">     Reserves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6101</v>
          </cell>
          <cell r="C66" t="str">
            <v>RETAINED EARNINGS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A67">
            <v>6102</v>
          </cell>
          <cell r="C67" t="str">
            <v>PROFIT (LOSS) FOR THE PERIOD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6200</v>
          </cell>
          <cell r="B68" t="str">
            <v xml:space="preserve">    Accumulated Profit / loss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A69" t="str">
            <v>TEQ</v>
          </cell>
          <cell r="B69" t="str">
            <v>TOTAL EQUITY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Non-current liabilities</v>
          </cell>
          <cell r="K70">
            <v>0</v>
          </cell>
        </row>
        <row r="71">
          <cell r="A71">
            <v>4000</v>
          </cell>
          <cell r="B71" t="str">
            <v xml:space="preserve">    Deferred tax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4101</v>
          </cell>
          <cell r="B72" t="str">
            <v xml:space="preserve">    Hire Purchase creditors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 t="str">
            <v>LTL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Current liabilities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3000</v>
          </cell>
          <cell r="B75" t="str">
            <v xml:space="preserve">    Other payables and accruals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3100</v>
          </cell>
          <cell r="B76" t="str">
            <v xml:space="preserve">    Amount due to immediate holding companies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4102</v>
          </cell>
          <cell r="B77" t="str">
            <v xml:space="preserve">    Amount due to ultimate holding company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5300</v>
          </cell>
          <cell r="B78" t="str">
            <v xml:space="preserve">    Amount due to shareholders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5000</v>
          </cell>
          <cell r="B79" t="str">
            <v xml:space="preserve">    Amount due to intermediate holding company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3200</v>
          </cell>
          <cell r="B80" t="str">
            <v xml:space="preserve">     Provision for taxation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K81">
            <v>0</v>
          </cell>
        </row>
        <row r="82">
          <cell r="A82" t="str">
            <v>CL</v>
          </cell>
          <cell r="B82" t="str">
            <v>Total Current liabilities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4">
          <cell r="B84" t="str">
            <v>TOTAL EQUITY AND LIABILITIES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C85" t="str">
            <v>Test check</v>
          </cell>
          <cell r="F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K86">
            <v>0</v>
          </cell>
        </row>
        <row r="87">
          <cell r="C87" t="str">
            <v>Client  : Regal Ocean International Limited</v>
          </cell>
        </row>
        <row r="88">
          <cell r="C88" t="str">
            <v>(Incorporated in the Republic of Singapore)</v>
          </cell>
          <cell r="K88">
            <v>0</v>
          </cell>
        </row>
        <row r="89">
          <cell r="K89">
            <v>0</v>
          </cell>
        </row>
        <row r="90">
          <cell r="C90" t="str">
            <v>DETAILED TRADING, PROFIT &amp; LOSS ACCOUNT FOR THE FINANCIAL YEAR ENDED 30 June 2006</v>
          </cell>
          <cell r="K90">
            <v>0</v>
          </cell>
        </row>
        <row r="91">
          <cell r="K91">
            <v>0</v>
          </cell>
        </row>
        <row r="93">
          <cell r="F93" t="str">
            <v>unaudited</v>
          </cell>
          <cell r="G93" t="str">
            <v>Audit Adjustment (AJE)</v>
          </cell>
          <cell r="I93" t="str">
            <v>Reclassification (RJE)</v>
          </cell>
          <cell r="K93" t="str">
            <v>audited</v>
          </cell>
        </row>
        <row r="94">
          <cell r="D94" t="str">
            <v>WP REF</v>
          </cell>
          <cell r="F94">
            <v>2006</v>
          </cell>
          <cell r="G94" t="str">
            <v>DR</v>
          </cell>
          <cell r="H94" t="str">
            <v>CR</v>
          </cell>
          <cell r="I94" t="str">
            <v>DR</v>
          </cell>
          <cell r="J94" t="str">
            <v>CR</v>
          </cell>
          <cell r="K94">
            <v>2006</v>
          </cell>
        </row>
        <row r="95">
          <cell r="F95" t="str">
            <v>US$</v>
          </cell>
          <cell r="G95" t="str">
            <v>US$</v>
          </cell>
          <cell r="H95" t="str">
            <v>US$</v>
          </cell>
          <cell r="I95" t="str">
            <v>US$</v>
          </cell>
          <cell r="J95" t="str">
            <v>US$</v>
          </cell>
          <cell r="K95" t="str">
            <v>US$</v>
          </cell>
        </row>
        <row r="96">
          <cell r="A96">
            <v>10000</v>
          </cell>
          <cell r="B96" t="str">
            <v>SALES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8">
          <cell r="B98" t="str">
            <v>Less Cost of sales</v>
          </cell>
        </row>
        <row r="99">
          <cell r="A99">
            <v>21000</v>
          </cell>
          <cell r="B99" t="str">
            <v>Cost of sales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22000</v>
          </cell>
          <cell r="B100" t="str">
            <v>Freight and handling charges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23000</v>
          </cell>
          <cell r="B101" t="str">
            <v>Warehouse fee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A102">
            <v>20000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GROSS PROFIT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OTHER OPERATING INCOME</v>
          </cell>
          <cell r="K104">
            <v>0</v>
          </cell>
        </row>
        <row r="105">
          <cell r="A105">
            <v>30001</v>
          </cell>
          <cell r="B105" t="str">
            <v xml:space="preserve">    Reversal of accrued expenses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30002</v>
          </cell>
          <cell r="B106" t="str">
            <v xml:space="preserve">    Exchange gain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30003</v>
          </cell>
          <cell r="B107" t="str">
            <v xml:space="preserve">    Interest income</v>
          </cell>
          <cell r="F107">
            <v>818.92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818.92</v>
          </cell>
        </row>
        <row r="108">
          <cell r="A108">
            <v>30004</v>
          </cell>
          <cell r="B108" t="str">
            <v xml:space="preserve">    Gain on disposal of subsidiaries 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A109">
            <v>30005</v>
          </cell>
          <cell r="B109" t="str">
            <v xml:space="preserve">    Dividend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A110">
            <v>30006</v>
          </cell>
          <cell r="B110" t="str">
            <v xml:space="preserve">    Other income</v>
          </cell>
          <cell r="F110">
            <v>200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200</v>
          </cell>
        </row>
        <row r="111"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30000</v>
          </cell>
          <cell r="F112">
            <v>1018.92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1018.92</v>
          </cell>
        </row>
        <row r="113">
          <cell r="B113" t="str">
            <v>ADMINISTRATIVE EXPENSES</v>
          </cell>
        </row>
        <row r="114">
          <cell r="A114">
            <v>40001</v>
          </cell>
          <cell r="B114" t="str">
            <v xml:space="preserve">    Accountancy fee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40002</v>
          </cell>
          <cell r="B115" t="str">
            <v xml:space="preserve">    Advertisement 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40003</v>
          </cell>
          <cell r="B116" t="str">
            <v xml:space="preserve">    Auditors’ remuneration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A117">
            <v>40004</v>
          </cell>
          <cell r="B117" t="str">
            <v xml:space="preserve">    Depreciation 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A118">
            <v>40005</v>
          </cell>
          <cell r="B118" t="str">
            <v xml:space="preserve">    Director’s remuneration 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A119">
            <v>40006</v>
          </cell>
          <cell r="B119" t="str">
            <v xml:space="preserve">    Director’s emolument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A120">
            <v>40007</v>
          </cell>
          <cell r="B120" t="str">
            <v xml:space="preserve">    Exchange difference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A121">
            <v>40008</v>
          </cell>
          <cell r="B121" t="str">
            <v xml:space="preserve">    Entertainment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40009</v>
          </cell>
          <cell r="B122" t="str">
            <v xml:space="preserve">    General expenses</v>
          </cell>
          <cell r="F122">
            <v>150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150</v>
          </cell>
        </row>
        <row r="123">
          <cell r="A123">
            <v>40010</v>
          </cell>
          <cell r="B123" t="str">
            <v xml:space="preserve">    Insurance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A124">
            <v>40011</v>
          </cell>
          <cell r="B124" t="str">
            <v xml:space="preserve">    Medical expenses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40012</v>
          </cell>
          <cell r="B125" t="str">
            <v xml:space="preserve">    Office rental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A126">
            <v>40013</v>
          </cell>
          <cell r="B126" t="str">
            <v xml:space="preserve">    Postage and courier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A127">
            <v>40014</v>
          </cell>
          <cell r="B127" t="str">
            <v xml:space="preserve">    Printing and stationery 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A128">
            <v>40015</v>
          </cell>
          <cell r="B128" t="str">
            <v xml:space="preserve">    Professional fees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A129">
            <v>40016</v>
          </cell>
          <cell r="B129" t="str">
            <v xml:space="preserve">    Repair and maintenance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40017</v>
          </cell>
          <cell r="B130" t="str">
            <v xml:space="preserve">    Refreshments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A131">
            <v>40018</v>
          </cell>
          <cell r="B131" t="str">
            <v xml:space="preserve">    Secretarial fees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A132">
            <v>40019</v>
          </cell>
          <cell r="B132" t="str">
            <v xml:space="preserve">    Salaries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A133">
            <v>40020</v>
          </cell>
          <cell r="B133" t="str">
            <v xml:space="preserve">    Staff CPF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A134">
            <v>40021</v>
          </cell>
          <cell r="B134" t="str">
            <v xml:space="preserve">    Staff welfare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A135">
            <v>40022</v>
          </cell>
          <cell r="B135" t="str">
            <v xml:space="preserve">    Subscriptions and renewals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A136">
            <v>40023</v>
          </cell>
          <cell r="B136" t="str">
            <v xml:space="preserve">    Telephone and telex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A137">
            <v>40024</v>
          </cell>
          <cell r="B137" t="str">
            <v xml:space="preserve">    Transport expenses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A138">
            <v>40025</v>
          </cell>
          <cell r="B138" t="str">
            <v xml:space="preserve">    Travelling expenses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A139">
            <v>40026</v>
          </cell>
          <cell r="B139" t="str">
            <v xml:space="preserve">    Upkeep of motor vehicle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40027</v>
          </cell>
          <cell r="B140" t="str">
            <v xml:space="preserve">    Upkeep of office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A141">
            <v>40028</v>
          </cell>
          <cell r="B141" t="str">
            <v xml:space="preserve">    Water and electricity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40000</v>
          </cell>
          <cell r="F144">
            <v>150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150</v>
          </cell>
        </row>
        <row r="145">
          <cell r="B145" t="str">
            <v>OTHER OPERATING EXPENSES</v>
          </cell>
          <cell r="K145">
            <v>0</v>
          </cell>
        </row>
        <row r="146">
          <cell r="A146">
            <v>50001</v>
          </cell>
          <cell r="B146" t="str">
            <v xml:space="preserve">    Provision for doubtful debts written off/(back) - trade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A147">
            <v>50002</v>
          </cell>
          <cell r="B147" t="str">
            <v xml:space="preserve">    Provision for diminution in value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A148">
            <v>50003</v>
          </cell>
          <cell r="B148" t="str">
            <v xml:space="preserve">    Other operating expenses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A149">
            <v>50000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FINANCE COSTS</v>
          </cell>
          <cell r="K150">
            <v>0</v>
          </cell>
        </row>
        <row r="151">
          <cell r="A151">
            <v>60001</v>
          </cell>
          <cell r="B151" t="str">
            <v xml:space="preserve">     Bank charges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A152">
            <v>60002</v>
          </cell>
          <cell r="B152" t="str">
            <v xml:space="preserve">     Hire Purhcase interest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A153">
            <v>60000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(LOSS)/ PROFIT for the year before taxation</v>
          </cell>
          <cell r="F154">
            <v>868.92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868.92</v>
          </cell>
        </row>
        <row r="155">
          <cell r="A155">
            <v>70001</v>
          </cell>
          <cell r="B155" t="str">
            <v xml:space="preserve">   Taxation- current year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A156">
            <v>70002</v>
          </cell>
          <cell r="B156" t="str">
            <v xml:space="preserve">   Taxation-over/under PY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A157">
            <v>70003</v>
          </cell>
          <cell r="B157" t="str">
            <v xml:space="preserve">   Taxation-Def tax transfer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A158">
            <v>70000</v>
          </cell>
          <cell r="B158" t="str">
            <v>Taxation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PROFIT for the year after taxation</v>
          </cell>
          <cell r="F159">
            <v>868.92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868.92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llet_Semen Riject"/>
      <sheetName val="Kendaraan"/>
      <sheetName val="Sheet5"/>
      <sheetName val="RM"/>
      <sheetName val="Customer Code"/>
      <sheetName val="Area"/>
      <sheetName val="jarak"/>
      <sheetName val="CK"/>
      <sheetName val="Sheet1"/>
      <sheetName val="Order_Luar"/>
      <sheetName val="Pricing"/>
      <sheetName val="Laporan"/>
      <sheetName val="Tabel_1"/>
      <sheetName val="Tabel_2"/>
      <sheetName val="Sheet2"/>
      <sheetName val="Bag"/>
      <sheetName val="Sheet3"/>
      <sheetName val="Sheet4"/>
    </sheetNames>
    <sheetDataSet>
      <sheetData sheetId="0"/>
      <sheetData sheetId="1"/>
      <sheetData sheetId="2"/>
      <sheetData sheetId="3" refreshError="1"/>
      <sheetData sheetId="4" refreshError="1">
        <row r="2">
          <cell r="A2">
            <v>0</v>
          </cell>
        </row>
        <row r="3">
          <cell r="A3">
            <v>8656386</v>
          </cell>
        </row>
        <row r="4">
          <cell r="A4">
            <v>8623043</v>
          </cell>
        </row>
        <row r="5">
          <cell r="A5">
            <v>8651804</v>
          </cell>
        </row>
        <row r="6">
          <cell r="A6">
            <v>8651827</v>
          </cell>
        </row>
        <row r="7">
          <cell r="A7">
            <v>8657915</v>
          </cell>
        </row>
        <row r="8">
          <cell r="A8">
            <v>8662888</v>
          </cell>
        </row>
        <row r="9">
          <cell r="A9">
            <v>8662873</v>
          </cell>
        </row>
        <row r="10">
          <cell r="A10">
            <v>8662988</v>
          </cell>
        </row>
        <row r="11">
          <cell r="A11">
            <v>8659579</v>
          </cell>
        </row>
        <row r="12">
          <cell r="A12">
            <v>8663030</v>
          </cell>
        </row>
        <row r="13">
          <cell r="A13">
            <v>8663015</v>
          </cell>
        </row>
        <row r="14">
          <cell r="A14">
            <v>8661368</v>
          </cell>
        </row>
        <row r="15">
          <cell r="A15">
            <v>8663068</v>
          </cell>
        </row>
        <row r="16">
          <cell r="A16">
            <v>8646674</v>
          </cell>
        </row>
        <row r="17">
          <cell r="A17">
            <v>8663109</v>
          </cell>
        </row>
        <row r="18">
          <cell r="A18">
            <v>8636738</v>
          </cell>
        </row>
        <row r="19">
          <cell r="A19">
            <v>8663192</v>
          </cell>
        </row>
        <row r="20">
          <cell r="A20">
            <v>8663208</v>
          </cell>
        </row>
        <row r="21">
          <cell r="A21">
            <v>8663239</v>
          </cell>
        </row>
        <row r="22">
          <cell r="A22">
            <v>8663238</v>
          </cell>
        </row>
        <row r="23">
          <cell r="A23">
            <v>8663272</v>
          </cell>
        </row>
        <row r="24">
          <cell r="A24">
            <v>8662126</v>
          </cell>
        </row>
        <row r="25">
          <cell r="A25">
            <v>8663286</v>
          </cell>
        </row>
        <row r="26">
          <cell r="A26">
            <v>8663299</v>
          </cell>
        </row>
        <row r="27">
          <cell r="A27">
            <v>8663314</v>
          </cell>
        </row>
        <row r="28">
          <cell r="A28">
            <v>8663322</v>
          </cell>
        </row>
        <row r="29">
          <cell r="A29">
            <v>8663329</v>
          </cell>
        </row>
        <row r="30">
          <cell r="A30">
            <v>8648376</v>
          </cell>
        </row>
        <row r="31">
          <cell r="A31">
            <v>8663365</v>
          </cell>
        </row>
        <row r="32">
          <cell r="A32">
            <v>8663371</v>
          </cell>
        </row>
        <row r="33">
          <cell r="A33">
            <v>8663350</v>
          </cell>
        </row>
        <row r="34">
          <cell r="A34">
            <v>8662068</v>
          </cell>
        </row>
        <row r="35">
          <cell r="A35">
            <v>8663665</v>
          </cell>
        </row>
        <row r="36">
          <cell r="A36">
            <v>8663658</v>
          </cell>
        </row>
        <row r="37">
          <cell r="A37">
            <v>8663681</v>
          </cell>
        </row>
        <row r="38">
          <cell r="A38">
            <v>8663696</v>
          </cell>
        </row>
        <row r="39">
          <cell r="A39">
            <v>8663700</v>
          </cell>
        </row>
        <row r="40">
          <cell r="A40">
            <v>8663430</v>
          </cell>
        </row>
        <row r="41">
          <cell r="A41">
            <v>8637661</v>
          </cell>
        </row>
        <row r="42">
          <cell r="A42">
            <v>8669288</v>
          </cell>
        </row>
        <row r="43">
          <cell r="A43">
            <v>8639264</v>
          </cell>
        </row>
        <row r="44">
          <cell r="A44">
            <v>8663753</v>
          </cell>
        </row>
        <row r="45">
          <cell r="A45">
            <v>8663680</v>
          </cell>
        </row>
        <row r="46">
          <cell r="A46">
            <v>8662314</v>
          </cell>
        </row>
        <row r="47">
          <cell r="A47">
            <v>8663797</v>
          </cell>
        </row>
        <row r="48">
          <cell r="A48">
            <v>8663789</v>
          </cell>
        </row>
        <row r="49">
          <cell r="A49">
            <v>8663788</v>
          </cell>
        </row>
        <row r="50">
          <cell r="A50">
            <v>8663906</v>
          </cell>
        </row>
        <row r="51">
          <cell r="A51">
            <v>8636723</v>
          </cell>
        </row>
        <row r="52">
          <cell r="A52">
            <v>8663791</v>
          </cell>
        </row>
        <row r="53">
          <cell r="A53">
            <v>8664046</v>
          </cell>
        </row>
        <row r="54">
          <cell r="A54">
            <v>8664036</v>
          </cell>
        </row>
        <row r="55">
          <cell r="A55">
            <v>8606783</v>
          </cell>
        </row>
        <row r="56">
          <cell r="A56">
            <v>8601223</v>
          </cell>
        </row>
        <row r="57">
          <cell r="A57">
            <v>8600550</v>
          </cell>
        </row>
        <row r="58">
          <cell r="A58">
            <v>8601413</v>
          </cell>
        </row>
        <row r="59">
          <cell r="A59">
            <v>8604644</v>
          </cell>
        </row>
        <row r="60">
          <cell r="A60">
            <v>8662967</v>
          </cell>
        </row>
        <row r="61">
          <cell r="A61">
            <v>8664144</v>
          </cell>
        </row>
        <row r="62">
          <cell r="A62">
            <v>8601001</v>
          </cell>
        </row>
        <row r="63">
          <cell r="A63">
            <v>8648552</v>
          </cell>
        </row>
        <row r="64">
          <cell r="A64">
            <v>8629485</v>
          </cell>
        </row>
        <row r="65">
          <cell r="A65">
            <v>8664252</v>
          </cell>
        </row>
        <row r="66">
          <cell r="A66">
            <v>8601649</v>
          </cell>
        </row>
        <row r="67">
          <cell r="A67">
            <v>8602014</v>
          </cell>
        </row>
        <row r="68">
          <cell r="A68">
            <v>8616327</v>
          </cell>
        </row>
        <row r="69">
          <cell r="A69">
            <v>8624622</v>
          </cell>
        </row>
        <row r="70">
          <cell r="A70">
            <v>8626392</v>
          </cell>
        </row>
        <row r="71">
          <cell r="A71">
            <v>8630104</v>
          </cell>
        </row>
        <row r="72">
          <cell r="A72">
            <v>8643388</v>
          </cell>
        </row>
        <row r="73">
          <cell r="A73">
            <v>8652646</v>
          </cell>
        </row>
        <row r="74">
          <cell r="A74">
            <v>8653787</v>
          </cell>
        </row>
        <row r="75">
          <cell r="A75">
            <v>8654816</v>
          </cell>
        </row>
        <row r="76">
          <cell r="A76">
            <v>8657053</v>
          </cell>
        </row>
        <row r="77">
          <cell r="A77">
            <v>8662254</v>
          </cell>
        </row>
        <row r="78">
          <cell r="A78">
            <v>8662364</v>
          </cell>
        </row>
        <row r="79">
          <cell r="A79">
            <v>8662693</v>
          </cell>
        </row>
        <row r="80">
          <cell r="A80">
            <v>8663707</v>
          </cell>
        </row>
        <row r="81">
          <cell r="A81">
            <v>8664316</v>
          </cell>
        </row>
        <row r="82">
          <cell r="A82">
            <v>8664369</v>
          </cell>
        </row>
        <row r="83">
          <cell r="A83">
            <v>8664392</v>
          </cell>
        </row>
        <row r="84">
          <cell r="A84">
            <v>8664408</v>
          </cell>
        </row>
        <row r="85">
          <cell r="A85">
            <v>8664431</v>
          </cell>
        </row>
        <row r="86">
          <cell r="A86">
            <v>8664544</v>
          </cell>
        </row>
        <row r="87">
          <cell r="A87">
            <v>8664613</v>
          </cell>
        </row>
        <row r="88">
          <cell r="A88">
            <v>8664644</v>
          </cell>
        </row>
        <row r="89">
          <cell r="A89">
            <v>8664675</v>
          </cell>
        </row>
        <row r="90">
          <cell r="A90">
            <v>8664756</v>
          </cell>
        </row>
        <row r="91">
          <cell r="A91">
            <v>8664879</v>
          </cell>
        </row>
        <row r="92">
          <cell r="A92">
            <v>8664880</v>
          </cell>
        </row>
        <row r="93">
          <cell r="A93">
            <v>8664882</v>
          </cell>
        </row>
        <row r="94">
          <cell r="A94">
            <v>8664939</v>
          </cell>
        </row>
        <row r="95">
          <cell r="A95">
            <v>8664948</v>
          </cell>
        </row>
        <row r="96">
          <cell r="A96">
            <v>8664982</v>
          </cell>
        </row>
        <row r="97">
          <cell r="A97">
            <v>9663208</v>
          </cell>
        </row>
        <row r="98">
          <cell r="A98">
            <v>86544478</v>
          </cell>
        </row>
        <row r="99">
          <cell r="A99">
            <v>8665044</v>
          </cell>
        </row>
        <row r="100">
          <cell r="A100">
            <v>8665053</v>
          </cell>
        </row>
        <row r="101">
          <cell r="A101">
            <v>8665077</v>
          </cell>
        </row>
        <row r="102">
          <cell r="A102">
            <v>8665058</v>
          </cell>
        </row>
        <row r="103">
          <cell r="A103">
            <v>8665057</v>
          </cell>
        </row>
        <row r="104">
          <cell r="A104">
            <v>8665146</v>
          </cell>
        </row>
        <row r="105">
          <cell r="A105">
            <v>8665208</v>
          </cell>
        </row>
        <row r="106">
          <cell r="A106">
            <v>8665209</v>
          </cell>
        </row>
        <row r="107">
          <cell r="A107">
            <v>8665175</v>
          </cell>
        </row>
        <row r="108">
          <cell r="A108">
            <v>8655147</v>
          </cell>
        </row>
        <row r="109">
          <cell r="A109">
            <v>8665268</v>
          </cell>
        </row>
        <row r="110">
          <cell r="A110">
            <v>8665351</v>
          </cell>
        </row>
        <row r="111">
          <cell r="A111">
            <v>8665393</v>
          </cell>
        </row>
        <row r="112">
          <cell r="A112">
            <v>8665454</v>
          </cell>
        </row>
        <row r="113">
          <cell r="A113">
            <v>8665696</v>
          </cell>
        </row>
        <row r="114">
          <cell r="A114">
            <v>8665701</v>
          </cell>
        </row>
        <row r="115">
          <cell r="A115">
            <v>8665725</v>
          </cell>
        </row>
        <row r="116">
          <cell r="A116">
            <v>8665726</v>
          </cell>
        </row>
        <row r="117">
          <cell r="A117">
            <v>8665703</v>
          </cell>
        </row>
        <row r="118">
          <cell r="A118">
            <v>8664931</v>
          </cell>
        </row>
        <row r="119">
          <cell r="A119">
            <v>8665668</v>
          </cell>
        </row>
        <row r="120">
          <cell r="A120">
            <v>8665789</v>
          </cell>
        </row>
        <row r="121">
          <cell r="A121">
            <v>8665914</v>
          </cell>
        </row>
        <row r="122">
          <cell r="A122">
            <v>8663053</v>
          </cell>
        </row>
        <row r="123">
          <cell r="A123">
            <v>8665926</v>
          </cell>
        </row>
        <row r="124">
          <cell r="A124">
            <v>8665928</v>
          </cell>
        </row>
        <row r="125">
          <cell r="A125">
            <v>8630473</v>
          </cell>
        </row>
        <row r="126">
          <cell r="A126">
            <v>8665997</v>
          </cell>
        </row>
        <row r="127">
          <cell r="A127">
            <v>8666033</v>
          </cell>
        </row>
        <row r="128">
          <cell r="A128">
            <v>8666114</v>
          </cell>
        </row>
        <row r="129">
          <cell r="A129">
            <v>8666112</v>
          </cell>
        </row>
        <row r="130">
          <cell r="A130">
            <v>8666113</v>
          </cell>
        </row>
        <row r="131">
          <cell r="A131">
            <v>8666110</v>
          </cell>
        </row>
        <row r="132">
          <cell r="A132">
            <v>8666116</v>
          </cell>
        </row>
        <row r="133">
          <cell r="A133">
            <v>8666117</v>
          </cell>
        </row>
        <row r="134">
          <cell r="A134">
            <v>8666052</v>
          </cell>
        </row>
        <row r="135">
          <cell r="A135">
            <v>8666254</v>
          </cell>
        </row>
        <row r="136">
          <cell r="A136">
            <v>8666197</v>
          </cell>
        </row>
        <row r="137">
          <cell r="A137">
            <v>8666032</v>
          </cell>
        </row>
        <row r="138">
          <cell r="A138">
            <v>8665951</v>
          </cell>
        </row>
        <row r="139">
          <cell r="A139">
            <v>8666399</v>
          </cell>
        </row>
        <row r="140">
          <cell r="A140">
            <v>8647016</v>
          </cell>
        </row>
        <row r="141">
          <cell r="A141">
            <v>8662397</v>
          </cell>
        </row>
        <row r="142">
          <cell r="A142">
            <v>8666545</v>
          </cell>
        </row>
        <row r="143">
          <cell r="A143">
            <v>8666816</v>
          </cell>
        </row>
        <row r="144">
          <cell r="A144">
            <v>8600973</v>
          </cell>
        </row>
        <row r="145">
          <cell r="A145">
            <v>8600217</v>
          </cell>
        </row>
        <row r="146">
          <cell r="A146">
            <v>8600060</v>
          </cell>
        </row>
        <row r="147">
          <cell r="A147">
            <v>8666966</v>
          </cell>
        </row>
        <row r="148">
          <cell r="A148">
            <v>8666971</v>
          </cell>
        </row>
        <row r="149">
          <cell r="A149">
            <v>8665147</v>
          </cell>
        </row>
        <row r="150">
          <cell r="A150">
            <v>8667035</v>
          </cell>
        </row>
        <row r="151">
          <cell r="A151">
            <v>8601019</v>
          </cell>
        </row>
        <row r="152">
          <cell r="A152">
            <v>8667047</v>
          </cell>
        </row>
        <row r="153">
          <cell r="A153">
            <v>8667105</v>
          </cell>
        </row>
        <row r="154">
          <cell r="A154">
            <v>8666997</v>
          </cell>
        </row>
        <row r="155">
          <cell r="A155">
            <v>86000840</v>
          </cell>
        </row>
        <row r="156">
          <cell r="A156">
            <v>8667166</v>
          </cell>
        </row>
        <row r="157">
          <cell r="A157">
            <v>8667093</v>
          </cell>
        </row>
        <row r="158">
          <cell r="A158">
            <v>8667210</v>
          </cell>
        </row>
        <row r="159">
          <cell r="A159">
            <v>8667161</v>
          </cell>
        </row>
        <row r="160">
          <cell r="A160">
            <v>8623216</v>
          </cell>
        </row>
        <row r="161">
          <cell r="A161">
            <v>8663076</v>
          </cell>
        </row>
        <row r="162">
          <cell r="A162">
            <v>8667269</v>
          </cell>
        </row>
        <row r="163">
          <cell r="A163">
            <v>8655482</v>
          </cell>
        </row>
        <row r="164">
          <cell r="A164">
            <v>8667464</v>
          </cell>
        </row>
        <row r="165">
          <cell r="A165">
            <v>8667378</v>
          </cell>
        </row>
        <row r="166">
          <cell r="A166">
            <v>8636652</v>
          </cell>
        </row>
        <row r="167">
          <cell r="A167">
            <v>8667408</v>
          </cell>
        </row>
        <row r="168">
          <cell r="A168">
            <v>8667492</v>
          </cell>
        </row>
        <row r="169">
          <cell r="A169">
            <v>8667504</v>
          </cell>
        </row>
        <row r="170">
          <cell r="A170">
            <v>8667499</v>
          </cell>
        </row>
        <row r="171">
          <cell r="A171">
            <v>8666508</v>
          </cell>
        </row>
        <row r="172">
          <cell r="A172">
            <v>8662872</v>
          </cell>
        </row>
        <row r="173">
          <cell r="A173">
            <v>8601618</v>
          </cell>
        </row>
        <row r="174">
          <cell r="A174">
            <v>8667553</v>
          </cell>
        </row>
        <row r="175">
          <cell r="A175">
            <v>8667538</v>
          </cell>
        </row>
        <row r="176">
          <cell r="A176">
            <v>8667568</v>
          </cell>
        </row>
        <row r="177">
          <cell r="A177">
            <v>8601726</v>
          </cell>
        </row>
        <row r="178">
          <cell r="A178">
            <v>8665157</v>
          </cell>
        </row>
        <row r="179">
          <cell r="A179">
            <v>8667606</v>
          </cell>
        </row>
        <row r="180">
          <cell r="A180">
            <v>8661474</v>
          </cell>
        </row>
        <row r="181">
          <cell r="A181">
            <v>8638975</v>
          </cell>
        </row>
        <row r="182">
          <cell r="A182">
            <v>8653431</v>
          </cell>
        </row>
        <row r="183">
          <cell r="A183">
            <v>8667647</v>
          </cell>
        </row>
        <row r="184">
          <cell r="A184">
            <v>8664304</v>
          </cell>
        </row>
        <row r="185">
          <cell r="A185">
            <v>8667632</v>
          </cell>
        </row>
        <row r="186">
          <cell r="A186">
            <v>8600467</v>
          </cell>
        </row>
        <row r="187">
          <cell r="A187">
            <v>8667581</v>
          </cell>
        </row>
        <row r="188">
          <cell r="A188">
            <v>8616212</v>
          </cell>
        </row>
        <row r="189">
          <cell r="A189">
            <v>8664448</v>
          </cell>
        </row>
        <row r="190">
          <cell r="A190">
            <v>8656407</v>
          </cell>
        </row>
        <row r="191">
          <cell r="A191">
            <v>8662418</v>
          </cell>
        </row>
        <row r="192">
          <cell r="A192">
            <v>8602286</v>
          </cell>
        </row>
        <row r="193">
          <cell r="A193">
            <v>8667724</v>
          </cell>
        </row>
        <row r="194">
          <cell r="A194">
            <v>8667693</v>
          </cell>
        </row>
        <row r="195">
          <cell r="A195">
            <v>8665983</v>
          </cell>
        </row>
        <row r="196">
          <cell r="A196">
            <v>8630370</v>
          </cell>
        </row>
        <row r="197">
          <cell r="A197">
            <v>8634731</v>
          </cell>
        </row>
        <row r="198">
          <cell r="A198">
            <v>8667885</v>
          </cell>
        </row>
        <row r="199">
          <cell r="A199">
            <v>8667139</v>
          </cell>
        </row>
        <row r="200">
          <cell r="A200">
            <v>8653494</v>
          </cell>
        </row>
        <row r="201">
          <cell r="A201">
            <v>8666503</v>
          </cell>
        </row>
        <row r="202">
          <cell r="A202">
            <v>8612625</v>
          </cell>
        </row>
        <row r="203">
          <cell r="A203">
            <v>8601451</v>
          </cell>
        </row>
        <row r="204">
          <cell r="A204">
            <v>8602751</v>
          </cell>
        </row>
        <row r="205">
          <cell r="A205">
            <v>8618290</v>
          </cell>
        </row>
        <row r="206">
          <cell r="A206">
            <v>8636058</v>
          </cell>
        </row>
        <row r="207">
          <cell r="A207">
            <v>8642878</v>
          </cell>
        </row>
        <row r="208">
          <cell r="A208">
            <v>8643660</v>
          </cell>
        </row>
        <row r="209">
          <cell r="A209">
            <v>8656267</v>
          </cell>
        </row>
        <row r="210">
          <cell r="A210">
            <v>8657966</v>
          </cell>
        </row>
        <row r="211">
          <cell r="A211">
            <v>8663623</v>
          </cell>
        </row>
        <row r="212">
          <cell r="A212">
            <v>8664277</v>
          </cell>
        </row>
        <row r="213">
          <cell r="A213">
            <v>8664280</v>
          </cell>
        </row>
        <row r="214">
          <cell r="A214">
            <v>8664294</v>
          </cell>
        </row>
        <row r="215">
          <cell r="A215">
            <v>8664839</v>
          </cell>
        </row>
        <row r="216">
          <cell r="A216">
            <v>8665784</v>
          </cell>
        </row>
        <row r="217">
          <cell r="A217">
            <v>8666453</v>
          </cell>
        </row>
        <row r="218">
          <cell r="A218">
            <v>8666505</v>
          </cell>
        </row>
        <row r="219">
          <cell r="A219">
            <v>8667135</v>
          </cell>
        </row>
        <row r="220">
          <cell r="A220">
            <v>8667689</v>
          </cell>
        </row>
        <row r="221">
          <cell r="A221">
            <v>8667690</v>
          </cell>
        </row>
        <row r="222">
          <cell r="A222">
            <v>8667936</v>
          </cell>
        </row>
        <row r="223">
          <cell r="A223">
            <v>8667960</v>
          </cell>
        </row>
        <row r="224">
          <cell r="A224">
            <v>8668044</v>
          </cell>
        </row>
        <row r="225">
          <cell r="A225">
            <v>8668105</v>
          </cell>
        </row>
        <row r="226">
          <cell r="A226">
            <v>8668129</v>
          </cell>
        </row>
        <row r="227">
          <cell r="A227">
            <v>8668189</v>
          </cell>
        </row>
        <row r="228">
          <cell r="A228">
            <v>8668219</v>
          </cell>
        </row>
        <row r="229">
          <cell r="A229">
            <v>8668222</v>
          </cell>
        </row>
        <row r="230">
          <cell r="A230">
            <v>8668256</v>
          </cell>
        </row>
        <row r="231">
          <cell r="A231">
            <v>8668300</v>
          </cell>
        </row>
        <row r="232">
          <cell r="A232">
            <v>8668313</v>
          </cell>
        </row>
        <row r="233">
          <cell r="A233">
            <v>8668333</v>
          </cell>
        </row>
        <row r="234">
          <cell r="A234">
            <v>8668385</v>
          </cell>
        </row>
        <row r="235">
          <cell r="A235">
            <v>8668618</v>
          </cell>
        </row>
        <row r="236">
          <cell r="A236">
            <v>8668667</v>
          </cell>
        </row>
        <row r="237">
          <cell r="A237">
            <v>836353</v>
          </cell>
        </row>
        <row r="238">
          <cell r="A238">
            <v>8654112</v>
          </cell>
        </row>
        <row r="239">
          <cell r="A239">
            <v>8656974</v>
          </cell>
        </row>
        <row r="240">
          <cell r="A240">
            <v>8668882</v>
          </cell>
        </row>
        <row r="241">
          <cell r="A241">
            <v>8668914</v>
          </cell>
        </row>
        <row r="242">
          <cell r="A242">
            <v>8668922</v>
          </cell>
        </row>
        <row r="243">
          <cell r="A243">
            <v>8667935</v>
          </cell>
        </row>
        <row r="244">
          <cell r="A244">
            <v>8668107</v>
          </cell>
        </row>
        <row r="245">
          <cell r="A245">
            <v>8668370</v>
          </cell>
        </row>
        <row r="246">
          <cell r="A246">
            <v>8667904</v>
          </cell>
        </row>
        <row r="247">
          <cell r="A247">
            <v>8669002</v>
          </cell>
        </row>
        <row r="248">
          <cell r="A248">
            <v>8669029</v>
          </cell>
        </row>
        <row r="249">
          <cell r="A249">
            <v>8621142</v>
          </cell>
        </row>
        <row r="250">
          <cell r="A250">
            <v>8628917</v>
          </cell>
        </row>
        <row r="251">
          <cell r="A251">
            <v>8667896</v>
          </cell>
        </row>
        <row r="252">
          <cell r="A252">
            <v>8669116</v>
          </cell>
        </row>
        <row r="253">
          <cell r="A253">
            <v>8600860</v>
          </cell>
        </row>
        <row r="254">
          <cell r="A254">
            <v>8658178</v>
          </cell>
        </row>
        <row r="255">
          <cell r="A255">
            <v>8654128</v>
          </cell>
        </row>
        <row r="256">
          <cell r="A256">
            <v>8669150</v>
          </cell>
        </row>
        <row r="257">
          <cell r="A257">
            <v>8669234</v>
          </cell>
        </row>
        <row r="258">
          <cell r="A258">
            <v>8667596</v>
          </cell>
        </row>
        <row r="259">
          <cell r="A259">
            <v>8667590</v>
          </cell>
        </row>
        <row r="260">
          <cell r="A260">
            <v>8669275</v>
          </cell>
        </row>
        <row r="261">
          <cell r="A261">
            <v>8654218</v>
          </cell>
        </row>
        <row r="262">
          <cell r="A262">
            <v>8110190</v>
          </cell>
        </row>
        <row r="263">
          <cell r="A263">
            <v>8668782</v>
          </cell>
        </row>
        <row r="264">
          <cell r="A264">
            <v>8612898</v>
          </cell>
        </row>
        <row r="265">
          <cell r="A265">
            <v>8600741</v>
          </cell>
        </row>
        <row r="266">
          <cell r="A266">
            <v>8669447</v>
          </cell>
        </row>
        <row r="267">
          <cell r="A267">
            <v>8634017</v>
          </cell>
        </row>
        <row r="268">
          <cell r="A268">
            <v>8668524</v>
          </cell>
        </row>
        <row r="269">
          <cell r="A269">
            <v>8669561</v>
          </cell>
        </row>
        <row r="270">
          <cell r="A270">
            <v>8624082</v>
          </cell>
        </row>
        <row r="271">
          <cell r="A271">
            <v>8632191</v>
          </cell>
        </row>
        <row r="272">
          <cell r="A272">
            <v>8600329</v>
          </cell>
        </row>
        <row r="273">
          <cell r="A273">
            <v>8602690</v>
          </cell>
        </row>
        <row r="274">
          <cell r="A274">
            <v>8626391</v>
          </cell>
        </row>
        <row r="275">
          <cell r="A275">
            <v>8669473</v>
          </cell>
        </row>
        <row r="276">
          <cell r="A276">
            <v>8669429</v>
          </cell>
        </row>
        <row r="277">
          <cell r="A277">
            <v>8669222</v>
          </cell>
        </row>
        <row r="278">
          <cell r="A278">
            <v>8669541</v>
          </cell>
        </row>
        <row r="279">
          <cell r="A279">
            <v>8632827</v>
          </cell>
        </row>
        <row r="280">
          <cell r="A280">
            <v>8638364</v>
          </cell>
        </row>
        <row r="281">
          <cell r="A281">
            <v>8669734</v>
          </cell>
        </row>
        <row r="282">
          <cell r="A282">
            <v>8113708</v>
          </cell>
        </row>
        <row r="283">
          <cell r="A283">
            <v>8669679</v>
          </cell>
        </row>
        <row r="284">
          <cell r="A284">
            <v>8669748</v>
          </cell>
        </row>
        <row r="285">
          <cell r="A285">
            <v>8669731</v>
          </cell>
        </row>
        <row r="286">
          <cell r="A286">
            <v>8621773</v>
          </cell>
        </row>
        <row r="287">
          <cell r="A287">
            <v>8621772</v>
          </cell>
        </row>
        <row r="288">
          <cell r="A288">
            <v>8615070</v>
          </cell>
        </row>
        <row r="289">
          <cell r="A289">
            <v>8621854</v>
          </cell>
        </row>
        <row r="290">
          <cell r="A290">
            <v>8662623</v>
          </cell>
        </row>
        <row r="291">
          <cell r="A291">
            <v>8620194</v>
          </cell>
        </row>
        <row r="292">
          <cell r="A292">
            <v>8631320</v>
          </cell>
        </row>
        <row r="293">
          <cell r="A293">
            <v>8616499</v>
          </cell>
        </row>
        <row r="294">
          <cell r="A294">
            <v>8634863</v>
          </cell>
        </row>
        <row r="295">
          <cell r="A295">
            <v>8620191</v>
          </cell>
        </row>
        <row r="296">
          <cell r="A296">
            <v>8600556</v>
          </cell>
        </row>
        <row r="297">
          <cell r="A297">
            <v>8631828</v>
          </cell>
        </row>
        <row r="298">
          <cell r="A298">
            <v>8620404</v>
          </cell>
        </row>
        <row r="299">
          <cell r="A299">
            <v>8664947</v>
          </cell>
        </row>
        <row r="300">
          <cell r="A300">
            <v>8656261</v>
          </cell>
        </row>
        <row r="301">
          <cell r="A301">
            <v>8659565</v>
          </cell>
        </row>
        <row r="302">
          <cell r="A302">
            <v>8654678</v>
          </cell>
        </row>
        <row r="303">
          <cell r="A303">
            <v>8662894</v>
          </cell>
        </row>
        <row r="304">
          <cell r="A304">
            <v>8663399</v>
          </cell>
        </row>
        <row r="305">
          <cell r="A305">
            <v>8621905</v>
          </cell>
        </row>
        <row r="306">
          <cell r="A306">
            <v>8669618</v>
          </cell>
        </row>
        <row r="307">
          <cell r="A307">
            <v>8653948</v>
          </cell>
        </row>
        <row r="308">
          <cell r="A308">
            <v>8655981</v>
          </cell>
        </row>
        <row r="309">
          <cell r="A309">
            <v>8669898</v>
          </cell>
        </row>
        <row r="310">
          <cell r="A310">
            <v>8663397</v>
          </cell>
        </row>
        <row r="311">
          <cell r="A311">
            <v>8657765</v>
          </cell>
        </row>
        <row r="312">
          <cell r="A312">
            <v>8601540</v>
          </cell>
        </row>
        <row r="313">
          <cell r="A313">
            <v>8654850</v>
          </cell>
        </row>
        <row r="314">
          <cell r="A314">
            <v>8669286</v>
          </cell>
        </row>
        <row r="315">
          <cell r="A315">
            <v>8669945</v>
          </cell>
        </row>
        <row r="316">
          <cell r="A316">
            <v>8670062</v>
          </cell>
        </row>
        <row r="317">
          <cell r="A317">
            <v>8670043</v>
          </cell>
        </row>
        <row r="318">
          <cell r="A318">
            <v>8668779</v>
          </cell>
        </row>
        <row r="319">
          <cell r="A319">
            <v>8668486</v>
          </cell>
        </row>
        <row r="320">
          <cell r="A320">
            <v>8670265</v>
          </cell>
        </row>
        <row r="321">
          <cell r="A321">
            <v>8662903</v>
          </cell>
        </row>
        <row r="322">
          <cell r="A322">
            <v>8603697</v>
          </cell>
        </row>
        <row r="323">
          <cell r="A323">
            <v>8653522</v>
          </cell>
        </row>
        <row r="324">
          <cell r="A324">
            <v>8670372</v>
          </cell>
        </row>
        <row r="325">
          <cell r="A325">
            <v>8669911</v>
          </cell>
        </row>
        <row r="326">
          <cell r="A326">
            <v>8664270</v>
          </cell>
        </row>
        <row r="327">
          <cell r="A327">
            <v>8669545</v>
          </cell>
        </row>
        <row r="328">
          <cell r="A328">
            <v>8648635</v>
          </cell>
        </row>
        <row r="329">
          <cell r="A329">
            <v>8670351</v>
          </cell>
        </row>
        <row r="330">
          <cell r="A330">
            <v>8663680</v>
          </cell>
        </row>
        <row r="331">
          <cell r="A331">
            <v>8663681</v>
          </cell>
        </row>
        <row r="332">
          <cell r="A332">
            <v>8668914</v>
          </cell>
        </row>
        <row r="333">
          <cell r="A333">
            <v>8666508</v>
          </cell>
        </row>
        <row r="334">
          <cell r="A334">
            <v>8602751</v>
          </cell>
        </row>
        <row r="335">
          <cell r="A335">
            <v>8657125</v>
          </cell>
        </row>
        <row r="336">
          <cell r="A336">
            <v>8648700</v>
          </cell>
        </row>
        <row r="337">
          <cell r="A337">
            <v>8654781</v>
          </cell>
        </row>
        <row r="338">
          <cell r="A338">
            <v>8657966</v>
          </cell>
        </row>
        <row r="339">
          <cell r="A339">
            <v>8669029</v>
          </cell>
        </row>
        <row r="340">
          <cell r="A340">
            <v>8600512</v>
          </cell>
        </row>
        <row r="341">
          <cell r="A341">
            <v>8664931</v>
          </cell>
        </row>
        <row r="342">
          <cell r="A342">
            <v>8669002</v>
          </cell>
        </row>
        <row r="343">
          <cell r="A343">
            <v>8668180</v>
          </cell>
        </row>
        <row r="344">
          <cell r="A344">
            <v>8667504</v>
          </cell>
        </row>
        <row r="345">
          <cell r="A345">
            <v>8668189</v>
          </cell>
        </row>
        <row r="346">
          <cell r="A346">
            <v>8668222</v>
          </cell>
        </row>
        <row r="347">
          <cell r="A347">
            <v>8666399</v>
          </cell>
        </row>
        <row r="348">
          <cell r="A348">
            <v>8661786</v>
          </cell>
        </row>
        <row r="349">
          <cell r="A349">
            <v>8670411</v>
          </cell>
        </row>
        <row r="350">
          <cell r="A350">
            <v>8659713</v>
          </cell>
        </row>
        <row r="351">
          <cell r="A351">
            <v>8670428</v>
          </cell>
        </row>
        <row r="352">
          <cell r="A352">
            <v>8662348</v>
          </cell>
        </row>
        <row r="353">
          <cell r="A353">
            <v>8670478</v>
          </cell>
        </row>
        <row r="354">
          <cell r="A354">
            <v>8668922</v>
          </cell>
        </row>
        <row r="355">
          <cell r="A355">
            <v>8670408</v>
          </cell>
        </row>
        <row r="356">
          <cell r="A356">
            <v>8659643</v>
          </cell>
        </row>
        <row r="357">
          <cell r="A357" t="str">
            <v>P9236</v>
          </cell>
        </row>
        <row r="358">
          <cell r="A358">
            <v>8670494</v>
          </cell>
        </row>
        <row r="359">
          <cell r="A359">
            <v>8670497</v>
          </cell>
        </row>
        <row r="360">
          <cell r="A360">
            <v>8670366</v>
          </cell>
        </row>
        <row r="361">
          <cell r="A361">
            <v>8670563</v>
          </cell>
        </row>
        <row r="362">
          <cell r="A362">
            <v>8601618</v>
          </cell>
        </row>
        <row r="363">
          <cell r="A363">
            <v>8615520</v>
          </cell>
        </row>
        <row r="1197">
          <cell r="A1197">
            <v>8654188</v>
          </cell>
        </row>
        <row r="1198">
          <cell r="A1198" t="str">
            <v>8654188-1</v>
          </cell>
        </row>
        <row r="1199">
          <cell r="A1199">
            <v>8662350</v>
          </cell>
        </row>
        <row r="1200">
          <cell r="A1200">
            <v>8662362</v>
          </cell>
        </row>
        <row r="1201">
          <cell r="A1201">
            <v>8662357</v>
          </cell>
        </row>
        <row r="1202">
          <cell r="A1202">
            <v>8658629</v>
          </cell>
        </row>
        <row r="1203">
          <cell r="A1203">
            <v>8657220</v>
          </cell>
        </row>
        <row r="1204">
          <cell r="A1204">
            <v>8655056</v>
          </cell>
        </row>
        <row r="1205">
          <cell r="A1205">
            <v>8662348</v>
          </cell>
        </row>
        <row r="1206">
          <cell r="A1206">
            <v>8662161</v>
          </cell>
        </row>
        <row r="1207">
          <cell r="A1207">
            <v>8659767</v>
          </cell>
        </row>
        <row r="1208">
          <cell r="A1208">
            <v>8662410</v>
          </cell>
        </row>
        <row r="1209">
          <cell r="A1209">
            <v>8662378</v>
          </cell>
        </row>
        <row r="1210">
          <cell r="A1210">
            <v>8662457</v>
          </cell>
        </row>
        <row r="1211">
          <cell r="A1211">
            <v>8603718</v>
          </cell>
        </row>
        <row r="1212">
          <cell r="A1212">
            <v>8662494</v>
          </cell>
        </row>
        <row r="1213">
          <cell r="A1213">
            <v>8662507</v>
          </cell>
        </row>
        <row r="1214">
          <cell r="A1214">
            <v>8662127</v>
          </cell>
        </row>
        <row r="1215">
          <cell r="A1215">
            <v>8662568</v>
          </cell>
        </row>
        <row r="1216">
          <cell r="A1216">
            <v>8662568</v>
          </cell>
        </row>
        <row r="1217">
          <cell r="A1217">
            <v>8662176</v>
          </cell>
        </row>
        <row r="1218">
          <cell r="A1218">
            <v>8662597</v>
          </cell>
        </row>
        <row r="1219">
          <cell r="A1219">
            <v>8662600</v>
          </cell>
        </row>
        <row r="1220">
          <cell r="A1220">
            <v>8661364</v>
          </cell>
        </row>
        <row r="1221">
          <cell r="A1221">
            <v>8662614</v>
          </cell>
        </row>
        <row r="1222">
          <cell r="A1222">
            <v>8662722</v>
          </cell>
        </row>
        <row r="1223">
          <cell r="A1223">
            <v>8662733</v>
          </cell>
        </row>
        <row r="1224">
          <cell r="A1224">
            <v>8662789</v>
          </cell>
        </row>
        <row r="1225">
          <cell r="A1225">
            <v>8662790</v>
          </cell>
        </row>
        <row r="1226">
          <cell r="A1226">
            <v>8635251</v>
          </cell>
        </row>
        <row r="1227">
          <cell r="A1227">
            <v>8607039</v>
          </cell>
        </row>
        <row r="1228">
          <cell r="A1228">
            <v>8640469</v>
          </cell>
        </row>
        <row r="1229">
          <cell r="A1229">
            <v>8644009</v>
          </cell>
        </row>
        <row r="1230">
          <cell r="A1230">
            <v>8647301</v>
          </cell>
        </row>
        <row r="1231">
          <cell r="A1231">
            <v>8656608</v>
          </cell>
        </row>
        <row r="1232">
          <cell r="A1232">
            <v>8659089</v>
          </cell>
        </row>
        <row r="1233">
          <cell r="A1233">
            <v>8659647</v>
          </cell>
        </row>
        <row r="1234">
          <cell r="A1234">
            <v>8660855</v>
          </cell>
        </row>
        <row r="1235">
          <cell r="A1235">
            <v>8661519</v>
          </cell>
        </row>
        <row r="1236">
          <cell r="A1236">
            <v>8661801</v>
          </cell>
        </row>
        <row r="1237">
          <cell r="A1237">
            <v>8661848</v>
          </cell>
        </row>
        <row r="1238">
          <cell r="A1238">
            <v>8661857</v>
          </cell>
        </row>
        <row r="1239">
          <cell r="A1239">
            <v>8661860</v>
          </cell>
        </row>
        <row r="1240">
          <cell r="A1240">
            <v>8661874</v>
          </cell>
        </row>
        <row r="1241">
          <cell r="A1241">
            <v>8661937</v>
          </cell>
        </row>
        <row r="1242">
          <cell r="A1242">
            <v>8661941</v>
          </cell>
        </row>
        <row r="1243">
          <cell r="A1243">
            <v>8661994</v>
          </cell>
        </row>
        <row r="1244">
          <cell r="A1244">
            <v>8662033</v>
          </cell>
        </row>
        <row r="1245">
          <cell r="A1245">
            <v>8662035</v>
          </cell>
        </row>
        <row r="1246">
          <cell r="A1246">
            <v>8662146</v>
          </cell>
        </row>
        <row r="1247">
          <cell r="A1247">
            <v>8662162</v>
          </cell>
        </row>
        <row r="1248">
          <cell r="A1248">
            <v>8662175</v>
          </cell>
        </row>
        <row r="1249">
          <cell r="A1249">
            <v>8662220</v>
          </cell>
        </row>
        <row r="1250">
          <cell r="A1250">
            <v>8662205</v>
          </cell>
        </row>
        <row r="1251">
          <cell r="A1251">
            <v>8662236</v>
          </cell>
        </row>
        <row r="1252">
          <cell r="A1252">
            <v>8654781</v>
          </cell>
        </row>
        <row r="1253">
          <cell r="A1253">
            <v>8662303</v>
          </cell>
        </row>
        <row r="1254">
          <cell r="A1254">
            <v>8659106</v>
          </cell>
        </row>
        <row r="1255">
          <cell r="A1255">
            <v>8600786</v>
          </cell>
        </row>
        <row r="1256">
          <cell r="A1256">
            <v>8655500</v>
          </cell>
        </row>
        <row r="1257">
          <cell r="A1257">
            <v>8600052</v>
          </cell>
        </row>
        <row r="1258">
          <cell r="A1258">
            <v>8652412</v>
          </cell>
        </row>
        <row r="1259">
          <cell r="A1259">
            <v>8656782</v>
          </cell>
        </row>
        <row r="1260">
          <cell r="A1260">
            <v>8608530</v>
          </cell>
        </row>
        <row r="1261">
          <cell r="A1261">
            <v>8661213</v>
          </cell>
        </row>
        <row r="1262">
          <cell r="A1262">
            <v>8653896</v>
          </cell>
        </row>
        <row r="1263">
          <cell r="A1263">
            <v>8654717</v>
          </cell>
        </row>
        <row r="1264">
          <cell r="A1264">
            <v>8608359</v>
          </cell>
        </row>
        <row r="1265">
          <cell r="A1265">
            <v>8627551</v>
          </cell>
        </row>
        <row r="1266">
          <cell r="A1266">
            <v>8606780</v>
          </cell>
        </row>
        <row r="1267">
          <cell r="A1267">
            <v>8606782</v>
          </cell>
        </row>
        <row r="1268">
          <cell r="A1268">
            <v>8606762</v>
          </cell>
        </row>
        <row r="1269">
          <cell r="A1269">
            <v>8631212</v>
          </cell>
        </row>
        <row r="1270">
          <cell r="A1270">
            <v>8601189</v>
          </cell>
        </row>
        <row r="1271">
          <cell r="A1271">
            <v>8654635</v>
          </cell>
        </row>
        <row r="1272">
          <cell r="A1272">
            <v>8653898</v>
          </cell>
        </row>
        <row r="1273">
          <cell r="A1273">
            <v>8655701</v>
          </cell>
        </row>
        <row r="1274">
          <cell r="A1274">
            <v>8626424</v>
          </cell>
        </row>
        <row r="1275">
          <cell r="A1275">
            <v>8630353</v>
          </cell>
        </row>
        <row r="1276">
          <cell r="A1276">
            <v>8632336</v>
          </cell>
        </row>
        <row r="1277">
          <cell r="A1277">
            <v>8630979</v>
          </cell>
        </row>
        <row r="1278">
          <cell r="A1278">
            <v>8644275</v>
          </cell>
        </row>
        <row r="1279">
          <cell r="A1279">
            <v>8644276</v>
          </cell>
        </row>
        <row r="1280">
          <cell r="A1280">
            <v>8629489</v>
          </cell>
        </row>
        <row r="1281">
          <cell r="A1281">
            <v>8655143</v>
          </cell>
        </row>
        <row r="1282">
          <cell r="A1282">
            <v>8659685</v>
          </cell>
        </row>
        <row r="1283">
          <cell r="A1283">
            <v>8632112</v>
          </cell>
        </row>
        <row r="1284">
          <cell r="A1284">
            <v>8638583</v>
          </cell>
        </row>
        <row r="1285">
          <cell r="A1285">
            <v>8648740</v>
          </cell>
        </row>
        <row r="1286">
          <cell r="A1286">
            <v>8633078</v>
          </cell>
        </row>
        <row r="1287">
          <cell r="A1287">
            <v>8631391</v>
          </cell>
        </row>
        <row r="1288">
          <cell r="A1288">
            <v>8633195</v>
          </cell>
        </row>
        <row r="1289">
          <cell r="A1289">
            <v>8620489</v>
          </cell>
        </row>
        <row r="1290">
          <cell r="A1290">
            <v>8658298</v>
          </cell>
        </row>
        <row r="1291">
          <cell r="A1291">
            <v>8646825</v>
          </cell>
        </row>
        <row r="1292">
          <cell r="A1292">
            <v>8655915</v>
          </cell>
        </row>
        <row r="1293">
          <cell r="A1293">
            <v>8640377</v>
          </cell>
        </row>
        <row r="1294">
          <cell r="A1294">
            <v>8661362</v>
          </cell>
        </row>
        <row r="1295">
          <cell r="A1295">
            <v>8651966</v>
          </cell>
        </row>
        <row r="1296">
          <cell r="A1296">
            <v>8650971</v>
          </cell>
        </row>
        <row r="1297">
          <cell r="A1297">
            <v>8633396</v>
          </cell>
        </row>
        <row r="1298">
          <cell r="A1298">
            <v>8656602</v>
          </cell>
        </row>
        <row r="1299">
          <cell r="A1299">
            <v>8647690</v>
          </cell>
        </row>
        <row r="1300">
          <cell r="A1300">
            <v>8615072</v>
          </cell>
        </row>
        <row r="1301">
          <cell r="A1301">
            <v>8633038</v>
          </cell>
        </row>
        <row r="1302">
          <cell r="A1302">
            <v>8654609</v>
          </cell>
        </row>
        <row r="1303">
          <cell r="A1303">
            <v>8642772</v>
          </cell>
        </row>
        <row r="1304">
          <cell r="A1304">
            <v>8652233</v>
          </cell>
        </row>
        <row r="1305">
          <cell r="A1305">
            <v>8648532</v>
          </cell>
        </row>
        <row r="1306">
          <cell r="A1306">
            <v>8652263</v>
          </cell>
        </row>
        <row r="1307">
          <cell r="A1307">
            <v>8661410</v>
          </cell>
        </row>
        <row r="1308">
          <cell r="A1308">
            <v>8645017</v>
          </cell>
        </row>
        <row r="1309">
          <cell r="A1309">
            <v>8654104</v>
          </cell>
        </row>
        <row r="1310">
          <cell r="A1310">
            <v>8644862</v>
          </cell>
        </row>
        <row r="1311">
          <cell r="A1311">
            <v>8639110</v>
          </cell>
        </row>
        <row r="1312">
          <cell r="A1312">
            <v>8651232</v>
          </cell>
        </row>
        <row r="1313">
          <cell r="A1313">
            <v>8660136</v>
          </cell>
        </row>
        <row r="1314">
          <cell r="A1314">
            <v>8615210</v>
          </cell>
        </row>
        <row r="1315">
          <cell r="A1315">
            <v>8647806</v>
          </cell>
        </row>
        <row r="1316">
          <cell r="A1316">
            <v>8652383</v>
          </cell>
        </row>
        <row r="1317">
          <cell r="A1317">
            <v>8651213</v>
          </cell>
        </row>
        <row r="1318">
          <cell r="A1318">
            <v>8659880</v>
          </cell>
        </row>
        <row r="1319">
          <cell r="A1319">
            <v>8660630</v>
          </cell>
        </row>
        <row r="1320">
          <cell r="A1320">
            <v>8659626</v>
          </cell>
        </row>
        <row r="1321">
          <cell r="A1321">
            <v>8659289</v>
          </cell>
        </row>
        <row r="1322">
          <cell r="A1322">
            <v>8641797</v>
          </cell>
        </row>
        <row r="1323">
          <cell r="A1323">
            <v>8639473</v>
          </cell>
        </row>
        <row r="1324">
          <cell r="A1324">
            <v>8600093</v>
          </cell>
        </row>
        <row r="1325">
          <cell r="A1325">
            <v>8600095</v>
          </cell>
        </row>
        <row r="1326">
          <cell r="A1326">
            <v>8647176</v>
          </cell>
        </row>
        <row r="1327">
          <cell r="A1327">
            <v>8659139</v>
          </cell>
        </row>
        <row r="1328">
          <cell r="A1328">
            <v>8660519</v>
          </cell>
        </row>
        <row r="1329">
          <cell r="A1329">
            <v>8657396</v>
          </cell>
        </row>
        <row r="1330">
          <cell r="A1330">
            <v>8612462</v>
          </cell>
        </row>
        <row r="1331">
          <cell r="A1331">
            <v>8651061</v>
          </cell>
        </row>
        <row r="1332">
          <cell r="A1332">
            <v>8654950</v>
          </cell>
        </row>
        <row r="1333">
          <cell r="A1333">
            <v>8654927</v>
          </cell>
        </row>
        <row r="1334">
          <cell r="A1334">
            <v>8655031</v>
          </cell>
        </row>
        <row r="1335">
          <cell r="A1335">
            <v>8648691</v>
          </cell>
        </row>
        <row r="1336">
          <cell r="A1336">
            <v>8627480</v>
          </cell>
        </row>
        <row r="1337">
          <cell r="A1337">
            <v>8637689</v>
          </cell>
        </row>
        <row r="1338">
          <cell r="A1338">
            <v>8632026</v>
          </cell>
        </row>
        <row r="1339">
          <cell r="A1339">
            <v>8656051</v>
          </cell>
        </row>
        <row r="1340">
          <cell r="A1340">
            <v>8630886</v>
          </cell>
        </row>
        <row r="1341">
          <cell r="A1341">
            <v>8643760</v>
          </cell>
        </row>
        <row r="1342">
          <cell r="A1342">
            <v>8635525</v>
          </cell>
        </row>
        <row r="1343">
          <cell r="A1343">
            <v>8600873</v>
          </cell>
        </row>
        <row r="1344">
          <cell r="A1344">
            <v>8645556</v>
          </cell>
        </row>
        <row r="1345">
          <cell r="A1345">
            <v>8652686</v>
          </cell>
        </row>
        <row r="1346">
          <cell r="A1346">
            <v>8634391</v>
          </cell>
        </row>
        <row r="1347">
          <cell r="A1347">
            <v>8653048</v>
          </cell>
        </row>
        <row r="1348">
          <cell r="A1348">
            <v>8659146</v>
          </cell>
        </row>
        <row r="1349">
          <cell r="A1349">
            <v>8654478</v>
          </cell>
        </row>
        <row r="1350">
          <cell r="A1350">
            <v>8654229</v>
          </cell>
        </row>
        <row r="1351">
          <cell r="A1351">
            <v>8645425</v>
          </cell>
        </row>
        <row r="1352">
          <cell r="A1352">
            <v>8652806</v>
          </cell>
        </row>
        <row r="1353">
          <cell r="A1353">
            <v>8653315</v>
          </cell>
        </row>
        <row r="1354">
          <cell r="A1354">
            <v>8601779</v>
          </cell>
        </row>
        <row r="1355">
          <cell r="A1355">
            <v>8620405</v>
          </cell>
        </row>
        <row r="1356">
          <cell r="A1356">
            <v>8651839</v>
          </cell>
        </row>
        <row r="1357">
          <cell r="A1357">
            <v>8623132</v>
          </cell>
        </row>
        <row r="1358">
          <cell r="A1358">
            <v>8616431</v>
          </cell>
        </row>
        <row r="1359">
          <cell r="A1359">
            <v>8652075</v>
          </cell>
        </row>
        <row r="1360">
          <cell r="A1360">
            <v>8616487</v>
          </cell>
        </row>
        <row r="1361">
          <cell r="A1361">
            <v>8656487</v>
          </cell>
        </row>
        <row r="1362">
          <cell r="A1362">
            <v>8616489</v>
          </cell>
        </row>
        <row r="1363">
          <cell r="A1363">
            <v>8600140</v>
          </cell>
        </row>
        <row r="1364">
          <cell r="A1364" t="str">
            <v>CK1</v>
          </cell>
        </row>
        <row r="1365">
          <cell r="A1365">
            <v>8622562</v>
          </cell>
        </row>
        <row r="1366">
          <cell r="A1366">
            <v>8659083</v>
          </cell>
        </row>
        <row r="1367">
          <cell r="A1367">
            <v>8647769</v>
          </cell>
        </row>
        <row r="1368">
          <cell r="A1368">
            <v>8608789</v>
          </cell>
        </row>
        <row r="1369">
          <cell r="A1369">
            <v>8634620</v>
          </cell>
        </row>
        <row r="1370">
          <cell r="A1370">
            <v>8655485</v>
          </cell>
        </row>
        <row r="1371">
          <cell r="A1371">
            <v>8638016</v>
          </cell>
        </row>
        <row r="1372">
          <cell r="A1372">
            <v>8640723</v>
          </cell>
        </row>
        <row r="1373">
          <cell r="A1373">
            <v>8600151</v>
          </cell>
        </row>
        <row r="1374">
          <cell r="A1374">
            <v>8638292</v>
          </cell>
        </row>
        <row r="1375">
          <cell r="A1375">
            <v>8626749</v>
          </cell>
        </row>
        <row r="1376">
          <cell r="A1376">
            <v>8625558</v>
          </cell>
        </row>
        <row r="1377">
          <cell r="A1377">
            <v>8651829</v>
          </cell>
        </row>
        <row r="1378">
          <cell r="A1378">
            <v>8601279</v>
          </cell>
        </row>
        <row r="1379">
          <cell r="A1379">
            <v>8661514</v>
          </cell>
        </row>
        <row r="1380">
          <cell r="A1380">
            <v>8609354</v>
          </cell>
        </row>
        <row r="1381">
          <cell r="A1381">
            <v>8644941</v>
          </cell>
        </row>
        <row r="1382">
          <cell r="A1382">
            <v>8645069</v>
          </cell>
        </row>
        <row r="1383">
          <cell r="A1383">
            <v>8648215</v>
          </cell>
        </row>
        <row r="1384">
          <cell r="A1384">
            <v>8656595</v>
          </cell>
        </row>
        <row r="1385">
          <cell r="A1385">
            <v>8633175</v>
          </cell>
        </row>
        <row r="1386">
          <cell r="A1386">
            <v>8657529</v>
          </cell>
        </row>
        <row r="1387">
          <cell r="A1387">
            <v>8645629</v>
          </cell>
        </row>
        <row r="1388">
          <cell r="A1388">
            <v>8635024</v>
          </cell>
        </row>
        <row r="1389">
          <cell r="A1389">
            <v>8657341</v>
          </cell>
        </row>
        <row r="1390">
          <cell r="A1390">
            <v>8651698</v>
          </cell>
        </row>
        <row r="1391">
          <cell r="A1391">
            <v>8659644</v>
          </cell>
        </row>
        <row r="1392">
          <cell r="A1392">
            <v>8601213</v>
          </cell>
        </row>
        <row r="1393">
          <cell r="A1393">
            <v>8660948</v>
          </cell>
        </row>
        <row r="1394">
          <cell r="A1394">
            <v>8646908</v>
          </cell>
        </row>
        <row r="1395">
          <cell r="A1395">
            <v>8655082</v>
          </cell>
        </row>
        <row r="1396">
          <cell r="A1396">
            <v>8603493</v>
          </cell>
        </row>
        <row r="1397">
          <cell r="A1397">
            <v>8658146</v>
          </cell>
        </row>
        <row r="1398">
          <cell r="A1398">
            <v>8632317</v>
          </cell>
        </row>
        <row r="1399">
          <cell r="A1399">
            <v>8645284</v>
          </cell>
        </row>
        <row r="1400">
          <cell r="A1400">
            <v>8629120</v>
          </cell>
        </row>
        <row r="1401">
          <cell r="A1401">
            <v>8652276</v>
          </cell>
        </row>
        <row r="1402">
          <cell r="A1402">
            <v>8652750</v>
          </cell>
        </row>
        <row r="1403">
          <cell r="A1403">
            <v>8652493</v>
          </cell>
        </row>
        <row r="1404">
          <cell r="A1404">
            <v>8601883</v>
          </cell>
        </row>
        <row r="1405">
          <cell r="A1405">
            <v>8616107</v>
          </cell>
        </row>
        <row r="1406">
          <cell r="A1406">
            <v>8659830</v>
          </cell>
        </row>
        <row r="1407">
          <cell r="A1407">
            <v>8658249</v>
          </cell>
        </row>
        <row r="1408">
          <cell r="A1408">
            <v>8648472</v>
          </cell>
        </row>
        <row r="1409">
          <cell r="A1409">
            <v>8621378</v>
          </cell>
        </row>
        <row r="1410">
          <cell r="A1410">
            <v>8647433</v>
          </cell>
        </row>
        <row r="1411">
          <cell r="A1411">
            <v>8630927</v>
          </cell>
        </row>
        <row r="1412">
          <cell r="A1412">
            <v>8621245</v>
          </cell>
        </row>
        <row r="1413">
          <cell r="A1413">
            <v>8632992</v>
          </cell>
        </row>
        <row r="1414">
          <cell r="A1414">
            <v>8601977</v>
          </cell>
        </row>
        <row r="1415">
          <cell r="A1415">
            <v>8600174</v>
          </cell>
        </row>
        <row r="1416">
          <cell r="A1416">
            <v>8615264</v>
          </cell>
        </row>
        <row r="1417">
          <cell r="A1417">
            <v>8651841</v>
          </cell>
        </row>
        <row r="1418">
          <cell r="A1418">
            <v>8602645</v>
          </cell>
        </row>
        <row r="1419">
          <cell r="A1419">
            <v>8654105</v>
          </cell>
        </row>
        <row r="1420">
          <cell r="A1420">
            <v>8600994</v>
          </cell>
        </row>
        <row r="1421">
          <cell r="A1421">
            <v>8640177</v>
          </cell>
        </row>
        <row r="1422">
          <cell r="A1422">
            <v>8601653</v>
          </cell>
        </row>
        <row r="1423">
          <cell r="A1423">
            <v>8631683</v>
          </cell>
        </row>
        <row r="1424">
          <cell r="A1424">
            <v>8637834</v>
          </cell>
        </row>
        <row r="1425">
          <cell r="A1425">
            <v>8629118</v>
          </cell>
        </row>
        <row r="1426">
          <cell r="A1426">
            <v>8655254</v>
          </cell>
        </row>
        <row r="1427">
          <cell r="A1427">
            <v>8600187</v>
          </cell>
        </row>
        <row r="1428">
          <cell r="A1428">
            <v>8629745</v>
          </cell>
        </row>
        <row r="1429">
          <cell r="A1429">
            <v>8637330</v>
          </cell>
        </row>
        <row r="1430">
          <cell r="A1430">
            <v>8600190</v>
          </cell>
        </row>
        <row r="1431">
          <cell r="A1431">
            <v>8651711</v>
          </cell>
        </row>
        <row r="1432">
          <cell r="A1432">
            <v>8601061</v>
          </cell>
        </row>
        <row r="1433">
          <cell r="A1433">
            <v>8600194</v>
          </cell>
        </row>
        <row r="1434">
          <cell r="A1434">
            <v>8659288</v>
          </cell>
        </row>
        <row r="1435">
          <cell r="A1435">
            <v>8658883</v>
          </cell>
        </row>
        <row r="1436">
          <cell r="A1436">
            <v>8652819</v>
          </cell>
        </row>
        <row r="1437">
          <cell r="A1437">
            <v>8624498</v>
          </cell>
        </row>
        <row r="1438">
          <cell r="A1438">
            <v>8603474</v>
          </cell>
        </row>
        <row r="1439">
          <cell r="A1439">
            <v>8648861</v>
          </cell>
        </row>
        <row r="1440">
          <cell r="A1440">
            <v>8643215</v>
          </cell>
        </row>
        <row r="1441">
          <cell r="A1441">
            <v>8656670</v>
          </cell>
        </row>
        <row r="1442">
          <cell r="A1442">
            <v>8651679</v>
          </cell>
        </row>
        <row r="1443">
          <cell r="A1443">
            <v>8644294</v>
          </cell>
        </row>
        <row r="1444">
          <cell r="A1444">
            <v>8652225</v>
          </cell>
        </row>
        <row r="1445">
          <cell r="A1445">
            <v>8657673</v>
          </cell>
        </row>
        <row r="1446">
          <cell r="A1446" t="str">
            <v>CK2</v>
          </cell>
        </row>
        <row r="1447">
          <cell r="A1447">
            <v>8660919</v>
          </cell>
        </row>
        <row r="1448">
          <cell r="A1448">
            <v>8647913</v>
          </cell>
        </row>
        <row r="1449">
          <cell r="A1449">
            <v>8637516</v>
          </cell>
        </row>
        <row r="1450">
          <cell r="A1450">
            <v>8661716</v>
          </cell>
        </row>
        <row r="1451">
          <cell r="A1451">
            <v>8652822</v>
          </cell>
        </row>
        <row r="1452">
          <cell r="A1452">
            <v>8652964</v>
          </cell>
        </row>
        <row r="1453">
          <cell r="A1453">
            <v>8654157</v>
          </cell>
        </row>
        <row r="1454">
          <cell r="A1454">
            <v>8653549</v>
          </cell>
        </row>
        <row r="1455">
          <cell r="A1455">
            <v>8655849</v>
          </cell>
        </row>
        <row r="1456">
          <cell r="A1456">
            <v>8639094</v>
          </cell>
        </row>
        <row r="1457">
          <cell r="A1457">
            <v>8644730</v>
          </cell>
        </row>
        <row r="1458">
          <cell r="A1458">
            <v>8602050</v>
          </cell>
        </row>
        <row r="1459">
          <cell r="A1459">
            <v>8629704</v>
          </cell>
        </row>
        <row r="1460">
          <cell r="A1460">
            <v>8622750</v>
          </cell>
        </row>
        <row r="1461">
          <cell r="A1461">
            <v>8648300</v>
          </cell>
        </row>
        <row r="1462">
          <cell r="A1462">
            <v>8657086</v>
          </cell>
        </row>
        <row r="1463">
          <cell r="A1463">
            <v>8652173</v>
          </cell>
        </row>
        <row r="1464">
          <cell r="A1464">
            <v>8655139</v>
          </cell>
        </row>
        <row r="1465">
          <cell r="A1465">
            <v>8655489</v>
          </cell>
        </row>
        <row r="1466">
          <cell r="A1466">
            <v>8655490</v>
          </cell>
        </row>
        <row r="1467">
          <cell r="A1467">
            <v>8656454</v>
          </cell>
        </row>
        <row r="1468">
          <cell r="A1468">
            <v>8652370</v>
          </cell>
        </row>
        <row r="1469">
          <cell r="A1469">
            <v>8660808</v>
          </cell>
        </row>
        <row r="1470">
          <cell r="A1470">
            <v>8645337</v>
          </cell>
        </row>
        <row r="1471">
          <cell r="A1471">
            <v>8629884</v>
          </cell>
        </row>
        <row r="1472">
          <cell r="A1472">
            <v>8654683</v>
          </cell>
        </row>
        <row r="1473">
          <cell r="A1473">
            <v>8652845</v>
          </cell>
        </row>
        <row r="1474">
          <cell r="A1474">
            <v>8600223</v>
          </cell>
        </row>
        <row r="1475">
          <cell r="A1475">
            <v>8652486</v>
          </cell>
        </row>
        <row r="1476">
          <cell r="A1476">
            <v>8660343</v>
          </cell>
        </row>
        <row r="1477">
          <cell r="A1477">
            <v>8644979</v>
          </cell>
        </row>
        <row r="1478">
          <cell r="A1478">
            <v>8653617</v>
          </cell>
        </row>
        <row r="1479">
          <cell r="A1479">
            <v>8644660</v>
          </cell>
        </row>
        <row r="1480">
          <cell r="A1480">
            <v>8647868</v>
          </cell>
        </row>
        <row r="1481">
          <cell r="A1481">
            <v>8658641</v>
          </cell>
        </row>
        <row r="1482">
          <cell r="A1482">
            <v>8658220</v>
          </cell>
        </row>
        <row r="1483">
          <cell r="A1483">
            <v>8653836</v>
          </cell>
        </row>
        <row r="1484">
          <cell r="A1484">
            <v>8653863</v>
          </cell>
        </row>
        <row r="1485">
          <cell r="A1485">
            <v>8659906</v>
          </cell>
        </row>
        <row r="1486">
          <cell r="A1486">
            <v>8622604</v>
          </cell>
        </row>
        <row r="1487">
          <cell r="A1487">
            <v>8631621</v>
          </cell>
        </row>
        <row r="1488">
          <cell r="A1488">
            <v>8619817</v>
          </cell>
        </row>
        <row r="1489">
          <cell r="A1489">
            <v>8653674</v>
          </cell>
        </row>
        <row r="1490">
          <cell r="A1490">
            <v>8648257</v>
          </cell>
        </row>
        <row r="1491">
          <cell r="A1491">
            <v>8635324</v>
          </cell>
        </row>
        <row r="1492">
          <cell r="A1492">
            <v>8626452</v>
          </cell>
        </row>
        <row r="1493">
          <cell r="A1493">
            <v>8653007</v>
          </cell>
        </row>
        <row r="1494">
          <cell r="A1494">
            <v>8647631</v>
          </cell>
        </row>
        <row r="1495">
          <cell r="A1495">
            <v>8644114</v>
          </cell>
        </row>
        <row r="1496">
          <cell r="A1496">
            <v>8647418</v>
          </cell>
        </row>
        <row r="1497">
          <cell r="A1497" t="str">
            <v>P9230</v>
          </cell>
        </row>
        <row r="1498">
          <cell r="A1498" t="str">
            <v>P9228</v>
          </cell>
        </row>
        <row r="1499">
          <cell r="A1499" t="str">
            <v>P9229</v>
          </cell>
        </row>
        <row r="1500">
          <cell r="A1500" t="str">
            <v>P9232</v>
          </cell>
        </row>
        <row r="1501">
          <cell r="A1501" t="str">
            <v>P9227</v>
          </cell>
        </row>
        <row r="1502">
          <cell r="A1502">
            <v>8655083</v>
          </cell>
        </row>
        <row r="1503">
          <cell r="A1503">
            <v>8658559</v>
          </cell>
        </row>
        <row r="1504">
          <cell r="A1504">
            <v>8659572</v>
          </cell>
        </row>
        <row r="1505">
          <cell r="A1505">
            <v>8659701</v>
          </cell>
        </row>
        <row r="1506">
          <cell r="A1506">
            <v>8600241</v>
          </cell>
        </row>
        <row r="1507">
          <cell r="A1507">
            <v>8634710</v>
          </cell>
        </row>
        <row r="1508">
          <cell r="A1508">
            <v>8601749</v>
          </cell>
        </row>
        <row r="1509">
          <cell r="A1509">
            <v>8655368</v>
          </cell>
        </row>
        <row r="1510">
          <cell r="A1510">
            <v>8632310</v>
          </cell>
        </row>
        <row r="1511">
          <cell r="A1511">
            <v>8661078</v>
          </cell>
        </row>
        <row r="1512">
          <cell r="A1512">
            <v>8645435</v>
          </cell>
        </row>
        <row r="1513">
          <cell r="A1513">
            <v>8648897</v>
          </cell>
        </row>
        <row r="1514">
          <cell r="A1514">
            <v>8651660</v>
          </cell>
        </row>
        <row r="1515">
          <cell r="A1515">
            <v>8647147</v>
          </cell>
        </row>
        <row r="1516">
          <cell r="A1516">
            <v>8651417</v>
          </cell>
        </row>
        <row r="1517">
          <cell r="A1517">
            <v>8645078</v>
          </cell>
        </row>
        <row r="1518">
          <cell r="A1518">
            <v>8632388</v>
          </cell>
        </row>
        <row r="1519">
          <cell r="A1519">
            <v>8659713</v>
          </cell>
        </row>
        <row r="1520">
          <cell r="A1520">
            <v>8644703</v>
          </cell>
        </row>
        <row r="1521">
          <cell r="A1521">
            <v>8654296</v>
          </cell>
        </row>
        <row r="1522">
          <cell r="A1522">
            <v>8652261</v>
          </cell>
        </row>
        <row r="1523">
          <cell r="A1523">
            <v>8645122</v>
          </cell>
        </row>
        <row r="1524">
          <cell r="A1524">
            <v>8647441</v>
          </cell>
        </row>
        <row r="1525">
          <cell r="A1525">
            <v>8647768</v>
          </cell>
        </row>
        <row r="1526">
          <cell r="A1526">
            <v>8646427</v>
          </cell>
        </row>
        <row r="1527">
          <cell r="A1527">
            <v>8656315</v>
          </cell>
        </row>
        <row r="1528">
          <cell r="A1528">
            <v>8653208</v>
          </cell>
        </row>
        <row r="1529">
          <cell r="A1529">
            <v>8654001</v>
          </cell>
        </row>
        <row r="1530">
          <cell r="A1530">
            <v>8656890</v>
          </cell>
        </row>
        <row r="1531">
          <cell r="A1531">
            <v>8653334</v>
          </cell>
        </row>
        <row r="1532">
          <cell r="A1532">
            <v>8655198</v>
          </cell>
        </row>
        <row r="1533">
          <cell r="A1533">
            <v>8646159</v>
          </cell>
        </row>
        <row r="1534">
          <cell r="A1534">
            <v>8655179</v>
          </cell>
        </row>
        <row r="1535">
          <cell r="A1535">
            <v>8652221</v>
          </cell>
        </row>
        <row r="1536">
          <cell r="A1536">
            <v>8644349</v>
          </cell>
        </row>
        <row r="1537">
          <cell r="A1537">
            <v>8654056</v>
          </cell>
        </row>
        <row r="1538">
          <cell r="A1538">
            <v>8656777</v>
          </cell>
        </row>
        <row r="1539">
          <cell r="A1539">
            <v>8656100</v>
          </cell>
        </row>
        <row r="1540">
          <cell r="A1540">
            <v>8654771</v>
          </cell>
        </row>
        <row r="1541">
          <cell r="A1541">
            <v>8644037</v>
          </cell>
        </row>
        <row r="1542">
          <cell r="A1542">
            <v>8652638</v>
          </cell>
        </row>
        <row r="1543">
          <cell r="A1543">
            <v>8652965</v>
          </cell>
        </row>
        <row r="1544">
          <cell r="A1544">
            <v>8652709</v>
          </cell>
        </row>
        <row r="1545">
          <cell r="A1545">
            <v>8652711</v>
          </cell>
        </row>
        <row r="1546">
          <cell r="A1546">
            <v>8653615</v>
          </cell>
        </row>
        <row r="1547">
          <cell r="A1547">
            <v>8652846</v>
          </cell>
        </row>
        <row r="1548">
          <cell r="A1548">
            <v>8652864</v>
          </cell>
        </row>
        <row r="1549">
          <cell r="A1549" t="str">
            <v>P9208</v>
          </cell>
        </row>
        <row r="1550">
          <cell r="A1550">
            <v>8600772</v>
          </cell>
        </row>
        <row r="1551">
          <cell r="A1551">
            <v>8629426</v>
          </cell>
        </row>
        <row r="1552">
          <cell r="A1552">
            <v>8629488</v>
          </cell>
        </row>
        <row r="1553">
          <cell r="A1553" t="str">
            <v>P9224</v>
          </cell>
        </row>
        <row r="1554">
          <cell r="A1554">
            <v>8600744</v>
          </cell>
        </row>
        <row r="1555">
          <cell r="A1555">
            <v>8650965</v>
          </cell>
        </row>
        <row r="1556">
          <cell r="A1556">
            <v>8661698</v>
          </cell>
        </row>
        <row r="1557">
          <cell r="A1557">
            <v>8634680</v>
          </cell>
        </row>
        <row r="1558">
          <cell r="A1558">
            <v>8656062</v>
          </cell>
        </row>
        <row r="1559">
          <cell r="A1559">
            <v>8602551</v>
          </cell>
        </row>
        <row r="1560">
          <cell r="A1560">
            <v>8659901</v>
          </cell>
        </row>
        <row r="1561">
          <cell r="A1561">
            <v>8651015</v>
          </cell>
        </row>
        <row r="1562">
          <cell r="A1562">
            <v>8653977</v>
          </cell>
        </row>
        <row r="1563">
          <cell r="A1563">
            <v>8643948</v>
          </cell>
        </row>
        <row r="1564">
          <cell r="A1564">
            <v>8647889</v>
          </cell>
        </row>
        <row r="1565">
          <cell r="A1565">
            <v>8615730</v>
          </cell>
        </row>
        <row r="1566">
          <cell r="A1566">
            <v>8600255</v>
          </cell>
        </row>
        <row r="1567">
          <cell r="A1567">
            <v>8620259</v>
          </cell>
        </row>
        <row r="1568">
          <cell r="A1568">
            <v>8646073</v>
          </cell>
        </row>
        <row r="1569">
          <cell r="A1569">
            <v>8601037</v>
          </cell>
        </row>
        <row r="1570">
          <cell r="A1570">
            <v>8600916</v>
          </cell>
        </row>
        <row r="1571">
          <cell r="A1571">
            <v>8648171</v>
          </cell>
        </row>
        <row r="1572">
          <cell r="A1572">
            <v>8653595</v>
          </cell>
        </row>
        <row r="1573">
          <cell r="A1573">
            <v>8657109</v>
          </cell>
        </row>
        <row r="1574">
          <cell r="A1574">
            <v>8653033</v>
          </cell>
        </row>
        <row r="1575">
          <cell r="A1575">
            <v>8637117</v>
          </cell>
        </row>
        <row r="1576">
          <cell r="A1576">
            <v>8651150</v>
          </cell>
        </row>
        <row r="1577">
          <cell r="A1577">
            <v>8654570</v>
          </cell>
        </row>
        <row r="1578">
          <cell r="A1578">
            <v>8645477</v>
          </cell>
        </row>
        <row r="1579">
          <cell r="A1579">
            <v>8602142</v>
          </cell>
        </row>
        <row r="1580">
          <cell r="A1580">
            <v>8645140</v>
          </cell>
        </row>
        <row r="1581">
          <cell r="A1581">
            <v>8648165</v>
          </cell>
        </row>
        <row r="1582">
          <cell r="A1582">
            <v>8658132</v>
          </cell>
        </row>
        <row r="1583">
          <cell r="A1583">
            <v>8600274</v>
          </cell>
        </row>
        <row r="1584">
          <cell r="A1584">
            <v>8654940</v>
          </cell>
        </row>
        <row r="1585">
          <cell r="A1585">
            <v>8601882</v>
          </cell>
        </row>
        <row r="1586">
          <cell r="A1586">
            <v>8601344</v>
          </cell>
        </row>
        <row r="1587">
          <cell r="A1587">
            <v>8640533</v>
          </cell>
        </row>
        <row r="1588">
          <cell r="A1588">
            <v>8600762</v>
          </cell>
        </row>
        <row r="1589">
          <cell r="A1589">
            <v>8647442</v>
          </cell>
        </row>
        <row r="1590">
          <cell r="A1590">
            <v>8646210</v>
          </cell>
        </row>
        <row r="1591">
          <cell r="A1591">
            <v>8652933</v>
          </cell>
        </row>
        <row r="1592">
          <cell r="A1592">
            <v>8658652</v>
          </cell>
        </row>
        <row r="1593">
          <cell r="A1593">
            <v>8633330</v>
          </cell>
        </row>
        <row r="1594">
          <cell r="A1594">
            <v>8659936</v>
          </cell>
        </row>
        <row r="1595">
          <cell r="A1595">
            <v>8657861</v>
          </cell>
        </row>
        <row r="1596">
          <cell r="A1596">
            <v>8651367</v>
          </cell>
        </row>
        <row r="1597">
          <cell r="A1597">
            <v>8653056</v>
          </cell>
        </row>
        <row r="1598">
          <cell r="A1598">
            <v>8647627</v>
          </cell>
        </row>
        <row r="1599">
          <cell r="A1599">
            <v>8646719</v>
          </cell>
        </row>
        <row r="1600">
          <cell r="A1600">
            <v>8652496</v>
          </cell>
        </row>
        <row r="1601">
          <cell r="A1601">
            <v>8653774</v>
          </cell>
        </row>
        <row r="1602">
          <cell r="A1602">
            <v>8601786</v>
          </cell>
        </row>
        <row r="1603">
          <cell r="A1603">
            <v>8639466</v>
          </cell>
        </row>
        <row r="1604">
          <cell r="A1604" t="str">
            <v>RM-HLC</v>
          </cell>
        </row>
        <row r="1605">
          <cell r="A1605">
            <v>8613380</v>
          </cell>
        </row>
        <row r="1606">
          <cell r="A1606">
            <v>8615590</v>
          </cell>
        </row>
        <row r="1607">
          <cell r="A1607">
            <v>8653543</v>
          </cell>
        </row>
        <row r="1608">
          <cell r="A1608">
            <v>8652345</v>
          </cell>
        </row>
        <row r="1609">
          <cell r="A1609">
            <v>8659315</v>
          </cell>
        </row>
        <row r="1610">
          <cell r="A1610">
            <v>8661363</v>
          </cell>
        </row>
        <row r="1611">
          <cell r="A1611">
            <v>8644744</v>
          </cell>
        </row>
        <row r="1612">
          <cell r="A1612">
            <v>8640929</v>
          </cell>
        </row>
        <row r="1613">
          <cell r="A1613">
            <v>8661673</v>
          </cell>
        </row>
        <row r="1614">
          <cell r="A1614">
            <v>8652439</v>
          </cell>
        </row>
        <row r="1615">
          <cell r="A1615">
            <v>8659195</v>
          </cell>
        </row>
        <row r="1616">
          <cell r="A1616">
            <v>8644997</v>
          </cell>
        </row>
        <row r="1617">
          <cell r="A1617">
            <v>8644033</v>
          </cell>
        </row>
        <row r="1618">
          <cell r="A1618">
            <v>8651895</v>
          </cell>
        </row>
        <row r="1619">
          <cell r="A1619">
            <v>8652127</v>
          </cell>
        </row>
        <row r="1620">
          <cell r="A1620">
            <v>8661049</v>
          </cell>
        </row>
        <row r="1621">
          <cell r="A1621">
            <v>8601933</v>
          </cell>
        </row>
        <row r="1622">
          <cell r="A1622">
            <v>8634896</v>
          </cell>
        </row>
        <row r="1623">
          <cell r="A1623">
            <v>8608257</v>
          </cell>
        </row>
        <row r="1624">
          <cell r="A1624">
            <v>8610236</v>
          </cell>
        </row>
        <row r="1625">
          <cell r="A1625">
            <v>8605926</v>
          </cell>
        </row>
        <row r="1626">
          <cell r="A1626">
            <v>8661470</v>
          </cell>
        </row>
        <row r="1627">
          <cell r="A1627">
            <v>8642657</v>
          </cell>
        </row>
        <row r="1628">
          <cell r="A1628">
            <v>8600305</v>
          </cell>
        </row>
        <row r="1629">
          <cell r="A1629">
            <v>8657561</v>
          </cell>
        </row>
        <row r="1630">
          <cell r="A1630">
            <v>8657767</v>
          </cell>
        </row>
        <row r="1631">
          <cell r="A1631">
            <v>8600309</v>
          </cell>
        </row>
        <row r="1632">
          <cell r="A1632">
            <v>8645239</v>
          </cell>
        </row>
        <row r="1633">
          <cell r="A1633">
            <v>8641985</v>
          </cell>
        </row>
        <row r="1634">
          <cell r="A1634">
            <v>8600312</v>
          </cell>
        </row>
        <row r="1635">
          <cell r="A1635">
            <v>8652479</v>
          </cell>
        </row>
        <row r="1636">
          <cell r="A1636">
            <v>8602003</v>
          </cell>
        </row>
        <row r="1637">
          <cell r="A1637">
            <v>8658634</v>
          </cell>
        </row>
        <row r="1638">
          <cell r="A1638">
            <v>8658135</v>
          </cell>
        </row>
        <row r="1639">
          <cell r="A1639">
            <v>8603717</v>
          </cell>
        </row>
        <row r="1640">
          <cell r="A1640">
            <v>8651643</v>
          </cell>
        </row>
        <row r="1641">
          <cell r="A1641">
            <v>8651642</v>
          </cell>
        </row>
        <row r="1642">
          <cell r="A1642">
            <v>8619019</v>
          </cell>
        </row>
        <row r="1643">
          <cell r="A1643">
            <v>8641896</v>
          </cell>
        </row>
        <row r="1644">
          <cell r="A1644">
            <v>8653010</v>
          </cell>
        </row>
        <row r="1645">
          <cell r="A1645">
            <v>8641879</v>
          </cell>
        </row>
        <row r="1646">
          <cell r="A1646">
            <v>8653041</v>
          </cell>
        </row>
        <row r="1647">
          <cell r="A1647">
            <v>8653509</v>
          </cell>
        </row>
        <row r="1648">
          <cell r="A1648">
            <v>8647822</v>
          </cell>
        </row>
        <row r="1649">
          <cell r="A1649">
            <v>8630664</v>
          </cell>
        </row>
        <row r="1650">
          <cell r="A1650">
            <v>8653029</v>
          </cell>
        </row>
        <row r="1651">
          <cell r="A1651">
            <v>8601055</v>
          </cell>
        </row>
        <row r="1652">
          <cell r="A1652">
            <v>8601554</v>
          </cell>
        </row>
        <row r="1653">
          <cell r="A1653">
            <v>8654879</v>
          </cell>
        </row>
        <row r="1654">
          <cell r="A1654">
            <v>8648475</v>
          </cell>
        </row>
        <row r="1655">
          <cell r="A1655">
            <v>8646134</v>
          </cell>
        </row>
        <row r="1656">
          <cell r="A1656">
            <v>8631036</v>
          </cell>
        </row>
        <row r="1657">
          <cell r="A1657">
            <v>8600337</v>
          </cell>
        </row>
        <row r="1658">
          <cell r="A1658">
            <v>8644562</v>
          </cell>
        </row>
        <row r="1659">
          <cell r="A1659">
            <v>8607309</v>
          </cell>
        </row>
        <row r="1660">
          <cell r="A1660">
            <v>8648737</v>
          </cell>
        </row>
        <row r="1661">
          <cell r="A1661">
            <v>8658040</v>
          </cell>
        </row>
        <row r="1662">
          <cell r="A1662">
            <v>8647323</v>
          </cell>
        </row>
        <row r="1663">
          <cell r="A1663">
            <v>8653449</v>
          </cell>
        </row>
        <row r="1664">
          <cell r="A1664">
            <v>8652590</v>
          </cell>
        </row>
        <row r="1665">
          <cell r="A1665">
            <v>8600345</v>
          </cell>
        </row>
        <row r="1666">
          <cell r="A1666">
            <v>8656783</v>
          </cell>
        </row>
        <row r="1667">
          <cell r="A1667">
            <v>8657256</v>
          </cell>
        </row>
        <row r="1668">
          <cell r="A1668">
            <v>8661314</v>
          </cell>
        </row>
        <row r="1669">
          <cell r="A1669">
            <v>8653042</v>
          </cell>
        </row>
        <row r="1670">
          <cell r="A1670">
            <v>8657112</v>
          </cell>
        </row>
        <row r="1671">
          <cell r="A1671">
            <v>8660114</v>
          </cell>
        </row>
        <row r="1672">
          <cell r="A1672">
            <v>8643270</v>
          </cell>
        </row>
        <row r="1673">
          <cell r="A1673">
            <v>8660322</v>
          </cell>
        </row>
        <row r="1674">
          <cell r="A1674">
            <v>8636186</v>
          </cell>
        </row>
        <row r="1675">
          <cell r="A1675">
            <v>8653430</v>
          </cell>
        </row>
        <row r="1676">
          <cell r="A1676">
            <v>8635141</v>
          </cell>
        </row>
        <row r="1677">
          <cell r="A1677">
            <v>8653912</v>
          </cell>
        </row>
        <row r="1678">
          <cell r="A1678">
            <v>8646968</v>
          </cell>
        </row>
        <row r="1679">
          <cell r="A1679">
            <v>8601707</v>
          </cell>
        </row>
        <row r="1680">
          <cell r="A1680">
            <v>8602146</v>
          </cell>
        </row>
        <row r="1681">
          <cell r="A1681">
            <v>8635187</v>
          </cell>
        </row>
        <row r="1682">
          <cell r="A1682">
            <v>8635185</v>
          </cell>
        </row>
        <row r="1683">
          <cell r="A1683">
            <v>8635232</v>
          </cell>
        </row>
        <row r="1684">
          <cell r="A1684">
            <v>8629241</v>
          </cell>
        </row>
        <row r="1685">
          <cell r="A1685">
            <v>8609831</v>
          </cell>
        </row>
        <row r="1686">
          <cell r="A1686">
            <v>8610280</v>
          </cell>
        </row>
        <row r="1687">
          <cell r="A1687">
            <v>8600902</v>
          </cell>
        </row>
        <row r="1688">
          <cell r="A1688">
            <v>8656526</v>
          </cell>
        </row>
        <row r="1689">
          <cell r="A1689">
            <v>8656711</v>
          </cell>
        </row>
        <row r="1690">
          <cell r="A1690">
            <v>8655816</v>
          </cell>
        </row>
        <row r="1691">
          <cell r="A1691">
            <v>8647033</v>
          </cell>
        </row>
        <row r="1692">
          <cell r="A1692">
            <v>8655886</v>
          </cell>
        </row>
        <row r="1693">
          <cell r="A1693">
            <v>8642178</v>
          </cell>
        </row>
        <row r="1694">
          <cell r="A1694">
            <v>8659114</v>
          </cell>
        </row>
        <row r="1695">
          <cell r="A1695">
            <v>8602266</v>
          </cell>
        </row>
        <row r="1696">
          <cell r="A1696">
            <v>8600360</v>
          </cell>
        </row>
        <row r="1697">
          <cell r="A1697">
            <v>8651793</v>
          </cell>
        </row>
        <row r="1698">
          <cell r="A1698">
            <v>8629509</v>
          </cell>
        </row>
        <row r="1699">
          <cell r="A1699">
            <v>8630354</v>
          </cell>
        </row>
        <row r="1700">
          <cell r="A1700">
            <v>8648499</v>
          </cell>
        </row>
        <row r="1701">
          <cell r="A1701">
            <v>8653293</v>
          </cell>
        </row>
        <row r="1702">
          <cell r="A1702">
            <v>8656758</v>
          </cell>
        </row>
        <row r="1703">
          <cell r="A1703">
            <v>8652997</v>
          </cell>
        </row>
        <row r="1704">
          <cell r="A1704">
            <v>8653596</v>
          </cell>
        </row>
        <row r="1705">
          <cell r="A1705">
            <v>8600840</v>
          </cell>
        </row>
        <row r="1706">
          <cell r="A1706">
            <v>8660309</v>
          </cell>
        </row>
        <row r="1707">
          <cell r="A1707">
            <v>8659252</v>
          </cell>
        </row>
        <row r="1708">
          <cell r="A1708">
            <v>8648422</v>
          </cell>
        </row>
        <row r="1709">
          <cell r="A1709">
            <v>8633873</v>
          </cell>
        </row>
        <row r="1710">
          <cell r="A1710">
            <v>8653850</v>
          </cell>
        </row>
        <row r="1711">
          <cell r="A1711">
            <v>8648474</v>
          </cell>
        </row>
        <row r="1712">
          <cell r="A1712">
            <v>8600824</v>
          </cell>
        </row>
        <row r="1713">
          <cell r="A1713">
            <v>8655814</v>
          </cell>
        </row>
        <row r="1714">
          <cell r="A1714">
            <v>8600825</v>
          </cell>
        </row>
        <row r="1715">
          <cell r="A1715">
            <v>8601017</v>
          </cell>
        </row>
        <row r="1716">
          <cell r="A1716">
            <v>8635618</v>
          </cell>
        </row>
        <row r="1717">
          <cell r="A1717">
            <v>8615520</v>
          </cell>
        </row>
        <row r="1718">
          <cell r="A1718">
            <v>8601164</v>
          </cell>
        </row>
        <row r="1719">
          <cell r="A1719">
            <v>8647423</v>
          </cell>
        </row>
        <row r="1720">
          <cell r="A1720">
            <v>8638333</v>
          </cell>
        </row>
        <row r="1721">
          <cell r="A1721">
            <v>8645279</v>
          </cell>
        </row>
        <row r="1722">
          <cell r="A1722">
            <v>8643632</v>
          </cell>
        </row>
        <row r="1723">
          <cell r="A1723">
            <v>8639703</v>
          </cell>
        </row>
        <row r="1724">
          <cell r="A1724">
            <v>8629713</v>
          </cell>
        </row>
        <row r="1725">
          <cell r="A1725">
            <v>8652264</v>
          </cell>
        </row>
        <row r="1726">
          <cell r="A1726">
            <v>8652308</v>
          </cell>
        </row>
        <row r="1727">
          <cell r="A1727">
            <v>8653590</v>
          </cell>
        </row>
        <row r="1728">
          <cell r="A1728">
            <v>8640045</v>
          </cell>
        </row>
        <row r="1729">
          <cell r="A1729">
            <v>8639816</v>
          </cell>
        </row>
        <row r="1730">
          <cell r="A1730">
            <v>8654753</v>
          </cell>
        </row>
        <row r="1731">
          <cell r="A1731">
            <v>8631447</v>
          </cell>
        </row>
        <row r="1732">
          <cell r="A1732">
            <v>8653839</v>
          </cell>
        </row>
        <row r="1733">
          <cell r="A1733">
            <v>8647836</v>
          </cell>
        </row>
        <row r="1734">
          <cell r="A1734">
            <v>8655992</v>
          </cell>
        </row>
        <row r="1735">
          <cell r="A1735">
            <v>8657807</v>
          </cell>
        </row>
        <row r="1736">
          <cell r="A1736">
            <v>8637479</v>
          </cell>
        </row>
        <row r="1737">
          <cell r="A1737">
            <v>8654136</v>
          </cell>
        </row>
        <row r="1738">
          <cell r="A1738">
            <v>8656188</v>
          </cell>
        </row>
        <row r="1739">
          <cell r="A1739">
            <v>8651828</v>
          </cell>
        </row>
        <row r="1740">
          <cell r="A1740">
            <v>8601068</v>
          </cell>
        </row>
        <row r="1741">
          <cell r="A1741">
            <v>8631622</v>
          </cell>
        </row>
        <row r="1742">
          <cell r="A1742">
            <v>8660092</v>
          </cell>
        </row>
        <row r="1743">
          <cell r="A1743">
            <v>8601610</v>
          </cell>
        </row>
        <row r="1744">
          <cell r="A1744">
            <v>8658501</v>
          </cell>
        </row>
        <row r="1745">
          <cell r="A1745">
            <v>8643557</v>
          </cell>
        </row>
        <row r="1746">
          <cell r="A1746">
            <v>8654734</v>
          </cell>
        </row>
        <row r="1747">
          <cell r="A1747">
            <v>8654970</v>
          </cell>
        </row>
        <row r="1748">
          <cell r="A1748">
            <v>8655488</v>
          </cell>
        </row>
        <row r="1749">
          <cell r="A1749">
            <v>8644701</v>
          </cell>
        </row>
        <row r="1750">
          <cell r="A1750">
            <v>8655296</v>
          </cell>
        </row>
        <row r="1751">
          <cell r="A1751">
            <v>8655930</v>
          </cell>
        </row>
        <row r="1752">
          <cell r="A1752">
            <v>8652628</v>
          </cell>
        </row>
        <row r="1753">
          <cell r="A1753">
            <v>8658140</v>
          </cell>
        </row>
        <row r="1754">
          <cell r="A1754">
            <v>8643890</v>
          </cell>
        </row>
        <row r="1755">
          <cell r="A1755">
            <v>8643893</v>
          </cell>
        </row>
        <row r="1756">
          <cell r="A1756">
            <v>8600889</v>
          </cell>
        </row>
        <row r="1757">
          <cell r="A1757">
            <v>8602210</v>
          </cell>
        </row>
        <row r="1758">
          <cell r="A1758">
            <v>8616545</v>
          </cell>
        </row>
        <row r="1759">
          <cell r="A1759">
            <v>8658168</v>
          </cell>
        </row>
        <row r="1760">
          <cell r="A1760">
            <v>8651868</v>
          </cell>
        </row>
        <row r="1761">
          <cell r="A1761">
            <v>8627814</v>
          </cell>
        </row>
        <row r="1762">
          <cell r="A1762">
            <v>8654757</v>
          </cell>
        </row>
        <row r="1763">
          <cell r="A1763">
            <v>8657386</v>
          </cell>
        </row>
        <row r="1764">
          <cell r="A1764">
            <v>8630176</v>
          </cell>
        </row>
        <row r="1765">
          <cell r="A1765">
            <v>8645483</v>
          </cell>
        </row>
        <row r="1766">
          <cell r="A1766">
            <v>8631724</v>
          </cell>
        </row>
        <row r="1767">
          <cell r="A1767">
            <v>8622697</v>
          </cell>
        </row>
        <row r="1768">
          <cell r="A1768">
            <v>8651076</v>
          </cell>
        </row>
        <row r="1769">
          <cell r="A1769">
            <v>8603122</v>
          </cell>
        </row>
        <row r="1770">
          <cell r="A1770">
            <v>8634306</v>
          </cell>
        </row>
        <row r="1771">
          <cell r="A1771">
            <v>8616201</v>
          </cell>
        </row>
        <row r="1772">
          <cell r="A1772">
            <v>8648521</v>
          </cell>
        </row>
        <row r="1773">
          <cell r="A1773">
            <v>8621315</v>
          </cell>
        </row>
        <row r="1774">
          <cell r="A1774">
            <v>8654617</v>
          </cell>
        </row>
        <row r="1775">
          <cell r="A1775">
            <v>8637156</v>
          </cell>
        </row>
        <row r="1776">
          <cell r="A1776">
            <v>8602575</v>
          </cell>
        </row>
        <row r="1777">
          <cell r="A1777">
            <v>8601298</v>
          </cell>
        </row>
        <row r="1778">
          <cell r="A1778">
            <v>8652805</v>
          </cell>
        </row>
        <row r="1779">
          <cell r="A1779">
            <v>8660225</v>
          </cell>
        </row>
        <row r="1780">
          <cell r="A1780">
            <v>8657151</v>
          </cell>
        </row>
        <row r="1781">
          <cell r="A1781">
            <v>8657097</v>
          </cell>
        </row>
        <row r="1782">
          <cell r="A1782">
            <v>8638060</v>
          </cell>
        </row>
        <row r="1783">
          <cell r="A1783">
            <v>8602094</v>
          </cell>
        </row>
        <row r="1784">
          <cell r="A1784">
            <v>8634330</v>
          </cell>
        </row>
        <row r="1785">
          <cell r="A1785">
            <v>8654174</v>
          </cell>
        </row>
        <row r="1786">
          <cell r="A1786">
            <v>8651894</v>
          </cell>
        </row>
        <row r="1787">
          <cell r="A1787">
            <v>8600795</v>
          </cell>
        </row>
        <row r="1788">
          <cell r="A1788">
            <v>8626530</v>
          </cell>
        </row>
        <row r="1789">
          <cell r="A1789">
            <v>8601694</v>
          </cell>
        </row>
        <row r="1790">
          <cell r="A1790">
            <v>8652946</v>
          </cell>
        </row>
        <row r="1791">
          <cell r="A1791">
            <v>8613446</v>
          </cell>
        </row>
        <row r="1792">
          <cell r="A1792">
            <v>8619100</v>
          </cell>
        </row>
        <row r="1793">
          <cell r="A1793">
            <v>8652807</v>
          </cell>
        </row>
        <row r="1794">
          <cell r="A1794">
            <v>8654870</v>
          </cell>
        </row>
        <row r="1795">
          <cell r="A1795">
            <v>8646995</v>
          </cell>
        </row>
        <row r="1796">
          <cell r="A1796">
            <v>8636685</v>
          </cell>
        </row>
        <row r="1797">
          <cell r="A1797">
            <v>8655066</v>
          </cell>
        </row>
        <row r="1798">
          <cell r="A1798">
            <v>8648595</v>
          </cell>
        </row>
        <row r="1799">
          <cell r="A1799">
            <v>8645572</v>
          </cell>
        </row>
        <row r="1800">
          <cell r="A1800">
            <v>8600443</v>
          </cell>
        </row>
        <row r="1801">
          <cell r="A1801">
            <v>8660863</v>
          </cell>
        </row>
        <row r="1802">
          <cell r="A1802">
            <v>8651831</v>
          </cell>
        </row>
        <row r="1803">
          <cell r="A1803">
            <v>8646887</v>
          </cell>
        </row>
        <row r="1804">
          <cell r="A1804">
            <v>8637517</v>
          </cell>
        </row>
        <row r="1805">
          <cell r="A1805">
            <v>8652351</v>
          </cell>
        </row>
        <row r="1806">
          <cell r="A1806">
            <v>8652727</v>
          </cell>
        </row>
        <row r="1807">
          <cell r="A1807">
            <v>8654006</v>
          </cell>
        </row>
        <row r="1808">
          <cell r="A1808">
            <v>8652977</v>
          </cell>
        </row>
        <row r="1809">
          <cell r="A1809">
            <v>8648753</v>
          </cell>
        </row>
        <row r="1810">
          <cell r="A1810">
            <v>8616870</v>
          </cell>
        </row>
        <row r="1811">
          <cell r="A1811">
            <v>8636809</v>
          </cell>
        </row>
        <row r="1812">
          <cell r="A1812">
            <v>8660694</v>
          </cell>
        </row>
        <row r="1813">
          <cell r="A1813">
            <v>8661330</v>
          </cell>
        </row>
        <row r="1814">
          <cell r="A1814">
            <v>8608194</v>
          </cell>
        </row>
        <row r="1815">
          <cell r="A1815">
            <v>8630031</v>
          </cell>
        </row>
        <row r="1816">
          <cell r="A1816">
            <v>8635021</v>
          </cell>
        </row>
        <row r="1817">
          <cell r="A1817">
            <v>8602947</v>
          </cell>
        </row>
        <row r="1818">
          <cell r="A1818">
            <v>8655572</v>
          </cell>
        </row>
        <row r="1819">
          <cell r="A1819">
            <v>8652808</v>
          </cell>
        </row>
        <row r="1820">
          <cell r="A1820">
            <v>8657082</v>
          </cell>
        </row>
        <row r="1821">
          <cell r="A1821">
            <v>8653954</v>
          </cell>
        </row>
        <row r="1822">
          <cell r="A1822">
            <v>8633657</v>
          </cell>
        </row>
        <row r="1823">
          <cell r="A1823">
            <v>8622232</v>
          </cell>
        </row>
        <row r="1824">
          <cell r="A1824">
            <v>8615225</v>
          </cell>
        </row>
        <row r="1825">
          <cell r="A1825">
            <v>8609121</v>
          </cell>
        </row>
        <row r="1826">
          <cell r="A1826">
            <v>8600457</v>
          </cell>
        </row>
        <row r="1827">
          <cell r="A1827">
            <v>8651844</v>
          </cell>
        </row>
        <row r="1828">
          <cell r="A1828">
            <v>8652530</v>
          </cell>
        </row>
        <row r="1829">
          <cell r="A1829">
            <v>8643214</v>
          </cell>
        </row>
        <row r="1830">
          <cell r="A1830">
            <v>8628189</v>
          </cell>
        </row>
        <row r="1831">
          <cell r="A1831">
            <v>8622228</v>
          </cell>
        </row>
        <row r="1832">
          <cell r="A1832">
            <v>8621367</v>
          </cell>
        </row>
        <row r="1833">
          <cell r="A1833">
            <v>8646366</v>
          </cell>
        </row>
        <row r="1834">
          <cell r="A1834">
            <v>8644872</v>
          </cell>
        </row>
        <row r="1835">
          <cell r="A1835">
            <v>8643090</v>
          </cell>
        </row>
        <row r="1836">
          <cell r="A1836">
            <v>8601763</v>
          </cell>
        </row>
        <row r="1837">
          <cell r="A1837">
            <v>8654360</v>
          </cell>
        </row>
        <row r="1838">
          <cell r="A1838">
            <v>8622257</v>
          </cell>
        </row>
        <row r="1839">
          <cell r="A1839">
            <v>8656579</v>
          </cell>
        </row>
        <row r="1840">
          <cell r="A1840">
            <v>8633833</v>
          </cell>
        </row>
        <row r="1841">
          <cell r="A1841">
            <v>8648653</v>
          </cell>
        </row>
        <row r="1842">
          <cell r="A1842">
            <v>8646616</v>
          </cell>
        </row>
        <row r="1843">
          <cell r="A1843">
            <v>8654451</v>
          </cell>
        </row>
        <row r="1844">
          <cell r="A1844">
            <v>8651923</v>
          </cell>
        </row>
        <row r="1845">
          <cell r="A1845">
            <v>8620507</v>
          </cell>
        </row>
        <row r="1846">
          <cell r="A1846">
            <v>8639671</v>
          </cell>
        </row>
        <row r="1847">
          <cell r="A1847">
            <v>8651733</v>
          </cell>
        </row>
        <row r="1848">
          <cell r="A1848">
            <v>8660765</v>
          </cell>
        </row>
        <row r="1849">
          <cell r="A1849">
            <v>8612682</v>
          </cell>
        </row>
        <row r="1850">
          <cell r="A1850">
            <v>8628776</v>
          </cell>
        </row>
        <row r="1851">
          <cell r="A1851">
            <v>8600488</v>
          </cell>
        </row>
        <row r="1852">
          <cell r="A1852">
            <v>8637878</v>
          </cell>
        </row>
        <row r="1853">
          <cell r="A1853">
            <v>8655845</v>
          </cell>
        </row>
        <row r="1854">
          <cell r="A1854">
            <v>8600918</v>
          </cell>
        </row>
        <row r="1855">
          <cell r="A1855">
            <v>8626736</v>
          </cell>
        </row>
        <row r="1856">
          <cell r="A1856">
            <v>8653314</v>
          </cell>
        </row>
        <row r="1857">
          <cell r="A1857">
            <v>8648086</v>
          </cell>
        </row>
        <row r="1858">
          <cell r="A1858">
            <v>8651659</v>
          </cell>
        </row>
        <row r="1859">
          <cell r="A1859">
            <v>8652231</v>
          </cell>
        </row>
        <row r="1860">
          <cell r="A1860">
            <v>8652542</v>
          </cell>
        </row>
        <row r="1861">
          <cell r="A1861">
            <v>8652543</v>
          </cell>
        </row>
        <row r="1862">
          <cell r="A1862">
            <v>8652597</v>
          </cell>
        </row>
        <row r="1863">
          <cell r="A1863">
            <v>8652629</v>
          </cell>
        </row>
        <row r="1864">
          <cell r="A1864">
            <v>8617041</v>
          </cell>
        </row>
        <row r="1865">
          <cell r="A1865">
            <v>8653047</v>
          </cell>
        </row>
        <row r="1866">
          <cell r="A1866">
            <v>8654716</v>
          </cell>
        </row>
        <row r="1867">
          <cell r="A1867">
            <v>8653153</v>
          </cell>
        </row>
        <row r="1868">
          <cell r="A1868">
            <v>8601092</v>
          </cell>
        </row>
        <row r="1869">
          <cell r="A1869">
            <v>8654430</v>
          </cell>
        </row>
        <row r="1870">
          <cell r="A1870">
            <v>8601830</v>
          </cell>
        </row>
        <row r="1871">
          <cell r="A1871">
            <v>8648899</v>
          </cell>
        </row>
        <row r="1872">
          <cell r="A1872">
            <v>8646509</v>
          </cell>
        </row>
        <row r="1873">
          <cell r="A1873">
            <v>8642314</v>
          </cell>
        </row>
        <row r="1874">
          <cell r="A1874">
            <v>8600502</v>
          </cell>
        </row>
        <row r="1875">
          <cell r="A1875">
            <v>8652434</v>
          </cell>
        </row>
        <row r="1876">
          <cell r="A1876">
            <v>8657442</v>
          </cell>
        </row>
        <row r="1877">
          <cell r="A1877">
            <v>8659757</v>
          </cell>
        </row>
        <row r="1878">
          <cell r="A1878">
            <v>8634305</v>
          </cell>
        </row>
        <row r="1879">
          <cell r="A1879">
            <v>8658106</v>
          </cell>
        </row>
        <row r="1880">
          <cell r="A1880">
            <v>8652306</v>
          </cell>
        </row>
        <row r="1881">
          <cell r="A1881">
            <v>8654903</v>
          </cell>
        </row>
        <row r="1882">
          <cell r="A1882">
            <v>8648462</v>
          </cell>
        </row>
        <row r="1883">
          <cell r="A1883">
            <v>8657734</v>
          </cell>
        </row>
        <row r="1884">
          <cell r="A1884">
            <v>8654202</v>
          </cell>
        </row>
        <row r="1885">
          <cell r="A1885">
            <v>8657695</v>
          </cell>
        </row>
        <row r="1886">
          <cell r="A1886">
            <v>8660701</v>
          </cell>
        </row>
        <row r="1887">
          <cell r="A1887">
            <v>8653467</v>
          </cell>
        </row>
        <row r="1888">
          <cell r="A1888">
            <v>8647628</v>
          </cell>
        </row>
        <row r="1889">
          <cell r="A1889">
            <v>8653815</v>
          </cell>
        </row>
        <row r="1890">
          <cell r="A1890">
            <v>8659109</v>
          </cell>
        </row>
        <row r="1891">
          <cell r="A1891">
            <v>8659742</v>
          </cell>
        </row>
        <row r="1892">
          <cell r="A1892">
            <v>8646145</v>
          </cell>
        </row>
        <row r="1893">
          <cell r="A1893">
            <v>8657123</v>
          </cell>
        </row>
        <row r="1894">
          <cell r="A1894">
            <v>8656806</v>
          </cell>
        </row>
        <row r="1895">
          <cell r="A1895">
            <v>8652012</v>
          </cell>
        </row>
        <row r="1896">
          <cell r="A1896">
            <v>8658231</v>
          </cell>
        </row>
        <row r="1897">
          <cell r="A1897">
            <v>8659576</v>
          </cell>
        </row>
        <row r="1898">
          <cell r="A1898">
            <v>8651967</v>
          </cell>
        </row>
        <row r="1899">
          <cell r="A1899">
            <v>8648859</v>
          </cell>
        </row>
        <row r="1900">
          <cell r="A1900">
            <v>8648649</v>
          </cell>
        </row>
        <row r="1901">
          <cell r="A1901">
            <v>8653031</v>
          </cell>
        </row>
        <row r="1902">
          <cell r="A1902">
            <v>8658066</v>
          </cell>
        </row>
        <row r="1903">
          <cell r="A1903">
            <v>8661529</v>
          </cell>
        </row>
        <row r="1904">
          <cell r="A1904">
            <v>8651991</v>
          </cell>
        </row>
        <row r="1905">
          <cell r="A1905">
            <v>8661544</v>
          </cell>
        </row>
        <row r="1906">
          <cell r="A1906">
            <v>8660154</v>
          </cell>
        </row>
        <row r="1907">
          <cell r="A1907">
            <v>8659260</v>
          </cell>
        </row>
        <row r="1908">
          <cell r="A1908">
            <v>8657070</v>
          </cell>
        </row>
        <row r="1909">
          <cell r="A1909">
            <v>8657934</v>
          </cell>
        </row>
        <row r="1910">
          <cell r="A1910">
            <v>8651819</v>
          </cell>
        </row>
        <row r="1911">
          <cell r="A1911">
            <v>8658556</v>
          </cell>
        </row>
        <row r="1912">
          <cell r="A1912">
            <v>8600512</v>
          </cell>
        </row>
        <row r="1913">
          <cell r="A1913">
            <v>8602117</v>
          </cell>
        </row>
        <row r="1914">
          <cell r="A1914">
            <v>8658179</v>
          </cell>
        </row>
        <row r="1915">
          <cell r="A1915">
            <v>8661516</v>
          </cell>
        </row>
        <row r="1916">
          <cell r="A1916">
            <v>8652791</v>
          </cell>
        </row>
        <row r="1917">
          <cell r="A1917">
            <v>8654778</v>
          </cell>
        </row>
        <row r="1918">
          <cell r="A1918">
            <v>8654776</v>
          </cell>
        </row>
        <row r="1919">
          <cell r="A1919">
            <v>8657775</v>
          </cell>
        </row>
        <row r="1920">
          <cell r="A1920">
            <v>8629279</v>
          </cell>
        </row>
        <row r="1921">
          <cell r="A1921">
            <v>8655770</v>
          </cell>
        </row>
        <row r="1922">
          <cell r="A1922">
            <v>8654145</v>
          </cell>
        </row>
        <row r="1923">
          <cell r="A1923">
            <v>8636611</v>
          </cell>
        </row>
        <row r="1924">
          <cell r="A1924">
            <v>8652266</v>
          </cell>
        </row>
        <row r="1925">
          <cell r="A1925">
            <v>8657501</v>
          </cell>
        </row>
        <row r="1926">
          <cell r="A1926">
            <v>8614858</v>
          </cell>
        </row>
        <row r="1927">
          <cell r="A1927">
            <v>8655674</v>
          </cell>
        </row>
        <row r="1928">
          <cell r="A1928">
            <v>8659153</v>
          </cell>
        </row>
        <row r="1929">
          <cell r="A1929">
            <v>8651717</v>
          </cell>
        </row>
        <row r="1930">
          <cell r="A1930">
            <v>8660258</v>
          </cell>
        </row>
        <row r="1931">
          <cell r="A1931">
            <v>8654492</v>
          </cell>
        </row>
        <row r="1932">
          <cell r="A1932">
            <v>8652437</v>
          </cell>
        </row>
        <row r="1933">
          <cell r="A1933">
            <v>8651929</v>
          </cell>
        </row>
        <row r="1934">
          <cell r="A1934">
            <v>8645625</v>
          </cell>
        </row>
        <row r="1935">
          <cell r="A1935">
            <v>8651715</v>
          </cell>
        </row>
        <row r="1936">
          <cell r="A1936">
            <v>8652361</v>
          </cell>
        </row>
        <row r="1937">
          <cell r="A1937">
            <v>8660039</v>
          </cell>
        </row>
        <row r="1938">
          <cell r="A1938">
            <v>8651714</v>
          </cell>
        </row>
        <row r="1939">
          <cell r="A1939">
            <v>8657309</v>
          </cell>
        </row>
        <row r="1940">
          <cell r="A1940">
            <v>8657165</v>
          </cell>
        </row>
        <row r="1941">
          <cell r="A1941">
            <v>8652838</v>
          </cell>
        </row>
        <row r="1942">
          <cell r="A1942">
            <v>8660367</v>
          </cell>
        </row>
        <row r="1943">
          <cell r="A1943">
            <v>8659648</v>
          </cell>
        </row>
        <row r="1944">
          <cell r="A1944">
            <v>8646236</v>
          </cell>
        </row>
        <row r="1945">
          <cell r="A1945">
            <v>8657255</v>
          </cell>
        </row>
        <row r="1946">
          <cell r="A1946">
            <v>8651712</v>
          </cell>
        </row>
        <row r="1947">
          <cell r="A1947">
            <v>8660256</v>
          </cell>
        </row>
        <row r="1948">
          <cell r="A1948">
            <v>8661601</v>
          </cell>
        </row>
        <row r="1949">
          <cell r="A1949">
            <v>8651677</v>
          </cell>
        </row>
        <row r="1950">
          <cell r="A1950">
            <v>8657125</v>
          </cell>
        </row>
        <row r="1951">
          <cell r="A1951">
            <v>8654491</v>
          </cell>
        </row>
        <row r="1952">
          <cell r="A1952">
            <v>8651957</v>
          </cell>
        </row>
        <row r="1953">
          <cell r="A1953">
            <v>8651990</v>
          </cell>
        </row>
        <row r="1954">
          <cell r="A1954">
            <v>8607033</v>
          </cell>
        </row>
        <row r="1955">
          <cell r="A1955">
            <v>8631676</v>
          </cell>
        </row>
        <row r="1956">
          <cell r="A1956">
            <v>8600517</v>
          </cell>
        </row>
        <row r="1957">
          <cell r="A1957">
            <v>8646390</v>
          </cell>
        </row>
        <row r="1958">
          <cell r="A1958">
            <v>8622285</v>
          </cell>
        </row>
        <row r="1959">
          <cell r="A1959">
            <v>8661037</v>
          </cell>
        </row>
        <row r="1960">
          <cell r="A1960">
            <v>8621790</v>
          </cell>
        </row>
        <row r="1961">
          <cell r="A1961">
            <v>8619742</v>
          </cell>
        </row>
        <row r="1962">
          <cell r="A1962">
            <v>8643518</v>
          </cell>
        </row>
        <row r="1963">
          <cell r="A1963">
            <v>8644136</v>
          </cell>
        </row>
        <row r="1964">
          <cell r="A1964">
            <v>8628794</v>
          </cell>
        </row>
        <row r="1965">
          <cell r="A1965">
            <v>8633029</v>
          </cell>
        </row>
        <row r="1966">
          <cell r="A1966">
            <v>8624445</v>
          </cell>
        </row>
        <row r="1967">
          <cell r="A1967">
            <v>8647223</v>
          </cell>
        </row>
        <row r="1968">
          <cell r="A1968">
            <v>8651786</v>
          </cell>
        </row>
        <row r="1969">
          <cell r="A1969">
            <v>8656893</v>
          </cell>
        </row>
        <row r="1970">
          <cell r="A1970">
            <v>8660027</v>
          </cell>
        </row>
        <row r="1971">
          <cell r="A1971">
            <v>8637950</v>
          </cell>
        </row>
        <row r="1972">
          <cell r="A1972">
            <v>8658924</v>
          </cell>
        </row>
        <row r="1973">
          <cell r="A1973">
            <v>8653440</v>
          </cell>
        </row>
        <row r="1974">
          <cell r="A1974">
            <v>8651735</v>
          </cell>
        </row>
        <row r="1975">
          <cell r="A1975">
            <v>8660178</v>
          </cell>
        </row>
        <row r="1976">
          <cell r="A1976">
            <v>8661439</v>
          </cell>
        </row>
        <row r="1977">
          <cell r="A1977">
            <v>8659414</v>
          </cell>
        </row>
        <row r="1978">
          <cell r="A1978">
            <v>8660480</v>
          </cell>
        </row>
        <row r="1979">
          <cell r="A1979">
            <v>8646807</v>
          </cell>
        </row>
        <row r="1980">
          <cell r="A1980" t="str">
            <v>Indobarat</v>
          </cell>
        </row>
        <row r="1981">
          <cell r="A1981" t="str">
            <v>Indorama</v>
          </cell>
        </row>
        <row r="1982">
          <cell r="A1982" t="str">
            <v>Pasific</v>
          </cell>
        </row>
        <row r="1983">
          <cell r="A1983">
            <v>8654791</v>
          </cell>
        </row>
        <row r="1984">
          <cell r="A1984">
            <v>8656874</v>
          </cell>
        </row>
        <row r="1985">
          <cell r="A1985">
            <v>8652540</v>
          </cell>
        </row>
        <row r="1986">
          <cell r="A1986">
            <v>8661133</v>
          </cell>
        </row>
        <row r="1987">
          <cell r="A1987">
            <v>8652461</v>
          </cell>
        </row>
        <row r="1988">
          <cell r="A1988">
            <v>8651755</v>
          </cell>
        </row>
        <row r="1989">
          <cell r="A1989">
            <v>8648509</v>
          </cell>
        </row>
        <row r="1990">
          <cell r="A1990">
            <v>8652155</v>
          </cell>
        </row>
        <row r="1991">
          <cell r="A1991">
            <v>8661560</v>
          </cell>
        </row>
        <row r="1992">
          <cell r="A1992">
            <v>8660939</v>
          </cell>
        </row>
        <row r="1993">
          <cell r="A1993">
            <v>8661430</v>
          </cell>
        </row>
        <row r="1994">
          <cell r="A1994">
            <v>8660095</v>
          </cell>
        </row>
        <row r="1995">
          <cell r="A1995">
            <v>8651886</v>
          </cell>
        </row>
        <row r="1996">
          <cell r="A1996">
            <v>8656348</v>
          </cell>
        </row>
        <row r="1997">
          <cell r="A1997">
            <v>8644693</v>
          </cell>
        </row>
        <row r="1998">
          <cell r="A1998">
            <v>8658412</v>
          </cell>
        </row>
        <row r="1999">
          <cell r="A1999">
            <v>8646857</v>
          </cell>
        </row>
        <row r="2000">
          <cell r="A2000">
            <v>8647008</v>
          </cell>
        </row>
        <row r="2001">
          <cell r="A2001">
            <v>8647079</v>
          </cell>
        </row>
        <row r="2002">
          <cell r="A2002">
            <v>8651688</v>
          </cell>
        </row>
        <row r="2003">
          <cell r="A2003">
            <v>8651863</v>
          </cell>
        </row>
        <row r="2004">
          <cell r="A2004">
            <v>8661623</v>
          </cell>
        </row>
        <row r="2005">
          <cell r="A2005">
            <v>8661076</v>
          </cell>
        </row>
        <row r="2006">
          <cell r="A2006">
            <v>8661386</v>
          </cell>
        </row>
        <row r="2007">
          <cell r="A2007">
            <v>8652651</v>
          </cell>
        </row>
        <row r="2008">
          <cell r="A2008">
            <v>8651762</v>
          </cell>
        </row>
        <row r="2009">
          <cell r="A2009">
            <v>8651815</v>
          </cell>
        </row>
        <row r="2010">
          <cell r="A2010">
            <v>8655055</v>
          </cell>
        </row>
        <row r="2011">
          <cell r="A2011">
            <v>8652802</v>
          </cell>
        </row>
        <row r="2012">
          <cell r="A2012">
            <v>8660061</v>
          </cell>
        </row>
        <row r="2013">
          <cell r="A2013">
            <v>8659523</v>
          </cell>
        </row>
        <row r="2014">
          <cell r="A2014">
            <v>8655670</v>
          </cell>
        </row>
        <row r="2015">
          <cell r="A2015">
            <v>8659369</v>
          </cell>
        </row>
        <row r="2016">
          <cell r="A2016">
            <v>8652880</v>
          </cell>
        </row>
        <row r="2017">
          <cell r="A2017">
            <v>8657583</v>
          </cell>
        </row>
        <row r="2018">
          <cell r="A2018">
            <v>8659091</v>
          </cell>
        </row>
        <row r="2019">
          <cell r="A2019">
            <v>8657545</v>
          </cell>
        </row>
        <row r="2020">
          <cell r="A2020">
            <v>8652079</v>
          </cell>
        </row>
        <row r="2021">
          <cell r="A2021">
            <v>8656367</v>
          </cell>
        </row>
        <row r="2022">
          <cell r="A2022">
            <v>8651725</v>
          </cell>
        </row>
        <row r="2023">
          <cell r="A2023">
            <v>8651046</v>
          </cell>
        </row>
        <row r="2024">
          <cell r="A2024">
            <v>8652966</v>
          </cell>
        </row>
        <row r="2025">
          <cell r="A2025">
            <v>8648912</v>
          </cell>
        </row>
        <row r="2026">
          <cell r="A2026">
            <v>8652378</v>
          </cell>
        </row>
        <row r="2027">
          <cell r="A2027">
            <v>8652315</v>
          </cell>
        </row>
        <row r="2028">
          <cell r="A2028">
            <v>8651293</v>
          </cell>
        </row>
        <row r="2029">
          <cell r="A2029">
            <v>8652642</v>
          </cell>
        </row>
        <row r="2030">
          <cell r="A2030">
            <v>8653808</v>
          </cell>
        </row>
        <row r="2031">
          <cell r="A2031">
            <v>8652077</v>
          </cell>
        </row>
        <row r="2032">
          <cell r="A2032">
            <v>8653598</v>
          </cell>
        </row>
        <row r="2033">
          <cell r="A2033">
            <v>8659643</v>
          </cell>
        </row>
        <row r="2034">
          <cell r="A2034">
            <v>8660288</v>
          </cell>
        </row>
        <row r="2035">
          <cell r="A2035">
            <v>8651996</v>
          </cell>
        </row>
        <row r="2036">
          <cell r="A2036">
            <v>8648738</v>
          </cell>
        </row>
        <row r="2037">
          <cell r="A2037">
            <v>8651123</v>
          </cell>
        </row>
        <row r="2038">
          <cell r="A2038">
            <v>8600553</v>
          </cell>
        </row>
        <row r="2039">
          <cell r="A2039">
            <v>8639061</v>
          </cell>
        </row>
        <row r="2040">
          <cell r="A2040">
            <v>8600566</v>
          </cell>
        </row>
        <row r="2041">
          <cell r="A2041">
            <v>8654643</v>
          </cell>
        </row>
        <row r="2042">
          <cell r="A2042">
            <v>8638952</v>
          </cell>
        </row>
        <row r="2043">
          <cell r="A2043">
            <v>8612767</v>
          </cell>
        </row>
        <row r="2044">
          <cell r="A2044">
            <v>8654939</v>
          </cell>
        </row>
        <row r="2045">
          <cell r="A2045">
            <v>8652541</v>
          </cell>
        </row>
        <row r="2046">
          <cell r="A2046">
            <v>8648316</v>
          </cell>
        </row>
        <row r="2047">
          <cell r="A2047">
            <v>8652804</v>
          </cell>
        </row>
        <row r="2048">
          <cell r="A2048">
            <v>8652011</v>
          </cell>
        </row>
        <row r="2049">
          <cell r="A2049">
            <v>8645214</v>
          </cell>
        </row>
        <row r="2050">
          <cell r="A2050">
            <v>8602389</v>
          </cell>
        </row>
        <row r="2051">
          <cell r="A2051">
            <v>8613816</v>
          </cell>
        </row>
        <row r="2052">
          <cell r="A2052">
            <v>8631088</v>
          </cell>
        </row>
        <row r="2053">
          <cell r="A2053">
            <v>8654332</v>
          </cell>
        </row>
        <row r="2054">
          <cell r="A2054">
            <v>8654302</v>
          </cell>
        </row>
        <row r="2055">
          <cell r="A2055">
            <v>8600587</v>
          </cell>
        </row>
        <row r="2056">
          <cell r="A2056">
            <v>8652303</v>
          </cell>
        </row>
        <row r="2057">
          <cell r="A2057">
            <v>8652612</v>
          </cell>
        </row>
        <row r="2058">
          <cell r="A2058">
            <v>8652816</v>
          </cell>
        </row>
        <row r="2059">
          <cell r="A2059">
            <v>8600593</v>
          </cell>
        </row>
        <row r="2060">
          <cell r="A2060">
            <v>8630761</v>
          </cell>
        </row>
        <row r="2061">
          <cell r="A2061">
            <v>8600596</v>
          </cell>
        </row>
        <row r="2062">
          <cell r="A2062">
            <v>8651830</v>
          </cell>
        </row>
        <row r="2063">
          <cell r="A2063">
            <v>8653043</v>
          </cell>
        </row>
        <row r="2064">
          <cell r="A2064">
            <v>8645213</v>
          </cell>
        </row>
        <row r="2065">
          <cell r="A2065">
            <v>8651833</v>
          </cell>
        </row>
        <row r="2066">
          <cell r="A2066">
            <v>8645269</v>
          </cell>
        </row>
        <row r="2067">
          <cell r="A2067">
            <v>8632394</v>
          </cell>
        </row>
        <row r="2068">
          <cell r="A2068">
            <v>8638037</v>
          </cell>
        </row>
        <row r="2069">
          <cell r="A2069">
            <v>8660817</v>
          </cell>
        </row>
        <row r="2070">
          <cell r="A2070">
            <v>8635630</v>
          </cell>
        </row>
        <row r="2071">
          <cell r="A2071">
            <v>8652226</v>
          </cell>
        </row>
        <row r="2072">
          <cell r="A2072">
            <v>8600604</v>
          </cell>
        </row>
        <row r="2073">
          <cell r="A2073">
            <v>8658874</v>
          </cell>
        </row>
        <row r="2074">
          <cell r="A2074">
            <v>8659115</v>
          </cell>
        </row>
        <row r="2075">
          <cell r="A2075">
            <v>8654263</v>
          </cell>
        </row>
        <row r="2076">
          <cell r="A2076">
            <v>8660843</v>
          </cell>
        </row>
        <row r="2077">
          <cell r="A2077">
            <v>8653959</v>
          </cell>
        </row>
        <row r="2078">
          <cell r="A2078">
            <v>8633896</v>
          </cell>
        </row>
        <row r="2079">
          <cell r="A2079">
            <v>8657944</v>
          </cell>
        </row>
        <row r="2080">
          <cell r="A2080">
            <v>8653507</v>
          </cell>
        </row>
        <row r="2081">
          <cell r="A2081">
            <v>8622013</v>
          </cell>
        </row>
        <row r="2082">
          <cell r="A2082">
            <v>8602820</v>
          </cell>
        </row>
        <row r="2083">
          <cell r="A2083">
            <v>8652492</v>
          </cell>
        </row>
        <row r="2084">
          <cell r="A2084">
            <v>8639267</v>
          </cell>
        </row>
        <row r="2085">
          <cell r="A2085">
            <v>8622316</v>
          </cell>
        </row>
        <row r="2086">
          <cell r="A2086">
            <v>8603802</v>
          </cell>
        </row>
        <row r="2087">
          <cell r="A2087">
            <v>8648700</v>
          </cell>
        </row>
        <row r="2088">
          <cell r="A2088">
            <v>8634366</v>
          </cell>
        </row>
        <row r="2089">
          <cell r="A2089">
            <v>8657353</v>
          </cell>
        </row>
        <row r="2090">
          <cell r="A2090">
            <v>8601071</v>
          </cell>
        </row>
        <row r="2091">
          <cell r="A2091">
            <v>8615749</v>
          </cell>
        </row>
        <row r="2092">
          <cell r="A2092">
            <v>8656329</v>
          </cell>
        </row>
        <row r="2093">
          <cell r="A2093">
            <v>8638961</v>
          </cell>
        </row>
        <row r="2094">
          <cell r="A2094">
            <v>8633156</v>
          </cell>
        </row>
        <row r="2095">
          <cell r="A2095">
            <v>8630371</v>
          </cell>
        </row>
        <row r="2096">
          <cell r="A2096">
            <v>8618944</v>
          </cell>
        </row>
        <row r="2097">
          <cell r="A2097">
            <v>8655484</v>
          </cell>
        </row>
        <row r="2098">
          <cell r="A2098">
            <v>8601300</v>
          </cell>
        </row>
        <row r="2099">
          <cell r="A2099">
            <v>8652559</v>
          </cell>
        </row>
        <row r="2100">
          <cell r="A2100">
            <v>8620031</v>
          </cell>
        </row>
        <row r="2101">
          <cell r="A2101">
            <v>8600870</v>
          </cell>
        </row>
        <row r="2102">
          <cell r="A2102">
            <v>8615998</v>
          </cell>
        </row>
        <row r="2103">
          <cell r="A2103">
            <v>8648682</v>
          </cell>
        </row>
        <row r="2104">
          <cell r="A2104">
            <v>8651840</v>
          </cell>
        </row>
        <row r="2105">
          <cell r="A2105">
            <v>8651893</v>
          </cell>
        </row>
        <row r="2106">
          <cell r="A2106">
            <v>8600642</v>
          </cell>
        </row>
        <row r="2107">
          <cell r="A2107">
            <v>8621087</v>
          </cell>
        </row>
        <row r="2108">
          <cell r="A2108">
            <v>8601316</v>
          </cell>
        </row>
        <row r="2109">
          <cell r="A2109">
            <v>8657283</v>
          </cell>
        </row>
        <row r="2110">
          <cell r="A2110">
            <v>8658309</v>
          </cell>
        </row>
        <row r="2111">
          <cell r="A2111">
            <v>8648423</v>
          </cell>
        </row>
        <row r="2112">
          <cell r="A2112">
            <v>8653942</v>
          </cell>
        </row>
        <row r="2113">
          <cell r="A2113">
            <v>8645969</v>
          </cell>
        </row>
        <row r="2114">
          <cell r="A2114">
            <v>8645973</v>
          </cell>
        </row>
        <row r="2115">
          <cell r="A2115">
            <v>8659415</v>
          </cell>
        </row>
        <row r="2116">
          <cell r="A2116">
            <v>8656870</v>
          </cell>
        </row>
        <row r="2117">
          <cell r="A2117">
            <v>8652725</v>
          </cell>
        </row>
        <row r="2118">
          <cell r="A2118">
            <v>8656415</v>
          </cell>
        </row>
        <row r="2119">
          <cell r="A2119">
            <v>8653215</v>
          </cell>
        </row>
        <row r="2120">
          <cell r="A2120">
            <v>8655694</v>
          </cell>
        </row>
        <row r="2121">
          <cell r="A2121">
            <v>8659147</v>
          </cell>
        </row>
        <row r="2122">
          <cell r="A2122">
            <v>8653708</v>
          </cell>
        </row>
        <row r="2123">
          <cell r="A2123">
            <v>8656320</v>
          </cell>
        </row>
        <row r="2124">
          <cell r="A2124">
            <v>8648176</v>
          </cell>
        </row>
        <row r="2125">
          <cell r="A2125">
            <v>8653603</v>
          </cell>
        </row>
        <row r="2126">
          <cell r="A2126">
            <v>8648189</v>
          </cell>
        </row>
        <row r="2127">
          <cell r="A2127">
            <v>8656781</v>
          </cell>
        </row>
        <row r="2128">
          <cell r="A2128">
            <v>8602033</v>
          </cell>
        </row>
        <row r="2129">
          <cell r="A2129">
            <v>8600660</v>
          </cell>
        </row>
        <row r="2130">
          <cell r="A2130">
            <v>8660645</v>
          </cell>
        </row>
        <row r="2131">
          <cell r="A2131">
            <v>8622617</v>
          </cell>
        </row>
        <row r="2132">
          <cell r="A2132">
            <v>8617528</v>
          </cell>
        </row>
        <row r="2133">
          <cell r="A2133">
            <v>8618465</v>
          </cell>
        </row>
        <row r="2134">
          <cell r="A2134">
            <v>8617335</v>
          </cell>
        </row>
        <row r="2135">
          <cell r="A2135">
            <v>8603669</v>
          </cell>
        </row>
        <row r="2136">
          <cell r="A2136">
            <v>8654901</v>
          </cell>
        </row>
        <row r="2137">
          <cell r="A2137">
            <v>8652372</v>
          </cell>
        </row>
        <row r="2138">
          <cell r="A2138">
            <v>8642462</v>
          </cell>
        </row>
        <row r="2139">
          <cell r="A2139">
            <v>8631684</v>
          </cell>
        </row>
        <row r="2140">
          <cell r="A2140">
            <v>8600686</v>
          </cell>
        </row>
        <row r="2141">
          <cell r="A2141">
            <v>8627744</v>
          </cell>
        </row>
        <row r="2142">
          <cell r="A2142">
            <v>8652815</v>
          </cell>
        </row>
        <row r="2143">
          <cell r="A2143">
            <v>8622673</v>
          </cell>
        </row>
        <row r="2144">
          <cell r="A2144">
            <v>8659193</v>
          </cell>
        </row>
        <row r="2145">
          <cell r="A2145">
            <v>8652260</v>
          </cell>
        </row>
        <row r="2146">
          <cell r="A2146">
            <v>8655038</v>
          </cell>
        </row>
        <row r="2147">
          <cell r="A2147">
            <v>8654733</v>
          </cell>
        </row>
        <row r="2148">
          <cell r="A2148">
            <v>8601631</v>
          </cell>
        </row>
        <row r="2149">
          <cell r="A2149">
            <v>8644430</v>
          </cell>
        </row>
        <row r="2150">
          <cell r="A2150">
            <v>8648456</v>
          </cell>
        </row>
        <row r="2151">
          <cell r="A2151">
            <v>8659275</v>
          </cell>
        </row>
        <row r="2152">
          <cell r="A2152">
            <v>8651220</v>
          </cell>
        </row>
        <row r="2153">
          <cell r="A2153">
            <v>8660815</v>
          </cell>
        </row>
        <row r="2154">
          <cell r="A2154">
            <v>8648161</v>
          </cell>
        </row>
        <row r="2155">
          <cell r="A2155">
            <v>8648161</v>
          </cell>
        </row>
        <row r="2156">
          <cell r="A2156">
            <v>8656395</v>
          </cell>
        </row>
        <row r="2157">
          <cell r="A2157">
            <v>8651386</v>
          </cell>
        </row>
        <row r="2158">
          <cell r="A2158">
            <v>8655883</v>
          </cell>
        </row>
        <row r="2159">
          <cell r="A2159">
            <v>8658783</v>
          </cell>
        </row>
        <row r="2160">
          <cell r="A2160">
            <v>8651696</v>
          </cell>
        </row>
        <row r="2161">
          <cell r="A2161">
            <v>8602935</v>
          </cell>
        </row>
        <row r="2162">
          <cell r="A2162">
            <v>8600706</v>
          </cell>
        </row>
        <row r="2163">
          <cell r="A2163">
            <v>8602438</v>
          </cell>
        </row>
        <row r="2164">
          <cell r="A2164">
            <v>8602363</v>
          </cell>
        </row>
        <row r="2165">
          <cell r="A2165">
            <v>8654663</v>
          </cell>
        </row>
        <row r="2166">
          <cell r="A2166">
            <v>8640797</v>
          </cell>
        </row>
        <row r="2167">
          <cell r="A2167" t="str">
            <v>Pindodeli</v>
          </cell>
        </row>
        <row r="2168">
          <cell r="A2168" t="str">
            <v>Toray</v>
          </cell>
        </row>
        <row r="2169">
          <cell r="A2169">
            <v>8660616</v>
          </cell>
        </row>
        <row r="2170">
          <cell r="A2170">
            <v>8632086</v>
          </cell>
        </row>
        <row r="2171">
          <cell r="A2171">
            <v>8621007</v>
          </cell>
        </row>
        <row r="2172">
          <cell r="A2172">
            <v>8658978</v>
          </cell>
        </row>
        <row r="2173">
          <cell r="A2173">
            <v>8652274</v>
          </cell>
        </row>
        <row r="2174">
          <cell r="A2174">
            <v>8632665</v>
          </cell>
        </row>
        <row r="2175">
          <cell r="A2175">
            <v>8656230</v>
          </cell>
        </row>
        <row r="2176">
          <cell r="A2176">
            <v>8659703</v>
          </cell>
        </row>
        <row r="2177">
          <cell r="A2177">
            <v>8660623</v>
          </cell>
        </row>
        <row r="2178">
          <cell r="A2178">
            <v>8651434</v>
          </cell>
        </row>
        <row r="2179">
          <cell r="A2179">
            <v>8634679</v>
          </cell>
        </row>
        <row r="2180">
          <cell r="A2180">
            <v>8660797</v>
          </cell>
        </row>
        <row r="2181">
          <cell r="A2181">
            <v>8659306</v>
          </cell>
        </row>
        <row r="2182">
          <cell r="A2182">
            <v>8660806</v>
          </cell>
        </row>
        <row r="2183">
          <cell r="A2183">
            <v>8620736</v>
          </cell>
        </row>
        <row r="2184">
          <cell r="A2184">
            <v>8656089</v>
          </cell>
        </row>
        <row r="2185">
          <cell r="A2185">
            <v>8657647</v>
          </cell>
        </row>
        <row r="2186">
          <cell r="A2186">
            <v>8647479</v>
          </cell>
        </row>
        <row r="2187">
          <cell r="A2187">
            <v>8653548</v>
          </cell>
        </row>
        <row r="2188">
          <cell r="A2188">
            <v>8654994</v>
          </cell>
        </row>
        <row r="2189">
          <cell r="A2189">
            <v>8652230</v>
          </cell>
        </row>
        <row r="2190">
          <cell r="A2190">
            <v>8657515</v>
          </cell>
        </row>
        <row r="2191">
          <cell r="A2191">
            <v>8644581</v>
          </cell>
        </row>
        <row r="2192">
          <cell r="A2192">
            <v>8647916</v>
          </cell>
        </row>
        <row r="2193">
          <cell r="A2193">
            <v>8603362</v>
          </cell>
        </row>
        <row r="2194">
          <cell r="A2194">
            <v>8634975</v>
          </cell>
        </row>
        <row r="2195">
          <cell r="A2195">
            <v>8656055</v>
          </cell>
        </row>
        <row r="2196">
          <cell r="A2196">
            <v>8647807</v>
          </cell>
        </row>
        <row r="2197">
          <cell r="A2197">
            <v>8630038</v>
          </cell>
        </row>
        <row r="2198">
          <cell r="A2198">
            <v>8647787</v>
          </cell>
        </row>
        <row r="2199">
          <cell r="A2199">
            <v>8645445</v>
          </cell>
        </row>
        <row r="2200">
          <cell r="A2200">
            <v>8661326</v>
          </cell>
        </row>
        <row r="2201">
          <cell r="A2201">
            <v>8601978</v>
          </cell>
        </row>
        <row r="2202">
          <cell r="A2202">
            <v>8655487</v>
          </cell>
        </row>
        <row r="2203">
          <cell r="A2203">
            <v>8632200</v>
          </cell>
        </row>
        <row r="2204">
          <cell r="A2204">
            <v>8657556</v>
          </cell>
        </row>
        <row r="2205">
          <cell r="A2205">
            <v>8635020</v>
          </cell>
        </row>
        <row r="2206">
          <cell r="A2206">
            <v>8653245</v>
          </cell>
        </row>
        <row r="2207">
          <cell r="A2207">
            <v>8656577</v>
          </cell>
        </row>
        <row r="2208">
          <cell r="A2208">
            <v>8601655</v>
          </cell>
        </row>
        <row r="2209">
          <cell r="A2209">
            <v>8614785</v>
          </cell>
        </row>
        <row r="2210">
          <cell r="A2210">
            <v>8655212</v>
          </cell>
        </row>
        <row r="2211">
          <cell r="A2211">
            <v>8652967</v>
          </cell>
        </row>
        <row r="2212">
          <cell r="A2212">
            <v>8653847</v>
          </cell>
        </row>
        <row r="2213">
          <cell r="A2213">
            <v>8658916</v>
          </cell>
        </row>
        <row r="2214">
          <cell r="A2214">
            <v>8655022</v>
          </cell>
        </row>
        <row r="2215">
          <cell r="A2215">
            <v>8654702</v>
          </cell>
        </row>
        <row r="2216">
          <cell r="A2216">
            <v>8655347</v>
          </cell>
        </row>
        <row r="2217">
          <cell r="A2217">
            <v>8647760</v>
          </cell>
        </row>
        <row r="2218">
          <cell r="A2218">
            <v>8659961</v>
          </cell>
        </row>
        <row r="2219">
          <cell r="A2219">
            <v>8660533</v>
          </cell>
        </row>
        <row r="2220">
          <cell r="A2220">
            <v>8647363</v>
          </cell>
        </row>
        <row r="2221">
          <cell r="A2221">
            <v>8656946</v>
          </cell>
        </row>
        <row r="2222">
          <cell r="A2222">
            <v>8611023</v>
          </cell>
        </row>
        <row r="2223">
          <cell r="A2223">
            <v>8653046</v>
          </cell>
        </row>
        <row r="2224">
          <cell r="A2224">
            <v>8648860</v>
          </cell>
        </row>
        <row r="2225">
          <cell r="A2225">
            <v>8651075</v>
          </cell>
        </row>
        <row r="2226">
          <cell r="A2226">
            <v>8651077</v>
          </cell>
        </row>
        <row r="2227">
          <cell r="A2227">
            <v>8653044</v>
          </cell>
        </row>
        <row r="2228">
          <cell r="A2228">
            <v>8654830</v>
          </cell>
        </row>
        <row r="2229">
          <cell r="A2229">
            <v>8653045</v>
          </cell>
        </row>
        <row r="2230">
          <cell r="A2230">
            <v>8652912</v>
          </cell>
        </row>
        <row r="2231">
          <cell r="A2231">
            <v>8656322</v>
          </cell>
        </row>
        <row r="2232">
          <cell r="A2232">
            <v>8646971</v>
          </cell>
        </row>
        <row r="2233">
          <cell r="A2233">
            <v>8654110</v>
          </cell>
        </row>
        <row r="2234">
          <cell r="A2234">
            <v>8656584</v>
          </cell>
        </row>
        <row r="2235">
          <cell r="A2235">
            <v>8657890</v>
          </cell>
        </row>
        <row r="2236">
          <cell r="A2236">
            <v>8656233</v>
          </cell>
        </row>
        <row r="2237">
          <cell r="A2237">
            <v>8648476</v>
          </cell>
        </row>
        <row r="2238">
          <cell r="A2238">
            <v>8660502</v>
          </cell>
        </row>
        <row r="2239">
          <cell r="A2239">
            <v>8655164</v>
          </cell>
        </row>
        <row r="2240">
          <cell r="A2240">
            <v>8655729</v>
          </cell>
        </row>
      </sheetData>
      <sheetData sheetId="5">
        <row r="2">
          <cell r="A2">
            <v>0</v>
          </cell>
        </row>
      </sheetData>
      <sheetData sheetId="6">
        <row r="2">
          <cell r="A2">
            <v>0</v>
          </cell>
        </row>
      </sheetData>
      <sheetData sheetId="7">
        <row r="2">
          <cell r="A2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MA"/>
      <sheetName val="DOID"/>
    </sheetNames>
    <sheetDataSet>
      <sheetData sheetId="0"/>
      <sheetData sheetId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oyee"/>
      <sheetName val="Revenue"/>
      <sheetName val="SGA"/>
      <sheetName val="Investasi"/>
    </sheetNames>
    <sheetDataSet>
      <sheetData sheetId="0">
        <row r="30">
          <cell r="O30">
            <v>0.70167777777777784</v>
          </cell>
        </row>
      </sheetData>
      <sheetData sheetId="1">
        <row r="5">
          <cell r="K5">
            <v>1</v>
          </cell>
        </row>
        <row r="6">
          <cell r="K6">
            <v>2</v>
          </cell>
        </row>
        <row r="7">
          <cell r="K7">
            <v>3</v>
          </cell>
        </row>
        <row r="8">
          <cell r="K8">
            <v>4</v>
          </cell>
        </row>
        <row r="9">
          <cell r="K9">
            <v>5</v>
          </cell>
        </row>
        <row r="10">
          <cell r="K10">
            <v>6</v>
          </cell>
        </row>
        <row r="11">
          <cell r="K11">
            <v>7</v>
          </cell>
        </row>
      </sheetData>
      <sheetData sheetId="2">
        <row r="74">
          <cell r="A74" t="str">
            <v>L 300</v>
          </cell>
        </row>
      </sheetData>
      <sheetData sheetId="3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S "/>
      <sheetName val="AJE"/>
      <sheetName val="RJE"/>
      <sheetName val="procedure"/>
    </sheetNames>
    <sheetDataSet>
      <sheetData sheetId="0"/>
      <sheetData sheetId="1">
        <row r="1">
          <cell r="B1" t="str">
            <v>LAUTAN LUAS SHANGHAI CO LTD</v>
          </cell>
        </row>
        <row r="2">
          <cell r="B2" t="str">
            <v>(Incorporated in the Republic of Singapore)</v>
          </cell>
        </row>
        <row r="4">
          <cell r="B4" t="str">
            <v>INCOME STATEMENT FOR THE FINANCIAL YEAR ENDED 31 DEC. 2007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  <cell r="M7" t="str">
            <v>audited</v>
          </cell>
        </row>
        <row r="8">
          <cell r="D8" t="str">
            <v>WP REF</v>
          </cell>
          <cell r="F8">
            <v>2007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>
            <v>2007</v>
          </cell>
          <cell r="M8">
            <v>2007</v>
          </cell>
        </row>
        <row r="9">
          <cell r="F9" t="str">
            <v>RMB</v>
          </cell>
          <cell r="G9" t="str">
            <v>RMB</v>
          </cell>
          <cell r="H9" t="str">
            <v>RMB</v>
          </cell>
          <cell r="I9" t="str">
            <v>RMB</v>
          </cell>
          <cell r="J9" t="str">
            <v>RMB</v>
          </cell>
          <cell r="K9" t="str">
            <v>RMB</v>
          </cell>
          <cell r="M9" t="str">
            <v>S$</v>
          </cell>
        </row>
        <row r="11">
          <cell r="A11">
            <v>10000</v>
          </cell>
          <cell r="B11" t="str">
            <v>Turnover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M11">
            <v>0</v>
          </cell>
        </row>
        <row r="12">
          <cell r="F12">
            <v>0</v>
          </cell>
        </row>
        <row r="13">
          <cell r="A13">
            <v>20000</v>
          </cell>
          <cell r="B13" t="str">
            <v>Cost of sales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M13">
            <v>0</v>
          </cell>
        </row>
        <row r="15">
          <cell r="A15" t="str">
            <v>GP</v>
          </cell>
          <cell r="B15" t="str">
            <v>Gross profit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</row>
        <row r="17">
          <cell r="A17">
            <v>30000</v>
          </cell>
          <cell r="B17" t="str">
            <v>Other operating income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9">
          <cell r="A19">
            <v>40000</v>
          </cell>
          <cell r="B19" t="str">
            <v>Financial income</v>
          </cell>
          <cell r="F19">
            <v>13198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13198</v>
          </cell>
          <cell r="M19">
            <v>2618</v>
          </cell>
        </row>
        <row r="21">
          <cell r="A21">
            <v>50000</v>
          </cell>
          <cell r="B21" t="str">
            <v>Distribution costs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</row>
        <row r="23">
          <cell r="A23">
            <v>60000</v>
          </cell>
          <cell r="B23" t="str">
            <v>Administrative expenses</v>
          </cell>
          <cell r="F23">
            <v>-168728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-168728</v>
          </cell>
          <cell r="M23">
            <v>-33474</v>
          </cell>
        </row>
        <row r="25">
          <cell r="A25">
            <v>70000</v>
          </cell>
          <cell r="B25" t="str">
            <v>Other operating expenses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</row>
        <row r="27">
          <cell r="A27">
            <v>100000</v>
          </cell>
          <cell r="B27" t="str">
            <v>Share of profit of associates</v>
          </cell>
        </row>
        <row r="29">
          <cell r="A29">
            <v>80000</v>
          </cell>
          <cell r="B29" t="str">
            <v>Financial expenses</v>
          </cell>
          <cell r="F29">
            <v>-9736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-9736</v>
          </cell>
          <cell r="M29">
            <v>-1932</v>
          </cell>
        </row>
        <row r="31">
          <cell r="A31" t="str">
            <v>PBT</v>
          </cell>
          <cell r="B31" t="str">
            <v>(Loss)/Profit for the year before taxation</v>
          </cell>
          <cell r="F31">
            <v>-165266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-165266</v>
          </cell>
          <cell r="M31">
            <v>-32788</v>
          </cell>
        </row>
        <row r="33">
          <cell r="A33">
            <v>90000</v>
          </cell>
          <cell r="B33" t="str">
            <v>Taxation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</row>
        <row r="35">
          <cell r="A35" t="str">
            <v>PAT</v>
          </cell>
          <cell r="B35" t="str">
            <v>(Loss)/Profit for the year after taxation</v>
          </cell>
          <cell r="F35">
            <v>-165266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-165266</v>
          </cell>
          <cell r="M35">
            <v>-32788</v>
          </cell>
        </row>
        <row r="36">
          <cell r="F36">
            <v>0</v>
          </cell>
          <cell r="G36" t="str">
            <v>total AJE in Dr</v>
          </cell>
          <cell r="H36" t="str">
            <v>total AJE in Cr</v>
          </cell>
          <cell r="I36" t="str">
            <v>total RJE in Dr</v>
          </cell>
          <cell r="J36" t="str">
            <v>total RJE in Cr</v>
          </cell>
          <cell r="K36">
            <v>0</v>
          </cell>
        </row>
        <row r="40">
          <cell r="B40" t="str">
            <v>Client : Lautan Luas Shanghai Co Ltd</v>
          </cell>
        </row>
        <row r="41">
          <cell r="B41" t="str">
            <v>(Incorporated in the Republic of Singapore)</v>
          </cell>
        </row>
        <row r="43">
          <cell r="B43" t="str">
            <v>BALANCE SHEET AS AT 31 DEC. 2007</v>
          </cell>
        </row>
        <row r="44">
          <cell r="F44" t="str">
            <v>unaudited</v>
          </cell>
          <cell r="G44" t="str">
            <v>Audit Adjustment (AJE)</v>
          </cell>
          <cell r="I44" t="str">
            <v>Reclassification (RJE)</v>
          </cell>
          <cell r="K44" t="str">
            <v>audited</v>
          </cell>
          <cell r="M44" t="str">
            <v>audited</v>
          </cell>
        </row>
        <row r="45">
          <cell r="D45" t="str">
            <v>WP REF</v>
          </cell>
          <cell r="F45">
            <v>2007</v>
          </cell>
          <cell r="G45" t="str">
            <v>DR</v>
          </cell>
          <cell r="H45" t="str">
            <v>CR</v>
          </cell>
          <cell r="I45" t="str">
            <v>DR</v>
          </cell>
          <cell r="J45" t="str">
            <v>CR</v>
          </cell>
          <cell r="K45">
            <v>2007</v>
          </cell>
          <cell r="M45">
            <v>2007</v>
          </cell>
        </row>
        <row r="46">
          <cell r="F46" t="str">
            <v>RMB</v>
          </cell>
          <cell r="G46" t="str">
            <v>RMB</v>
          </cell>
          <cell r="H46" t="str">
            <v>RMB</v>
          </cell>
          <cell r="I46" t="str">
            <v>RMB</v>
          </cell>
          <cell r="J46" t="str">
            <v>RMB</v>
          </cell>
          <cell r="K46" t="str">
            <v>RMB</v>
          </cell>
          <cell r="M46" t="str">
            <v>S$</v>
          </cell>
        </row>
        <row r="47">
          <cell r="B47" t="str">
            <v>ASSETS</v>
          </cell>
        </row>
        <row r="48">
          <cell r="B48" t="str">
            <v>Non-current assets</v>
          </cell>
          <cell r="K48">
            <v>0</v>
          </cell>
        </row>
        <row r="49">
          <cell r="A49">
            <v>1000</v>
          </cell>
          <cell r="B49" t="str">
            <v xml:space="preserve">    Plant and equipment</v>
          </cell>
          <cell r="F49">
            <v>5334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5334</v>
          </cell>
          <cell r="M49">
            <v>1058</v>
          </cell>
        </row>
        <row r="50">
          <cell r="A50">
            <v>1001</v>
          </cell>
          <cell r="B50" t="str">
            <v xml:space="preserve">    Intangible assets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</row>
        <row r="51">
          <cell r="A51">
            <v>1002</v>
          </cell>
          <cell r="B51" t="str">
            <v xml:space="preserve">    Investment in subsidiaries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1003</v>
          </cell>
          <cell r="B52" t="str">
            <v xml:space="preserve">    Investment in associated companies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1004</v>
          </cell>
          <cell r="B53" t="str">
            <v xml:space="preserve">     Other assets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5">
          <cell r="B55" t="str">
            <v>Current assets</v>
          </cell>
          <cell r="K55">
            <v>0</v>
          </cell>
        </row>
        <row r="56">
          <cell r="A56">
            <v>2000</v>
          </cell>
          <cell r="B56" t="str">
            <v xml:space="preserve">    Inventories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</row>
        <row r="57">
          <cell r="A57">
            <v>2101</v>
          </cell>
          <cell r="B57" t="str">
            <v xml:space="preserve">    Trade receivables &amp; other receivables</v>
          </cell>
          <cell r="F57">
            <v>400000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400000</v>
          </cell>
          <cell r="M57">
            <v>79320</v>
          </cell>
        </row>
        <row r="58">
          <cell r="A58">
            <v>2102</v>
          </cell>
          <cell r="B58" t="str">
            <v xml:space="preserve">    Cash and cash equivalents</v>
          </cell>
          <cell r="F58">
            <v>1477289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1477289</v>
          </cell>
          <cell r="M58">
            <v>292946</v>
          </cell>
        </row>
        <row r="59">
          <cell r="K59">
            <v>0</v>
          </cell>
        </row>
        <row r="60">
          <cell r="A60" t="str">
            <v>CA</v>
          </cell>
          <cell r="B60" t="str">
            <v>Total current assets</v>
          </cell>
          <cell r="F60">
            <v>1877289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1877289</v>
          </cell>
          <cell r="M60">
            <v>372266</v>
          </cell>
        </row>
        <row r="61">
          <cell r="K61">
            <v>0</v>
          </cell>
        </row>
        <row r="62">
          <cell r="A62" t="str">
            <v>TA</v>
          </cell>
          <cell r="B62" t="str">
            <v>TOTAL ASSETS</v>
          </cell>
          <cell r="F62">
            <v>1882623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1882623</v>
          </cell>
          <cell r="M62">
            <v>373324</v>
          </cell>
        </row>
        <row r="63">
          <cell r="K63">
            <v>0</v>
          </cell>
        </row>
        <row r="64">
          <cell r="B64" t="str">
            <v>EQUITY AND LIABILITIES</v>
          </cell>
          <cell r="K64">
            <v>0</v>
          </cell>
        </row>
        <row r="65">
          <cell r="B65" t="str">
            <v>Capital and reserves</v>
          </cell>
          <cell r="K65">
            <v>0</v>
          </cell>
        </row>
        <row r="66">
          <cell r="A66">
            <v>6000</v>
          </cell>
          <cell r="B66" t="str">
            <v xml:space="preserve">    Share capital</v>
          </cell>
          <cell r="F66">
            <v>2000000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2000000</v>
          </cell>
          <cell r="M66">
            <v>408014</v>
          </cell>
        </row>
        <row r="67">
          <cell r="A67">
            <v>6300</v>
          </cell>
          <cell r="B67" t="str">
            <v xml:space="preserve">    Translation reserve</v>
          </cell>
          <cell r="G67">
            <v>0</v>
          </cell>
          <cell r="H67">
            <v>0</v>
          </cell>
          <cell r="M67">
            <v>-11399</v>
          </cell>
        </row>
        <row r="68">
          <cell r="A68">
            <v>6100</v>
          </cell>
          <cell r="B68" t="str">
            <v xml:space="preserve">     Reserves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</row>
        <row r="69">
          <cell r="A69">
            <v>6101</v>
          </cell>
          <cell r="C69" t="str">
            <v>RETAINED EARNINGS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</row>
        <row r="70">
          <cell r="A70">
            <v>6103</v>
          </cell>
          <cell r="C70" t="str">
            <v>Dividend payable</v>
          </cell>
          <cell r="G70">
            <v>0</v>
          </cell>
          <cell r="H70">
            <v>0</v>
          </cell>
          <cell r="K70">
            <v>0</v>
          </cell>
          <cell r="M70">
            <v>0</v>
          </cell>
        </row>
        <row r="71">
          <cell r="A71">
            <v>6104</v>
          </cell>
          <cell r="C71" t="str">
            <v>Other reserve</v>
          </cell>
          <cell r="G71">
            <v>0</v>
          </cell>
          <cell r="H71">
            <v>0</v>
          </cell>
          <cell r="K71">
            <v>0</v>
          </cell>
          <cell r="M71">
            <v>0</v>
          </cell>
        </row>
        <row r="72">
          <cell r="A72">
            <v>6105</v>
          </cell>
          <cell r="C72" t="str">
            <v>Welfare payable</v>
          </cell>
          <cell r="G72">
            <v>0</v>
          </cell>
          <cell r="H72">
            <v>0</v>
          </cell>
          <cell r="K72">
            <v>0</v>
          </cell>
          <cell r="M72">
            <v>0</v>
          </cell>
        </row>
        <row r="73">
          <cell r="A73">
            <v>6102</v>
          </cell>
          <cell r="C73" t="str">
            <v>PROFIT (LOSS) FOR THE PERIOD</v>
          </cell>
          <cell r="F73">
            <v>-165266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-165266</v>
          </cell>
          <cell r="M73">
            <v>-32787</v>
          </cell>
        </row>
        <row r="74">
          <cell r="A74">
            <v>6200</v>
          </cell>
          <cell r="B74" t="str">
            <v xml:space="preserve">    Accumulated Profit / loss</v>
          </cell>
          <cell r="F74">
            <v>-165266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-165266</v>
          </cell>
          <cell r="M74">
            <v>-32787</v>
          </cell>
        </row>
        <row r="75">
          <cell r="A75" t="str">
            <v>TEQ</v>
          </cell>
          <cell r="B75" t="str">
            <v>TOTAL EQUITY</v>
          </cell>
          <cell r="F75">
            <v>1834734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1834734</v>
          </cell>
          <cell r="M75">
            <v>363828</v>
          </cell>
        </row>
        <row r="76">
          <cell r="B76" t="str">
            <v>Non-current liabilities</v>
          </cell>
          <cell r="K76">
            <v>0</v>
          </cell>
        </row>
        <row r="77">
          <cell r="A77">
            <v>4000</v>
          </cell>
          <cell r="B77" t="str">
            <v xml:space="preserve">    Deferred tax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4101</v>
          </cell>
          <cell r="B78" t="str">
            <v xml:space="preserve">    Hire Purchase creditors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A79" t="str">
            <v>LTL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Current liabilities</v>
          </cell>
        </row>
        <row r="81">
          <cell r="A81">
            <v>3000</v>
          </cell>
          <cell r="B81" t="str">
            <v xml:space="preserve">    Trade and other payables</v>
          </cell>
          <cell r="F81">
            <v>47889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47889</v>
          </cell>
          <cell r="M81">
            <v>9496</v>
          </cell>
        </row>
        <row r="82">
          <cell r="A82">
            <v>4102</v>
          </cell>
          <cell r="B82" t="str">
            <v xml:space="preserve">    Short term loans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</row>
        <row r="83">
          <cell r="A83">
            <v>3101</v>
          </cell>
          <cell r="B83" t="str">
            <v xml:space="preserve">     Provision for taxation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</row>
        <row r="84">
          <cell r="K84">
            <v>0</v>
          </cell>
        </row>
        <row r="85">
          <cell r="A85" t="str">
            <v>CL</v>
          </cell>
          <cell r="B85" t="str">
            <v>Total Current liabilities</v>
          </cell>
          <cell r="F85">
            <v>47889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47889</v>
          </cell>
          <cell r="M85">
            <v>9496</v>
          </cell>
        </row>
        <row r="86"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A87" t="str">
            <v>MI</v>
          </cell>
          <cell r="B87" t="str">
            <v>Minority interests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9">
          <cell r="B89" t="str">
            <v>TOTAL EQUITY AND LIABILITIES</v>
          </cell>
          <cell r="F89">
            <v>1882623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1882623</v>
          </cell>
          <cell r="M89">
            <v>373324</v>
          </cell>
        </row>
        <row r="90">
          <cell r="C90" t="str">
            <v>Test check</v>
          </cell>
          <cell r="F90">
            <v>0</v>
          </cell>
          <cell r="J90">
            <v>0</v>
          </cell>
          <cell r="K90">
            <v>0</v>
          </cell>
          <cell r="M90">
            <v>0</v>
          </cell>
        </row>
        <row r="91">
          <cell r="K91">
            <v>0</v>
          </cell>
        </row>
        <row r="92">
          <cell r="C92" t="str">
            <v>Client: Lautan Hongze Chemical Industry Ltd</v>
          </cell>
        </row>
        <row r="93">
          <cell r="C93" t="str">
            <v>(Incorporated in the Republic of Singapore)</v>
          </cell>
          <cell r="K93">
            <v>0</v>
          </cell>
        </row>
        <row r="94">
          <cell r="K94">
            <v>0</v>
          </cell>
        </row>
        <row r="95">
          <cell r="C95" t="str">
            <v>DETAILED TRADING, PROFIT &amp; LOSS ACCOUNT FOR THE FINANCIAL YEAR ENDED 31 DEC. 2007</v>
          </cell>
          <cell r="K95">
            <v>0</v>
          </cell>
        </row>
        <row r="96">
          <cell r="K96">
            <v>0</v>
          </cell>
        </row>
        <row r="98">
          <cell r="F98" t="str">
            <v>unaudited</v>
          </cell>
          <cell r="G98" t="str">
            <v>Audit Adjustment (AJE)</v>
          </cell>
          <cell r="I98" t="str">
            <v>Reclassification (RJE)</v>
          </cell>
          <cell r="K98" t="str">
            <v>audited</v>
          </cell>
          <cell r="M98" t="str">
            <v>audited</v>
          </cell>
        </row>
        <row r="99">
          <cell r="D99" t="str">
            <v>WP REF</v>
          </cell>
          <cell r="F99">
            <v>2007</v>
          </cell>
          <cell r="G99" t="str">
            <v>DR</v>
          </cell>
          <cell r="H99" t="str">
            <v>CR</v>
          </cell>
          <cell r="I99" t="str">
            <v>DR</v>
          </cell>
          <cell r="J99" t="str">
            <v>CR</v>
          </cell>
          <cell r="K99">
            <v>2007</v>
          </cell>
          <cell r="M99">
            <v>2006</v>
          </cell>
        </row>
        <row r="100">
          <cell r="F100" t="str">
            <v>RMB</v>
          </cell>
          <cell r="G100" t="str">
            <v>RMB</v>
          </cell>
          <cell r="H100" t="str">
            <v>RMB</v>
          </cell>
          <cell r="I100" t="str">
            <v>RMB</v>
          </cell>
          <cell r="J100" t="str">
            <v>RMB</v>
          </cell>
          <cell r="K100" t="str">
            <v>RMB</v>
          </cell>
          <cell r="M100" t="str">
            <v>S$</v>
          </cell>
        </row>
        <row r="101">
          <cell r="A101">
            <v>10000</v>
          </cell>
          <cell r="B101" t="str">
            <v>SALES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B103" t="str">
            <v>Less Cost of sales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>
            <v>21000</v>
          </cell>
          <cell r="B104" t="str">
            <v>Opening stocks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A105">
            <v>22000</v>
          </cell>
          <cell r="B105" t="str">
            <v>Purchases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23000</v>
          </cell>
          <cell r="B106" t="str">
            <v>Closing stocks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24000</v>
          </cell>
          <cell r="B107" t="str">
            <v>Freight and handling charges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25000</v>
          </cell>
          <cell r="B108" t="str">
            <v>Marine Insurance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A109">
            <v>20000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GROSS PROFIT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OTHER OPERATING INCOME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30001</v>
          </cell>
          <cell r="B112" t="str">
            <v xml:space="preserve">    Other income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30002</v>
          </cell>
          <cell r="B113" t="str">
            <v xml:space="preserve">    Exchange gain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30003</v>
          </cell>
          <cell r="B114" t="str">
            <v xml:space="preserve">    Commission income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30000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B117" t="str">
            <v>FINANCIAL INCOME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</row>
        <row r="118">
          <cell r="A118">
            <v>40001</v>
          </cell>
          <cell r="B118" t="str">
            <v xml:space="preserve">     Interest income</v>
          </cell>
          <cell r="F118">
            <v>13198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13198</v>
          </cell>
        </row>
        <row r="119">
          <cell r="A119">
            <v>40002</v>
          </cell>
          <cell r="B119" t="str">
            <v xml:space="preserve">    Dividend income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A120">
            <v>40000</v>
          </cell>
          <cell r="F120">
            <v>13198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13198</v>
          </cell>
        </row>
        <row r="121"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B122" t="str">
            <v>DISTRIBUTION COSTS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>
            <v>50001</v>
          </cell>
          <cell r="B123" t="str">
            <v xml:space="preserve">    Advertisement 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A124">
            <v>50002</v>
          </cell>
          <cell r="B124" t="str">
            <v xml:space="preserve">    Commission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50003</v>
          </cell>
          <cell r="B125" t="str">
            <v xml:space="preserve">    Entertainment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A126">
            <v>50004</v>
          </cell>
          <cell r="B126" t="str">
            <v xml:space="preserve">    Storage charges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A127">
            <v>50005</v>
          </cell>
          <cell r="B127" t="str">
            <v xml:space="preserve">    Transport charges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A128">
            <v>50006</v>
          </cell>
          <cell r="B128" t="str">
            <v xml:space="preserve">    Travelling expenses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A129">
            <v>50000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B132" t="str">
            <v>ADMINISTRATIVE EXPENSES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A133">
            <v>60001</v>
          </cell>
          <cell r="B133" t="str">
            <v xml:space="preserve">    Accountancy fee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A134">
            <v>60002</v>
          </cell>
          <cell r="B134" t="str">
            <v xml:space="preserve">    Auditors’ remuneration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A135">
            <v>60003</v>
          </cell>
          <cell r="B135" t="str">
            <v xml:space="preserve">    Bank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A136">
            <v>60004</v>
          </cell>
          <cell r="B136" t="str">
            <v xml:space="preserve">    Depreciation 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A137">
            <v>60005</v>
          </cell>
          <cell r="B137" t="str">
            <v xml:space="preserve">    Director’s remuneration 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A138">
            <v>60006</v>
          </cell>
          <cell r="B138" t="str">
            <v xml:space="preserve">    Director’s CPF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A139">
            <v>60007</v>
          </cell>
          <cell r="B139" t="str">
            <v xml:space="preserve">    Donation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60008</v>
          </cell>
          <cell r="B140" t="str">
            <v xml:space="preserve">    Entertainment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A141">
            <v>60009</v>
          </cell>
          <cell r="B141" t="str">
            <v xml:space="preserve">    General expenses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A142">
            <v>60010</v>
          </cell>
          <cell r="B142" t="str">
            <v xml:space="preserve">    Insurance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A143">
            <v>60011</v>
          </cell>
          <cell r="B143" t="str">
            <v xml:space="preserve">    Internet expenses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60012</v>
          </cell>
          <cell r="B144" t="str">
            <v xml:space="preserve">    Medical expenses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A145">
            <v>60013</v>
          </cell>
          <cell r="B145" t="str">
            <v xml:space="preserve">    Office rental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A146">
            <v>60014</v>
          </cell>
          <cell r="B146" t="str">
            <v xml:space="preserve">    Postage and courier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A147">
            <v>60015</v>
          </cell>
          <cell r="B147" t="str">
            <v xml:space="preserve">    Printing and stationery 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A148">
            <v>60016</v>
          </cell>
          <cell r="B148" t="str">
            <v xml:space="preserve">    Professional fees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A149">
            <v>60017</v>
          </cell>
          <cell r="B149" t="str">
            <v xml:space="preserve">    Repair and maintenance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A150">
            <v>60018</v>
          </cell>
          <cell r="B150" t="str">
            <v xml:space="preserve">    Refreshments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A151">
            <v>60019</v>
          </cell>
          <cell r="B151" t="str">
            <v xml:space="preserve">    Secretarial fees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A152">
            <v>60020</v>
          </cell>
          <cell r="B152" t="str">
            <v xml:space="preserve">    Staff salaries and bonus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A153">
            <v>60021</v>
          </cell>
          <cell r="B153" t="str">
            <v xml:space="preserve">    Staff CPF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A154">
            <v>60022</v>
          </cell>
          <cell r="B154" t="str">
            <v xml:space="preserve">    Staff benefit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A155">
            <v>60023</v>
          </cell>
          <cell r="B155" t="str">
            <v xml:space="preserve">    Staff incentives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A156">
            <v>60024</v>
          </cell>
          <cell r="B156" t="str">
            <v xml:space="preserve">    Telephone and telex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A157">
            <v>60025</v>
          </cell>
          <cell r="B157" t="str">
            <v xml:space="preserve">    Transport expenses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A158">
            <v>60026</v>
          </cell>
          <cell r="B158" t="str">
            <v xml:space="preserve">    Travelling expenses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A159">
            <v>60027</v>
          </cell>
          <cell r="B159" t="str">
            <v xml:space="preserve">    Upkeep of office equipment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A160">
            <v>60028</v>
          </cell>
          <cell r="B160" t="str">
            <v xml:space="preserve">    Upkeep of office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A161">
            <v>60029</v>
          </cell>
          <cell r="B161" t="str">
            <v xml:space="preserve">    Water and electricity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A166">
            <v>60000</v>
          </cell>
          <cell r="F166">
            <v>168728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168728</v>
          </cell>
        </row>
        <row r="167">
          <cell r="B167" t="str">
            <v>OTHER OPERATING EXPENSES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A168">
            <v>70001</v>
          </cell>
          <cell r="B168" t="str">
            <v xml:space="preserve">    Provision for doubtful debts written off/(back) - trade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A169">
            <v>70002</v>
          </cell>
          <cell r="B169" t="str">
            <v xml:space="preserve">    Provision for obsolete stocks</v>
          </cell>
          <cell r="C169" t="str">
            <v>Penalty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A170">
            <v>70003</v>
          </cell>
          <cell r="B170" t="str">
            <v xml:space="preserve">    Capital expenses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A171">
            <v>70004</v>
          </cell>
          <cell r="B171" t="str">
            <v xml:space="preserve">    Fixed assets written off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A172">
            <v>70005</v>
          </cell>
          <cell r="B172" t="str">
            <v xml:space="preserve">    Stock written off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A173">
            <v>70000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FINANCE EXPENSES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A175">
            <v>80001</v>
          </cell>
          <cell r="B175" t="str">
            <v xml:space="preserve">     Interest expenses</v>
          </cell>
          <cell r="F175">
            <v>366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366</v>
          </cell>
        </row>
        <row r="176">
          <cell r="A176">
            <v>80002</v>
          </cell>
          <cell r="B176" t="str">
            <v xml:space="preserve">     Exchange difference</v>
          </cell>
          <cell r="F176">
            <v>9370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9370</v>
          </cell>
        </row>
        <row r="177">
          <cell r="A177">
            <v>80000</v>
          </cell>
          <cell r="F177">
            <v>9736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9736</v>
          </cell>
        </row>
        <row r="178">
          <cell r="B178" t="str">
            <v>(LOSS)/ PROFIT for the year before taxation</v>
          </cell>
          <cell r="F178">
            <v>-165266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-165266</v>
          </cell>
        </row>
        <row r="179">
          <cell r="A179">
            <v>90001</v>
          </cell>
          <cell r="B179" t="str">
            <v xml:space="preserve">   Taxation- current year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A180">
            <v>90002</v>
          </cell>
          <cell r="B180" t="str">
            <v xml:space="preserve">   Taxation-over/under PY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A181">
            <v>90003</v>
          </cell>
          <cell r="B181" t="str">
            <v xml:space="preserve">   Taxation-Def tax transfer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A182">
            <v>90000</v>
          </cell>
          <cell r="B182" t="str">
            <v>Taxation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PROFIT for the year after taxation</v>
          </cell>
          <cell r="F183">
            <v>-165266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-165266</v>
          </cell>
        </row>
      </sheetData>
      <sheetData sheetId="2"/>
      <sheetData sheetId="3"/>
      <sheetData sheetId="4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Data"/>
      <sheetName val="Dashboard"/>
      <sheetName val="Sheet2"/>
      <sheetName val="Add Cost"/>
    </sheetNames>
    <sheetDataSet>
      <sheetData sheetId="0">
        <row r="2">
          <cell r="A2" t="str">
            <v>Aswin siregar</v>
          </cell>
        </row>
        <row r="3">
          <cell r="A3" t="str">
            <v>Bintel tamba</v>
          </cell>
        </row>
        <row r="4">
          <cell r="A4" t="str">
            <v>Dian purnomo</v>
          </cell>
        </row>
        <row r="5">
          <cell r="A5" t="str">
            <v>Edi hendra manik</v>
          </cell>
        </row>
        <row r="6">
          <cell r="A6" t="str">
            <v>Feri handoko pasaribu</v>
          </cell>
        </row>
        <row r="7">
          <cell r="A7" t="str">
            <v>Fernando felix .s.</v>
          </cell>
        </row>
        <row r="8">
          <cell r="A8" t="str">
            <v>Gomgom butar-butar</v>
          </cell>
        </row>
        <row r="9">
          <cell r="A9" t="str">
            <v>Hotman hasudungan s.</v>
          </cell>
        </row>
        <row r="10">
          <cell r="A10" t="str">
            <v>Jesprin lubis</v>
          </cell>
        </row>
        <row r="11">
          <cell r="A11" t="str">
            <v>Julfrianto purba</v>
          </cell>
        </row>
        <row r="12">
          <cell r="A12" t="str">
            <v>Karianto panjaitan</v>
          </cell>
        </row>
        <row r="13">
          <cell r="A13" t="str">
            <v>Latief sitorus</v>
          </cell>
        </row>
        <row r="14">
          <cell r="A14" t="str">
            <v>Lewis tulus simamora</v>
          </cell>
        </row>
        <row r="15">
          <cell r="A15" t="str">
            <v>Mardison</v>
          </cell>
        </row>
        <row r="16">
          <cell r="A16" t="str">
            <v>Marulak .s.</v>
          </cell>
        </row>
        <row r="17">
          <cell r="A17" t="str">
            <v>Oversuez simanungkalit</v>
          </cell>
        </row>
        <row r="18">
          <cell r="A18" t="str">
            <v>Riko hermansyah</v>
          </cell>
        </row>
        <row r="19">
          <cell r="A19" t="str">
            <v>Rizal</v>
          </cell>
        </row>
        <row r="20">
          <cell r="A20" t="str">
            <v>Rolando sihombing</v>
          </cell>
        </row>
        <row r="21">
          <cell r="A21" t="str">
            <v>Sonny f lumbangaol</v>
          </cell>
        </row>
        <row r="22">
          <cell r="A22" t="str">
            <v>Suprian</v>
          </cell>
        </row>
        <row r="23">
          <cell r="A23" t="str">
            <v>Syafrizal bin safran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pldt"/>
      <sheetName val="Kijang"/>
      <sheetName val="Supp.List"/>
      <sheetName val="2002"/>
      <sheetName val="Sheet3"/>
      <sheetName val="Database"/>
      <sheetName val="Tabel"/>
      <sheetName val="QMS2007"/>
      <sheetName val="Data Base"/>
      <sheetName val="Data"/>
      <sheetName val="Marshal00"/>
    </sheetNames>
    <sheetDataSet>
      <sheetData sheetId="0"/>
      <sheetData sheetId="1" refreshError="1"/>
      <sheetData sheetId="2"/>
      <sheetData sheetId="3" refreshError="1">
        <row r="1">
          <cell r="A1" t="str">
            <v>065W Supplier List</v>
          </cell>
          <cell r="H1" t="str">
            <v>LETTER NO.</v>
          </cell>
          <cell r="I1" t="str">
            <v>DATE</v>
          </cell>
          <cell r="J1" t="str">
            <v>EFFECTIVE</v>
          </cell>
        </row>
        <row r="2">
          <cell r="A2">
            <v>1</v>
          </cell>
          <cell r="B2" t="str">
            <v>PT. 3 M Indonesia</v>
          </cell>
          <cell r="C2" t="str">
            <v>Wisma Bank Dharmala 11th Floor</v>
          </cell>
          <cell r="D2" t="str">
            <v>Jl. Jend. Sudirman Kav.28</v>
          </cell>
          <cell r="E2" t="str">
            <v>Jakarta - Pusat</v>
          </cell>
          <cell r="F2" t="str">
            <v>Mr. Abung Sulian S</v>
          </cell>
          <cell r="G2" t="str">
            <v>Sales Manager</v>
          </cell>
        </row>
        <row r="3">
          <cell r="A3">
            <v>2</v>
          </cell>
          <cell r="B3" t="str">
            <v>PT. Argapura Trading Co.</v>
          </cell>
          <cell r="C3" t="str">
            <v>Jl. Kedoya Agave Raya Blok AI / 2</v>
          </cell>
          <cell r="D3" t="str">
            <v>Tomang Tol</v>
          </cell>
          <cell r="E3" t="str">
            <v>Jakarta - Barat</v>
          </cell>
          <cell r="F3" t="str">
            <v>Mr. Albert L. Halim</v>
          </cell>
          <cell r="G3" t="str">
            <v>Director</v>
          </cell>
        </row>
        <row r="4">
          <cell r="A4">
            <v>3</v>
          </cell>
          <cell r="B4" t="str">
            <v>PT. Asalta Mandiri Agung</v>
          </cell>
          <cell r="C4" t="str">
            <v>Jl. Raya Jakarta Bogor Km 49</v>
          </cell>
          <cell r="D4" t="str">
            <v>Nanggewer</v>
          </cell>
          <cell r="E4" t="str">
            <v>Bogor - Jawa Barat</v>
          </cell>
          <cell r="F4" t="str">
            <v>Mr. Jusman Wikara</v>
          </cell>
          <cell r="G4" t="str">
            <v>Director</v>
          </cell>
        </row>
        <row r="5">
          <cell r="A5">
            <v>4</v>
          </cell>
          <cell r="B5" t="str">
            <v>PT. Asahimas Flat Glass</v>
          </cell>
          <cell r="C5" t="str">
            <v>Jl. Ancol IX / 5</v>
          </cell>
          <cell r="D5" t="str">
            <v>Ancol Barat</v>
          </cell>
          <cell r="E5" t="str">
            <v>Jakarta - Utara</v>
          </cell>
          <cell r="F5" t="str">
            <v>Mr. Y. Takizawa.</v>
          </cell>
          <cell r="G5" t="str">
            <v>Sales Manager</v>
          </cell>
        </row>
        <row r="6">
          <cell r="A6">
            <v>5</v>
          </cell>
          <cell r="B6" t="str">
            <v>PT. Bando Indonesia</v>
          </cell>
          <cell r="C6" t="str">
            <v>Jl. Gajah Tunggal</v>
          </cell>
          <cell r="D6" t="str">
            <v>Ds. Pasir Jaya, Kec. Jati Uwung</v>
          </cell>
          <cell r="E6" t="str">
            <v>Tangerang-Jawa Barat</v>
          </cell>
          <cell r="F6" t="str">
            <v>Mr. Freddy Rondonuwu</v>
          </cell>
          <cell r="G6" t="str">
            <v>Sales Manager</v>
          </cell>
        </row>
        <row r="7">
          <cell r="A7">
            <v>6</v>
          </cell>
          <cell r="B7" t="str">
            <v>PT. Bridgestone Tire Indonesia</v>
          </cell>
          <cell r="C7" t="str">
            <v>Nusantara Building 18th Floor</v>
          </cell>
          <cell r="D7" t="str">
            <v>Jl. MH. Thamrin No. 59</v>
          </cell>
          <cell r="E7" t="str">
            <v>Jakarta - Pusat</v>
          </cell>
          <cell r="F7" t="str">
            <v>Mr.  John Arsyad</v>
          </cell>
          <cell r="G7" t="str">
            <v>Mark. Manager</v>
          </cell>
        </row>
        <row r="8">
          <cell r="A8">
            <v>7</v>
          </cell>
          <cell r="B8" t="str">
            <v>PT. A. T. Indonesia</v>
          </cell>
          <cell r="C8" t="str">
            <v>Jl. Maligi III A 1-5 Kawasan Industri KIIC</v>
          </cell>
          <cell r="D8" t="str">
            <v>Jl. Tol Jakarta - Cikampek KM. 47</v>
          </cell>
          <cell r="E8" t="str">
            <v>Karawang Jawa Barat</v>
          </cell>
          <cell r="F8" t="str">
            <v>Mr. Sani Putra Halim</v>
          </cell>
          <cell r="G8" t="str">
            <v>Managing Director</v>
          </cell>
        </row>
        <row r="9">
          <cell r="A9">
            <v>8</v>
          </cell>
          <cell r="B9" t="str">
            <v>PT. Asno Cipta Indonesia</v>
          </cell>
          <cell r="C9" t="str">
            <v>East Java Industrial Park (EJIP)</v>
          </cell>
          <cell r="D9" t="str">
            <v>Plot 8K-2, Lemah Abang</v>
          </cell>
          <cell r="E9" t="str">
            <v>Bekasi 17550</v>
          </cell>
          <cell r="F9" t="str">
            <v>Mr. Kondo</v>
          </cell>
          <cell r="G9" t="str">
            <v>Director</v>
          </cell>
        </row>
        <row r="10">
          <cell r="A10">
            <v>9</v>
          </cell>
          <cell r="B10" t="str">
            <v>PT. Cipta Piranti Tehnik</v>
          </cell>
          <cell r="C10" t="str">
            <v>Jl. Raya Pegangsaan II Km 3.3</v>
          </cell>
          <cell r="D10" t="str">
            <v>Kel. Koja, Cakung</v>
          </cell>
          <cell r="E10" t="str">
            <v>Jakarta - Timur</v>
          </cell>
          <cell r="F10" t="str">
            <v>Mr.  Hindarto</v>
          </cell>
          <cell r="G10" t="str">
            <v>Managing Director</v>
          </cell>
        </row>
        <row r="11">
          <cell r="A11">
            <v>10</v>
          </cell>
          <cell r="B11" t="str">
            <v>PT. Daya Cipta Teknik</v>
          </cell>
          <cell r="C11" t="str">
            <v>Jl. Daan Mogot No.88</v>
          </cell>
          <cell r="D11" t="str">
            <v>Jakarta - Barat</v>
          </cell>
          <cell r="F11" t="str">
            <v>Mr. Yudi Suherman</v>
          </cell>
          <cell r="G11" t="str">
            <v>Director</v>
          </cell>
        </row>
        <row r="12">
          <cell r="A12">
            <v>11</v>
          </cell>
          <cell r="B12" t="str">
            <v>PT. Aisin Indonesia</v>
          </cell>
          <cell r="C12" t="str">
            <v>Kav. 5J Kawasan Industri EJIP,</v>
          </cell>
          <cell r="D12" t="str">
            <v>Desa Sukaresmi, Kec. Lemah Abang</v>
          </cell>
          <cell r="E12" t="str">
            <v>Bekasi - Jawa Barat</v>
          </cell>
          <cell r="F12" t="str">
            <v>Mr. Djangkep Budhi Santoso,</v>
          </cell>
          <cell r="G12" t="str">
            <v>Director</v>
          </cell>
        </row>
        <row r="13">
          <cell r="A13">
            <v>12</v>
          </cell>
          <cell r="B13" t="str">
            <v>PT. ENKEI Indonesia</v>
          </cell>
          <cell r="C13" t="str">
            <v>Kawasan Industri Hyundai Blok CII No. 8</v>
          </cell>
          <cell r="D13" t="str">
            <v>Lippo Cikarang</v>
          </cell>
          <cell r="E13" t="str">
            <v>Bekasi - 17550</v>
          </cell>
          <cell r="F13" t="str">
            <v>Mr. Michiharu Ochiai</v>
          </cell>
          <cell r="G13" t="str">
            <v>President Director</v>
          </cell>
        </row>
        <row r="14">
          <cell r="A14">
            <v>13</v>
          </cell>
          <cell r="B14" t="str">
            <v>PT. Astra Otoparts (Unit Plastik)</v>
          </cell>
          <cell r="C14" t="str">
            <v>Jl. Raya Jakarta Bogor Km 51.3</v>
          </cell>
          <cell r="D14" t="str">
            <v>Ciluar-Kedung Halang</v>
          </cell>
          <cell r="E14" t="str">
            <v>Bogor - Jawa Barat</v>
          </cell>
          <cell r="F14" t="str">
            <v>Mr. Adrian Sugih</v>
          </cell>
          <cell r="G14" t="str">
            <v>Director</v>
          </cell>
        </row>
        <row r="15">
          <cell r="A15">
            <v>14</v>
          </cell>
          <cell r="B15" t="str">
            <v>PT. Federal Nusa Metal</v>
          </cell>
          <cell r="C15" t="str">
            <v>Jl. Pegangsaan Dua  KM.2,1</v>
          </cell>
          <cell r="D15" t="str">
            <v>Kelurahan Koja</v>
          </cell>
          <cell r="E15" t="str">
            <v>Jakarta  14250.</v>
          </cell>
          <cell r="F15" t="str">
            <v>Mr. Husni Hudiwan</v>
          </cell>
          <cell r="G15" t="str">
            <v>Marketing Dept.</v>
          </cell>
        </row>
        <row r="16">
          <cell r="A16">
            <v>15</v>
          </cell>
          <cell r="B16" t="str">
            <v>PT. National Gobel</v>
          </cell>
          <cell r="C16" t="str">
            <v>Jl. Raya Bogor KM.29</v>
          </cell>
          <cell r="D16" t="str">
            <v>Gandaria</v>
          </cell>
          <cell r="E16" t="str">
            <v>Jakarta - Timur.</v>
          </cell>
          <cell r="F16" t="str">
            <v>Mr. Edi Syamsudin</v>
          </cell>
          <cell r="G16" t="str">
            <v>General Manager.</v>
          </cell>
        </row>
        <row r="17">
          <cell r="A17">
            <v>16</v>
          </cell>
          <cell r="B17" t="str">
            <v>PT. Garuda Metalindo</v>
          </cell>
          <cell r="C17" t="str">
            <v>Jl. Kapuk Kamal No.23</v>
          </cell>
          <cell r="D17" t="str">
            <v>(Kapuk Kayu Besar)</v>
          </cell>
          <cell r="E17" t="str">
            <v>Jakarta - Utara</v>
          </cell>
          <cell r="F17" t="str">
            <v>Mr. Erwin Wijaya</v>
          </cell>
          <cell r="G17" t="str">
            <v>Director</v>
          </cell>
        </row>
        <row r="18">
          <cell r="A18">
            <v>17</v>
          </cell>
          <cell r="B18" t="str">
            <v>PT. Gajah Tunggal</v>
          </cell>
          <cell r="C18" t="str">
            <v>Wisma Hayam Wuruk 14th Floor</v>
          </cell>
          <cell r="D18" t="str">
            <v>Jl. Hayam Wuruk No.8</v>
          </cell>
          <cell r="E18" t="str">
            <v>Jakarta  - Barat</v>
          </cell>
          <cell r="F18" t="str">
            <v>Mr. Harry Kalisaran</v>
          </cell>
          <cell r="G18" t="str">
            <v>Deputy Gen. Manager</v>
          </cell>
        </row>
        <row r="19">
          <cell r="A19">
            <v>18</v>
          </cell>
          <cell r="B19" t="str">
            <v>PT. Goodyear Indonesia</v>
          </cell>
          <cell r="C19" t="str">
            <v>Jl. Pemuda No.27</v>
          </cell>
          <cell r="D19" t="str">
            <v>B o g o r</v>
          </cell>
          <cell r="E19" t="str">
            <v>Jawa - Barat</v>
          </cell>
          <cell r="F19" t="str">
            <v>Mr. Djarot Suwarto</v>
          </cell>
          <cell r="G19" t="str">
            <v>OE Sales Department</v>
          </cell>
        </row>
        <row r="20">
          <cell r="A20">
            <v>19</v>
          </cell>
          <cell r="B20" t="str">
            <v>PT. GS Battery Inc.</v>
          </cell>
          <cell r="C20" t="str">
            <v>Jl. Yos Sudarso</v>
          </cell>
          <cell r="D20" t="str">
            <v>Sunter I</v>
          </cell>
          <cell r="E20" t="str">
            <v>Jakarta - Utara</v>
          </cell>
          <cell r="F20" t="str">
            <v>Mr. S. Kartolo</v>
          </cell>
          <cell r="G20" t="str">
            <v>Sales Manager</v>
          </cell>
        </row>
        <row r="21">
          <cell r="A21">
            <v>20</v>
          </cell>
          <cell r="B21" t="str">
            <v>PT. Guna  Senaputra  Sejahtera</v>
          </cell>
          <cell r="C21" t="str">
            <v>Jl. Pangkalan III Km. 2,4 Kedung Halang Talang</v>
          </cell>
          <cell r="D21" t="str">
            <v>Bogor  16710</v>
          </cell>
          <cell r="E21" t="str">
            <v>Jawa - Barat</v>
          </cell>
          <cell r="F21" t="str">
            <v>Mr. Gunawan Elisa</v>
          </cell>
          <cell r="G21" t="str">
            <v>Director</v>
          </cell>
        </row>
        <row r="22">
          <cell r="A22">
            <v>21</v>
          </cell>
          <cell r="B22" t="str">
            <v>PT. Indokarlo Perkasa</v>
          </cell>
          <cell r="C22" t="str">
            <v>Jl. Raya Bekasi Km.31</v>
          </cell>
          <cell r="D22" t="str">
            <v>Bekasi</v>
          </cell>
          <cell r="E22" t="str">
            <v>Jawa - Barat</v>
          </cell>
          <cell r="F22" t="str">
            <v>Mr. Purnomo P. Dikdojo</v>
          </cell>
          <cell r="G22" t="str">
            <v>Marketing Manager.</v>
          </cell>
        </row>
        <row r="23">
          <cell r="A23">
            <v>22</v>
          </cell>
          <cell r="B23" t="str">
            <v>PT. Indomobil Suzuki International</v>
          </cell>
          <cell r="C23" t="str">
            <v>Jl. Raya Penggilingan</v>
          </cell>
          <cell r="D23" t="str">
            <v>Cakung</v>
          </cell>
          <cell r="E23" t="str">
            <v>Jakarta - Timur</v>
          </cell>
          <cell r="F23" t="str">
            <v>Mr. Gunawan Tedja</v>
          </cell>
          <cell r="G23" t="str">
            <v>Marketing Manager.</v>
          </cell>
        </row>
        <row r="24">
          <cell r="A24">
            <v>23</v>
          </cell>
          <cell r="B24" t="str">
            <v>PT. Inkoasku</v>
          </cell>
          <cell r="C24" t="str">
            <v>Jl. Yos Sudarso</v>
          </cell>
          <cell r="D24" t="str">
            <v>Sunter II</v>
          </cell>
          <cell r="E24" t="str">
            <v>Jakarta - Utara</v>
          </cell>
          <cell r="F24" t="str">
            <v>Mr. Frans Karyadi</v>
          </cell>
          <cell r="G24" t="str">
            <v>Director</v>
          </cell>
        </row>
        <row r="25">
          <cell r="A25">
            <v>24</v>
          </cell>
          <cell r="B25" t="str">
            <v>PT. Inti Ganda Perdana</v>
          </cell>
          <cell r="C25" t="str">
            <v>Jl. Raya Pegangsaan II Blok A1</v>
          </cell>
          <cell r="D25" t="str">
            <v>Kel. Rawa Terate, Cakung</v>
          </cell>
          <cell r="E25" t="str">
            <v>Jakarta - Timur</v>
          </cell>
          <cell r="F25" t="str">
            <v>Mr. Hartono</v>
          </cell>
          <cell r="G25" t="str">
            <v>General Manager</v>
          </cell>
        </row>
        <row r="26">
          <cell r="A26">
            <v>25</v>
          </cell>
          <cell r="B26" t="str">
            <v>PT. Ionuda</v>
          </cell>
          <cell r="C26" t="str">
            <v>Jl. Raya Bogor KM.24</v>
          </cell>
          <cell r="D26" t="str">
            <v>Kec. Pasar Rebo</v>
          </cell>
          <cell r="E26" t="str">
            <v>Jakarta - Timur</v>
          </cell>
          <cell r="F26" t="str">
            <v>Mr. Ong Ming Swie,</v>
          </cell>
          <cell r="G26" t="str">
            <v>Director</v>
          </cell>
        </row>
        <row r="27">
          <cell r="A27">
            <v>26</v>
          </cell>
          <cell r="B27" t="str">
            <v>PT. IRC Inoac Indonesia (PU)</v>
          </cell>
          <cell r="C27" t="str">
            <v>Mashill Tower 19th Floor</v>
          </cell>
          <cell r="D27" t="str">
            <v>Jl. Jend. Sudirman Kav. 25</v>
          </cell>
          <cell r="E27" t="str">
            <v>Jakarta 12920</v>
          </cell>
          <cell r="F27" t="str">
            <v>Mr. J. Nagamatsu</v>
          </cell>
          <cell r="G27" t="str">
            <v>Sales Manager</v>
          </cell>
        </row>
        <row r="28">
          <cell r="A28">
            <v>27</v>
          </cell>
          <cell r="B28" t="str">
            <v>PT. IRC Inoac Indonesia (Rubber)</v>
          </cell>
          <cell r="C28" t="str">
            <v>Mashill Tower 19th Floor</v>
          </cell>
          <cell r="D28" t="str">
            <v>Jl. Jend. Sudirman Kav. 25</v>
          </cell>
          <cell r="E28" t="str">
            <v>Jakarta 12920</v>
          </cell>
          <cell r="F28" t="str">
            <v>Mr. Suhadi</v>
          </cell>
          <cell r="G28" t="str">
            <v>Sales Manager</v>
          </cell>
        </row>
        <row r="29">
          <cell r="A29">
            <v>28</v>
          </cell>
          <cell r="B29" t="str">
            <v>PT. Kadera-Ar Indonesia</v>
          </cell>
          <cell r="C29" t="str">
            <v>Jl. Rawa Gatel Kav. III S 39</v>
          </cell>
          <cell r="D29" t="str">
            <v>Kawasan Industri Pulogadung</v>
          </cell>
          <cell r="E29" t="str">
            <v>Jakarta - Timur</v>
          </cell>
          <cell r="F29" t="str">
            <v>Mr. K. Terasaka</v>
          </cell>
          <cell r="G29" t="str">
            <v>Pres. Director</v>
          </cell>
        </row>
        <row r="30">
          <cell r="A30">
            <v>29</v>
          </cell>
          <cell r="B30" t="str">
            <v>PT. Karya Trampil Mandiri</v>
          </cell>
          <cell r="C30" t="str">
            <v>Jl. Danau Sunter Utara Blok J12 No. 78</v>
          </cell>
          <cell r="D30" t="str">
            <v>Sunter Agung, Podomoro</v>
          </cell>
          <cell r="E30" t="str">
            <v>Jakarta - Utara</v>
          </cell>
          <cell r="F30" t="str">
            <v>Mr. Wimen Ong</v>
          </cell>
          <cell r="G30" t="str">
            <v>Director</v>
          </cell>
        </row>
        <row r="31">
          <cell r="A31">
            <v>30</v>
          </cell>
          <cell r="B31" t="str">
            <v>PT. KSB INDONESIA</v>
          </cell>
          <cell r="C31" t="str">
            <v>Jl. Raya Tipar 42, Kampung Baru</v>
          </cell>
          <cell r="D31" t="str">
            <v xml:space="preserve">Cakung </v>
          </cell>
          <cell r="E31" t="str">
            <v>Jakarta - Timur</v>
          </cell>
          <cell r="F31" t="str">
            <v>Mr. Gert Lutter</v>
          </cell>
          <cell r="G31" t="str">
            <v>Director</v>
          </cell>
        </row>
        <row r="32">
          <cell r="A32">
            <v>31</v>
          </cell>
          <cell r="B32" t="str">
            <v>PT. KGD Indonesia Inc.</v>
          </cell>
          <cell r="C32" t="str">
            <v>Jl. Pasir Kemis - Desa Keroncong</v>
          </cell>
          <cell r="D32" t="str">
            <v>Kec. Jatiuwung, Tangerang</v>
          </cell>
          <cell r="E32" t="str">
            <v>Jawa Barat</v>
          </cell>
          <cell r="F32" t="str">
            <v>Mr. M. Haba</v>
          </cell>
          <cell r="G32" t="str">
            <v>President Director</v>
          </cell>
        </row>
        <row r="33">
          <cell r="A33">
            <v>32</v>
          </cell>
          <cell r="B33" t="str">
            <v>PT. Kayaba Indonesia</v>
          </cell>
          <cell r="C33" t="str">
            <v>Jl. Rawa Terate I/4</v>
          </cell>
          <cell r="D33" t="str">
            <v>Kawasan Industri Pulogadung</v>
          </cell>
          <cell r="E33" t="str">
            <v>Jakarta - Timur</v>
          </cell>
          <cell r="F33" t="str">
            <v>Mr. Y. Matsumoto</v>
          </cell>
          <cell r="G33" t="str">
            <v>Director</v>
          </cell>
        </row>
        <row r="34">
          <cell r="A34">
            <v>33</v>
          </cell>
          <cell r="B34" t="str">
            <v>PT. Lippo TSK.</v>
          </cell>
          <cell r="C34" t="str">
            <v>Jl. Lio Baru, Desa Karangsari</v>
          </cell>
          <cell r="D34" t="str">
            <v>Kecamatan Batu Ceper</v>
          </cell>
          <cell r="E34" t="str">
            <v>Tangerang 15121</v>
          </cell>
          <cell r="F34" t="str">
            <v>Mr. Ferry Chandra</v>
          </cell>
          <cell r="G34" t="str">
            <v>Director</v>
          </cell>
          <cell r="H34" t="str">
            <v>0355/PuD/PD#1/PP/99</v>
          </cell>
          <cell r="I34" t="str">
            <v>MAY,26,1999</v>
          </cell>
          <cell r="J34" t="str">
            <v>APRIL 1999</v>
          </cell>
        </row>
        <row r="35">
          <cell r="A35">
            <v>34</v>
          </cell>
          <cell r="B35" t="str">
            <v>PT. Meiwa Indonesia</v>
          </cell>
          <cell r="C35" t="str">
            <v>Jl. Karet Tengsin No.19</v>
          </cell>
          <cell r="D35" t="str">
            <v>Jakarta - Pusat</v>
          </cell>
          <cell r="F35" t="str">
            <v>Mr. H. Kato</v>
          </cell>
          <cell r="G35" t="str">
            <v>Director</v>
          </cell>
        </row>
        <row r="36">
          <cell r="A36">
            <v>35</v>
          </cell>
          <cell r="B36" t="str">
            <v>PT. Menara Terus Makmur</v>
          </cell>
          <cell r="C36" t="str">
            <v>Jl. Jababeka II Blok H3 No. 12</v>
          </cell>
          <cell r="D36" t="str">
            <v>Kawasan Industri JABABEKA</v>
          </cell>
          <cell r="E36" t="str">
            <v>Cikarang - Jawa Barat</v>
          </cell>
          <cell r="F36" t="str">
            <v>Mr. A. Haryanto</v>
          </cell>
          <cell r="G36" t="str">
            <v>General Manager</v>
          </cell>
        </row>
        <row r="37">
          <cell r="A37">
            <v>36</v>
          </cell>
          <cell r="B37" t="str">
            <v>PT. Metindo Era Sakti</v>
          </cell>
          <cell r="C37" t="str">
            <v>Jl. Raya Narogong KM. 12.5</v>
          </cell>
          <cell r="D37" t="str">
            <v>Cikiwul, Bantar Gebang</v>
          </cell>
          <cell r="E37" t="str">
            <v>Bekasi Jawa Barat</v>
          </cell>
          <cell r="F37" t="str">
            <v>Mr. Hendra Hadi</v>
          </cell>
          <cell r="G37" t="str">
            <v>Director</v>
          </cell>
        </row>
        <row r="38">
          <cell r="A38">
            <v>37</v>
          </cell>
          <cell r="B38" t="str">
            <v>PT. Muaratewe Spring</v>
          </cell>
          <cell r="C38" t="str">
            <v>Jl. Pulo Gadung No. 30</v>
          </cell>
          <cell r="D38" t="str">
            <v>Kawasan Industri Pulogadung</v>
          </cell>
          <cell r="E38" t="str">
            <v>Jakarta - Timur</v>
          </cell>
          <cell r="F38" t="str">
            <v>Mr. Ibnu Agung Ismail</v>
          </cell>
          <cell r="G38" t="str">
            <v>President Director</v>
          </cell>
        </row>
        <row r="39">
          <cell r="A39">
            <v>38</v>
          </cell>
          <cell r="B39" t="str">
            <v>PT. Nusa-Toyotetsu Corp</v>
          </cell>
          <cell r="C39" t="str">
            <v>Kawasan Industri MM-2100</v>
          </cell>
          <cell r="D39" t="str">
            <v>Blok J-12, 13, 14, Cibitung</v>
          </cell>
          <cell r="E39" t="str">
            <v>Bekasi Jawa Barat</v>
          </cell>
          <cell r="F39" t="str">
            <v>Mr. Willy Djunaedi</v>
          </cell>
          <cell r="G39" t="str">
            <v>Vice President</v>
          </cell>
        </row>
        <row r="40">
          <cell r="A40">
            <v>39</v>
          </cell>
          <cell r="B40" t="str">
            <v>PT. Denso Indonesia Corp.</v>
          </cell>
          <cell r="C40" t="str">
            <v>Jl. Gaya Motor I No. 6</v>
          </cell>
          <cell r="D40" t="str">
            <v>Sunter II</v>
          </cell>
          <cell r="E40" t="str">
            <v>Jakarta - Utara</v>
          </cell>
          <cell r="F40" t="str">
            <v>Mr. K. Tsuji</v>
          </cell>
          <cell r="G40" t="str">
            <v>Director</v>
          </cell>
        </row>
        <row r="41">
          <cell r="A41">
            <v>40</v>
          </cell>
          <cell r="B41" t="str">
            <v>PT. NHK Gasket</v>
          </cell>
          <cell r="C41" t="str">
            <v>Jl. Raya Pegangsaan II Km 3.3</v>
          </cell>
          <cell r="D41" t="str">
            <v>Kel. Koja, Cakung</v>
          </cell>
          <cell r="E41" t="str">
            <v>Jakarta - Timur</v>
          </cell>
          <cell r="F41" t="str">
            <v>Mr. Eko Deddy Haryanto</v>
          </cell>
          <cell r="G41" t="str">
            <v>Director</v>
          </cell>
        </row>
        <row r="42">
          <cell r="A42">
            <v>41</v>
          </cell>
          <cell r="B42" t="str">
            <v xml:space="preserve">PT. NGK Busi </v>
          </cell>
          <cell r="C42" t="str">
            <v>Jl. Raya Jakarta Bogor Km 26,6</v>
          </cell>
          <cell r="D42" t="str">
            <v>PO Box No.1, Cijantung</v>
          </cell>
          <cell r="E42" t="str">
            <v>Jakarta - Timur 13740</v>
          </cell>
          <cell r="F42" t="str">
            <v>Mr. Y. Nakagawa</v>
          </cell>
          <cell r="G42" t="str">
            <v>Pres. Director</v>
          </cell>
        </row>
        <row r="43">
          <cell r="A43">
            <v>42</v>
          </cell>
          <cell r="B43" t="str">
            <v>PT. Nusahadi Citra harmonis</v>
          </cell>
          <cell r="C43" t="str">
            <v>Kawasan Indutri Pluit</v>
          </cell>
          <cell r="D43" t="str">
            <v>Blok A No. 6</v>
          </cell>
          <cell r="E43" t="str">
            <v>Jakarta - Barat</v>
          </cell>
          <cell r="F43" t="str">
            <v>Mr. Yusuf Hemus</v>
          </cell>
          <cell r="G43" t="str">
            <v>Director</v>
          </cell>
        </row>
        <row r="44">
          <cell r="A44">
            <v>43</v>
          </cell>
          <cell r="B44" t="str">
            <v>PT. Pakarti Riken</v>
          </cell>
          <cell r="C44" t="str">
            <v>Jl. Kebon Sirih No. 96</v>
          </cell>
          <cell r="D44" t="str">
            <v>Jakarta - Pusat</v>
          </cell>
          <cell r="F44" t="str">
            <v>Mr. Adi Taruli</v>
          </cell>
          <cell r="G44" t="str">
            <v>Director</v>
          </cell>
        </row>
        <row r="45">
          <cell r="A45">
            <v>44</v>
          </cell>
          <cell r="B45" t="str">
            <v>PT. Pakoakuina</v>
          </cell>
          <cell r="C45" t="str">
            <v>Jl. Yos Sudarso</v>
          </cell>
          <cell r="D45" t="str">
            <v>Sunter II</v>
          </cell>
          <cell r="E45" t="str">
            <v>Jakarta - Utara</v>
          </cell>
          <cell r="F45" t="str">
            <v>Mr. Frans Karyadi</v>
          </cell>
          <cell r="G45" t="str">
            <v>Director</v>
          </cell>
        </row>
        <row r="46">
          <cell r="A46">
            <v>45</v>
          </cell>
          <cell r="B46" t="str">
            <v>PT. Pakoakuina</v>
          </cell>
          <cell r="C46" t="str">
            <v>Jl. Yos Sudarso</v>
          </cell>
          <cell r="D46" t="str">
            <v>Sunter II</v>
          </cell>
          <cell r="E46" t="str">
            <v>Jakarta - Utara</v>
          </cell>
          <cell r="F46" t="str">
            <v>Mr. Frans Karyadi</v>
          </cell>
          <cell r="G46" t="str">
            <v>Director</v>
          </cell>
        </row>
        <row r="47">
          <cell r="A47">
            <v>46</v>
          </cell>
          <cell r="B47" t="str">
            <v>PT. Putra Indonesia</v>
          </cell>
          <cell r="C47" t="str">
            <v>Jl. Palmerah Barat No.111</v>
          </cell>
          <cell r="D47" t="str">
            <v>Jakarta - Barat</v>
          </cell>
          <cell r="F47" t="str">
            <v>Mr. Dimyati Ambari</v>
          </cell>
          <cell r="G47" t="str">
            <v>Director</v>
          </cell>
        </row>
        <row r="48">
          <cell r="A48">
            <v>47</v>
          </cell>
          <cell r="B48" t="str">
            <v>PT. Roda Multi Sarana Industri</v>
          </cell>
          <cell r="C48" t="str">
            <v>Slamet Building Blok II /1</v>
          </cell>
          <cell r="D48" t="str">
            <v>Jl. P. Jayakarta 141</v>
          </cell>
          <cell r="E48" t="str">
            <v>Jakarta - Pusat</v>
          </cell>
          <cell r="F48" t="str">
            <v>Mr. Haryanto Hosana</v>
          </cell>
          <cell r="G48" t="str">
            <v>PresidentDirector</v>
          </cell>
        </row>
        <row r="49">
          <cell r="A49">
            <v>48</v>
          </cell>
          <cell r="B49" t="str">
            <v>PT. Sanoh Indonesia</v>
          </cell>
          <cell r="C49" t="str">
            <v>Jl. Rawa Gelam IV Kav II/13</v>
          </cell>
          <cell r="D49" t="str">
            <v>Kawasan Industri Pulogadung</v>
          </cell>
          <cell r="E49" t="str">
            <v>Jakarta - Timur</v>
          </cell>
          <cell r="F49" t="str">
            <v>Mr. H. Arakawa</v>
          </cell>
          <cell r="G49" t="str">
            <v>President Director</v>
          </cell>
        </row>
        <row r="50">
          <cell r="A50">
            <v>49</v>
          </cell>
          <cell r="B50" t="str">
            <v>PT. Sinar Wira Utama</v>
          </cell>
          <cell r="C50" t="str">
            <v>Jl. Rawa Buaya No.6</v>
          </cell>
          <cell r="D50" t="str">
            <v>Cengkareng</v>
          </cell>
          <cell r="E50" t="str">
            <v>Jakarta - Barat</v>
          </cell>
          <cell r="F50" t="str">
            <v>Mr. Oey Yam Thjioe</v>
          </cell>
          <cell r="G50" t="str">
            <v>Director</v>
          </cell>
        </row>
        <row r="51">
          <cell r="A51">
            <v>50</v>
          </cell>
          <cell r="B51" t="str">
            <v>PT. Sinar Jaya</v>
          </cell>
          <cell r="C51" t="str">
            <v>Jl. Banten No.3</v>
          </cell>
          <cell r="D51" t="str">
            <v>B a n d u n g</v>
          </cell>
          <cell r="E51" t="str">
            <v>Jawa - Barat</v>
          </cell>
          <cell r="F51" t="str">
            <v>Mr. Bachtiar Tanudjaya</v>
          </cell>
          <cell r="G51" t="str">
            <v>Director</v>
          </cell>
        </row>
        <row r="52">
          <cell r="A52">
            <v>51</v>
          </cell>
          <cell r="B52" t="str">
            <v>PT. Sekiso Industries Indonesia</v>
          </cell>
          <cell r="C52" t="str">
            <v>MM2100 Industrial Town Block NN-13</v>
          </cell>
          <cell r="D52" t="str">
            <v>Cibitung, Bekasi 17520</v>
          </cell>
          <cell r="F52" t="str">
            <v>Mr. K. Nagano</v>
          </cell>
          <cell r="G52" t="str">
            <v>President Director</v>
          </cell>
        </row>
        <row r="53">
          <cell r="A53">
            <v>52</v>
          </cell>
          <cell r="B53" t="str">
            <v>PT. Suni Jaya</v>
          </cell>
          <cell r="C53" t="str">
            <v>Wisma Abadi 1st Floor Blok A4</v>
          </cell>
          <cell r="D53" t="str">
            <v>Jl. Kyai Caringin No. 29-31</v>
          </cell>
          <cell r="E53" t="str">
            <v>Jakarta 10160</v>
          </cell>
          <cell r="F53" t="str">
            <v>Mr. H. Karasawa</v>
          </cell>
          <cell r="G53" t="str">
            <v>Director</v>
          </cell>
        </row>
        <row r="54">
          <cell r="A54">
            <v>53</v>
          </cell>
          <cell r="B54" t="str">
            <v>PT. Sugity Creatives</v>
          </cell>
          <cell r="C54" t="str">
            <v>Kawasan Industri MM-2100</v>
          </cell>
          <cell r="D54" t="str">
            <v>Blok J 17 - 18 Cibitung</v>
          </cell>
          <cell r="E54" t="str">
            <v>Bekasi Jawa Barat</v>
          </cell>
          <cell r="F54" t="str">
            <v>Mr. H. Pratomo</v>
          </cell>
          <cell r="G54" t="str">
            <v>General Manager</v>
          </cell>
        </row>
        <row r="55">
          <cell r="A55">
            <v>54</v>
          </cell>
          <cell r="B55" t="str">
            <v>PT. Tri Dharma Wisesa</v>
          </cell>
          <cell r="C55" t="str">
            <v>Jl. Raya Pegangsaan II Blok A1</v>
          </cell>
          <cell r="D55" t="str">
            <v>Kel. Rawa Terate, Cakung</v>
          </cell>
          <cell r="E55" t="str">
            <v>Jakarta - Timur</v>
          </cell>
          <cell r="F55" t="str">
            <v>Mr. Hadi Kasim</v>
          </cell>
          <cell r="G55" t="str">
            <v>General Manager</v>
          </cell>
        </row>
        <row r="56">
          <cell r="A56">
            <v>55</v>
          </cell>
          <cell r="B56" t="str">
            <v>PT. Tri Satria Utama</v>
          </cell>
          <cell r="C56" t="str">
            <v>Desa Cibuntu, Kec. Cibitung</v>
          </cell>
          <cell r="D56" t="str">
            <v>Bekasi</v>
          </cell>
          <cell r="E56" t="str">
            <v>Jawa - Barat</v>
          </cell>
          <cell r="F56" t="str">
            <v xml:space="preserve">Mr. Gunawan </v>
          </cell>
          <cell r="G56" t="str">
            <v>Director</v>
          </cell>
        </row>
        <row r="57">
          <cell r="A57">
            <v>56</v>
          </cell>
          <cell r="B57" t="str">
            <v>PT. Wahana Eka Paramitra</v>
          </cell>
          <cell r="C57" t="str">
            <v>Jl. Raya Pegangsaan II Blok A1</v>
          </cell>
          <cell r="D57" t="str">
            <v>Kel. Rawa Terate, Cakung</v>
          </cell>
          <cell r="E57" t="str">
            <v>Jakarta - Timur</v>
          </cell>
          <cell r="F57" t="str">
            <v>Mr. Wiwiek S.</v>
          </cell>
          <cell r="G57" t="str">
            <v>Gen Manager</v>
          </cell>
        </row>
        <row r="58">
          <cell r="A58">
            <v>57</v>
          </cell>
          <cell r="B58" t="str">
            <v>PT. Yuasa Battery</v>
          </cell>
          <cell r="C58" t="str">
            <v>Jl. Raya Serpong (PO BOX 493)</v>
          </cell>
          <cell r="D58" t="str">
            <v>Panunggangan, Tangerang</v>
          </cell>
          <cell r="E58" t="str">
            <v>Jawa - Barat</v>
          </cell>
          <cell r="F58" t="str">
            <v>Mr. Y. Nakagawa</v>
          </cell>
          <cell r="G58" t="str">
            <v>Director</v>
          </cell>
        </row>
        <row r="59">
          <cell r="A59">
            <v>58</v>
          </cell>
          <cell r="B59" t="str">
            <v>PT. Sekiso Industries Indonesia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pp.List"/>
      <sheetName val="166N Plist"/>
      <sheetName val="Supplier"/>
      <sheetName val="Supp_List"/>
      <sheetName val="PP_LETTER"/>
      <sheetName val="PP Suppliers list"/>
      <sheetName val="新新粗利"/>
      <sheetName val="Supplier List"/>
      <sheetName val="設計設定一覧"/>
      <sheetName val="Target"/>
      <sheetName val="Summary_report"/>
      <sheetName val="Supp_List1"/>
      <sheetName val="166N_Plist"/>
      <sheetName val="PP_Suppliers_list"/>
      <sheetName val="Supplier_List"/>
      <sheetName val="1410asa"/>
      <sheetName val="Orig Study for PPAP"/>
      <sheetName val="DIST "/>
      <sheetName val="Sheet3"/>
      <sheetName val="Data Base"/>
    </sheetNames>
    <sheetDataSet>
      <sheetData sheetId="0" refreshError="1">
        <row r="6">
          <cell r="A6">
            <v>1</v>
          </cell>
          <cell r="B6" t="str">
            <v>PT. 3 M Indonesia</v>
          </cell>
          <cell r="C6" t="str">
            <v>Jl. Diponegoro KM.39</v>
          </cell>
          <cell r="D6" t="str">
            <v>Tambun</v>
          </cell>
          <cell r="E6" t="str">
            <v>Bekasi 17510</v>
          </cell>
          <cell r="F6" t="str">
            <v>Mr. Yohan Setiadi</v>
          </cell>
          <cell r="G6" t="str">
            <v/>
          </cell>
          <cell r="H6" t="str">
            <v>0744/PuD/PD#1/PP/1999</v>
          </cell>
          <cell r="I6" t="str">
            <v>October 28, 1999</v>
          </cell>
          <cell r="J6" t="str">
            <v>January 2000</v>
          </cell>
          <cell r="K6" t="str">
            <v>0655/PuD/PD#1/PP/1999</v>
          </cell>
          <cell r="L6" t="str">
            <v>September 29, 1999</v>
          </cell>
          <cell r="M6" t="str">
            <v>095N</v>
          </cell>
          <cell r="N6">
            <v>1</v>
          </cell>
        </row>
        <row r="7">
          <cell r="A7">
            <v>2</v>
          </cell>
          <cell r="B7" t="str">
            <v>PT. Aisan Nasmoco Industri</v>
          </cell>
          <cell r="C7" t="str">
            <v>East Jakarta Industrial Park</v>
          </cell>
          <cell r="D7" t="str">
            <v>Plot 9L, Lemahabang</v>
          </cell>
          <cell r="E7" t="str">
            <v>Bekasi 17550 - Jawa Barat</v>
          </cell>
          <cell r="F7" t="str">
            <v>Mr. Hideki Sato</v>
          </cell>
          <cell r="G7" t="str">
            <v>Director</v>
          </cell>
          <cell r="H7" t="str">
            <v>0744/PuD/PD#1/PP/1999</v>
          </cell>
          <cell r="I7" t="str">
            <v>October 28, 1999</v>
          </cell>
          <cell r="J7" t="str">
            <v>January 2000</v>
          </cell>
          <cell r="K7" t="str">
            <v>0655/PuD/PD#1/PP/1999</v>
          </cell>
          <cell r="L7" t="str">
            <v>September 29, 1999</v>
          </cell>
          <cell r="M7" t="str">
            <v>095N</v>
          </cell>
          <cell r="N7">
            <v>1</v>
          </cell>
        </row>
        <row r="8">
          <cell r="A8">
            <v>3</v>
          </cell>
          <cell r="B8" t="str">
            <v>PT. Aisin Indonesia</v>
          </cell>
          <cell r="C8" t="str">
            <v>Kawasan Industri EJIP Kav. 5J</v>
          </cell>
          <cell r="D8" t="str">
            <v>Desa Sukaresmi, Kec. Lemahabang</v>
          </cell>
          <cell r="E8" t="str">
            <v>Bekasi - Jawa Barat 17550</v>
          </cell>
          <cell r="F8" t="str">
            <v>Mr. Djangkep Budhi Santoso</v>
          </cell>
          <cell r="G8" t="str">
            <v>Director</v>
          </cell>
          <cell r="H8" t="str">
            <v>0744/PuD/PD#1/PP/1999</v>
          </cell>
          <cell r="I8" t="str">
            <v>October 28, 1999</v>
          </cell>
          <cell r="J8" t="str">
            <v>January 2000</v>
          </cell>
          <cell r="K8" t="str">
            <v>0655/PuD/PD#1/PP/1999</v>
          </cell>
          <cell r="L8" t="str">
            <v>September 29, 1999</v>
          </cell>
          <cell r="M8" t="str">
            <v>095N</v>
          </cell>
          <cell r="N8">
            <v>1</v>
          </cell>
        </row>
        <row r="9">
          <cell r="A9">
            <v>4</v>
          </cell>
          <cell r="B9" t="str">
            <v>PT. Aneka Electrindo</v>
          </cell>
          <cell r="C9" t="str">
            <v>Jl. Petojo Utara VII No. 50D/1D</v>
          </cell>
          <cell r="D9" t="str">
            <v/>
          </cell>
          <cell r="E9" t="str">
            <v>Jakarta 10130</v>
          </cell>
          <cell r="F9" t="str">
            <v xml:space="preserve">Mr. Steven Saputra </v>
          </cell>
          <cell r="G9" t="str">
            <v>Executive Managing Dir.</v>
          </cell>
        </row>
        <row r="10">
          <cell r="A10">
            <v>5</v>
          </cell>
          <cell r="B10" t="str">
            <v>PT. Aneka Gas Industri</v>
          </cell>
          <cell r="C10" t="str">
            <v>Jl. Semper Kebantenan</v>
          </cell>
          <cell r="D10" t="str">
            <v>Cilincing, Tanjung Priok</v>
          </cell>
          <cell r="E10" t="str">
            <v>Jakarta Utara.</v>
          </cell>
          <cell r="F10" t="str">
            <v>Mr. Hendro.</v>
          </cell>
          <cell r="G10" t="str">
            <v/>
          </cell>
        </row>
        <row r="11">
          <cell r="A11">
            <v>6</v>
          </cell>
          <cell r="B11" t="str">
            <v>PT. Aneka Utama Plastik</v>
          </cell>
          <cell r="C11" t="str">
            <v>Jl. Jembatan Tiga Barat</v>
          </cell>
          <cell r="D11" t="str">
            <v>Blok C No. 8</v>
          </cell>
          <cell r="E11" t="str">
            <v>Jakarta - Utara</v>
          </cell>
          <cell r="F11" t="str">
            <v>Mr. Budi Ratma</v>
          </cell>
          <cell r="G11" t="str">
            <v>Director</v>
          </cell>
        </row>
        <row r="12">
          <cell r="A12">
            <v>7</v>
          </cell>
          <cell r="B12" t="str">
            <v>PT. Argapura Trading Co.</v>
          </cell>
          <cell r="C12" t="str">
            <v>Jl. Kedoya Agave Raya Blok AI / 2</v>
          </cell>
          <cell r="D12" t="str">
            <v>Tomang Tol</v>
          </cell>
          <cell r="E12" t="str">
            <v>Jakarta - Barat</v>
          </cell>
          <cell r="F12" t="str">
            <v>Mr. Albert L. Halim</v>
          </cell>
          <cell r="G12" t="str">
            <v>Director</v>
          </cell>
          <cell r="H12" t="str">
            <v>0744/PuD/PD#1/PP/1999</v>
          </cell>
          <cell r="I12" t="str">
            <v>October 28, 1999</v>
          </cell>
          <cell r="J12" t="str">
            <v>January 2000</v>
          </cell>
          <cell r="K12" t="str">
            <v>0655/PuD/PD#1/PP/1999</v>
          </cell>
          <cell r="L12" t="str">
            <v>September 29, 1999</v>
          </cell>
          <cell r="M12" t="str">
            <v>095N</v>
          </cell>
          <cell r="N12">
            <v>1</v>
          </cell>
        </row>
        <row r="13">
          <cell r="A13">
            <v>8</v>
          </cell>
          <cell r="B13" t="str">
            <v>PT. Asahimas Flat Glass Co.,LTD.</v>
          </cell>
          <cell r="C13" t="str">
            <v>Jl. Ancol IX / 5</v>
          </cell>
          <cell r="D13" t="str">
            <v>Ancol Barat</v>
          </cell>
          <cell r="E13" t="str">
            <v>Jakarta - Utara</v>
          </cell>
          <cell r="F13" t="str">
            <v>Mr. H. Tokitaka</v>
          </cell>
          <cell r="G13" t="str">
            <v>Manager</v>
          </cell>
          <cell r="H13" t="str">
            <v>0744/PuD/PD#1/PP/1999</v>
          </cell>
          <cell r="I13" t="str">
            <v>October 28, 1999</v>
          </cell>
          <cell r="J13" t="str">
            <v>January 2000</v>
          </cell>
          <cell r="K13" t="str">
            <v>0655/PuD/PD#1/PP/1999</v>
          </cell>
          <cell r="L13" t="str">
            <v>September 29, 1999</v>
          </cell>
          <cell r="M13" t="str">
            <v>095N</v>
          </cell>
          <cell r="N13">
            <v>1</v>
          </cell>
        </row>
        <row r="14">
          <cell r="A14">
            <v>9</v>
          </cell>
          <cell r="B14" t="str">
            <v>PT. Asalta Mandiri Agung</v>
          </cell>
          <cell r="C14" t="str">
            <v>Jl. Raya Jakarta Bogor Km 49</v>
          </cell>
          <cell r="D14" t="str">
            <v>Nanggewer</v>
          </cell>
          <cell r="E14" t="str">
            <v>Bogor - Jawa Barat</v>
          </cell>
          <cell r="F14" t="str">
            <v>Mr. Jusman Wikara</v>
          </cell>
          <cell r="G14" t="str">
            <v>Director</v>
          </cell>
          <cell r="H14" t="str">
            <v>0744/PuD/PD#1/PP/1999</v>
          </cell>
          <cell r="I14" t="str">
            <v>October 28, 1999</v>
          </cell>
          <cell r="J14" t="str">
            <v>January 2000</v>
          </cell>
          <cell r="K14" t="str">
            <v>0655/PuD/PD#1/PP/1999</v>
          </cell>
          <cell r="L14" t="str">
            <v>September 29, 1999</v>
          </cell>
          <cell r="M14" t="str">
            <v>095N</v>
          </cell>
          <cell r="N14">
            <v>1</v>
          </cell>
        </row>
        <row r="15">
          <cell r="A15">
            <v>10</v>
          </cell>
          <cell r="B15" t="str">
            <v>PT. Asno Cipta Indonesia</v>
          </cell>
          <cell r="C15" t="str">
            <v>East Java Industrial Park Plot 8K-2</v>
          </cell>
          <cell r="D15" t="str">
            <v>Lemah Abang</v>
          </cell>
          <cell r="E15" t="str">
            <v>Bekasi 17550</v>
          </cell>
          <cell r="F15" t="str">
            <v>Mr. Y. Omori</v>
          </cell>
          <cell r="G15" t="str">
            <v>Director</v>
          </cell>
          <cell r="H15" t="str">
            <v>0744/PuD/PD#1/PP/1999</v>
          </cell>
          <cell r="I15" t="str">
            <v>October 28, 1999</v>
          </cell>
          <cell r="J15" t="str">
            <v>January 2000</v>
          </cell>
          <cell r="K15" t="str">
            <v>0655/PuD/PD#1/PP/1999</v>
          </cell>
          <cell r="L15" t="str">
            <v>September 29, 1999</v>
          </cell>
          <cell r="M15" t="str">
            <v>095N</v>
          </cell>
          <cell r="N15">
            <v>1</v>
          </cell>
        </row>
        <row r="16">
          <cell r="A16">
            <v>11</v>
          </cell>
          <cell r="B16" t="str">
            <v>PT. Astra Daihatsu Motor</v>
          </cell>
          <cell r="C16" t="str">
            <v>Jl. Gaya Motor III No.5, Sunter II</v>
          </cell>
          <cell r="D16" t="str">
            <v>Sungai Bambu, Tanjung Priok</v>
          </cell>
          <cell r="E16" t="str">
            <v>Jakarta - Utara</v>
          </cell>
          <cell r="F16" t="str">
            <v>Mr. Sudirman MR.</v>
          </cell>
          <cell r="G16" t="str">
            <v/>
          </cell>
        </row>
        <row r="17">
          <cell r="A17">
            <v>12</v>
          </cell>
          <cell r="B17" t="str">
            <v>PT. Astra Otoparts Unit Adiwira Plastik</v>
          </cell>
          <cell r="C17" t="str">
            <v>Jl. Raya Jakarta Bogor Km 51.3</v>
          </cell>
          <cell r="D17" t="str">
            <v>Ciluar-Kedung Halang</v>
          </cell>
          <cell r="E17" t="str">
            <v>Bogor - Jawa Barat</v>
          </cell>
          <cell r="F17" t="str">
            <v>Mr. Dip. Ing. Harto Mulyono</v>
          </cell>
          <cell r="G17" t="str">
            <v>General Manager.</v>
          </cell>
          <cell r="H17" t="str">
            <v>0744/PuD/PD#1/PP/1999</v>
          </cell>
          <cell r="I17" t="str">
            <v>October 28, 1999</v>
          </cell>
          <cell r="J17" t="str">
            <v>January 2000</v>
          </cell>
          <cell r="K17" t="str">
            <v>0655/PuD/PD#1/PP/1999</v>
          </cell>
          <cell r="L17" t="str">
            <v>September 29, 1999</v>
          </cell>
          <cell r="M17" t="str">
            <v>095N</v>
          </cell>
          <cell r="N17">
            <v>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 t="str">
            <v>November. 30, 1999</v>
          </cell>
          <cell r="V17" t="str">
            <v>10 ~ 12 AM</v>
          </cell>
        </row>
        <row r="18">
          <cell r="A18">
            <v>13</v>
          </cell>
          <cell r="B18" t="str">
            <v>PT. Astra Otoparts Unit Nusametal</v>
          </cell>
          <cell r="C18" t="str">
            <v>Jl. Pegangsaan II  KM.2,1</v>
          </cell>
          <cell r="D18" t="str">
            <v>Kelurahan Koja</v>
          </cell>
          <cell r="E18" t="str">
            <v>Jakarta  14250.</v>
          </cell>
          <cell r="F18" t="str">
            <v>Mrs. Diana Chandrawati</v>
          </cell>
          <cell r="G18" t="str">
            <v>Marketing Dept.</v>
          </cell>
          <cell r="H18" t="str">
            <v>0744/PuD/PD#1/PP/1999</v>
          </cell>
          <cell r="I18" t="str">
            <v>October 28, 1999</v>
          </cell>
          <cell r="J18" t="str">
            <v>January 2000</v>
          </cell>
          <cell r="K18" t="str">
            <v>0655/PuD/PD#1/PP/1999</v>
          </cell>
          <cell r="L18" t="str">
            <v>September 29, 1999</v>
          </cell>
          <cell r="M18" t="str">
            <v>095N</v>
          </cell>
          <cell r="N18">
            <v>1</v>
          </cell>
        </row>
        <row r="19">
          <cell r="A19">
            <v>14</v>
          </cell>
          <cell r="B19" t="str">
            <v>PT. AT.  Indonesia</v>
          </cell>
          <cell r="C19" t="str">
            <v>Jl. Maligi III H 1 - 5 Kawasan Industri KIIC</v>
          </cell>
          <cell r="D19" t="str">
            <v>Jalan Tol Jakarta-Cikampek Km 47</v>
          </cell>
          <cell r="E19" t="str">
            <v>Karawang Barat 41361</v>
          </cell>
          <cell r="F19" t="str">
            <v>Mr. T. Miura</v>
          </cell>
          <cell r="G19" t="str">
            <v>President Director</v>
          </cell>
          <cell r="H19" t="str">
            <v>0744/PuD/PD#1/PP/1999</v>
          </cell>
          <cell r="I19" t="str">
            <v>October 28, 1999</v>
          </cell>
          <cell r="J19" t="str">
            <v>January 2000</v>
          </cell>
          <cell r="K19" t="str">
            <v>0655/PuD/PD#1/PP/1999</v>
          </cell>
          <cell r="L19" t="str">
            <v>September 29, 1999</v>
          </cell>
          <cell r="M19" t="str">
            <v>095N</v>
          </cell>
          <cell r="N19">
            <v>1</v>
          </cell>
        </row>
        <row r="20">
          <cell r="A20">
            <v>15</v>
          </cell>
          <cell r="B20" t="str">
            <v>PT. Ateja Multi Industri</v>
          </cell>
          <cell r="C20" t="str">
            <v>Jl. Raya Gadobangkong 97 Km. 13</v>
          </cell>
          <cell r="D20" t="str">
            <v>Padalarang, Bandung</v>
          </cell>
          <cell r="E20" t="str">
            <v>Jawa Barat</v>
          </cell>
          <cell r="F20" t="str">
            <v>Mr. Henry S. Sugiono</v>
          </cell>
          <cell r="G20" t="str">
            <v/>
          </cell>
        </row>
        <row r="21">
          <cell r="A21">
            <v>16</v>
          </cell>
          <cell r="B21" t="str">
            <v>PT. Bakrie Tosanjaya</v>
          </cell>
          <cell r="C21" t="str">
            <v>Jl. Raya Bekasi Km 27</v>
          </cell>
          <cell r="D21" t="str">
            <v>Pondok Ungu</v>
          </cell>
          <cell r="E21" t="str">
            <v>Bekasi - Jawa Barat</v>
          </cell>
          <cell r="F21" t="str">
            <v>Mr. M. Bachtiar</v>
          </cell>
          <cell r="G21" t="str">
            <v>Director</v>
          </cell>
        </row>
        <row r="22">
          <cell r="A22">
            <v>17</v>
          </cell>
          <cell r="B22" t="str">
            <v>PT. Bando Indonesia</v>
          </cell>
          <cell r="C22" t="str">
            <v>BDNI Life Building 1st floor, Suite 110</v>
          </cell>
          <cell r="D22" t="str">
            <v>Jl. Hayam Wuruk No.28</v>
          </cell>
          <cell r="E22" t="str">
            <v>Jakarta - 10120</v>
          </cell>
          <cell r="F22" t="str">
            <v>Mr. Freddy Rondonuwu</v>
          </cell>
          <cell r="G22" t="str">
            <v>Sales Manager</v>
          </cell>
          <cell r="H22" t="str">
            <v>0744/PuD/PD#1/PP/1999</v>
          </cell>
          <cell r="I22" t="str">
            <v>October 28, 1999</v>
          </cell>
          <cell r="J22" t="str">
            <v>January 2000</v>
          </cell>
          <cell r="K22" t="str">
            <v>0655/PuD/PD#1/PP/1999</v>
          </cell>
          <cell r="L22" t="str">
            <v>September 29, 1999</v>
          </cell>
          <cell r="M22" t="str">
            <v>095N</v>
          </cell>
          <cell r="N22">
            <v>1</v>
          </cell>
        </row>
        <row r="23">
          <cell r="A23">
            <v>18</v>
          </cell>
          <cell r="B23" t="str">
            <v>PT. Bridgestone Tire Indonesia</v>
          </cell>
          <cell r="C23" t="str">
            <v>Nusantara Building 18th Floor</v>
          </cell>
          <cell r="D23" t="str">
            <v>Jl. MH. Thamrin No. 59</v>
          </cell>
          <cell r="E23" t="str">
            <v>Jakarta - Pusat</v>
          </cell>
          <cell r="F23" t="str">
            <v>Mr.  John Arsyad</v>
          </cell>
          <cell r="G23" t="str">
            <v>Marketing Manager</v>
          </cell>
          <cell r="H23" t="str">
            <v>0744/PuD/PD#1/PP/1999</v>
          </cell>
          <cell r="I23" t="str">
            <v>October 28, 1999</v>
          </cell>
          <cell r="J23" t="str">
            <v>January 2000</v>
          </cell>
          <cell r="K23" t="str">
            <v>0655/PuD/PD#1/PP/1999</v>
          </cell>
          <cell r="L23" t="str">
            <v>September 29, 1999</v>
          </cell>
          <cell r="M23" t="str">
            <v>095N</v>
          </cell>
          <cell r="N23">
            <v>1</v>
          </cell>
        </row>
        <row r="24">
          <cell r="A24">
            <v>19</v>
          </cell>
          <cell r="B24" t="str">
            <v>PT. Cipta Kusuma Indah</v>
          </cell>
          <cell r="C24" t="str">
            <v>Jl. Pramuka Kav.72</v>
          </cell>
          <cell r="D24" t="str">
            <v/>
          </cell>
          <cell r="E24" t="str">
            <v>Jakarta - Pusat</v>
          </cell>
          <cell r="F24" t="str">
            <v>Mr. John Manaf,</v>
          </cell>
          <cell r="G24" t="str">
            <v>Marketing Manager.</v>
          </cell>
        </row>
        <row r="25">
          <cell r="A25">
            <v>20</v>
          </cell>
          <cell r="B25" t="str">
            <v>PT. Dasa Windu Agung</v>
          </cell>
          <cell r="C25" t="str">
            <v>Jl. Dharma Wanita III/3</v>
          </cell>
          <cell r="D25" t="str">
            <v>Rawa Buaya, Cengkareng</v>
          </cell>
          <cell r="E25" t="str">
            <v>Jakarta 11740</v>
          </cell>
          <cell r="F25" t="str">
            <v>Mr. Hartawan Setjodiningrat,</v>
          </cell>
          <cell r="G25" t="str">
            <v>President Director.</v>
          </cell>
        </row>
        <row r="26">
          <cell r="A26">
            <v>21</v>
          </cell>
          <cell r="B26" t="str">
            <v>PT. Daya Cipta Teknik</v>
          </cell>
          <cell r="C26" t="str">
            <v>Jl. Pengairan  RT : 002  RW : 01</v>
          </cell>
          <cell r="D26" t="str">
            <v>Desa Suka Danau</v>
          </cell>
          <cell r="E26" t="str">
            <v>Cibitung - Bekasi 17520</v>
          </cell>
          <cell r="F26" t="str">
            <v>Mr. Yudi Suherman</v>
          </cell>
          <cell r="G26" t="str">
            <v>Director</v>
          </cell>
          <cell r="H26" t="str">
            <v>0744/PuD/PD#1/PP/1999</v>
          </cell>
          <cell r="I26" t="str">
            <v>October 28, 1999</v>
          </cell>
          <cell r="J26" t="str">
            <v>January 2000</v>
          </cell>
          <cell r="K26" t="str">
            <v>0655/PuD/PD#1/PP/1999</v>
          </cell>
          <cell r="L26" t="str">
            <v>September 29, 1999</v>
          </cell>
          <cell r="M26" t="str">
            <v>095N</v>
          </cell>
          <cell r="N26">
            <v>1</v>
          </cell>
        </row>
        <row r="27">
          <cell r="A27">
            <v>22</v>
          </cell>
          <cell r="B27" t="str">
            <v>PT. Denso Indonesia Corp.</v>
          </cell>
          <cell r="C27" t="str">
            <v>Jl. Gaya Motor I No. 6</v>
          </cell>
          <cell r="D27" t="str">
            <v>Sunter II</v>
          </cell>
          <cell r="E27" t="str">
            <v>Jakarta - Utara</v>
          </cell>
          <cell r="F27" t="str">
            <v>Mr. T. Imoto</v>
          </cell>
          <cell r="G27" t="str">
            <v>General Manager</v>
          </cell>
          <cell r="H27" t="str">
            <v>0744/PuD/PD#1/PP/1999</v>
          </cell>
          <cell r="I27" t="str">
            <v>October 28, 1999</v>
          </cell>
          <cell r="J27" t="str">
            <v>January 2000</v>
          </cell>
          <cell r="K27" t="str">
            <v>0655/PuD/PD#1/PP/1999</v>
          </cell>
          <cell r="L27" t="str">
            <v>September 29, 1999</v>
          </cell>
          <cell r="M27" t="str">
            <v>095N</v>
          </cell>
          <cell r="N27">
            <v>1</v>
          </cell>
        </row>
        <row r="28">
          <cell r="A28">
            <v>23</v>
          </cell>
          <cell r="B28" t="str">
            <v>PT. Dharma Polimetal</v>
          </cell>
          <cell r="C28" t="str">
            <v>Jl. Raya Serang Km.24</v>
          </cell>
          <cell r="D28" t="str">
            <v>Balaraja - Tangerang</v>
          </cell>
          <cell r="E28" t="str">
            <v/>
          </cell>
          <cell r="F28" t="str">
            <v>Mr. Her. Widyasakta</v>
          </cell>
          <cell r="G28" t="str">
            <v>Manufacturing Plant Dept. Head</v>
          </cell>
        </row>
        <row r="29">
          <cell r="A29">
            <v>24</v>
          </cell>
          <cell r="B29" t="str">
            <v>PT. EDS Manufacturing Indonesia</v>
          </cell>
          <cell r="C29" t="str">
            <v>Jl. Raya Pegangsaan II Km 3.3</v>
          </cell>
          <cell r="D29" t="str">
            <v>Kelapa Gading</v>
          </cell>
          <cell r="E29" t="str">
            <v>Jakarta 14250</v>
          </cell>
          <cell r="F29" t="str">
            <v>Mr. Hindarto Tjandrakusuma</v>
          </cell>
          <cell r="G29" t="str">
            <v>Managing Director</v>
          </cell>
          <cell r="H29" t="str">
            <v>0744/PuD/PD#1/PP/1999</v>
          </cell>
          <cell r="I29" t="str">
            <v>October 28, 1999</v>
          </cell>
          <cell r="J29" t="str">
            <v>January 2000</v>
          </cell>
          <cell r="K29" t="str">
            <v>0655/PuD/PD#1/PP/1999</v>
          </cell>
          <cell r="L29" t="str">
            <v>September 29, 1999</v>
          </cell>
          <cell r="M29" t="str">
            <v>095N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 t="str">
            <v>November. 29, 1999</v>
          </cell>
          <cell r="V29" t="str">
            <v>02 ~ 04 PM</v>
          </cell>
        </row>
        <row r="30">
          <cell r="A30">
            <v>25</v>
          </cell>
          <cell r="B30" t="str">
            <v>PT. Enkei Indonesia</v>
          </cell>
          <cell r="C30" t="str">
            <v>Kawasan Industri Hyundai Blok C11 No.8</v>
          </cell>
          <cell r="D30" t="str">
            <v>Lippo Cikarang, Bekasi</v>
          </cell>
          <cell r="E30" t="str">
            <v>Jawa Barat 17550</v>
          </cell>
          <cell r="F30" t="str">
            <v>Mr. K. Nakajima</v>
          </cell>
          <cell r="G30" t="str">
            <v>President Director.</v>
          </cell>
          <cell r="H30" t="str">
            <v>0744/PuD/PD#1/PP/1999</v>
          </cell>
          <cell r="I30" t="str">
            <v>October 28, 1999</v>
          </cell>
          <cell r="J30" t="str">
            <v>January 2000</v>
          </cell>
          <cell r="K30" t="str">
            <v>0655/PuD/PD#1/PP/1999</v>
          </cell>
          <cell r="L30" t="str">
            <v>September 29, 1999</v>
          </cell>
          <cell r="M30" t="str">
            <v>095N</v>
          </cell>
          <cell r="N30">
            <v>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 t="str">
            <v>December. 02, 1999</v>
          </cell>
          <cell r="V30" t="str">
            <v>10 ~ 12 AM</v>
          </cell>
        </row>
        <row r="31">
          <cell r="A31">
            <v>26</v>
          </cell>
          <cell r="B31" t="str">
            <v xml:space="preserve">PT. Federal Motor </v>
          </cell>
          <cell r="C31" t="str">
            <v>Jl. Yos Sudarso</v>
          </cell>
          <cell r="D31" t="str">
            <v>Sunter I</v>
          </cell>
          <cell r="E31" t="str">
            <v>Jakarta - Utara</v>
          </cell>
          <cell r="F31" t="str">
            <v>Mr. Wirawan</v>
          </cell>
          <cell r="G31" t="str">
            <v>Commercial Manager</v>
          </cell>
        </row>
        <row r="32">
          <cell r="A32">
            <v>27</v>
          </cell>
          <cell r="B32" t="str">
            <v>PT. Gajah Tunggal</v>
          </cell>
          <cell r="C32" t="str">
            <v>Wisma Hayam Wuruk 14th Floor</v>
          </cell>
          <cell r="D32" t="str">
            <v>Jl. Hayam Wuruk No.8</v>
          </cell>
          <cell r="E32" t="str">
            <v>Jakarta  - Barat</v>
          </cell>
          <cell r="F32" t="str">
            <v>Mr. Harry Kalisaran</v>
          </cell>
          <cell r="G32" t="str">
            <v>Dep. General Manager</v>
          </cell>
          <cell r="H32" t="str">
            <v>0655/PuD/PD#1/PP/1999</v>
          </cell>
          <cell r="I32" t="str">
            <v>September 29, 1999</v>
          </cell>
          <cell r="J32" t="str">
            <v>January 2000</v>
          </cell>
          <cell r="K32">
            <v>0</v>
          </cell>
          <cell r="L32">
            <v>0</v>
          </cell>
          <cell r="M32" t="str">
            <v>095N</v>
          </cell>
        </row>
        <row r="33">
          <cell r="A33">
            <v>28</v>
          </cell>
          <cell r="B33" t="str">
            <v>PT. Garuda Metalindo</v>
          </cell>
          <cell r="C33" t="str">
            <v>Jl. Kapuk Kamal No.23</v>
          </cell>
          <cell r="D33" t="str">
            <v>(Kapuk Kayu Besar)</v>
          </cell>
          <cell r="E33" t="str">
            <v>Jakarta - Utara</v>
          </cell>
          <cell r="F33" t="str">
            <v>Mr. Erwin Wijaya</v>
          </cell>
          <cell r="G33" t="str">
            <v>Director</v>
          </cell>
        </row>
        <row r="34">
          <cell r="A34">
            <v>29</v>
          </cell>
          <cell r="B34" t="str">
            <v>PT. Gemala Kempa Daya</v>
          </cell>
          <cell r="C34" t="str">
            <v>Jl. Raya Pegangsaan II Blok A1</v>
          </cell>
          <cell r="D34" t="str">
            <v>Kel. Rawa Terate, Cakung</v>
          </cell>
          <cell r="E34" t="str">
            <v>Jakarta - Timur</v>
          </cell>
          <cell r="F34" t="str">
            <v>Mr. Indradi Setiawan</v>
          </cell>
          <cell r="G34" t="str">
            <v>General Manager.</v>
          </cell>
        </row>
        <row r="35">
          <cell r="A35">
            <v>30</v>
          </cell>
          <cell r="B35" t="str">
            <v>PT. Goodyear Indonesia</v>
          </cell>
          <cell r="C35" t="str">
            <v>Jl. Pemuda No.27 PO BOX 5</v>
          </cell>
          <cell r="D35" t="str">
            <v>B o g o r</v>
          </cell>
          <cell r="E35" t="str">
            <v>Jawa - Barat</v>
          </cell>
          <cell r="F35" t="str">
            <v>Mr. Djarot Suwarto</v>
          </cell>
          <cell r="G35" t="str">
            <v>OE Sales Department</v>
          </cell>
          <cell r="H35" t="str">
            <v>0744/PuD/PD#1/PP/1999</v>
          </cell>
          <cell r="I35" t="str">
            <v>October 28, 1999</v>
          </cell>
          <cell r="J35" t="str">
            <v>January 2000</v>
          </cell>
          <cell r="K35" t="str">
            <v>0655/PuD/PD#1/PP/1999</v>
          </cell>
          <cell r="L35" t="str">
            <v>September 29, 1999</v>
          </cell>
          <cell r="M35" t="str">
            <v>095N</v>
          </cell>
          <cell r="N35">
            <v>1</v>
          </cell>
        </row>
        <row r="36">
          <cell r="A36">
            <v>31</v>
          </cell>
          <cell r="B36" t="str">
            <v>PT. GS Battery Inc.</v>
          </cell>
          <cell r="C36" t="str">
            <v>Jl. Yos Sudarso</v>
          </cell>
          <cell r="D36" t="str">
            <v>Sunter I</v>
          </cell>
          <cell r="E36" t="str">
            <v>Jakarta - Utara</v>
          </cell>
          <cell r="F36" t="str">
            <v>Mr. Kartolo</v>
          </cell>
          <cell r="G36" t="str">
            <v>Sales Manager</v>
          </cell>
          <cell r="H36" t="str">
            <v>0744/PuD/PD#1/PP/1999</v>
          </cell>
          <cell r="I36" t="str">
            <v>October 28, 1999</v>
          </cell>
          <cell r="J36" t="str">
            <v>January 2000</v>
          </cell>
          <cell r="K36" t="str">
            <v>0655/PuD/PD#1/PP/1999</v>
          </cell>
          <cell r="L36" t="str">
            <v>September 29, 1999</v>
          </cell>
          <cell r="M36" t="str">
            <v>095N</v>
          </cell>
          <cell r="N36">
            <v>1</v>
          </cell>
        </row>
        <row r="37">
          <cell r="A37">
            <v>32</v>
          </cell>
          <cell r="B37" t="str">
            <v>PT. Guna Sena Putera Sejahtera</v>
          </cell>
          <cell r="C37" t="str">
            <v>Jl. Pangkalan III Km. 2,4 Kedung Halang</v>
          </cell>
          <cell r="D37" t="str">
            <v>Bogor 16710</v>
          </cell>
          <cell r="E37" t="str">
            <v>Jawa - Barat</v>
          </cell>
          <cell r="F37" t="str">
            <v>Mr. John Elisa</v>
          </cell>
          <cell r="G37" t="str">
            <v>Operational Manager</v>
          </cell>
          <cell r="H37" t="str">
            <v>0744/PuD/PD#1/PP/1999</v>
          </cell>
          <cell r="I37" t="str">
            <v>October 28, 1999</v>
          </cell>
          <cell r="J37" t="str">
            <v>January 2000</v>
          </cell>
          <cell r="K37" t="str">
            <v>0655/PuD/PD#1/PP/1999</v>
          </cell>
          <cell r="L37" t="str">
            <v>September 29, 1999</v>
          </cell>
          <cell r="M37" t="str">
            <v>095N</v>
          </cell>
          <cell r="N37">
            <v>1</v>
          </cell>
        </row>
        <row r="38">
          <cell r="A38">
            <v>33</v>
          </cell>
          <cell r="B38" t="str">
            <v>PT. Ichikoh Indonesia</v>
          </cell>
          <cell r="C38" t="str">
            <v>MM 2100 Industrial Town</v>
          </cell>
          <cell r="D38" t="str">
            <v>Blok LL-1 Cibitung</v>
          </cell>
          <cell r="E38" t="str">
            <v>Bekasi Jawa-Barat</v>
          </cell>
          <cell r="F38" t="str">
            <v>Mr. Toshio Kojima</v>
          </cell>
          <cell r="G38" t="str">
            <v>Director</v>
          </cell>
          <cell r="H38" t="str">
            <v>0744/PuD/PD#1/PP/1999</v>
          </cell>
          <cell r="I38" t="str">
            <v>October 28, 1999</v>
          </cell>
          <cell r="J38" t="str">
            <v>January 2000</v>
          </cell>
          <cell r="K38" t="str">
            <v>0655/PuD/PD#1/PP/1999</v>
          </cell>
          <cell r="L38" t="str">
            <v>September 29, 1999</v>
          </cell>
          <cell r="M38" t="str">
            <v>095N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 t="str">
            <v>December. 03, 1999</v>
          </cell>
          <cell r="V38" t="str">
            <v>10 ~ 12 AM</v>
          </cell>
        </row>
        <row r="39">
          <cell r="A39">
            <v>34</v>
          </cell>
          <cell r="B39" t="str">
            <v>PT. Indokarlo Perkasa</v>
          </cell>
          <cell r="C39" t="str">
            <v>Jl. Raya Bekasi Km.31</v>
          </cell>
          <cell r="D39" t="str">
            <v>Bekasi</v>
          </cell>
          <cell r="E39" t="str">
            <v>Jawa - Barat</v>
          </cell>
          <cell r="F39" t="str">
            <v>Mr. Pandit Indrawirawan</v>
          </cell>
          <cell r="G39" t="str">
            <v>Marketing Manager.</v>
          </cell>
          <cell r="H39" t="str">
            <v>0744/PuD/PD#1/PP/1999</v>
          </cell>
          <cell r="I39" t="str">
            <v>October 28, 1999</v>
          </cell>
          <cell r="J39" t="str">
            <v>January 2000</v>
          </cell>
          <cell r="K39" t="str">
            <v>0655/PuD/PD#1/PP/1999</v>
          </cell>
          <cell r="L39" t="str">
            <v>September 29, 1999</v>
          </cell>
          <cell r="M39" t="str">
            <v>095N</v>
          </cell>
          <cell r="N39">
            <v>1</v>
          </cell>
        </row>
        <row r="40">
          <cell r="A40">
            <v>35</v>
          </cell>
          <cell r="B40" t="str">
            <v>PT. Indomobil Suzuki International</v>
          </cell>
          <cell r="C40" t="str">
            <v>Jl. Raya Diponegoro Kav. 38,2</v>
          </cell>
          <cell r="D40" t="str">
            <v>Tambun, Bekasi 17111</v>
          </cell>
          <cell r="E40" t="str">
            <v>Jawa - Barat</v>
          </cell>
          <cell r="F40" t="str">
            <v>Mr. Gunawan Tedja</v>
          </cell>
          <cell r="G40" t="str">
            <v>Mark. Dept. Head</v>
          </cell>
          <cell r="H40" t="str">
            <v>0744/PuD/PD#1/PP/1999</v>
          </cell>
          <cell r="I40" t="str">
            <v>October 28, 1999</v>
          </cell>
          <cell r="J40" t="str">
            <v>January 2000</v>
          </cell>
          <cell r="K40" t="str">
            <v>0655/PuD/PD#1/PP/1999</v>
          </cell>
          <cell r="L40" t="str">
            <v>September 29, 1999</v>
          </cell>
          <cell r="M40" t="str">
            <v>095N</v>
          </cell>
          <cell r="N40">
            <v>1</v>
          </cell>
        </row>
        <row r="41">
          <cell r="A41">
            <v>36</v>
          </cell>
          <cell r="B41" t="str">
            <v>PT. Industrial Chemitomo Nusantara</v>
          </cell>
          <cell r="C41" t="str">
            <v>Jl. Kapten Tendean 12/D II</v>
          </cell>
          <cell r="D41" t="str">
            <v>Mampang Prapatan</v>
          </cell>
          <cell r="E41" t="str">
            <v>Jakarta Selatan.</v>
          </cell>
          <cell r="F41" t="str">
            <v>Mr. Sunarno.</v>
          </cell>
          <cell r="G41" t="str">
            <v/>
          </cell>
        </row>
        <row r="42">
          <cell r="A42">
            <v>37</v>
          </cell>
          <cell r="B42" t="str">
            <v>PT. Inkoasku</v>
          </cell>
          <cell r="C42" t="str">
            <v>Jl. Yos Sudarso</v>
          </cell>
          <cell r="D42" t="str">
            <v>Sunter II</v>
          </cell>
          <cell r="E42" t="str">
            <v>Jakarta - Utara</v>
          </cell>
          <cell r="F42" t="str">
            <v>Mr. Zufri Rasfudin</v>
          </cell>
          <cell r="G42" t="str">
            <v>Director</v>
          </cell>
          <cell r="H42" t="str">
            <v>0744/PuD/PD#1/PP/1999</v>
          </cell>
          <cell r="I42" t="str">
            <v>October 28, 1999</v>
          </cell>
          <cell r="J42" t="str">
            <v>January 2000</v>
          </cell>
          <cell r="K42" t="str">
            <v>0655/PuD/PD#1/PP/1999</v>
          </cell>
          <cell r="L42" t="str">
            <v>September 29, 1999</v>
          </cell>
          <cell r="M42" t="str">
            <v>095N</v>
          </cell>
          <cell r="N42">
            <v>1</v>
          </cell>
        </row>
        <row r="43">
          <cell r="A43">
            <v>38</v>
          </cell>
          <cell r="B43" t="str">
            <v>PT. Inti Ganda Perdana</v>
          </cell>
          <cell r="C43" t="str">
            <v>Jl. Raya Pegangsaan II Blok A1</v>
          </cell>
          <cell r="D43" t="str">
            <v>Kel. Rawa Terate, Cakung</v>
          </cell>
          <cell r="E43" t="str">
            <v>Jakarta - Timur</v>
          </cell>
          <cell r="F43" t="str">
            <v>Mr. Hartono</v>
          </cell>
          <cell r="G43" t="str">
            <v>General Manager</v>
          </cell>
          <cell r="H43" t="str">
            <v>0744/PuD/PD#1/PP/1999</v>
          </cell>
          <cell r="I43" t="str">
            <v>October 28, 1999</v>
          </cell>
          <cell r="J43" t="str">
            <v>January 2000</v>
          </cell>
          <cell r="K43" t="str">
            <v>0655/PuD/PD#1/PP/1999</v>
          </cell>
          <cell r="L43" t="str">
            <v>September 29, 1999</v>
          </cell>
          <cell r="M43" t="str">
            <v>095N</v>
          </cell>
          <cell r="N43">
            <v>1</v>
          </cell>
        </row>
        <row r="44">
          <cell r="A44">
            <v>39</v>
          </cell>
          <cell r="B44" t="str">
            <v>PT. IRC Inoac Indonesia ( Rubber)</v>
          </cell>
          <cell r="C44" t="str">
            <v>Mashill Tower Lt.19</v>
          </cell>
          <cell r="D44" t="str">
            <v>Jl. Jend. Sudirman Kav.25</v>
          </cell>
          <cell r="E44" t="str">
            <v>Jakarta 12920</v>
          </cell>
          <cell r="F44" t="str">
            <v>Mr. Suhadi</v>
          </cell>
          <cell r="G44" t="str">
            <v>Marketing Manager.</v>
          </cell>
          <cell r="H44" t="str">
            <v>0744/PuD/PD#1/PP/1999</v>
          </cell>
          <cell r="I44" t="str">
            <v>October 28, 1999</v>
          </cell>
          <cell r="J44" t="str">
            <v>January 2000</v>
          </cell>
          <cell r="K44" t="str">
            <v>0655/PuD/PD#1/PP/1999</v>
          </cell>
          <cell r="L44" t="str">
            <v>September 29, 1999</v>
          </cell>
          <cell r="M44" t="str">
            <v>095N</v>
          </cell>
          <cell r="N44">
            <v>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 t="str">
            <v>November. 23, 1999</v>
          </cell>
          <cell r="V44" t="str">
            <v>10 ~ 12 AM</v>
          </cell>
        </row>
        <row r="45">
          <cell r="A45">
            <v>40</v>
          </cell>
          <cell r="B45" t="str">
            <v>PT. IRC Inoac Indonesia (PU)</v>
          </cell>
          <cell r="C45" t="str">
            <v>Mashill Tower Lt.19</v>
          </cell>
          <cell r="D45" t="str">
            <v>Jl. Jend. Sudirman Kav.25</v>
          </cell>
          <cell r="E45" t="str">
            <v>Jakarta 12920</v>
          </cell>
          <cell r="F45" t="str">
            <v>Mr. Suhadi</v>
          </cell>
          <cell r="G45" t="str">
            <v>Marketing Manager.</v>
          </cell>
          <cell r="H45" t="str">
            <v>0744/PuD/PD#1/PP/1999</v>
          </cell>
          <cell r="I45" t="str">
            <v>October 28, 1999</v>
          </cell>
          <cell r="J45" t="str">
            <v>January 2000</v>
          </cell>
          <cell r="K45" t="str">
            <v>0655/PuD/PD#1/PP/1999</v>
          </cell>
          <cell r="L45" t="str">
            <v>September 29, 1999</v>
          </cell>
          <cell r="M45" t="str">
            <v>095N</v>
          </cell>
          <cell r="N45">
            <v>1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 t="str">
            <v>November. 25, 1999</v>
          </cell>
          <cell r="V45" t="str">
            <v>10 ~ 12 AM</v>
          </cell>
        </row>
        <row r="46">
          <cell r="A46">
            <v>41</v>
          </cell>
          <cell r="B46" t="str">
            <v>PT. Kadera-Ar Indonesia</v>
          </cell>
          <cell r="C46" t="str">
            <v>Jl. Rawa Gatel Kav. III S 39</v>
          </cell>
          <cell r="D46" t="str">
            <v>Kawasan Industri Pulogadung</v>
          </cell>
          <cell r="E46" t="str">
            <v>Jakarta - Timur</v>
          </cell>
          <cell r="F46" t="str">
            <v>Mr. Eko Sasongko</v>
          </cell>
          <cell r="G46" t="str">
            <v/>
          </cell>
          <cell r="H46" t="str">
            <v>0744/PuD/PD#1/PP/1999</v>
          </cell>
          <cell r="I46" t="str">
            <v>October 28, 1999</v>
          </cell>
          <cell r="J46" t="str">
            <v>January 2000</v>
          </cell>
          <cell r="K46" t="str">
            <v>0655/PuD/PD#1/PP/1999</v>
          </cell>
          <cell r="L46" t="str">
            <v>September 29, 1999</v>
          </cell>
          <cell r="M46" t="str">
            <v>095N</v>
          </cell>
          <cell r="N46">
            <v>1</v>
          </cell>
        </row>
        <row r="47">
          <cell r="A47">
            <v>42</v>
          </cell>
          <cell r="B47" t="str">
            <v>PT. Karya Trampil Mandiri</v>
          </cell>
          <cell r="C47" t="str">
            <v>Jl. Danau Sunter Utara Blok J12 No. 78</v>
          </cell>
          <cell r="D47" t="str">
            <v>Sunter Agung, Podomoro</v>
          </cell>
          <cell r="E47" t="str">
            <v>Jakarta - Utara</v>
          </cell>
          <cell r="F47" t="str">
            <v>Mr. Wimen Ong</v>
          </cell>
          <cell r="G47" t="str">
            <v>Director</v>
          </cell>
          <cell r="H47" t="str">
            <v>0744/PuD/PD#1/PP/1999</v>
          </cell>
          <cell r="I47" t="str">
            <v>October 28, 1999</v>
          </cell>
          <cell r="J47" t="str">
            <v>January 2000</v>
          </cell>
          <cell r="K47" t="str">
            <v>0655/PuD/PD#1/PP/1999</v>
          </cell>
          <cell r="L47" t="str">
            <v>September 29, 1999</v>
          </cell>
          <cell r="M47" t="str">
            <v>095N</v>
          </cell>
          <cell r="N47">
            <v>1</v>
          </cell>
        </row>
        <row r="48">
          <cell r="A48">
            <v>43</v>
          </cell>
          <cell r="B48" t="str">
            <v>PT. Kayaba Indonesia</v>
          </cell>
          <cell r="C48" t="str">
            <v>Jl. Rawa Terate I/4</v>
          </cell>
          <cell r="D48" t="str">
            <v>Kawasan Industri Pulogadung</v>
          </cell>
          <cell r="E48" t="str">
            <v>Jakarta - Timur</v>
          </cell>
          <cell r="F48" t="str">
            <v>Mr. Iwan Harianto</v>
          </cell>
          <cell r="G48" t="str">
            <v>Mark. Manager</v>
          </cell>
          <cell r="H48" t="str">
            <v>0744/PuD/PD#1/PP/1999</v>
          </cell>
          <cell r="I48" t="str">
            <v>October 28, 1999</v>
          </cell>
          <cell r="J48" t="str">
            <v>January 2000</v>
          </cell>
          <cell r="K48" t="str">
            <v>0655/PuD/PD#1/PP/1999</v>
          </cell>
          <cell r="L48" t="str">
            <v>September 29, 1999</v>
          </cell>
          <cell r="M48" t="str">
            <v>095N</v>
          </cell>
          <cell r="N48">
            <v>1</v>
          </cell>
        </row>
        <row r="49">
          <cell r="A49">
            <v>44</v>
          </cell>
          <cell r="B49" t="str">
            <v>PT. KGD  INDONESIA</v>
          </cell>
          <cell r="C49" t="str">
            <v>Jl. Pasir Kemis - Desa Keroncong</v>
          </cell>
          <cell r="D49" t="str">
            <v>Kec. Jatiuwung, Tangerang</v>
          </cell>
          <cell r="E49" t="str">
            <v>Jawa Barat</v>
          </cell>
          <cell r="F49" t="str">
            <v>Mr. Junaidi</v>
          </cell>
          <cell r="G49" t="str">
            <v>Manager</v>
          </cell>
          <cell r="H49" t="str">
            <v>0744/PuD/PD#1/PP/1999</v>
          </cell>
          <cell r="I49" t="str">
            <v>October 28, 1999</v>
          </cell>
          <cell r="J49" t="str">
            <v>January 2000</v>
          </cell>
          <cell r="K49" t="str">
            <v>0655/PuD/PD#1/PP/1999</v>
          </cell>
          <cell r="L49" t="str">
            <v>September 29, 1999</v>
          </cell>
          <cell r="M49" t="str">
            <v>095N</v>
          </cell>
          <cell r="N49">
            <v>1</v>
          </cell>
        </row>
        <row r="50">
          <cell r="A50">
            <v>45</v>
          </cell>
          <cell r="B50" t="str">
            <v>PT. Komponen Logam Nusapersada</v>
          </cell>
          <cell r="C50" t="str">
            <v>Jl. Pangkalan V ( Narogong KM.14 )</v>
          </cell>
          <cell r="D50" t="str">
            <v>Desa Cikiwul, Bantar Gebang</v>
          </cell>
          <cell r="E50" t="str">
            <v>Bekasi 17310</v>
          </cell>
          <cell r="F50" t="str">
            <v>Mr. Ong Ming Swie</v>
          </cell>
          <cell r="G50" t="str">
            <v>Director</v>
          </cell>
          <cell r="H50" t="str">
            <v>0744/PuD/PD#1/PP/1999</v>
          </cell>
          <cell r="I50" t="str">
            <v>October 28, 1999</v>
          </cell>
          <cell r="J50" t="str">
            <v>January 2000</v>
          </cell>
          <cell r="K50" t="str">
            <v>0655/PuD/PD#1/PP/1999</v>
          </cell>
          <cell r="L50" t="str">
            <v>September 29, 1999</v>
          </cell>
          <cell r="M50" t="str">
            <v>095N</v>
          </cell>
          <cell r="N50">
            <v>1</v>
          </cell>
        </row>
        <row r="51">
          <cell r="A51">
            <v>46</v>
          </cell>
          <cell r="B51" t="str">
            <v>PT. KSB INDONESIA</v>
          </cell>
          <cell r="C51" t="str">
            <v>Jl. Raya Tipar No.42</v>
          </cell>
          <cell r="D51" t="str">
            <v xml:space="preserve">Cakung </v>
          </cell>
          <cell r="E51" t="str">
            <v xml:space="preserve"> Jakarta 13910</v>
          </cell>
          <cell r="F51" t="str">
            <v>Mr. Lionar Chandrawira</v>
          </cell>
          <cell r="G51" t="str">
            <v>Director</v>
          </cell>
          <cell r="H51" t="str">
            <v>0744/PuD/PD#1/PP/1999</v>
          </cell>
          <cell r="I51" t="str">
            <v>October 28, 1999</v>
          </cell>
          <cell r="J51" t="str">
            <v>January 2000</v>
          </cell>
          <cell r="K51" t="str">
            <v>0655/PuD/PD#1/PP/1999</v>
          </cell>
          <cell r="L51" t="str">
            <v>September 29, 1999</v>
          </cell>
          <cell r="M51" t="str">
            <v>095N</v>
          </cell>
          <cell r="N51">
            <v>1</v>
          </cell>
        </row>
        <row r="52">
          <cell r="A52">
            <v>47</v>
          </cell>
          <cell r="B52" t="str">
            <v>PT. Kyoraku Blowmolding Indonesia</v>
          </cell>
          <cell r="C52" t="str">
            <v>Jl. Maligi III Lot F9</v>
          </cell>
          <cell r="D52" t="str">
            <v>Kawasan IndustriKIIC</v>
          </cell>
          <cell r="E52" t="str">
            <v>Karawang 41361</v>
          </cell>
          <cell r="F52" t="str">
            <v>Mr. Atsushi Senoo</v>
          </cell>
          <cell r="G52" t="str">
            <v>Marketing Director</v>
          </cell>
          <cell r="H52" t="str">
            <v>0744/PuD/PD#1/PP/1999</v>
          </cell>
          <cell r="I52" t="str">
            <v>October 28, 1999</v>
          </cell>
          <cell r="J52" t="str">
            <v>January 2000</v>
          </cell>
          <cell r="K52" t="str">
            <v>0655/PuD/PD#1/PP/1999</v>
          </cell>
          <cell r="L52" t="str">
            <v>September 29, 1999</v>
          </cell>
          <cell r="M52" t="str">
            <v>095N</v>
          </cell>
          <cell r="N52">
            <v>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 t="str">
            <v>November. 24, 1999</v>
          </cell>
          <cell r="V52" t="str">
            <v>10 ~ 12 AM</v>
          </cell>
        </row>
        <row r="53">
          <cell r="A53">
            <v>48</v>
          </cell>
          <cell r="B53" t="str">
            <v>PT. Lippo TSK.</v>
          </cell>
          <cell r="C53" t="str">
            <v>Jl. Lio Baru, Desa Karangsari</v>
          </cell>
          <cell r="D53" t="str">
            <v>Kecamatan Batu Ceper</v>
          </cell>
          <cell r="E53" t="str">
            <v>Tangerang 15121</v>
          </cell>
          <cell r="F53" t="str">
            <v>Mr. Ferry Chandra</v>
          </cell>
          <cell r="G53" t="str">
            <v>Director</v>
          </cell>
          <cell r="H53" t="str">
            <v>0744/PuD/PD#1/PP/1999</v>
          </cell>
          <cell r="I53" t="str">
            <v>October 28, 1999</v>
          </cell>
          <cell r="J53" t="str">
            <v>January 2000</v>
          </cell>
          <cell r="K53" t="str">
            <v>0655/PuD/PD#1/PP/1999</v>
          </cell>
          <cell r="L53" t="str">
            <v>September 29, 1999</v>
          </cell>
          <cell r="M53" t="str">
            <v>095N</v>
          </cell>
          <cell r="N53">
            <v>1</v>
          </cell>
        </row>
        <row r="54">
          <cell r="A54">
            <v>49</v>
          </cell>
          <cell r="B54" t="str">
            <v>PT. Meiwa Indonesia</v>
          </cell>
          <cell r="C54" t="str">
            <v>Jl. Karet Tengsin No.19</v>
          </cell>
          <cell r="D54" t="str">
            <v>Jakarta - Pusat 10220</v>
          </cell>
          <cell r="E54" t="str">
            <v>Jawa Barat</v>
          </cell>
          <cell r="F54" t="str">
            <v>Mr. T. Yamamoto</v>
          </cell>
          <cell r="G54" t="str">
            <v>Director</v>
          </cell>
          <cell r="H54" t="str">
            <v>0744/PuD/PD#1/PP/1999</v>
          </cell>
          <cell r="I54" t="str">
            <v>October 28, 1999</v>
          </cell>
          <cell r="J54" t="str">
            <v>January 2000</v>
          </cell>
          <cell r="K54" t="str">
            <v>0655/PuD/PD#1/PP/1999</v>
          </cell>
          <cell r="L54" t="str">
            <v>September 29, 1999</v>
          </cell>
          <cell r="M54" t="str">
            <v>095N</v>
          </cell>
          <cell r="N54">
            <v>1</v>
          </cell>
        </row>
        <row r="55">
          <cell r="A55">
            <v>50</v>
          </cell>
          <cell r="B55" t="str">
            <v>PT. Menara Terus Makmur</v>
          </cell>
          <cell r="C55" t="str">
            <v>Jl. Jababeka XI Blok H3 No. 12</v>
          </cell>
          <cell r="D55" t="str">
            <v>Kawasan Industri Jababeka</v>
          </cell>
          <cell r="E55" t="str">
            <v>Cikarang - Jawa Barat</v>
          </cell>
          <cell r="F55" t="str">
            <v>Mr. Hanung S. Talogo</v>
          </cell>
          <cell r="G55" t="str">
            <v>Deputy Director</v>
          </cell>
          <cell r="H55" t="str">
            <v>0744/PuD/PD#1/PP/1999</v>
          </cell>
          <cell r="I55" t="str">
            <v>October 28, 1999</v>
          </cell>
          <cell r="J55" t="str">
            <v>January 2000</v>
          </cell>
          <cell r="K55" t="str">
            <v>0655/PuD/PD#1/PP/1999</v>
          </cell>
          <cell r="L55" t="str">
            <v>September 29, 1999</v>
          </cell>
          <cell r="M55" t="str">
            <v>095N</v>
          </cell>
          <cell r="N55">
            <v>1</v>
          </cell>
        </row>
        <row r="56">
          <cell r="A56">
            <v>51</v>
          </cell>
          <cell r="B56" t="str">
            <v>PT. Meshindo Alloy Wheel Corp.</v>
          </cell>
          <cell r="C56" t="str">
            <v>Jl. Margo Mulyo Indah I Kav. 8 - 9</v>
          </cell>
          <cell r="D56" t="str">
            <v>Surabaya 60186</v>
          </cell>
          <cell r="E56" t="str">
            <v>Jawa Timur</v>
          </cell>
          <cell r="F56" t="str">
            <v>Mr. William Gozali</v>
          </cell>
          <cell r="G56" t="str">
            <v>Marketing Director</v>
          </cell>
          <cell r="H56" t="str">
            <v>0744/PuD/PD#1/PP/1999</v>
          </cell>
          <cell r="I56" t="str">
            <v>October 28, 1999</v>
          </cell>
          <cell r="J56" t="str">
            <v>January 2000</v>
          </cell>
          <cell r="K56" t="str">
            <v>0655/PuD/PD#1/PP/1999</v>
          </cell>
          <cell r="L56" t="str">
            <v>September 29, 1999</v>
          </cell>
          <cell r="M56" t="str">
            <v>095N</v>
          </cell>
          <cell r="N56">
            <v>1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 t="str">
            <v>November. 30, 1999</v>
          </cell>
          <cell r="V56" t="str">
            <v>10 ~ 12 AM</v>
          </cell>
        </row>
        <row r="57">
          <cell r="A57">
            <v>52</v>
          </cell>
          <cell r="B57" t="str">
            <v>PT. Meta Presindo Utama</v>
          </cell>
          <cell r="C57" t="str">
            <v>Jl. Pulogadung, Belakang Pemadam Kebakaran</v>
          </cell>
          <cell r="D57" t="str">
            <v>Kawasan Industri Pulogadung</v>
          </cell>
          <cell r="E57" t="str">
            <v>Jakarta - Timur</v>
          </cell>
          <cell r="F57" t="str">
            <v>Mr. Adhie Saptaputra</v>
          </cell>
          <cell r="G57" t="str">
            <v>Director</v>
          </cell>
        </row>
        <row r="58">
          <cell r="A58">
            <v>53</v>
          </cell>
          <cell r="B58" t="str">
            <v>PT. Metindo Era Sakti</v>
          </cell>
          <cell r="C58" t="str">
            <v>Jl. Raya Narogong, Km 12,5</v>
          </cell>
          <cell r="D58" t="str">
            <v>Cikiwul, Bantar Gebang</v>
          </cell>
          <cell r="E58" t="str">
            <v>Bekasi, Jawa - Barat</v>
          </cell>
          <cell r="F58" t="str">
            <v>Mr. Hendra Hadi</v>
          </cell>
          <cell r="G58" t="str">
            <v>Director</v>
          </cell>
          <cell r="H58" t="str">
            <v>0744/PuD/PD#1/PP/1999</v>
          </cell>
          <cell r="I58" t="str">
            <v>October 28, 1999</v>
          </cell>
          <cell r="J58" t="str">
            <v>January 2000</v>
          </cell>
          <cell r="K58" t="str">
            <v>0655/PuD/PD#1/PP/1999</v>
          </cell>
          <cell r="L58" t="str">
            <v>September 29, 1999</v>
          </cell>
          <cell r="M58" t="str">
            <v>095N</v>
          </cell>
          <cell r="N58">
            <v>1</v>
          </cell>
        </row>
        <row r="59">
          <cell r="A59">
            <v>54</v>
          </cell>
          <cell r="B59" t="str">
            <v>PT. Muaratewe Spring</v>
          </cell>
          <cell r="C59" t="str">
            <v>Jl. Pulo GadungKav II L1 No. 30</v>
          </cell>
          <cell r="D59" t="str">
            <v>Kawasan Industri Pulogadung</v>
          </cell>
          <cell r="E59" t="str">
            <v>Jakarta - Timur</v>
          </cell>
          <cell r="F59" t="str">
            <v>Mr. Ibnu Agung Ismail</v>
          </cell>
          <cell r="G59" t="str">
            <v>Pres. Director</v>
          </cell>
          <cell r="H59" t="str">
            <v>0744/PuD/PD#1/PP/1999</v>
          </cell>
          <cell r="I59" t="str">
            <v>October 28, 1999</v>
          </cell>
          <cell r="J59" t="str">
            <v>January 2000</v>
          </cell>
          <cell r="K59" t="str">
            <v>0655/PuD/PD#1/PP/1999</v>
          </cell>
          <cell r="L59" t="str">
            <v>September 29, 1999</v>
          </cell>
          <cell r="M59" t="str">
            <v>095N</v>
          </cell>
          <cell r="N59">
            <v>1</v>
          </cell>
        </row>
        <row r="60">
          <cell r="A60">
            <v>55</v>
          </cell>
          <cell r="B60" t="str">
            <v>PT. Multi Celcom</v>
          </cell>
          <cell r="C60" t="str">
            <v>Jl. Tole Iskandar 63</v>
          </cell>
          <cell r="D60" t="str">
            <v>Simpang Depok, Cimanggis</v>
          </cell>
          <cell r="E60" t="str">
            <v>Jawa - Barat</v>
          </cell>
          <cell r="F60" t="str">
            <v xml:space="preserve">Mr. Roger Tjakradisurya, </v>
          </cell>
          <cell r="G60" t="str">
            <v>Managing Director.</v>
          </cell>
          <cell r="H60" t="str">
            <v>0744/PuD/PD#1/PP/1999</v>
          </cell>
          <cell r="I60" t="str">
            <v>October 28, 1999</v>
          </cell>
          <cell r="J60" t="str">
            <v>January 2000</v>
          </cell>
          <cell r="K60" t="str">
            <v>0655/PuD/PD#1/PP/1999</v>
          </cell>
          <cell r="L60" t="str">
            <v>September 29, 1999</v>
          </cell>
          <cell r="M60" t="str">
            <v>095N</v>
          </cell>
          <cell r="N60">
            <v>1</v>
          </cell>
        </row>
        <row r="61">
          <cell r="A61">
            <v>56</v>
          </cell>
          <cell r="B61" t="str">
            <v>PT. National Gobel</v>
          </cell>
          <cell r="C61" t="str">
            <v>Jl. Raya Bogor KM.29</v>
          </cell>
          <cell r="D61" t="str">
            <v>Gandaria</v>
          </cell>
          <cell r="E61" t="str">
            <v>Jakarta - Timur.</v>
          </cell>
          <cell r="F61" t="str">
            <v>Mr. Zamri Nazar</v>
          </cell>
          <cell r="G61" t="str">
            <v/>
          </cell>
          <cell r="H61" t="str">
            <v>0744/PuD/PD#1/PP/1999</v>
          </cell>
          <cell r="I61" t="str">
            <v>October 28, 1999</v>
          </cell>
          <cell r="J61" t="str">
            <v>January 2000</v>
          </cell>
          <cell r="K61" t="str">
            <v>0655/PuD/PD#1/PP/1999</v>
          </cell>
          <cell r="L61" t="str">
            <v>September 29, 1999</v>
          </cell>
          <cell r="M61" t="str">
            <v>095N</v>
          </cell>
          <cell r="N61">
            <v>1</v>
          </cell>
        </row>
        <row r="62">
          <cell r="A62">
            <v>57</v>
          </cell>
          <cell r="B62" t="str">
            <v xml:space="preserve">PT. NGK Busi </v>
          </cell>
          <cell r="C62" t="str">
            <v>Jl. Raya Jakarta Bogor Km 26,6</v>
          </cell>
          <cell r="D62" t="str">
            <v>PO Box No.1, Cijantung</v>
          </cell>
          <cell r="E62" t="str">
            <v>Jakarta - Timur 13740</v>
          </cell>
          <cell r="F62" t="str">
            <v>Mr. Y. Nakagawa</v>
          </cell>
          <cell r="G62" t="str">
            <v>Pres. Director</v>
          </cell>
          <cell r="H62" t="str">
            <v>0744/PuD/PD#1/PP/1999</v>
          </cell>
          <cell r="I62" t="str">
            <v>October 28, 1999</v>
          </cell>
          <cell r="J62" t="str">
            <v>January 2000</v>
          </cell>
          <cell r="K62" t="str">
            <v>0655/PuD/PD#1/PP/1999</v>
          </cell>
          <cell r="L62" t="str">
            <v>September 29, 1999</v>
          </cell>
          <cell r="M62" t="str">
            <v>095N</v>
          </cell>
          <cell r="N62">
            <v>1</v>
          </cell>
        </row>
        <row r="63">
          <cell r="A63">
            <v>58</v>
          </cell>
          <cell r="B63" t="str">
            <v>PT. NHK Gasket</v>
          </cell>
          <cell r="C63" t="str">
            <v>Karawang International Industry City (KIIC)</v>
          </cell>
          <cell r="D63" t="str">
            <v>Jl. Maligi III Lot N - 1</v>
          </cell>
          <cell r="E63" t="str">
            <v>Karawang 41365</v>
          </cell>
          <cell r="F63" t="str">
            <v>Mr. Eko Deddy Haryanto</v>
          </cell>
          <cell r="G63" t="str">
            <v>Director</v>
          </cell>
          <cell r="H63" t="str">
            <v>0744/PuD/PD#1/PP/1999</v>
          </cell>
          <cell r="I63" t="str">
            <v>October 28, 1999</v>
          </cell>
          <cell r="J63" t="str">
            <v>January 2000</v>
          </cell>
          <cell r="K63" t="str">
            <v>0655/PuD/PD#1/PP/1999</v>
          </cell>
          <cell r="L63" t="str">
            <v>September 29, 1999</v>
          </cell>
          <cell r="M63" t="str">
            <v>095N</v>
          </cell>
          <cell r="N63">
            <v>1</v>
          </cell>
        </row>
        <row r="64">
          <cell r="A64">
            <v>59</v>
          </cell>
          <cell r="B64" t="str">
            <v>PT. Nichias Sunijaya</v>
          </cell>
          <cell r="C64" t="str">
            <v>Wisma Abadi Lt.1 Blok A4</v>
          </cell>
          <cell r="D64" t="str">
            <v>Jl. Kyai Caringin No. 29-31</v>
          </cell>
          <cell r="E64" t="str">
            <v>Jakarta 10160</v>
          </cell>
          <cell r="F64" t="str">
            <v>Mr. H. Tanaka</v>
          </cell>
          <cell r="G64" t="str">
            <v>Advisor</v>
          </cell>
          <cell r="H64" t="str">
            <v>0744/PuD/PD#1/PP/1999</v>
          </cell>
          <cell r="I64" t="str">
            <v>October 28, 1999</v>
          </cell>
          <cell r="J64" t="str">
            <v>January 2000</v>
          </cell>
          <cell r="K64" t="str">
            <v>0655/PuD/PD#1/PP/1999</v>
          </cell>
          <cell r="L64" t="str">
            <v>September 29, 1999</v>
          </cell>
          <cell r="M64" t="str">
            <v>095N</v>
          </cell>
          <cell r="N64">
            <v>1</v>
          </cell>
        </row>
        <row r="65">
          <cell r="A65">
            <v>60</v>
          </cell>
          <cell r="B65" t="str">
            <v>PT. NSK Bearing Manufacturing Indonesia</v>
          </cell>
          <cell r="C65" t="str">
            <v>Kawasan Industri MM2100 Blok M-4</v>
          </cell>
          <cell r="D65" t="str">
            <v>Cibitung - Bekasi</v>
          </cell>
          <cell r="E65" t="str">
            <v>Jawa Barat.</v>
          </cell>
          <cell r="F65" t="str">
            <v>Mr. Naoshi Kimoto</v>
          </cell>
          <cell r="G65" t="str">
            <v/>
          </cell>
          <cell r="H65" t="str">
            <v>0744/PuD/PD#1/PP/1999</v>
          </cell>
          <cell r="I65" t="str">
            <v>October 28, 1999</v>
          </cell>
          <cell r="J65" t="str">
            <v>January 2000</v>
          </cell>
          <cell r="K65" t="str">
            <v>0655/PuD/PD#1/PP/1999</v>
          </cell>
          <cell r="L65" t="str">
            <v>September 29, 1999</v>
          </cell>
          <cell r="M65" t="str">
            <v>095N</v>
          </cell>
          <cell r="N65">
            <v>1</v>
          </cell>
        </row>
        <row r="66">
          <cell r="A66">
            <v>61</v>
          </cell>
          <cell r="B66" t="str">
            <v>PT. Nusahadi Citra harmonis</v>
          </cell>
          <cell r="C66" t="str">
            <v>Kawasan Industri Pluit A/6</v>
          </cell>
          <cell r="D66" t="str">
            <v>Jakarta 14440</v>
          </cell>
          <cell r="E66" t="str">
            <v>Jawa Barat</v>
          </cell>
          <cell r="F66" t="str">
            <v>Mr. Yusuf Hemus</v>
          </cell>
          <cell r="G66" t="str">
            <v>Director</v>
          </cell>
          <cell r="H66" t="str">
            <v>0744/PuD/PD#1/PP/1999</v>
          </cell>
          <cell r="I66" t="str">
            <v>October 28, 1999</v>
          </cell>
          <cell r="J66" t="str">
            <v>January 2000</v>
          </cell>
          <cell r="K66" t="str">
            <v>0655/PuD/PD#1/PP/1999</v>
          </cell>
          <cell r="L66" t="str">
            <v>September 29, 1999</v>
          </cell>
          <cell r="M66" t="str">
            <v>095N</v>
          </cell>
          <cell r="N66">
            <v>1</v>
          </cell>
        </row>
        <row r="67">
          <cell r="A67">
            <v>62</v>
          </cell>
          <cell r="B67" t="str">
            <v>PT. Nusa-Toyotetsu Corp.</v>
          </cell>
          <cell r="C67" t="str">
            <v>MM 2100 Industrial Town</v>
          </cell>
          <cell r="D67" t="str">
            <v>Blok J-12, 14, 15</v>
          </cell>
          <cell r="E67" t="str">
            <v>Cibitung - Bekasi 17520</v>
          </cell>
          <cell r="F67" t="str">
            <v>Mr. Hardyanto Djunaedi</v>
          </cell>
          <cell r="G67" t="str">
            <v>Marketing Director</v>
          </cell>
          <cell r="H67" t="str">
            <v>0744/PuD/PD#1/PP/1999</v>
          </cell>
          <cell r="I67" t="str">
            <v>October 28, 1999</v>
          </cell>
          <cell r="J67" t="str">
            <v>January 2000</v>
          </cell>
          <cell r="K67" t="str">
            <v>0655/PuD/PD#1/PP/1999</v>
          </cell>
          <cell r="L67" t="str">
            <v>September 29, 1999</v>
          </cell>
          <cell r="M67" t="str">
            <v>095N</v>
          </cell>
          <cell r="N67">
            <v>1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 t="str">
            <v>November. 26, 1999</v>
          </cell>
          <cell r="V67" t="str">
            <v>10 ~ 12 AM</v>
          </cell>
        </row>
        <row r="68">
          <cell r="A68">
            <v>63</v>
          </cell>
          <cell r="B68" t="str">
            <v>PT. OTICS Indonesia</v>
          </cell>
          <cell r="C68" t="str">
            <v>Kawasan Industri EJIP Plot 5C - 1</v>
          </cell>
          <cell r="D68" t="str">
            <v>Lemahabang, Bekasi 17550</v>
          </cell>
          <cell r="E68" t="str">
            <v>Jawa Barat</v>
          </cell>
          <cell r="F68" t="str">
            <v>Mr. Y. Ishikawa</v>
          </cell>
          <cell r="G68" t="str">
            <v>President Director</v>
          </cell>
          <cell r="H68" t="str">
            <v>0744/PuD/PD#1/PP/1999</v>
          </cell>
          <cell r="I68" t="str">
            <v>October 28, 1999</v>
          </cell>
          <cell r="J68" t="str">
            <v>January 2000</v>
          </cell>
          <cell r="K68" t="str">
            <v>0655/PuD/PD#1/PP/1999</v>
          </cell>
          <cell r="L68" t="str">
            <v>September 29, 1999</v>
          </cell>
          <cell r="M68" t="str">
            <v>095N</v>
          </cell>
          <cell r="N68">
            <v>1</v>
          </cell>
        </row>
        <row r="69">
          <cell r="A69">
            <v>64</v>
          </cell>
          <cell r="B69" t="str">
            <v>PT. Pakarti Riken</v>
          </cell>
          <cell r="C69" t="str">
            <v>Jl. Kebon Sirih No. 96</v>
          </cell>
          <cell r="D69" t="str">
            <v>Jakarta - Pusat</v>
          </cell>
          <cell r="E69" t="str">
            <v>Jawa Barat</v>
          </cell>
          <cell r="F69" t="str">
            <v>Mr. Adi Taruli</v>
          </cell>
          <cell r="G69" t="str">
            <v>Director</v>
          </cell>
          <cell r="H69" t="str">
            <v>0744/PuD/PD#1/PP/1999</v>
          </cell>
          <cell r="I69" t="str">
            <v>October 28, 1999</v>
          </cell>
          <cell r="J69" t="str">
            <v>January 2000</v>
          </cell>
          <cell r="K69" t="str">
            <v>0655/PuD/PD#1/PP/1999</v>
          </cell>
          <cell r="L69" t="str">
            <v>September 29, 1999</v>
          </cell>
          <cell r="M69" t="str">
            <v>095N</v>
          </cell>
          <cell r="N69">
            <v>1</v>
          </cell>
        </row>
        <row r="70">
          <cell r="A70">
            <v>65</v>
          </cell>
          <cell r="B70" t="str">
            <v>PT. Pakoakuina</v>
          </cell>
          <cell r="C70" t="str">
            <v>Jl. Yos Sudarso</v>
          </cell>
          <cell r="D70" t="str">
            <v>Sunter II</v>
          </cell>
          <cell r="E70" t="str">
            <v>Jakarta - Utara</v>
          </cell>
          <cell r="F70" t="str">
            <v>Mr. Zufri Rasfudin</v>
          </cell>
          <cell r="G70" t="str">
            <v>Director</v>
          </cell>
          <cell r="H70" t="str">
            <v>0655/PuD/PD#1/PP/1999</v>
          </cell>
          <cell r="I70" t="str">
            <v>September 29, 1999</v>
          </cell>
          <cell r="J70" t="str">
            <v>January 2000</v>
          </cell>
          <cell r="K70">
            <v>0</v>
          </cell>
          <cell r="L70">
            <v>0</v>
          </cell>
          <cell r="M70" t="str">
            <v>095N</v>
          </cell>
        </row>
        <row r="71">
          <cell r="A71">
            <v>66</v>
          </cell>
          <cell r="B71" t="str">
            <v>PT. Palingda Nasional</v>
          </cell>
          <cell r="C71" t="str">
            <v>Jl. Yos Sudarso</v>
          </cell>
          <cell r="D71" t="str">
            <v>Sunter II</v>
          </cell>
          <cell r="E71" t="str">
            <v>Jakarta - Utara</v>
          </cell>
          <cell r="F71" t="str">
            <v>Mr. Zufri Rasfudin</v>
          </cell>
          <cell r="G71" t="str">
            <v>Director</v>
          </cell>
        </row>
        <row r="72">
          <cell r="A72">
            <v>67</v>
          </cell>
          <cell r="B72" t="str">
            <v>PT. Pamindo 3T</v>
          </cell>
          <cell r="C72" t="str">
            <v>Bumi E.K. Building 2nd Floor</v>
          </cell>
          <cell r="D72" t="str">
            <v>Jl. Bulungan I / 9, Kebayoran Baru</v>
          </cell>
          <cell r="E72" t="str">
            <v>Jakarta - Selatan</v>
          </cell>
          <cell r="F72" t="str">
            <v>Mr. Asaad Latief</v>
          </cell>
          <cell r="G72" t="str">
            <v>Manager</v>
          </cell>
          <cell r="H72" t="str">
            <v>0744/PuD/PD#1/PP/1999</v>
          </cell>
          <cell r="I72" t="str">
            <v>October 28, 1999</v>
          </cell>
          <cell r="J72" t="str">
            <v>January 2000</v>
          </cell>
          <cell r="K72" t="str">
            <v>0655/PuD/PD#1/PP/1999</v>
          </cell>
          <cell r="L72" t="str">
            <v>September 29, 1999</v>
          </cell>
          <cell r="M72" t="str">
            <v>095N</v>
          </cell>
          <cell r="N72">
            <v>1</v>
          </cell>
        </row>
        <row r="73">
          <cell r="A73">
            <v>68</v>
          </cell>
          <cell r="B73" t="str">
            <v>PT. Prima Alloy Steel Universal</v>
          </cell>
          <cell r="C73" t="str">
            <v>Mulia Tower Suit 1801</v>
          </cell>
          <cell r="D73" t="str">
            <v>Jl. Gatot Subroto Kav. 9 - 11</v>
          </cell>
          <cell r="E73" t="str">
            <v xml:space="preserve">Jakarta </v>
          </cell>
          <cell r="F73" t="str">
            <v>Mr. Budi Priyatno</v>
          </cell>
          <cell r="G73" t="str">
            <v>OEM Sales Executive</v>
          </cell>
        </row>
        <row r="74">
          <cell r="A74">
            <v>69</v>
          </cell>
          <cell r="B74" t="str">
            <v>PT. Putra Indonesia</v>
          </cell>
          <cell r="C74" t="str">
            <v>Jl. Palmerah Barat No.111</v>
          </cell>
          <cell r="D74" t="str">
            <v>Bintang Mas</v>
          </cell>
          <cell r="E74" t="str">
            <v>Jakarta - Barat</v>
          </cell>
          <cell r="F74" t="str">
            <v>Mr. Dimyati Ambari</v>
          </cell>
          <cell r="G74" t="str">
            <v>Director</v>
          </cell>
          <cell r="H74" t="str">
            <v>0744/PuD/PD#1/PP/1999</v>
          </cell>
          <cell r="I74" t="str">
            <v>October 28, 1999</v>
          </cell>
          <cell r="J74" t="str">
            <v>January 2000</v>
          </cell>
          <cell r="K74" t="str">
            <v>0655/PuD/PD#1/PP/1999</v>
          </cell>
          <cell r="L74" t="str">
            <v>September 29, 1999</v>
          </cell>
          <cell r="M74" t="str">
            <v>095N</v>
          </cell>
          <cell r="N74">
            <v>1</v>
          </cell>
        </row>
        <row r="75">
          <cell r="A75">
            <v>70</v>
          </cell>
          <cell r="B75" t="str">
            <v>PT. Roda Multi Sarana Industri</v>
          </cell>
          <cell r="C75" t="str">
            <v>Jl. Jababeka Raya No. 1 Blok R-2L</v>
          </cell>
          <cell r="D75" t="str">
            <v>Kawasan Industri Jababeka</v>
          </cell>
          <cell r="E75" t="str">
            <v>Bekasi, Jawa Barat</v>
          </cell>
          <cell r="F75" t="str">
            <v>Mr. Anthony Tay B.K.</v>
          </cell>
          <cell r="G75" t="str">
            <v/>
          </cell>
        </row>
        <row r="76">
          <cell r="A76">
            <v>71</v>
          </cell>
          <cell r="B76" t="str">
            <v>PT. Sanoh Indonesia</v>
          </cell>
          <cell r="C76" t="str">
            <v>Jl. Inti II Blok C4 No. 10</v>
          </cell>
          <cell r="D76" t="str">
            <v>Kawasan Industri Hyundai</v>
          </cell>
          <cell r="E76" t="str">
            <v>Cikarang - Bekasi</v>
          </cell>
          <cell r="F76" t="str">
            <v>Mr. K. Aizawa</v>
          </cell>
          <cell r="G76" t="str">
            <v>Vice President Director</v>
          </cell>
          <cell r="H76" t="str">
            <v>0744/PuD/PD#1/PP/1999</v>
          </cell>
          <cell r="I76" t="str">
            <v>October 28, 1999</v>
          </cell>
          <cell r="J76" t="str">
            <v>January 2000</v>
          </cell>
          <cell r="K76" t="str">
            <v>0655/PuD/PD#1/PP/1999</v>
          </cell>
          <cell r="L76" t="str">
            <v>September 29, 1999</v>
          </cell>
          <cell r="M76" t="str">
            <v>095N</v>
          </cell>
          <cell r="N76">
            <v>1</v>
          </cell>
        </row>
        <row r="77">
          <cell r="A77">
            <v>72</v>
          </cell>
          <cell r="B77" t="str">
            <v>PT. Sari Takagi Elok Produk</v>
          </cell>
          <cell r="C77" t="str">
            <v>Jl. Jababeka Raya Blok F No. 33</v>
          </cell>
          <cell r="D77" t="str">
            <v>Cikarang Industrial Estate Bekasi</v>
          </cell>
          <cell r="E77" t="str">
            <v>Jawa - Barat</v>
          </cell>
          <cell r="F77" t="str">
            <v>Mr. Yan Nuardi Idris</v>
          </cell>
          <cell r="G77" t="str">
            <v>General Manager</v>
          </cell>
          <cell r="H77" t="str">
            <v>0744/PuD/PD#1/PP/1999</v>
          </cell>
          <cell r="I77" t="str">
            <v>October 28, 1999</v>
          </cell>
          <cell r="J77" t="str">
            <v>January 2000</v>
          </cell>
          <cell r="K77" t="str">
            <v>0655/PuD/PD#1/PP/1999</v>
          </cell>
          <cell r="L77" t="str">
            <v>September 29, 1999</v>
          </cell>
          <cell r="M77" t="str">
            <v>095N</v>
          </cell>
          <cell r="N77">
            <v>1</v>
          </cell>
        </row>
        <row r="78">
          <cell r="A78">
            <v>73</v>
          </cell>
          <cell r="B78" t="str">
            <v>PT. Sekiso Industries Indonesia</v>
          </cell>
          <cell r="C78" t="str">
            <v>Block NN-13, MM-2100 Industrial Town</v>
          </cell>
          <cell r="D78" t="str">
            <v>Cibitung, Bekasi 17520</v>
          </cell>
          <cell r="E78" t="str">
            <v>Jawa Barat</v>
          </cell>
          <cell r="F78" t="str">
            <v>Mr. K. Nagano</v>
          </cell>
          <cell r="G78" t="str">
            <v>President Director</v>
          </cell>
          <cell r="H78" t="str">
            <v>0744/PuD/PD#1/PP/1999</v>
          </cell>
          <cell r="I78" t="str">
            <v>October 28, 1999</v>
          </cell>
          <cell r="J78" t="str">
            <v>January 2000</v>
          </cell>
          <cell r="K78" t="str">
            <v>0655/PuD/PD#1/PP/1999</v>
          </cell>
          <cell r="L78" t="str">
            <v>September 29, 1999</v>
          </cell>
          <cell r="M78" t="str">
            <v>095N</v>
          </cell>
          <cell r="N78">
            <v>1</v>
          </cell>
        </row>
        <row r="79">
          <cell r="A79">
            <v>74</v>
          </cell>
          <cell r="B79" t="str">
            <v>PT. Sinar Jaya</v>
          </cell>
          <cell r="C79" t="str">
            <v>Jl. Banten No.3</v>
          </cell>
          <cell r="D79" t="str">
            <v>B a n d u n g</v>
          </cell>
          <cell r="E79" t="str">
            <v>Jawa - Barat</v>
          </cell>
          <cell r="F79" t="str">
            <v>Mr. Bachtiar.</v>
          </cell>
          <cell r="G79" t="str">
            <v/>
          </cell>
          <cell r="H79" t="str">
            <v>0744/PuD/PD#1/PP/1999</v>
          </cell>
          <cell r="I79" t="str">
            <v>October 28, 1999</v>
          </cell>
          <cell r="J79" t="str">
            <v>January 2000</v>
          </cell>
          <cell r="K79" t="str">
            <v>0655/PuD/PD#1/PP/1999</v>
          </cell>
          <cell r="L79" t="str">
            <v>September 29, 1999</v>
          </cell>
          <cell r="M79" t="str">
            <v>095N</v>
          </cell>
          <cell r="N79">
            <v>1</v>
          </cell>
        </row>
        <row r="80">
          <cell r="A80">
            <v>75</v>
          </cell>
          <cell r="B80" t="str">
            <v>PT. Sinar Wira Utama</v>
          </cell>
          <cell r="C80" t="str">
            <v>Jl. Rawa Buaya No.6</v>
          </cell>
          <cell r="D80" t="str">
            <v>Cengkareng</v>
          </cell>
          <cell r="E80" t="str">
            <v>Jakarta - Barat</v>
          </cell>
          <cell r="F80" t="str">
            <v>Mr. Oey Yam Thjioe</v>
          </cell>
          <cell r="G80" t="str">
            <v>Director</v>
          </cell>
          <cell r="H80" t="str">
            <v>0744/PuD/PD#1/PP/1999</v>
          </cell>
          <cell r="I80" t="str">
            <v>October 28, 1999</v>
          </cell>
          <cell r="J80" t="str">
            <v>January 2000</v>
          </cell>
          <cell r="K80" t="str">
            <v>0655/PuD/PD#1/PP/1999</v>
          </cell>
          <cell r="L80" t="str">
            <v>September 29, 1999</v>
          </cell>
          <cell r="M80" t="str">
            <v>095N</v>
          </cell>
          <cell r="N80">
            <v>1</v>
          </cell>
        </row>
        <row r="81">
          <cell r="A81">
            <v>76</v>
          </cell>
          <cell r="B81" t="str">
            <v>PT. Sugity Creatives</v>
          </cell>
          <cell r="C81" t="str">
            <v>Kawasan Industri MM2100 Blok J17-18</v>
          </cell>
          <cell r="D81" t="str">
            <v>Cibitung - Bekasi</v>
          </cell>
          <cell r="E81" t="str">
            <v>Jawa Barat.</v>
          </cell>
          <cell r="F81" t="str">
            <v>Mr. Pratomo Pudjaman</v>
          </cell>
          <cell r="G81" t="str">
            <v>General Manager</v>
          </cell>
          <cell r="H81" t="str">
            <v>0744/PuD/PD#1/PP/1999</v>
          </cell>
          <cell r="I81" t="str">
            <v>October 28, 1999</v>
          </cell>
          <cell r="J81" t="str">
            <v>January 2000</v>
          </cell>
          <cell r="K81" t="str">
            <v>0655/PuD/PD#1/PP/1999</v>
          </cell>
          <cell r="L81" t="str">
            <v>September 29, 1999</v>
          </cell>
          <cell r="M81" t="str">
            <v>095N</v>
          </cell>
          <cell r="N81">
            <v>1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 t="str">
            <v>December. 1, 1999</v>
          </cell>
          <cell r="V81" t="str">
            <v>10 ~ 12 AM</v>
          </cell>
        </row>
        <row r="82">
          <cell r="A82">
            <v>77</v>
          </cell>
          <cell r="B82" t="str">
            <v>PT. Sumi Indo Wiring System</v>
          </cell>
          <cell r="C82" t="str">
            <v>Bukit Indah City Industrial Park</v>
          </cell>
          <cell r="D82" t="str">
            <v>Blok A-11 Lot 25-26</v>
          </cell>
          <cell r="E82" t="str">
            <v>Purwakarta Jawa-Barat</v>
          </cell>
          <cell r="F82" t="str">
            <v>Mr. Budi Eko Prasetyo</v>
          </cell>
          <cell r="G82" t="str">
            <v>Director</v>
          </cell>
        </row>
        <row r="83">
          <cell r="A83">
            <v>78</v>
          </cell>
          <cell r="B83" t="str">
            <v>PT. Sumi Rubber Indonesia</v>
          </cell>
          <cell r="C83" t="str">
            <v>Wisma Indomobil 12th floor</v>
          </cell>
          <cell r="D83" t="str">
            <v>Jl Letjen M. T. Haryono Kav. 8</v>
          </cell>
          <cell r="E83" t="str">
            <v>Jakarta 13330</v>
          </cell>
          <cell r="F83" t="str">
            <v>Mr. Nanda A. Hsu</v>
          </cell>
          <cell r="G83" t="str">
            <v>OE Manager</v>
          </cell>
          <cell r="H83" t="str">
            <v>0744/PuD/PD#1/PP/1999</v>
          </cell>
          <cell r="I83" t="str">
            <v>October 28, 1999</v>
          </cell>
          <cell r="J83" t="str">
            <v>January 2000</v>
          </cell>
          <cell r="K83" t="str">
            <v>0655/PuD/PD#1/PP/1999</v>
          </cell>
          <cell r="L83" t="str">
            <v>September 29, 1999</v>
          </cell>
          <cell r="M83" t="str">
            <v>095N</v>
          </cell>
          <cell r="N83">
            <v>1</v>
          </cell>
        </row>
        <row r="84">
          <cell r="A84">
            <v>79</v>
          </cell>
          <cell r="B84" t="str">
            <v>PT. Surya Rubber Works</v>
          </cell>
          <cell r="C84" t="str">
            <v>Jl. Naripan No. 69</v>
          </cell>
          <cell r="D84" t="str">
            <v>Bandung</v>
          </cell>
          <cell r="E84" t="str">
            <v>Jawa - Barat</v>
          </cell>
          <cell r="F84" t="str">
            <v>Mr. Antonius AS.</v>
          </cell>
          <cell r="G84" t="str">
            <v>Director</v>
          </cell>
        </row>
        <row r="85">
          <cell r="A85">
            <v>80</v>
          </cell>
          <cell r="B85" t="str">
            <v>PT. Taiho Nusantara</v>
          </cell>
          <cell r="C85" t="str">
            <v>Jl. Pregangsaan Dua KM.2.1</v>
          </cell>
          <cell r="D85" t="str">
            <v>Jakarta 14250</v>
          </cell>
          <cell r="E85">
            <v>0</v>
          </cell>
          <cell r="F85" t="str">
            <v>Mr. Mangatas Pandjaitan</v>
          </cell>
          <cell r="G85" t="str">
            <v>General manager</v>
          </cell>
          <cell r="H85" t="str">
            <v>0744/PuD/PD#1/PP/1999</v>
          </cell>
          <cell r="I85" t="str">
            <v>October 28, 1999</v>
          </cell>
          <cell r="J85" t="str">
            <v>January 2000</v>
          </cell>
          <cell r="K85" t="str">
            <v>0655/PuD/PD#1/PP/1999</v>
          </cell>
          <cell r="L85" t="str">
            <v>September 29, 1999</v>
          </cell>
          <cell r="M85" t="str">
            <v>095N</v>
          </cell>
          <cell r="N85">
            <v>1</v>
          </cell>
        </row>
        <row r="86">
          <cell r="A86">
            <v>81</v>
          </cell>
          <cell r="B86" t="str">
            <v>PT. Tekun</v>
          </cell>
          <cell r="C86" t="str">
            <v>Jl. Raya Ciracas</v>
          </cell>
          <cell r="D86" t="str">
            <v>Ciracas</v>
          </cell>
          <cell r="E86" t="str">
            <v>Jakarta - Timur</v>
          </cell>
          <cell r="F86" t="str">
            <v>Mr. Agus sunaryo</v>
          </cell>
          <cell r="G86" t="str">
            <v>Mark. Manager</v>
          </cell>
        </row>
        <row r="87">
          <cell r="A87">
            <v>82</v>
          </cell>
          <cell r="B87" t="str">
            <v>PT. Tri Dharma Wisesa</v>
          </cell>
          <cell r="C87" t="str">
            <v>Jl. Raya Pegangsaan II Blok A1</v>
          </cell>
          <cell r="D87" t="str">
            <v>Kel. Rawa Terate, Cakung</v>
          </cell>
          <cell r="E87" t="str">
            <v>Jakarta - Timur</v>
          </cell>
          <cell r="F87" t="str">
            <v>Mr. Albert Sudarto</v>
          </cell>
          <cell r="G87" t="str">
            <v>Director</v>
          </cell>
          <cell r="H87" t="str">
            <v>0744/PuD/PD#1/PP/1999</v>
          </cell>
          <cell r="I87" t="str">
            <v>October 28, 1999</v>
          </cell>
          <cell r="J87" t="str">
            <v>January 2000</v>
          </cell>
          <cell r="K87" t="str">
            <v>0655/PuD/PD#1/PP/1999</v>
          </cell>
          <cell r="L87" t="str">
            <v>September 29, 1999</v>
          </cell>
          <cell r="M87" t="str">
            <v>095N</v>
          </cell>
          <cell r="N87">
            <v>1</v>
          </cell>
        </row>
        <row r="88">
          <cell r="A88">
            <v>83</v>
          </cell>
          <cell r="B88" t="str">
            <v>PT. Tri Satria Utama</v>
          </cell>
          <cell r="C88" t="str">
            <v>Jl. Inspeksi Tarum Barat</v>
          </cell>
          <cell r="D88" t="str">
            <v>Desa Cibuntu, Kec. Cibitung</v>
          </cell>
          <cell r="E88" t="str">
            <v>Bekasi - Jawa Barat</v>
          </cell>
          <cell r="F88" t="str">
            <v>Mr. Gunawan Kusuma</v>
          </cell>
          <cell r="G88" t="str">
            <v/>
          </cell>
          <cell r="H88" t="str">
            <v>0744/PuD/PD#1/PP/1999</v>
          </cell>
          <cell r="I88" t="str">
            <v>October 28, 1999</v>
          </cell>
          <cell r="J88" t="str">
            <v>January 2000</v>
          </cell>
          <cell r="K88" t="str">
            <v>0655/PuD/PD#1/PP/1999</v>
          </cell>
          <cell r="L88" t="str">
            <v>September 29, 1999</v>
          </cell>
          <cell r="M88" t="str">
            <v>095N</v>
          </cell>
          <cell r="N88">
            <v>1</v>
          </cell>
        </row>
        <row r="89">
          <cell r="A89">
            <v>84</v>
          </cell>
          <cell r="B89" t="str">
            <v>PT. Wahana Eka Paramitra</v>
          </cell>
          <cell r="C89" t="str">
            <v>Jl. Raya Pegangsaan II Blok A1</v>
          </cell>
          <cell r="D89" t="str">
            <v>Kel. Rawa Terate, Cakung</v>
          </cell>
          <cell r="E89" t="str">
            <v>Jakarta - Timur</v>
          </cell>
          <cell r="F89" t="str">
            <v>Mr. Albert Sudarto</v>
          </cell>
          <cell r="G89" t="str">
            <v>Director</v>
          </cell>
          <cell r="H89" t="str">
            <v>0744/PuD/PD#1/PP/1999</v>
          </cell>
          <cell r="I89" t="str">
            <v>October 28, 1999</v>
          </cell>
          <cell r="J89" t="str">
            <v>January 2000</v>
          </cell>
          <cell r="K89" t="str">
            <v>0655/PuD/PD#1/PP/1999</v>
          </cell>
          <cell r="L89" t="str">
            <v>September 29, 1999</v>
          </cell>
          <cell r="M89" t="str">
            <v>095N</v>
          </cell>
          <cell r="N89">
            <v>1</v>
          </cell>
        </row>
        <row r="90">
          <cell r="A90">
            <v>85</v>
          </cell>
          <cell r="B90" t="str">
            <v>PT. Yuasa Battery</v>
          </cell>
          <cell r="C90" t="str">
            <v>PO BOX 493 Tangerang 15000</v>
          </cell>
          <cell r="D90" t="str">
            <v>Jl. M.H. Thamrin</v>
          </cell>
          <cell r="E90" t="str">
            <v>Tangerang - Jawa Barat</v>
          </cell>
          <cell r="F90" t="str">
            <v>Mr. K. Kondo</v>
          </cell>
          <cell r="G90" t="str">
            <v>Vice President Director</v>
          </cell>
          <cell r="H90" t="str">
            <v>0744/PuD/PD#1/PP/1999</v>
          </cell>
          <cell r="I90" t="str">
            <v>October 28, 1999</v>
          </cell>
          <cell r="J90" t="str">
            <v>January 2000</v>
          </cell>
          <cell r="K90" t="str">
            <v>0655/PuD/PD#1/PP/1999</v>
          </cell>
          <cell r="L90" t="str">
            <v>September 29, 1999</v>
          </cell>
          <cell r="M90" t="str">
            <v>095N</v>
          </cell>
          <cell r="N9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Sby"/>
      <sheetName val="Inventories"/>
      <sheetName val="3800-Interim"/>
      <sheetName val="Faktur Pajak"/>
      <sheetName val="LTLGroup-Tra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WP"/>
      <sheetName val="AJE"/>
      <sheetName val="FS"/>
      <sheetName val="NOTES"/>
      <sheetName val="Sby"/>
      <sheetName val="Inventories"/>
      <sheetName val="3800-Interim"/>
      <sheetName val="Faktur Pajak"/>
      <sheetName val="LTLGroup-Tra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Recovered_Sheet3"/>
      <sheetName val="Recovered_Sheet4"/>
      <sheetName val="Recovered_Sheet5"/>
      <sheetName val="Recovered_Sheet6"/>
      <sheetName val="Recovered_Sheet7"/>
      <sheetName val="Recovered_Sheet8"/>
      <sheetName val="Recovered_Sheet9"/>
      <sheetName val="Recovered_Sheet10"/>
      <sheetName val="Recovered_Sheet11"/>
      <sheetName val="Recovered_Sheet12"/>
      <sheetName val="Recovered_Sheet13"/>
      <sheetName val="Recovered_Sheet14"/>
      <sheetName val="Recovered_Sheet15"/>
      <sheetName val="Recovered_Sheet16"/>
      <sheetName val="Recovered_Sheet17"/>
      <sheetName val="XXXXXX"/>
      <sheetName val="mar"/>
      <sheetName val="mar_r"/>
      <sheetName val="apr"/>
      <sheetName val="apr_r"/>
      <sheetName val="may"/>
      <sheetName val="jun"/>
      <sheetName val="jul"/>
      <sheetName val="aug"/>
      <sheetName val="sep"/>
      <sheetName val="in"/>
      <sheetName val="ts"/>
      <sheetName val="sls"/>
      <sheetName val="out"/>
      <sheetName val="tc"/>
      <sheetName val="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1">
          <cell r="A1" t="str">
            <v>A-0020</v>
          </cell>
          <cell r="B1" t="str">
            <v>Artawa</v>
          </cell>
          <cell r="C1" t="str">
            <v>PT. ARTAWA INDONESIA</v>
          </cell>
          <cell r="D1" t="str">
            <v>01.070.977.2-058.000</v>
          </cell>
          <cell r="E1" t="str">
            <v/>
          </cell>
        </row>
        <row r="2">
          <cell r="A2" t="str">
            <v>A-0041</v>
          </cell>
          <cell r="B2" t="str">
            <v xml:space="preserve">Antika </v>
          </cell>
          <cell r="C2" t="str">
            <v>PT. ANTIKA RAYA</v>
          </cell>
          <cell r="D2" t="str">
            <v>01.108.356.5-004.001</v>
          </cell>
          <cell r="E2" t="str">
            <v/>
          </cell>
        </row>
        <row r="3">
          <cell r="A3" t="str">
            <v>A-0047</v>
          </cell>
          <cell r="B3" t="str">
            <v>AST</v>
          </cell>
          <cell r="C3" t="str">
            <v>ADVANCE STEEL TECHNOLOGY CO. LTD.</v>
          </cell>
          <cell r="D3" t="str">
            <v/>
          </cell>
          <cell r="E3" t="str">
            <v/>
          </cell>
        </row>
        <row r="4">
          <cell r="A4" t="str">
            <v>B-0045</v>
          </cell>
          <cell r="B4" t="str">
            <v>Batara</v>
          </cell>
          <cell r="C4" t="str">
            <v>PT. BATARASURA MULIA</v>
          </cell>
          <cell r="D4" t="str">
            <v>01.119.917.1-413.000</v>
          </cell>
          <cell r="E4" t="str">
            <v/>
          </cell>
        </row>
        <row r="5">
          <cell r="A5" t="str">
            <v>B-0053</v>
          </cell>
          <cell r="B5" t="str">
            <v>Bina</v>
          </cell>
          <cell r="C5" t="str">
            <v>PT.BINA USAHA MANDIRI MIZUZAWA</v>
          </cell>
          <cell r="D5" t="str">
            <v>01.060.298.5-055-000</v>
          </cell>
          <cell r="E5" t="str">
            <v/>
          </cell>
        </row>
        <row r="6">
          <cell r="A6" t="str">
            <v>C-0003</v>
          </cell>
          <cell r="B6" t="str">
            <v>Catur</v>
          </cell>
          <cell r="C6" t="str">
            <v>PT. CATUR MANDRARAKSA MANDIRI</v>
          </cell>
          <cell r="D6" t="str">
            <v>01.571.392.8-042.000</v>
          </cell>
          <cell r="E6" t="str">
            <v/>
          </cell>
        </row>
        <row r="7">
          <cell r="A7" t="str">
            <v>C-0026</v>
          </cell>
          <cell r="B7" t="str">
            <v>Citra</v>
          </cell>
          <cell r="C7" t="str">
            <v>PT. CITRA INTERLINDO</v>
          </cell>
          <cell r="D7" t="str">
            <v>01.060.150.8-011.000</v>
          </cell>
          <cell r="E7" t="str">
            <v/>
          </cell>
        </row>
        <row r="8">
          <cell r="A8" t="str">
            <v>D-0004</v>
          </cell>
          <cell r="B8" t="str">
            <v>Daifuku</v>
          </cell>
          <cell r="C8" t="str">
            <v>PT. DAIFUKU ……………..</v>
          </cell>
          <cell r="D8" t="str">
            <v/>
          </cell>
          <cell r="E8" t="str">
            <v/>
          </cell>
        </row>
        <row r="9">
          <cell r="A9" t="str">
            <v>D-0009</v>
          </cell>
          <cell r="B9" t="str">
            <v>Detede</v>
          </cell>
          <cell r="C9" t="str">
            <v>PT. DETEDE</v>
          </cell>
          <cell r="D9" t="str">
            <v>01.361.934.1-403.001</v>
          </cell>
          <cell r="E9" t="str">
            <v/>
          </cell>
        </row>
        <row r="10">
          <cell r="A10" t="str">
            <v>D-0010</v>
          </cell>
          <cell r="B10" t="str">
            <v xml:space="preserve">Daimler </v>
          </cell>
          <cell r="C10" t="str">
            <v>PT. DAIMLER CHRYSLER INDONESIA</v>
          </cell>
          <cell r="D10" t="str">
            <v>01.000.082.6-403.001</v>
          </cell>
          <cell r="E10" t="str">
            <v/>
          </cell>
        </row>
        <row r="11">
          <cell r="A11" t="str">
            <v>D-0013</v>
          </cell>
          <cell r="B11" t="str">
            <v>Denso</v>
          </cell>
          <cell r="C11" t="str">
            <v>PT. DENSO INDONESIA CORPORATION</v>
          </cell>
          <cell r="D11" t="str">
            <v>01.000.230.1-055.000</v>
          </cell>
          <cell r="E11" t="str">
            <v/>
          </cell>
        </row>
        <row r="12">
          <cell r="A12" t="str">
            <v>F-0002</v>
          </cell>
          <cell r="B12" t="str">
            <v>Fondanusa</v>
          </cell>
          <cell r="C12" t="str">
            <v>PT. FONDANUSA ………….</v>
          </cell>
          <cell r="D12" t="str">
            <v/>
          </cell>
          <cell r="E12" t="str">
            <v/>
          </cell>
        </row>
        <row r="13">
          <cell r="A13" t="str">
            <v>F-0007</v>
          </cell>
          <cell r="B13" t="str">
            <v>FCL</v>
          </cell>
          <cell r="C13" t="str">
            <v>FURUKAWA CO., LTD.</v>
          </cell>
          <cell r="D13" t="str">
            <v/>
          </cell>
          <cell r="E13" t="str">
            <v/>
          </cell>
        </row>
        <row r="14">
          <cell r="A14" t="str">
            <v>G-0017</v>
          </cell>
          <cell r="B14" t="str">
            <v>Gemala</v>
          </cell>
          <cell r="C14" t="str">
            <v>PT. GEMALA KEMPA DAYA</v>
          </cell>
          <cell r="D14" t="str">
            <v>01.000.769.8-004.000</v>
          </cell>
          <cell r="E14" t="str">
            <v/>
          </cell>
        </row>
        <row r="15">
          <cell r="A15" t="str">
            <v>G-0018</v>
          </cell>
          <cell r="B15" t="str">
            <v>Gerbang</v>
          </cell>
          <cell r="C15" t="str">
            <v>PT. GERBANG TATA GEMILANG</v>
          </cell>
          <cell r="D15" t="str">
            <v>01.495.122.2-403.001</v>
          </cell>
          <cell r="E15" t="str">
            <v/>
          </cell>
        </row>
        <row r="16">
          <cell r="A16" t="str">
            <v>G-0021</v>
          </cell>
          <cell r="B16" t="str">
            <v>Guna Era</v>
          </cell>
          <cell r="C16" t="str">
            <v>PT. GUNA ERA MANUFAKTURA</v>
          </cell>
          <cell r="D16" t="str">
            <v>01.786.286.3.413.000</v>
          </cell>
          <cell r="E16" t="str">
            <v/>
          </cell>
        </row>
        <row r="17">
          <cell r="A17" t="str">
            <v>H-0001</v>
          </cell>
          <cell r="B17" t="str">
            <v>HKI</v>
          </cell>
          <cell r="C17" t="str">
            <v>PT. HANKEN INDONESIA</v>
          </cell>
          <cell r="D17" t="str">
            <v>01.070.990.5-413.001</v>
          </cell>
          <cell r="E17" t="str">
            <v/>
          </cell>
        </row>
        <row r="18">
          <cell r="A18" t="str">
            <v>H-0003</v>
          </cell>
          <cell r="B18" t="str">
            <v>HCMI</v>
          </cell>
          <cell r="C18" t="str">
            <v>PT. HITACHI CONSTRUCTION MACHINERY INDONESIA</v>
          </cell>
          <cell r="D18" t="str">
            <v>01.081.578.5-407.000</v>
          </cell>
          <cell r="E18" t="str">
            <v/>
          </cell>
        </row>
        <row r="19">
          <cell r="A19" t="str">
            <v>H-0004</v>
          </cell>
          <cell r="B19" t="str">
            <v>HUFI</v>
          </cell>
          <cell r="C19" t="str">
            <v>PT. HOKURIKU UNITED FORGING INDUSTRY</v>
          </cell>
          <cell r="D19" t="str">
            <v>01.069.546.8-055.000</v>
          </cell>
          <cell r="E19" t="str">
            <v/>
          </cell>
        </row>
        <row r="20">
          <cell r="A20" t="str">
            <v>H-0010</v>
          </cell>
          <cell r="B20" t="str">
            <v>HCI</v>
          </cell>
          <cell r="C20" t="str">
            <v>PT. HUME CONCRETE INDONESIA</v>
          </cell>
          <cell r="D20" t="str">
            <v/>
          </cell>
          <cell r="E20" t="str">
            <v/>
          </cell>
        </row>
        <row r="21">
          <cell r="A21" t="str">
            <v>H-0011</v>
          </cell>
          <cell r="B21" t="str">
            <v>HPSI</v>
          </cell>
          <cell r="C21" t="str">
            <v>PT. HITACHI POWER SYSTEMS INDONESIA</v>
          </cell>
          <cell r="D21" t="str">
            <v>01.071.007.7-413.001</v>
          </cell>
          <cell r="E21" t="str">
            <v/>
          </cell>
        </row>
        <row r="22">
          <cell r="A22" t="str">
            <v>H-0020</v>
          </cell>
          <cell r="B22" t="str">
            <v>HEI</v>
          </cell>
          <cell r="C22" t="str">
            <v>PT. HORIGUCHI ENGINEERING INDONESIA</v>
          </cell>
          <cell r="D22" t="str">
            <v>01.081.629.6-408.000</v>
          </cell>
          <cell r="E22" t="str">
            <v/>
          </cell>
        </row>
        <row r="23">
          <cell r="A23" t="str">
            <v>H-0021</v>
          </cell>
          <cell r="B23" t="str">
            <v>Hu-tekindo</v>
          </cell>
          <cell r="C23" t="str">
            <v>PT. HU-TEKINDO</v>
          </cell>
          <cell r="D23" t="str">
            <v>01.070.936.8-412.001</v>
          </cell>
          <cell r="E23" t="str">
            <v/>
          </cell>
        </row>
        <row r="24">
          <cell r="A24" t="str">
            <v>I-0022</v>
          </cell>
          <cell r="B24" t="str">
            <v>IPPI</v>
          </cell>
          <cell r="C24" t="str">
            <v>PT. INTI PANTJA PRESS INDUSTRI</v>
          </cell>
          <cell r="D24" t="str">
            <v>01.338.474.8-042.000</v>
          </cell>
          <cell r="E24" t="str">
            <v/>
          </cell>
        </row>
        <row r="25">
          <cell r="A25" t="str">
            <v>K-0004</v>
          </cell>
          <cell r="B25" t="str">
            <v>KMC</v>
          </cell>
          <cell r="C25" t="str">
            <v>KATSUSHIRO MATEX CO., LTD.</v>
          </cell>
          <cell r="D25" t="str">
            <v/>
          </cell>
          <cell r="E25" t="str">
            <v/>
          </cell>
        </row>
        <row r="26">
          <cell r="A26" t="str">
            <v>K-0009</v>
          </cell>
          <cell r="B26" t="str">
            <v>KI</v>
          </cell>
          <cell r="C26" t="str">
            <v>PT. KOMATSU INDONESIA Tbk.</v>
          </cell>
          <cell r="D26" t="str">
            <v>01.060.100.3-092.000</v>
          </cell>
          <cell r="E26" t="str">
            <v/>
          </cell>
        </row>
        <row r="27">
          <cell r="A27" t="str">
            <v>K-0041</v>
          </cell>
          <cell r="B27" t="str">
            <v>KSB</v>
          </cell>
          <cell r="C27" t="str">
            <v>PT. KSB INDONESIA</v>
          </cell>
          <cell r="D27" t="str">
            <v>01.070.757.8.055-000</v>
          </cell>
          <cell r="E27" t="str">
            <v/>
          </cell>
        </row>
        <row r="28">
          <cell r="A28" t="str">
            <v>K-0013</v>
          </cell>
          <cell r="B28" t="str">
            <v>BKC</v>
          </cell>
          <cell r="C28" t="str">
            <v>BANGKOK KOMATSU CO.</v>
          </cell>
          <cell r="D28" t="str">
            <v/>
          </cell>
          <cell r="E28" t="str">
            <v/>
          </cell>
        </row>
        <row r="29">
          <cell r="A29" t="str">
            <v>K-0014</v>
          </cell>
          <cell r="B29" t="str">
            <v>TKCM</v>
          </cell>
          <cell r="C29" t="str">
            <v>THAI KOBELCO CO.</v>
          </cell>
          <cell r="D29" t="str">
            <v/>
          </cell>
          <cell r="E29" t="str">
            <v/>
          </cell>
        </row>
        <row r="30">
          <cell r="A30" t="str">
            <v>K-0019</v>
          </cell>
          <cell r="B30" t="str">
            <v>KSG</v>
          </cell>
          <cell r="C30" t="str">
            <v>KOMATSU SAIGON CO., LTD.</v>
          </cell>
          <cell r="E30" t="str">
            <v/>
          </cell>
        </row>
        <row r="31">
          <cell r="A31" t="str">
            <v>K-0025</v>
          </cell>
          <cell r="B31" t="str">
            <v>KRC</v>
          </cell>
          <cell r="C31" t="str">
            <v>KATSUSHIRO ROME CO.</v>
          </cell>
          <cell r="D31" t="str">
            <v/>
          </cell>
          <cell r="E31" t="str">
            <v/>
          </cell>
        </row>
        <row r="32">
          <cell r="A32" t="str">
            <v>K-0023</v>
          </cell>
          <cell r="B32" t="str">
            <v>KUK</v>
          </cell>
          <cell r="C32" t="str">
            <v>KOMATSU U.K., LTD.</v>
          </cell>
          <cell r="D32" t="str">
            <v/>
          </cell>
          <cell r="E32" t="str">
            <v/>
          </cell>
        </row>
        <row r="33">
          <cell r="A33" t="str">
            <v>K-0029</v>
          </cell>
          <cell r="B33" t="str">
            <v>KMS</v>
          </cell>
          <cell r="C33" t="str">
            <v>KATSUSHIRO MACHINERY SHANDONG</v>
          </cell>
          <cell r="D33" t="str">
            <v/>
          </cell>
          <cell r="E33" t="str">
            <v/>
          </cell>
        </row>
        <row r="34">
          <cell r="A34" t="str">
            <v>K-0031</v>
          </cell>
          <cell r="B34" t="str">
            <v>Kawamura</v>
          </cell>
          <cell r="C34" t="str">
            <v>PT. KAWAMURA INDAH</v>
          </cell>
          <cell r="D34" t="str">
            <v>1.071.212.3-408</v>
          </cell>
          <cell r="E34" t="str">
            <v/>
          </cell>
        </row>
        <row r="35">
          <cell r="A35" t="str">
            <v>K-0034</v>
          </cell>
          <cell r="B35" t="str">
            <v>KAT</v>
          </cell>
          <cell r="C35" t="str">
            <v>KATMEX LTD.</v>
          </cell>
          <cell r="D35" t="str">
            <v/>
          </cell>
          <cell r="E35" t="str">
            <v/>
          </cell>
        </row>
        <row r="36">
          <cell r="A36" t="str">
            <v>K-0037</v>
          </cell>
          <cell r="B36" t="str">
            <v>KMA</v>
          </cell>
          <cell r="C36" t="str">
            <v>KOBELCO MACHINERY ASIA</v>
          </cell>
          <cell r="D36" t="str">
            <v/>
          </cell>
          <cell r="E36" t="str">
            <v/>
          </cell>
        </row>
        <row r="37">
          <cell r="A37" t="str">
            <v>K-0038</v>
          </cell>
          <cell r="B37" t="str">
            <v>KCM</v>
          </cell>
          <cell r="C37" t="str">
            <v>KOBELCO CONSTRUCTION MACHINERY CO., LTD</v>
          </cell>
          <cell r="D37" t="str">
            <v/>
          </cell>
          <cell r="E37" t="str">
            <v/>
          </cell>
        </row>
        <row r="38">
          <cell r="A38" t="str">
            <v>K-0040</v>
          </cell>
          <cell r="B38" t="str">
            <v>KUI</v>
          </cell>
          <cell r="C38" t="str">
            <v>PT. KOMATSU UNDERCARRIAGE INDONESIA</v>
          </cell>
          <cell r="D38" t="str">
            <v>01.869.347.3-055.000</v>
          </cell>
          <cell r="E38" t="str">
            <v/>
          </cell>
        </row>
        <row r="39">
          <cell r="A39" t="str">
            <v>K-0043</v>
          </cell>
          <cell r="B39" t="str">
            <v>Kaji</v>
          </cell>
          <cell r="C39" t="str">
            <v>PT. KAJI MACHINERY INDONESIA</v>
          </cell>
          <cell r="D39" t="str">
            <v>01.071.125.7-413.001</v>
          </cell>
          <cell r="E39" t="str">
            <v/>
          </cell>
        </row>
        <row r="40">
          <cell r="A40" t="str">
            <v>K-0050</v>
          </cell>
          <cell r="B40" t="str">
            <v>Kanto</v>
          </cell>
          <cell r="C40" t="str">
            <v>KANTO GAS CUTTING CO., LTD.</v>
          </cell>
          <cell r="D40" t="str">
            <v/>
          </cell>
          <cell r="E40" t="str">
            <v/>
          </cell>
        </row>
        <row r="41">
          <cell r="A41" t="str">
            <v>M-0018</v>
          </cell>
          <cell r="B41" t="str">
            <v>Murinda</v>
          </cell>
          <cell r="C41" t="str">
            <v>PT. MURINDA METAL WORKS</v>
          </cell>
          <cell r="D41" t="str">
            <v>1.509.317.2-407</v>
          </cell>
          <cell r="E41" t="str">
            <v/>
          </cell>
        </row>
        <row r="42">
          <cell r="A42" t="str">
            <v>M-0025</v>
          </cell>
          <cell r="B42" t="str">
            <v>MMF</v>
          </cell>
          <cell r="C42" t="str">
            <v>PT. MMC METAL FABRICATION</v>
          </cell>
          <cell r="D42" t="str">
            <v>01.072.010.0-413.001</v>
          </cell>
          <cell r="E42" t="str">
            <v>(PKB/PDKB)</v>
          </cell>
        </row>
        <row r="43">
          <cell r="A43" t="str">
            <v>M-0039</v>
          </cell>
          <cell r="B43" t="str">
            <v>MTM</v>
          </cell>
          <cell r="C43" t="str">
            <v>PT. MENARA TERUS MAKMUR</v>
          </cell>
          <cell r="D43" t="str">
            <v>01.062.105.0-413.000</v>
          </cell>
          <cell r="E43" t="str">
            <v/>
          </cell>
        </row>
        <row r="44">
          <cell r="A44" t="str">
            <v>M-0040</v>
          </cell>
          <cell r="B44" t="str">
            <v>Millako</v>
          </cell>
          <cell r="C44" t="str">
            <v>PT. MILLAKO TEHNIK MANDIRI</v>
          </cell>
          <cell r="D44" t="str">
            <v/>
          </cell>
          <cell r="E44" t="str">
            <v/>
          </cell>
        </row>
        <row r="45">
          <cell r="A45" t="str">
            <v>M-0042</v>
          </cell>
          <cell r="B45" t="str">
            <v>MTT</v>
          </cell>
          <cell r="C45" t="str">
            <v>PT. MANABU TEKINDO TAMA</v>
          </cell>
          <cell r="D45" t="str">
            <v>01.994.586.4-407.000</v>
          </cell>
          <cell r="E45" t="str">
            <v/>
          </cell>
        </row>
        <row r="46">
          <cell r="A46" t="str">
            <v>M-0062</v>
          </cell>
          <cell r="B46" t="str">
            <v>MRM</v>
          </cell>
          <cell r="C46" t="str">
            <v>MARUMA TECHNIKA CO. , LTD.</v>
          </cell>
          <cell r="E46" t="str">
            <v/>
          </cell>
        </row>
        <row r="47">
          <cell r="A47" t="str">
            <v>M-0063</v>
          </cell>
          <cell r="B47" t="str">
            <v xml:space="preserve">Masuzawa </v>
          </cell>
          <cell r="C47" t="str">
            <v>MASUZAWA MOTOMU (JICA SILVER EXPERT)</v>
          </cell>
          <cell r="D47" t="str">
            <v/>
          </cell>
          <cell r="E47" t="str">
            <v/>
          </cell>
        </row>
        <row r="48">
          <cell r="A48" t="str">
            <v>N-0003</v>
          </cell>
          <cell r="B48" t="str">
            <v>Ngawangga</v>
          </cell>
          <cell r="C48" t="str">
            <v>CV. NGAWANGGA</v>
          </cell>
          <cell r="D48" t="str">
            <v>1.202.407.1-525</v>
          </cell>
          <cell r="E48" t="str">
            <v/>
          </cell>
        </row>
        <row r="49">
          <cell r="A49" t="str">
            <v>N-0009</v>
          </cell>
          <cell r="B49" t="str">
            <v>Natra</v>
          </cell>
          <cell r="C49" t="str">
            <v>PT. NATRA RAYA</v>
          </cell>
          <cell r="D49" t="str">
            <v>01.060.105.2-403.001</v>
          </cell>
          <cell r="E49" t="str">
            <v/>
          </cell>
        </row>
        <row r="50">
          <cell r="A50" t="str">
            <v>N-0014</v>
          </cell>
          <cell r="B50" t="str">
            <v>NISDEMI</v>
          </cell>
          <cell r="C50" t="str">
            <v>PT. NIIGATA SANTANA DIESEL ENG. MFG. INDONESIA</v>
          </cell>
          <cell r="D50" t="str">
            <v>01.061.618.3-055.000</v>
          </cell>
          <cell r="E50" t="str">
            <v>(EPTE)</v>
          </cell>
        </row>
        <row r="51">
          <cell r="A51" t="str">
            <v>N-0017</v>
          </cell>
          <cell r="B51" t="str">
            <v>Nayati</v>
          </cell>
          <cell r="C51" t="str">
            <v>PT. NAYATI INDONESIA</v>
          </cell>
          <cell r="D51" t="str">
            <v>01.551.604.0-503.000</v>
          </cell>
          <cell r="E51" t="str">
            <v/>
          </cell>
        </row>
        <row r="52">
          <cell r="A52" t="str">
            <v>N-0021</v>
          </cell>
          <cell r="B52" t="str">
            <v>NSC</v>
          </cell>
          <cell r="C52" t="str">
            <v>PT. NAYATI SUB CONTRACTOR</v>
          </cell>
          <cell r="D52" t="str">
            <v/>
          </cell>
          <cell r="E52" t="str">
            <v/>
          </cell>
        </row>
        <row r="53">
          <cell r="A53" t="str">
            <v>P-0015</v>
          </cell>
          <cell r="B53" t="str">
            <v>PDP</v>
          </cell>
          <cell r="C53" t="str">
            <v>PT. PANDU DAYATAMA PATRIA</v>
          </cell>
          <cell r="D53" t="str">
            <v>01.062.055.7-006.000</v>
          </cell>
          <cell r="E53" t="str">
            <v/>
          </cell>
        </row>
        <row r="54">
          <cell r="A54" t="str">
            <v>P-0017</v>
          </cell>
          <cell r="B54" t="str">
            <v>P3T</v>
          </cell>
          <cell r="C54" t="str">
            <v>PT. PAMINDO TIGA T</v>
          </cell>
          <cell r="D54" t="str">
            <v>01.000.633.6-055.000</v>
          </cell>
          <cell r="E54" t="str">
            <v/>
          </cell>
        </row>
        <row r="55">
          <cell r="A55" t="str">
            <v>P-0025</v>
          </cell>
          <cell r="B55" t="str">
            <v>PIMSF</v>
          </cell>
          <cell r="C55" t="str">
            <v>PT. PIMSF</v>
          </cell>
          <cell r="D55" t="str">
            <v>01.300.566.5-004.000</v>
          </cell>
          <cell r="E55" t="str">
            <v/>
          </cell>
        </row>
        <row r="56">
          <cell r="A56" t="str">
            <v>P-0026</v>
          </cell>
          <cell r="B56" t="str">
            <v>PINDAD</v>
          </cell>
          <cell r="C56" t="str">
            <v>PT. PINDAD (PERSERO)</v>
          </cell>
          <cell r="D56" t="str">
            <v>1.060.008.8-424</v>
          </cell>
          <cell r="E56" t="str">
            <v/>
          </cell>
        </row>
        <row r="57">
          <cell r="A57" t="str">
            <v>P-0030</v>
          </cell>
          <cell r="B57" t="str">
            <v>PTEK</v>
          </cell>
          <cell r="C57" t="str">
            <v>CV. PRIMA TEHNIK</v>
          </cell>
          <cell r="D57" t="str">
            <v>01.817.287.4-002.000</v>
          </cell>
          <cell r="E57" t="str">
            <v/>
          </cell>
        </row>
        <row r="58">
          <cell r="A58" t="str">
            <v>S-0020</v>
          </cell>
          <cell r="B58" t="str">
            <v>Sasakura</v>
          </cell>
          <cell r="C58" t="str">
            <v>PT. SASAKURA INDONESIA</v>
          </cell>
          <cell r="D58" t="str">
            <v>01.070.899.8-055.000</v>
          </cell>
          <cell r="E58" t="str">
            <v/>
          </cell>
        </row>
        <row r="59">
          <cell r="A59" t="str">
            <v>S-0023</v>
          </cell>
          <cell r="B59" t="str">
            <v>Sakai</v>
          </cell>
          <cell r="C59" t="str">
            <v>PT. SAKAI INDONESIA</v>
          </cell>
          <cell r="D59" t="str">
            <v>01.071.082.0-413.001</v>
          </cell>
          <cell r="E59" t="str">
            <v>(EPTE)</v>
          </cell>
        </row>
        <row r="60">
          <cell r="A60" t="str">
            <v>S-0024</v>
          </cell>
          <cell r="B60" t="str">
            <v>Samatech</v>
          </cell>
          <cell r="C60" t="str">
            <v>PT. SAMATECH ……………..</v>
          </cell>
          <cell r="D60" t="str">
            <v/>
          </cell>
          <cell r="E60" t="str">
            <v/>
          </cell>
        </row>
        <row r="61">
          <cell r="A61" t="str">
            <v>S-0030</v>
          </cell>
          <cell r="B61" t="str">
            <v>STEP</v>
          </cell>
          <cell r="C61" t="str">
            <v>PT. SARI TAKAGI ELOK PRODUK</v>
          </cell>
          <cell r="D61" t="str">
            <v>01.071.755.1-413.001</v>
          </cell>
          <cell r="E61" t="str">
            <v/>
          </cell>
        </row>
        <row r="62">
          <cell r="A62" t="str">
            <v>S-0044</v>
          </cell>
          <cell r="B62" t="str">
            <v>SPI</v>
          </cell>
          <cell r="C62" t="str">
            <v>SUMINAC PILLIPPINES</v>
          </cell>
          <cell r="D62" t="str">
            <v/>
          </cell>
          <cell r="E62" t="str">
            <v/>
          </cell>
        </row>
        <row r="63">
          <cell r="A63" t="str">
            <v>S-0051</v>
          </cell>
          <cell r="B63" t="str">
            <v>Sumber</v>
          </cell>
          <cell r="C63" t="str">
            <v>SUMBER REZEKI, UD</v>
          </cell>
          <cell r="D63" t="str">
            <v/>
          </cell>
          <cell r="E63" t="str">
            <v/>
          </cell>
        </row>
        <row r="64">
          <cell r="A64" t="str">
            <v>S-0052</v>
          </cell>
          <cell r="B64" t="str">
            <v>Sumitomo</v>
          </cell>
          <cell r="C64" t="str">
            <v>PT. SUMITOMO INDONESIA</v>
          </cell>
          <cell r="D64" t="str">
            <v>Summitmas-1 Lt. 12, Jl. Jend. Sudirman Kav. 61-62, Jakarta 12190</v>
          </cell>
          <cell r="E64" t="str">
            <v/>
          </cell>
        </row>
        <row r="65">
          <cell r="A65" t="str">
            <v>S-0055</v>
          </cell>
          <cell r="B65" t="str">
            <v xml:space="preserve">Siemens </v>
          </cell>
          <cell r="C65" t="str">
            <v>PT. SIEMENS INDONESIA</v>
          </cell>
          <cell r="D65" t="str">
            <v>01.310.105.0-401.001</v>
          </cell>
          <cell r="E65" t="str">
            <v/>
          </cell>
        </row>
        <row r="66">
          <cell r="A66" t="str">
            <v>S-0059</v>
          </cell>
          <cell r="B66" t="str">
            <v>SGI</v>
          </cell>
          <cell r="C66" t="str">
            <v>PT. SANKEI GOHSYU INDUSTRIES</v>
          </cell>
          <cell r="D66" t="str">
            <v>01.071.420.2-413.001</v>
          </cell>
          <cell r="E66" t="str">
            <v/>
          </cell>
        </row>
        <row r="67">
          <cell r="A67" t="str">
            <v>S-0066</v>
          </cell>
          <cell r="B67" t="str">
            <v>SAP</v>
          </cell>
          <cell r="C67" t="str">
            <v>CV. SAPTA ANUGRAH PRATAMA</v>
          </cell>
          <cell r="D67" t="str">
            <v>1.856.772.7-403</v>
          </cell>
          <cell r="E67" t="str">
            <v/>
          </cell>
        </row>
        <row r="68">
          <cell r="A68" t="str">
            <v>S-0067</v>
          </cell>
          <cell r="B68" t="str">
            <v>SWEP</v>
          </cell>
          <cell r="C68" t="str">
            <v>SUBIC WONDER ENTERPRISE, INC.</v>
          </cell>
          <cell r="D68" t="str">
            <v/>
          </cell>
          <cell r="E68" t="str">
            <v/>
          </cell>
        </row>
        <row r="69">
          <cell r="A69" t="str">
            <v>S-0082</v>
          </cell>
          <cell r="B69" t="str">
            <v>Satriya Perdana</v>
          </cell>
          <cell r="C69" t="str">
            <v>PT. SATRIYA PERDANA EKATAMA</v>
          </cell>
          <cell r="D69" t="str">
            <v>01.650.702.2-413.000</v>
          </cell>
          <cell r="E69" t="str">
            <v/>
          </cell>
        </row>
        <row r="70">
          <cell r="A70" t="str">
            <v>T-0003</v>
          </cell>
          <cell r="B70" t="str">
            <v>Tjokro</v>
          </cell>
          <cell r="C70" t="str">
            <v>PT. TJOKRO BERSAUDARA CIKARANGINDO</v>
          </cell>
          <cell r="D70" t="str">
            <v>01.593.899.6-413.000</v>
          </cell>
          <cell r="E70" t="str">
            <v/>
          </cell>
        </row>
        <row r="71">
          <cell r="A71" t="str">
            <v>T-0021</v>
          </cell>
          <cell r="B71" t="str">
            <v>Takayama</v>
          </cell>
          <cell r="C71" t="str">
            <v>PT. TAKAYAMA REED INDONESIA</v>
          </cell>
          <cell r="D71" t="str">
            <v>1.070.965.7-407</v>
          </cell>
          <cell r="E71" t="str">
            <v/>
          </cell>
        </row>
        <row r="72">
          <cell r="A72" t="str">
            <v>T-0031</v>
          </cell>
          <cell r="B72" t="str">
            <v>Toyo Dies</v>
          </cell>
          <cell r="C72" t="str">
            <v>PT. TOYO DIES INDONESIA</v>
          </cell>
          <cell r="D72" t="str">
            <v>01.071.977.1-408.001</v>
          </cell>
          <cell r="E72" t="str">
            <v/>
          </cell>
        </row>
        <row r="73">
          <cell r="A73" t="str">
            <v>U-0003</v>
          </cell>
          <cell r="B73" t="str">
            <v>U T</v>
          </cell>
          <cell r="C73" t="str">
            <v>PT. UNITED TRACTORS Tbk.</v>
          </cell>
          <cell r="D73" t="str">
            <v>01.308.524.6-054.000</v>
          </cell>
          <cell r="E73" t="str">
            <v/>
          </cell>
        </row>
        <row r="74">
          <cell r="A74" t="str">
            <v>U-0004</v>
          </cell>
          <cell r="B74" t="str">
            <v>UTE Ckg</v>
          </cell>
          <cell r="C74" t="str">
            <v>PT. U T PANDU ENGINEERING (CAKUNG)</v>
          </cell>
          <cell r="D74" t="str">
            <v>01.060.602.8-004.000</v>
          </cell>
          <cell r="E74" t="str">
            <v/>
          </cell>
        </row>
        <row r="75">
          <cell r="A75" t="str">
            <v>U-0005</v>
          </cell>
          <cell r="B75" t="str">
            <v>UTE Ckrg</v>
          </cell>
          <cell r="C75" t="str">
            <v>PT. U T PANDU ENGINEERING (CIKARANG)</v>
          </cell>
          <cell r="D75" t="str">
            <v>01.060.602.8-413.000</v>
          </cell>
          <cell r="E75" t="str">
            <v/>
          </cell>
        </row>
        <row r="76">
          <cell r="A76" t="str">
            <v>W-0003</v>
          </cell>
          <cell r="B76" t="str">
            <v>Wakasa</v>
          </cell>
          <cell r="C76" t="str">
            <v>PT. WAJA KAMAJAYA SENTOSA</v>
          </cell>
          <cell r="D76" t="str">
            <v>01.399.698.8-004.000</v>
          </cell>
          <cell r="E76" t="str">
            <v/>
          </cell>
        </row>
        <row r="77">
          <cell r="A77" t="str">
            <v>W-0006</v>
          </cell>
          <cell r="B77" t="str">
            <v>Texmaco</v>
          </cell>
          <cell r="C77" t="str">
            <v>PT. WAHANA PERKASA AUTO JAYA</v>
          </cell>
          <cell r="D77" t="str">
            <v>1.729.102.2-409</v>
          </cell>
          <cell r="E77" t="str">
            <v/>
          </cell>
        </row>
        <row r="78">
          <cell r="A78" t="str">
            <v>W-0007</v>
          </cell>
          <cell r="B78" t="str">
            <v>WING</v>
          </cell>
          <cell r="C78" t="str">
            <v>PT. WING INDONESIA</v>
          </cell>
          <cell r="D78" t="str">
            <v>01.071.097.8-413.001</v>
          </cell>
          <cell r="E78" t="str">
            <v>(PKB/PDKB)</v>
          </cell>
        </row>
      </sheetData>
      <sheetData sheetId="32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Recovered_Sheet3"/>
      <sheetName val="Recovered_Sheet4"/>
      <sheetName val="Recovered_Sheet5"/>
      <sheetName val="Recovered_Sheet6"/>
      <sheetName val="Recovered_Sheet7"/>
      <sheetName val="Recovered_Sheet8"/>
      <sheetName val="Recovered_Sheet9"/>
      <sheetName val="Recovered_Sheet10"/>
      <sheetName val="Recovered_Sheet11"/>
      <sheetName val="Recovered_Sheet12"/>
      <sheetName val="Recovered_Sheet13"/>
      <sheetName val="Recovered_Sheet14"/>
      <sheetName val="Recovered_Sheet15"/>
      <sheetName val="Recovered_Sheet16"/>
      <sheetName val="Recovered_Sheet17"/>
      <sheetName val="XXXXXX"/>
      <sheetName val="mar"/>
      <sheetName val="mar_r"/>
      <sheetName val="apr"/>
      <sheetName val="apr_r"/>
      <sheetName val="may"/>
      <sheetName val="jun"/>
      <sheetName val="jul"/>
      <sheetName val="aug"/>
      <sheetName val="sep"/>
      <sheetName val="in"/>
      <sheetName val="ts"/>
      <sheetName val="sls"/>
      <sheetName val="out"/>
      <sheetName val="tc"/>
      <sheetName val="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A2" t="str">
            <v>A-0009</v>
          </cell>
          <cell r="B2" t="str">
            <v>ASTRA GRAPHIA</v>
          </cell>
          <cell r="C2" t="str">
            <v>01.307.261.6-408.001</v>
          </cell>
          <cell r="D2" t="str">
            <v>CWJVH-408-</v>
          </cell>
        </row>
        <row r="3">
          <cell r="A3" t="str">
            <v>A-0011</v>
          </cell>
          <cell r="B3" t="str">
            <v>ADHIGUNA PUTERA</v>
          </cell>
          <cell r="C3" t="str">
            <v>01.061.033.5-051.001</v>
          </cell>
          <cell r="D3" t="str">
            <v>CIJOZ-051-</v>
          </cell>
        </row>
        <row r="4">
          <cell r="A4" t="str">
            <v>A-0018</v>
          </cell>
          <cell r="B4" t="str">
            <v>ADIMAS SAKTI</v>
          </cell>
          <cell r="C4" t="str">
            <v>01.373.456.1-026.000</v>
          </cell>
          <cell r="D4" t="str">
            <v>DADTG-026-</v>
          </cell>
        </row>
        <row r="5">
          <cell r="A5" t="str">
            <v>A-0024</v>
          </cell>
          <cell r="B5" t="str">
            <v>ASIAKARYA DUTA DUNIA</v>
          </cell>
          <cell r="C5" t="str">
            <v>01.792.284.0-411.000</v>
          </cell>
          <cell r="D5" t="str">
            <v>DXZIA-028-</v>
          </cell>
        </row>
        <row r="6">
          <cell r="A6" t="str">
            <v>A-0032</v>
          </cell>
          <cell r="B6" t="str">
            <v>ANEKA INFOKOM TEKINDO</v>
          </cell>
          <cell r="C6" t="str">
            <v>01.746.207.8-056.000</v>
          </cell>
          <cell r="D6" t="str">
            <v>DVJDV-056-</v>
          </cell>
        </row>
        <row r="7">
          <cell r="A7" t="str">
            <v>A-0034</v>
          </cell>
          <cell r="B7" t="str">
            <v>AIR LIQUIDE INDONESIA</v>
          </cell>
          <cell r="C7" t="str">
            <v>1.351.453.4-407</v>
          </cell>
          <cell r="D7" t="str">
            <v>CYXEZ-407-</v>
          </cell>
        </row>
        <row r="8">
          <cell r="A8" t="str">
            <v>A-0036</v>
          </cell>
          <cell r="B8" t="str">
            <v>AIRIN</v>
          </cell>
          <cell r="C8" t="str">
            <v>1.316.604.6-051</v>
          </cell>
          <cell r="D8" t="str">
            <v>CWXQQ-051-</v>
          </cell>
        </row>
        <row r="9">
          <cell r="A9" t="str">
            <v>A-0037</v>
          </cell>
          <cell r="B9" t="str">
            <v>APORA INDUSTRA</v>
          </cell>
          <cell r="C9" t="str">
            <v>1.674.813.9-004</v>
          </cell>
          <cell r="D9" t="str">
            <v>DRHNX-004-</v>
          </cell>
        </row>
        <row r="10">
          <cell r="A10" t="str">
            <v>A-0038</v>
          </cell>
          <cell r="B10" t="str">
            <v>ADYAWINSA DINAMIKA</v>
          </cell>
          <cell r="C10" t="str">
            <v>1.603.428.2-043</v>
          </cell>
          <cell r="D10" t="str">
            <v>DNFYI-043-</v>
          </cell>
        </row>
        <row r="11">
          <cell r="A11" t="str">
            <v>A-0039</v>
          </cell>
          <cell r="B11" t="str">
            <v>AIR PRODUCTS INDONESIA</v>
          </cell>
          <cell r="C11" t="str">
            <v>01.133.521.3-413.001</v>
          </cell>
          <cell r="D11" t="str">
            <v>CMMUZ-413-</v>
          </cell>
        </row>
        <row r="12">
          <cell r="A12" t="str">
            <v>A-0040</v>
          </cell>
          <cell r="B12" t="str">
            <v>ANDALAN SEKAR MAKMUR</v>
          </cell>
          <cell r="C12" t="str">
            <v>02.015.409.2-011.000</v>
          </cell>
          <cell r="D12" t="str">
            <v>EKRJT-011-</v>
          </cell>
        </row>
        <row r="13">
          <cell r="A13" t="str">
            <v>A-0041</v>
          </cell>
          <cell r="B13" t="str">
            <v>APORA AKINDO</v>
          </cell>
          <cell r="C13" t="str">
            <v>01.952.406.5-004.000</v>
          </cell>
          <cell r="D13" t="str">
            <v>EHCEO-004-</v>
          </cell>
        </row>
        <row r="14">
          <cell r="A14" t="str">
            <v>A-0042</v>
          </cell>
          <cell r="B14" t="str">
            <v>ASABA</v>
          </cell>
          <cell r="C14" t="str">
            <v>01.306.942.2-025.000</v>
          </cell>
          <cell r="D14" t="str">
            <v>CWJJA-025-</v>
          </cell>
        </row>
        <row r="15">
          <cell r="A15" t="str">
            <v>A-0043</v>
          </cell>
          <cell r="B15" t="str">
            <v>ADHINUSA LESTARI JAYA</v>
          </cell>
          <cell r="C15" t="str">
            <v>01.659.873.2-032.000</v>
          </cell>
          <cell r="D15" t="str">
            <v>DQLLH-032-</v>
          </cell>
        </row>
        <row r="16">
          <cell r="A16" t="str">
            <v>A-0044</v>
          </cell>
          <cell r="B16" t="str">
            <v>ANDALAN DUNIA SEMESTA</v>
          </cell>
          <cell r="C16" t="str">
            <v>01.746.478.5-025.000</v>
          </cell>
          <cell r="D16" t="str">
            <v>DVJOG-025-</v>
          </cell>
        </row>
        <row r="17">
          <cell r="A17" t="str">
            <v>A-0045</v>
          </cell>
          <cell r="B17" t="str">
            <v>ADRINUSA ESATAMA</v>
          </cell>
          <cell r="C17" t="str">
            <v>01.647.000.7-002.000</v>
          </cell>
          <cell r="D17" t="str">
            <v>DPSKE-002-</v>
          </cell>
        </row>
        <row r="18">
          <cell r="A18" t="str">
            <v>A-0046</v>
          </cell>
          <cell r="B18" t="str">
            <v>ANUGRAH ARTHA WINASIS</v>
          </cell>
          <cell r="C18" t="str">
            <v>02.070.720.4-061.000</v>
          </cell>
          <cell r="D18" t="str">
            <v>ENVFC-061-</v>
          </cell>
        </row>
        <row r="19">
          <cell r="A19" t="str">
            <v>A-0047</v>
          </cell>
          <cell r="B19" t="str">
            <v xml:space="preserve">ADVANCE STEEL TECHNOLOGY </v>
          </cell>
        </row>
        <row r="20">
          <cell r="A20" t="str">
            <v>A-0048</v>
          </cell>
          <cell r="B20" t="str">
            <v>ATLANTIS TATA PERSADA MAKMUR</v>
          </cell>
          <cell r="C20" t="str">
            <v>01.966.959.7-032.000</v>
          </cell>
          <cell r="D20" t="str">
            <v>EHXSH-032-</v>
          </cell>
        </row>
        <row r="21">
          <cell r="A21" t="str">
            <v>A-0049</v>
          </cell>
          <cell r="B21" t="str">
            <v>ACROE INDONESIA</v>
          </cell>
          <cell r="C21" t="str">
            <v>01.572.661.5-028.000</v>
          </cell>
          <cell r="D21" t="str">
            <v>DLMKZ-028-</v>
          </cell>
        </row>
        <row r="22">
          <cell r="A22" t="str">
            <v>A-0050</v>
          </cell>
          <cell r="B22" t="str">
            <v>ALFATEKNINDO PERDANA</v>
          </cell>
          <cell r="C22" t="str">
            <v>01.778.044.6-032.000</v>
          </cell>
          <cell r="D22" t="str">
            <v>DXEGI-032-</v>
          </cell>
        </row>
        <row r="23">
          <cell r="A23" t="str">
            <v>A-0051</v>
          </cell>
          <cell r="B23" t="str">
            <v>ALTRAMAN (ALEXINDO PUTRA MANDIRI)</v>
          </cell>
          <cell r="C23" t="str">
            <v>01.336.155.5-031.000</v>
          </cell>
          <cell r="D23" t="str">
            <v>CYAOP-031-</v>
          </cell>
        </row>
        <row r="24">
          <cell r="A24" t="str">
            <v>A-0052</v>
          </cell>
          <cell r="B24" t="str">
            <v>ASIA TALENTA MAJU</v>
          </cell>
          <cell r="C24" t="str">
            <v>01.924.643.8-411.000</v>
          </cell>
          <cell r="D24" t="str">
            <v>EFNCT-411-</v>
          </cell>
        </row>
        <row r="25">
          <cell r="A25" t="str">
            <v>A-0053</v>
          </cell>
          <cell r="B25" t="str">
            <v>ACCORINDO INTERNUSA</v>
          </cell>
          <cell r="C25" t="str">
            <v>01.804.717.5-058.000</v>
          </cell>
          <cell r="D25" t="str">
            <v>DYRSF-058-</v>
          </cell>
        </row>
        <row r="26">
          <cell r="A26" t="str">
            <v>A-0054</v>
          </cell>
          <cell r="B26" t="str">
            <v>ASTANITA SUKSES APINDO</v>
          </cell>
          <cell r="C26" t="str">
            <v>01.816.588.6-027.000</v>
          </cell>
          <cell r="D26" t="str">
            <v>DZJGU-027-</v>
          </cell>
        </row>
        <row r="27">
          <cell r="A27" t="str">
            <v>A-0055</v>
          </cell>
          <cell r="B27" t="str">
            <v>ASIA SAFFETY INDONESIA</v>
          </cell>
          <cell r="C27" t="str">
            <v>02.296.223.7-041.000</v>
          </cell>
          <cell r="D27" t="str">
            <v>FAQUH-041-</v>
          </cell>
        </row>
        <row r="28">
          <cell r="A28" t="str">
            <v>A-0056</v>
          </cell>
          <cell r="B28" t="str">
            <v>AGUNG RAYA</v>
          </cell>
          <cell r="C28" t="str">
            <v>01.316.603.8.042.000</v>
          </cell>
          <cell r="D28" t="str">
            <v>CWXQP-042-</v>
          </cell>
        </row>
        <row r="29">
          <cell r="A29" t="str">
            <v>A-0057</v>
          </cell>
          <cell r="B29" t="str">
            <v>ALPHA AUSTENITE</v>
          </cell>
          <cell r="C29" t="str">
            <v>01.002.891.8-403.000</v>
          </cell>
          <cell r="D29" t="str">
            <v>CFBOT-403-</v>
          </cell>
        </row>
        <row r="30">
          <cell r="A30" t="str">
            <v>A-0059</v>
          </cell>
          <cell r="B30" t="str">
            <v>ASRICO PUTRA PERDANA</v>
          </cell>
          <cell r="C30" t="str">
            <v>01.994.490.9.413.000</v>
          </cell>
          <cell r="D30" t="str">
            <v>EJMLE-413-</v>
          </cell>
        </row>
        <row r="31">
          <cell r="A31" t="str">
            <v>A-0060</v>
          </cell>
          <cell r="B31" t="str">
            <v>ARAKUNDO</v>
          </cell>
          <cell r="C31" t="str">
            <v>02.198.772.2-413.000</v>
          </cell>
          <cell r="D31" t="str">
            <v>EVCQE-413-</v>
          </cell>
        </row>
        <row r="32">
          <cell r="A32" t="str">
            <v>B-0006</v>
          </cell>
          <cell r="B32" t="str">
            <v>BANK OF TOKYO - MITSUBISHI</v>
          </cell>
          <cell r="C32" t="str">
            <v/>
          </cell>
          <cell r="D32" t="str">
            <v>PIB.</v>
          </cell>
        </row>
        <row r="33">
          <cell r="A33" t="str">
            <v>B-0008</v>
          </cell>
          <cell r="B33" t="str">
            <v>BANTRUNK MURNI INDONESIA</v>
          </cell>
          <cell r="C33" t="str">
            <v>01.369.542.4-004.000</v>
          </cell>
          <cell r="D33" t="str">
            <v>CZXYS-004-</v>
          </cell>
        </row>
        <row r="34">
          <cell r="A34" t="str">
            <v>B-0014</v>
          </cell>
          <cell r="B34" t="str">
            <v>BIMA BISALLOY</v>
          </cell>
          <cell r="C34" t="str">
            <v>01.710.778.0-011.000</v>
          </cell>
          <cell r="D34" t="str">
            <v>DTITE-011-</v>
          </cell>
        </row>
        <row r="35">
          <cell r="A35" t="str">
            <v>B-0018</v>
          </cell>
          <cell r="B35" t="str">
            <v>BOROBUDUR AGUNG PERKASA</v>
          </cell>
          <cell r="C35" t="str">
            <v>01.357.443.9-028.000</v>
          </cell>
          <cell r="D35" t="str">
            <v>CZGBJ-028-</v>
          </cell>
        </row>
        <row r="36">
          <cell r="A36" t="str">
            <v>B-0019</v>
          </cell>
          <cell r="B36" t="str">
            <v>BINTANG BARUTAMA</v>
          </cell>
          <cell r="C36" t="str">
            <v>01.356.124.6-026.000</v>
          </cell>
          <cell r="D36" t="str">
            <v>CZECQ-026-</v>
          </cell>
        </row>
        <row r="37">
          <cell r="A37" t="str">
            <v>B-0020</v>
          </cell>
          <cell r="B37" t="str">
            <v>BANK NEGARA INDONESIA 1946</v>
          </cell>
          <cell r="C37" t="str">
            <v/>
          </cell>
          <cell r="D37" t="str">
            <v>SSPCP-</v>
          </cell>
        </row>
        <row r="38">
          <cell r="A38" t="str">
            <v>B-0021</v>
          </cell>
          <cell r="B38" t="str">
            <v>BANDAR KRIDA JASINDO</v>
          </cell>
          <cell r="C38" t="str">
            <v>01.369.076.3-042.000</v>
          </cell>
          <cell r="D38" t="str">
            <v>CZXGU-042-</v>
          </cell>
        </row>
        <row r="39">
          <cell r="A39" t="str">
            <v>B-0034</v>
          </cell>
          <cell r="B39" t="str">
            <v>BANGUN RIZKI</v>
          </cell>
          <cell r="C39" t="str">
            <v>1.609.378.3-014</v>
          </cell>
          <cell r="D39" t="str">
            <v>DNOTE-014-</v>
          </cell>
        </row>
        <row r="40">
          <cell r="A40" t="str">
            <v>B-0038</v>
          </cell>
          <cell r="B40" t="str">
            <v>BANK MANDIRI (PERSERO)</v>
          </cell>
          <cell r="C40" t="str">
            <v/>
          </cell>
          <cell r="D40" t="str">
            <v>SSPCP-</v>
          </cell>
        </row>
        <row r="41">
          <cell r="A41" t="str">
            <v>B-0040</v>
          </cell>
          <cell r="B41" t="str">
            <v>BANK DUTA</v>
          </cell>
          <cell r="C41" t="str">
            <v/>
          </cell>
          <cell r="D41" t="str">
            <v>PIB.</v>
          </cell>
        </row>
        <row r="42">
          <cell r="A42" t="str">
            <v>B-0042</v>
          </cell>
          <cell r="B42" t="str">
            <v>BANGUN TEKINDO PURNAMA</v>
          </cell>
          <cell r="C42" t="str">
            <v>1.455.173.3-402</v>
          </cell>
          <cell r="D42" t="str">
            <v>DEUQF-402-</v>
          </cell>
        </row>
        <row r="43">
          <cell r="A43" t="str">
            <v>B-0043</v>
          </cell>
          <cell r="B43" t="str">
            <v>BESTINDO ERA SARANA TEKNIK</v>
          </cell>
          <cell r="C43" t="str">
            <v>1.860.186.4-032</v>
          </cell>
          <cell r="D43" t="str">
            <v>EBVTQ-032-</v>
          </cell>
        </row>
        <row r="44">
          <cell r="A44" t="str">
            <v>B-0044</v>
          </cell>
          <cell r="B44" t="str">
            <v>BINA ADIDAYA</v>
          </cell>
          <cell r="C44" t="str">
            <v>01.439.869.7-411.000</v>
          </cell>
          <cell r="D44" t="str">
            <v>DDXZP-411-</v>
          </cell>
        </row>
        <row r="45">
          <cell r="A45" t="str">
            <v>B-0045</v>
          </cell>
          <cell r="B45" t="str">
            <v>BREINDO JAYA TEHNIK</v>
          </cell>
          <cell r="C45" t="str">
            <v>01.786.739.1-407.000</v>
          </cell>
          <cell r="D45" t="str">
            <v>DXRCT-407-</v>
          </cell>
        </row>
        <row r="46">
          <cell r="A46" t="str">
            <v>B-0046</v>
          </cell>
          <cell r="B46" t="str">
            <v>BANK CENTRAL ASIA</v>
          </cell>
          <cell r="C46" t="str">
            <v/>
          </cell>
          <cell r="D46" t="str">
            <v>PIB.</v>
          </cell>
        </row>
        <row r="47">
          <cell r="A47" t="str">
            <v>B-0047</v>
          </cell>
          <cell r="B47" t="str">
            <v>BERLIAN INTERNIAGA</v>
          </cell>
          <cell r="C47" t="str">
            <v>01.069.239.0-056.000</v>
          </cell>
          <cell r="D47" t="str">
            <v>CIVSP-056-</v>
          </cell>
        </row>
        <row r="48">
          <cell r="A48" t="str">
            <v>B-0048</v>
          </cell>
          <cell r="B48" t="str">
            <v>BANGUN MITRA SUKSES BERSAMA</v>
          </cell>
          <cell r="C48" t="str">
            <v>02.022.534.8-042.000</v>
          </cell>
          <cell r="D48" t="str">
            <v>ELBXU-042-</v>
          </cell>
        </row>
        <row r="49">
          <cell r="A49" t="str">
            <v>B-0049</v>
          </cell>
          <cell r="B49" t="str">
            <v>BETA SINARINDO</v>
          </cell>
          <cell r="C49" t="str">
            <v>01.562.046.1-413.001</v>
          </cell>
          <cell r="D49" t="str">
            <v>DKWSS-413-</v>
          </cell>
        </row>
        <row r="50">
          <cell r="A50" t="str">
            <v>B-0050</v>
          </cell>
          <cell r="B50" t="str">
            <v>BEKASI METAL INTI MEGAH</v>
          </cell>
          <cell r="C50" t="str">
            <v>01.223.451.4-407.000</v>
          </cell>
          <cell r="D50" t="str">
            <v>CRPVV-407-</v>
          </cell>
        </row>
        <row r="51">
          <cell r="A51" t="str">
            <v>B-0051</v>
          </cell>
          <cell r="B51" t="str">
            <v>BINA TUNAS PERSADA</v>
          </cell>
          <cell r="C51" t="str">
            <v>01.901.087.5-022.000</v>
          </cell>
          <cell r="D51" t="str">
            <v>EEEGT-022-</v>
          </cell>
        </row>
        <row r="52">
          <cell r="A52" t="str">
            <v>B-0054</v>
          </cell>
          <cell r="B52" t="str">
            <v>BIMARUNA JAYA</v>
          </cell>
          <cell r="C52" t="str">
            <v>01.070.814.7-006.001</v>
          </cell>
          <cell r="D52" t="str">
            <v>CIYBE-006-</v>
          </cell>
        </row>
        <row r="53">
          <cell r="A53" t="str">
            <v>B-0055</v>
          </cell>
          <cell r="B53" t="str">
            <v>BERLIAN KATER</v>
          </cell>
          <cell r="C53" t="str">
            <v>02.159.069.0-407.000</v>
          </cell>
          <cell r="D53" t="str">
            <v>ESVXD-407-</v>
          </cell>
        </row>
        <row r="54">
          <cell r="A54" t="str">
            <v>B-0056</v>
          </cell>
          <cell r="B54" t="str">
            <v>BOSCH REXROTH</v>
          </cell>
          <cell r="C54" t="str">
            <v>01.674.359.3-056.000</v>
          </cell>
          <cell r="D54" t="str">
            <v>DRGWL-056-</v>
          </cell>
        </row>
        <row r="55">
          <cell r="A55" t="str">
            <v>B-0057</v>
          </cell>
          <cell r="B55" t="str">
            <v>BINA USAHA MANDIRI MIZUSAWA</v>
          </cell>
          <cell r="C55" t="str">
            <v>01.060.298.5.055.000</v>
          </cell>
          <cell r="D55" t="str">
            <v>CIIMS-055-</v>
          </cell>
        </row>
        <row r="56">
          <cell r="A56" t="str">
            <v>B-0058</v>
          </cell>
          <cell r="B56" t="str">
            <v>BALAI BESAR LOGAM DAN MESIN</v>
          </cell>
          <cell r="C56" t="str">
            <v>00.048.408.9.424.000</v>
          </cell>
          <cell r="D56" t="str">
            <v>ACTPW-424-</v>
          </cell>
        </row>
        <row r="57">
          <cell r="A57" t="str">
            <v>C-0001</v>
          </cell>
          <cell r="B57" t="str">
            <v>CHAKRAPRIMA GITANUSA</v>
          </cell>
          <cell r="C57" t="str">
            <v>1.573.814.9-035</v>
          </cell>
          <cell r="D57" t="str">
            <v>DLODI-035-</v>
          </cell>
        </row>
        <row r="58">
          <cell r="A58" t="str">
            <v>C-0003</v>
          </cell>
          <cell r="B58" t="str">
            <v>CATUR MANDRARAKSA MANDIRI</v>
          </cell>
          <cell r="C58" t="str">
            <v>01.571.392.8-042.000</v>
          </cell>
          <cell r="D58" t="str">
            <v>DLKOE-042-</v>
          </cell>
        </row>
        <row r="59">
          <cell r="A59" t="str">
            <v>C-0005</v>
          </cell>
          <cell r="B59" t="str">
            <v>CIPTATEKNIK MITRA PRATAMA</v>
          </cell>
          <cell r="C59" t="str">
            <v>01.713.531.0-407.000</v>
          </cell>
          <cell r="D59" t="str">
            <v>DTMVB-407-</v>
          </cell>
        </row>
        <row r="60">
          <cell r="A60" t="str">
            <v>C-0006</v>
          </cell>
          <cell r="B60" t="str">
            <v>CITRA FURNITURE</v>
          </cell>
          <cell r="C60" t="str">
            <v>01.393.314.8-003.000</v>
          </cell>
          <cell r="D60" t="str">
            <v>DBHDA-003-</v>
          </cell>
        </row>
        <row r="61">
          <cell r="A61" t="str">
            <v>#C-0007</v>
          </cell>
          <cell r="B61" t="str">
            <v>#CAKRA INFOTIKA CITRANUSA</v>
          </cell>
          <cell r="C61" t="str">
            <v>01.566.818.9-003.000</v>
          </cell>
          <cell r="D61" t="str">
            <v>DLDUG-003-</v>
          </cell>
        </row>
        <row r="62">
          <cell r="A62" t="str">
            <v>C-0007</v>
          </cell>
          <cell r="B62" t="str">
            <v>CAKRA INFOTIKA CITRANUSA</v>
          </cell>
          <cell r="C62" t="str">
            <v>01.566.818.9.413.000</v>
          </cell>
          <cell r="D62" t="str">
            <v>DLDUG-413-</v>
          </cell>
        </row>
        <row r="63">
          <cell r="A63" t="str">
            <v>C-0013</v>
          </cell>
          <cell r="B63" t="str">
            <v>CHANDRAMAHKOTA PRIMA</v>
          </cell>
          <cell r="C63" t="str">
            <v>01.567.363.5-022.000</v>
          </cell>
          <cell r="D63" t="str">
            <v>DLEPF-022-</v>
          </cell>
        </row>
        <row r="64">
          <cell r="A64" t="str">
            <v>C-0019</v>
          </cell>
          <cell r="B64" t="str">
            <v>CAKUNG PRIMA STEEL</v>
          </cell>
          <cell r="C64" t="str">
            <v>01.545.075.2-006.000</v>
          </cell>
          <cell r="D64" t="str">
            <v>DJXPZ-006-</v>
          </cell>
        </row>
        <row r="65">
          <cell r="A65" t="str">
            <v>C-0021</v>
          </cell>
          <cell r="B65" t="str">
            <v>CITRAYASA SARANA PERKASA</v>
          </cell>
          <cell r="C65" t="str">
            <v>1.539.562.7-022</v>
          </cell>
          <cell r="D65" t="str">
            <v>DJPLY-022-</v>
          </cell>
        </row>
        <row r="66">
          <cell r="A66" t="str">
            <v>C-0023</v>
          </cell>
          <cell r="B66" t="str">
            <v>CIPTA HYDROPOWER ABADI</v>
          </cell>
          <cell r="C66" t="str">
            <v>01.318.436.1-031.000</v>
          </cell>
          <cell r="D66" t="str">
            <v>CXAJC-031-</v>
          </cell>
        </row>
        <row r="67">
          <cell r="A67" t="str">
            <v>C-0027</v>
          </cell>
          <cell r="B67" t="str">
            <v>CATRA NUSANTARA BERSAMA</v>
          </cell>
          <cell r="C67" t="str">
            <v>01.362.046.3-033.000</v>
          </cell>
          <cell r="D67" t="str">
            <v>CZMWK-033-</v>
          </cell>
        </row>
        <row r="68">
          <cell r="A68" t="str">
            <v>C-0028</v>
          </cell>
          <cell r="B68" t="str">
            <v>CATHAYSINDO BUMI PRIMA</v>
          </cell>
          <cell r="C68" t="str">
            <v>01.330.052.0-032.000</v>
          </cell>
          <cell r="D68" t="str">
            <v>CXRNW-032-</v>
          </cell>
        </row>
        <row r="69">
          <cell r="A69" t="str">
            <v>C-0029</v>
          </cell>
          <cell r="B69" t="str">
            <v>CENTRAL BEARINDO INTERNATIONAL</v>
          </cell>
          <cell r="C69" t="str">
            <v>01.691.234.7.026.000</v>
          </cell>
          <cell r="D69" t="str">
            <v>DSFVM-026-</v>
          </cell>
        </row>
        <row r="70">
          <cell r="A70" t="str">
            <v>C-0030</v>
          </cell>
          <cell r="B70" t="str">
            <v>CARDINDO CITRABUANA</v>
          </cell>
          <cell r="C70" t="str">
            <v>01.656.408.0.035.000</v>
          </cell>
          <cell r="D70" t="str">
            <v>DQGIA-035-</v>
          </cell>
        </row>
        <row r="71">
          <cell r="A71" t="str">
            <v>C-0031</v>
          </cell>
          <cell r="B71" t="str">
            <v>CITRA PRIMA SURYA</v>
          </cell>
          <cell r="C71" t="str">
            <v>01.989.385.8.003.000</v>
          </cell>
          <cell r="D71" t="str">
            <v>EJEWV-003-</v>
          </cell>
        </row>
        <row r="72">
          <cell r="A72" t="str">
            <v>C-0032</v>
          </cell>
          <cell r="B72" t="str">
            <v>COLUMBIA CHROME INDONESIA</v>
          </cell>
          <cell r="C72" t="str">
            <v>01.069.456.0.052.000</v>
          </cell>
          <cell r="D72" t="str">
            <v>CIWAY-052-</v>
          </cell>
        </row>
        <row r="73">
          <cell r="A73" t="str">
            <v>C-0033</v>
          </cell>
          <cell r="B73" t="str">
            <v>CAHAYA PUTRA RAHARDJO</v>
          </cell>
          <cell r="C73" t="str">
            <v>02.055.432.5.036.000</v>
          </cell>
          <cell r="D73" t="str">
            <v>EMYPC-036-</v>
          </cell>
        </row>
        <row r="74">
          <cell r="A74" t="str">
            <v>C-0034</v>
          </cell>
          <cell r="B74" t="str">
            <v>CAHAYA LUMASINDO</v>
          </cell>
          <cell r="C74" t="str">
            <v>02.228.618.1-041.000</v>
          </cell>
          <cell r="D74" t="str">
            <v>EWUUC-041-</v>
          </cell>
        </row>
        <row r="75">
          <cell r="A75" t="str">
            <v>C-0035</v>
          </cell>
          <cell r="B75" t="str">
            <v>CIDAS SUPRA METALINDO</v>
          </cell>
          <cell r="C75" t="str">
            <v>01.856.650.5-403.000</v>
          </cell>
          <cell r="D75" t="str">
            <v>EBQNQ-403-</v>
          </cell>
        </row>
        <row r="76">
          <cell r="A76" t="str">
            <v>C-0036</v>
          </cell>
          <cell r="B76" t="str">
            <v>CAHAYA PUTRA PERSADAS</v>
          </cell>
          <cell r="C76" t="str">
            <v>02.095.416.0-402.000</v>
          </cell>
          <cell r="D76" t="str">
            <v>EPFSY-402-</v>
          </cell>
        </row>
        <row r="77">
          <cell r="A77" t="str">
            <v>#D-0003</v>
          </cell>
          <cell r="B77" t="str">
            <v>P.B.M. DHARMA LAUTAN NUSANTARA TANJUNG PRIOK</v>
          </cell>
          <cell r="C77" t="str">
            <v>1.061.034.3-051</v>
          </cell>
          <cell r="D77" t="str">
            <v>CIJPA-051-</v>
          </cell>
        </row>
        <row r="78">
          <cell r="A78" t="str">
            <v>D-0003</v>
          </cell>
          <cell r="B78" t="str">
            <v>P.B.M. PT.DHARMA LAUTAN NUSANTARA TANJUNG PRIOK</v>
          </cell>
          <cell r="C78" t="str">
            <v>01.061.034.3-051.000</v>
          </cell>
          <cell r="D78" t="str">
            <v>CIJPA-051-</v>
          </cell>
        </row>
        <row r="79">
          <cell r="A79" t="str">
            <v>D-0004</v>
          </cell>
          <cell r="B79" t="str">
            <v>DWIJAYA SELARAS</v>
          </cell>
          <cell r="C79" t="str">
            <v>01.724.724.8-028.000</v>
          </cell>
          <cell r="D79" t="str">
            <v>DUDJO-028-</v>
          </cell>
        </row>
        <row r="80">
          <cell r="A80" t="str">
            <v>D-0010</v>
          </cell>
          <cell r="B80" t="str">
            <v>DEWI WANAHAYU</v>
          </cell>
          <cell r="C80" t="str">
            <v>1.360.826.0-016</v>
          </cell>
          <cell r="D80" t="str">
            <v>CZLBM-016-</v>
          </cell>
        </row>
        <row r="81">
          <cell r="A81" t="str">
            <v>D-0011</v>
          </cell>
          <cell r="B81" t="str">
            <v>DIRGARAYA HARSA</v>
          </cell>
          <cell r="C81" t="str">
            <v>01.686.444.9-033.000</v>
          </cell>
          <cell r="D81" t="str">
            <v>DRYTG-033-</v>
          </cell>
        </row>
        <row r="82">
          <cell r="A82" t="str">
            <v>D-0012</v>
          </cell>
          <cell r="B82" t="str">
            <v>DUTALUB INTI PRATAMA</v>
          </cell>
          <cell r="C82" t="str">
            <v>01.876.051.2-413.000</v>
          </cell>
          <cell r="D82" t="str">
            <v>ECTFV-413-</v>
          </cell>
        </row>
        <row r="83">
          <cell r="A83" t="str">
            <v>D-0013</v>
          </cell>
          <cell r="B83" t="str">
            <v xml:space="preserve">DENKO WAHANA SAKTI </v>
          </cell>
          <cell r="C83" t="str">
            <v>01.654.230.0-028.000</v>
          </cell>
          <cell r="D83" t="str">
            <v>DQDCG-028-</v>
          </cell>
        </row>
        <row r="84">
          <cell r="A84" t="str">
            <v>D-0014</v>
          </cell>
          <cell r="B84" t="str">
            <v>DHARMA LINGGAUTAMA</v>
          </cell>
          <cell r="C84" t="str">
            <v>01.359.146.6-026.000</v>
          </cell>
          <cell r="D84" t="str">
            <v>CZIOW-026-</v>
          </cell>
        </row>
        <row r="85">
          <cell r="A85" t="str">
            <v>D-0015</v>
          </cell>
          <cell r="B85" t="str">
            <v>DITOSA</v>
          </cell>
          <cell r="C85" t="str">
            <v>01.310.112.6-025.000</v>
          </cell>
          <cell r="D85" t="str">
            <v>CWOAY-025-</v>
          </cell>
        </row>
        <row r="86">
          <cell r="A86" t="str">
            <v>D-0016</v>
          </cell>
          <cell r="B86" t="str">
            <v>DINAMIKA NUANSA TERPADU</v>
          </cell>
          <cell r="C86" t="str">
            <v>01.881.675.1-002.000</v>
          </cell>
          <cell r="D86" t="str">
            <v>EDBOD-002-</v>
          </cell>
        </row>
        <row r="87">
          <cell r="A87" t="str">
            <v>D-0017</v>
          </cell>
          <cell r="B87" t="str">
            <v>DAISY MUTIARA SAMUDRA</v>
          </cell>
          <cell r="C87" t="str">
            <v>01.841.367.4.042.000</v>
          </cell>
          <cell r="D87" t="str">
            <v>EATXV-042-</v>
          </cell>
        </row>
        <row r="88">
          <cell r="A88" t="str">
            <v>D-0018</v>
          </cell>
          <cell r="B88" t="str">
            <v>DESKAHINDO UTAMA</v>
          </cell>
          <cell r="C88" t="str">
            <v>01.385.938.4-028.000</v>
          </cell>
          <cell r="D88" t="str">
            <v>DAWFI-028-</v>
          </cell>
        </row>
        <row r="89">
          <cell r="A89" t="str">
            <v>D-0019</v>
          </cell>
          <cell r="B89" t="str">
            <v>DHARMA PRECISION TOOLS</v>
          </cell>
          <cell r="C89" t="str">
            <v>01.081.614.8-413.000</v>
          </cell>
          <cell r="D89" t="str">
            <v>CJOAO-413-</v>
          </cell>
        </row>
        <row r="90">
          <cell r="A90" t="str">
            <v>D-0020</v>
          </cell>
          <cell r="B90" t="str">
            <v>DONGWOO ENVIRONMENTAL INDONESIA</v>
          </cell>
          <cell r="C90" t="str">
            <v>01.869.266.5-413.001</v>
          </cell>
          <cell r="D90" t="str">
            <v>ECJEW-413-</v>
          </cell>
        </row>
        <row r="91">
          <cell r="A91" t="str">
            <v>E-0001</v>
          </cell>
          <cell r="B91" t="str">
            <v>EKATAMA PUTRA PERKASA</v>
          </cell>
          <cell r="C91" t="str">
            <v>01.393.966.5-026.000</v>
          </cell>
          <cell r="D91" t="str">
            <v>DBICC-026-</v>
          </cell>
        </row>
        <row r="92">
          <cell r="A92" t="str">
            <v>E-0007</v>
          </cell>
          <cell r="B92" t="str">
            <v>ENAM DELAPAN</v>
          </cell>
          <cell r="C92" t="str">
            <v>1.786.311.9-407</v>
          </cell>
          <cell r="D92" t="str">
            <v>DXQMH-407-</v>
          </cell>
        </row>
        <row r="93">
          <cell r="A93" t="str">
            <v>E-0008</v>
          </cell>
          <cell r="B93" t="str">
            <v>EONCHEMICALS PUTRA</v>
          </cell>
          <cell r="C93" t="str">
            <v>01.328.225.6-015.000</v>
          </cell>
          <cell r="D93" t="str">
            <v>CXOVP-015-</v>
          </cell>
        </row>
        <row r="94">
          <cell r="A94" t="str">
            <v>E-0009</v>
          </cell>
          <cell r="B94" t="str">
            <v>ERNI JUTA AGUNG, PT.</v>
          </cell>
          <cell r="C94" t="str">
            <v>1.624.551.6-002</v>
          </cell>
          <cell r="D94" t="str">
            <v>DOLET-002-</v>
          </cell>
        </row>
        <row r="95">
          <cell r="A95" t="str">
            <v>E-0010</v>
          </cell>
          <cell r="B95" t="str">
            <v>EQUIPINDO PERKASA</v>
          </cell>
          <cell r="C95" t="str">
            <v>02.269.885.6-043.000</v>
          </cell>
          <cell r="D95" t="str">
            <v>EZDVH-043-</v>
          </cell>
        </row>
        <row r="96">
          <cell r="A96" t="str">
            <v>E-0011</v>
          </cell>
          <cell r="B96" t="str">
            <v>ERAKOMP INFONUSA</v>
          </cell>
          <cell r="C96" t="str">
            <v>01.329.812.0-029.000</v>
          </cell>
          <cell r="D96" t="str">
            <v>CXREQ-029-</v>
          </cell>
        </row>
        <row r="97">
          <cell r="A97" t="str">
            <v>F-0001</v>
          </cell>
          <cell r="B97" t="str">
            <v>FIRST MACHINERY TRADE, CO.</v>
          </cell>
          <cell r="C97" t="str">
            <v>01.303.358.4-026.000</v>
          </cell>
          <cell r="D97" t="str">
            <v>CWEBE-026-</v>
          </cell>
        </row>
        <row r="98">
          <cell r="A98" t="str">
            <v>F-0002</v>
          </cell>
          <cell r="B98" t="str">
            <v>FAJAR TAURUS</v>
          </cell>
          <cell r="C98" t="str">
            <v>01.309.162.4.005.000</v>
          </cell>
          <cell r="D98" t="str">
            <v>CWMQK-005-</v>
          </cell>
        </row>
        <row r="99">
          <cell r="A99" t="str">
            <v>F-0003</v>
          </cell>
          <cell r="B99" t="str">
            <v>FANUC GE AUTOMATION INDONESIA</v>
          </cell>
          <cell r="C99" t="str">
            <v>01.061.728.0-424.001</v>
          </cell>
          <cell r="D99" t="str">
            <v>CIKPS-424-</v>
          </cell>
        </row>
        <row r="100">
          <cell r="A100" t="str">
            <v>F-0007</v>
          </cell>
          <cell r="B100" t="str">
            <v>FUJITSU SYSTEMS INDONESIA</v>
          </cell>
          <cell r="C100" t="str">
            <v>1.070.967.3-056</v>
          </cell>
          <cell r="D100" t="str">
            <v>CIYHB-056-</v>
          </cell>
        </row>
        <row r="101">
          <cell r="A101" t="str">
            <v>F-0008</v>
          </cell>
          <cell r="B101" t="str">
            <v>FUJI TECHNICA INDONESIA</v>
          </cell>
          <cell r="C101" t="str">
            <v>01.071.093.7-408.001</v>
          </cell>
          <cell r="D101" t="str">
            <v>CIYLX-408-</v>
          </cell>
        </row>
        <row r="102">
          <cell r="A102" t="str">
            <v>F-0009</v>
          </cell>
          <cell r="B102" t="str">
            <v>FRISINDO MITRA USAHA</v>
          </cell>
          <cell r="C102" t="str">
            <v>01.566.544.1-041.000</v>
          </cell>
          <cell r="D102" t="str">
            <v>DLDJS-041-</v>
          </cell>
        </row>
        <row r="103">
          <cell r="A103" t="str">
            <v>F-0010</v>
          </cell>
          <cell r="B103" t="str">
            <v>FILEMON INTI MACHINERY</v>
          </cell>
          <cell r="C103" t="str">
            <v>01.952.134.3-043.000</v>
          </cell>
          <cell r="D103" t="str">
            <v>EHBUC-043-</v>
          </cell>
        </row>
        <row r="104">
          <cell r="A104" t="str">
            <v>G-0007</v>
          </cell>
          <cell r="B104" t="str">
            <v>GARUDA INDONESIA</v>
          </cell>
          <cell r="C104" t="str">
            <v>01.001.634.3-051.000</v>
          </cell>
          <cell r="D104" t="str">
            <v/>
          </cell>
        </row>
        <row r="105">
          <cell r="A105" t="str">
            <v>G-0010</v>
          </cell>
          <cell r="B105" t="str">
            <v>GEMAR LAUT BIRU</v>
          </cell>
          <cell r="C105" t="str">
            <v>01.368.949.2-042.000</v>
          </cell>
          <cell r="D105" t="str">
            <v>CZXBX-042-</v>
          </cell>
        </row>
        <row r="106">
          <cell r="A106" t="str">
            <v>G-0013</v>
          </cell>
          <cell r="B106" t="str">
            <v>GERMANTARA TOOLINDO SISTEMA (GTS)</v>
          </cell>
          <cell r="C106" t="str">
            <v>1.397.159.3-043</v>
          </cell>
          <cell r="D106" t="str">
            <v>DBMUX-043-</v>
          </cell>
        </row>
        <row r="107">
          <cell r="A107" t="str">
            <v>G-0019</v>
          </cell>
          <cell r="B107" t="str">
            <v>GAJAH TUNGGAL PRAKARSA</v>
          </cell>
          <cell r="C107" t="str">
            <v>01.120.432.8-402.000</v>
          </cell>
          <cell r="D107" t="str">
            <v>CLTLO-402-</v>
          </cell>
        </row>
        <row r="108">
          <cell r="A108" t="str">
            <v>G-0020</v>
          </cell>
          <cell r="B108" t="str">
            <v>GEMA NUSANTARA PERKASA</v>
          </cell>
          <cell r="C108" t="str">
            <v>1.324.769.7-026</v>
          </cell>
          <cell r="D108" t="str">
            <v>CXJSR-026-</v>
          </cell>
        </row>
        <row r="109">
          <cell r="A109" t="str">
            <v>G-0021</v>
          </cell>
          <cell r="B109" t="str">
            <v>GML PERFORMANCE CONSULTING, PT.</v>
          </cell>
          <cell r="C109" t="str">
            <v>1.957.651.1-056</v>
          </cell>
          <cell r="D109" t="str">
            <v>EHJYH-056-</v>
          </cell>
        </row>
        <row r="110">
          <cell r="A110" t="str">
            <v>G-0022</v>
          </cell>
          <cell r="B110" t="str">
            <v>GRAHA KERINDO UTAMA</v>
          </cell>
          <cell r="C110" t="str">
            <v>01.385.526.7-413.001</v>
          </cell>
          <cell r="D110" t="str">
            <v>DAVPM-413-</v>
          </cell>
        </row>
        <row r="111">
          <cell r="A111" t="str">
            <v>G-0023</v>
          </cell>
          <cell r="B111" t="str">
            <v>GUNINDO TRIMUKTI, PT.</v>
          </cell>
          <cell r="C111" t="str">
            <v>01.341.701.9-043.000</v>
          </cell>
          <cell r="D111" t="str">
            <v>CYITX-043-</v>
          </cell>
        </row>
        <row r="112">
          <cell r="A112" t="str">
            <v>G-0024</v>
          </cell>
          <cell r="B112" t="str">
            <v>GUNUNG RAJA PAKSI, PT.</v>
          </cell>
          <cell r="C112" t="str">
            <v>01.509.224.0-413.000</v>
          </cell>
          <cell r="D112" t="str">
            <v>DHWPC-413-</v>
          </cell>
        </row>
        <row r="113">
          <cell r="A113" t="str">
            <v>G-0025</v>
          </cell>
          <cell r="B113" t="str">
            <v>GEMA HANDAYANI LINTAS GLOBAL</v>
          </cell>
          <cell r="C113" t="str">
            <v>01.840.949.0-042.000</v>
          </cell>
          <cell r="D113" t="str">
            <v>EATHT-042-</v>
          </cell>
        </row>
        <row r="114">
          <cell r="A114" t="str">
            <v>G-0026</v>
          </cell>
          <cell r="B114" t="str">
            <v>GEMANTING ADITYA ENGINEERING</v>
          </cell>
          <cell r="C114" t="str">
            <v>02.125.653.2-002.000</v>
          </cell>
          <cell r="D114" t="str">
            <v>EQYLX-002-</v>
          </cell>
        </row>
        <row r="115">
          <cell r="A115" t="str">
            <v>H-0001</v>
          </cell>
          <cell r="B115" t="str">
            <v>HANKEN INDONESIA</v>
          </cell>
          <cell r="C115" t="str">
            <v>01.070.990.5-413.001</v>
          </cell>
          <cell r="D115" t="str">
            <v>CIYHY-413-</v>
          </cell>
        </row>
        <row r="116">
          <cell r="A116" t="str">
            <v>H-0002</v>
          </cell>
          <cell r="B116" t="str">
            <v>HARRISMA AGUNG JAYA</v>
          </cell>
          <cell r="C116" t="str">
            <v>01.395.668.5-035.000</v>
          </cell>
          <cell r="D116" t="str">
            <v>DBKPO-035-</v>
          </cell>
        </row>
        <row r="117">
          <cell r="A117" t="str">
            <v>H-0003</v>
          </cell>
          <cell r="B117" t="str">
            <v>HITACHI CONSTRUCTION MACHINERY INDONESIA</v>
          </cell>
          <cell r="C117" t="str">
            <v>01.081.578.5.407.000</v>
          </cell>
          <cell r="D117" t="str">
            <v>CJNZE-407-</v>
          </cell>
        </row>
        <row r="118">
          <cell r="A118" t="str">
            <v>H-0006</v>
          </cell>
          <cell r="B118" t="str">
            <v>HEWLETT - PACKARD BERCA SERVISINDO</v>
          </cell>
          <cell r="C118" t="str">
            <v>1.070.857.6-056</v>
          </cell>
          <cell r="D118" t="str">
            <v>CITCV-056-</v>
          </cell>
        </row>
        <row r="119">
          <cell r="A119" t="str">
            <v>H-0007</v>
          </cell>
          <cell r="B119" t="str">
            <v>HAKAN NUSANTARA</v>
          </cell>
          <cell r="C119" t="str">
            <v>1.317.663.1-056</v>
          </cell>
          <cell r="D119" t="str">
            <v>CWZFJ-056-</v>
          </cell>
        </row>
        <row r="120">
          <cell r="A120" t="str">
            <v>H-0017</v>
          </cell>
          <cell r="B120" t="str">
            <v>HASIL INDOJAYA SERASI</v>
          </cell>
          <cell r="C120" t="str">
            <v>1.788.386.9-031</v>
          </cell>
          <cell r="D120" t="str">
            <v>DXTOC-031-</v>
          </cell>
        </row>
        <row r="121">
          <cell r="A121" t="str">
            <v>H-0019</v>
          </cell>
          <cell r="B121" t="str">
            <v>HYDRAULIC SYSTEM SERVISIKA</v>
          </cell>
          <cell r="C121" t="str">
            <v>01.920.301.7-002.001</v>
          </cell>
          <cell r="D121" t="str">
            <v>EFGRT-002-</v>
          </cell>
        </row>
        <row r="122">
          <cell r="A122" t="str">
            <v>H-0020</v>
          </cell>
          <cell r="B122" t="str">
            <v>HENTA JAYA MANDIRI</v>
          </cell>
          <cell r="C122" t="str">
            <v>01.737.248.3-035.000</v>
          </cell>
          <cell r="D122" t="str">
            <v>DUVXG-035-</v>
          </cell>
        </row>
        <row r="123">
          <cell r="A123" t="str">
            <v>H-0022</v>
          </cell>
          <cell r="B123" t="str">
            <v>HAMASA STEEL CENTRE, PT.</v>
          </cell>
          <cell r="C123" t="str">
            <v>01.557.205.0-026.000</v>
          </cell>
          <cell r="D123" t="str">
            <v>DKPON-026-</v>
          </cell>
        </row>
        <row r="124">
          <cell r="A124" t="str">
            <v>H-0023</v>
          </cell>
          <cell r="B124" t="str">
            <v>HARPINDO SUKSESTAMA.PT</v>
          </cell>
          <cell r="C124" t="str">
            <v>01.762.837.1.023.000</v>
          </cell>
          <cell r="D124" t="str">
            <v>DWHTL-023-</v>
          </cell>
        </row>
        <row r="125">
          <cell r="A125" t="str">
            <v>H-0024</v>
          </cell>
          <cell r="B125" t="str">
            <v>HIMALAYA EVEREST JAYA</v>
          </cell>
          <cell r="C125" t="str">
            <v>01.301.151.5-413.001</v>
          </cell>
          <cell r="D125" t="str">
            <v>CWAUH-413-</v>
          </cell>
        </row>
        <row r="126">
          <cell r="A126" t="str">
            <v>H-0025</v>
          </cell>
          <cell r="B126" t="str">
            <v>HALUAN UTAMA MAJU</v>
          </cell>
          <cell r="C126" t="str">
            <v>01.350.179.6-004.000</v>
          </cell>
          <cell r="D126" t="str">
            <v>CYVHZ-004-</v>
          </cell>
        </row>
        <row r="127">
          <cell r="A127" t="str">
            <v>H-0026</v>
          </cell>
          <cell r="B127" t="str">
            <v>HASINDO SUKSES</v>
          </cell>
          <cell r="C127" t="str">
            <v>02.188.092.7-031.000</v>
          </cell>
          <cell r="D127" t="str">
            <v>EUMVK-031-</v>
          </cell>
        </row>
        <row r="128">
          <cell r="A128" t="str">
            <v>H-0027</v>
          </cell>
          <cell r="B128" t="str">
            <v>HORITA INDONESIA</v>
          </cell>
          <cell r="C128" t="str">
            <v>02.181.839.8-006.000</v>
          </cell>
          <cell r="D128" t="str">
            <v>EUDOX-006-</v>
          </cell>
        </row>
        <row r="129">
          <cell r="A129" t="str">
            <v>I-0006</v>
          </cell>
          <cell r="B129" t="str">
            <v>BUT IWATANI ENGINEERING INT. CORP.</v>
          </cell>
          <cell r="C129" t="str">
            <v>01.757.967.3-053.000</v>
          </cell>
          <cell r="D129" t="str">
            <v>DWAOD-053-</v>
          </cell>
        </row>
        <row r="130">
          <cell r="A130" t="str">
            <v>I-0012</v>
          </cell>
          <cell r="B130" t="str">
            <v>DAMIANUS ALAM (IMPEX COMPONENTS IND.)</v>
          </cell>
          <cell r="C130" t="str">
            <v>6.631.270.3-035</v>
          </cell>
          <cell r="D130" t="str">
            <v>ONHOW-035-</v>
          </cell>
        </row>
        <row r="131">
          <cell r="A131" t="str">
            <v>I-0013</v>
          </cell>
          <cell r="B131" t="str">
            <v>INTERKIMIA MURNIJAYA</v>
          </cell>
          <cell r="C131" t="str">
            <v>01.325.636.7-407.000</v>
          </cell>
          <cell r="D131" t="str">
            <v>CXLAA-407-</v>
          </cell>
        </row>
        <row r="132">
          <cell r="A132" t="str">
            <v>I-0014</v>
          </cell>
          <cell r="B132" t="str">
            <v>IKIMURA INDO TOOLS CENTER</v>
          </cell>
          <cell r="C132" t="str">
            <v>1.569.999.4-026</v>
          </cell>
          <cell r="D132" t="str">
            <v>DLIMP-026-</v>
          </cell>
        </row>
        <row r="133">
          <cell r="A133" t="str">
            <v>I-0017</v>
          </cell>
          <cell r="B133" t="str">
            <v>INTAN MOTOR, CV</v>
          </cell>
          <cell r="C133" t="str">
            <v>01.370.201.4-041.000</v>
          </cell>
          <cell r="D133" t="str">
            <v>CZYYB-041-</v>
          </cell>
        </row>
        <row r="134">
          <cell r="A134" t="str">
            <v>I-0021</v>
          </cell>
          <cell r="B134" t="str">
            <v>IWATANI INDUSTRIAL GAS INDONESIA</v>
          </cell>
          <cell r="C134" t="str">
            <v>01.071.718.9-408.001</v>
          </cell>
          <cell r="D134" t="str">
            <v>CIZJY-408-</v>
          </cell>
        </row>
        <row r="135">
          <cell r="A135" t="str">
            <v>I-0024</v>
          </cell>
          <cell r="B135" t="str">
            <v>INDO DAYA ABADI SAKTI</v>
          </cell>
          <cell r="C135" t="str">
            <v>01.566.865.0-003.000</v>
          </cell>
          <cell r="D135" t="str">
            <v>DLDWB-003-</v>
          </cell>
        </row>
        <row r="136">
          <cell r="A136" t="str">
            <v>I-0025</v>
          </cell>
          <cell r="B136" t="str">
            <v>INTRADA SARANA SAMUDERA</v>
          </cell>
          <cell r="C136" t="str">
            <v>1.877.450.5-026</v>
          </cell>
          <cell r="D136" t="str">
            <v>ECVHQ-026-</v>
          </cell>
        </row>
        <row r="137">
          <cell r="A137" t="str">
            <v>I-0026</v>
          </cell>
          <cell r="B137" t="str">
            <v>INDOMAS EKAPUTRA</v>
          </cell>
          <cell r="C137" t="str">
            <v>01.721.369.5-032.000</v>
          </cell>
          <cell r="D137" t="str">
            <v>DTYKN-032-</v>
          </cell>
        </row>
        <row r="138">
          <cell r="A138" t="str">
            <v>I-0027</v>
          </cell>
          <cell r="B138" t="str">
            <v>INFOSWARA GEMA BHUWANA</v>
          </cell>
          <cell r="C138" t="str">
            <v>01.893.910.8-061.000</v>
          </cell>
          <cell r="D138" t="str">
            <v>EDTQS-061-</v>
          </cell>
        </row>
        <row r="139">
          <cell r="A139" t="str">
            <v>I-0028</v>
          </cell>
          <cell r="B139" t="str">
            <v>INDOMALCO INFO CENTER</v>
          </cell>
          <cell r="C139" t="str">
            <v>02.115.578.3-056.000</v>
          </cell>
          <cell r="D139" t="str">
            <v>EQJOK-056-</v>
          </cell>
        </row>
        <row r="140">
          <cell r="A140" t="str">
            <v>I-0029</v>
          </cell>
          <cell r="B140" t="str">
            <v>IMAGINE  GLOBAL NETWORK, PT.</v>
          </cell>
          <cell r="C140" t="str">
            <v>02.076.609.3-041.000</v>
          </cell>
          <cell r="D140" t="str">
            <v>EODXP-041-</v>
          </cell>
        </row>
        <row r="141">
          <cell r="A141" t="str">
            <v>I-0030</v>
          </cell>
          <cell r="B141" t="str">
            <v>ISKANDAYA BAJA PERKASA, PT.</v>
          </cell>
          <cell r="C141" t="str">
            <v>01.719.185.9-408.000</v>
          </cell>
          <cell r="D141" t="str">
            <v>DTPEN-408-</v>
          </cell>
        </row>
        <row r="142">
          <cell r="A142" t="str">
            <v>I-0032</v>
          </cell>
          <cell r="B142" t="str">
            <v>INTANCO PRECISION TOOLS</v>
          </cell>
          <cell r="C142" t="str">
            <v>01.081.614.8-413.000</v>
          </cell>
          <cell r="D142" t="str">
            <v>CJOAO-413-</v>
          </cell>
        </row>
        <row r="143">
          <cell r="A143" t="str">
            <v>I-0031</v>
          </cell>
          <cell r="B143" t="str">
            <v>INDRAGRAHA NUSAPLASINDO</v>
          </cell>
          <cell r="C143" t="str">
            <v>01.718.193.4-029.000</v>
          </cell>
          <cell r="D143" t="str">
            <v>DTTSJ-029-</v>
          </cell>
        </row>
        <row r="144">
          <cell r="A144" t="str">
            <v>I-0007</v>
          </cell>
          <cell r="B144" t="str">
            <v>INDOSAT MEGA MEDIA</v>
          </cell>
          <cell r="C144" t="str">
            <v>01.061.147.3-051.000</v>
          </cell>
          <cell r="D144" t="str">
            <v/>
          </cell>
        </row>
        <row r="145">
          <cell r="A145" t="str">
            <v>I-0033</v>
          </cell>
          <cell r="B145" t="str">
            <v>INDO PRATAMA SEJAHTERA</v>
          </cell>
          <cell r="C145" t="str">
            <v>02.296.522.2-041.000</v>
          </cell>
          <cell r="D145" t="str">
            <v>FARFU-041-</v>
          </cell>
        </row>
        <row r="146">
          <cell r="A146" t="str">
            <v>I-0034</v>
          </cell>
          <cell r="B146" t="str">
            <v>INDOBEARING PERKASA</v>
          </cell>
          <cell r="C146" t="str">
            <v>01.970.040.0-026.000</v>
          </cell>
          <cell r="D146" t="str">
            <v>EICGU-026-</v>
          </cell>
        </row>
        <row r="147">
          <cell r="A147" t="str">
            <v>I-0035</v>
          </cell>
          <cell r="B147" t="str">
            <v>INDOMARINE LTD.</v>
          </cell>
          <cell r="C147" t="str">
            <v>01.302.390.8.017.000</v>
          </cell>
          <cell r="D147" t="str">
            <v>CWCPY-017-</v>
          </cell>
        </row>
        <row r="148">
          <cell r="A148" t="str">
            <v>J-0002</v>
          </cell>
          <cell r="B148" t="str">
            <v>JASPRIM DINAMIKA GLOBAL</v>
          </cell>
          <cell r="C148" t="str">
            <v>01.877.055.2-026.000</v>
          </cell>
          <cell r="D148" t="str">
            <v>ECUSL-026-</v>
          </cell>
        </row>
        <row r="149">
          <cell r="A149" t="str">
            <v>J-0005</v>
          </cell>
          <cell r="B149" t="str">
            <v>JABABEKA INFRASTRUKTUR</v>
          </cell>
          <cell r="C149" t="str">
            <v>01.786.336.6-413.000</v>
          </cell>
          <cell r="D149" t="str">
            <v>DXQNG-413-</v>
          </cell>
        </row>
        <row r="150">
          <cell r="A150" t="str">
            <v>J-0009</v>
          </cell>
          <cell r="B150" t="str">
            <v>JAKARTA INTERNATIONAL CONTAINER TERMINAL</v>
          </cell>
          <cell r="C150" t="str">
            <v>01.886.839.8-091.000</v>
          </cell>
          <cell r="D150" t="str">
            <v>EDJET-091-</v>
          </cell>
        </row>
        <row r="151">
          <cell r="A151" t="str">
            <v>J-0010</v>
          </cell>
          <cell r="B151" t="str">
            <v>JASA ANGKASA SEMESTA</v>
          </cell>
          <cell r="C151" t="str">
            <v>01.065.322.8-402.001</v>
          </cell>
          <cell r="D151" t="str">
            <v>CIPXY-402-</v>
          </cell>
        </row>
        <row r="152">
          <cell r="A152" t="str">
            <v>J-0011</v>
          </cell>
          <cell r="B152" t="str">
            <v>JAKASIS TEKNOLOGI</v>
          </cell>
          <cell r="C152" t="str">
            <v>01.777.660.0-032.000</v>
          </cell>
          <cell r="D152" t="str">
            <v>DXDRO-032-</v>
          </cell>
        </row>
        <row r="153">
          <cell r="A153" t="str">
            <v>J-0012</v>
          </cell>
          <cell r="B153" t="str">
            <v>JAYA READYMIX</v>
          </cell>
          <cell r="C153" t="str">
            <v>01.000.193.1.052.000</v>
          </cell>
          <cell r="D153" t="str">
            <v>CEXOZ-052-</v>
          </cell>
        </row>
        <row r="154">
          <cell r="A154" t="str">
            <v>J-0013</v>
          </cell>
          <cell r="B154" t="str">
            <v>JAYA METAL TEKNIKA</v>
          </cell>
          <cell r="C154" t="str">
            <v>02.063.182.6-041.000</v>
          </cell>
          <cell r="D154" t="str">
            <v>ENKBE-041-</v>
          </cell>
        </row>
        <row r="155">
          <cell r="A155" t="str">
            <v>J-0014</v>
          </cell>
          <cell r="B155" t="str">
            <v>JALY INDONESIA UTAMA</v>
          </cell>
          <cell r="C155" t="str">
            <v>01.495.154.5-403.000</v>
          </cell>
          <cell r="D155" t="str">
            <v>DHBTY-403-</v>
          </cell>
        </row>
        <row r="156">
          <cell r="A156" t="str">
            <v>K-0004</v>
          </cell>
          <cell r="B156" t="str">
            <v>KATSUSHIRO MATEX CO., LTD.</v>
          </cell>
          <cell r="C156" t="str">
            <v/>
          </cell>
          <cell r="D156" t="str">
            <v>SSP.</v>
          </cell>
        </row>
        <row r="157">
          <cell r="A157" t="str">
            <v>K-0005</v>
          </cell>
          <cell r="B157" t="str">
            <v>KAWAMURA INDAH</v>
          </cell>
          <cell r="C157" t="str">
            <v>01.071.212.3.408.001</v>
          </cell>
          <cell r="D157" t="str">
            <v>CIYQM-408-</v>
          </cell>
        </row>
        <row r="158">
          <cell r="A158" t="str">
            <v>K-0008</v>
          </cell>
          <cell r="B158" t="str">
            <v>KOIKE SANSO KOGYO CO., LTD.</v>
          </cell>
          <cell r="C158" t="str">
            <v/>
          </cell>
          <cell r="D158" t="str">
            <v>SSP.</v>
          </cell>
        </row>
        <row r="159">
          <cell r="A159" t="str">
            <v>K-0009</v>
          </cell>
          <cell r="B159" t="str">
            <v>KOMATSU INDONESIA Tbk</v>
          </cell>
          <cell r="C159" t="str">
            <v>01.060.100.3-092.000</v>
          </cell>
          <cell r="D159" t="str">
            <v>CIIFC-092-</v>
          </cell>
        </row>
        <row r="160">
          <cell r="A160" t="str">
            <v>K-0010</v>
          </cell>
          <cell r="B160" t="str">
            <v>KOMATSU LOGISTICS CORPORATION</v>
          </cell>
          <cell r="C160" t="str">
            <v/>
          </cell>
          <cell r="D160" t="str">
            <v>SSP.</v>
          </cell>
        </row>
        <row r="161">
          <cell r="A161" t="str">
            <v>#K-0015</v>
          </cell>
          <cell r="B161" t="str">
            <v>KARYA ABDI LUHUR</v>
          </cell>
          <cell r="C161" t="str">
            <v>01.369.026.8-042.000</v>
          </cell>
          <cell r="D161" t="str">
            <v>CZXEW-042-</v>
          </cell>
        </row>
        <row r="162">
          <cell r="A162" t="str">
            <v>K-0015</v>
          </cell>
          <cell r="B162" t="str">
            <v>KARYA ABDI LUHUR</v>
          </cell>
          <cell r="C162" t="str">
            <v>01.369.026.8-045.000</v>
          </cell>
          <cell r="D162" t="str">
            <v>CZXEW-045-</v>
          </cell>
        </row>
        <row r="163">
          <cell r="A163" t="str">
            <v>K-0018</v>
          </cell>
          <cell r="B163" t="str">
            <v>KAWAN LAMA SEJAHTERA</v>
          </cell>
          <cell r="C163" t="str">
            <v>01.363.367.2-035.000</v>
          </cell>
          <cell r="D163" t="str">
            <v>CZOVF-035-</v>
          </cell>
        </row>
        <row r="164">
          <cell r="A164" t="str">
            <v>K-0024</v>
          </cell>
          <cell r="B164" t="str">
            <v>KRAKATAU STEEL</v>
          </cell>
          <cell r="C164" t="str">
            <v>01.000.054.5-401.001</v>
          </cell>
          <cell r="D164" t="str">
            <v>CEXJQ-401-</v>
          </cell>
        </row>
        <row r="165">
          <cell r="A165" t="str">
            <v>K-0036</v>
          </cell>
          <cell r="B165" t="str">
            <v>KOMATSU ENGINEERING LTD.</v>
          </cell>
          <cell r="C165" t="str">
            <v/>
          </cell>
          <cell r="D165" t="str">
            <v>SSP.</v>
          </cell>
        </row>
        <row r="166">
          <cell r="A166" t="str">
            <v>K-0037</v>
          </cell>
          <cell r="B166" t="str">
            <v>KALDEN MULTI REKATAMA</v>
          </cell>
          <cell r="C166" t="str">
            <v>1.364.693.0-407</v>
          </cell>
          <cell r="D166" t="str">
            <v>CZQUF-407-</v>
          </cell>
        </row>
        <row r="167">
          <cell r="A167" t="str">
            <v>K-0038</v>
          </cell>
          <cell r="B167" t="str">
            <v>KESKA LESTARI</v>
          </cell>
          <cell r="C167" t="str">
            <v>1.746.425.6-028</v>
          </cell>
          <cell r="D167" t="str">
            <v>DVJMF-028-</v>
          </cell>
        </row>
        <row r="168">
          <cell r="A168" t="str">
            <v>K-0039</v>
          </cell>
          <cell r="B168" t="str">
            <v>KENCANA SEJAHTERA MULIA</v>
          </cell>
          <cell r="C168" t="str">
            <v>01.813.828.9-043.000</v>
          </cell>
          <cell r="D168" t="str">
            <v>DZFEQ-043-</v>
          </cell>
        </row>
        <row r="169">
          <cell r="A169" t="str">
            <v>K-0046</v>
          </cell>
          <cell r="B169" t="str">
            <v>KALASINDO PRIMAKARSA, PT.</v>
          </cell>
          <cell r="C169" t="str">
            <v>01.635.491.2-028.000</v>
          </cell>
          <cell r="D169" t="str">
            <v>DPBJN-028-</v>
          </cell>
        </row>
        <row r="170">
          <cell r="A170" t="str">
            <v>*K-0048</v>
          </cell>
          <cell r="B170" t="str">
            <v>KENNAMETAL HERTEL INDONESIA (KENNATELINDO)</v>
          </cell>
          <cell r="C170" t="str">
            <v>02.101.143.2-024.000</v>
          </cell>
          <cell r="D170" t="str">
            <v>EPOFF-024-</v>
          </cell>
        </row>
        <row r="171">
          <cell r="A171" t="str">
            <v>K-0048</v>
          </cell>
          <cell r="B171" t="str">
            <v>KENNAMETAL HERTEL INDONESIA (KENNATELINDO)</v>
          </cell>
          <cell r="C171" t="str">
            <v>02.101.143.2.-004.000</v>
          </cell>
          <cell r="D171" t="str">
            <v>EPOFF-004-</v>
          </cell>
        </row>
        <row r="172">
          <cell r="A172" t="str">
            <v>K-0049</v>
          </cell>
          <cell r="B172" t="str">
            <v>KANTOR POS DAN GIRO</v>
          </cell>
          <cell r="C172" t="str">
            <v/>
          </cell>
          <cell r="D172" t="str">
            <v>SSPCP-</v>
          </cell>
        </row>
        <row r="173">
          <cell r="A173" t="str">
            <v>*K-0052_</v>
          </cell>
          <cell r="B173" t="str">
            <v>KURNIA MUSTIKA INDAH LESTARI</v>
          </cell>
          <cell r="C173" t="str">
            <v>02.004.454.1-036.000</v>
          </cell>
          <cell r="D173" t="str">
            <v>EKBEK-036-</v>
          </cell>
        </row>
        <row r="174">
          <cell r="A174" t="str">
            <v>K-0052</v>
          </cell>
          <cell r="B174" t="str">
            <v>KURNIA MUSTIKA INDAH LESTARI</v>
          </cell>
          <cell r="C174" t="str">
            <v>02.004.454.1-034.000</v>
          </cell>
          <cell r="D174" t="str">
            <v>EKBEK-034-</v>
          </cell>
        </row>
        <row r="175">
          <cell r="A175" t="str">
            <v>K-0053</v>
          </cell>
          <cell r="B175" t="str">
            <v>PERS. KSO. SUCOFINDO - SURVEYOR INDONESIA</v>
          </cell>
          <cell r="C175" t="str">
            <v>01.061.222.4-051.000</v>
          </cell>
          <cell r="D175" t="str">
            <v>CIJWG-051-</v>
          </cell>
        </row>
        <row r="176">
          <cell r="A176" t="str">
            <v>K-0054</v>
          </cell>
          <cell r="B176" t="str">
            <v>KARYA ADHITAMA TECHINDO</v>
          </cell>
          <cell r="C176" t="str">
            <v>01.624.784.3.005.000</v>
          </cell>
          <cell r="D176" t="str">
            <v>DOLNS-005-</v>
          </cell>
        </row>
        <row r="177">
          <cell r="A177" t="str">
            <v>K-0055</v>
          </cell>
          <cell r="B177" t="str">
            <v>KIARA COM SERVISINDO</v>
          </cell>
          <cell r="C177" t="str">
            <v>02.271.023.0-407.000</v>
          </cell>
          <cell r="D177" t="str">
            <v>EZFNB-407-</v>
          </cell>
        </row>
        <row r="178">
          <cell r="A178" t="str">
            <v>K-0056</v>
          </cell>
          <cell r="B178" t="str">
            <v>KARYASLI MANDIRI PUTRA</v>
          </cell>
          <cell r="C178" t="str">
            <v>01.665.855.1-422.000</v>
          </cell>
          <cell r="D178" t="str">
            <v>DQUHJ-422-</v>
          </cell>
        </row>
        <row r="179">
          <cell r="A179" t="str">
            <v>K-0057</v>
          </cell>
          <cell r="B179" t="str">
            <v>KOBELINDO COMPRESSORS</v>
          </cell>
          <cell r="C179" t="str">
            <v>02.005.575.2-056.000</v>
          </cell>
          <cell r="D179" t="str">
            <v>EKCVN-056-</v>
          </cell>
        </row>
        <row r="180">
          <cell r="A180" t="str">
            <v>K-0058</v>
          </cell>
          <cell r="B180" t="str">
            <v>KREAKU FORMULA KEMIKA</v>
          </cell>
          <cell r="C180" t="str">
            <v>02.249.0015.035.000</v>
          </cell>
          <cell r="D180" t="str">
            <v>EXYYB-035-</v>
          </cell>
        </row>
        <row r="181">
          <cell r="A181" t="str">
            <v>K-0059</v>
          </cell>
          <cell r="B181" t="str">
            <v>KAMAJAYA TRI LAKSANA</v>
          </cell>
          <cell r="C181" t="str">
            <v>01.849.636.4-029.000</v>
          </cell>
          <cell r="D181" t="str">
            <v>EBGDW-029-</v>
          </cell>
        </row>
        <row r="182">
          <cell r="A182" t="str">
            <v>K-0060</v>
          </cell>
          <cell r="B182" t="str">
            <v>KANS UTAMA INDONESIA</v>
          </cell>
          <cell r="C182" t="str">
            <v>02.095.622.3-402.000</v>
          </cell>
          <cell r="D182" t="str">
            <v>EPGAW-402-</v>
          </cell>
        </row>
        <row r="183">
          <cell r="A183" t="str">
            <v>K-0061</v>
          </cell>
          <cell r="B183" t="str">
            <v>KAIZENINDO</v>
          </cell>
          <cell r="C183" t="str">
            <v>02.198.873.8.413.000</v>
          </cell>
          <cell r="D183" t="str">
            <v>EVCUB-413-</v>
          </cell>
        </row>
        <row r="184">
          <cell r="A184" t="str">
            <v>L-0008</v>
          </cell>
          <cell r="B184" t="str">
            <v>LOSUNGTA UNGGUL TEKNINDOTAMA</v>
          </cell>
          <cell r="C184" t="str">
            <v>01.877.222.8-026.000</v>
          </cell>
          <cell r="D184" t="str">
            <v>ECUYW-026-</v>
          </cell>
        </row>
        <row r="185">
          <cell r="A185" t="str">
            <v>L-0009</v>
          </cell>
          <cell r="B185" t="str">
            <v>LENTERA ANUGERAH TAMA</v>
          </cell>
          <cell r="C185" t="str">
            <v>02.021.363.3-045.000</v>
          </cell>
          <cell r="D185" t="str">
            <v>ELAET-045-</v>
          </cell>
        </row>
        <row r="186">
          <cell r="A186" t="str">
            <v>L-0010</v>
          </cell>
          <cell r="B186" t="str">
            <v>LESTARIVARIA DINAMIKACENTER</v>
          </cell>
          <cell r="C186" t="str">
            <v>01.622.693.8-026.000</v>
          </cell>
          <cell r="D186" t="str">
            <v>DOILH-026-</v>
          </cell>
        </row>
        <row r="187">
          <cell r="A187" t="str">
            <v>L-0011</v>
          </cell>
          <cell r="B187" t="str">
            <v>LASINDO JAYABERSAMA</v>
          </cell>
          <cell r="C187" t="str">
            <v>01.738.633.5-026-000</v>
          </cell>
          <cell r="D187" t="str">
            <v>DUXYN-026-</v>
          </cell>
        </row>
        <row r="188">
          <cell r="A188" t="str">
            <v>L-0012</v>
          </cell>
          <cell r="B188" t="str">
            <v>LIEN CHIEH HUDRAULIC INDUSTRIAL CO. LTD.</v>
          </cell>
          <cell r="C188" t="str">
            <v/>
          </cell>
          <cell r="D188" t="str">
            <v>SSP.</v>
          </cell>
        </row>
        <row r="189">
          <cell r="A189" t="str">
            <v>L-0013</v>
          </cell>
          <cell r="B189" t="str">
            <v>LANGGENG KARYA UTAMA</v>
          </cell>
          <cell r="C189" t="str">
            <v>02.016.547.8-407.000</v>
          </cell>
          <cell r="D189" t="str">
            <v>EKTBN-407-</v>
          </cell>
        </row>
        <row r="190">
          <cell r="A190" t="str">
            <v>L-0015</v>
          </cell>
          <cell r="B190" t="str">
            <v>LANGGENG KARYA SUKSESTAMA</v>
          </cell>
          <cell r="C190" t="str">
            <v>02.199.012.2-413.000</v>
          </cell>
          <cell r="D190" t="str">
            <v>EVCZK-413-</v>
          </cell>
        </row>
        <row r="191">
          <cell r="A191" t="str">
            <v>L-0016</v>
          </cell>
          <cell r="B191" t="str">
            <v>LAPANTIGA LINTAS BUANA</v>
          </cell>
          <cell r="C191" t="str">
            <v>02.238.581.9-042.000</v>
          </cell>
          <cell r="D191" t="str">
            <v>EXJNH-042-</v>
          </cell>
        </row>
        <row r="192">
          <cell r="A192" t="str">
            <v>M-0005</v>
          </cell>
          <cell r="B192" t="str">
            <v>MITRA ASINDO UTAMA</v>
          </cell>
          <cell r="C192" t="str">
            <v>01.702.712.9.002.000</v>
          </cell>
          <cell r="D192" t="str">
            <v>DSWUY-002-</v>
          </cell>
        </row>
        <row r="193">
          <cell r="A193" t="str">
            <v>M-0006</v>
          </cell>
          <cell r="B193" t="str">
            <v>MITSUBISHI CORPORATION</v>
          </cell>
          <cell r="C193" t="str">
            <v/>
          </cell>
          <cell r="D193" t="str">
            <v>SSP.</v>
          </cell>
        </row>
        <row r="194">
          <cell r="A194" t="str">
            <v>M-0007</v>
          </cell>
          <cell r="B194" t="str">
            <v>MITSUI INDONESIA</v>
          </cell>
          <cell r="C194" t="str">
            <v>01.069.119.4-056.000</v>
          </cell>
          <cell r="D194" t="str">
            <v>CIVNZ-056-</v>
          </cell>
        </row>
        <row r="195">
          <cell r="A195" t="str">
            <v>M-0008</v>
          </cell>
          <cell r="B195" t="str">
            <v>MOMENTUM RAYA</v>
          </cell>
          <cell r="C195" t="str">
            <v>01.313.381.4-036.000</v>
          </cell>
          <cell r="D195" t="str">
            <v>CWSWR-036-</v>
          </cell>
        </row>
        <row r="196">
          <cell r="A196" t="str">
            <v>M-0012</v>
          </cell>
          <cell r="B196" t="str">
            <v>MULTI TEKNIK</v>
          </cell>
          <cell r="C196" t="str">
            <v>01.547.733.4-025.000</v>
          </cell>
          <cell r="D196" t="str">
            <v>DKBOF-025-</v>
          </cell>
        </row>
        <row r="197">
          <cell r="A197" t="str">
            <v>M-0017</v>
          </cell>
          <cell r="B197" t="str">
            <v>MUTIARA AGUNG PERMAI</v>
          </cell>
          <cell r="C197" t="str">
            <v>1.395.384.9-002</v>
          </cell>
          <cell r="D197" t="str">
            <v>DBKEQ-002-</v>
          </cell>
        </row>
        <row r="198">
          <cell r="A198" t="str">
            <v>#M-0021</v>
          </cell>
          <cell r="B198" t="str">
            <v>#MULTICORD ELECTRONIC</v>
          </cell>
          <cell r="C198" t="str">
            <v>01.327.726.4-031.000</v>
          </cell>
          <cell r="D198" t="str">
            <v>CXOCK-031-</v>
          </cell>
        </row>
        <row r="199">
          <cell r="A199" t="str">
            <v>M-0021</v>
          </cell>
          <cell r="B199" t="str">
            <v>MULTICORD KARYASAKTI</v>
          </cell>
          <cell r="C199" t="str">
            <v>01.680.110.2.036.000</v>
          </cell>
          <cell r="D199" t="str">
            <v>DRPJQ-036-</v>
          </cell>
        </row>
        <row r="200">
          <cell r="A200" t="str">
            <v>M-0023</v>
          </cell>
          <cell r="B200" t="str">
            <v>MILLER WELDINDO</v>
          </cell>
          <cell r="C200" t="str">
            <v>01.560.569.4-035.000</v>
          </cell>
          <cell r="D200" t="str">
            <v>DKUNX-035-</v>
          </cell>
        </row>
        <row r="201">
          <cell r="A201" t="str">
            <v>M-0027</v>
          </cell>
          <cell r="B201" t="str">
            <v>MIZZA SITISENTOSA</v>
          </cell>
          <cell r="C201" t="str">
            <v>1.686.412.6-033</v>
          </cell>
          <cell r="D201" t="str">
            <v>DRYSA-033-</v>
          </cell>
        </row>
        <row r="202">
          <cell r="A202" t="str">
            <v>M-0028</v>
          </cell>
          <cell r="B202" t="str">
            <v>MESINDO PRIMADUTA TEKNIK</v>
          </cell>
          <cell r="C202" t="str">
            <v>1.786.402.6-407</v>
          </cell>
          <cell r="D202" t="str">
            <v>DXQPU-407-</v>
          </cell>
        </row>
        <row r="203">
          <cell r="A203" t="str">
            <v>M-0030</v>
          </cell>
          <cell r="B203" t="str">
            <v>META PRESINDO UTAMA</v>
          </cell>
          <cell r="C203" t="str">
            <v>01.333.741.5-004.000</v>
          </cell>
          <cell r="D203" t="str">
            <v>CXWZT-004-</v>
          </cell>
        </row>
        <row r="204">
          <cell r="A204" t="str">
            <v>M-0038</v>
          </cell>
          <cell r="B204" t="str">
            <v>MITRA DAYACIPTA METALIDO</v>
          </cell>
          <cell r="C204" t="str">
            <v>01.071.407.9-407.001</v>
          </cell>
          <cell r="D204" t="str">
            <v>CIYXZ-407-</v>
          </cell>
        </row>
        <row r="205">
          <cell r="A205" t="str">
            <v>M-0041</v>
          </cell>
          <cell r="B205" t="str">
            <v>MITRABUSANA APPARELINDO</v>
          </cell>
          <cell r="C205" t="str">
            <v>1.346.185.0-043</v>
          </cell>
          <cell r="D205" t="str">
            <v>CYPKJ-043-</v>
          </cell>
        </row>
        <row r="206">
          <cell r="A206" t="str">
            <v>M-0042</v>
          </cell>
          <cell r="B206" t="str">
            <v>MITRAJASA KARYA PRATAMA</v>
          </cell>
          <cell r="C206" t="str">
            <v>1.847.229.0-022</v>
          </cell>
          <cell r="D206" t="str">
            <v>CYPKJ-043-</v>
          </cell>
        </row>
        <row r="207">
          <cell r="A207" t="str">
            <v>M-0043</v>
          </cell>
          <cell r="B207" t="str">
            <v>MULTI KHARISMA PERKASA</v>
          </cell>
          <cell r="C207" t="str">
            <v>01.682.755.2-005.000</v>
          </cell>
          <cell r="D207" t="str">
            <v>DRTHJ-005-</v>
          </cell>
        </row>
        <row r="208">
          <cell r="A208" t="str">
            <v>M-0044</v>
          </cell>
          <cell r="B208" t="str">
            <v>MELINDO DIPTA</v>
          </cell>
          <cell r="C208" t="str">
            <v>1.313.390.5-035</v>
          </cell>
          <cell r="D208" t="str">
            <v>CWSXA-035-</v>
          </cell>
        </row>
        <row r="209">
          <cell r="A209" t="str">
            <v>#M-0045-</v>
          </cell>
          <cell r="B209" t="str">
            <v>MHE-DEMATIC INDONESIA</v>
          </cell>
          <cell r="C209" t="str">
            <v>01.000.589.0-055.000</v>
          </cell>
          <cell r="D209" t="str">
            <v>CEYEF-055-</v>
          </cell>
        </row>
        <row r="210">
          <cell r="A210" t="str">
            <v>M-0045</v>
          </cell>
          <cell r="B210" t="str">
            <v>MHE-DEMAG INDONESIA</v>
          </cell>
          <cell r="C210" t="str">
            <v>01.000.589.0-055.000</v>
          </cell>
          <cell r="D210" t="str">
            <v>CEYEF-055-</v>
          </cell>
        </row>
        <row r="211">
          <cell r="A211" t="str">
            <v>M-0046</v>
          </cell>
          <cell r="B211" t="str">
            <v>MARIBAYA FAJAR NUSANTARA</v>
          </cell>
          <cell r="C211" t="str">
            <v>1.689.387.7-002</v>
          </cell>
          <cell r="D211" t="str">
            <v>DSDCL-002-</v>
          </cell>
        </row>
        <row r="212">
          <cell r="A212" t="str">
            <v>M-0047</v>
          </cell>
          <cell r="B212" t="str">
            <v>MAHARDI SARANATAMA</v>
          </cell>
          <cell r="C212" t="str">
            <v>01.346.053.0-042.000</v>
          </cell>
          <cell r="D212" t="str">
            <v>CYFH-042-</v>
          </cell>
        </row>
        <row r="213">
          <cell r="A213" t="str">
            <v>M-0048</v>
          </cell>
          <cell r="B213" t="str">
            <v>METRODATA SENTRA LAYAN</v>
          </cell>
          <cell r="C213" t="str">
            <v>01.963.565.5-026.000</v>
          </cell>
          <cell r="D213" t="str">
            <v>EHSRT-026-</v>
          </cell>
        </row>
        <row r="214">
          <cell r="A214" t="str">
            <v>M-0049</v>
          </cell>
          <cell r="B214" t="str">
            <v>MULTI SARANA SERVITIANUSA</v>
          </cell>
          <cell r="C214" t="str">
            <v>01.823.329.6-004.000</v>
          </cell>
          <cell r="D214" t="str">
            <v>DZTGB-004-</v>
          </cell>
        </row>
        <row r="215">
          <cell r="A215" t="str">
            <v>M-0050</v>
          </cell>
          <cell r="B215" t="str">
            <v>MURINDA METAL WORKS</v>
          </cell>
          <cell r="C215" t="str">
            <v>01.509.317.2-407.000</v>
          </cell>
          <cell r="D215" t="str">
            <v>DHWSR-407-</v>
          </cell>
        </row>
        <row r="216">
          <cell r="A216" t="str">
            <v>M-0051</v>
          </cell>
          <cell r="B216" t="str">
            <v>MAKMUR</v>
          </cell>
          <cell r="C216" t="str">
            <v>01.304.508.3-041.000</v>
          </cell>
          <cell r="D216" t="str">
            <v>CWFTK-041-</v>
          </cell>
        </row>
        <row r="217">
          <cell r="A217" t="str">
            <v>M-0052</v>
          </cell>
          <cell r="B217" t="str">
            <v>MEGA SUPLINDO JAYA</v>
          </cell>
          <cell r="C217" t="str">
            <v>01.820.460.2-026.000</v>
          </cell>
          <cell r="D217" t="str">
            <v>DZOZS-026-</v>
          </cell>
        </row>
        <row r="218">
          <cell r="A218" t="str">
            <v>M-0054</v>
          </cell>
          <cell r="B218" t="str">
            <v>MITSUBISHI CORPORATION TECHNOS</v>
          </cell>
          <cell r="C218" t="str">
            <v/>
          </cell>
          <cell r="D218" t="str">
            <v>SSP.</v>
          </cell>
        </row>
        <row r="219">
          <cell r="A219" t="str">
            <v>M-0056</v>
          </cell>
          <cell r="B219" t="str">
            <v>METRODATA DISTRIBUSI</v>
          </cell>
          <cell r="C219" t="str">
            <v>01.710.872.1-011.000</v>
          </cell>
          <cell r="D219" t="str">
            <v>DTIWU-011-</v>
          </cell>
        </row>
        <row r="220">
          <cell r="A220" t="str">
            <v>M-0057</v>
          </cell>
          <cell r="B220" t="str">
            <v>MARUKA INDONESIA</v>
          </cell>
          <cell r="C220" t="str">
            <v>01.786.402.6-407.000</v>
          </cell>
          <cell r="D220" t="str">
            <v>DXQPU-407-</v>
          </cell>
        </row>
        <row r="221">
          <cell r="A221" t="str">
            <v>M-0058</v>
          </cell>
          <cell r="B221" t="str">
            <v>METRODATA E-KONSUMER</v>
          </cell>
          <cell r="C221" t="str">
            <v>01.963.562.2-011.000</v>
          </cell>
          <cell r="D221" t="str">
            <v>EHSRQ-011-</v>
          </cell>
        </row>
        <row r="222">
          <cell r="A222" t="str">
            <v>M-0059</v>
          </cell>
          <cell r="B222" t="str">
            <v>MEGAH UTAMA TEKNIK</v>
          </cell>
          <cell r="C222" t="str">
            <v>02.094.957.4-026.000</v>
          </cell>
          <cell r="D222" t="str">
            <v>EPFBH-026-</v>
          </cell>
        </row>
        <row r="223">
          <cell r="A223" t="str">
            <v>M-0060</v>
          </cell>
          <cell r="B223" t="str">
            <v>MITRA SASANA KRIDA</v>
          </cell>
          <cell r="C223" t="str">
            <v>01.851.577.5-407.000</v>
          </cell>
          <cell r="D223" t="str">
            <v>EBJAN-407-</v>
          </cell>
        </row>
        <row r="224">
          <cell r="A224" t="str">
            <v>M-0064</v>
          </cell>
          <cell r="B224" t="str">
            <v>MASTER CENTRANUSA CEMERLANG</v>
          </cell>
          <cell r="C224" t="str">
            <v>01.883.444.0-411.000</v>
          </cell>
          <cell r="D224" t="str">
            <v>EDEEE-411-</v>
          </cell>
        </row>
        <row r="225">
          <cell r="A225" t="str">
            <v>M-0061</v>
          </cell>
          <cell r="B225" t="str">
            <v>MORITA TJOKRO GEARINDO</v>
          </cell>
          <cell r="C225" t="str">
            <v>01.321.372.3.004.000</v>
          </cell>
          <cell r="D225" t="str">
            <v>CXESA-004-</v>
          </cell>
        </row>
        <row r="226">
          <cell r="A226" t="str">
            <v>M-0062</v>
          </cell>
          <cell r="B226" t="str">
            <v>MUTIARA TEKNIK</v>
          </cell>
          <cell r="C226" t="str">
            <v>02.198.418.2.413.000</v>
          </cell>
          <cell r="D226" t="str">
            <v>EVCCO-413-</v>
          </cell>
        </row>
        <row r="227">
          <cell r="A227" t="str">
            <v>M-0063</v>
          </cell>
          <cell r="B227" t="str">
            <v>MULIA TEKNIK TOOLSINDO</v>
          </cell>
          <cell r="C227" t="str">
            <v>02.321.744.1-413.000</v>
          </cell>
          <cell r="D227" t="str">
            <v>FCCNW-413-</v>
          </cell>
        </row>
        <row r="228">
          <cell r="A228" t="str">
            <v>M-0065</v>
          </cell>
          <cell r="B228" t="str">
            <v xml:space="preserve">METRO PRECISION </v>
          </cell>
          <cell r="C228" t="str">
            <v>02.199.026.2-413.000</v>
          </cell>
          <cell r="D228" t="str">
            <v>EVCZY-413-</v>
          </cell>
        </row>
        <row r="229">
          <cell r="A229" t="str">
            <v>N-0002</v>
          </cell>
          <cell r="B229" t="str">
            <v>NAGA MASELTRADITAMA</v>
          </cell>
          <cell r="C229" t="str">
            <v>01.330.595.8-004.000</v>
          </cell>
          <cell r="D229" t="str">
            <v>CXSIT-004-</v>
          </cell>
        </row>
        <row r="230">
          <cell r="A230" t="str">
            <v>N-0003</v>
          </cell>
          <cell r="B230" t="str">
            <v>NGAWANGGA</v>
          </cell>
          <cell r="C230" t="str">
            <v>01.202.407.1-525.000</v>
          </cell>
          <cell r="D230" t="str">
            <v>CQKSL-525-</v>
          </cell>
        </row>
        <row r="231">
          <cell r="A231" t="str">
            <v>N-0004</v>
          </cell>
          <cell r="B231" t="str">
            <v>NIPPON EXPRESS INDONESIA</v>
          </cell>
          <cell r="C231" t="str">
            <v>02.058.807.5-058.000</v>
          </cell>
          <cell r="D231" t="str">
            <v>ENDOX-058-</v>
          </cell>
        </row>
        <row r="232">
          <cell r="A232" t="str">
            <v>N-0009</v>
          </cell>
          <cell r="B232" t="str">
            <v>NATRA RAYA</v>
          </cell>
          <cell r="C232" t="str">
            <v>01.060.105.2-403.001</v>
          </cell>
          <cell r="D232" t="str">
            <v>CIIFH-403-</v>
          </cell>
        </row>
        <row r="233">
          <cell r="A233" t="str">
            <v>N-0014</v>
          </cell>
          <cell r="B233" t="str">
            <v>N I S D E M I</v>
          </cell>
          <cell r="C233" t="str">
            <v>01.061.618.3-055.000</v>
          </cell>
          <cell r="D233" t="str">
            <v>CIKLM-055-</v>
          </cell>
        </row>
        <row r="234">
          <cell r="A234" t="str">
            <v>N-0015</v>
          </cell>
          <cell r="B234" t="str">
            <v>NICORINDO BAJA</v>
          </cell>
          <cell r="C234" t="str">
            <v>01.071.326.1-407.001</v>
          </cell>
          <cell r="D234" t="str">
            <v>CIYUW-407-</v>
          </cell>
        </row>
        <row r="235">
          <cell r="A235" t="str">
            <v>N-0016</v>
          </cell>
          <cell r="B235" t="str">
            <v>NAINDO MARKETAMA, PT.</v>
          </cell>
          <cell r="C235" t="str">
            <v>01.917.772.4-407.000</v>
          </cell>
          <cell r="D235" t="str">
            <v>EFCYM-407-</v>
          </cell>
        </row>
        <row r="236">
          <cell r="A236" t="str">
            <v>N-0017</v>
          </cell>
          <cell r="B236" t="str">
            <v>NASA CHEMINDO</v>
          </cell>
          <cell r="C236" t="str">
            <v>01.786.697.1-407.000</v>
          </cell>
          <cell r="D236" t="str">
            <v>DXRBD-407-</v>
          </cell>
        </row>
        <row r="237">
          <cell r="A237" t="str">
            <v>N-0020</v>
          </cell>
          <cell r="B237" t="str">
            <v>NADIFA CABE LESTARI</v>
          </cell>
          <cell r="C237" t="str">
            <v>01.885.089.1-013.000</v>
          </cell>
          <cell r="D237" t="str">
            <v>EDGPL-013-</v>
          </cell>
        </row>
        <row r="238">
          <cell r="A238" t="str">
            <v>N-0021</v>
          </cell>
          <cell r="B238" t="str">
            <v>NAYATI SUB CONTRACTOR</v>
          </cell>
        </row>
        <row r="239">
          <cell r="A239" t="str">
            <v>N-0022</v>
          </cell>
          <cell r="B239" t="str">
            <v>NELLINDO PRIMA SETIA</v>
          </cell>
          <cell r="C239" t="str">
            <v>01.399.331.6-024.000</v>
          </cell>
          <cell r="D239" t="str">
            <v>CBQAL-024-</v>
          </cell>
        </row>
        <row r="240">
          <cell r="A240" t="str">
            <v>O-0003</v>
          </cell>
          <cell r="B240" t="str">
            <v>OTI TRANSFORMASI LINTAS INTERNASIONAL</v>
          </cell>
          <cell r="C240" t="str">
            <v>02.036.810.6-015.000</v>
          </cell>
          <cell r="D240" t="str">
            <v>ELXAW-015-</v>
          </cell>
        </row>
        <row r="241">
          <cell r="A241" t="str">
            <v>O-0004</v>
          </cell>
          <cell r="B241" t="str">
            <v>OMEGA MAJU SEJAHTERA</v>
          </cell>
          <cell r="C241" t="str">
            <v>01.877.370.5.026.000</v>
          </cell>
          <cell r="D241" t="str">
            <v>ECVEO-026-</v>
          </cell>
        </row>
        <row r="242">
          <cell r="A242" t="str">
            <v>P-0004</v>
          </cell>
          <cell r="B242" t="str">
            <v>POMALA BINATAMA</v>
          </cell>
          <cell r="C242" t="str">
            <v>1.330.463.9-032</v>
          </cell>
          <cell r="D242" t="str">
            <v>CXSDR-032-</v>
          </cell>
        </row>
        <row r="243">
          <cell r="A243" t="str">
            <v>P-0005</v>
          </cell>
          <cell r="B243" t="str">
            <v>PANDAWA LIMA TEKNIK</v>
          </cell>
          <cell r="C243" t="str">
            <v>02.160.383.2-014.000</v>
          </cell>
          <cell r="D243" t="str">
            <v>ESXVR-014-</v>
          </cell>
        </row>
        <row r="244">
          <cell r="A244" t="str">
            <v>P-0006</v>
          </cell>
          <cell r="B244" t="str">
            <v>PERS. KAP PRASETIO, SARWOKO &amp; SANDJAJA</v>
          </cell>
          <cell r="C244" t="str">
            <v>02.107.769.8-022.001</v>
          </cell>
          <cell r="D244" t="str">
            <v>EPYAB-022-</v>
          </cell>
        </row>
        <row r="245">
          <cell r="A245" t="str">
            <v>P-0006A</v>
          </cell>
          <cell r="B245" t="str">
            <v>K A P PRASETIO, UTOMO &amp; REKAN</v>
          </cell>
          <cell r="C245" t="str">
            <v>01.312.475.5-022.000</v>
          </cell>
          <cell r="D245" t="str">
            <v>CWRNV-022-</v>
          </cell>
        </row>
        <row r="246">
          <cell r="A246" t="str">
            <v>P-0013</v>
          </cell>
          <cell r="B246" t="str">
            <v>PUNINAR JAYA</v>
          </cell>
          <cell r="C246" t="str">
            <v>01.300.326.4-042.000</v>
          </cell>
          <cell r="D246" t="str">
            <v>CVZOO-042-</v>
          </cell>
        </row>
        <row r="247">
          <cell r="A247" t="str">
            <v>P-0014</v>
          </cell>
          <cell r="B247" t="str">
            <v>PELABUHAN INDONESIA II CABANG TANJUNG PRIOK</v>
          </cell>
          <cell r="C247" t="str">
            <v>01.061.005.3-051.000</v>
          </cell>
          <cell r="D247" t="str">
            <v/>
          </cell>
        </row>
        <row r="248">
          <cell r="A248" t="str">
            <v>P-0015</v>
          </cell>
          <cell r="B248" t="str">
            <v>PANDU DAYATAMA PATRIA</v>
          </cell>
          <cell r="C248" t="str">
            <v>1.062.055.7-004</v>
          </cell>
          <cell r="D248" t="str">
            <v>CILCH-004-</v>
          </cell>
        </row>
        <row r="249">
          <cell r="A249" t="str">
            <v>P-0017</v>
          </cell>
          <cell r="B249" t="str">
            <v>PAMINDO TIGA T</v>
          </cell>
          <cell r="C249" t="str">
            <v>01.000.633.6-055.000</v>
          </cell>
          <cell r="D249" t="str">
            <v>CEYFX-055-</v>
          </cell>
        </row>
        <row r="250">
          <cell r="A250" t="str">
            <v>P-0023</v>
          </cell>
          <cell r="B250" t="str">
            <v>PUSAKA YUDHANUSA</v>
          </cell>
          <cell r="C250" t="str">
            <v>1.331.186.5-021</v>
          </cell>
          <cell r="D250" t="str">
            <v>CIWDS-056-</v>
          </cell>
        </row>
        <row r="251">
          <cell r="A251" t="str">
            <v>P-0029</v>
          </cell>
          <cell r="B251" t="str">
            <v>PUNINAR PACIFIC</v>
          </cell>
          <cell r="C251" t="str">
            <v>1.069.528.6-056</v>
          </cell>
          <cell r="D251" t="str">
            <v>CIWDS-056-</v>
          </cell>
        </row>
        <row r="252">
          <cell r="A252" t="str">
            <v>P-0032</v>
          </cell>
          <cell r="B252" t="str">
            <v>PRIMA NUR PANURJWAN</v>
          </cell>
          <cell r="C252" t="str">
            <v>01.369.018.5-042.000</v>
          </cell>
          <cell r="D252" t="str">
            <v>CZXEO-042-</v>
          </cell>
        </row>
        <row r="253">
          <cell r="A253" t="str">
            <v>P-0036</v>
          </cell>
          <cell r="B253" t="str">
            <v>PRIMA TEHNIK TRADA</v>
          </cell>
          <cell r="C253" t="str">
            <v>1.917.754.2-407</v>
          </cell>
          <cell r="D253" t="str">
            <v>EFCXU-407-</v>
          </cell>
        </row>
        <row r="254">
          <cell r="A254" t="str">
            <v>P-0037</v>
          </cell>
          <cell r="B254" t="str">
            <v>PARAMUDA UTAMA TEKNIK</v>
          </cell>
          <cell r="C254" t="str">
            <v>01.940.355.9-407.000</v>
          </cell>
          <cell r="D254" t="str">
            <v>EGKJB-407-</v>
          </cell>
        </row>
        <row r="255">
          <cell r="A255" t="str">
            <v>P-0038</v>
          </cell>
          <cell r="B255" t="str">
            <v>PADAMAS PUTERA SENTOSA</v>
          </cell>
          <cell r="C255" t="str">
            <v>01.774.496.2-413.001</v>
          </cell>
          <cell r="D255" t="str">
            <v>DWYZW-413-</v>
          </cell>
        </row>
        <row r="256">
          <cell r="A256" t="str">
            <v>P-0039</v>
          </cell>
          <cell r="B256" t="str">
            <v>PERUSAHAAN PLASTIK INDRA</v>
          </cell>
          <cell r="C256" t="str">
            <v>04.207.472.4-041.000</v>
          </cell>
          <cell r="D256" t="str">
            <v>JFKBW-041-</v>
          </cell>
        </row>
        <row r="257">
          <cell r="A257" t="str">
            <v>P-0040</v>
          </cell>
          <cell r="B257" t="str">
            <v>PANCA SETIA JAYA</v>
          </cell>
          <cell r="C257" t="str">
            <v>01.817.092.8-002.000</v>
          </cell>
          <cell r="D257" t="str">
            <v>DZKAE-002-</v>
          </cell>
        </row>
        <row r="258">
          <cell r="A258" t="str">
            <v>P-0041</v>
          </cell>
          <cell r="B258" t="str">
            <v>PROTECH ENGINEERING</v>
          </cell>
          <cell r="C258" t="str">
            <v>01.994.500.5-407.000</v>
          </cell>
          <cell r="D258" t="str">
            <v>EJMLO-407-</v>
          </cell>
        </row>
        <row r="259">
          <cell r="A259" t="str">
            <v>P-0043</v>
          </cell>
          <cell r="B259" t="str">
            <v>PBM DHARMA LAUTAN NUSANTARA</v>
          </cell>
          <cell r="C259" t="str">
            <v>01.061.034.3-051.000</v>
          </cell>
          <cell r="D259" t="str">
            <v>CIJPA-051-</v>
          </cell>
        </row>
        <row r="260">
          <cell r="A260" t="str">
            <v>P-0044</v>
          </cell>
          <cell r="B260" t="str">
            <v>PRIMA TIGON</v>
          </cell>
          <cell r="C260" t="str">
            <v>01.555.709.3-025.000</v>
          </cell>
          <cell r="D260" t="str">
            <v>DKNIZ-025-</v>
          </cell>
        </row>
        <row r="261">
          <cell r="A261" t="str">
            <v>P-0045</v>
          </cell>
          <cell r="B261" t="str">
            <v>PERSEKUTUAN TRUSCEL CAPITAL</v>
          </cell>
          <cell r="C261" t="str">
            <v>01.916.415.1-013.000</v>
          </cell>
          <cell r="D261" t="str">
            <v>EFAYH-013-</v>
          </cell>
        </row>
        <row r="262">
          <cell r="A262" t="str">
            <v>P-0046</v>
          </cell>
          <cell r="B262" t="str">
            <v>PAN ABRASIV SEMESTA</v>
          </cell>
          <cell r="C262" t="str">
            <v>01.692.421.9-043.000</v>
          </cell>
          <cell r="D262" t="str">
            <v>DSHPD-043-</v>
          </cell>
        </row>
        <row r="263">
          <cell r="A263" t="str">
            <v>P-0047</v>
          </cell>
          <cell r="B263" t="str">
            <v>PRISMACO JAYA</v>
          </cell>
          <cell r="C263" t="str">
            <v>06.721.700.0-407.000</v>
          </cell>
          <cell r="D263" t="str">
            <v>OSLIY-407-</v>
          </cell>
        </row>
        <row r="264">
          <cell r="A264" t="str">
            <v>P-0048</v>
          </cell>
          <cell r="B264" t="str">
            <v>PUTRA SUKSES MAKMUR</v>
          </cell>
          <cell r="C264" t="str">
            <v>02.001.966.7-032.000</v>
          </cell>
          <cell r="D264" t="str">
            <v>EJXMS-032-</v>
          </cell>
        </row>
        <row r="265">
          <cell r="A265" t="str">
            <v>P-0049</v>
          </cell>
          <cell r="B265" t="str">
            <v>PUTRA KREASI MUTLIBUANA</v>
          </cell>
          <cell r="C265" t="str">
            <v>01.802.447.1.061.000</v>
          </cell>
          <cell r="D265" t="str">
            <v>DYOIX-061-</v>
          </cell>
        </row>
        <row r="266">
          <cell r="A266" t="str">
            <v>R-0012</v>
          </cell>
          <cell r="B266" t="str">
            <v>REKABAJA PRIMAPERKASA</v>
          </cell>
          <cell r="C266" t="str">
            <v>1.713.429.7-407</v>
          </cell>
          <cell r="D266" t="str">
            <v>DTMRD-407-</v>
          </cell>
        </row>
        <row r="267">
          <cell r="A267" t="str">
            <v>R-0015</v>
          </cell>
          <cell r="B267" t="str">
            <v>RAMA REKATAMA TEKNIK</v>
          </cell>
          <cell r="C267" t="str">
            <v>02.199.185.6-413.000</v>
          </cell>
          <cell r="D267" t="str">
            <v>EFDGB-413-</v>
          </cell>
        </row>
        <row r="268">
          <cell r="A268" t="str">
            <v>R-0017</v>
          </cell>
          <cell r="B268" t="str">
            <v>REKATAMA ALAM MADIRI</v>
          </cell>
          <cell r="C268" t="str">
            <v>1.781.378.3-041</v>
          </cell>
          <cell r="D268" t="str">
            <v>DXJEO-041-</v>
          </cell>
        </row>
        <row r="269">
          <cell r="A269" t="str">
            <v>R-0018</v>
          </cell>
          <cell r="B269" t="str">
            <v>RITO KURNIAPERDANA</v>
          </cell>
          <cell r="C269" t="str">
            <v>1.572.577.3-014</v>
          </cell>
          <cell r="D269" t="str">
            <v>DLMHT-014-</v>
          </cell>
        </row>
        <row r="270">
          <cell r="A270" t="str">
            <v>R-0019</v>
          </cell>
          <cell r="B270" t="str">
            <v>RUSLI VINILON SAKTI</v>
          </cell>
          <cell r="C270" t="str">
            <v>01.317.925.4-023.000</v>
          </cell>
          <cell r="D270" t="str">
            <v>CWZPL-023-</v>
          </cell>
        </row>
        <row r="271">
          <cell r="A271" t="str">
            <v>R-0020</v>
          </cell>
          <cell r="B271" t="str">
            <v>RADIUS AGUNG</v>
          </cell>
          <cell r="C271" t="str">
            <v>01.361.773.3.002.000</v>
          </cell>
          <cell r="D271" t="str">
            <v>CZMLX-002-</v>
          </cell>
        </row>
        <row r="272">
          <cell r="A272" t="str">
            <v>R-0021</v>
          </cell>
          <cell r="B272" t="str">
            <v>RAKINTAM GENERAL ELECTRICAL &amp; MECHANICAL CONTRACTORS</v>
          </cell>
          <cell r="C272" t="str">
            <v>01.002.176.4.058.000</v>
          </cell>
          <cell r="D272" t="str">
            <v>CFANG-058-</v>
          </cell>
        </row>
        <row r="273">
          <cell r="A273" t="str">
            <v>R-0022</v>
          </cell>
          <cell r="B273" t="str">
            <v>RANCANG GRAHA INOVASI</v>
          </cell>
          <cell r="C273" t="str">
            <v>02.060.942.6-016.000</v>
          </cell>
          <cell r="D273" t="str">
            <v>ENGTA-016-</v>
          </cell>
        </row>
        <row r="274">
          <cell r="A274" t="str">
            <v>R-0023</v>
          </cell>
          <cell r="B274" t="str">
            <v>REKABAJA PRIMA ANUGERAH</v>
          </cell>
          <cell r="C274" t="str">
            <v>02.106.223.7-042.000</v>
          </cell>
          <cell r="D274" t="str">
            <v>EPVSP-042-</v>
          </cell>
        </row>
        <row r="275">
          <cell r="A275" t="str">
            <v>R-0024</v>
          </cell>
          <cell r="B275" t="str">
            <v>RIYADI PUTERA MAKMUR</v>
          </cell>
          <cell r="C275" t="str">
            <v>01.330.383.9.032.000</v>
          </cell>
          <cell r="D275" t="str">
            <v>CXSAP-032</v>
          </cell>
        </row>
        <row r="276">
          <cell r="A276" t="str">
            <v>S-0001</v>
          </cell>
          <cell r="B276" t="str">
            <v>SARANA SOLUSINDO INFORMATIKA</v>
          </cell>
          <cell r="C276" t="str">
            <v>1.392.077.2-035</v>
          </cell>
          <cell r="D276" t="str">
            <v>DBFHL-035-</v>
          </cell>
        </row>
        <row r="277">
          <cell r="A277" t="str">
            <v>S-0003</v>
          </cell>
          <cell r="B277" t="str">
            <v xml:space="preserve">SERASI AUTORAYA </v>
          </cell>
          <cell r="C277" t="str">
            <v>01.357.583.2-042.000</v>
          </cell>
          <cell r="D277" t="str">
            <v>CZGGT-042-</v>
          </cell>
        </row>
        <row r="278">
          <cell r="A278" t="str">
            <v>S-0005</v>
          </cell>
          <cell r="B278" t="str">
            <v xml:space="preserve">SUCOFINDO </v>
          </cell>
          <cell r="C278" t="str">
            <v>01.300.992.3-051.000</v>
          </cell>
          <cell r="D278" t="str">
            <v>CWAOE-407-</v>
          </cell>
        </row>
        <row r="279">
          <cell r="A279" t="str">
            <v>S-0006</v>
          </cell>
          <cell r="B279" t="str">
            <v>SUMATERA INPACK TRANSINDO</v>
          </cell>
          <cell r="C279" t="str">
            <v>01.810.447.1-015.000</v>
          </cell>
          <cell r="D279" t="str">
            <v>DZAEP-015-</v>
          </cell>
        </row>
        <row r="280">
          <cell r="A280" t="str">
            <v>S-0011</v>
          </cell>
          <cell r="B280" t="str">
            <v>SINAR PUTRA PEMUDA</v>
          </cell>
          <cell r="C280" t="str">
            <v>01.661.888.6-004.000</v>
          </cell>
          <cell r="D280" t="str">
            <v>DQOKU-004-</v>
          </cell>
        </row>
        <row r="281">
          <cell r="A281" t="str">
            <v>S-0013</v>
          </cell>
          <cell r="B281" t="str">
            <v>SINAR AGUNG PEMUDA</v>
          </cell>
          <cell r="C281" t="str">
            <v>01.674.442.7-004.000</v>
          </cell>
          <cell r="D281" t="str">
            <v>DRGZQ-004-</v>
          </cell>
        </row>
        <row r="282">
          <cell r="A282" t="str">
            <v>S-0015</v>
          </cell>
          <cell r="B282" t="str">
            <v>SAMATOR MUTLIGAS UTAMA</v>
          </cell>
          <cell r="C282" t="str">
            <v>01.610.213.9-408.001</v>
          </cell>
          <cell r="D282" t="str">
            <v>DNPZH-408-</v>
          </cell>
        </row>
        <row r="283">
          <cell r="A283" t="str">
            <v>S-0017</v>
          </cell>
          <cell r="B283" t="str">
            <v>STILMETINDO</v>
          </cell>
          <cell r="C283" t="str">
            <v>1.344.438.5-026</v>
          </cell>
          <cell r="D283" t="str">
            <v>CYMVE-026-</v>
          </cell>
        </row>
        <row r="284">
          <cell r="A284" t="str">
            <v>S-0021</v>
          </cell>
          <cell r="B284" t="str">
            <v>SINUS ARTAMULTI</v>
          </cell>
          <cell r="C284" t="str">
            <v>1.752.571.8-005</v>
          </cell>
          <cell r="D284" t="str">
            <v>DVSOP-005-</v>
          </cell>
        </row>
        <row r="285">
          <cell r="A285" t="str">
            <v>S-0029</v>
          </cell>
          <cell r="B285" t="str">
            <v>SWADAYA HARAPAN NUSANTARA</v>
          </cell>
          <cell r="C285" t="str">
            <v>01.363.605.5-004.000</v>
          </cell>
          <cell r="D285" t="str">
            <v>CZPEJ-004-</v>
          </cell>
        </row>
        <row r="286">
          <cell r="A286" t="str">
            <v>S-0046</v>
          </cell>
          <cell r="B286" t="str">
            <v>SAMUDERA INDONESIA Tbk.</v>
          </cell>
          <cell r="C286" t="str">
            <v>01.001.895.0-054.000</v>
          </cell>
          <cell r="D286" t="str">
            <v>CFACL-054-</v>
          </cell>
        </row>
        <row r="287">
          <cell r="A287" t="str">
            <v>S-0047_</v>
          </cell>
          <cell r="B287" t="str">
            <v>SAKA TEHNIK</v>
          </cell>
          <cell r="C287" t="str">
            <v>01.742.823.6-413.001</v>
          </cell>
          <cell r="D287" t="str">
            <v>DVEDR-413-</v>
          </cell>
        </row>
        <row r="288">
          <cell r="A288" t="str">
            <v>S-0047</v>
          </cell>
          <cell r="B288" t="str">
            <v>SAKA TEHNIK UTAMA</v>
          </cell>
          <cell r="C288" t="str">
            <v>02.199.008.0-413.000</v>
          </cell>
          <cell r="D288" t="str">
            <v>EVCZG-413-</v>
          </cell>
        </row>
        <row r="289">
          <cell r="A289" t="str">
            <v>S-0050</v>
          </cell>
          <cell r="B289" t="str">
            <v>STEEL CENTER INDONESIA</v>
          </cell>
          <cell r="C289" t="str">
            <v>1.060.116.5-055</v>
          </cell>
          <cell r="D289" t="str">
            <v>CIIFU-055-</v>
          </cell>
        </row>
        <row r="290">
          <cell r="A290" t="str">
            <v>S-0052</v>
          </cell>
          <cell r="B290" t="str">
            <v>SUMITOMO INDONESIA</v>
          </cell>
          <cell r="C290" t="str">
            <v>01.868.973.7-056.000</v>
          </cell>
          <cell r="D290" t="str">
            <v>ECITP-056-</v>
          </cell>
        </row>
        <row r="291">
          <cell r="A291" t="str">
            <v>S-0053</v>
          </cell>
          <cell r="B291" t="str">
            <v>SOMAGEDE PERKASA</v>
          </cell>
          <cell r="C291" t="str">
            <v>01.347.905.0-026.000</v>
          </cell>
          <cell r="D291" t="str">
            <v>CYRYN-026-</v>
          </cell>
        </row>
        <row r="292">
          <cell r="A292" t="str">
            <v>S-0054</v>
          </cell>
          <cell r="B292" t="str">
            <v>SOVER SARANA SOLUSINDO</v>
          </cell>
          <cell r="C292" t="str">
            <v>1.853.975.9-014</v>
          </cell>
          <cell r="D292" t="str">
            <v>EBMOT-014-</v>
          </cell>
        </row>
        <row r="293">
          <cell r="A293" t="str">
            <v>S-0056</v>
          </cell>
          <cell r="B293" t="str">
            <v>SAGITARIUS SARI</v>
          </cell>
          <cell r="C293" t="str">
            <v>01.147.189.3-408.000</v>
          </cell>
          <cell r="D293" t="str">
            <v>CNHAR-408-</v>
          </cell>
        </row>
        <row r="294">
          <cell r="A294" t="str">
            <v>S-0057</v>
          </cell>
          <cell r="B294" t="str">
            <v xml:space="preserve">SARAWAN SEMPOR </v>
          </cell>
          <cell r="C294" t="str">
            <v>01.326.225.8-029.000</v>
          </cell>
          <cell r="D294" t="str">
            <v>CXLWR-029-</v>
          </cell>
        </row>
        <row r="295">
          <cell r="A295" t="str">
            <v>S-0058</v>
          </cell>
          <cell r="B295" t="str">
            <v>SOLIDHAYA CIPTA</v>
          </cell>
          <cell r="C295" t="str">
            <v>1.327.244.8-005</v>
          </cell>
          <cell r="D295" t="str">
            <v>CXNJW-005-</v>
          </cell>
        </row>
        <row r="296">
          <cell r="A296" t="str">
            <v>S-0059</v>
          </cell>
          <cell r="B296" t="str">
            <v>SARANA TRIMITRA SEJATI</v>
          </cell>
          <cell r="C296" t="str">
            <v>1.849.363.5-031</v>
          </cell>
          <cell r="D296" t="str">
            <v>EBFTJ-031-</v>
          </cell>
        </row>
        <row r="297">
          <cell r="A297" t="str">
            <v>S-0060</v>
          </cell>
          <cell r="B297" t="str">
            <v>SUCOFINDO PRIMA INTERNATIONAL KONSULTAN</v>
          </cell>
          <cell r="C297" t="str">
            <v>1.802.073.5-014</v>
          </cell>
          <cell r="D297" t="str">
            <v>DYNUN-014-</v>
          </cell>
        </row>
        <row r="298">
          <cell r="A298" t="str">
            <v>S-0061</v>
          </cell>
          <cell r="B298" t="str">
            <v>SUMBERDHARMA ABADIJAYA</v>
          </cell>
          <cell r="C298" t="str">
            <v>01.777.706.1-032.000</v>
          </cell>
          <cell r="D298" t="str">
            <v>DXDTI-032-</v>
          </cell>
        </row>
        <row r="299">
          <cell r="A299" t="str">
            <v>S-0062</v>
          </cell>
          <cell r="B299" t="str">
            <v>SUPRA PASIFIK SARANA</v>
          </cell>
          <cell r="C299" t="str">
            <v>1.749.688.6-043</v>
          </cell>
          <cell r="D299" t="str">
            <v>DVOHS-043-</v>
          </cell>
        </row>
        <row r="300">
          <cell r="A300" t="str">
            <v>S-0063</v>
          </cell>
          <cell r="B300" t="str">
            <v>SUMATERA INTI PERSADA</v>
          </cell>
          <cell r="C300" t="str">
            <v>01.691.201.6-407.000</v>
          </cell>
          <cell r="D300" t="str">
            <v>DSFUF-407-</v>
          </cell>
        </row>
        <row r="301">
          <cell r="A301" t="str">
            <v>S-0064</v>
          </cell>
          <cell r="B301" t="str">
            <v>SARIJADI REJEKI</v>
          </cell>
          <cell r="C301" t="str">
            <v>01.949.812.0-043.000</v>
          </cell>
          <cell r="D301" t="str">
            <v>EGYIU-043-</v>
          </cell>
        </row>
        <row r="302">
          <cell r="A302" t="str">
            <v>S-0065</v>
          </cell>
          <cell r="B302" t="str">
            <v>SPECTRA CEMERLANG</v>
          </cell>
          <cell r="C302" t="str">
            <v>01.884.559.4-003.000</v>
          </cell>
          <cell r="D302" t="str">
            <v>EDFVB-003-</v>
          </cell>
        </row>
        <row r="303">
          <cell r="A303" t="str">
            <v>S-0066</v>
          </cell>
          <cell r="B303" t="str">
            <v>SAHABAT INDONESIA INTI MANDIRI</v>
          </cell>
          <cell r="C303" t="str">
            <v>01.361.997.8-032.000</v>
          </cell>
          <cell r="D303" t="str">
            <v>CZMUN-032-</v>
          </cell>
        </row>
        <row r="304">
          <cell r="A304" t="str">
            <v>S-0067</v>
          </cell>
          <cell r="B304" t="str">
            <v>SENOWIN BANGUN MANDIRI</v>
          </cell>
          <cell r="C304" t="str">
            <v>01.684.043.1-024.000</v>
          </cell>
          <cell r="D304" t="str">
            <v>DRVEX-024-</v>
          </cell>
        </row>
        <row r="305">
          <cell r="A305" t="str">
            <v>S-0068</v>
          </cell>
          <cell r="B305" t="str">
            <v>STILMETINDO PRIMA</v>
          </cell>
          <cell r="C305" t="str">
            <v>01.957.226.2-026.000</v>
          </cell>
          <cell r="D305" t="str">
            <v>EHJHY-026-</v>
          </cell>
        </row>
        <row r="306">
          <cell r="A306" t="str">
            <v>S-0070</v>
          </cell>
          <cell r="B306" t="str">
            <v>SARANA CHROME PERSADA</v>
          </cell>
          <cell r="C306" t="str">
            <v>01.839.187.0-413-001</v>
          </cell>
          <cell r="D306" t="str">
            <v>EAQRZ-413-</v>
          </cell>
        </row>
        <row r="307">
          <cell r="A307" t="str">
            <v>S-0071</v>
          </cell>
          <cell r="B307" t="str">
            <v>SURYA UTAMA SISTEM</v>
          </cell>
          <cell r="C307" t="str">
            <v>01.891.865.6-041.000</v>
          </cell>
          <cell r="D307" t="str">
            <v>EDQQB-041-</v>
          </cell>
        </row>
        <row r="308">
          <cell r="A308" t="str">
            <v>S-0073</v>
          </cell>
          <cell r="B308" t="str">
            <v>SCHNEIDER IDONESIA</v>
          </cell>
          <cell r="C308" t="str">
            <v>01.061.747.0-055.000</v>
          </cell>
          <cell r="D308" t="str">
            <v>CIKQL-055-</v>
          </cell>
        </row>
        <row r="309">
          <cell r="A309" t="str">
            <v>S-0074</v>
          </cell>
          <cell r="B309" t="str">
            <v>SUKAMAJU TATASEJAHTERA</v>
          </cell>
          <cell r="C309" t="str">
            <v>01.552.915.9-032.000</v>
          </cell>
          <cell r="D309" t="str">
            <v>DKJFN-032-</v>
          </cell>
        </row>
        <row r="310">
          <cell r="A310" t="str">
            <v>S-0075</v>
          </cell>
          <cell r="B310" t="str">
            <v>SMARTWEB INDONESIA KREASI</v>
          </cell>
          <cell r="C310" t="str">
            <v>01.945.529.4-014.000</v>
          </cell>
          <cell r="D310" t="str">
            <v>CGSAB-014-</v>
          </cell>
        </row>
        <row r="311">
          <cell r="A311" t="str">
            <v>S-0076</v>
          </cell>
          <cell r="B311" t="str">
            <v>SINAR INFORMEDIA SYSTEM, PT.</v>
          </cell>
          <cell r="C311" t="str">
            <v>02.125.090.7-035.000</v>
          </cell>
          <cell r="D311" t="str">
            <v>EQXQG-035-</v>
          </cell>
        </row>
        <row r="312">
          <cell r="A312" t="str">
            <v>S-0078</v>
          </cell>
          <cell r="B312" t="str">
            <v>SANTOSO TEKNINDO</v>
          </cell>
          <cell r="C312" t="str">
            <v>01.528.652.9-402.000</v>
          </cell>
          <cell r="D312" t="str">
            <v>DIZII-402-</v>
          </cell>
        </row>
        <row r="313">
          <cell r="A313" t="str">
            <v>S-0080</v>
          </cell>
          <cell r="B313" t="str">
            <v>SEKUENSA TEKNIK INDONESIA</v>
          </cell>
          <cell r="C313" t="str">
            <v>01.980.045.7-005.000</v>
          </cell>
          <cell r="D313" t="str">
            <v>EIRBP-005-</v>
          </cell>
        </row>
        <row r="314">
          <cell r="A314" t="str">
            <v>S-0081</v>
          </cell>
          <cell r="B314" t="str">
            <v>SUMBER SETIA ABADI</v>
          </cell>
          <cell r="C314" t="str">
            <v>01.303.398.0-036.000</v>
          </cell>
          <cell r="D314" t="str">
            <v>CWECS-036-</v>
          </cell>
        </row>
        <row r="315">
          <cell r="A315" t="str">
            <v>S-0082</v>
          </cell>
          <cell r="B315" t="str">
            <v>SARANA SENTOSA KARYAPRIMA</v>
          </cell>
          <cell r="C315" t="str">
            <v>01.641.193.6-026.000</v>
          </cell>
          <cell r="D315" t="str">
            <v>DPJUV-026-</v>
          </cell>
        </row>
        <row r="316">
          <cell r="A316" t="str">
            <v>S-0083</v>
          </cell>
          <cell r="B316" t="str">
            <v>SUBUR DJAJA TEGUH</v>
          </cell>
          <cell r="C316" t="str">
            <v>01.369.999.6-005.000</v>
          </cell>
          <cell r="D316" t="str">
            <v>CZYQH-005-</v>
          </cell>
        </row>
        <row r="317">
          <cell r="A317" t="str">
            <v>S-0084</v>
          </cell>
          <cell r="B317" t="str">
            <v>SIEMENS INDONESIA PT</v>
          </cell>
          <cell r="C317" t="str">
            <v>01.310.105.0-401.001</v>
          </cell>
          <cell r="D317" t="str">
            <v>CWOAR-401-</v>
          </cell>
        </row>
        <row r="318">
          <cell r="A318" t="str">
            <v>T-0001</v>
          </cell>
          <cell r="B318" t="str">
            <v>TELKOM</v>
          </cell>
          <cell r="C318" t="str">
            <v>01.000.013.1-407.001</v>
          </cell>
          <cell r="D318" t="str">
            <v/>
          </cell>
        </row>
        <row r="319">
          <cell r="A319" t="str">
            <v>T-0003</v>
          </cell>
          <cell r="B319" t="str">
            <v>TJOKRO BERSAUDARA CIKARANGINDO</v>
          </cell>
          <cell r="C319" t="str">
            <v>01.593.899.6-413.000</v>
          </cell>
          <cell r="D319" t="str">
            <v>DMRVV-413-</v>
          </cell>
        </row>
        <row r="320">
          <cell r="A320" t="str">
            <v>T-0010</v>
          </cell>
          <cell r="B320" t="str">
            <v>TANGGUH SAMUDERA JAYA</v>
          </cell>
          <cell r="C320" t="str">
            <v>01.377.677.8-042.000</v>
          </cell>
          <cell r="D320" t="str">
            <v>DAJZP-042-</v>
          </cell>
        </row>
        <row r="321">
          <cell r="A321" t="str">
            <v>T-0015</v>
          </cell>
          <cell r="B321" t="str">
            <v>TIGA SEKAWAN</v>
          </cell>
          <cell r="C321" t="str">
            <v>01.824.784.1-407.000</v>
          </cell>
          <cell r="D321" t="str">
            <v>DZVKA-407-</v>
          </cell>
        </row>
        <row r="322">
          <cell r="A322" t="str">
            <v>T-0016</v>
          </cell>
          <cell r="B322" t="str">
            <v>P.B.M. TRIJASA DERMAGA SAMUDRA NUSANTARA</v>
          </cell>
          <cell r="C322" t="str">
            <v>1.371.399.5-042</v>
          </cell>
          <cell r="D322" t="str">
            <v>DAASD-042-</v>
          </cell>
        </row>
        <row r="323">
          <cell r="A323" t="str">
            <v>T-0029</v>
          </cell>
          <cell r="B323" t="str">
            <v>TEKPAK INDONESIA</v>
          </cell>
          <cell r="C323" t="str">
            <v>01.071.439.2-407.001</v>
          </cell>
          <cell r="D323" t="str">
            <v>CIYZF-407-</v>
          </cell>
        </row>
        <row r="324">
          <cell r="A324" t="str">
            <v>*T-0019</v>
          </cell>
          <cell r="B324" t="str">
            <v>TRIPRANATA SUKSESTAMA</v>
          </cell>
          <cell r="C324" t="str">
            <v>1.359.397.6-407</v>
          </cell>
          <cell r="D324" t="str">
            <v>CZIYD-407-</v>
          </cell>
        </row>
        <row r="325">
          <cell r="A325" t="str">
            <v>T-0019</v>
          </cell>
          <cell r="B325" t="str">
            <v>TRIPRANATA SUKSESTAMA</v>
          </cell>
          <cell r="C325" t="str">
            <v>01.359.387.6-407.000</v>
          </cell>
          <cell r="D325" t="str">
            <v>CZIYD-407-</v>
          </cell>
        </row>
        <row r="326">
          <cell r="A326" t="str">
            <v>T-0031</v>
          </cell>
          <cell r="B326" t="str">
            <v>TRAKTOR NUSANTARA</v>
          </cell>
          <cell r="C326" t="str">
            <v>01.310.483.1-004.000</v>
          </cell>
          <cell r="D326" t="str">
            <v>CWOPF-004-</v>
          </cell>
        </row>
        <row r="327">
          <cell r="A327" t="str">
            <v>T-0032</v>
          </cell>
          <cell r="B327" t="str">
            <v>TRADISA MULIA, PT.</v>
          </cell>
          <cell r="C327" t="str">
            <v>01.309.283.8-042.000</v>
          </cell>
          <cell r="D327" t="str">
            <v>CWMVB-042-</v>
          </cell>
        </row>
        <row r="328">
          <cell r="A328" t="str">
            <v>T-0033</v>
          </cell>
          <cell r="B328" t="str">
            <v>TERMINAL PETIKEMAS KOJA</v>
          </cell>
          <cell r="C328" t="str">
            <v>01.804.534.4-042.000</v>
          </cell>
          <cell r="D328" t="str">
            <v>DYRLE-042-</v>
          </cell>
        </row>
        <row r="329">
          <cell r="A329" t="str">
            <v>T-0034</v>
          </cell>
          <cell r="B329" t="str">
            <v>TITANASRI SAKTI</v>
          </cell>
          <cell r="C329" t="str">
            <v>01.540.825.5-027.000</v>
          </cell>
          <cell r="D329" t="str">
            <v>DJRIN-027-</v>
          </cell>
        </row>
        <row r="330">
          <cell r="A330" t="str">
            <v>T-0035</v>
          </cell>
          <cell r="B330" t="str">
            <v>TANJUNG RAYA ELOK</v>
          </cell>
          <cell r="C330" t="str">
            <v>01.365.278.9-072.000</v>
          </cell>
          <cell r="D330" t="str">
            <v>CZRQS-072-</v>
          </cell>
        </row>
        <row r="331">
          <cell r="A331" t="str">
            <v>T-0036</v>
          </cell>
          <cell r="B331" t="str">
            <v>TELE GLOBE GLOBAL</v>
          </cell>
          <cell r="C331" t="str">
            <v>02.173.993.3-017.000</v>
          </cell>
          <cell r="D331" t="str">
            <v>ETRZD-017-</v>
          </cell>
        </row>
        <row r="332">
          <cell r="A332" t="str">
            <v>T-0037</v>
          </cell>
          <cell r="B332" t="str">
            <v>TRIMITRA SWADAYA</v>
          </cell>
          <cell r="C332" t="str">
            <v>01.992.754.0-027.000</v>
          </cell>
          <cell r="D332" t="str">
            <v>EJJWK-027-</v>
          </cell>
        </row>
        <row r="333">
          <cell r="A333" t="str">
            <v>U-0001</v>
          </cell>
          <cell r="B333" t="str">
            <v>UNITED AIRPRODUCTS INDONESIA</v>
          </cell>
          <cell r="C333" t="str">
            <v>1.536.858.2-052</v>
          </cell>
          <cell r="D333" t="str">
            <v>DJLLY-052-</v>
          </cell>
        </row>
        <row r="334">
          <cell r="A334" t="str">
            <v>U-0003</v>
          </cell>
          <cell r="B334" t="str">
            <v>UNITED TRACTORS Tbk.</v>
          </cell>
          <cell r="C334" t="str">
            <v>1.308.524.6-054</v>
          </cell>
          <cell r="D334" t="str">
            <v>CWLRW-054-</v>
          </cell>
        </row>
        <row r="335">
          <cell r="A335" t="str">
            <v>U-0004</v>
          </cell>
          <cell r="B335" t="str">
            <v>UNITED TRACTORS PANDU ENGINEERING</v>
          </cell>
          <cell r="C335" t="str">
            <v>01.060.602.8-006.000</v>
          </cell>
          <cell r="D335" t="str">
            <v>CIIYK-006-</v>
          </cell>
        </row>
        <row r="336">
          <cell r="A336" t="str">
            <v>U-0006</v>
          </cell>
          <cell r="B336" t="str">
            <v>UNO GOBEL INDONESIA</v>
          </cell>
          <cell r="C336" t="str">
            <v>01.656.853.7-011.000</v>
          </cell>
          <cell r="D336" t="str">
            <v>DQGZD-011-</v>
          </cell>
        </row>
        <row r="337">
          <cell r="A337" t="str">
            <v>*U-0007</v>
          </cell>
          <cell r="B337" t="str">
            <v>UNGGUL SEMESTA</v>
          </cell>
          <cell r="C337" t="str">
            <v>01.336.239.7-035.000</v>
          </cell>
          <cell r="D337" t="str">
            <v>CYARV-035-</v>
          </cell>
        </row>
        <row r="338">
          <cell r="A338" t="str">
            <v>U-0007</v>
          </cell>
          <cell r="B338" t="str">
            <v>UNGGUL SEMESTA</v>
          </cell>
          <cell r="C338" t="str">
            <v>01.336.239.7-413.000</v>
          </cell>
          <cell r="D338" t="str">
            <v>CYARV-413-</v>
          </cell>
        </row>
        <row r="339">
          <cell r="A339" t="str">
            <v>U-0010</v>
          </cell>
          <cell r="B339" t="str">
            <v>ULTRA DELTA MAJU</v>
          </cell>
          <cell r="C339" t="str">
            <v>01.319.191.1.036.000</v>
          </cell>
          <cell r="D339" t="str">
            <v>CXBMD-036-</v>
          </cell>
        </row>
        <row r="340">
          <cell r="A340" t="str">
            <v>U-0009</v>
          </cell>
          <cell r="B340" t="str">
            <v>USAHA BERSAMA BANGUN PERKASA</v>
          </cell>
          <cell r="C340" t="str">
            <v>01.824.820.3-026.000</v>
          </cell>
          <cell r="D340" t="str">
            <v>DZVLK-026-</v>
          </cell>
        </row>
        <row r="341">
          <cell r="A341" t="str">
            <v>V-0004</v>
          </cell>
          <cell r="B341" t="str">
            <v>VOKSEL ELECTRIC Tbk.</v>
          </cell>
          <cell r="C341" t="str">
            <v>01.000.784.7-054.000</v>
          </cell>
          <cell r="D341" t="str">
            <v>CEYLS-054-</v>
          </cell>
        </row>
        <row r="342">
          <cell r="A342" t="str">
            <v>W-0002_</v>
          </cell>
          <cell r="B342" t="str">
            <v>WIRA DEREKINDO</v>
          </cell>
          <cell r="C342" t="str">
            <v>01.635.131.4-028 .000</v>
          </cell>
          <cell r="D342" t="str">
            <v>DPAVR-028-</v>
          </cell>
        </row>
        <row r="343">
          <cell r="A343" t="str">
            <v>W-0002</v>
          </cell>
          <cell r="B343" t="str">
            <v>WIRA DEREKINDO</v>
          </cell>
          <cell r="C343" t="str">
            <v>01.635.131.4-029 .000</v>
          </cell>
          <cell r="D343" t="str">
            <v>DPAVR-029-</v>
          </cell>
        </row>
        <row r="344">
          <cell r="A344" t="str">
            <v>W-0003</v>
          </cell>
          <cell r="B344" t="str">
            <v>WAJA KAMAJAYA SENTOSA</v>
          </cell>
          <cell r="C344" t="str">
            <v>01.399.698.8-004.000</v>
          </cell>
          <cell r="D344" t="str">
            <v>DBQOO-004-</v>
          </cell>
        </row>
        <row r="345">
          <cell r="A345" t="str">
            <v>W-0005</v>
          </cell>
          <cell r="B345" t="str">
            <v>WIRAPANDU MAKMUR ABADI</v>
          </cell>
          <cell r="C345" t="str">
            <v>1.837.171.6-041</v>
          </cell>
          <cell r="D345" t="str">
            <v>EANSL-041-</v>
          </cell>
        </row>
        <row r="346">
          <cell r="A346" t="str">
            <v>W-0007</v>
          </cell>
          <cell r="B346" t="str">
            <v>WIRA GULFINDO SARANA</v>
          </cell>
          <cell r="C346" t="str">
            <v>01.369.266.0-004.000</v>
          </cell>
          <cell r="D346" t="str">
            <v>CZXOC-004-</v>
          </cell>
        </row>
        <row r="347">
          <cell r="A347" t="str">
            <v>W-0008</v>
          </cell>
          <cell r="B347" t="str">
            <v>WAKA MAGMA ENGINEERING</v>
          </cell>
          <cell r="C347" t="str">
            <v>01.589.913.1-002.000</v>
          </cell>
          <cell r="D347" t="str">
            <v>DMLYN-002-</v>
          </cell>
        </row>
        <row r="348">
          <cell r="A348" t="str">
            <v>Y-0007</v>
          </cell>
          <cell r="B348" t="str">
            <v>YAKIN MAJU SENTOSA, PT.</v>
          </cell>
          <cell r="C348" t="str">
            <v>01.552.932.4-032.000</v>
          </cell>
          <cell r="D348" t="str">
            <v>DKJGE-032-</v>
          </cell>
        </row>
        <row r="349">
          <cell r="A349" t="str">
            <v>Y-0018</v>
          </cell>
          <cell r="B349" t="str">
            <v>YAMAZEN (SINGAPORE) PTE, LTD.</v>
          </cell>
        </row>
        <row r="350">
          <cell r="A350" t="str">
            <v>D-0020</v>
          </cell>
          <cell r="B350" t="str">
            <v>D I M Y A T I</v>
          </cell>
          <cell r="C350" t="str">
            <v>06.598.377.7-501.000</v>
          </cell>
          <cell r="D350" t="str">
            <v>OLKXT-501-</v>
          </cell>
        </row>
        <row r="351">
          <cell r="A351" t="str">
            <v>A-0058</v>
          </cell>
          <cell r="B351" t="str">
            <v>AGAPE TRIKARSA LIBRATAMA</v>
          </cell>
          <cell r="C351" t="str">
            <v>01.496.894.5-503.000</v>
          </cell>
          <cell r="D351" t="str">
            <v>DHEIW-503-</v>
          </cell>
        </row>
        <row r="353">
          <cell r="A353" t="str">
            <v>K-0062</v>
          </cell>
          <cell r="B353" t="str">
            <v>KAWAN LAMA MULTIWELDINDO</v>
          </cell>
          <cell r="C353" t="str">
            <v>01.570.237.6-035.000</v>
          </cell>
          <cell r="D353" t="str">
            <v>DLIVT-035-</v>
          </cell>
        </row>
        <row r="354">
          <cell r="A354" t="str">
            <v>M-0064</v>
          </cell>
          <cell r="B354" t="str">
            <v>MULA SAKTI ERA JAYA</v>
          </cell>
          <cell r="C354" t="str">
            <v>01.851.303.6-003.000</v>
          </cell>
          <cell r="D354" t="str">
            <v>EBIPZ-003-</v>
          </cell>
        </row>
        <row r="355">
          <cell r="A355" t="str">
            <v>P-0050</v>
          </cell>
          <cell r="B355" t="str">
            <v>PUTRA ALAM TEKNOLOGI</v>
          </cell>
          <cell r="C355" t="str">
            <v>02.198.974.4-413.000</v>
          </cell>
          <cell r="D355" t="str">
            <v>EVCXY-413-</v>
          </cell>
        </row>
        <row r="356">
          <cell r="A356" t="str">
            <v>P-0051</v>
          </cell>
          <cell r="B356" t="str">
            <v>PROTON LIFTINDO PERKASA</v>
          </cell>
          <cell r="C356" t="str">
            <v>02.094.684.4-026.000</v>
          </cell>
          <cell r="D356" t="str">
            <v>EPEQU-026-</v>
          </cell>
        </row>
        <row r="357">
          <cell r="A357" t="str">
            <v>K-0063</v>
          </cell>
          <cell r="B357" t="str">
            <v>KARYA MITRA PERSADA CV.</v>
          </cell>
          <cell r="C357" t="str">
            <v>01.713.732.4-407.000</v>
          </cell>
          <cell r="D357" t="str">
            <v>DTNCU-407-</v>
          </cell>
        </row>
      </sheetData>
      <sheetData sheetId="29"/>
      <sheetData sheetId="30"/>
      <sheetData sheetId="31"/>
      <sheetData sheetId="32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SAP"/>
      <sheetName val="master Excel ODC"/>
      <sheetName val="Sheet2"/>
      <sheetName val="Sheet1"/>
    </sheetNames>
    <sheetDataSet>
      <sheetData sheetId="0">
        <row r="1">
          <cell r="C1" t="str">
            <v>License plate</v>
          </cell>
        </row>
      </sheetData>
      <sheetData sheetId="1"/>
      <sheetData sheetId="2"/>
      <sheetData sheetId="3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ual Paced Expenses"/>
      <sheetName val="6770000"/>
      <sheetName val="6750000"/>
      <sheetName val="6750110"/>
      <sheetName val="6750220"/>
      <sheetName val="6750310"/>
      <sheetName val="6810000"/>
      <sheetName val="6810050"/>
      <sheetName val="6810150"/>
      <sheetName val="6810200"/>
      <sheetName val="6810300"/>
      <sheetName val="6810600"/>
      <sheetName val="6830200"/>
      <sheetName val="6920000"/>
      <sheetName val="7120000"/>
      <sheetName val="7120010"/>
      <sheetName val="7120210"/>
      <sheetName val="7120215"/>
      <sheetName val="7120216"/>
      <sheetName val="7210000"/>
      <sheetName val="7310000"/>
      <sheetName val="7310300"/>
      <sheetName val="7441000&amp;7451000"/>
      <sheetName val="7590150"/>
      <sheetName val="7590155"/>
      <sheetName val="7590200"/>
      <sheetName val="7590500"/>
      <sheetName val="7610100"/>
      <sheetName val="7610120"/>
      <sheetName val="7620100"/>
      <sheetName val="7620110"/>
      <sheetName val="6950000"/>
      <sheetName val="6950140"/>
      <sheetName val="7995000"/>
      <sheetName val="7995180"/>
      <sheetName val="7995910"/>
      <sheetName val="7995940"/>
      <sheetName val="RECAP"/>
      <sheetName val="ZFG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 cover"/>
      <sheetName val="WS COMPARE"/>
      <sheetName val="CFS "/>
      <sheetName val="Note to account"/>
      <sheetName val="PPE"/>
      <sheetName val="CJE"/>
      <sheetName val="Proof of other reserves"/>
      <sheetName val="Interco Bal Elimination"/>
      <sheetName val="Notes to accounts"/>
      <sheetName val="Goodwill"/>
      <sheetName val="procedure"/>
      <sheetName val="INVESTMENT LGI 2008"/>
      <sheetName val="0100309 EDIT JOURNAL INV LGI"/>
      <sheetName val="Adj Fr Interfreight"/>
      <sheetName val="Interfreight Audit Adjustment"/>
      <sheetName val="TB Int after Audit (OKE)"/>
      <sheetName val="YTD P&amp;LDEC2008 (SRI)"/>
      <sheetName val="ELVIA (UPDATE)"/>
      <sheetName val="TB DETAIL DEC'08 (LGI WS DEC'09"/>
      <sheetName val="JV0812-009- LIT"/>
      <sheetName val="JV0812-010 LIT"/>
      <sheetName val="JV0902-001 LIT"/>
      <sheetName val="Sum PL Account (Audit Adj LIT)"/>
      <sheetName val="WS LIT (SRI)"/>
      <sheetName val="OS CML-1 (Ori&amp;SGD)"/>
      <sheetName val="OS CML-2(Ori&amp;SGD)"/>
      <sheetName val="BS CML-1(Ori&amp;SGD)"/>
      <sheetName val="BS CML-2 (Ori&amp;SGD)"/>
      <sheetName val="Mapping Int (bef aqcui)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atio"/>
      <sheetName val="FS"/>
      <sheetName val="AJE"/>
      <sheetName val="RJE"/>
      <sheetName val="CF"/>
      <sheetName val="NTA"/>
      <sheetName val="audited BS"/>
      <sheetName val="audited CF"/>
      <sheetName val="audited PL"/>
      <sheetName val="audited detailPL"/>
      <sheetName val="ClientTB"/>
      <sheetName val="ClientBS"/>
      <sheetName val="ClientPL"/>
      <sheetName val="procedure"/>
    </sheetNames>
    <sheetDataSet>
      <sheetData sheetId="0"/>
      <sheetData sheetId="1"/>
      <sheetData sheetId="2" refreshError="1">
        <row r="1">
          <cell r="B1" t="str">
            <v>Client  : BDP ASIA PACIFIC LTD</v>
          </cell>
        </row>
        <row r="2">
          <cell r="B2" t="str">
            <v>(Incorporated in the THAILAND</v>
          </cell>
        </row>
        <row r="4">
          <cell r="B4" t="str">
            <v>INCOME STATEMENT FOR THE FINANCIAL YEAR ENDED 31 DECEMBER 2005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  <cell r="O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  <cell r="M7" t="str">
            <v>audited</v>
          </cell>
          <cell r="O7" t="str">
            <v>audited</v>
          </cell>
        </row>
        <row r="8">
          <cell r="D8" t="str">
            <v>WP REF</v>
          </cell>
          <cell r="F8" t="str">
            <v>31.12.2005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 t="str">
            <v>31.12.2005</v>
          </cell>
          <cell r="M8" t="str">
            <v>31.12.2005</v>
          </cell>
          <cell r="O8" t="str">
            <v>31.12.2004</v>
          </cell>
        </row>
        <row r="9">
          <cell r="F9" t="str">
            <v>THB</v>
          </cell>
          <cell r="G9" t="str">
            <v>THB</v>
          </cell>
          <cell r="H9" t="str">
            <v>THB</v>
          </cell>
          <cell r="I9" t="str">
            <v>THB</v>
          </cell>
          <cell r="J9" t="str">
            <v>THB</v>
          </cell>
          <cell r="K9" t="str">
            <v>THB</v>
          </cell>
          <cell r="M9" t="str">
            <v>S$</v>
          </cell>
          <cell r="O9" t="str">
            <v>THB</v>
          </cell>
        </row>
        <row r="11">
          <cell r="A11" t="str">
            <v>Sales</v>
          </cell>
          <cell r="B11" t="str">
            <v>Turnover</v>
          </cell>
          <cell r="F11">
            <v>149709179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149709179</v>
          </cell>
          <cell r="L11" t="str">
            <v>ok</v>
          </cell>
          <cell r="M11">
            <v>6200954.1941799996</v>
          </cell>
          <cell r="N11" t="str">
            <v>ok</v>
          </cell>
          <cell r="O11">
            <v>176552134</v>
          </cell>
        </row>
        <row r="12">
          <cell r="M12" t="str">
            <v xml:space="preserve"> </v>
          </cell>
        </row>
        <row r="13">
          <cell r="A13" t="str">
            <v>COS</v>
          </cell>
          <cell r="B13" t="str">
            <v>Cost of sales</v>
          </cell>
          <cell r="F13">
            <v>-113540907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-113540907</v>
          </cell>
          <cell r="L13" t="str">
            <v>ok</v>
          </cell>
          <cell r="M13">
            <v>-4702864.3679400003</v>
          </cell>
          <cell r="N13" t="str">
            <v>ok</v>
          </cell>
          <cell r="O13">
            <v>-140356098</v>
          </cell>
        </row>
        <row r="14">
          <cell r="M14" t="str">
            <v xml:space="preserve"> </v>
          </cell>
        </row>
        <row r="15">
          <cell r="A15" t="str">
            <v>GP</v>
          </cell>
          <cell r="B15" t="str">
            <v>Gross profit</v>
          </cell>
          <cell r="F15">
            <v>36168272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36168272</v>
          </cell>
          <cell r="L15" t="str">
            <v>ok</v>
          </cell>
          <cell r="M15">
            <v>1498089.8262399998</v>
          </cell>
          <cell r="N15" t="str">
            <v>ok</v>
          </cell>
          <cell r="O15">
            <v>36196036</v>
          </cell>
        </row>
        <row r="16">
          <cell r="M16" t="str">
            <v xml:space="preserve"> </v>
          </cell>
        </row>
        <row r="17">
          <cell r="A17">
            <v>30000</v>
          </cell>
          <cell r="B17" t="str">
            <v>Other income</v>
          </cell>
          <cell r="F17">
            <v>128233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128233</v>
          </cell>
          <cell r="L17" t="str">
            <v>ok</v>
          </cell>
          <cell r="M17">
            <v>5311.41086</v>
          </cell>
          <cell r="N17" t="str">
            <v>ok</v>
          </cell>
          <cell r="O17">
            <v>208228</v>
          </cell>
        </row>
        <row r="18">
          <cell r="K18">
            <v>0</v>
          </cell>
          <cell r="M18" t="str">
            <v xml:space="preserve"> </v>
          </cell>
        </row>
        <row r="19">
          <cell r="A19" t="str">
            <v>SC</v>
          </cell>
          <cell r="B19" t="str">
            <v>Staff costs</v>
          </cell>
          <cell r="F19">
            <v>-16281681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-16281681</v>
          </cell>
          <cell r="L19" t="str">
            <v>ok</v>
          </cell>
          <cell r="M19">
            <v>-674387.22701999999</v>
          </cell>
          <cell r="N19" t="str">
            <v>ok</v>
          </cell>
          <cell r="O19">
            <v>-16864977</v>
          </cell>
        </row>
        <row r="20">
          <cell r="K20">
            <v>0</v>
          </cell>
          <cell r="M20" t="str">
            <v xml:space="preserve"> </v>
          </cell>
        </row>
        <row r="21">
          <cell r="A21" t="str">
            <v>RE</v>
          </cell>
          <cell r="B21" t="str">
            <v>Rental expenses</v>
          </cell>
          <cell r="F21">
            <v>-1600939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-1600939</v>
          </cell>
          <cell r="L21" t="str">
            <v>ok</v>
          </cell>
          <cell r="M21">
            <v>-66309.893379999994</v>
          </cell>
          <cell r="N21" t="str">
            <v>ok</v>
          </cell>
          <cell r="O21">
            <v>-737512</v>
          </cell>
        </row>
        <row r="22">
          <cell r="K22">
            <v>0</v>
          </cell>
          <cell r="M22" t="str">
            <v xml:space="preserve"> </v>
          </cell>
        </row>
        <row r="23">
          <cell r="A23" t="str">
            <v>DEP</v>
          </cell>
          <cell r="B23" t="str">
            <v>Depreciation and amortisation</v>
          </cell>
          <cell r="F23">
            <v>-989987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-989987</v>
          </cell>
          <cell r="L23" t="str">
            <v>ok</v>
          </cell>
          <cell r="M23">
            <v>-41005.26154</v>
          </cell>
          <cell r="N23" t="str">
            <v>ok</v>
          </cell>
          <cell r="O23">
            <v>-922686</v>
          </cell>
        </row>
        <row r="24">
          <cell r="K24">
            <v>0</v>
          </cell>
          <cell r="M24" t="str">
            <v xml:space="preserve"> </v>
          </cell>
        </row>
        <row r="25">
          <cell r="A25" t="str">
            <v>OOE</v>
          </cell>
          <cell r="B25" t="str">
            <v>Other operating expenses</v>
          </cell>
          <cell r="F25">
            <v>-11272206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-11272206</v>
          </cell>
          <cell r="L25" t="str">
            <v>ok</v>
          </cell>
          <cell r="M25">
            <v>-466894.77252</v>
          </cell>
          <cell r="N25" t="str">
            <v>ok</v>
          </cell>
          <cell r="O25">
            <v>-10512358</v>
          </cell>
        </row>
        <row r="26">
          <cell r="K26">
            <v>0</v>
          </cell>
          <cell r="M26" t="str">
            <v xml:space="preserve"> </v>
          </cell>
        </row>
        <row r="27">
          <cell r="A27" t="str">
            <v>FI</v>
          </cell>
          <cell r="B27" t="str">
            <v>Finance income</v>
          </cell>
          <cell r="F27">
            <v>37936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37936</v>
          </cell>
          <cell r="L27" t="str">
            <v>ok</v>
          </cell>
          <cell r="M27">
            <v>1571.3091199999999</v>
          </cell>
          <cell r="N27" t="str">
            <v>ok</v>
          </cell>
          <cell r="O27">
            <v>0</v>
          </cell>
        </row>
        <row r="28">
          <cell r="K28">
            <v>0</v>
          </cell>
          <cell r="M28" t="str">
            <v xml:space="preserve"> </v>
          </cell>
        </row>
        <row r="29">
          <cell r="A29" t="str">
            <v>fincost</v>
          </cell>
          <cell r="B29" t="str">
            <v>Finance costs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 t="str">
            <v xml:space="preserve"> </v>
          </cell>
          <cell r="O29">
            <v>0</v>
          </cell>
        </row>
        <row r="30">
          <cell r="M30" t="str">
            <v xml:space="preserve"> </v>
          </cell>
        </row>
        <row r="31">
          <cell r="A31" t="str">
            <v>PBT</v>
          </cell>
          <cell r="B31" t="str">
            <v xml:space="preserve">Profit for the year before share of results of </v>
          </cell>
          <cell r="F31">
            <v>6189628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6189628</v>
          </cell>
          <cell r="L31" t="str">
            <v>ok</v>
          </cell>
          <cell r="M31">
            <v>256375.39176</v>
          </cell>
          <cell r="N31" t="str">
            <v>ok</v>
          </cell>
          <cell r="O31">
            <v>7366731</v>
          </cell>
        </row>
        <row r="32">
          <cell r="B32" t="str">
            <v>joint ventures and subsidiary</v>
          </cell>
          <cell r="M32" t="str">
            <v xml:space="preserve"> </v>
          </cell>
        </row>
        <row r="33">
          <cell r="M33" t="str">
            <v xml:space="preserve"> </v>
          </cell>
        </row>
        <row r="34">
          <cell r="B34" t="str">
            <v>Share of results of an unconsolidated subsidiary</v>
          </cell>
          <cell r="M34" t="str">
            <v xml:space="preserve"> </v>
          </cell>
          <cell r="O34">
            <v>0</v>
          </cell>
        </row>
        <row r="35">
          <cell r="B35" t="str">
            <v>Share of results of joint ventures</v>
          </cell>
          <cell r="M35" t="str">
            <v xml:space="preserve"> </v>
          </cell>
          <cell r="O35">
            <v>0</v>
          </cell>
        </row>
        <row r="36">
          <cell r="M36" t="str">
            <v xml:space="preserve"> </v>
          </cell>
        </row>
        <row r="37">
          <cell r="B37" t="str">
            <v>Profit for the year before taxation</v>
          </cell>
          <cell r="F37">
            <v>6189628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6189628</v>
          </cell>
          <cell r="M37">
            <v>256375.39176</v>
          </cell>
          <cell r="O37">
            <v>7366731</v>
          </cell>
        </row>
        <row r="38">
          <cell r="A38">
            <v>70000</v>
          </cell>
          <cell r="B38" t="str">
            <v>Taxation</v>
          </cell>
          <cell r="F38">
            <v>-2001741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-2001741</v>
          </cell>
          <cell r="L38" t="str">
            <v>ok</v>
          </cell>
          <cell r="M38">
            <v>-82912.112219999995</v>
          </cell>
          <cell r="N38" t="str">
            <v>ok</v>
          </cell>
          <cell r="O38">
            <v>-2271344</v>
          </cell>
        </row>
        <row r="39">
          <cell r="M39" t="str">
            <v xml:space="preserve"> </v>
          </cell>
        </row>
        <row r="40">
          <cell r="A40" t="str">
            <v>PAT</v>
          </cell>
          <cell r="B40" t="str">
            <v>Profit for the year after taxation before MI</v>
          </cell>
          <cell r="F40">
            <v>4187887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4187887</v>
          </cell>
          <cell r="M40">
            <v>173463.27953999999</v>
          </cell>
          <cell r="O40">
            <v>5095387</v>
          </cell>
        </row>
        <row r="41">
          <cell r="A41">
            <v>80000</v>
          </cell>
          <cell r="B41" t="str">
            <v>Minority Interest</v>
          </cell>
          <cell r="M41" t="str">
            <v xml:space="preserve"> </v>
          </cell>
        </row>
        <row r="42">
          <cell r="M42" t="str">
            <v xml:space="preserve"> </v>
          </cell>
        </row>
        <row r="43">
          <cell r="B43" t="str">
            <v>Profit attributable to shareholders</v>
          </cell>
          <cell r="F43">
            <v>4187887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4187887</v>
          </cell>
          <cell r="L43" t="str">
            <v>ok</v>
          </cell>
          <cell r="M43">
            <v>173463.27953999999</v>
          </cell>
          <cell r="N43" t="str">
            <v>ok</v>
          </cell>
          <cell r="O43">
            <v>5095387</v>
          </cell>
        </row>
        <row r="44">
          <cell r="M44" t="str">
            <v xml:space="preserve"> </v>
          </cell>
        </row>
        <row r="45">
          <cell r="G45" t="str">
            <v>total AJE in Dr</v>
          </cell>
          <cell r="H45" t="str">
            <v>total AJE in Cr</v>
          </cell>
          <cell r="I45" t="str">
            <v>total RJE in Dr</v>
          </cell>
          <cell r="J45" t="str">
            <v>total RJE in Cr</v>
          </cell>
          <cell r="K45">
            <v>0</v>
          </cell>
        </row>
        <row r="49">
          <cell r="B49" t="str">
            <v>Client  : BDP ASIA PACIFIC LTD</v>
          </cell>
        </row>
        <row r="50">
          <cell r="B50" t="str">
            <v>(Incorporated in the THAILAND</v>
          </cell>
        </row>
        <row r="52">
          <cell r="B52" t="str">
            <v>BALANCE SHEET AS AT 31 DECEMBER 2005</v>
          </cell>
        </row>
        <row r="53">
          <cell r="F53" t="str">
            <v>unaudited</v>
          </cell>
          <cell r="G53" t="str">
            <v>Audit Adjustment (AJE)</v>
          </cell>
          <cell r="I53" t="str">
            <v>Reclassification (RJE)</v>
          </cell>
          <cell r="K53" t="str">
            <v>audited</v>
          </cell>
          <cell r="M53" t="str">
            <v>audited</v>
          </cell>
          <cell r="O53" t="str">
            <v>audited</v>
          </cell>
        </row>
        <row r="54">
          <cell r="D54" t="str">
            <v>WP REF</v>
          </cell>
          <cell r="F54" t="str">
            <v>31.12.2005</v>
          </cell>
          <cell r="G54" t="str">
            <v>DR</v>
          </cell>
          <cell r="H54" t="str">
            <v>CR</v>
          </cell>
          <cell r="I54" t="str">
            <v>DR</v>
          </cell>
          <cell r="J54" t="str">
            <v>CR</v>
          </cell>
          <cell r="K54" t="str">
            <v>31.12.2005</v>
          </cell>
          <cell r="M54" t="str">
            <v>31.12.2005</v>
          </cell>
          <cell r="O54" t="str">
            <v>31.12.2004</v>
          </cell>
        </row>
        <row r="55">
          <cell r="F55" t="str">
            <v>THB</v>
          </cell>
          <cell r="G55" t="str">
            <v>THB</v>
          </cell>
          <cell r="H55" t="str">
            <v>THB</v>
          </cell>
          <cell r="I55" t="str">
            <v>THB</v>
          </cell>
          <cell r="J55" t="str">
            <v>THB</v>
          </cell>
          <cell r="K55" t="str">
            <v>THB</v>
          </cell>
          <cell r="M55" t="str">
            <v>S$</v>
          </cell>
          <cell r="O55" t="str">
            <v>THB</v>
          </cell>
        </row>
        <row r="56">
          <cell r="B56" t="str">
            <v>ASSETS</v>
          </cell>
        </row>
        <row r="57">
          <cell r="B57" t="str">
            <v>Non-current assets</v>
          </cell>
          <cell r="K57">
            <v>0</v>
          </cell>
        </row>
        <row r="58">
          <cell r="A58">
            <v>1000</v>
          </cell>
          <cell r="B58" t="str">
            <v xml:space="preserve">    Property, plant and equipment </v>
          </cell>
          <cell r="F58">
            <v>1653454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1653454</v>
          </cell>
          <cell r="L58" t="str">
            <v>ok</v>
          </cell>
          <cell r="M58">
            <v>67262.508719999998</v>
          </cell>
          <cell r="N58" t="str">
            <v>ok</v>
          </cell>
          <cell r="O58">
            <v>2518765</v>
          </cell>
        </row>
        <row r="59">
          <cell r="A59">
            <v>1200</v>
          </cell>
          <cell r="B59" t="str">
            <v xml:space="preserve">    Investment in subsidiary companies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</row>
        <row r="60">
          <cell r="A60">
            <v>1300</v>
          </cell>
          <cell r="B60" t="str">
            <v xml:space="preserve">    Investment in joint ventures</v>
          </cell>
          <cell r="F60">
            <v>0</v>
          </cell>
          <cell r="M60">
            <v>0</v>
          </cell>
          <cell r="O60">
            <v>0</v>
          </cell>
        </row>
        <row r="61">
          <cell r="A61">
            <v>1400</v>
          </cell>
          <cell r="B61" t="str">
            <v xml:space="preserve">    Deferred tax assets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</row>
        <row r="62"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Current assets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2100</v>
          </cell>
          <cell r="B64" t="str">
            <v xml:space="preserve">    Trade debtors</v>
          </cell>
          <cell r="F64">
            <v>16834852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16834852</v>
          </cell>
          <cell r="L64" t="str">
            <v>ok</v>
          </cell>
          <cell r="M64">
            <v>684841.77936000004</v>
          </cell>
          <cell r="N64" t="str">
            <v>ok</v>
          </cell>
          <cell r="O64">
            <v>15341331</v>
          </cell>
        </row>
        <row r="65">
          <cell r="A65">
            <v>2200</v>
          </cell>
          <cell r="B65" t="str">
            <v xml:space="preserve">    Other debtors, deposit and prepayments </v>
          </cell>
          <cell r="F65">
            <v>3065824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3065824</v>
          </cell>
          <cell r="L65" t="str">
            <v>ok</v>
          </cell>
          <cell r="M65">
            <v>124717.72032000001</v>
          </cell>
          <cell r="N65" t="str">
            <v>ok</v>
          </cell>
          <cell r="O65">
            <v>6319883</v>
          </cell>
        </row>
        <row r="66">
          <cell r="A66">
            <v>5001</v>
          </cell>
          <cell r="B66" t="str">
            <v xml:space="preserve">    Amount due from ultimate holding company</v>
          </cell>
          <cell r="G66">
            <v>0</v>
          </cell>
          <cell r="H66">
            <v>0</v>
          </cell>
          <cell r="I66">
            <v>2888174</v>
          </cell>
          <cell r="J66">
            <v>0</v>
          </cell>
          <cell r="K66">
            <v>2888174</v>
          </cell>
          <cell r="L66" t="str">
            <v>ok</v>
          </cell>
          <cell r="M66">
            <v>117490.91832</v>
          </cell>
          <cell r="N66" t="str">
            <v>ok</v>
          </cell>
          <cell r="O66">
            <v>0</v>
          </cell>
        </row>
        <row r="67">
          <cell r="A67">
            <v>5201</v>
          </cell>
          <cell r="B67" t="str">
            <v xml:space="preserve">    Amount due from immediate holding company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O67">
            <v>778050</v>
          </cell>
        </row>
        <row r="68">
          <cell r="A68">
            <v>5301</v>
          </cell>
          <cell r="B68" t="str">
            <v xml:space="preserve">    Amount due from BDP Singapore</v>
          </cell>
          <cell r="G68">
            <v>0</v>
          </cell>
          <cell r="H68">
            <v>0</v>
          </cell>
          <cell r="I68">
            <v>324342</v>
          </cell>
          <cell r="J68">
            <v>0</v>
          </cell>
          <cell r="K68">
            <v>324342</v>
          </cell>
          <cell r="L68" t="str">
            <v>ok</v>
          </cell>
          <cell r="M68">
            <v>13194.23256</v>
          </cell>
          <cell r="N68" t="str">
            <v>ok</v>
          </cell>
          <cell r="O68">
            <v>0</v>
          </cell>
        </row>
        <row r="69">
          <cell r="A69">
            <v>5302</v>
          </cell>
          <cell r="B69" t="str">
            <v xml:space="preserve">    Amount due from BDP Malaysia</v>
          </cell>
          <cell r="G69">
            <v>0</v>
          </cell>
          <cell r="H69">
            <v>0</v>
          </cell>
          <cell r="I69">
            <v>565025</v>
          </cell>
          <cell r="J69">
            <v>0</v>
          </cell>
          <cell r="K69">
            <v>565025</v>
          </cell>
          <cell r="L69" t="str">
            <v>ok</v>
          </cell>
          <cell r="M69">
            <v>22985.217000000001</v>
          </cell>
          <cell r="N69" t="str">
            <v>ok</v>
          </cell>
          <cell r="O69">
            <v>0</v>
          </cell>
        </row>
        <row r="70">
          <cell r="A70">
            <v>5303</v>
          </cell>
          <cell r="B70" t="str">
            <v xml:space="preserve">    Amount due from BDP Thai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M70">
            <v>0</v>
          </cell>
          <cell r="N70" t="str">
            <v xml:space="preserve"> </v>
          </cell>
          <cell r="O70">
            <v>0</v>
          </cell>
        </row>
        <row r="71">
          <cell r="A71">
            <v>5304</v>
          </cell>
          <cell r="B71" t="str">
            <v xml:space="preserve">    Amount due from BDP Aus</v>
          </cell>
          <cell r="G71">
            <v>0</v>
          </cell>
          <cell r="H71">
            <v>0</v>
          </cell>
          <cell r="I71">
            <v>64711</v>
          </cell>
          <cell r="J71">
            <v>0</v>
          </cell>
          <cell r="K71">
            <v>64711</v>
          </cell>
          <cell r="L71" t="str">
            <v>ok</v>
          </cell>
          <cell r="M71">
            <v>2632.4434799999999</v>
          </cell>
          <cell r="N71" t="str">
            <v>ok</v>
          </cell>
          <cell r="O71">
            <v>0</v>
          </cell>
        </row>
        <row r="72">
          <cell r="A72">
            <v>5305</v>
          </cell>
          <cell r="B72" t="str">
            <v xml:space="preserve">    Amount due from BDP Shanghai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</row>
        <row r="73">
          <cell r="A73">
            <v>5306</v>
          </cell>
          <cell r="B73" t="str">
            <v xml:space="preserve">    Amount due from Taiwan branch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</row>
        <row r="74">
          <cell r="A74">
            <v>5307</v>
          </cell>
          <cell r="B74" t="str">
            <v xml:space="preserve">    Amount due from BDP FRD Mal 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</row>
        <row r="75">
          <cell r="A75">
            <v>5501</v>
          </cell>
          <cell r="B75" t="str">
            <v xml:space="preserve">    Amount due from related companies</v>
          </cell>
          <cell r="F75">
            <v>5307745</v>
          </cell>
          <cell r="G75">
            <v>0</v>
          </cell>
          <cell r="H75">
            <v>0</v>
          </cell>
          <cell r="I75">
            <v>0</v>
          </cell>
          <cell r="J75">
            <v>3842252</v>
          </cell>
          <cell r="K75">
            <v>1465493</v>
          </cell>
          <cell r="L75" t="str">
            <v>ok</v>
          </cell>
          <cell r="M75">
            <v>59616.255239999999</v>
          </cell>
          <cell r="N75" t="str">
            <v>ok</v>
          </cell>
          <cell r="O75">
            <v>8811950</v>
          </cell>
        </row>
        <row r="76">
          <cell r="A76">
            <v>2401</v>
          </cell>
          <cell r="B76" t="str">
            <v xml:space="preserve">    Fixed deposit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M76">
            <v>0</v>
          </cell>
          <cell r="O76">
            <v>0</v>
          </cell>
        </row>
        <row r="77">
          <cell r="A77">
            <v>2400</v>
          </cell>
          <cell r="B77" t="str">
            <v xml:space="preserve">    Cash at bank</v>
          </cell>
          <cell r="F77">
            <v>12873340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12873340</v>
          </cell>
          <cell r="L77" t="str">
            <v>ok</v>
          </cell>
          <cell r="M77">
            <v>523687.47120000003</v>
          </cell>
          <cell r="N77" t="str">
            <v>ok</v>
          </cell>
          <cell r="O77">
            <v>8551514</v>
          </cell>
        </row>
        <row r="78">
          <cell r="K78">
            <v>0</v>
          </cell>
        </row>
        <row r="79">
          <cell r="A79" t="str">
            <v>CA</v>
          </cell>
          <cell r="F79">
            <v>38081761</v>
          </cell>
          <cell r="G79">
            <v>0</v>
          </cell>
          <cell r="H79">
            <v>0</v>
          </cell>
          <cell r="I79">
            <v>3842252</v>
          </cell>
          <cell r="J79">
            <v>3842252</v>
          </cell>
          <cell r="K79">
            <v>38081761</v>
          </cell>
          <cell r="M79">
            <v>1549165.0374799999</v>
          </cell>
          <cell r="O79">
            <v>39802728</v>
          </cell>
        </row>
        <row r="80">
          <cell r="K80">
            <v>0</v>
          </cell>
        </row>
        <row r="81">
          <cell r="A81" t="str">
            <v>TA</v>
          </cell>
          <cell r="B81" t="str">
            <v>TOTAL ASSETS</v>
          </cell>
          <cell r="F81">
            <v>39735215</v>
          </cell>
          <cell r="G81">
            <v>0</v>
          </cell>
          <cell r="H81">
            <v>0</v>
          </cell>
          <cell r="I81">
            <v>3842252</v>
          </cell>
          <cell r="J81">
            <v>3842252</v>
          </cell>
          <cell r="K81">
            <v>39735215</v>
          </cell>
          <cell r="L81" t="str">
            <v>ok</v>
          </cell>
          <cell r="M81">
            <v>1616427.5462</v>
          </cell>
          <cell r="N81" t="str">
            <v>ok</v>
          </cell>
          <cell r="O81">
            <v>42321493</v>
          </cell>
        </row>
        <row r="82">
          <cell r="K82">
            <v>0</v>
          </cell>
        </row>
        <row r="83">
          <cell r="B83" t="str">
            <v>EQUITY AND LIABILITIES</v>
          </cell>
          <cell r="K83">
            <v>0</v>
          </cell>
        </row>
        <row r="84">
          <cell r="B84" t="str">
            <v>Capital and reserves</v>
          </cell>
          <cell r="K84">
            <v>0</v>
          </cell>
        </row>
        <row r="85">
          <cell r="A85">
            <v>6000</v>
          </cell>
          <cell r="B85" t="str">
            <v xml:space="preserve">    Share capital</v>
          </cell>
          <cell r="F85">
            <v>6000000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6000000</v>
          </cell>
          <cell r="L85" t="str">
            <v>ok</v>
          </cell>
          <cell r="M85">
            <v>251100</v>
          </cell>
          <cell r="N85" t="str">
            <v>ok</v>
          </cell>
          <cell r="O85">
            <v>6000000</v>
          </cell>
        </row>
        <row r="86">
          <cell r="A86">
            <v>6100</v>
          </cell>
          <cell r="B86" t="str">
            <v xml:space="preserve">     Reserves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 t="str">
            <v xml:space="preserve"> </v>
          </cell>
        </row>
        <row r="87">
          <cell r="A87">
            <v>6101</v>
          </cell>
          <cell r="C87" t="str">
            <v>RETAINED EARNINGS</v>
          </cell>
          <cell r="F87">
            <v>6021756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6021756</v>
          </cell>
          <cell r="L87" t="str">
            <v>ok</v>
          </cell>
          <cell r="M87">
            <v>261148</v>
          </cell>
          <cell r="N87" t="str">
            <v>ok</v>
          </cell>
          <cell r="O87">
            <v>926369</v>
          </cell>
        </row>
        <row r="88">
          <cell r="A88">
            <v>6103</v>
          </cell>
          <cell r="B88" t="str">
            <v xml:space="preserve">    </v>
          </cell>
          <cell r="C88" t="str">
            <v>PROPOSED DIVIDEND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O88">
            <v>0</v>
          </cell>
        </row>
        <row r="89">
          <cell r="A89">
            <v>6102</v>
          </cell>
          <cell r="C89" t="str">
            <v>PROFIT (LOSS) FOR PERIOD</v>
          </cell>
          <cell r="F89">
            <v>4187887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4187887</v>
          </cell>
          <cell r="L89" t="str">
            <v>ok</v>
          </cell>
          <cell r="M89">
            <v>173463.27953999932</v>
          </cell>
          <cell r="N89" t="str">
            <v>ok</v>
          </cell>
          <cell r="O89">
            <v>5095387</v>
          </cell>
        </row>
        <row r="90">
          <cell r="A90">
            <v>6200</v>
          </cell>
          <cell r="B90" t="str">
            <v xml:space="preserve">    Retained earnings</v>
          </cell>
          <cell r="F90">
            <v>10209643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10209643</v>
          </cell>
          <cell r="M90">
            <v>434611.27953999932</v>
          </cell>
          <cell r="O90">
            <v>6021756</v>
          </cell>
        </row>
        <row r="91">
          <cell r="A91">
            <v>6300</v>
          </cell>
          <cell r="B91" t="str">
            <v xml:space="preserve">    Translation reserves</v>
          </cell>
          <cell r="M91">
            <v>-26303</v>
          </cell>
          <cell r="N91" t="str">
            <v>ok</v>
          </cell>
          <cell r="O91">
            <v>0</v>
          </cell>
          <cell r="Q91" t="str">
            <v>Check</v>
          </cell>
          <cell r="R91" t="str">
            <v>ok</v>
          </cell>
        </row>
        <row r="93">
          <cell r="A93" t="str">
            <v>TEQ</v>
          </cell>
          <cell r="F93">
            <v>16209643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16209643</v>
          </cell>
          <cell r="M93">
            <v>659408.27953999932</v>
          </cell>
          <cell r="O93">
            <v>12021756</v>
          </cell>
        </row>
        <row r="94">
          <cell r="B94" t="str">
            <v>Non-current liabilities</v>
          </cell>
          <cell r="K94">
            <v>0</v>
          </cell>
        </row>
        <row r="95">
          <cell r="A95">
            <v>4301</v>
          </cell>
          <cell r="B95" t="str">
            <v xml:space="preserve">    Hire purchase creditors (after 12 months)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</row>
        <row r="96">
          <cell r="A96">
            <v>4302</v>
          </cell>
          <cell r="B96" t="str">
            <v xml:space="preserve">    Deferred taxation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</row>
        <row r="97">
          <cell r="A97" t="str">
            <v>LTL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</row>
        <row r="98">
          <cell r="B98" t="str">
            <v>Current liabilities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 t="str">
            <v xml:space="preserve"> </v>
          </cell>
        </row>
        <row r="99">
          <cell r="A99">
            <v>3002</v>
          </cell>
          <cell r="B99" t="str">
            <v xml:space="preserve">    Trade creditors </v>
          </cell>
          <cell r="F99">
            <v>3742878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3742878</v>
          </cell>
          <cell r="L99" t="str">
            <v>ok</v>
          </cell>
          <cell r="M99">
            <v>152260.27704000002</v>
          </cell>
          <cell r="N99" t="str">
            <v>ok</v>
          </cell>
          <cell r="O99">
            <v>7375600</v>
          </cell>
        </row>
        <row r="100">
          <cell r="A100">
            <v>3101</v>
          </cell>
          <cell r="B100" t="str">
            <v xml:space="preserve">    Other creditors and accruals</v>
          </cell>
          <cell r="F100">
            <v>6314581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6314581</v>
          </cell>
          <cell r="L100" t="str">
            <v>ok</v>
          </cell>
          <cell r="M100">
            <v>256877.15508</v>
          </cell>
          <cell r="N100" t="str">
            <v>ok</v>
          </cell>
          <cell r="O100">
            <v>11138135</v>
          </cell>
        </row>
        <row r="101">
          <cell r="A101">
            <v>5002</v>
          </cell>
          <cell r="B101" t="str">
            <v xml:space="preserve">    Amount due to ultimate holding company</v>
          </cell>
          <cell r="G101">
            <v>0</v>
          </cell>
          <cell r="H101">
            <v>0</v>
          </cell>
          <cell r="I101">
            <v>0</v>
          </cell>
          <cell r="J101">
            <v>3900448</v>
          </cell>
          <cell r="K101">
            <v>3900448</v>
          </cell>
          <cell r="L101" t="str">
            <v>ok</v>
          </cell>
          <cell r="M101">
            <v>158670.22464</v>
          </cell>
          <cell r="N101" t="str">
            <v>ok</v>
          </cell>
          <cell r="O101">
            <v>0</v>
          </cell>
        </row>
        <row r="102">
          <cell r="A102">
            <v>5202</v>
          </cell>
          <cell r="B102" t="str">
            <v xml:space="preserve">    Amount due to immediate holding company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2978797</v>
          </cell>
        </row>
        <row r="103">
          <cell r="A103">
            <v>5308</v>
          </cell>
          <cell r="B103" t="str">
            <v xml:space="preserve">    Amount due to BDP Singapore</v>
          </cell>
          <cell r="G103">
            <v>0</v>
          </cell>
          <cell r="H103">
            <v>0</v>
          </cell>
          <cell r="I103">
            <v>0</v>
          </cell>
          <cell r="J103">
            <v>7676834</v>
          </cell>
          <cell r="K103">
            <v>7676834</v>
          </cell>
          <cell r="L103" t="str">
            <v>ok</v>
          </cell>
          <cell r="M103">
            <v>312293.60712</v>
          </cell>
          <cell r="N103" t="str">
            <v>ok</v>
          </cell>
          <cell r="O103">
            <v>0</v>
          </cell>
        </row>
        <row r="104">
          <cell r="A104">
            <v>5309</v>
          </cell>
          <cell r="B104" t="str">
            <v xml:space="preserve">    Amount due to BDP Malaysia</v>
          </cell>
          <cell r="G104">
            <v>0</v>
          </cell>
          <cell r="H104">
            <v>0</v>
          </cell>
          <cell r="I104">
            <v>0</v>
          </cell>
          <cell r="J104">
            <v>31145</v>
          </cell>
          <cell r="K104">
            <v>31145</v>
          </cell>
          <cell r="L104" t="str">
            <v>ok</v>
          </cell>
          <cell r="M104">
            <v>1266.9785999999999</v>
          </cell>
          <cell r="N104" t="str">
            <v>ok</v>
          </cell>
          <cell r="O104">
            <v>0</v>
          </cell>
        </row>
        <row r="105">
          <cell r="A105">
            <v>5310</v>
          </cell>
          <cell r="B105" t="str">
            <v xml:space="preserve">    Amount due to BDP Thai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</row>
        <row r="106">
          <cell r="A106">
            <v>5311</v>
          </cell>
          <cell r="B106" t="str">
            <v xml:space="preserve">    Amount due to BDP Aus</v>
          </cell>
          <cell r="G106">
            <v>0</v>
          </cell>
          <cell r="H106">
            <v>0</v>
          </cell>
          <cell r="I106">
            <v>0</v>
          </cell>
          <cell r="J106">
            <v>216967</v>
          </cell>
          <cell r="K106">
            <v>216967</v>
          </cell>
          <cell r="L106" t="str">
            <v>ok</v>
          </cell>
          <cell r="M106">
            <v>8826.217560000001</v>
          </cell>
          <cell r="N106" t="str">
            <v>ok</v>
          </cell>
          <cell r="O106">
            <v>0</v>
          </cell>
        </row>
        <row r="107">
          <cell r="A107">
            <v>5312</v>
          </cell>
          <cell r="B107" t="str">
            <v xml:space="preserve">    Amount due to BDP Shanghai</v>
          </cell>
          <cell r="G107">
            <v>0</v>
          </cell>
          <cell r="H107">
            <v>0</v>
          </cell>
          <cell r="I107">
            <v>0</v>
          </cell>
          <cell r="J107">
            <v>34519</v>
          </cell>
          <cell r="K107">
            <v>34519</v>
          </cell>
          <cell r="L107" t="str">
            <v>ok</v>
          </cell>
          <cell r="M107">
            <v>1404.2329199999999</v>
          </cell>
          <cell r="N107" t="str">
            <v>ok</v>
          </cell>
          <cell r="O107">
            <v>0</v>
          </cell>
        </row>
        <row r="108">
          <cell r="A108">
            <v>5313</v>
          </cell>
          <cell r="B108" t="str">
            <v xml:space="preserve">    Amount due to Taiwan branch</v>
          </cell>
          <cell r="G108">
            <v>0</v>
          </cell>
          <cell r="H108">
            <v>0</v>
          </cell>
          <cell r="I108">
            <v>0</v>
          </cell>
          <cell r="J108">
            <v>10515</v>
          </cell>
          <cell r="K108">
            <v>10515</v>
          </cell>
          <cell r="L108" t="str">
            <v>ok</v>
          </cell>
          <cell r="M108">
            <v>427.75020000000001</v>
          </cell>
          <cell r="N108" t="str">
            <v>ok</v>
          </cell>
          <cell r="O108">
            <v>0</v>
          </cell>
        </row>
        <row r="109">
          <cell r="A109">
            <v>5314</v>
          </cell>
          <cell r="B109" t="str">
            <v xml:space="preserve">    Amount due to BDP FRD Mal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</row>
        <row r="110">
          <cell r="A110">
            <v>5502</v>
          </cell>
          <cell r="B110" t="str">
            <v xml:space="preserve">    Amount due to related companies</v>
          </cell>
          <cell r="F110">
            <v>13468113</v>
          </cell>
          <cell r="G110">
            <v>0</v>
          </cell>
          <cell r="H110">
            <v>0</v>
          </cell>
          <cell r="I110">
            <v>11870428</v>
          </cell>
          <cell r="J110">
            <v>0</v>
          </cell>
          <cell r="K110">
            <v>1597685</v>
          </cell>
          <cell r="L110" t="str">
            <v>ok</v>
          </cell>
          <cell r="M110">
            <v>64993.825799999999</v>
          </cell>
          <cell r="N110" t="str">
            <v>ok</v>
          </cell>
          <cell r="O110">
            <v>8807205</v>
          </cell>
        </row>
        <row r="111">
          <cell r="A111">
            <v>5602</v>
          </cell>
          <cell r="B111" t="str">
            <v xml:space="preserve">    Amount due to directors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</row>
        <row r="112">
          <cell r="A112" t="str">
            <v>4301A</v>
          </cell>
          <cell r="B112" t="str">
            <v xml:space="preserve">    Hire purchase creditors (within 12 months)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</row>
        <row r="113">
          <cell r="A113">
            <v>4400</v>
          </cell>
          <cell r="B113" t="str">
            <v xml:space="preserve">    Bank overdraft (Secured)</v>
          </cell>
          <cell r="M113">
            <v>0</v>
          </cell>
          <cell r="O113">
            <v>0</v>
          </cell>
        </row>
        <row r="114">
          <cell r="A114">
            <v>4450</v>
          </cell>
          <cell r="B114" t="str">
            <v xml:space="preserve">    Short term loan (Secured)</v>
          </cell>
          <cell r="M114">
            <v>0</v>
          </cell>
          <cell r="O114">
            <v>0</v>
          </cell>
        </row>
        <row r="115">
          <cell r="A115">
            <v>4460</v>
          </cell>
          <cell r="B115" t="str">
            <v xml:space="preserve">    Proposed dividends</v>
          </cell>
          <cell r="M115">
            <v>0</v>
          </cell>
          <cell r="O115">
            <v>0</v>
          </cell>
        </row>
        <row r="116">
          <cell r="A116">
            <v>3201</v>
          </cell>
          <cell r="B116" t="str">
            <v xml:space="preserve">    Provision for taxation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O116">
            <v>0</v>
          </cell>
        </row>
        <row r="117">
          <cell r="K117">
            <v>0</v>
          </cell>
        </row>
        <row r="118">
          <cell r="A118" t="str">
            <v>CL</v>
          </cell>
          <cell r="F118">
            <v>23525572</v>
          </cell>
          <cell r="G118">
            <v>0</v>
          </cell>
          <cell r="H118">
            <v>0</v>
          </cell>
          <cell r="I118">
            <v>11870428</v>
          </cell>
          <cell r="J118">
            <v>11870428</v>
          </cell>
          <cell r="K118">
            <v>23525572</v>
          </cell>
          <cell r="M118">
            <v>957020.26896000002</v>
          </cell>
          <cell r="O118">
            <v>30299737</v>
          </cell>
        </row>
        <row r="120">
          <cell r="B120" t="str">
            <v>TOTAL EQUITY AND LIABILITIES</v>
          </cell>
          <cell r="F120">
            <v>39735215</v>
          </cell>
          <cell r="G120">
            <v>0</v>
          </cell>
          <cell r="H120">
            <v>0</v>
          </cell>
          <cell r="I120">
            <v>11870428</v>
          </cell>
          <cell r="J120">
            <v>11870428</v>
          </cell>
          <cell r="K120">
            <v>39735215</v>
          </cell>
          <cell r="L120" t="str">
            <v>ok</v>
          </cell>
          <cell r="M120">
            <v>1616427.5484999993</v>
          </cell>
          <cell r="N120" t="str">
            <v>ok</v>
          </cell>
          <cell r="O120">
            <v>42321493</v>
          </cell>
        </row>
        <row r="121">
          <cell r="C121" t="str">
            <v>Test check</v>
          </cell>
          <cell r="F121">
            <v>0</v>
          </cell>
          <cell r="H121">
            <v>0</v>
          </cell>
          <cell r="J121">
            <v>0</v>
          </cell>
          <cell r="K121">
            <v>0</v>
          </cell>
          <cell r="M121">
            <v>-2.2999993525445461E-3</v>
          </cell>
          <cell r="O121">
            <v>0</v>
          </cell>
        </row>
        <row r="123">
          <cell r="C123" t="str">
            <v>Client  : BDP ASIA PACIFIC LTD</v>
          </cell>
        </row>
        <row r="124">
          <cell r="C124" t="str">
            <v>(Incorporated in the THAILAND</v>
          </cell>
        </row>
        <row r="126">
          <cell r="Q126" t="str">
            <v xml:space="preserve"> </v>
          </cell>
        </row>
        <row r="127">
          <cell r="C127" t="str">
            <v>DETAILED TRADING, PROFIT &amp; LOSS ACCOUNT FOR THE FINANCIAL YEAR ENDED 31 DECEMBER 2005</v>
          </cell>
          <cell r="Q127" t="str">
            <v xml:space="preserve"> </v>
          </cell>
        </row>
        <row r="128">
          <cell r="F128" t="str">
            <v>unaudited</v>
          </cell>
          <cell r="G128" t="str">
            <v>Audit Adjustment (AJE)</v>
          </cell>
          <cell r="I128" t="str">
            <v>Reclassification (RJE)</v>
          </cell>
          <cell r="K128" t="str">
            <v>audited</v>
          </cell>
          <cell r="M128" t="str">
            <v>audited</v>
          </cell>
          <cell r="O128" t="str">
            <v>audited</v>
          </cell>
        </row>
        <row r="129">
          <cell r="D129" t="str">
            <v>WP REF</v>
          </cell>
          <cell r="F129" t="str">
            <v>31.12.2005</v>
          </cell>
          <cell r="G129" t="str">
            <v>DR</v>
          </cell>
          <cell r="H129" t="str">
            <v>CR</v>
          </cell>
          <cell r="I129" t="str">
            <v>DR</v>
          </cell>
          <cell r="J129" t="str">
            <v>CR</v>
          </cell>
          <cell r="K129" t="str">
            <v>31.12.2005</v>
          </cell>
          <cell r="M129" t="str">
            <v>31.12.2005</v>
          </cell>
          <cell r="O129" t="str">
            <v>31.12.2004</v>
          </cell>
        </row>
        <row r="130">
          <cell r="F130" t="str">
            <v>THB</v>
          </cell>
          <cell r="G130" t="str">
            <v>THB</v>
          </cell>
          <cell r="H130" t="str">
            <v>THB</v>
          </cell>
          <cell r="I130" t="str">
            <v>THB</v>
          </cell>
          <cell r="J130" t="str">
            <v>THB</v>
          </cell>
          <cell r="K130" t="str">
            <v>THB</v>
          </cell>
          <cell r="M130" t="str">
            <v>S$</v>
          </cell>
          <cell r="O130" t="str">
            <v>THB</v>
          </cell>
        </row>
        <row r="131">
          <cell r="A131" t="str">
            <v>Sales</v>
          </cell>
          <cell r="B131" t="str">
            <v>SALES</v>
          </cell>
          <cell r="F131">
            <v>149709179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149709179</v>
          </cell>
          <cell r="L131" t="str">
            <v>ok</v>
          </cell>
          <cell r="M131">
            <v>6200954.1941799996</v>
          </cell>
          <cell r="N131" t="str">
            <v>ok</v>
          </cell>
          <cell r="O131">
            <v>176552134</v>
          </cell>
          <cell r="Q131">
            <v>-0.17930066265342354</v>
          </cell>
        </row>
        <row r="132">
          <cell r="A132" t="str">
            <v>COS</v>
          </cell>
          <cell r="B132" t="str">
            <v>COST OF SALES</v>
          </cell>
          <cell r="F132">
            <v>-113540907</v>
          </cell>
          <cell r="K132">
            <v>-113540907</v>
          </cell>
          <cell r="L132" t="str">
            <v>ok</v>
          </cell>
          <cell r="M132">
            <v>-4702864.3679400003</v>
          </cell>
          <cell r="N132" t="str">
            <v>ok</v>
          </cell>
          <cell r="O132">
            <v>-140356098</v>
          </cell>
          <cell r="Q132">
            <v>-0.23617206968410073</v>
          </cell>
        </row>
        <row r="133">
          <cell r="F133">
            <v>36168272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36168272</v>
          </cell>
          <cell r="M133">
            <v>1498089.8262399994</v>
          </cell>
          <cell r="O133">
            <v>36196036</v>
          </cell>
        </row>
        <row r="134">
          <cell r="A134" t="str">
            <v>GP</v>
          </cell>
          <cell r="B134" t="str">
            <v>GROSS PROFIT</v>
          </cell>
        </row>
        <row r="136">
          <cell r="A136" t="str">
            <v>OI</v>
          </cell>
          <cell r="B136" t="str">
            <v>OTHER INCOME</v>
          </cell>
          <cell r="K136">
            <v>0</v>
          </cell>
          <cell r="Q136" t="str">
            <v xml:space="preserve"> </v>
          </cell>
        </row>
        <row r="137">
          <cell r="A137">
            <v>30001</v>
          </cell>
          <cell r="B137" t="str">
            <v xml:space="preserve">    Dividend income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Q137" t="str">
            <v xml:space="preserve"> </v>
          </cell>
        </row>
        <row r="138">
          <cell r="A138">
            <v>30002</v>
          </cell>
          <cell r="B138" t="str">
            <v xml:space="preserve">    Regional cost allocation</v>
          </cell>
          <cell r="K138">
            <v>0</v>
          </cell>
          <cell r="M138">
            <v>0</v>
          </cell>
          <cell r="O138">
            <v>0</v>
          </cell>
        </row>
        <row r="139">
          <cell r="A139">
            <v>30003</v>
          </cell>
          <cell r="B139" t="str">
            <v xml:space="preserve">    Other income</v>
          </cell>
          <cell r="F139">
            <v>128233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128233</v>
          </cell>
          <cell r="L139" t="str">
            <v>ok</v>
          </cell>
          <cell r="M139">
            <v>5311.41086</v>
          </cell>
          <cell r="N139" t="str">
            <v>ok</v>
          </cell>
          <cell r="O139">
            <v>208228</v>
          </cell>
          <cell r="Q139">
            <v>-0.62382538036230928</v>
          </cell>
        </row>
        <row r="140">
          <cell r="F140">
            <v>128233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128233</v>
          </cell>
          <cell r="M140">
            <v>5311.41086</v>
          </cell>
          <cell r="O140">
            <v>208228</v>
          </cell>
          <cell r="Q140">
            <v>-0.62382538036230928</v>
          </cell>
        </row>
        <row r="142">
          <cell r="A142" t="str">
            <v>SC</v>
          </cell>
          <cell r="B142" t="str">
            <v>STAFF COSTS</v>
          </cell>
          <cell r="Q142" t="str">
            <v xml:space="preserve"> </v>
          </cell>
        </row>
        <row r="143">
          <cell r="A143">
            <v>40001</v>
          </cell>
          <cell r="B143" t="str">
            <v xml:space="preserve">   Directors' remuneration</v>
          </cell>
          <cell r="K143">
            <v>0</v>
          </cell>
          <cell r="M143">
            <v>0</v>
          </cell>
          <cell r="O143">
            <v>0</v>
          </cell>
        </row>
        <row r="144">
          <cell r="A144">
            <v>40002</v>
          </cell>
          <cell r="B144" t="str">
            <v xml:space="preserve">   Payroll taxes and fringes</v>
          </cell>
          <cell r="K144">
            <v>0</v>
          </cell>
          <cell r="M144">
            <v>0</v>
          </cell>
          <cell r="O144">
            <v>0</v>
          </cell>
        </row>
        <row r="145">
          <cell r="A145">
            <v>40003</v>
          </cell>
          <cell r="B145" t="str">
            <v xml:space="preserve">   Salaries and wages</v>
          </cell>
          <cell r="F145">
            <v>16281681</v>
          </cell>
          <cell r="K145">
            <v>16281681</v>
          </cell>
          <cell r="L145" t="str">
            <v>ok</v>
          </cell>
          <cell r="M145">
            <v>674387.22701999999</v>
          </cell>
          <cell r="N145" t="str">
            <v>ok</v>
          </cell>
          <cell r="O145">
            <v>16864977</v>
          </cell>
        </row>
        <row r="146">
          <cell r="A146" t="str">
            <v xml:space="preserve"> </v>
          </cell>
          <cell r="F146">
            <v>-16281681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-16281681</v>
          </cell>
          <cell r="M146">
            <v>-674387.22701999999</v>
          </cell>
          <cell r="O146">
            <v>-16864977</v>
          </cell>
        </row>
        <row r="147">
          <cell r="A147" t="str">
            <v xml:space="preserve"> </v>
          </cell>
        </row>
        <row r="148">
          <cell r="A148" t="str">
            <v>RE</v>
          </cell>
          <cell r="B148" t="str">
            <v>RENTAL EXPENSES</v>
          </cell>
        </row>
        <row r="149">
          <cell r="A149">
            <v>40004</v>
          </cell>
          <cell r="B149" t="str">
            <v xml:space="preserve">     Electricity</v>
          </cell>
          <cell r="F149">
            <v>241243</v>
          </cell>
          <cell r="K149">
            <v>241243</v>
          </cell>
          <cell r="L149" t="str">
            <v>ok</v>
          </cell>
          <cell r="M149">
            <v>9992.2850600000002</v>
          </cell>
          <cell r="N149" t="str">
            <v>ok</v>
          </cell>
          <cell r="O149">
            <v>0</v>
          </cell>
        </row>
        <row r="150">
          <cell r="A150">
            <v>40005</v>
          </cell>
          <cell r="B150" t="str">
            <v xml:space="preserve">     Janitorial </v>
          </cell>
          <cell r="K150">
            <v>0</v>
          </cell>
          <cell r="M150">
            <v>0</v>
          </cell>
          <cell r="O150">
            <v>0</v>
          </cell>
        </row>
        <row r="151">
          <cell r="A151">
            <v>40006</v>
          </cell>
          <cell r="B151" t="str">
            <v xml:space="preserve">     Office facilities</v>
          </cell>
          <cell r="F151">
            <v>826464</v>
          </cell>
          <cell r="K151">
            <v>826464</v>
          </cell>
          <cell r="L151" t="str">
            <v>ok</v>
          </cell>
          <cell r="M151">
            <v>34232.138879999999</v>
          </cell>
          <cell r="N151" t="str">
            <v>ok</v>
          </cell>
          <cell r="O151">
            <v>0</v>
          </cell>
        </row>
        <row r="152">
          <cell r="A152">
            <v>40007</v>
          </cell>
          <cell r="B152" t="str">
            <v xml:space="preserve">     Office lease payment</v>
          </cell>
          <cell r="F152">
            <v>533232</v>
          </cell>
          <cell r="K152">
            <v>533232</v>
          </cell>
          <cell r="L152" t="str">
            <v>ok</v>
          </cell>
          <cell r="M152">
            <v>22086.469440000001</v>
          </cell>
          <cell r="N152" t="str">
            <v>ok</v>
          </cell>
          <cell r="O152">
            <v>737512</v>
          </cell>
        </row>
        <row r="153">
          <cell r="A153">
            <v>40008</v>
          </cell>
          <cell r="B153" t="str">
            <v xml:space="preserve">     Other occupancy costs</v>
          </cell>
          <cell r="F153">
            <v>0</v>
          </cell>
          <cell r="K153">
            <v>0</v>
          </cell>
          <cell r="M153">
            <v>0</v>
          </cell>
          <cell r="O153">
            <v>0</v>
          </cell>
        </row>
        <row r="154">
          <cell r="F154">
            <v>-1600939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-1600939</v>
          </cell>
          <cell r="M154">
            <v>-66309.893379999994</v>
          </cell>
          <cell r="O154">
            <v>-737512</v>
          </cell>
        </row>
        <row r="155">
          <cell r="A155" t="str">
            <v>DEP</v>
          </cell>
          <cell r="B155" t="str">
            <v>DEPRECIATION AND AMORTISATION</v>
          </cell>
        </row>
        <row r="156">
          <cell r="A156">
            <v>40009</v>
          </cell>
          <cell r="B156" t="str">
            <v xml:space="preserve">     Amortisation</v>
          </cell>
          <cell r="K156">
            <v>0</v>
          </cell>
          <cell r="N156" t="str">
            <v xml:space="preserve"> </v>
          </cell>
          <cell r="O156">
            <v>0</v>
          </cell>
        </row>
        <row r="157">
          <cell r="A157">
            <v>40030</v>
          </cell>
          <cell r="B157" t="str">
            <v xml:space="preserve">     Depreciation</v>
          </cell>
          <cell r="F157">
            <v>989987</v>
          </cell>
          <cell r="K157">
            <v>989987</v>
          </cell>
          <cell r="L157" t="str">
            <v>ok</v>
          </cell>
          <cell r="M157">
            <v>41005.26154</v>
          </cell>
          <cell r="N157" t="str">
            <v>ok</v>
          </cell>
          <cell r="O157">
            <v>922686</v>
          </cell>
        </row>
        <row r="158">
          <cell r="F158">
            <v>-989987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-989987</v>
          </cell>
          <cell r="M158">
            <v>-41005.26154</v>
          </cell>
          <cell r="O158">
            <v>-922686</v>
          </cell>
        </row>
        <row r="160">
          <cell r="A160" t="str">
            <v>OOE</v>
          </cell>
          <cell r="B160" t="str">
            <v>OTHER OPERATING EXPENSES</v>
          </cell>
        </row>
        <row r="161">
          <cell r="A161">
            <v>40010</v>
          </cell>
          <cell r="B161" t="str">
            <v xml:space="preserve">    Auditors' remuneration</v>
          </cell>
          <cell r="F161">
            <v>78200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78200</v>
          </cell>
          <cell r="L161" t="str">
            <v>ok</v>
          </cell>
          <cell r="M161">
            <v>3239.0439999999999</v>
          </cell>
          <cell r="N161" t="str">
            <v>ok</v>
          </cell>
          <cell r="O161">
            <v>0</v>
          </cell>
          <cell r="Q161">
            <v>1</v>
          </cell>
        </row>
        <row r="162">
          <cell r="A162">
            <v>40031</v>
          </cell>
          <cell r="B162" t="str">
            <v xml:space="preserve">    Allocated administration expenses</v>
          </cell>
          <cell r="K162">
            <v>0</v>
          </cell>
          <cell r="M162">
            <v>0</v>
          </cell>
        </row>
        <row r="163">
          <cell r="A163">
            <v>40011</v>
          </cell>
          <cell r="B163" t="str">
            <v xml:space="preserve">    Bad debts written off (trade)</v>
          </cell>
          <cell r="F163">
            <v>361181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361181</v>
          </cell>
          <cell r="L163" t="str">
            <v>ok</v>
          </cell>
          <cell r="M163">
            <v>14960.11702</v>
          </cell>
          <cell r="N163" t="str">
            <v>ok</v>
          </cell>
          <cell r="O163">
            <v>0</v>
          </cell>
          <cell r="Q163">
            <v>1</v>
          </cell>
        </row>
        <row r="164">
          <cell r="A164">
            <v>40012</v>
          </cell>
          <cell r="B164" t="str">
            <v xml:space="preserve">    Bad debts written off (non-trade)</v>
          </cell>
          <cell r="K164">
            <v>0</v>
          </cell>
          <cell r="M164">
            <v>0</v>
          </cell>
          <cell r="O164">
            <v>0</v>
          </cell>
        </row>
        <row r="165">
          <cell r="A165">
            <v>40013</v>
          </cell>
          <cell r="B165" t="str">
            <v xml:space="preserve">    Bank charges</v>
          </cell>
          <cell r="F165">
            <v>170580</v>
          </cell>
          <cell r="K165">
            <v>170580</v>
          </cell>
          <cell r="L165" t="str">
            <v>ok</v>
          </cell>
          <cell r="M165">
            <v>7065.4236000000001</v>
          </cell>
          <cell r="N165" t="str">
            <v>ok</v>
          </cell>
          <cell r="O165">
            <v>0</v>
          </cell>
        </row>
        <row r="166">
          <cell r="A166">
            <v>40014</v>
          </cell>
          <cell r="B166" t="str">
            <v xml:space="preserve">    Communication expenses</v>
          </cell>
          <cell r="F166">
            <v>1187147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1187147</v>
          </cell>
          <cell r="L166" t="str">
            <v>ok</v>
          </cell>
          <cell r="M166">
            <v>49171.62874</v>
          </cell>
          <cell r="N166" t="str">
            <v>ok</v>
          </cell>
          <cell r="O166">
            <v>0</v>
          </cell>
          <cell r="Q166">
            <v>1</v>
          </cell>
        </row>
        <row r="167">
          <cell r="A167">
            <v>40015</v>
          </cell>
          <cell r="B167" t="str">
            <v xml:space="preserve">    Commission</v>
          </cell>
          <cell r="F167">
            <v>902307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902307</v>
          </cell>
          <cell r="L167" t="str">
            <v>ok</v>
          </cell>
          <cell r="M167">
            <v>37373.555939999998</v>
          </cell>
          <cell r="N167" t="str">
            <v>ok</v>
          </cell>
          <cell r="O167">
            <v>0</v>
          </cell>
          <cell r="Q167">
            <v>1</v>
          </cell>
        </row>
        <row r="168">
          <cell r="A168">
            <v>40016</v>
          </cell>
          <cell r="B168" t="str">
            <v xml:space="preserve">    Customs compound and customer claims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O168">
            <v>0</v>
          </cell>
          <cell r="Q168" t="str">
            <v xml:space="preserve"> </v>
          </cell>
        </row>
        <row r="169">
          <cell r="A169">
            <v>40017</v>
          </cell>
          <cell r="B169" t="str">
            <v xml:space="preserve">     Entertainment</v>
          </cell>
          <cell r="F169">
            <v>315540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315540</v>
          </cell>
          <cell r="L169" t="str">
            <v>ok</v>
          </cell>
          <cell r="M169">
            <v>13069.666799999999</v>
          </cell>
          <cell r="N169" t="str">
            <v>ok</v>
          </cell>
          <cell r="O169">
            <v>0</v>
          </cell>
          <cell r="Q169">
            <v>1</v>
          </cell>
        </row>
        <row r="170">
          <cell r="A170">
            <v>40018</v>
          </cell>
          <cell r="B170" t="str">
            <v xml:space="preserve">     Exchange difference</v>
          </cell>
          <cell r="F170">
            <v>66760</v>
          </cell>
          <cell r="K170">
            <v>66760</v>
          </cell>
          <cell r="L170" t="str">
            <v>ok</v>
          </cell>
          <cell r="M170">
            <v>2765.1992</v>
          </cell>
          <cell r="N170" t="str">
            <v>ok</v>
          </cell>
          <cell r="O170">
            <v>0</v>
          </cell>
        </row>
        <row r="171">
          <cell r="A171">
            <v>40019</v>
          </cell>
          <cell r="B171" t="str">
            <v xml:space="preserve">     Insurance</v>
          </cell>
          <cell r="F171">
            <v>201176</v>
          </cell>
          <cell r="K171">
            <v>201176</v>
          </cell>
          <cell r="L171" t="str">
            <v>ok</v>
          </cell>
          <cell r="M171">
            <v>8332.7099199999993</v>
          </cell>
          <cell r="N171" t="str">
            <v>ok</v>
          </cell>
          <cell r="O171">
            <v>0</v>
          </cell>
        </row>
        <row r="172">
          <cell r="A172">
            <v>40020</v>
          </cell>
          <cell r="B172" t="str">
            <v xml:space="preserve">     Legal and professional fees</v>
          </cell>
          <cell r="K172">
            <v>0</v>
          </cell>
          <cell r="M172">
            <v>0</v>
          </cell>
          <cell r="O172">
            <v>0</v>
          </cell>
        </row>
        <row r="173">
          <cell r="A173">
            <v>40021</v>
          </cell>
          <cell r="B173" t="str">
            <v xml:space="preserve">     Plant and equipment written off</v>
          </cell>
          <cell r="K173">
            <v>0</v>
          </cell>
          <cell r="M173">
            <v>0</v>
          </cell>
          <cell r="O173">
            <v>0</v>
          </cell>
        </row>
        <row r="174">
          <cell r="A174">
            <v>40022</v>
          </cell>
          <cell r="B174" t="str">
            <v xml:space="preserve">     Maintenance expenses</v>
          </cell>
          <cell r="K174">
            <v>0</v>
          </cell>
          <cell r="M174">
            <v>0</v>
          </cell>
          <cell r="O174">
            <v>0</v>
          </cell>
        </row>
        <row r="175">
          <cell r="A175">
            <v>40023</v>
          </cell>
          <cell r="B175" t="str">
            <v xml:space="preserve">     Management fees</v>
          </cell>
          <cell r="F175">
            <v>4662731</v>
          </cell>
          <cell r="K175">
            <v>4662731</v>
          </cell>
          <cell r="L175" t="str">
            <v>ok</v>
          </cell>
          <cell r="M175">
            <v>193130.31802000001</v>
          </cell>
          <cell r="N175" t="str">
            <v>ok</v>
          </cell>
          <cell r="O175">
            <v>0</v>
          </cell>
        </row>
        <row r="176">
          <cell r="A176">
            <v>40024</v>
          </cell>
          <cell r="B176" t="str">
            <v xml:space="preserve">     Operating supplies</v>
          </cell>
          <cell r="F176">
            <v>220777</v>
          </cell>
          <cell r="K176">
            <v>220777</v>
          </cell>
          <cell r="L176" t="str">
            <v>ok</v>
          </cell>
          <cell r="M176">
            <v>9144.5833399999992</v>
          </cell>
          <cell r="N176" t="str">
            <v>ok</v>
          </cell>
          <cell r="O176">
            <v>0</v>
          </cell>
        </row>
        <row r="177">
          <cell r="A177">
            <v>40025</v>
          </cell>
          <cell r="B177" t="str">
            <v xml:space="preserve">     Other expenses</v>
          </cell>
          <cell r="F177">
            <v>1706409</v>
          </cell>
          <cell r="K177">
            <v>1706409</v>
          </cell>
          <cell r="L177" t="str">
            <v>ok</v>
          </cell>
          <cell r="M177">
            <v>70679.460779999994</v>
          </cell>
          <cell r="N177" t="str">
            <v>ok</v>
          </cell>
          <cell r="O177">
            <v>0</v>
          </cell>
        </row>
        <row r="178">
          <cell r="A178">
            <v>40026</v>
          </cell>
          <cell r="B178" t="str">
            <v xml:space="preserve">     Outside services </v>
          </cell>
          <cell r="F178">
            <v>0</v>
          </cell>
          <cell r="K178">
            <v>0</v>
          </cell>
          <cell r="M178">
            <v>0</v>
          </cell>
          <cell r="O178">
            <v>0</v>
          </cell>
        </row>
        <row r="179">
          <cell r="A179">
            <v>40027</v>
          </cell>
          <cell r="B179" t="str">
            <v xml:space="preserve">     Provision for doubtful debts</v>
          </cell>
          <cell r="K179">
            <v>0</v>
          </cell>
          <cell r="M179">
            <v>0</v>
          </cell>
          <cell r="O179">
            <v>0</v>
          </cell>
        </row>
        <row r="180">
          <cell r="A180">
            <v>40028</v>
          </cell>
          <cell r="B180" t="str">
            <v xml:space="preserve">     Dividend paid</v>
          </cell>
          <cell r="K180">
            <v>0</v>
          </cell>
          <cell r="M180">
            <v>0</v>
          </cell>
          <cell r="O180">
            <v>0</v>
          </cell>
        </row>
        <row r="181">
          <cell r="A181">
            <v>40029</v>
          </cell>
          <cell r="B181" t="str">
            <v xml:space="preserve">     Travel and transportation</v>
          </cell>
          <cell r="F181">
            <v>1399398</v>
          </cell>
          <cell r="K181">
            <v>1399398</v>
          </cell>
          <cell r="L181" t="str">
            <v>ok</v>
          </cell>
          <cell r="M181">
            <v>57963.065159999998</v>
          </cell>
          <cell r="N181" t="str">
            <v>ok</v>
          </cell>
          <cell r="O181">
            <v>0</v>
          </cell>
        </row>
        <row r="182">
          <cell r="F182">
            <v>-11272206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-11272206</v>
          </cell>
          <cell r="M182">
            <v>-466894.77252</v>
          </cell>
          <cell r="O182">
            <v>-10512358</v>
          </cell>
        </row>
        <row r="184">
          <cell r="A184" t="str">
            <v>FI</v>
          </cell>
          <cell r="B184" t="str">
            <v>FINANCE INCOME</v>
          </cell>
          <cell r="K184">
            <v>0</v>
          </cell>
          <cell r="Q184" t="str">
            <v xml:space="preserve"> </v>
          </cell>
        </row>
        <row r="185">
          <cell r="A185">
            <v>50001</v>
          </cell>
          <cell r="B185" t="str">
            <v xml:space="preserve">    Interest income</v>
          </cell>
          <cell r="F185">
            <v>37936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37936</v>
          </cell>
          <cell r="L185" t="str">
            <v>ok</v>
          </cell>
          <cell r="M185">
            <v>1571.3091199999999</v>
          </cell>
          <cell r="N185" t="str">
            <v>ok</v>
          </cell>
          <cell r="O185">
            <v>0</v>
          </cell>
          <cell r="Q185">
            <v>1</v>
          </cell>
        </row>
        <row r="186">
          <cell r="A186">
            <v>50002</v>
          </cell>
          <cell r="B186" t="str">
            <v xml:space="preserve">    Foreign exchange gain</v>
          </cell>
        </row>
        <row r="187">
          <cell r="A187">
            <v>50003</v>
          </cell>
          <cell r="B187" t="str">
            <v xml:space="preserve">   Profit on disposal of assets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Q187" t="str">
            <v xml:space="preserve"> </v>
          </cell>
        </row>
        <row r="188">
          <cell r="F188">
            <v>37936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37936</v>
          </cell>
          <cell r="M188">
            <v>1571.3091199999999</v>
          </cell>
          <cell r="O188">
            <v>0</v>
          </cell>
          <cell r="Q188">
            <v>1</v>
          </cell>
        </row>
        <row r="189">
          <cell r="A189" t="str">
            <v>fincost</v>
          </cell>
          <cell r="B189" t="str">
            <v>FINANCE COSTS</v>
          </cell>
          <cell r="F189" t="str">
            <v xml:space="preserve"> </v>
          </cell>
          <cell r="J189" t="str">
            <v xml:space="preserve"> </v>
          </cell>
          <cell r="K189" t="str">
            <v xml:space="preserve"> </v>
          </cell>
          <cell r="Q189" t="str">
            <v xml:space="preserve"> </v>
          </cell>
        </row>
        <row r="190">
          <cell r="A190">
            <v>60001</v>
          </cell>
          <cell r="B190" t="str">
            <v xml:space="preserve">     Bank overdraft and interest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O190">
            <v>0</v>
          </cell>
          <cell r="Q190" t="str">
            <v xml:space="preserve"> </v>
          </cell>
        </row>
        <row r="191">
          <cell r="A191">
            <v>60002</v>
          </cell>
          <cell r="B191" t="str">
            <v xml:space="preserve">     Short term loan interest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M191">
            <v>0</v>
          </cell>
          <cell r="O191">
            <v>0</v>
          </cell>
          <cell r="Q191" t="str">
            <v xml:space="preserve"> </v>
          </cell>
        </row>
        <row r="192">
          <cell r="A192">
            <v>60003</v>
          </cell>
          <cell r="B192" t="str">
            <v xml:space="preserve">     Interest on hire purchase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O192">
            <v>0</v>
          </cell>
          <cell r="Q192" t="str">
            <v xml:space="preserve"> </v>
          </cell>
        </row>
        <row r="193"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O193">
            <v>0</v>
          </cell>
          <cell r="Q193" t="str">
            <v xml:space="preserve"> </v>
          </cell>
        </row>
        <row r="194">
          <cell r="B194" t="str">
            <v>(LOSS)/ PROFIT for the year before taxation</v>
          </cell>
          <cell r="F194">
            <v>6189628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6189628</v>
          </cell>
          <cell r="M194">
            <v>256375.39175999933</v>
          </cell>
          <cell r="O194">
            <v>7366731</v>
          </cell>
          <cell r="Q194">
            <v>-0.19017346438267371</v>
          </cell>
        </row>
        <row r="195">
          <cell r="A195">
            <v>70001</v>
          </cell>
          <cell r="B195" t="str">
            <v xml:space="preserve">   Taxation- current year</v>
          </cell>
          <cell r="F195">
            <v>2001741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2001741</v>
          </cell>
          <cell r="L195" t="str">
            <v>ok</v>
          </cell>
          <cell r="M195">
            <v>82912.112219999995</v>
          </cell>
          <cell r="N195" t="str">
            <v>ok</v>
          </cell>
          <cell r="O195">
            <v>2271344</v>
          </cell>
          <cell r="Q195">
            <v>-0.13468425735397338</v>
          </cell>
        </row>
        <row r="196">
          <cell r="A196">
            <v>70002</v>
          </cell>
          <cell r="B196" t="str">
            <v xml:space="preserve">   Taxation-over/under PY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M196">
            <v>0</v>
          </cell>
          <cell r="Q196" t="str">
            <v xml:space="preserve"> </v>
          </cell>
        </row>
        <row r="197">
          <cell r="A197">
            <v>70003</v>
          </cell>
          <cell r="B197" t="str">
            <v xml:space="preserve">   Taxation-Def tax transfer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Q197" t="str">
            <v xml:space="preserve"> </v>
          </cell>
        </row>
        <row r="198">
          <cell r="A198">
            <v>70000</v>
          </cell>
          <cell r="B198" t="str">
            <v>Taxation</v>
          </cell>
          <cell r="F198">
            <v>-2001741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-2001741</v>
          </cell>
          <cell r="M198">
            <v>-82912.112219999995</v>
          </cell>
          <cell r="O198">
            <v>-2271344</v>
          </cell>
          <cell r="Q198">
            <v>-0.13468425735397338</v>
          </cell>
        </row>
        <row r="199">
          <cell r="B199" t="str">
            <v>PROFIT for the year after taxation</v>
          </cell>
          <cell r="F199">
            <v>4187887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4187887</v>
          </cell>
          <cell r="L199" t="str">
            <v>ok</v>
          </cell>
          <cell r="M199">
            <v>173463.27953999932</v>
          </cell>
          <cell r="N199" t="str">
            <v>ok</v>
          </cell>
          <cell r="O199">
            <v>5095387</v>
          </cell>
          <cell r="Q199">
            <v>-0.21669639128276383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S "/>
      <sheetName val="AJE"/>
      <sheetName val="RJE"/>
      <sheetName val="procedure"/>
    </sheetNames>
    <sheetDataSet>
      <sheetData sheetId="0"/>
      <sheetData sheetId="1">
        <row r="1">
          <cell r="B1" t="str">
            <v>LAUTAN LUAS (THAILAND) COMPANY LIMITED</v>
          </cell>
        </row>
        <row r="2">
          <cell r="B2" t="str">
            <v>(Incorporated in the Republic of Thailand)</v>
          </cell>
        </row>
        <row r="4">
          <cell r="B4" t="str">
            <v>INCOME STATEMENT FOR THE FINANCIAL YEAR ENDED 31 DEC. 2008</v>
          </cell>
        </row>
        <row r="5">
          <cell r="E5" t="str">
            <v>&lt;Test Check ( Account balance )&gt;</v>
          </cell>
          <cell r="F5">
            <v>0</v>
          </cell>
          <cell r="H5">
            <v>0</v>
          </cell>
          <cell r="J5">
            <v>0</v>
          </cell>
          <cell r="K5">
            <v>0</v>
          </cell>
        </row>
        <row r="7">
          <cell r="F7" t="str">
            <v>unaudited</v>
          </cell>
          <cell r="G7" t="str">
            <v>Audit Adjustment (AJE)</v>
          </cell>
          <cell r="I7" t="str">
            <v>Reclassification (RJE)</v>
          </cell>
          <cell r="K7" t="str">
            <v>audited</v>
          </cell>
          <cell r="M7" t="str">
            <v>audited</v>
          </cell>
        </row>
        <row r="8">
          <cell r="D8" t="str">
            <v>WP REF</v>
          </cell>
          <cell r="F8">
            <v>2008</v>
          </cell>
          <cell r="G8" t="str">
            <v>DR</v>
          </cell>
          <cell r="H8" t="str">
            <v>CR</v>
          </cell>
          <cell r="I8" t="str">
            <v>DR</v>
          </cell>
          <cell r="J8" t="str">
            <v>CR</v>
          </cell>
          <cell r="K8">
            <v>2008</v>
          </cell>
          <cell r="M8">
            <v>2008</v>
          </cell>
        </row>
        <row r="9">
          <cell r="F9" t="str">
            <v>Baht</v>
          </cell>
          <cell r="G9" t="str">
            <v>Baht</v>
          </cell>
          <cell r="H9" t="str">
            <v>Baht</v>
          </cell>
          <cell r="I9" t="str">
            <v>Baht</v>
          </cell>
          <cell r="J9" t="str">
            <v>Baht</v>
          </cell>
          <cell r="K9" t="str">
            <v>Baht</v>
          </cell>
          <cell r="M9" t="str">
            <v>S$</v>
          </cell>
        </row>
        <row r="11">
          <cell r="A11">
            <v>10000</v>
          </cell>
          <cell r="B11" t="str">
            <v>Turnover</v>
          </cell>
          <cell r="F11">
            <v>17043778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17043778</v>
          </cell>
          <cell r="M11">
            <v>733905</v>
          </cell>
        </row>
        <row r="13">
          <cell r="A13">
            <v>20000</v>
          </cell>
          <cell r="B13" t="str">
            <v>Cost of sales</v>
          </cell>
          <cell r="F13">
            <v>-15648255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-15648255</v>
          </cell>
          <cell r="M13">
            <v>-673814</v>
          </cell>
        </row>
        <row r="15">
          <cell r="A15" t="str">
            <v>GP</v>
          </cell>
          <cell r="B15" t="str">
            <v>Gross profit</v>
          </cell>
          <cell r="F15">
            <v>1395523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1395523</v>
          </cell>
          <cell r="M15">
            <v>60091</v>
          </cell>
        </row>
        <row r="17">
          <cell r="A17">
            <v>30000</v>
          </cell>
          <cell r="B17" t="str">
            <v>Other operating income</v>
          </cell>
          <cell r="F17">
            <v>2622462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2622462</v>
          </cell>
          <cell r="M17">
            <v>112923</v>
          </cell>
        </row>
        <row r="19">
          <cell r="A19">
            <v>40000</v>
          </cell>
          <cell r="B19" t="str">
            <v>Financial income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</row>
        <row r="21">
          <cell r="A21">
            <v>50000</v>
          </cell>
          <cell r="B21" t="str">
            <v>Distribution costs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</row>
        <row r="23">
          <cell r="A23">
            <v>60000</v>
          </cell>
          <cell r="B23" t="str">
            <v>Administrative expenses</v>
          </cell>
          <cell r="F23">
            <v>-5393332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-5393332</v>
          </cell>
          <cell r="M23">
            <v>-232237</v>
          </cell>
        </row>
        <row r="25">
          <cell r="A25">
            <v>70000</v>
          </cell>
          <cell r="B25" t="str">
            <v>Other operating expenses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</row>
        <row r="27">
          <cell r="A27">
            <v>100000</v>
          </cell>
          <cell r="B27" t="str">
            <v>Share of profit of associates</v>
          </cell>
        </row>
        <row r="29">
          <cell r="A29">
            <v>80000</v>
          </cell>
          <cell r="B29" t="str">
            <v>Financial expenses</v>
          </cell>
          <cell r="F29">
            <v>-145083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-145083</v>
          </cell>
          <cell r="M29">
            <v>-6247</v>
          </cell>
        </row>
        <row r="31">
          <cell r="A31" t="str">
            <v>PBT</v>
          </cell>
          <cell r="B31" t="str">
            <v>(Loss)/Profit for the year before taxation</v>
          </cell>
          <cell r="F31">
            <v>-1520430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-1520430</v>
          </cell>
          <cell r="M31">
            <v>-65470</v>
          </cell>
        </row>
        <row r="33">
          <cell r="A33">
            <v>90000</v>
          </cell>
          <cell r="B33" t="str">
            <v>Taxation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</row>
        <row r="35">
          <cell r="A35" t="str">
            <v>PAT</v>
          </cell>
          <cell r="B35" t="str">
            <v>(Loss)/Profit for the year after taxation</v>
          </cell>
          <cell r="F35">
            <v>-1520430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-1520430</v>
          </cell>
          <cell r="M35">
            <v>-65470</v>
          </cell>
        </row>
        <row r="36">
          <cell r="F36">
            <v>0</v>
          </cell>
          <cell r="G36" t="str">
            <v>total AJE in Dr</v>
          </cell>
          <cell r="H36" t="str">
            <v>total AJE in Cr</v>
          </cell>
          <cell r="I36" t="str">
            <v>total RJE in Dr</v>
          </cell>
          <cell r="J36" t="str">
            <v>total RJE in Cr</v>
          </cell>
          <cell r="K36">
            <v>0</v>
          </cell>
        </row>
        <row r="40">
          <cell r="B40" t="str">
            <v>Client :Lautan Luas (Thailand) Company Limited</v>
          </cell>
        </row>
        <row r="41">
          <cell r="B41" t="str">
            <v>(Incorporated in the Republic of Thailand)</v>
          </cell>
        </row>
        <row r="43">
          <cell r="B43" t="str">
            <v>BALANCE SHEET AS AT 31 DEC. 2008</v>
          </cell>
        </row>
        <row r="44">
          <cell r="F44" t="str">
            <v>unaudited</v>
          </cell>
          <cell r="G44" t="str">
            <v>Audit Adjustment (AJE)</v>
          </cell>
          <cell r="I44" t="str">
            <v>Reclassification (RJE)</v>
          </cell>
          <cell r="K44" t="str">
            <v>audited</v>
          </cell>
          <cell r="M44" t="str">
            <v>audited</v>
          </cell>
        </row>
        <row r="45">
          <cell r="D45" t="str">
            <v>WP REF</v>
          </cell>
          <cell r="F45">
            <v>2008</v>
          </cell>
          <cell r="G45" t="str">
            <v>DR</v>
          </cell>
          <cell r="H45" t="str">
            <v>CR</v>
          </cell>
          <cell r="I45" t="str">
            <v>DR</v>
          </cell>
          <cell r="J45" t="str">
            <v>CR</v>
          </cell>
          <cell r="K45">
            <v>2008</v>
          </cell>
          <cell r="M45">
            <v>2008</v>
          </cell>
        </row>
        <row r="46">
          <cell r="F46" t="str">
            <v>Baht</v>
          </cell>
          <cell r="G46" t="str">
            <v>Baht</v>
          </cell>
          <cell r="H46" t="str">
            <v>Baht</v>
          </cell>
          <cell r="I46" t="str">
            <v>Baht</v>
          </cell>
          <cell r="J46" t="str">
            <v>Baht</v>
          </cell>
          <cell r="K46" t="str">
            <v>Baht</v>
          </cell>
          <cell r="M46" t="str">
            <v>S$</v>
          </cell>
        </row>
        <row r="47">
          <cell r="B47" t="str">
            <v>ASSETS</v>
          </cell>
        </row>
        <row r="48">
          <cell r="B48" t="str">
            <v>Non-current assets</v>
          </cell>
          <cell r="K48">
            <v>0</v>
          </cell>
        </row>
        <row r="49">
          <cell r="A49">
            <v>1000</v>
          </cell>
          <cell r="B49" t="str">
            <v xml:space="preserve">    Plant and equipment</v>
          </cell>
          <cell r="F49">
            <v>1078851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1078851</v>
          </cell>
          <cell r="M49">
            <v>45366</v>
          </cell>
        </row>
        <row r="50">
          <cell r="A50">
            <v>1001</v>
          </cell>
          <cell r="B50" t="str">
            <v xml:space="preserve">    Intangible assets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</row>
        <row r="51">
          <cell r="A51">
            <v>1002</v>
          </cell>
          <cell r="B51" t="str">
            <v xml:space="preserve">    Investment in subsidiaries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</row>
        <row r="52">
          <cell r="A52">
            <v>1003</v>
          </cell>
          <cell r="B52" t="str">
            <v xml:space="preserve">    Investment in associated companies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</row>
        <row r="53">
          <cell r="A53">
            <v>1004</v>
          </cell>
          <cell r="B53" t="str">
            <v xml:space="preserve">     Other assets</v>
          </cell>
          <cell r="C53" t="str">
            <v>Deposit</v>
          </cell>
          <cell r="F53">
            <v>92500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92500</v>
          </cell>
          <cell r="M53">
            <v>3890</v>
          </cell>
        </row>
        <row r="55">
          <cell r="B55" t="str">
            <v>Current assets</v>
          </cell>
          <cell r="K55">
            <v>0</v>
          </cell>
        </row>
        <row r="56">
          <cell r="A56">
            <v>2000</v>
          </cell>
          <cell r="B56" t="str">
            <v xml:space="preserve">    Inventories</v>
          </cell>
          <cell r="F56">
            <v>3291283</v>
          </cell>
          <cell r="H56">
            <v>0</v>
          </cell>
          <cell r="I56">
            <v>0</v>
          </cell>
          <cell r="J56">
            <v>0</v>
          </cell>
          <cell r="K56">
            <v>3291283</v>
          </cell>
          <cell r="M56">
            <v>138398</v>
          </cell>
        </row>
        <row r="57">
          <cell r="A57">
            <v>2101</v>
          </cell>
          <cell r="B57" t="str">
            <v xml:space="preserve">    Trade receivables &amp; other receivables</v>
          </cell>
          <cell r="F57">
            <v>2685212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2685212</v>
          </cell>
          <cell r="M57">
            <v>112913</v>
          </cell>
        </row>
        <row r="58">
          <cell r="A58">
            <v>2102</v>
          </cell>
          <cell r="B58" t="str">
            <v xml:space="preserve">    Cash and cash equivalents</v>
          </cell>
          <cell r="F58">
            <v>934550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934550</v>
          </cell>
          <cell r="M58">
            <v>39298</v>
          </cell>
        </row>
        <row r="59">
          <cell r="K59">
            <v>0</v>
          </cell>
        </row>
        <row r="60">
          <cell r="A60" t="str">
            <v>CA</v>
          </cell>
          <cell r="B60" t="str">
            <v>Total current assets</v>
          </cell>
          <cell r="F60">
            <v>6911045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6911045</v>
          </cell>
          <cell r="M60">
            <v>290609</v>
          </cell>
        </row>
        <row r="61">
          <cell r="K61">
            <v>0</v>
          </cell>
        </row>
        <row r="62">
          <cell r="A62" t="str">
            <v>TA</v>
          </cell>
          <cell r="B62" t="str">
            <v>TOTAL ASSETS</v>
          </cell>
          <cell r="F62">
            <v>8082396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8082396</v>
          </cell>
          <cell r="M62">
            <v>339865</v>
          </cell>
        </row>
        <row r="63">
          <cell r="K63">
            <v>0</v>
          </cell>
        </row>
        <row r="64">
          <cell r="B64" t="str">
            <v>EQUITY AND LIABILITIES</v>
          </cell>
          <cell r="K64">
            <v>0</v>
          </cell>
        </row>
        <row r="65">
          <cell r="B65" t="str">
            <v>Capital and reserves</v>
          </cell>
          <cell r="K65">
            <v>0</v>
          </cell>
        </row>
        <row r="66">
          <cell r="A66">
            <v>6000</v>
          </cell>
          <cell r="B66" t="str">
            <v xml:space="preserve">    Share capital</v>
          </cell>
          <cell r="F66">
            <v>10000000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10000000</v>
          </cell>
          <cell r="M66">
            <v>420500</v>
          </cell>
        </row>
        <row r="67">
          <cell r="A67">
            <v>6300</v>
          </cell>
          <cell r="B67" t="str">
            <v xml:space="preserve">    Translation reserve</v>
          </cell>
        </row>
        <row r="68">
          <cell r="A68">
            <v>6100</v>
          </cell>
          <cell r="B68" t="str">
            <v xml:space="preserve">     Reserves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</row>
        <row r="69">
          <cell r="A69">
            <v>6101</v>
          </cell>
          <cell r="C69" t="str">
            <v>RETAINED EARNINGS</v>
          </cell>
          <cell r="F69">
            <v>-9913942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-9913942</v>
          </cell>
          <cell r="M69">
            <v>-416881</v>
          </cell>
        </row>
        <row r="70">
          <cell r="A70">
            <v>6103</v>
          </cell>
          <cell r="C70" t="str">
            <v>Dividend payable</v>
          </cell>
          <cell r="K70">
            <v>0</v>
          </cell>
          <cell r="M70">
            <v>0</v>
          </cell>
        </row>
        <row r="71">
          <cell r="A71">
            <v>6104</v>
          </cell>
          <cell r="C71" t="str">
            <v>Other reserve</v>
          </cell>
          <cell r="K71">
            <v>0</v>
          </cell>
          <cell r="M71">
            <v>0</v>
          </cell>
        </row>
        <row r="72">
          <cell r="A72">
            <v>6105</v>
          </cell>
          <cell r="C72" t="str">
            <v>Welfare payable</v>
          </cell>
          <cell r="K72">
            <v>0</v>
          </cell>
          <cell r="M72">
            <v>0</v>
          </cell>
        </row>
        <row r="73">
          <cell r="A73">
            <v>6102</v>
          </cell>
          <cell r="C73" t="str">
            <v>PROFIT (LOSS) FOR THE PERIOD</v>
          </cell>
          <cell r="F73">
            <v>-1520430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-1520430</v>
          </cell>
          <cell r="M73">
            <v>-63934</v>
          </cell>
        </row>
        <row r="74">
          <cell r="A74">
            <v>6200</v>
          </cell>
          <cell r="B74" t="str">
            <v xml:space="preserve">    Accumulated Profit / loss</v>
          </cell>
          <cell r="F74">
            <v>-11434372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-11434372</v>
          </cell>
          <cell r="M74">
            <v>-480815</v>
          </cell>
        </row>
        <row r="75">
          <cell r="A75" t="str">
            <v>TEQ</v>
          </cell>
          <cell r="B75" t="str">
            <v>TOTAL EQUITY</v>
          </cell>
          <cell r="F75">
            <v>-1434372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-1434372</v>
          </cell>
          <cell r="M75">
            <v>-60315</v>
          </cell>
        </row>
        <row r="76">
          <cell r="B76" t="str">
            <v>Non-current liabilities</v>
          </cell>
          <cell r="K76">
            <v>0</v>
          </cell>
        </row>
        <row r="77">
          <cell r="A77">
            <v>4000</v>
          </cell>
          <cell r="B77" t="str">
            <v xml:space="preserve">    Deferred tax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4101</v>
          </cell>
          <cell r="B78" t="str">
            <v xml:space="preserve">    Hire Purchase creditors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</row>
        <row r="79">
          <cell r="A79" t="str">
            <v>LTL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</row>
        <row r="80">
          <cell r="B80" t="str">
            <v>Current liabilities</v>
          </cell>
        </row>
        <row r="81">
          <cell r="A81">
            <v>3000</v>
          </cell>
          <cell r="B81" t="str">
            <v xml:space="preserve">    Trade and other payables</v>
          </cell>
          <cell r="F81">
            <v>4143625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4143625</v>
          </cell>
          <cell r="M81">
            <v>174240</v>
          </cell>
        </row>
        <row r="82">
          <cell r="A82">
            <v>4102</v>
          </cell>
          <cell r="B82" t="str">
            <v xml:space="preserve">    Short term loans</v>
          </cell>
          <cell r="F82">
            <v>5272591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5272591</v>
          </cell>
          <cell r="M82">
            <v>221712</v>
          </cell>
        </row>
        <row r="83">
          <cell r="A83">
            <v>3101</v>
          </cell>
          <cell r="B83" t="str">
            <v xml:space="preserve">     Provision for taxation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</row>
        <row r="84">
          <cell r="A84">
            <v>3102</v>
          </cell>
          <cell r="B84" t="str">
            <v xml:space="preserve">    Hire Purchase creditors</v>
          </cell>
          <cell r="F84">
            <v>100552</v>
          </cell>
          <cell r="K84">
            <v>100552</v>
          </cell>
          <cell r="M84">
            <v>4228</v>
          </cell>
        </row>
        <row r="85">
          <cell r="A85" t="str">
            <v>CL</v>
          </cell>
          <cell r="B85" t="str">
            <v>Total Current liabilities</v>
          </cell>
          <cell r="F85">
            <v>9516768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9516768</v>
          </cell>
          <cell r="M85">
            <v>400180</v>
          </cell>
        </row>
        <row r="86"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A87" t="str">
            <v>MI</v>
          </cell>
          <cell r="B87" t="str">
            <v>Minority interests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9">
          <cell r="B89" t="str">
            <v>TOTAL EQUITY AND LIABILITIES</v>
          </cell>
          <cell r="F89">
            <v>8082396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8082396</v>
          </cell>
          <cell r="M89">
            <v>339865</v>
          </cell>
        </row>
        <row r="90">
          <cell r="C90" t="str">
            <v>Test check</v>
          </cell>
          <cell r="F90">
            <v>0</v>
          </cell>
          <cell r="J90">
            <v>0</v>
          </cell>
          <cell r="K90">
            <v>0</v>
          </cell>
          <cell r="M90">
            <v>0</v>
          </cell>
        </row>
        <row r="91">
          <cell r="K91">
            <v>0</v>
          </cell>
        </row>
        <row r="92">
          <cell r="C92" t="str">
            <v>Client: Luatan Luas (Thailand) Company Limited</v>
          </cell>
        </row>
        <row r="93">
          <cell r="C93" t="str">
            <v>(Incorporated in the Republic of Thailand)</v>
          </cell>
          <cell r="K93">
            <v>0</v>
          </cell>
        </row>
        <row r="94">
          <cell r="K94">
            <v>0</v>
          </cell>
        </row>
        <row r="95">
          <cell r="C95" t="str">
            <v>DETAILED TRADING, PROFIT &amp; LOSS ACCOUNT FOR THE FINANCIAL YEAR ENDED 31 DEC. 2008</v>
          </cell>
          <cell r="K95">
            <v>0</v>
          </cell>
        </row>
        <row r="96">
          <cell r="K96">
            <v>0</v>
          </cell>
        </row>
        <row r="98">
          <cell r="F98" t="str">
            <v>unaudited</v>
          </cell>
          <cell r="G98" t="str">
            <v>Audit Adjustment (AJE)</v>
          </cell>
          <cell r="I98" t="str">
            <v>Reclassification (RJE)</v>
          </cell>
          <cell r="K98" t="str">
            <v>audited</v>
          </cell>
          <cell r="M98" t="str">
            <v>audited</v>
          </cell>
        </row>
        <row r="99">
          <cell r="D99" t="str">
            <v>WP REF</v>
          </cell>
          <cell r="F99">
            <v>2008</v>
          </cell>
          <cell r="G99" t="str">
            <v>DR</v>
          </cell>
          <cell r="H99" t="str">
            <v>CR</v>
          </cell>
          <cell r="I99" t="str">
            <v>DR</v>
          </cell>
          <cell r="J99" t="str">
            <v>CR</v>
          </cell>
          <cell r="K99">
            <v>2008</v>
          </cell>
          <cell r="M99">
            <v>2006</v>
          </cell>
        </row>
        <row r="100">
          <cell r="F100" t="str">
            <v>Baht</v>
          </cell>
          <cell r="G100" t="str">
            <v>Baht</v>
          </cell>
          <cell r="H100" t="str">
            <v>Baht</v>
          </cell>
          <cell r="I100" t="str">
            <v>Baht</v>
          </cell>
          <cell r="J100" t="str">
            <v>Baht</v>
          </cell>
          <cell r="K100" t="str">
            <v>Baht</v>
          </cell>
          <cell r="M100" t="str">
            <v>S$</v>
          </cell>
        </row>
        <row r="101">
          <cell r="A101">
            <v>10000</v>
          </cell>
          <cell r="B101" t="str">
            <v>SALES</v>
          </cell>
          <cell r="F101">
            <v>17043778</v>
          </cell>
          <cell r="K101">
            <v>17043778</v>
          </cell>
        </row>
        <row r="103">
          <cell r="B103" t="str">
            <v>Less Cost of sales</v>
          </cell>
        </row>
        <row r="104">
          <cell r="A104">
            <v>21000</v>
          </cell>
          <cell r="B104" t="str">
            <v>Opening stocks</v>
          </cell>
          <cell r="K104">
            <v>0</v>
          </cell>
        </row>
        <row r="105">
          <cell r="A105">
            <v>22000</v>
          </cell>
          <cell r="B105" t="str">
            <v>Purchases</v>
          </cell>
          <cell r="F105">
            <v>15648255</v>
          </cell>
          <cell r="K105">
            <v>15648255</v>
          </cell>
        </row>
        <row r="106">
          <cell r="A106">
            <v>23000</v>
          </cell>
          <cell r="B106" t="str">
            <v>Closing stocks</v>
          </cell>
          <cell r="K106">
            <v>0</v>
          </cell>
        </row>
        <row r="107">
          <cell r="A107">
            <v>24000</v>
          </cell>
          <cell r="B107" t="str">
            <v>Freight and handling charges</v>
          </cell>
          <cell r="K107">
            <v>0</v>
          </cell>
        </row>
        <row r="108">
          <cell r="A108">
            <v>25000</v>
          </cell>
          <cell r="B108" t="str">
            <v>Marine Insurance</v>
          </cell>
          <cell r="K108">
            <v>0</v>
          </cell>
        </row>
        <row r="109">
          <cell r="A109">
            <v>20000</v>
          </cell>
          <cell r="F109">
            <v>15648255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15648255</v>
          </cell>
        </row>
        <row r="110">
          <cell r="B110" t="str">
            <v>GROSS PROFIT</v>
          </cell>
          <cell r="F110">
            <v>1395523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1395523</v>
          </cell>
        </row>
        <row r="111">
          <cell r="B111" t="str">
            <v>OTHER OPERATING INCOME</v>
          </cell>
          <cell r="K111">
            <v>0</v>
          </cell>
        </row>
        <row r="112">
          <cell r="A112">
            <v>30001</v>
          </cell>
          <cell r="B112" t="str">
            <v xml:space="preserve">    Other income</v>
          </cell>
          <cell r="F112">
            <v>2622462</v>
          </cell>
          <cell r="K112">
            <v>2622462</v>
          </cell>
        </row>
        <row r="113">
          <cell r="A113">
            <v>30002</v>
          </cell>
          <cell r="B113" t="str">
            <v xml:space="preserve">    Exchange gain</v>
          </cell>
          <cell r="K113">
            <v>0</v>
          </cell>
        </row>
        <row r="114">
          <cell r="A114">
            <v>30003</v>
          </cell>
          <cell r="B114" t="str">
            <v xml:space="preserve">    Commission income</v>
          </cell>
          <cell r="K114">
            <v>0</v>
          </cell>
        </row>
        <row r="115">
          <cell r="A115">
            <v>30000</v>
          </cell>
          <cell r="F115">
            <v>2622462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2622462</v>
          </cell>
        </row>
        <row r="117">
          <cell r="B117" t="str">
            <v>FINANCIAL INCOME</v>
          </cell>
        </row>
        <row r="118">
          <cell r="A118">
            <v>40001</v>
          </cell>
          <cell r="B118" t="str">
            <v xml:space="preserve">     Interest income</v>
          </cell>
          <cell r="K118">
            <v>0</v>
          </cell>
        </row>
        <row r="119">
          <cell r="A119">
            <v>40002</v>
          </cell>
          <cell r="B119" t="str">
            <v xml:space="preserve">    Dividend income</v>
          </cell>
          <cell r="F119">
            <v>0</v>
          </cell>
          <cell r="K119">
            <v>0</v>
          </cell>
        </row>
        <row r="120">
          <cell r="A120">
            <v>40000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2">
          <cell r="B122" t="str">
            <v>DISTRIBUTION COSTS</v>
          </cell>
        </row>
        <row r="123">
          <cell r="A123">
            <v>50001</v>
          </cell>
          <cell r="B123" t="str">
            <v xml:space="preserve">    Advertisement </v>
          </cell>
          <cell r="K123">
            <v>0</v>
          </cell>
        </row>
        <row r="124">
          <cell r="A124">
            <v>50002</v>
          </cell>
          <cell r="B124" t="str">
            <v xml:space="preserve">    Commission</v>
          </cell>
          <cell r="K124">
            <v>0</v>
          </cell>
        </row>
        <row r="125">
          <cell r="A125">
            <v>50003</v>
          </cell>
          <cell r="B125" t="str">
            <v xml:space="preserve">    Entertainment</v>
          </cell>
          <cell r="K125">
            <v>0</v>
          </cell>
        </row>
        <row r="126">
          <cell r="A126">
            <v>50004</v>
          </cell>
          <cell r="B126" t="str">
            <v xml:space="preserve">    Storage charges</v>
          </cell>
          <cell r="K126">
            <v>0</v>
          </cell>
        </row>
        <row r="127">
          <cell r="A127">
            <v>50005</v>
          </cell>
          <cell r="B127" t="str">
            <v xml:space="preserve">    Transport charges</v>
          </cell>
          <cell r="K127">
            <v>0</v>
          </cell>
        </row>
        <row r="128">
          <cell r="A128">
            <v>50006</v>
          </cell>
          <cell r="B128" t="str">
            <v xml:space="preserve">    Travelling expenses</v>
          </cell>
          <cell r="K128">
            <v>0</v>
          </cell>
        </row>
        <row r="129">
          <cell r="A129">
            <v>50000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2">
          <cell r="B132" t="str">
            <v>ADMINISTRATIVE EXPENSES</v>
          </cell>
        </row>
        <row r="133">
          <cell r="A133">
            <v>60001</v>
          </cell>
          <cell r="B133" t="str">
            <v xml:space="preserve">    Accountancy fee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A134">
            <v>60002</v>
          </cell>
          <cell r="B134" t="str">
            <v xml:space="preserve">    Auditors’ remuneration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A135">
            <v>60003</v>
          </cell>
          <cell r="B135" t="str">
            <v xml:space="preserve">    Bank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A136">
            <v>60004</v>
          </cell>
          <cell r="B136" t="str">
            <v xml:space="preserve">    Depreciation 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A137">
            <v>60005</v>
          </cell>
          <cell r="B137" t="str">
            <v xml:space="preserve">    Director’s remuneration 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A138">
            <v>60006</v>
          </cell>
          <cell r="B138" t="str">
            <v xml:space="preserve">    Director’s CPF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A139">
            <v>60007</v>
          </cell>
          <cell r="B139" t="str">
            <v xml:space="preserve">    Donation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60008</v>
          </cell>
          <cell r="B140" t="str">
            <v xml:space="preserve">    Entertainment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A141">
            <v>60009</v>
          </cell>
          <cell r="B141" t="str">
            <v xml:space="preserve">    General expenses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A142">
            <v>60010</v>
          </cell>
          <cell r="B142" t="str">
            <v xml:space="preserve">    Insurance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A143">
            <v>60011</v>
          </cell>
          <cell r="B143" t="str">
            <v xml:space="preserve">    Internet expenses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60012</v>
          </cell>
          <cell r="B144" t="str">
            <v xml:space="preserve">    Medical expenses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A145">
            <v>60013</v>
          </cell>
          <cell r="B145" t="str">
            <v xml:space="preserve">    Office rental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A146">
            <v>60014</v>
          </cell>
          <cell r="B146" t="str">
            <v xml:space="preserve">    Postage and courier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A147">
            <v>60015</v>
          </cell>
          <cell r="B147" t="str">
            <v xml:space="preserve">    Printing and stationery 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A148">
            <v>60016</v>
          </cell>
          <cell r="B148" t="str">
            <v xml:space="preserve">    Professional fees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A149">
            <v>60017</v>
          </cell>
          <cell r="B149" t="str">
            <v xml:space="preserve">    Repair and maintenance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A150">
            <v>60018</v>
          </cell>
          <cell r="B150" t="str">
            <v xml:space="preserve">    Refreshments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A151">
            <v>60019</v>
          </cell>
          <cell r="B151" t="str">
            <v xml:space="preserve">    Secretarial fees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A152">
            <v>60020</v>
          </cell>
          <cell r="B152" t="str">
            <v xml:space="preserve">    Staff salaries and bonus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A153">
            <v>60021</v>
          </cell>
          <cell r="B153" t="str">
            <v xml:space="preserve">    Staff CPF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A154">
            <v>60022</v>
          </cell>
          <cell r="B154" t="str">
            <v xml:space="preserve">    Staff benefit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A155">
            <v>60023</v>
          </cell>
          <cell r="B155" t="str">
            <v xml:space="preserve">    Staff incentives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A156">
            <v>60024</v>
          </cell>
          <cell r="B156" t="str">
            <v xml:space="preserve">    Telephone and telex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A157">
            <v>60025</v>
          </cell>
          <cell r="B157" t="str">
            <v xml:space="preserve">    Transport expenses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A158">
            <v>60026</v>
          </cell>
          <cell r="B158" t="str">
            <v xml:space="preserve">    Travelling expenses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A159">
            <v>60027</v>
          </cell>
          <cell r="B159" t="str">
            <v xml:space="preserve">    Upkeep of office equipment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A160">
            <v>60028</v>
          </cell>
          <cell r="B160" t="str">
            <v xml:space="preserve">    Upkeep of office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A161">
            <v>60029</v>
          </cell>
          <cell r="B161" t="str">
            <v xml:space="preserve">    Water and electricity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A166">
            <v>60000</v>
          </cell>
          <cell r="F166">
            <v>5393332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5393332</v>
          </cell>
          <cell r="M166">
            <v>5369379</v>
          </cell>
        </row>
        <row r="167">
          <cell r="B167" t="str">
            <v>OTHER OPERATING EXPENSES</v>
          </cell>
          <cell r="K167">
            <v>0</v>
          </cell>
        </row>
        <row r="168">
          <cell r="A168">
            <v>70001</v>
          </cell>
          <cell r="B168" t="str">
            <v xml:space="preserve">    Provision for doubtful debts written off/(back) - trade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A169">
            <v>70002</v>
          </cell>
          <cell r="B169" t="str">
            <v xml:space="preserve">    Provision for obsolete stocks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A170">
            <v>70003</v>
          </cell>
          <cell r="B170" t="str">
            <v xml:space="preserve">    Capital expenses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A171">
            <v>70004</v>
          </cell>
          <cell r="B171" t="str">
            <v xml:space="preserve">    Fixed assets written off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A172">
            <v>70005</v>
          </cell>
          <cell r="B172" t="str">
            <v xml:space="preserve">    Stock written off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A173">
            <v>70000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FINANCE EXPENSES</v>
          </cell>
          <cell r="K174">
            <v>0</v>
          </cell>
        </row>
        <row r="175">
          <cell r="A175">
            <v>80001</v>
          </cell>
          <cell r="B175" t="str">
            <v xml:space="preserve">     Interest expenses</v>
          </cell>
          <cell r="F175">
            <v>145083</v>
          </cell>
          <cell r="H175">
            <v>0</v>
          </cell>
          <cell r="I175">
            <v>0</v>
          </cell>
          <cell r="J175">
            <v>0</v>
          </cell>
          <cell r="K175">
            <v>145083</v>
          </cell>
          <cell r="M175">
            <v>112202</v>
          </cell>
        </row>
        <row r="176">
          <cell r="A176">
            <v>80002</v>
          </cell>
          <cell r="B176" t="str">
            <v xml:space="preserve">     Exchange difference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A177">
            <v>80000</v>
          </cell>
          <cell r="F177">
            <v>145083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145083</v>
          </cell>
        </row>
        <row r="178">
          <cell r="B178" t="str">
            <v>(LOSS)/ PROFIT for the year before taxation</v>
          </cell>
          <cell r="F178">
            <v>-1520430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-1520430</v>
          </cell>
        </row>
        <row r="179">
          <cell r="A179">
            <v>90001</v>
          </cell>
          <cell r="B179" t="str">
            <v xml:space="preserve">   Taxation- current year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A180">
            <v>90002</v>
          </cell>
          <cell r="B180" t="str">
            <v xml:space="preserve">   Taxation-over/under PY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A181">
            <v>90003</v>
          </cell>
          <cell r="B181" t="str">
            <v xml:space="preserve">   Taxation-Def tax transfer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A182">
            <v>90000</v>
          </cell>
          <cell r="B182" t="str">
            <v>Taxation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PROFIT for the year after taxation</v>
          </cell>
          <cell r="F183">
            <v>-1520430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-1520430</v>
          </cell>
        </row>
        <row r="211">
          <cell r="C211">
            <v>-45720</v>
          </cell>
        </row>
        <row r="213">
          <cell r="C213">
            <v>184507</v>
          </cell>
        </row>
      </sheetData>
      <sheetData sheetId="2"/>
      <sheetData sheetId="3"/>
      <sheetData sheetId="4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ceiving"/>
      <sheetName val="Return"/>
      <sheetName val="Picking"/>
      <sheetName val="Co-packing"/>
      <sheetName val="Storage"/>
      <sheetName val="Storage 1"/>
      <sheetName val="Storage 2"/>
      <sheetName val="Trans - Central Area"/>
      <sheetName val="Trans - Outstation"/>
      <sheetName val="Transportation Rates"/>
      <sheetName val="CB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">
          <cell r="B3" t="str">
            <v>STATE</v>
          </cell>
          <cell r="C3" t="str">
            <v>Transporter's Rate</v>
          </cell>
          <cell r="D3" t="str">
            <v>RATE(RM)</v>
          </cell>
        </row>
        <row r="4">
          <cell r="B4" t="str">
            <v>Kangar</v>
          </cell>
          <cell r="C4">
            <v>8.6</v>
          </cell>
          <cell r="D4">
            <v>9.89</v>
          </cell>
        </row>
        <row r="5">
          <cell r="B5" t="str">
            <v>Alor Setar</v>
          </cell>
          <cell r="C5">
            <v>7.2</v>
          </cell>
          <cell r="D5">
            <v>8.2799999999999994</v>
          </cell>
        </row>
        <row r="6">
          <cell r="B6" t="str">
            <v>Jitra</v>
          </cell>
          <cell r="C6">
            <v>7.2</v>
          </cell>
          <cell r="D6">
            <v>8.2799999999999994</v>
          </cell>
        </row>
        <row r="7">
          <cell r="B7" t="str">
            <v>Sungai Petani</v>
          </cell>
          <cell r="C7">
            <v>7.2</v>
          </cell>
          <cell r="D7">
            <v>8.2799999999999994</v>
          </cell>
        </row>
        <row r="8">
          <cell r="B8" t="str">
            <v>Kulim</v>
          </cell>
          <cell r="C8">
            <v>7.2</v>
          </cell>
          <cell r="D8">
            <v>8.2799999999999994</v>
          </cell>
        </row>
        <row r="9">
          <cell r="B9" t="str">
            <v>Kuala Kedah</v>
          </cell>
          <cell r="C9">
            <v>7.2</v>
          </cell>
          <cell r="D9">
            <v>8.2799999999999994</v>
          </cell>
        </row>
        <row r="10">
          <cell r="B10" t="str">
            <v>Langkawi</v>
          </cell>
          <cell r="C10">
            <v>18</v>
          </cell>
          <cell r="D10">
            <v>20.7</v>
          </cell>
        </row>
        <row r="11">
          <cell r="B11" t="str">
            <v>Prai</v>
          </cell>
          <cell r="C11">
            <v>5.3</v>
          </cell>
          <cell r="D11">
            <v>6.1</v>
          </cell>
        </row>
        <row r="12">
          <cell r="B12" t="str">
            <v>Butterworth</v>
          </cell>
          <cell r="C12">
            <v>5.3</v>
          </cell>
          <cell r="D12">
            <v>6.1</v>
          </cell>
        </row>
        <row r="13">
          <cell r="B13" t="str">
            <v>Bukit Mertajam</v>
          </cell>
          <cell r="C13">
            <v>5.3</v>
          </cell>
          <cell r="D13">
            <v>6.1</v>
          </cell>
        </row>
        <row r="14">
          <cell r="B14" t="str">
            <v>Nibong Tebal</v>
          </cell>
          <cell r="C14">
            <v>5.3</v>
          </cell>
          <cell r="D14">
            <v>6.1</v>
          </cell>
        </row>
        <row r="15">
          <cell r="B15" t="str">
            <v>Georgetown</v>
          </cell>
          <cell r="C15">
            <v>4.8</v>
          </cell>
          <cell r="D15">
            <v>5.52</v>
          </cell>
        </row>
        <row r="16">
          <cell r="B16" t="str">
            <v>Ipoh</v>
          </cell>
          <cell r="C16">
            <v>5.3</v>
          </cell>
          <cell r="D16">
            <v>6.1</v>
          </cell>
        </row>
        <row r="17">
          <cell r="B17" t="str">
            <v>Taiping</v>
          </cell>
          <cell r="C17">
            <v>5.3</v>
          </cell>
          <cell r="D17">
            <v>6.1</v>
          </cell>
        </row>
        <row r="18">
          <cell r="B18" t="str">
            <v>Kuala Kangsar</v>
          </cell>
          <cell r="C18">
            <v>4.8</v>
          </cell>
          <cell r="D18">
            <v>5.52</v>
          </cell>
        </row>
        <row r="19">
          <cell r="B19" t="str">
            <v>Tapah</v>
          </cell>
          <cell r="C19">
            <v>5.3</v>
          </cell>
          <cell r="D19">
            <v>6.1</v>
          </cell>
        </row>
        <row r="20">
          <cell r="B20" t="str">
            <v>Teluk Intan</v>
          </cell>
          <cell r="C20">
            <v>5.3</v>
          </cell>
          <cell r="D20">
            <v>6.1</v>
          </cell>
        </row>
        <row r="21">
          <cell r="B21" t="str">
            <v>Lumut</v>
          </cell>
          <cell r="C21">
            <v>6.2</v>
          </cell>
          <cell r="D21">
            <v>7.13</v>
          </cell>
        </row>
        <row r="22">
          <cell r="B22" t="str">
            <v>Batu Gajah</v>
          </cell>
          <cell r="C22">
            <v>5.3</v>
          </cell>
          <cell r="D22">
            <v>6.1</v>
          </cell>
        </row>
        <row r="23">
          <cell r="B23" t="str">
            <v>Sitiawan</v>
          </cell>
          <cell r="C23">
            <v>6.2</v>
          </cell>
          <cell r="D23">
            <v>7.13</v>
          </cell>
        </row>
        <row r="24">
          <cell r="B24" t="str">
            <v>Kuala Kubu Bahru</v>
          </cell>
          <cell r="D24">
            <v>4</v>
          </cell>
        </row>
        <row r="25">
          <cell r="B25" t="str">
            <v>Nilai</v>
          </cell>
          <cell r="D25">
            <v>4</v>
          </cell>
        </row>
        <row r="26">
          <cell r="B26" t="str">
            <v>Kuala Langat</v>
          </cell>
          <cell r="D26">
            <v>4</v>
          </cell>
        </row>
        <row r="27">
          <cell r="B27" t="str">
            <v>Kuala Selangor</v>
          </cell>
          <cell r="D27">
            <v>4</v>
          </cell>
        </row>
        <row r="28">
          <cell r="B28" t="str">
            <v>Banting</v>
          </cell>
          <cell r="D28">
            <v>4</v>
          </cell>
        </row>
        <row r="29">
          <cell r="B29" t="str">
            <v>Sepang</v>
          </cell>
          <cell r="D29">
            <v>4</v>
          </cell>
        </row>
        <row r="30">
          <cell r="B30" t="str">
            <v>Sabak Bernam</v>
          </cell>
          <cell r="D30">
            <v>4</v>
          </cell>
        </row>
        <row r="31">
          <cell r="B31" t="str">
            <v>Seremban</v>
          </cell>
          <cell r="C31">
            <v>4.3</v>
          </cell>
          <cell r="D31">
            <v>5.18</v>
          </cell>
        </row>
        <row r="32">
          <cell r="B32" t="str">
            <v>Port Dickson</v>
          </cell>
          <cell r="C32">
            <v>5.3</v>
          </cell>
          <cell r="D32">
            <v>6.1</v>
          </cell>
        </row>
        <row r="33">
          <cell r="B33" t="str">
            <v>Kuala Pilah</v>
          </cell>
          <cell r="C33">
            <v>5.3</v>
          </cell>
          <cell r="D33">
            <v>6.1</v>
          </cell>
        </row>
        <row r="34">
          <cell r="B34" t="str">
            <v>Bahau</v>
          </cell>
          <cell r="C34">
            <v>5.3</v>
          </cell>
          <cell r="D34">
            <v>6.1</v>
          </cell>
        </row>
        <row r="35">
          <cell r="B35" t="str">
            <v>Tampin</v>
          </cell>
          <cell r="C35">
            <v>5.3</v>
          </cell>
          <cell r="D35">
            <v>6.1</v>
          </cell>
        </row>
        <row r="36">
          <cell r="B36" t="str">
            <v>Melaka</v>
          </cell>
          <cell r="C36">
            <v>4.3</v>
          </cell>
          <cell r="D36">
            <v>4.95</v>
          </cell>
        </row>
        <row r="37">
          <cell r="B37" t="str">
            <v>Alor Gajah</v>
          </cell>
          <cell r="C37">
            <v>4.3</v>
          </cell>
          <cell r="D37">
            <v>4.95</v>
          </cell>
        </row>
        <row r="38">
          <cell r="B38" t="str">
            <v>Johor Bahru</v>
          </cell>
          <cell r="C38">
            <v>4.8</v>
          </cell>
          <cell r="D38">
            <v>5.52</v>
          </cell>
        </row>
        <row r="39">
          <cell r="B39" t="str">
            <v>Muar</v>
          </cell>
          <cell r="C39">
            <v>4.8</v>
          </cell>
          <cell r="D39">
            <v>5.52</v>
          </cell>
        </row>
        <row r="40">
          <cell r="B40" t="str">
            <v>Batu Pahat</v>
          </cell>
          <cell r="C40">
            <v>4.8</v>
          </cell>
          <cell r="D40">
            <v>5.52</v>
          </cell>
        </row>
        <row r="41">
          <cell r="B41" t="str">
            <v>Segamat</v>
          </cell>
          <cell r="C41">
            <v>4.8</v>
          </cell>
          <cell r="D41">
            <v>5.52</v>
          </cell>
        </row>
        <row r="42">
          <cell r="B42" t="str">
            <v>Gemas</v>
          </cell>
          <cell r="C42">
            <v>4.8</v>
          </cell>
          <cell r="D42">
            <v>5.52</v>
          </cell>
        </row>
        <row r="43">
          <cell r="B43" t="str">
            <v>Yong Peng</v>
          </cell>
          <cell r="C43">
            <v>4.8</v>
          </cell>
          <cell r="D43">
            <v>5.52</v>
          </cell>
        </row>
        <row r="44">
          <cell r="B44" t="str">
            <v>Kluang</v>
          </cell>
          <cell r="C44">
            <v>4.8</v>
          </cell>
          <cell r="D44">
            <v>5.52</v>
          </cell>
        </row>
        <row r="45">
          <cell r="B45" t="str">
            <v>Labis</v>
          </cell>
          <cell r="C45">
            <v>4.8</v>
          </cell>
          <cell r="D45">
            <v>5.52</v>
          </cell>
        </row>
        <row r="46">
          <cell r="B46" t="str">
            <v>Skudai</v>
          </cell>
          <cell r="C46">
            <v>4.8</v>
          </cell>
          <cell r="D46">
            <v>5.52</v>
          </cell>
        </row>
        <row r="47">
          <cell r="B47" t="str">
            <v>Tampoi</v>
          </cell>
          <cell r="C47">
            <v>4.8</v>
          </cell>
          <cell r="D47">
            <v>5.52</v>
          </cell>
        </row>
        <row r="48">
          <cell r="B48" t="str">
            <v>Kulai</v>
          </cell>
          <cell r="C48">
            <v>4.8</v>
          </cell>
          <cell r="D48">
            <v>5.52</v>
          </cell>
        </row>
        <row r="49">
          <cell r="B49" t="str">
            <v>Pasir Gudang</v>
          </cell>
          <cell r="C49">
            <v>7.2</v>
          </cell>
          <cell r="D49">
            <v>8.2799999999999994</v>
          </cell>
        </row>
        <row r="50">
          <cell r="B50" t="str">
            <v>Pontian</v>
          </cell>
          <cell r="C50">
            <v>7.2</v>
          </cell>
          <cell r="D50">
            <v>8.2799999999999994</v>
          </cell>
        </row>
        <row r="51">
          <cell r="B51" t="str">
            <v>Kota Tinggi</v>
          </cell>
          <cell r="C51">
            <v>7.2</v>
          </cell>
          <cell r="D51">
            <v>8.2799999999999994</v>
          </cell>
        </row>
        <row r="52">
          <cell r="B52" t="str">
            <v>Mersing</v>
          </cell>
          <cell r="C52">
            <v>7.2</v>
          </cell>
          <cell r="D52">
            <v>8.2799999999999994</v>
          </cell>
        </row>
        <row r="53">
          <cell r="B53" t="str">
            <v>Gelang Patah</v>
          </cell>
          <cell r="C53">
            <v>7.2</v>
          </cell>
          <cell r="D53">
            <v>8.2799999999999994</v>
          </cell>
        </row>
        <row r="54">
          <cell r="B54" t="str">
            <v>Masai</v>
          </cell>
          <cell r="C54">
            <v>7.2</v>
          </cell>
          <cell r="D54">
            <v>8.2799999999999994</v>
          </cell>
        </row>
        <row r="55">
          <cell r="B55" t="str">
            <v>Tanjung Pelepas</v>
          </cell>
          <cell r="C55">
            <v>7.2</v>
          </cell>
          <cell r="D55">
            <v>8.2799999999999994</v>
          </cell>
        </row>
        <row r="56">
          <cell r="B56" t="str">
            <v>Kuantan</v>
          </cell>
          <cell r="C56">
            <v>5</v>
          </cell>
          <cell r="D56">
            <v>5.75</v>
          </cell>
        </row>
        <row r="57">
          <cell r="B57" t="str">
            <v>Temerloh</v>
          </cell>
          <cell r="C57">
            <v>5</v>
          </cell>
          <cell r="D57">
            <v>5.75</v>
          </cell>
        </row>
        <row r="58">
          <cell r="B58" t="str">
            <v>Mentakab</v>
          </cell>
          <cell r="C58">
            <v>5</v>
          </cell>
          <cell r="D58">
            <v>5.75</v>
          </cell>
        </row>
        <row r="59">
          <cell r="B59" t="str">
            <v>Raub</v>
          </cell>
          <cell r="C59">
            <v>5</v>
          </cell>
          <cell r="D59">
            <v>5.75</v>
          </cell>
        </row>
        <row r="60">
          <cell r="B60" t="str">
            <v>Maran</v>
          </cell>
          <cell r="C60">
            <v>5</v>
          </cell>
          <cell r="D60">
            <v>5.75</v>
          </cell>
        </row>
        <row r="61">
          <cell r="B61" t="str">
            <v>Kuala Lipis</v>
          </cell>
          <cell r="C61">
            <v>5</v>
          </cell>
          <cell r="D61">
            <v>5.75</v>
          </cell>
        </row>
        <row r="62">
          <cell r="B62" t="str">
            <v>Kuala Terengganu</v>
          </cell>
          <cell r="C62">
            <v>5.5</v>
          </cell>
          <cell r="D62">
            <v>6.33</v>
          </cell>
        </row>
        <row r="63">
          <cell r="B63" t="str">
            <v>Dungun</v>
          </cell>
          <cell r="C63">
            <v>5.5</v>
          </cell>
          <cell r="D63">
            <v>6.33</v>
          </cell>
        </row>
        <row r="64">
          <cell r="B64" t="str">
            <v>Kemaman</v>
          </cell>
          <cell r="C64">
            <v>5.5</v>
          </cell>
          <cell r="D64">
            <v>6.33</v>
          </cell>
        </row>
        <row r="65">
          <cell r="B65" t="str">
            <v>Kota Bahru</v>
          </cell>
          <cell r="C65">
            <v>6</v>
          </cell>
          <cell r="D65">
            <v>6.9</v>
          </cell>
        </row>
        <row r="66">
          <cell r="B66" t="str">
            <v>Tanah Merah</v>
          </cell>
          <cell r="C66">
            <v>7.8</v>
          </cell>
          <cell r="D66">
            <v>8.9700000000000006</v>
          </cell>
        </row>
        <row r="67">
          <cell r="B67" t="str">
            <v>Pasir Puteh</v>
          </cell>
          <cell r="C67">
            <v>6</v>
          </cell>
          <cell r="D67">
            <v>6.9</v>
          </cell>
        </row>
      </sheetData>
      <sheetData sheetId="1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"/>
      <sheetName val="Operation"/>
      <sheetName val="Employee"/>
      <sheetName val="SGA &amp; Opex"/>
      <sheetName val="Variable Cost"/>
      <sheetName val="Fixed Cost"/>
      <sheetName val="Price"/>
      <sheetName val="Revenue"/>
      <sheetName val="Investment"/>
    </sheetNames>
    <sheetDataSet>
      <sheetData sheetId="0">
        <row r="4">
          <cell r="B4" t="str">
            <v>L300</v>
          </cell>
        </row>
        <row r="5">
          <cell r="B5" t="str">
            <v>CDE</v>
          </cell>
        </row>
        <row r="6">
          <cell r="B6" t="str">
            <v>CDD</v>
          </cell>
        </row>
        <row r="7">
          <cell r="B7" t="str">
            <v>Fuso</v>
          </cell>
        </row>
        <row r="8">
          <cell r="B8" t="str">
            <v>Tronton</v>
          </cell>
        </row>
        <row r="9">
          <cell r="B9" t="str">
            <v>Wingbox</v>
          </cell>
        </row>
        <row r="10">
          <cell r="B10" t="str">
            <v>CBU</v>
          </cell>
        </row>
        <row r="11">
          <cell r="B11" t="str">
            <v>Trailer</v>
          </cell>
        </row>
        <row r="12">
          <cell r="B12" t="str">
            <v>20"</v>
          </cell>
        </row>
        <row r="13">
          <cell r="B13" t="str">
            <v>40"</v>
          </cell>
        </row>
        <row r="14">
          <cell r="B14" t="str">
            <v>45" (Highcube)</v>
          </cell>
        </row>
      </sheetData>
      <sheetData sheetId="1"/>
      <sheetData sheetId="2"/>
      <sheetData sheetId="3">
        <row r="74">
          <cell r="B74" t="str">
            <v/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kema"/>
      <sheetName val="Investasi"/>
      <sheetName val="SGA"/>
    </sheetNames>
    <sheetDataSet>
      <sheetData sheetId="0">
        <row r="29">
          <cell r="A29" t="str">
            <v>Tronton (18 Ton)</v>
          </cell>
        </row>
        <row r="30">
          <cell r="A30" t="str">
            <v>Rigid (37 Ton)</v>
          </cell>
        </row>
        <row r="31">
          <cell r="A31" t="str">
            <v>Trailer 40" (37 Ton)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ata"/>
      <sheetName val="Top 40"/>
      <sheetName val="Summary"/>
      <sheetName val="Bonus"/>
      <sheetName val="Board Report"/>
      <sheetName val="Monthly Report Summary"/>
      <sheetName val="Monthly Summary to KPR"/>
      <sheetName val="Special"/>
      <sheetName val="Checking"/>
      <sheetName val="Total B&amp;C"/>
      <sheetName val="CHH Timber"/>
      <sheetName val="2450"/>
      <sheetName val="2459"/>
      <sheetName val="2460"/>
      <sheetName val="2470"/>
      <sheetName val="3459"/>
      <sheetName val="4407"/>
      <sheetName val="CHH X-Dock"/>
      <sheetName val="1456"/>
      <sheetName val="2456"/>
      <sheetName val="4456"/>
      <sheetName val="Laminex"/>
      <sheetName val="2473"/>
      <sheetName val="2474"/>
      <sheetName val="3401"/>
      <sheetName val="3403"/>
      <sheetName val="Laminex X-Dock"/>
      <sheetName val="2455"/>
      <sheetName val="3455"/>
      <sheetName val="CSR Materials"/>
      <sheetName val="2481"/>
      <sheetName val="4135"/>
      <sheetName val="Gyprock"/>
      <sheetName val="2490"/>
      <sheetName val="3490"/>
      <sheetName val="Wesfi"/>
      <sheetName val="2321"/>
      <sheetName val="2322"/>
      <sheetName val="3321"/>
      <sheetName val="3322"/>
      <sheetName val="4282"/>
      <sheetName val="4283"/>
      <sheetName val="Onesteel Qld"/>
      <sheetName val="3333"/>
      <sheetName val="3335"/>
      <sheetName val="3336"/>
      <sheetName val="3338"/>
      <sheetName val="3339"/>
      <sheetName val="Onesteel SA"/>
      <sheetName val="4335"/>
      <sheetName val="4336"/>
      <sheetName val="Onesteel WA"/>
      <sheetName val="5121"/>
      <sheetName val="5123"/>
      <sheetName val="5124"/>
      <sheetName val="5126"/>
      <sheetName val="5127"/>
      <sheetName val="5128"/>
      <sheetName val="BHP BP Total"/>
      <sheetName val="1630"/>
      <sheetName val="1631"/>
      <sheetName val="3334"/>
      <sheetName val="4630"/>
      <sheetName val="5125"/>
      <sheetName val="BHP CS Total"/>
      <sheetName val="3629"/>
      <sheetName val="Other"/>
      <sheetName val="2625"/>
      <sheetName val="3313"/>
      <sheetName val="B&amp;C Admin"/>
      <sheetName val="7493"/>
      <sheetName val="7496"/>
      <sheetName val="B&amp;C Business Develop"/>
      <sheetName val="7499"/>
      <sheetName val="Module6"/>
      <sheetName val="Module1"/>
    </sheetNames>
    <sheetDataSet>
      <sheetData sheetId="0" refreshError="1">
        <row r="1">
          <cell r="C1">
            <v>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eliminaries"/>
      <sheetName val="Civil&amp;Structure"/>
      <sheetName val="Tankage"/>
      <sheetName val="Mechanical Equipment"/>
      <sheetName val="Piping"/>
      <sheetName val="Painting&amp;Wrapping"/>
      <sheetName val="Instrumentation"/>
      <sheetName val="Electrical"/>
      <sheetName val="Piling"/>
      <sheetName val="Others"/>
      <sheetName val="{CALC}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6">
          <cell r="C6">
            <v>2</v>
          </cell>
          <cell r="D6">
            <v>60.3</v>
          </cell>
          <cell r="E6">
            <v>189.4380370114645</v>
          </cell>
          <cell r="F6">
            <v>0.757752148045858</v>
          </cell>
          <cell r="G6">
            <v>2</v>
          </cell>
        </row>
        <row r="7">
          <cell r="C7">
            <v>2.5</v>
          </cell>
          <cell r="D7">
            <v>73</v>
          </cell>
          <cell r="E7">
            <v>229.33626371205489</v>
          </cell>
          <cell r="F7">
            <v>0.9173450548482196</v>
          </cell>
          <cell r="G7">
            <v>2</v>
          </cell>
        </row>
        <row r="8">
          <cell r="C8">
            <v>3</v>
          </cell>
          <cell r="D8">
            <v>88.9</v>
          </cell>
          <cell r="E8">
            <v>279.28758690413264</v>
          </cell>
          <cell r="F8">
            <v>1.1171503476165305</v>
          </cell>
          <cell r="G8">
            <v>3</v>
          </cell>
        </row>
        <row r="9">
          <cell r="C9">
            <v>4</v>
          </cell>
          <cell r="D9">
            <v>114.3</v>
          </cell>
          <cell r="E9">
            <v>359.08404030531335</v>
          </cell>
          <cell r="F9">
            <v>1.4363361612212535</v>
          </cell>
          <cell r="G9">
            <v>3</v>
          </cell>
        </row>
        <row r="10">
          <cell r="C10">
            <v>5</v>
          </cell>
          <cell r="D10">
            <v>141.30000000000001</v>
          </cell>
          <cell r="E10">
            <v>443.90704195223782</v>
          </cell>
          <cell r="F10">
            <v>1.7756281678089514</v>
          </cell>
          <cell r="G10">
            <v>3</v>
          </cell>
        </row>
        <row r="11">
          <cell r="C11">
            <v>6</v>
          </cell>
          <cell r="D11">
            <v>168.3</v>
          </cell>
          <cell r="E11">
            <v>528.73004359916217</v>
          </cell>
          <cell r="F11">
            <v>2.1149201743966488</v>
          </cell>
          <cell r="G11">
            <v>3</v>
          </cell>
        </row>
        <row r="12">
          <cell r="C12">
            <v>8</v>
          </cell>
          <cell r="D12">
            <v>219.1</v>
          </cell>
          <cell r="E12">
            <v>688.3229504015236</v>
          </cell>
          <cell r="F12">
            <v>2.7532918016060943</v>
          </cell>
          <cell r="G12">
            <v>4</v>
          </cell>
        </row>
        <row r="13">
          <cell r="C13">
            <v>10</v>
          </cell>
          <cell r="D13">
            <v>273.10000000000002</v>
          </cell>
          <cell r="E13">
            <v>857.96895369537253</v>
          </cell>
          <cell r="F13">
            <v>3.4318758147814901</v>
          </cell>
          <cell r="G13">
            <v>4</v>
          </cell>
        </row>
        <row r="14">
          <cell r="C14">
            <v>12</v>
          </cell>
          <cell r="D14">
            <v>323.89999999999998</v>
          </cell>
          <cell r="E14">
            <v>1017.561860497734</v>
          </cell>
          <cell r="F14">
            <v>4.0702474419909356</v>
          </cell>
          <cell r="G14">
            <v>4</v>
          </cell>
        </row>
        <row r="15">
          <cell r="C15">
            <v>14</v>
          </cell>
          <cell r="D15">
            <v>355.6</v>
          </cell>
          <cell r="E15">
            <v>1117.1503476165306</v>
          </cell>
          <cell r="F15">
            <v>4.4686013904661221</v>
          </cell>
          <cell r="G15">
            <v>5</v>
          </cell>
        </row>
        <row r="16">
          <cell r="C16">
            <v>16</v>
          </cell>
          <cell r="D16">
            <v>406.4</v>
          </cell>
          <cell r="E16">
            <v>1276.7432544188919</v>
          </cell>
          <cell r="F16">
            <v>5.1069730176755677</v>
          </cell>
          <cell r="G16">
            <v>6</v>
          </cell>
        </row>
        <row r="17">
          <cell r="C17">
            <v>18</v>
          </cell>
          <cell r="D17">
            <v>457.2</v>
          </cell>
          <cell r="E17">
            <v>1436.3361612212534</v>
          </cell>
          <cell r="F17">
            <v>5.7453446448850141</v>
          </cell>
          <cell r="G17">
            <v>6</v>
          </cell>
        </row>
        <row r="18">
          <cell r="C18">
            <v>20</v>
          </cell>
          <cell r="D18">
            <v>508</v>
          </cell>
          <cell r="E18">
            <v>1595.9290680236149</v>
          </cell>
          <cell r="F18">
            <v>6.3837162720944596</v>
          </cell>
          <cell r="G18">
            <v>7</v>
          </cell>
        </row>
      </sheetData>
      <sheetData sheetId="12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MR"/>
      <sheetName val="IDR_Move(1)"/>
      <sheetName val="IDR_YTD(2)"/>
      <sheetName val="IDRt_FS(3)"/>
      <sheetName val="USDt_FS(4)"/>
      <sheetName val="RpBgt_Move(5)"/>
      <sheetName val="RpBgt_YTD(6)"/>
    </sheetNames>
    <sheetDataSet>
      <sheetData sheetId="0" refreshError="1">
        <row r="3">
          <cell r="A3">
            <v>1</v>
          </cell>
          <cell r="B3">
            <v>36892</v>
          </cell>
          <cell r="C3" t="str">
            <v>YTD0001</v>
          </cell>
          <cell r="D3">
            <v>36892</v>
          </cell>
        </row>
        <row r="4">
          <cell r="A4">
            <v>2</v>
          </cell>
          <cell r="B4">
            <v>36923</v>
          </cell>
          <cell r="C4" t="str">
            <v>YTD0002</v>
          </cell>
          <cell r="D4">
            <v>36923</v>
          </cell>
        </row>
        <row r="5">
          <cell r="A5">
            <v>3</v>
          </cell>
          <cell r="B5">
            <v>36951</v>
          </cell>
          <cell r="C5" t="str">
            <v>YTD0003</v>
          </cell>
          <cell r="D5">
            <v>36951</v>
          </cell>
        </row>
        <row r="6">
          <cell r="A6">
            <v>4</v>
          </cell>
          <cell r="B6">
            <v>36982</v>
          </cell>
          <cell r="C6" t="str">
            <v>YTD0004</v>
          </cell>
          <cell r="D6">
            <v>36982</v>
          </cell>
        </row>
        <row r="7">
          <cell r="A7">
            <v>5</v>
          </cell>
          <cell r="B7">
            <v>37012</v>
          </cell>
          <cell r="C7" t="str">
            <v>YTD0005</v>
          </cell>
          <cell r="D7">
            <v>37012</v>
          </cell>
        </row>
        <row r="8">
          <cell r="A8">
            <v>6</v>
          </cell>
          <cell r="B8">
            <v>37043</v>
          </cell>
          <cell r="C8" t="str">
            <v>YTD0006</v>
          </cell>
          <cell r="D8">
            <v>37043</v>
          </cell>
        </row>
        <row r="9">
          <cell r="A9">
            <v>7</v>
          </cell>
          <cell r="B9">
            <v>37073</v>
          </cell>
          <cell r="C9" t="str">
            <v>YTD0007</v>
          </cell>
          <cell r="D9">
            <v>37073</v>
          </cell>
        </row>
        <row r="10">
          <cell r="A10">
            <v>8</v>
          </cell>
          <cell r="B10">
            <v>37104</v>
          </cell>
          <cell r="C10" t="str">
            <v>YTD0008</v>
          </cell>
          <cell r="D10">
            <v>37104</v>
          </cell>
        </row>
        <row r="11">
          <cell r="A11">
            <v>9</v>
          </cell>
          <cell r="B11">
            <v>37135</v>
          </cell>
          <cell r="C11" t="str">
            <v>YTD0009</v>
          </cell>
          <cell r="D11">
            <v>37135</v>
          </cell>
        </row>
        <row r="12">
          <cell r="A12">
            <v>10</v>
          </cell>
          <cell r="B12">
            <v>37165</v>
          </cell>
          <cell r="C12" t="str">
            <v>YTD0010</v>
          </cell>
          <cell r="D12">
            <v>37165</v>
          </cell>
        </row>
        <row r="13">
          <cell r="A13">
            <v>11</v>
          </cell>
          <cell r="B13">
            <v>37196</v>
          </cell>
          <cell r="C13" t="str">
            <v>YTD0011</v>
          </cell>
          <cell r="D13">
            <v>37196</v>
          </cell>
        </row>
        <row r="14">
          <cell r="A14">
            <v>12</v>
          </cell>
          <cell r="B14">
            <v>37226</v>
          </cell>
          <cell r="C14" t="str">
            <v>YTD0012</v>
          </cell>
          <cell r="D14">
            <v>37226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ighlight"/>
      <sheetName val="WS-Yearly"/>
      <sheetName val="WS-Monthly"/>
      <sheetName val="PL Projection-21"/>
      <sheetName val="CF Projection-21"/>
      <sheetName val="RevSumByCust"/>
      <sheetName val="Revenue by Cust"/>
      <sheetName val="TankQty"/>
      <sheetName val="Utilization Summary"/>
      <sheetName val="Tank Utilization"/>
      <sheetName val="Fuel Trading"/>
      <sheetName val="Trucking"/>
      <sheetName val="WS-BS"/>
      <sheetName val="Salary&amp;Benefit"/>
      <sheetName val="Unearned"/>
      <sheetName val="FixedAsset-2021"/>
      <sheetName val="FA-2021"/>
      <sheetName val="FA-2019"/>
      <sheetName val="DIT"/>
    </sheetNames>
    <sheetDataSet>
      <sheetData sheetId="0">
        <row r="48">
          <cell r="W48">
            <v>1250.875</v>
          </cell>
          <cell r="X48">
            <v>1930.0191085416666</v>
          </cell>
          <cell r="Y48">
            <v>2015.8837521463538</v>
          </cell>
          <cell r="Z48">
            <v>3386.4398768855035</v>
          </cell>
          <cell r="AA48">
            <v>3126.1894557443843</v>
          </cell>
          <cell r="AB48">
            <v>3265.2500418837453</v>
          </cell>
          <cell r="AC48">
            <v>3530.4202004884546</v>
          </cell>
          <cell r="AD48">
            <v>3914.401430156342</v>
          </cell>
          <cell r="AE48">
            <v>3759.2688295650664</v>
          </cell>
          <cell r="AF48">
            <v>4070.2090974723119</v>
          </cell>
          <cell r="AG48">
            <v>3749.4355993826593</v>
          </cell>
          <cell r="AH48">
            <v>3657.4017008811161</v>
          </cell>
        </row>
      </sheetData>
      <sheetData sheetId="1"/>
      <sheetData sheetId="2" refreshError="1"/>
      <sheetData sheetId="3">
        <row r="82">
          <cell r="AF82">
            <v>2522.1711111111113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im Ytd (o)"/>
      <sheetName val="Bulk Ytd (o)"/>
      <sheetName val="Package Ytd (o)"/>
      <sheetName val="BP per div (2)"/>
      <sheetName val="PL2020 per com"/>
      <sheetName val="BS 5 years vers 2"/>
      <sheetName val="PL Consol  20 vS 19"/>
      <sheetName val="BS 5 years"/>
      <sheetName val="Unaudited 2019"/>
      <sheetName val="5Years IS With LGI"/>
      <sheetName val="PO 2020  and Act19"/>
      <sheetName val="5 Years IS ( with LGI)"/>
      <sheetName val="SGA CONSOL"/>
      <sheetName val="5 Years IS "/>
      <sheetName val="outlook des"/>
      <sheetName val="outlook2020"/>
      <sheetName val="PL Consol  21"/>
      <sheetName val="Per Company Analisa"/>
      <sheetName val="per BU"/>
      <sheetName val="PO 2021 Per com"/>
      <sheetName val="PL Per com 2020"/>
      <sheetName val="Forecast Juli 20"/>
      <sheetName val="PO 2021"/>
      <sheetName val="BS Consol"/>
      <sheetName val="Sheet2"/>
      <sheetName val="80 20 CM YTD TBS"/>
      <sheetName val="80 20 CM YTD CLI"/>
      <sheetName val="Top 10 Cust BP 2"/>
      <sheetName val="Prepaid"/>
      <sheetName val="80 20 CM YTD BP"/>
      <sheetName val="Top 10 Cust BP Revised"/>
      <sheetName val="80 20 CM YTD CML"/>
      <sheetName val="BS ver 2 Audited"/>
      <sheetName val="BS Ver 2 Unaudited"/>
      <sheetName val="BS ver 1"/>
      <sheetName val="Per Company"/>
      <sheetName val="Selling Consol"/>
      <sheetName val="GA Consol"/>
      <sheetName val="Pack, Bulk, Exim YTD Feb'20"/>
      <sheetName val="80 20 Customer TBS"/>
      <sheetName val="80 20 Customer YTD BP"/>
      <sheetName val="80 20 Customer YTD CML"/>
      <sheetName val="utilisasi 2021"/>
      <sheetName val="Utilisasi 2020"/>
      <sheetName val="Forecast per BU"/>
      <sheetName val="graph utiliasi truck 21"/>
      <sheetName val="graph utiliasi truck 20"/>
      <sheetName val="CML Chart"/>
      <sheetName val="CML Per Div"/>
      <sheetName val="Package Ytd (2)"/>
      <sheetName val="Package Ytd"/>
      <sheetName val="Bulk Ytd (2)"/>
      <sheetName val="Bulk Ytd"/>
      <sheetName val="Exim Ytd (2)"/>
      <sheetName val="Exim Ytd"/>
      <sheetName val="BP Chart"/>
      <sheetName val="BP per div"/>
      <sheetName val="EBITDA"/>
      <sheetName val="Transport (2)"/>
      <sheetName val="Transport"/>
      <sheetName val="Bulk Transport (2)"/>
      <sheetName val="Bulk Transport"/>
      <sheetName val="Exim (2)"/>
      <sheetName val="Exim"/>
      <sheetName val="Sheet1"/>
      <sheetName val="SGA CML"/>
      <sheetName val="SGA BP"/>
      <sheetName val="PL Per division CML &amp; BP"/>
      <sheetName val="Budget Revenue per cust BP "/>
      <sheetName val="SGA TBS"/>
      <sheetName val="Rev pe cust CML"/>
      <sheetName val="Rev per cust CLI"/>
      <sheetName val="Rev Per Cust TBS"/>
      <sheetName val="Outlook CML"/>
      <sheetName val="Outlookk BP"/>
      <sheetName val="Rev Pack CML"/>
      <sheetName val="Rev Bulk CML"/>
      <sheetName val="Rev Exim CML"/>
      <sheetName val="Breakdown Prof Fee SGA"/>
      <sheetName val="Rev CML"/>
      <sheetName val="Rev BP"/>
      <sheetName val="outlook Nov"/>
      <sheetName val="Forecast YTD"/>
      <sheetName val="Forecast April"/>
      <sheetName val="Forecast May"/>
      <sheetName val="Forecast Jun"/>
      <sheetName val="Forecast Jul"/>
      <sheetName val="Forecast Aug"/>
      <sheetName val="Forecast Sept"/>
      <sheetName val="Forecast Oct"/>
      <sheetName val="Forecast Nov"/>
      <sheetName val="Forecast Des"/>
      <sheetName val="Forecast YTD Aug"/>
      <sheetName val="Forecast Q1-4"/>
    </sheetNames>
    <sheetDataSet>
      <sheetData sheetId="0"/>
      <sheetData sheetId="1"/>
      <sheetData sheetId="2"/>
      <sheetData sheetId="3"/>
      <sheetData sheetId="4">
        <row r="26">
          <cell r="O26">
            <v>421536.595477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3">
          <cell r="G13">
            <v>2430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FFFF"/>
  </sheetPr>
  <dimension ref="A1:CW390"/>
  <sheetViews>
    <sheetView zoomScale="70" zoomScaleNormal="70" workbookViewId="0">
      <pane xSplit="6" ySplit="5" topLeftCell="CL221" activePane="bottomRight" state="frozen"/>
      <selection pane="topRight" activeCell="G1" sqref="G1"/>
      <selection pane="bottomLeft" activeCell="A6" sqref="A6"/>
      <selection pane="bottomRight" activeCell="CP307" sqref="CP307"/>
    </sheetView>
  </sheetViews>
  <sheetFormatPr defaultColWidth="8.7265625" defaultRowHeight="14.5" outlineLevelRow="2" outlineLevelCol="1"/>
  <cols>
    <col min="1" max="1" width="12.54296875" style="276" customWidth="1"/>
    <col min="2" max="2" width="66" style="277" hidden="1" customWidth="1"/>
    <col min="3" max="3" width="12.54296875" style="276" customWidth="1"/>
    <col min="4" max="4" width="10" style="276" bestFit="1" customWidth="1"/>
    <col min="5" max="5" width="30.81640625" style="924" customWidth="1"/>
    <col min="6" max="6" width="15" style="924" customWidth="1"/>
    <col min="7" max="7" width="18.54296875" style="925" customWidth="1"/>
    <col min="8" max="12" width="16.7265625" style="925" hidden="1" customWidth="1" outlineLevel="1"/>
    <col min="13" max="16" width="16.7265625" style="38" hidden="1" customWidth="1" outlineLevel="1"/>
    <col min="17" max="19" width="17.81640625" style="38" hidden="1" customWidth="1" outlineLevel="1"/>
    <col min="20" max="20" width="18" style="38" hidden="1" customWidth="1" outlineLevel="1"/>
    <col min="21" max="21" width="16.7265625" style="38" hidden="1" customWidth="1" outlineLevel="1"/>
    <col min="22" max="22" width="17.81640625" style="38" hidden="1" customWidth="1" outlineLevel="1"/>
    <col min="23" max="23" width="19" style="41" customWidth="1" collapsed="1"/>
    <col min="24" max="24" width="1.1796875" style="38" customWidth="1"/>
    <col min="25" max="36" width="16.7265625" style="38" hidden="1" customWidth="1" outlineLevel="1"/>
    <col min="37" max="37" width="19" style="919" customWidth="1" collapsed="1"/>
    <col min="38" max="38" width="1.1796875" style="38" hidden="1" customWidth="1"/>
    <col min="39" max="50" width="16.7265625" style="38" hidden="1" customWidth="1" outlineLevel="1"/>
    <col min="51" max="51" width="17.7265625" style="926" hidden="1" customWidth="1"/>
    <col min="52" max="52" width="1.1796875" style="38" customWidth="1"/>
    <col min="53" max="54" width="17.81640625" style="38" customWidth="1" outlineLevel="1"/>
    <col min="55" max="55" width="17.81640625" style="38" hidden="1" customWidth="1" outlineLevel="1"/>
    <col min="56" max="56" width="17.81640625" style="38" customWidth="1" outlineLevel="1"/>
    <col min="57" max="57" width="17.81640625" style="38" hidden="1" customWidth="1" outlineLevel="1"/>
    <col min="58" max="58" width="17.81640625" style="38" customWidth="1" outlineLevel="1"/>
    <col min="59" max="59" width="17.81640625" style="38" hidden="1" customWidth="1" outlineLevel="1"/>
    <col min="60" max="60" width="17.81640625" style="38" customWidth="1" outlineLevel="1"/>
    <col min="61" max="61" width="17.81640625" style="38" hidden="1" customWidth="1" outlineLevel="1"/>
    <col min="62" max="62" width="17.81640625" style="38" customWidth="1" outlineLevel="1"/>
    <col min="63" max="63" width="17.81640625" style="38" hidden="1" customWidth="1" outlineLevel="1"/>
    <col min="64" max="64" width="17.81640625" style="38" customWidth="1" outlineLevel="1"/>
    <col min="65" max="65" width="17.81640625" style="38" hidden="1" customWidth="1" outlineLevel="1"/>
    <col min="66" max="66" width="17.81640625" style="38" customWidth="1" outlineLevel="1"/>
    <col min="67" max="69" width="17.81640625" style="38" hidden="1" customWidth="1" outlineLevel="1"/>
    <col min="70" max="70" width="17.81640625" style="38" customWidth="1" outlineLevel="1"/>
    <col min="71" max="72" width="17.81640625" style="38" hidden="1" customWidth="1" outlineLevel="1"/>
    <col min="73" max="73" width="17.81640625" style="38" customWidth="1" outlineLevel="1"/>
    <col min="74" max="75" width="17.81640625" style="38" hidden="1" customWidth="1" outlineLevel="1"/>
    <col min="76" max="76" width="17.81640625" style="38" customWidth="1" outlineLevel="1"/>
    <col min="77" max="78" width="17.81640625" style="38" hidden="1" customWidth="1" outlineLevel="1"/>
    <col min="79" max="79" width="17.81640625" style="38" customWidth="1" outlineLevel="1"/>
    <col min="80" max="80" width="20.7265625" style="927" hidden="1" customWidth="1"/>
    <col min="81" max="81" width="20.7265625" style="41" customWidth="1"/>
    <col min="82" max="82" width="1.1796875" style="41" customWidth="1"/>
    <col min="83" max="94" width="17.81640625" style="276" customWidth="1" outlineLevel="1"/>
    <col min="95" max="95" width="17.7265625" style="928" customWidth="1"/>
    <col min="96" max="99" width="17.7265625" style="928" customWidth="1" outlineLevel="1"/>
    <col min="100" max="100" width="17.81640625" style="38" customWidth="1"/>
    <col min="101" max="101" width="17.26953125" style="38" customWidth="1"/>
    <col min="102" max="16384" width="8.7265625" style="38"/>
  </cols>
  <sheetData>
    <row r="1" spans="1:101" ht="18.5">
      <c r="A1" s="278" t="s">
        <v>0</v>
      </c>
      <c r="E1" s="304"/>
      <c r="F1" s="278"/>
      <c r="G1" s="48"/>
      <c r="H1" s="42"/>
      <c r="I1" s="42"/>
      <c r="J1" s="42"/>
      <c r="K1" s="42"/>
      <c r="L1" s="42"/>
      <c r="X1" s="55"/>
      <c r="AK1" s="39"/>
      <c r="AL1" s="40"/>
      <c r="AY1" s="116"/>
      <c r="AZ1" s="40"/>
      <c r="BR1" s="726" t="s">
        <v>1</v>
      </c>
      <c r="BU1" s="727"/>
      <c r="BX1" s="727"/>
      <c r="CA1" s="727"/>
      <c r="CB1" s="716"/>
      <c r="CC1" s="717"/>
      <c r="CD1" s="733"/>
      <c r="CQ1" s="339"/>
      <c r="CR1" s="340"/>
      <c r="CS1" s="341"/>
      <c r="CT1" s="342"/>
      <c r="CU1" s="343"/>
    </row>
    <row r="2" spans="1:101" ht="18.5">
      <c r="A2" s="278" t="s">
        <v>2</v>
      </c>
      <c r="E2" s="304"/>
      <c r="F2" s="278"/>
      <c r="G2" s="48"/>
      <c r="H2" s="42"/>
      <c r="I2" s="42"/>
      <c r="J2" s="42"/>
      <c r="K2" s="42"/>
      <c r="L2" s="42"/>
      <c r="T2" s="44"/>
      <c r="U2" s="44"/>
      <c r="V2" s="44"/>
      <c r="X2" s="55"/>
      <c r="AK2" s="39"/>
      <c r="AL2" s="40"/>
      <c r="AY2" s="116"/>
      <c r="AZ2" s="40"/>
      <c r="BR2" s="726" t="s">
        <v>3</v>
      </c>
      <c r="BU2" s="727"/>
      <c r="BX2" s="727"/>
      <c r="CA2" s="727"/>
      <c r="CB2" s="716" t="s">
        <v>4</v>
      </c>
      <c r="CC2" s="717" t="s">
        <v>5</v>
      </c>
      <c r="CD2" s="733"/>
      <c r="CQ2" s="339"/>
      <c r="CR2" s="340"/>
      <c r="CS2" s="341"/>
      <c r="CT2" s="342"/>
      <c r="CU2" s="343"/>
    </row>
    <row r="3" spans="1:101" ht="18.5">
      <c r="A3" s="278" t="s">
        <v>6</v>
      </c>
      <c r="E3" s="278"/>
      <c r="F3" s="278"/>
      <c r="G3" s="48"/>
      <c r="H3" s="42"/>
      <c r="I3" s="42"/>
      <c r="J3" s="42"/>
      <c r="K3" s="42"/>
      <c r="L3" s="42"/>
      <c r="T3" s="44"/>
      <c r="U3" s="44"/>
      <c r="V3" s="44"/>
      <c r="X3" s="55"/>
      <c r="AK3" s="39"/>
      <c r="AL3" s="40"/>
      <c r="AY3" s="116"/>
      <c r="AZ3" s="40"/>
      <c r="BR3" s="726" t="s">
        <v>7</v>
      </c>
      <c r="BU3" s="727"/>
      <c r="BX3" s="727"/>
      <c r="CA3" s="727"/>
      <c r="CB3" s="716"/>
      <c r="CC3" s="717"/>
      <c r="CD3" s="733"/>
      <c r="CQ3" s="339"/>
      <c r="CR3" s="340"/>
      <c r="CS3" s="341"/>
      <c r="CT3" s="342"/>
      <c r="CU3" s="343"/>
    </row>
    <row r="4" spans="1:101" s="914" customFormat="1" ht="15.5">
      <c r="A4" s="279"/>
      <c r="B4" s="280"/>
      <c r="C4" s="279"/>
      <c r="D4" s="279"/>
      <c r="E4" s="281"/>
      <c r="F4" s="281"/>
      <c r="G4" s="125" t="s">
        <v>1</v>
      </c>
      <c r="H4" s="125" t="s">
        <v>1</v>
      </c>
      <c r="I4" s="125" t="s">
        <v>1</v>
      </c>
      <c r="J4" s="125" t="s">
        <v>1</v>
      </c>
      <c r="K4" s="125" t="s">
        <v>1</v>
      </c>
      <c r="L4" s="125" t="s">
        <v>1</v>
      </c>
      <c r="M4" s="125" t="s">
        <v>1</v>
      </c>
      <c r="N4" s="125" t="s">
        <v>1</v>
      </c>
      <c r="O4" s="125" t="s">
        <v>1</v>
      </c>
      <c r="P4" s="125" t="s">
        <v>1</v>
      </c>
      <c r="Q4" s="125" t="s">
        <v>1</v>
      </c>
      <c r="R4" s="125" t="s">
        <v>1</v>
      </c>
      <c r="S4" s="125" t="s">
        <v>1</v>
      </c>
      <c r="T4" s="46" t="s">
        <v>8</v>
      </c>
      <c r="U4" s="46" t="s">
        <v>8</v>
      </c>
      <c r="V4" s="46" t="s">
        <v>8</v>
      </c>
      <c r="W4" s="125" t="s">
        <v>9</v>
      </c>
      <c r="X4" s="55"/>
      <c r="Y4" s="115" t="s">
        <v>10</v>
      </c>
      <c r="Z4" s="115" t="s">
        <v>10</v>
      </c>
      <c r="AA4" s="115" t="s">
        <v>10</v>
      </c>
      <c r="AB4" s="115" t="s">
        <v>10</v>
      </c>
      <c r="AC4" s="115" t="s">
        <v>10</v>
      </c>
      <c r="AD4" s="115" t="s">
        <v>10</v>
      </c>
      <c r="AE4" s="115" t="s">
        <v>10</v>
      </c>
      <c r="AF4" s="115" t="s">
        <v>10</v>
      </c>
      <c r="AG4" s="115" t="s">
        <v>10</v>
      </c>
      <c r="AH4" s="115" t="s">
        <v>10</v>
      </c>
      <c r="AI4" s="115" t="s">
        <v>10</v>
      </c>
      <c r="AJ4" s="115" t="s">
        <v>10</v>
      </c>
      <c r="AK4" s="115" t="s">
        <v>10</v>
      </c>
      <c r="AL4" s="47"/>
      <c r="AM4" s="117" t="s">
        <v>11</v>
      </c>
      <c r="AN4" s="117" t="s">
        <v>11</v>
      </c>
      <c r="AO4" s="117" t="s">
        <v>11</v>
      </c>
      <c r="AP4" s="117" t="s">
        <v>11</v>
      </c>
      <c r="AQ4" s="117" t="s">
        <v>11</v>
      </c>
      <c r="AR4" s="117" t="s">
        <v>11</v>
      </c>
      <c r="AS4" s="117" t="s">
        <v>11</v>
      </c>
      <c r="AT4" s="117" t="s">
        <v>11</v>
      </c>
      <c r="AU4" s="117" t="s">
        <v>11</v>
      </c>
      <c r="AV4" s="117" t="s">
        <v>11</v>
      </c>
      <c r="AW4" s="117" t="s">
        <v>11</v>
      </c>
      <c r="AX4" s="117" t="s">
        <v>11</v>
      </c>
      <c r="AY4" s="117" t="s">
        <v>12</v>
      </c>
      <c r="AZ4" s="47"/>
      <c r="BA4" s="121" t="s">
        <v>9</v>
      </c>
      <c r="BB4" s="121" t="s">
        <v>9</v>
      </c>
      <c r="BC4" s="602" t="s">
        <v>13</v>
      </c>
      <c r="BD4" s="121" t="s">
        <v>9</v>
      </c>
      <c r="BE4" s="602" t="s">
        <v>13</v>
      </c>
      <c r="BF4" s="121" t="s">
        <v>9</v>
      </c>
      <c r="BG4" s="602" t="s">
        <v>13</v>
      </c>
      <c r="BH4" s="121" t="s">
        <v>9</v>
      </c>
      <c r="BI4" s="602" t="s">
        <v>13</v>
      </c>
      <c r="BJ4" s="121" t="s">
        <v>9</v>
      </c>
      <c r="BK4" s="602" t="s">
        <v>13</v>
      </c>
      <c r="BL4" s="121" t="s">
        <v>9</v>
      </c>
      <c r="BM4" s="602" t="s">
        <v>13</v>
      </c>
      <c r="BN4" s="691" t="s">
        <v>9</v>
      </c>
      <c r="BO4" s="692" t="s">
        <v>13</v>
      </c>
      <c r="BP4" s="691" t="s">
        <v>9</v>
      </c>
      <c r="BQ4" s="692" t="s">
        <v>13</v>
      </c>
      <c r="BR4" s="728" t="s">
        <v>14</v>
      </c>
      <c r="BS4" s="691" t="s">
        <v>9</v>
      </c>
      <c r="BT4" s="692" t="s">
        <v>13</v>
      </c>
      <c r="BU4" s="728" t="s">
        <v>14</v>
      </c>
      <c r="BV4" s="691" t="s">
        <v>9</v>
      </c>
      <c r="BW4" s="692" t="s">
        <v>13</v>
      </c>
      <c r="BX4" s="728" t="s">
        <v>14</v>
      </c>
      <c r="BY4" s="691" t="s">
        <v>9</v>
      </c>
      <c r="BZ4" s="692" t="s">
        <v>13</v>
      </c>
      <c r="CA4" s="728" t="s">
        <v>14</v>
      </c>
      <c r="CB4" s="691" t="s">
        <v>9</v>
      </c>
      <c r="CC4" s="728" t="s">
        <v>14</v>
      </c>
      <c r="CD4" s="734"/>
      <c r="CE4" s="344" t="s">
        <v>15</v>
      </c>
      <c r="CF4" s="344" t="s">
        <v>15</v>
      </c>
      <c r="CG4" s="344" t="s">
        <v>15</v>
      </c>
      <c r="CH4" s="344" t="s">
        <v>15</v>
      </c>
      <c r="CI4" s="344" t="s">
        <v>15</v>
      </c>
      <c r="CJ4" s="344" t="s">
        <v>15</v>
      </c>
      <c r="CK4" s="344" t="s">
        <v>15</v>
      </c>
      <c r="CL4" s="344" t="s">
        <v>15</v>
      </c>
      <c r="CM4" s="344" t="s">
        <v>15</v>
      </c>
      <c r="CN4" s="344" t="s">
        <v>15</v>
      </c>
      <c r="CO4" s="344" t="s">
        <v>15</v>
      </c>
      <c r="CP4" s="344" t="s">
        <v>15</v>
      </c>
      <c r="CQ4" s="344" t="s">
        <v>16</v>
      </c>
      <c r="CR4" s="345"/>
      <c r="CS4" s="346"/>
      <c r="CT4" s="347"/>
      <c r="CU4" s="348"/>
    </row>
    <row r="5" spans="1:101" s="916" customFormat="1" ht="31">
      <c r="A5" s="282" t="s">
        <v>17</v>
      </c>
      <c r="B5" s="282"/>
      <c r="C5" s="282" t="s">
        <v>18</v>
      </c>
      <c r="D5" s="283" t="s">
        <v>19</v>
      </c>
      <c r="E5" s="282" t="s">
        <v>20</v>
      </c>
      <c r="F5" s="283" t="s">
        <v>21</v>
      </c>
      <c r="G5" s="136" t="s">
        <v>22</v>
      </c>
      <c r="H5" s="137">
        <v>43831</v>
      </c>
      <c r="I5" s="137">
        <v>43862</v>
      </c>
      <c r="J5" s="137">
        <v>43891</v>
      </c>
      <c r="K5" s="137">
        <v>43922</v>
      </c>
      <c r="L5" s="137" t="s">
        <v>23</v>
      </c>
      <c r="M5" s="137">
        <v>43983</v>
      </c>
      <c r="N5" s="137">
        <v>44013</v>
      </c>
      <c r="O5" s="137">
        <v>44044</v>
      </c>
      <c r="P5" s="137">
        <v>44075</v>
      </c>
      <c r="Q5" s="137">
        <v>44105</v>
      </c>
      <c r="R5" s="137">
        <v>44136</v>
      </c>
      <c r="S5" s="137">
        <v>44166</v>
      </c>
      <c r="T5" s="137">
        <v>44105</v>
      </c>
      <c r="U5" s="137">
        <v>44136</v>
      </c>
      <c r="V5" s="137">
        <v>44166</v>
      </c>
      <c r="W5" s="137" t="s">
        <v>24</v>
      </c>
      <c r="X5" s="55"/>
      <c r="Y5" s="139">
        <v>44197</v>
      </c>
      <c r="Z5" s="139">
        <v>44228</v>
      </c>
      <c r="AA5" s="139">
        <v>44256</v>
      </c>
      <c r="AB5" s="139">
        <v>44287</v>
      </c>
      <c r="AC5" s="139">
        <v>44317</v>
      </c>
      <c r="AD5" s="139">
        <v>44348</v>
      </c>
      <c r="AE5" s="139">
        <v>44378</v>
      </c>
      <c r="AF5" s="139">
        <v>44409</v>
      </c>
      <c r="AG5" s="139">
        <v>44440</v>
      </c>
      <c r="AH5" s="139">
        <v>44470</v>
      </c>
      <c r="AI5" s="139">
        <v>44501</v>
      </c>
      <c r="AJ5" s="139">
        <v>44531</v>
      </c>
      <c r="AK5" s="140" t="s">
        <v>25</v>
      </c>
      <c r="AL5" s="138"/>
      <c r="AM5" s="139">
        <v>44197</v>
      </c>
      <c r="AN5" s="139">
        <v>44228</v>
      </c>
      <c r="AO5" s="139">
        <v>44256</v>
      </c>
      <c r="AP5" s="139">
        <v>44287</v>
      </c>
      <c r="AQ5" s="139">
        <v>44317</v>
      </c>
      <c r="AR5" s="139">
        <v>44348</v>
      </c>
      <c r="AS5" s="139">
        <v>44378</v>
      </c>
      <c r="AT5" s="139">
        <v>44409</v>
      </c>
      <c r="AU5" s="139">
        <v>44440</v>
      </c>
      <c r="AV5" s="139">
        <v>44470</v>
      </c>
      <c r="AW5" s="139">
        <v>44501</v>
      </c>
      <c r="AX5" s="139">
        <v>44531</v>
      </c>
      <c r="AY5" s="141" t="s">
        <v>25</v>
      </c>
      <c r="AZ5" s="138"/>
      <c r="BA5" s="230">
        <v>44197</v>
      </c>
      <c r="BB5" s="230">
        <v>44228</v>
      </c>
      <c r="BC5" s="603">
        <v>44228</v>
      </c>
      <c r="BD5" s="230">
        <v>44256</v>
      </c>
      <c r="BE5" s="603">
        <v>44256</v>
      </c>
      <c r="BF5" s="230">
        <v>44287</v>
      </c>
      <c r="BG5" s="603">
        <v>44287</v>
      </c>
      <c r="BH5" s="230">
        <v>44317</v>
      </c>
      <c r="BI5" s="603">
        <v>44317</v>
      </c>
      <c r="BJ5" s="230">
        <v>44348</v>
      </c>
      <c r="BK5" s="603">
        <v>44348</v>
      </c>
      <c r="BL5" s="230">
        <v>44378</v>
      </c>
      <c r="BM5" s="603">
        <v>44378</v>
      </c>
      <c r="BN5" s="230">
        <v>44409</v>
      </c>
      <c r="BO5" s="603">
        <v>44409</v>
      </c>
      <c r="BP5" s="230">
        <v>44440</v>
      </c>
      <c r="BQ5" s="603">
        <v>44440</v>
      </c>
      <c r="BR5" s="719">
        <v>44440</v>
      </c>
      <c r="BS5" s="230">
        <v>44470</v>
      </c>
      <c r="BT5" s="603">
        <v>44470</v>
      </c>
      <c r="BU5" s="719">
        <v>44470</v>
      </c>
      <c r="BV5" s="230">
        <v>44501</v>
      </c>
      <c r="BW5" s="603">
        <v>44501</v>
      </c>
      <c r="BX5" s="719">
        <v>44501</v>
      </c>
      <c r="BY5" s="230">
        <v>44531</v>
      </c>
      <c r="BZ5" s="603">
        <v>44531</v>
      </c>
      <c r="CA5" s="719">
        <v>44531</v>
      </c>
      <c r="CB5" s="718" t="s">
        <v>25</v>
      </c>
      <c r="CC5" s="719" t="s">
        <v>25</v>
      </c>
      <c r="CD5" s="735"/>
      <c r="CE5" s="349">
        <v>44562</v>
      </c>
      <c r="CF5" s="349">
        <v>44593</v>
      </c>
      <c r="CG5" s="349">
        <v>44621</v>
      </c>
      <c r="CH5" s="349">
        <v>44652</v>
      </c>
      <c r="CI5" s="349">
        <v>44682</v>
      </c>
      <c r="CJ5" s="349">
        <v>44713</v>
      </c>
      <c r="CK5" s="349">
        <v>44743</v>
      </c>
      <c r="CL5" s="349">
        <v>44774</v>
      </c>
      <c r="CM5" s="349">
        <v>44805</v>
      </c>
      <c r="CN5" s="349">
        <v>44835</v>
      </c>
      <c r="CO5" s="349">
        <v>44866</v>
      </c>
      <c r="CP5" s="349">
        <v>44896</v>
      </c>
      <c r="CQ5" s="350" t="s">
        <v>26</v>
      </c>
      <c r="CR5" s="351" t="s">
        <v>27</v>
      </c>
      <c r="CS5" s="352" t="s">
        <v>28</v>
      </c>
      <c r="CT5" s="353" t="s">
        <v>29</v>
      </c>
      <c r="CU5" s="354" t="s">
        <v>30</v>
      </c>
      <c r="CV5" s="915" t="s">
        <v>31</v>
      </c>
      <c r="CW5" s="916" t="s">
        <v>32</v>
      </c>
    </row>
    <row r="6" spans="1:101" ht="15.5">
      <c r="A6" s="284"/>
      <c r="B6" s="284"/>
      <c r="C6" s="284"/>
      <c r="D6" s="284"/>
      <c r="E6" s="284" t="s">
        <v>33</v>
      </c>
      <c r="F6" s="284"/>
      <c r="G6" s="53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5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6"/>
      <c r="AL6" s="55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6"/>
      <c r="AZ6" s="55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56"/>
      <c r="BN6" s="693"/>
      <c r="BO6" s="693"/>
      <c r="BP6" s="693"/>
      <c r="BQ6" s="693"/>
      <c r="BR6" s="693"/>
      <c r="BS6" s="693"/>
      <c r="BT6" s="693"/>
      <c r="BU6" s="693"/>
      <c r="BV6" s="693"/>
      <c r="BW6" s="693"/>
      <c r="BX6" s="693"/>
      <c r="BY6" s="693"/>
      <c r="BZ6" s="693"/>
      <c r="CA6" s="693"/>
      <c r="CB6" s="693"/>
      <c r="CC6" s="693"/>
      <c r="CD6" s="736"/>
      <c r="CE6" s="321"/>
      <c r="CF6" s="321"/>
      <c r="CG6" s="321"/>
      <c r="CH6" s="321"/>
      <c r="CI6" s="321"/>
      <c r="CJ6" s="321"/>
      <c r="CK6" s="321"/>
      <c r="CL6" s="321"/>
      <c r="CM6" s="321"/>
      <c r="CN6" s="321"/>
      <c r="CO6" s="321"/>
      <c r="CP6" s="321"/>
      <c r="CQ6" s="321"/>
      <c r="CR6" s="321"/>
      <c r="CS6" s="321"/>
      <c r="CT6" s="321"/>
      <c r="CU6" s="321"/>
      <c r="CV6" s="57"/>
    </row>
    <row r="7" spans="1:101" ht="15.5" outlineLevel="1">
      <c r="A7" s="285"/>
      <c r="B7" s="285"/>
      <c r="C7" s="285"/>
      <c r="D7" s="285"/>
      <c r="E7" s="285" t="s">
        <v>34</v>
      </c>
      <c r="F7" s="285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5"/>
      <c r="Y7" s="225">
        <f t="shared" ref="Y7:AK7" si="0">SUM(Y10:Y71)</f>
        <v>3509469789.1774192</v>
      </c>
      <c r="Z7" s="225">
        <f t="shared" si="0"/>
        <v>3516135557.7274189</v>
      </c>
      <c r="AA7" s="225">
        <f t="shared" si="0"/>
        <v>3516135557.7274189</v>
      </c>
      <c r="AB7" s="225">
        <f t="shared" si="0"/>
        <v>3746135557.7274189</v>
      </c>
      <c r="AC7" s="225">
        <f t="shared" si="0"/>
        <v>3746135557.7274189</v>
      </c>
      <c r="AD7" s="225">
        <f t="shared" si="0"/>
        <v>3746135557.7274189</v>
      </c>
      <c r="AE7" s="225">
        <f t="shared" si="0"/>
        <v>3746135557.7274189</v>
      </c>
      <c r="AF7" s="225">
        <f t="shared" si="0"/>
        <v>3746135557.7274189</v>
      </c>
      <c r="AG7" s="225">
        <f t="shared" si="0"/>
        <v>3746135557.7274189</v>
      </c>
      <c r="AH7" s="225">
        <f t="shared" si="0"/>
        <v>3746135557.7274189</v>
      </c>
      <c r="AI7" s="225">
        <f t="shared" si="0"/>
        <v>3746135557.7274189</v>
      </c>
      <c r="AJ7" s="225">
        <f t="shared" si="0"/>
        <v>3746135557.7274189</v>
      </c>
      <c r="AK7" s="225">
        <f t="shared" si="0"/>
        <v>44256960924.179031</v>
      </c>
      <c r="AL7" s="55"/>
      <c r="AM7" s="225">
        <f t="shared" ref="AM7:AY7" si="1">SUM(AM10:AM71)</f>
        <v>3509469789.1774192</v>
      </c>
      <c r="AN7" s="225">
        <f t="shared" si="1"/>
        <v>3516135557.7274189</v>
      </c>
      <c r="AO7" s="225">
        <f t="shared" si="1"/>
        <v>3516135557.7274189</v>
      </c>
      <c r="AP7" s="225">
        <f t="shared" si="1"/>
        <v>3746135557.7274189</v>
      </c>
      <c r="AQ7" s="225">
        <f t="shared" si="1"/>
        <v>3746135557.7274189</v>
      </c>
      <c r="AR7" s="225">
        <f t="shared" si="1"/>
        <v>3746135557.7274189</v>
      </c>
      <c r="AS7" s="225">
        <f t="shared" si="1"/>
        <v>3746135557.7274189</v>
      </c>
      <c r="AT7" s="225">
        <f t="shared" si="1"/>
        <v>3746135557.7274189</v>
      </c>
      <c r="AU7" s="225">
        <f t="shared" si="1"/>
        <v>3746135557.7274189</v>
      </c>
      <c r="AV7" s="225">
        <f t="shared" si="1"/>
        <v>3746135557.7274189</v>
      </c>
      <c r="AW7" s="225">
        <f t="shared" si="1"/>
        <v>3746135557.7274189</v>
      </c>
      <c r="AX7" s="225">
        <f t="shared" si="1"/>
        <v>3746135557.7274189</v>
      </c>
      <c r="AY7" s="225">
        <f t="shared" si="1"/>
        <v>44256960924.179031</v>
      </c>
      <c r="AZ7" s="55"/>
      <c r="BA7" s="225">
        <f t="shared" ref="BA7:CU7" si="2">SUM(BA10:BA71)</f>
        <v>3472278433</v>
      </c>
      <c r="BB7" s="225">
        <f t="shared" si="2"/>
        <v>3402574172</v>
      </c>
      <c r="BC7" s="225">
        <f t="shared" si="2"/>
        <v>3221116925</v>
      </c>
      <c r="BD7" s="225">
        <f t="shared" si="2"/>
        <v>2942838680</v>
      </c>
      <c r="BE7" s="225">
        <f t="shared" si="2"/>
        <v>3127401879</v>
      </c>
      <c r="BF7" s="225">
        <f t="shared" si="2"/>
        <v>2641487580</v>
      </c>
      <c r="BG7" s="225">
        <f t="shared" si="2"/>
        <v>2847356368</v>
      </c>
      <c r="BH7" s="225">
        <f t="shared" si="2"/>
        <v>2719465946</v>
      </c>
      <c r="BI7" s="225">
        <f t="shared" si="2"/>
        <v>2820742568</v>
      </c>
      <c r="BJ7" s="225">
        <f t="shared" si="2"/>
        <v>2713784092</v>
      </c>
      <c r="BK7" s="225">
        <f t="shared" si="2"/>
        <v>2870742568</v>
      </c>
      <c r="BL7" s="225">
        <f t="shared" si="2"/>
        <v>2601360454</v>
      </c>
      <c r="BM7" s="225">
        <f t="shared" si="2"/>
        <v>2779977145</v>
      </c>
      <c r="BN7" s="694">
        <f t="shared" si="2"/>
        <v>2816236809</v>
      </c>
      <c r="BO7" s="694">
        <f t="shared" si="2"/>
        <v>2788788770</v>
      </c>
      <c r="BP7" s="694">
        <f t="shared" si="2"/>
        <v>0</v>
      </c>
      <c r="BQ7" s="694">
        <f t="shared" si="2"/>
        <v>2768005416</v>
      </c>
      <c r="BR7" s="694">
        <f t="shared" si="2"/>
        <v>2675328162</v>
      </c>
      <c r="BS7" s="694">
        <f t="shared" si="2"/>
        <v>0</v>
      </c>
      <c r="BT7" s="694">
        <f t="shared" si="2"/>
        <v>2768005416</v>
      </c>
      <c r="BU7" s="694">
        <f t="shared" si="2"/>
        <v>2706328162</v>
      </c>
      <c r="BV7" s="694">
        <f t="shared" si="2"/>
        <v>0</v>
      </c>
      <c r="BW7" s="694">
        <f t="shared" si="2"/>
        <v>2768005416</v>
      </c>
      <c r="BX7" s="694">
        <f t="shared" si="2"/>
        <v>2732328162</v>
      </c>
      <c r="BY7" s="694">
        <f t="shared" si="2"/>
        <v>0</v>
      </c>
      <c r="BZ7" s="694">
        <f t="shared" si="2"/>
        <v>2760445416</v>
      </c>
      <c r="CA7" s="694">
        <f t="shared" si="2"/>
        <v>2751736162</v>
      </c>
      <c r="CB7" s="694">
        <f t="shared" si="2"/>
        <v>34175746814</v>
      </c>
      <c r="CC7" s="694">
        <f t="shared" si="2"/>
        <v>34175746814</v>
      </c>
      <c r="CD7" s="737"/>
      <c r="CE7" s="308">
        <f>SUM(CE10:CE71)</f>
        <v>1855725000</v>
      </c>
      <c r="CF7" s="308">
        <f t="shared" si="2"/>
        <v>1856168559</v>
      </c>
      <c r="CG7" s="308">
        <f t="shared" si="2"/>
        <v>1870300000</v>
      </c>
      <c r="CH7" s="308">
        <f t="shared" si="2"/>
        <v>1873325089</v>
      </c>
      <c r="CI7" s="308">
        <f t="shared" si="2"/>
        <v>1848200000</v>
      </c>
      <c r="CJ7" s="308">
        <f t="shared" si="2"/>
        <v>1929538483</v>
      </c>
      <c r="CK7" s="308">
        <f t="shared" si="2"/>
        <v>1918300000</v>
      </c>
      <c r="CL7" s="308">
        <f t="shared" si="2"/>
        <v>1920027499</v>
      </c>
      <c r="CM7" s="308">
        <f t="shared" si="2"/>
        <v>1919800000</v>
      </c>
      <c r="CN7" s="308">
        <f t="shared" si="2"/>
        <v>1920800000</v>
      </c>
      <c r="CO7" s="308">
        <f t="shared" si="2"/>
        <v>1920800000</v>
      </c>
      <c r="CP7" s="308">
        <f t="shared" si="2"/>
        <v>1919300000</v>
      </c>
      <c r="CQ7" s="308">
        <f t="shared" si="2"/>
        <v>22752284630</v>
      </c>
      <c r="CR7" s="308">
        <f t="shared" si="2"/>
        <v>26630416789.381958</v>
      </c>
      <c r="CS7" s="308">
        <f t="shared" si="2"/>
        <v>32707964412.029465</v>
      </c>
      <c r="CT7" s="308">
        <f t="shared" si="2"/>
        <v>45008886020.142181</v>
      </c>
      <c r="CU7" s="308">
        <f t="shared" si="2"/>
        <v>48041222668.127434</v>
      </c>
      <c r="CV7" s="57"/>
    </row>
    <row r="8" spans="1:101" ht="15" customHeight="1" outlineLevel="2">
      <c r="A8" s="286" t="s">
        <v>35</v>
      </c>
      <c r="B8" s="277" t="str">
        <f>$E$7&amp;$E$6&amp;E8</f>
        <v>PACK JAKARTAPACKAGEACE LIVING CONCEPT</v>
      </c>
      <c r="C8" s="276" t="s">
        <v>36</v>
      </c>
      <c r="E8" s="287" t="s">
        <v>37</v>
      </c>
      <c r="F8" s="287"/>
      <c r="G8" s="64">
        <v>597420450</v>
      </c>
      <c r="H8" s="65"/>
      <c r="I8" s="65"/>
      <c r="J8" s="65"/>
      <c r="K8" s="65"/>
      <c r="L8" s="65"/>
      <c r="M8" s="65"/>
      <c r="N8" s="65"/>
      <c r="O8" s="65"/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6">
        <f>SUM(H8:S8)</f>
        <v>0</v>
      </c>
      <c r="X8" s="55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1"/>
      <c r="AL8" s="55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122"/>
      <c r="AZ8" s="55"/>
      <c r="BA8" s="639">
        <v>0</v>
      </c>
      <c r="BB8" s="639">
        <v>0</v>
      </c>
      <c r="BC8" s="86"/>
      <c r="BD8" s="639">
        <v>0</v>
      </c>
      <c r="BE8" s="86"/>
      <c r="BF8" s="639">
        <v>0</v>
      </c>
      <c r="BG8" s="86"/>
      <c r="BH8" s="639"/>
      <c r="BI8" s="86"/>
      <c r="BJ8" s="639"/>
      <c r="BK8" s="86"/>
      <c r="BL8" s="639"/>
      <c r="BM8" s="86"/>
      <c r="BN8" s="695">
        <v>0</v>
      </c>
      <c r="BO8" s="696"/>
      <c r="BP8" s="695"/>
      <c r="BQ8" s="696"/>
      <c r="BR8" s="702"/>
      <c r="BS8" s="695"/>
      <c r="BT8" s="696"/>
      <c r="BU8" s="702"/>
      <c r="BV8" s="695"/>
      <c r="BW8" s="696"/>
      <c r="BX8" s="702"/>
      <c r="BY8" s="695"/>
      <c r="BZ8" s="696"/>
      <c r="CA8" s="702"/>
      <c r="CB8" s="720">
        <f>SUM(BA8,BB8,BD8,BF8,BH8,BJ8,BL8,BN8,BP8,BR8,BU8,BX8,CA8)</f>
        <v>0</v>
      </c>
      <c r="CC8" s="721">
        <f>SUM(BA8,BB8,BD8,BF8,BH8,BJ8,BL8,BN8,BR8,BU8,BX8,CA8)</f>
        <v>0</v>
      </c>
      <c r="CD8" s="738"/>
      <c r="CE8" s="322"/>
      <c r="CF8" s="322"/>
      <c r="CG8" s="322"/>
      <c r="CH8" s="322"/>
      <c r="CI8" s="322"/>
      <c r="CJ8" s="322"/>
      <c r="CK8" s="322"/>
      <c r="CL8" s="322"/>
      <c r="CM8" s="322"/>
      <c r="CN8" s="322"/>
      <c r="CO8" s="322"/>
      <c r="CP8" s="322"/>
      <c r="CQ8" s="355">
        <f>SUM(CE8,CF8,CG8,CH8,CI8,CJ8,CK8,CL8,CM8,CN8,CO8,CP8)</f>
        <v>0</v>
      </c>
      <c r="CR8" s="356"/>
      <c r="CS8" s="357"/>
      <c r="CT8" s="332"/>
      <c r="CU8" s="358"/>
      <c r="CV8" s="57" t="s">
        <v>38</v>
      </c>
    </row>
    <row r="9" spans="1:101" ht="15" customHeight="1" outlineLevel="2">
      <c r="A9" s="276" t="s">
        <v>39</v>
      </c>
      <c r="B9" s="277" t="str">
        <f t="shared" ref="B9:B71" si="3">$E$7&amp;$E$6&amp;E9</f>
        <v>PACK JAKARTAPACKAGEADVANCE STABILINDO INDONESIA</v>
      </c>
      <c r="C9" s="276" t="s">
        <v>36</v>
      </c>
      <c r="D9" s="276" t="s">
        <v>40</v>
      </c>
      <c r="E9" s="287" t="s">
        <v>41</v>
      </c>
      <c r="F9" s="287"/>
      <c r="G9" s="64">
        <v>1861022550</v>
      </c>
      <c r="H9" s="65"/>
      <c r="I9" s="65"/>
      <c r="J9" s="65"/>
      <c r="K9" s="65"/>
      <c r="L9" s="65"/>
      <c r="M9" s="65"/>
      <c r="N9" s="65"/>
      <c r="O9" s="65"/>
      <c r="P9" s="65">
        <v>0</v>
      </c>
      <c r="Q9" s="65">
        <v>0</v>
      </c>
      <c r="R9" s="65">
        <v>0</v>
      </c>
      <c r="S9" s="65">
        <v>0</v>
      </c>
      <c r="T9" s="65">
        <v>0</v>
      </c>
      <c r="U9" s="65">
        <v>0</v>
      </c>
      <c r="V9" s="65">
        <v>0</v>
      </c>
      <c r="W9" s="66">
        <f t="shared" ref="W9:W71" si="4">SUM(H9:S9)</f>
        <v>0</v>
      </c>
      <c r="X9" s="55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1"/>
      <c r="AL9" s="55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122"/>
      <c r="AZ9" s="55"/>
      <c r="BA9" s="639">
        <v>0</v>
      </c>
      <c r="BB9" s="639">
        <v>0</v>
      </c>
      <c r="BC9" s="86"/>
      <c r="BD9" s="639">
        <v>0</v>
      </c>
      <c r="BE9" s="86"/>
      <c r="BF9" s="639">
        <v>0</v>
      </c>
      <c r="BG9" s="86"/>
      <c r="BH9" s="639"/>
      <c r="BI9" s="86"/>
      <c r="BJ9" s="639"/>
      <c r="BK9" s="86"/>
      <c r="BL9" s="639"/>
      <c r="BM9" s="86"/>
      <c r="BN9" s="695">
        <v>0</v>
      </c>
      <c r="BO9" s="696"/>
      <c r="BP9" s="695"/>
      <c r="BQ9" s="696"/>
      <c r="BR9" s="702"/>
      <c r="BS9" s="695"/>
      <c r="BT9" s="696"/>
      <c r="BU9" s="702"/>
      <c r="BV9" s="695"/>
      <c r="BW9" s="696"/>
      <c r="BX9" s="702"/>
      <c r="BY9" s="695"/>
      <c r="BZ9" s="696"/>
      <c r="CA9" s="702"/>
      <c r="CB9" s="720">
        <f t="shared" ref="CB9:CB73" si="5">SUM(BA9,BB9,BD9,BF9,BH9,BJ9,BL9,BN9,BP9,BR9,BU9,BX9,CA9)</f>
        <v>0</v>
      </c>
      <c r="CC9" s="721">
        <f t="shared" ref="CC9:CC73" si="6">SUM(BA9,BB9,BD9,BF9,BH9,BJ9,BL9,BN9,BR9,BU9,BX9,CA9)</f>
        <v>0</v>
      </c>
      <c r="CD9" s="738"/>
      <c r="CE9" s="322"/>
      <c r="CF9" s="322"/>
      <c r="CG9" s="322"/>
      <c r="CH9" s="322"/>
      <c r="CI9" s="322"/>
      <c r="CJ9" s="322"/>
      <c r="CK9" s="322"/>
      <c r="CL9" s="322"/>
      <c r="CM9" s="322"/>
      <c r="CN9" s="322"/>
      <c r="CO9" s="322"/>
      <c r="CP9" s="322"/>
      <c r="CQ9" s="355">
        <f>SUM(CE9,CF9,CG9,CH9,CI9,CJ9,CK9,CL9,CM9,CN9,CO9,CP9)</f>
        <v>0</v>
      </c>
      <c r="CR9" s="356"/>
      <c r="CS9" s="357"/>
      <c r="CT9" s="332"/>
      <c r="CU9" s="358"/>
      <c r="CV9" s="57" t="s">
        <v>42</v>
      </c>
    </row>
    <row r="10" spans="1:101" ht="15" customHeight="1" outlineLevel="2">
      <c r="A10" s="276" t="s">
        <v>43</v>
      </c>
      <c r="B10" s="277" t="str">
        <f t="shared" si="3"/>
        <v>PACK JAKARTAPACKAGEANDALAN DUNIA SEMESTA</v>
      </c>
      <c r="C10" s="276" t="s">
        <v>36</v>
      </c>
      <c r="D10" s="276" t="s">
        <v>40</v>
      </c>
      <c r="E10" s="287" t="s">
        <v>44</v>
      </c>
      <c r="F10" s="287">
        <v>3000014429</v>
      </c>
      <c r="G10" s="64">
        <v>1147095600</v>
      </c>
      <c r="H10" s="65">
        <v>93784500</v>
      </c>
      <c r="I10" s="65">
        <v>107172000</v>
      </c>
      <c r="J10" s="65">
        <v>130944000</v>
      </c>
      <c r="K10" s="65">
        <v>108180000</v>
      </c>
      <c r="L10" s="65">
        <v>64631117</v>
      </c>
      <c r="M10" s="65">
        <v>103939000</v>
      </c>
      <c r="N10" s="65">
        <v>108625000</v>
      </c>
      <c r="O10" s="65">
        <v>95425000</v>
      </c>
      <c r="P10" s="65">
        <v>95425000</v>
      </c>
      <c r="Q10" s="65">
        <v>95425000</v>
      </c>
      <c r="R10" s="65">
        <v>95425000</v>
      </c>
      <c r="S10" s="65">
        <v>104506812</v>
      </c>
      <c r="T10" s="65">
        <v>95425000</v>
      </c>
      <c r="U10" s="65">
        <v>95425000</v>
      </c>
      <c r="V10" s="65">
        <v>95425000</v>
      </c>
      <c r="W10" s="66">
        <f t="shared" si="4"/>
        <v>1203482429</v>
      </c>
      <c r="X10" s="55"/>
      <c r="Y10" s="67">
        <f>V10*1.05</f>
        <v>100196250</v>
      </c>
      <c r="Z10" s="67">
        <v>107100000</v>
      </c>
      <c r="AA10" s="67">
        <v>107100000</v>
      </c>
      <c r="AB10" s="67">
        <v>107100000</v>
      </c>
      <c r="AC10" s="67">
        <v>107100000</v>
      </c>
      <c r="AD10" s="67">
        <v>107100000</v>
      </c>
      <c r="AE10" s="67">
        <v>107100000</v>
      </c>
      <c r="AF10" s="67">
        <v>107100000</v>
      </c>
      <c r="AG10" s="67">
        <v>107100000</v>
      </c>
      <c r="AH10" s="67">
        <v>107100000</v>
      </c>
      <c r="AI10" s="67">
        <v>107100000</v>
      </c>
      <c r="AJ10" s="67">
        <v>107100000</v>
      </c>
      <c r="AK10" s="61">
        <v>1278296250</v>
      </c>
      <c r="AL10" s="55"/>
      <c r="AM10" s="67">
        <v>100196250</v>
      </c>
      <c r="AN10" s="67">
        <v>107100000</v>
      </c>
      <c r="AO10" s="67">
        <v>107100000</v>
      </c>
      <c r="AP10" s="67">
        <v>107100000</v>
      </c>
      <c r="AQ10" s="67">
        <v>107100000</v>
      </c>
      <c r="AR10" s="67">
        <v>107100000</v>
      </c>
      <c r="AS10" s="67">
        <v>107100000</v>
      </c>
      <c r="AT10" s="67">
        <v>107100000</v>
      </c>
      <c r="AU10" s="67">
        <v>107100000</v>
      </c>
      <c r="AV10" s="67">
        <v>107100000</v>
      </c>
      <c r="AW10" s="67">
        <v>107100000</v>
      </c>
      <c r="AX10" s="67">
        <v>107100000</v>
      </c>
      <c r="AY10" s="122">
        <v>1278296250</v>
      </c>
      <c r="AZ10" s="55"/>
      <c r="BA10" s="639">
        <v>95425000</v>
      </c>
      <c r="BB10" s="639">
        <v>95868559</v>
      </c>
      <c r="BC10" s="86">
        <v>96000000</v>
      </c>
      <c r="BD10" s="639">
        <v>98125089</v>
      </c>
      <c r="BE10" s="86">
        <v>96000000</v>
      </c>
      <c r="BF10" s="639">
        <v>107238483</v>
      </c>
      <c r="BG10" s="86">
        <v>96000000</v>
      </c>
      <c r="BH10" s="639">
        <v>96227499</v>
      </c>
      <c r="BI10" s="86">
        <v>96000000</v>
      </c>
      <c r="BJ10" s="639">
        <v>102164410</v>
      </c>
      <c r="BK10" s="86">
        <v>96000000</v>
      </c>
      <c r="BL10" s="639">
        <v>97858454</v>
      </c>
      <c r="BM10" s="86">
        <v>96000000</v>
      </c>
      <c r="BN10" s="695">
        <v>106569973</v>
      </c>
      <c r="BO10" s="696">
        <v>96000000</v>
      </c>
      <c r="BP10" s="695"/>
      <c r="BQ10" s="696">
        <v>96000000</v>
      </c>
      <c r="BR10" s="729">
        <v>96000000</v>
      </c>
      <c r="BS10" s="695"/>
      <c r="BT10" s="696">
        <v>96000000</v>
      </c>
      <c r="BU10" s="729">
        <v>96000000</v>
      </c>
      <c r="BV10" s="695"/>
      <c r="BW10" s="696">
        <v>96000000</v>
      </c>
      <c r="BX10" s="729">
        <v>96000000</v>
      </c>
      <c r="BY10" s="695"/>
      <c r="BZ10" s="696">
        <v>96000000</v>
      </c>
      <c r="CA10" s="729">
        <v>96000000</v>
      </c>
      <c r="CB10" s="720">
        <f t="shared" si="5"/>
        <v>1183477467</v>
      </c>
      <c r="CC10" s="721">
        <f t="shared" si="6"/>
        <v>1183477467</v>
      </c>
      <c r="CD10" s="738"/>
      <c r="CE10" s="1005">
        <v>95425000</v>
      </c>
      <c r="CF10" s="1005">
        <v>95868559</v>
      </c>
      <c r="CG10" s="323">
        <v>96000000</v>
      </c>
      <c r="CH10" s="1005">
        <v>98125089</v>
      </c>
      <c r="CI10" s="323">
        <v>96000000</v>
      </c>
      <c r="CJ10" s="1005">
        <v>107238483</v>
      </c>
      <c r="CK10" s="323">
        <v>96000000</v>
      </c>
      <c r="CL10" s="1005">
        <v>96227499</v>
      </c>
      <c r="CM10" s="323">
        <v>96000000</v>
      </c>
      <c r="CN10" s="323">
        <v>96000000</v>
      </c>
      <c r="CO10" s="323">
        <v>96000000</v>
      </c>
      <c r="CP10" s="323">
        <v>96000000</v>
      </c>
      <c r="CQ10" s="355">
        <f t="shared" ref="CQ10:CQ73" si="7">SUM(CE10,CF10,CG10,CH10,CI10,CJ10,CK10,CL10,CM10,CN10,CO10,CP10)</f>
        <v>1164884630</v>
      </c>
      <c r="CR10" s="1005">
        <v>106569973</v>
      </c>
      <c r="CS10" s="357">
        <f>CR10*1.1</f>
        <v>117226970.30000001</v>
      </c>
      <c r="CT10" s="332">
        <f>CS10*1.15</f>
        <v>134811015.845</v>
      </c>
      <c r="CU10" s="358">
        <f>CT10*1.15</f>
        <v>155032668.22174999</v>
      </c>
      <c r="CV10" s="57" t="s">
        <v>38</v>
      </c>
    </row>
    <row r="11" spans="1:101" ht="15" customHeight="1" outlineLevel="2">
      <c r="A11" s="276" t="s">
        <v>43</v>
      </c>
      <c r="B11" s="277" t="str">
        <f t="shared" si="3"/>
        <v>PACK JAKARTAPACKAGEANUGRAH DAYAMITRA FIBER</v>
      </c>
      <c r="C11" s="276" t="s">
        <v>36</v>
      </c>
      <c r="D11" s="276" t="s">
        <v>40</v>
      </c>
      <c r="E11" s="287" t="s">
        <v>45</v>
      </c>
      <c r="F11" s="287">
        <v>3000019083</v>
      </c>
      <c r="G11" s="64">
        <v>1235000</v>
      </c>
      <c r="H11" s="65">
        <v>650000</v>
      </c>
      <c r="I11" s="65">
        <v>2386000</v>
      </c>
      <c r="J11" s="65">
        <v>1325000</v>
      </c>
      <c r="K11" s="65">
        <v>830000</v>
      </c>
      <c r="L11" s="65">
        <v>3073000</v>
      </c>
      <c r="M11" s="65">
        <v>3131000</v>
      </c>
      <c r="N11" s="65">
        <v>4168000</v>
      </c>
      <c r="O11" s="65">
        <v>3476000</v>
      </c>
      <c r="P11" s="65">
        <v>4382500</v>
      </c>
      <c r="Q11" s="65">
        <v>7171650</v>
      </c>
      <c r="R11" s="65">
        <v>11320000</v>
      </c>
      <c r="S11" s="65">
        <v>8910000</v>
      </c>
      <c r="T11" s="65">
        <v>4382500</v>
      </c>
      <c r="U11" s="65">
        <v>4382500</v>
      </c>
      <c r="V11" s="65">
        <v>4382500</v>
      </c>
      <c r="W11" s="66">
        <f t="shared" si="4"/>
        <v>50823150</v>
      </c>
      <c r="X11" s="55"/>
      <c r="Y11" s="67">
        <f>V11*1.05</f>
        <v>4601625</v>
      </c>
      <c r="Z11" s="67">
        <v>3150000</v>
      </c>
      <c r="AA11" s="67">
        <v>3150000</v>
      </c>
      <c r="AB11" s="67">
        <v>3150000</v>
      </c>
      <c r="AC11" s="67">
        <v>3150000</v>
      </c>
      <c r="AD11" s="67">
        <v>3150000</v>
      </c>
      <c r="AE11" s="67">
        <v>3150000</v>
      </c>
      <c r="AF11" s="67">
        <v>3150000</v>
      </c>
      <c r="AG11" s="67">
        <v>3150000</v>
      </c>
      <c r="AH11" s="67">
        <v>3150000</v>
      </c>
      <c r="AI11" s="67">
        <v>3150000</v>
      </c>
      <c r="AJ11" s="67">
        <v>3150000</v>
      </c>
      <c r="AK11" s="61">
        <v>39251625</v>
      </c>
      <c r="AL11" s="55"/>
      <c r="AM11" s="67">
        <v>4601625</v>
      </c>
      <c r="AN11" s="67">
        <v>3150000</v>
      </c>
      <c r="AO11" s="67">
        <v>3150000</v>
      </c>
      <c r="AP11" s="67">
        <v>3150000</v>
      </c>
      <c r="AQ11" s="67">
        <v>3150000</v>
      </c>
      <c r="AR11" s="67">
        <v>3150000</v>
      </c>
      <c r="AS11" s="67">
        <v>3150000</v>
      </c>
      <c r="AT11" s="67">
        <v>3150000</v>
      </c>
      <c r="AU11" s="67">
        <v>3150000</v>
      </c>
      <c r="AV11" s="67">
        <v>3150000</v>
      </c>
      <c r="AW11" s="67">
        <v>3150000</v>
      </c>
      <c r="AX11" s="67">
        <v>3150000</v>
      </c>
      <c r="AY11" s="122">
        <v>39251625</v>
      </c>
      <c r="AZ11" s="55"/>
      <c r="BA11" s="639">
        <v>11020000</v>
      </c>
      <c r="BB11" s="639">
        <v>6370000</v>
      </c>
      <c r="BC11" s="86">
        <v>12000000</v>
      </c>
      <c r="BD11" s="639">
        <v>5825000</v>
      </c>
      <c r="BE11" s="86">
        <v>12000000</v>
      </c>
      <c r="BF11" s="639">
        <v>4405000</v>
      </c>
      <c r="BG11" s="86">
        <v>6370000</v>
      </c>
      <c r="BH11" s="639">
        <v>2430000</v>
      </c>
      <c r="BI11" s="86">
        <v>6370000</v>
      </c>
      <c r="BJ11" s="639">
        <v>4475000</v>
      </c>
      <c r="BK11" s="86">
        <v>6370000</v>
      </c>
      <c r="BL11" s="639">
        <v>2590000</v>
      </c>
      <c r="BM11" s="86">
        <v>6370000</v>
      </c>
      <c r="BN11" s="695">
        <v>4415000</v>
      </c>
      <c r="BO11" s="696">
        <v>6370000</v>
      </c>
      <c r="BP11" s="695"/>
      <c r="BQ11" s="696">
        <v>6370000</v>
      </c>
      <c r="BR11" s="729">
        <v>6370000</v>
      </c>
      <c r="BS11" s="695"/>
      <c r="BT11" s="696">
        <v>6370000</v>
      </c>
      <c r="BU11" s="729">
        <v>6370000</v>
      </c>
      <c r="BV11" s="695"/>
      <c r="BW11" s="696">
        <v>6370000</v>
      </c>
      <c r="BX11" s="729">
        <v>6370000</v>
      </c>
      <c r="BY11" s="695"/>
      <c r="BZ11" s="696">
        <v>6370000</v>
      </c>
      <c r="CA11" s="729">
        <v>6370000</v>
      </c>
      <c r="CB11" s="720">
        <f t="shared" si="5"/>
        <v>67010000</v>
      </c>
      <c r="CC11" s="721">
        <f t="shared" si="6"/>
        <v>67010000</v>
      </c>
      <c r="CD11" s="738"/>
      <c r="CE11" s="323"/>
      <c r="CF11" s="323"/>
      <c r="CG11" s="323"/>
      <c r="CH11" s="323"/>
      <c r="CI11" s="323"/>
      <c r="CJ11" s="323"/>
      <c r="CK11" s="323"/>
      <c r="CL11" s="323"/>
      <c r="CM11" s="323"/>
      <c r="CN11" s="323"/>
      <c r="CO11" s="323"/>
      <c r="CP11" s="323"/>
      <c r="CQ11" s="355">
        <f t="shared" si="7"/>
        <v>0</v>
      </c>
      <c r="CR11" s="356">
        <f>CQ11*1.17</f>
        <v>0</v>
      </c>
      <c r="CS11" s="357">
        <f>CR11*1.08</f>
        <v>0</v>
      </c>
      <c r="CT11" s="332">
        <f>CS11*1.09</f>
        <v>0</v>
      </c>
      <c r="CU11" s="358">
        <f>CT11*1.09</f>
        <v>0</v>
      </c>
      <c r="CV11" s="57" t="s">
        <v>38</v>
      </c>
    </row>
    <row r="12" spans="1:101" ht="15" customHeight="1" outlineLevel="2">
      <c r="A12" s="276" t="s">
        <v>39</v>
      </c>
      <c r="B12" s="277" t="str">
        <f t="shared" si="3"/>
        <v>PACK JAKARTAPACKAGEANUGRAH KERTAS UTAMA</v>
      </c>
      <c r="C12" s="276" t="s">
        <v>36</v>
      </c>
      <c r="D12" s="276" t="s">
        <v>40</v>
      </c>
      <c r="E12" s="287" t="s">
        <v>46</v>
      </c>
      <c r="F12" s="287"/>
      <c r="G12" s="64">
        <v>0</v>
      </c>
      <c r="H12" s="65">
        <v>0</v>
      </c>
      <c r="I12" s="65">
        <v>0</v>
      </c>
      <c r="J12" s="65">
        <v>0</v>
      </c>
      <c r="K12" s="65">
        <v>0</v>
      </c>
      <c r="L12" s="65">
        <v>48412000</v>
      </c>
      <c r="M12" s="65">
        <v>40534000</v>
      </c>
      <c r="N12" s="65">
        <v>53872000</v>
      </c>
      <c r="O12" s="65">
        <v>0</v>
      </c>
      <c r="P12" s="65">
        <v>0</v>
      </c>
      <c r="Q12" s="65">
        <v>0</v>
      </c>
      <c r="R12" s="65">
        <v>0</v>
      </c>
      <c r="S12" s="65">
        <v>0</v>
      </c>
      <c r="T12" s="65">
        <v>0</v>
      </c>
      <c r="U12" s="65">
        <v>0</v>
      </c>
      <c r="V12" s="65">
        <v>0</v>
      </c>
      <c r="W12" s="66">
        <f t="shared" si="4"/>
        <v>142818000</v>
      </c>
      <c r="X12" s="55"/>
      <c r="Y12" s="67">
        <v>0</v>
      </c>
      <c r="Z12" s="67">
        <v>0</v>
      </c>
      <c r="AA12" s="67">
        <v>0</v>
      </c>
      <c r="AB12" s="67">
        <v>0</v>
      </c>
      <c r="AC12" s="67">
        <v>0</v>
      </c>
      <c r="AD12" s="67">
        <v>0</v>
      </c>
      <c r="AE12" s="67">
        <v>0</v>
      </c>
      <c r="AF12" s="67">
        <v>0</v>
      </c>
      <c r="AG12" s="67">
        <v>0</v>
      </c>
      <c r="AH12" s="67">
        <v>0</v>
      </c>
      <c r="AI12" s="67">
        <v>0</v>
      </c>
      <c r="AJ12" s="67">
        <v>0</v>
      </c>
      <c r="AK12" s="61">
        <v>0</v>
      </c>
      <c r="AL12" s="55"/>
      <c r="AM12" s="67">
        <v>0</v>
      </c>
      <c r="AN12" s="67">
        <v>0</v>
      </c>
      <c r="AO12" s="67">
        <v>0</v>
      </c>
      <c r="AP12" s="67">
        <v>0</v>
      </c>
      <c r="AQ12" s="67">
        <v>0</v>
      </c>
      <c r="AR12" s="67">
        <v>0</v>
      </c>
      <c r="AS12" s="67">
        <v>0</v>
      </c>
      <c r="AT12" s="67">
        <v>0</v>
      </c>
      <c r="AU12" s="67">
        <v>0</v>
      </c>
      <c r="AV12" s="67">
        <v>0</v>
      </c>
      <c r="AW12" s="67">
        <v>0</v>
      </c>
      <c r="AX12" s="67">
        <v>0</v>
      </c>
      <c r="AY12" s="122">
        <v>0</v>
      </c>
      <c r="AZ12" s="55"/>
      <c r="BA12" s="639">
        <v>0</v>
      </c>
      <c r="BB12" s="639">
        <v>0</v>
      </c>
      <c r="BC12" s="86"/>
      <c r="BD12" s="639">
        <v>0</v>
      </c>
      <c r="BE12" s="86"/>
      <c r="BF12" s="639">
        <v>0</v>
      </c>
      <c r="BG12" s="86">
        <v>0</v>
      </c>
      <c r="BH12" s="639"/>
      <c r="BI12" s="86">
        <v>0</v>
      </c>
      <c r="BJ12" s="639">
        <v>0</v>
      </c>
      <c r="BK12" s="86">
        <v>0</v>
      </c>
      <c r="BL12" s="639">
        <v>0</v>
      </c>
      <c r="BM12" s="86"/>
      <c r="BN12" s="695">
        <v>0</v>
      </c>
      <c r="BO12" s="696"/>
      <c r="BP12" s="695"/>
      <c r="BQ12" s="696"/>
      <c r="BR12" s="729"/>
      <c r="BS12" s="695"/>
      <c r="BT12" s="696"/>
      <c r="BU12" s="729"/>
      <c r="BV12" s="695"/>
      <c r="BW12" s="696"/>
      <c r="BX12" s="729"/>
      <c r="BY12" s="695"/>
      <c r="BZ12" s="696"/>
      <c r="CA12" s="729"/>
      <c r="CB12" s="720">
        <f t="shared" si="5"/>
        <v>0</v>
      </c>
      <c r="CC12" s="721">
        <f t="shared" si="6"/>
        <v>0</v>
      </c>
      <c r="CD12" s="738"/>
      <c r="CE12" s="323"/>
      <c r="CF12" s="323"/>
      <c r="CG12" s="323"/>
      <c r="CH12" s="323"/>
      <c r="CI12" s="323"/>
      <c r="CJ12" s="323"/>
      <c r="CK12" s="323"/>
      <c r="CL12" s="323"/>
      <c r="CM12" s="323"/>
      <c r="CN12" s="323"/>
      <c r="CO12" s="323"/>
      <c r="CP12" s="323"/>
      <c r="CQ12" s="355">
        <f>SUM(CE12,CF12,CG12,CH12,CI12,CJ12,CK12,CL12,CM12,CN12,CO12,CP12)</f>
        <v>0</v>
      </c>
      <c r="CR12" s="356">
        <f>CQ12*1.07</f>
        <v>0</v>
      </c>
      <c r="CS12" s="357">
        <f>CR12*1.07</f>
        <v>0</v>
      </c>
      <c r="CT12" s="332">
        <f>CS12*1.07</f>
        <v>0</v>
      </c>
      <c r="CU12" s="358">
        <f>CT12*1.07</f>
        <v>0</v>
      </c>
      <c r="CV12" s="57" t="s">
        <v>38</v>
      </c>
    </row>
    <row r="13" spans="1:101" ht="15" customHeight="1" outlineLevel="2">
      <c r="A13" s="276" t="s">
        <v>43</v>
      </c>
      <c r="B13" s="277" t="str">
        <f t="shared" si="3"/>
        <v>PACK JAKARTAPACKAGEAQUA GOLDEN MISSISSIPPI</v>
      </c>
      <c r="C13" s="276" t="s">
        <v>36</v>
      </c>
      <c r="D13" s="276" t="s">
        <v>40</v>
      </c>
      <c r="E13" s="287" t="s">
        <v>47</v>
      </c>
      <c r="F13" s="287"/>
      <c r="G13" s="68">
        <v>105400000</v>
      </c>
      <c r="H13" s="65"/>
      <c r="I13" s="65"/>
      <c r="J13" s="65"/>
      <c r="K13" s="65"/>
      <c r="L13" s="65"/>
      <c r="M13" s="65"/>
      <c r="N13" s="65"/>
      <c r="O13" s="65"/>
      <c r="P13" s="65">
        <v>0</v>
      </c>
      <c r="Q13" s="65">
        <v>0</v>
      </c>
      <c r="R13" s="65">
        <v>0</v>
      </c>
      <c r="S13" s="65">
        <v>0</v>
      </c>
      <c r="T13" s="65">
        <v>0</v>
      </c>
      <c r="U13" s="65">
        <v>0</v>
      </c>
      <c r="V13" s="65">
        <v>0</v>
      </c>
      <c r="W13" s="66">
        <f t="shared" si="4"/>
        <v>0</v>
      </c>
      <c r="X13" s="55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1">
        <v>0</v>
      </c>
      <c r="AL13" s="55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122">
        <v>0</v>
      </c>
      <c r="AZ13" s="55"/>
      <c r="BA13" s="639">
        <v>0</v>
      </c>
      <c r="BB13" s="639">
        <v>0</v>
      </c>
      <c r="BC13" s="86"/>
      <c r="BD13" s="639">
        <v>0</v>
      </c>
      <c r="BE13" s="86"/>
      <c r="BF13" s="639">
        <v>0</v>
      </c>
      <c r="BG13" s="86">
        <v>0</v>
      </c>
      <c r="BH13" s="639"/>
      <c r="BI13" s="86">
        <v>0</v>
      </c>
      <c r="BJ13" s="639">
        <v>0</v>
      </c>
      <c r="BK13" s="86">
        <v>0</v>
      </c>
      <c r="BL13" s="639">
        <v>0</v>
      </c>
      <c r="BM13" s="86"/>
      <c r="BN13" s="695">
        <v>256477000</v>
      </c>
      <c r="BO13" s="696"/>
      <c r="BP13" s="695"/>
      <c r="BQ13" s="696"/>
      <c r="BR13" s="729"/>
      <c r="BS13" s="695"/>
      <c r="BT13" s="696"/>
      <c r="BU13" s="729"/>
      <c r="BV13" s="695"/>
      <c r="BW13" s="696"/>
      <c r="BX13" s="729"/>
      <c r="BY13" s="695"/>
      <c r="BZ13" s="696"/>
      <c r="CA13" s="729"/>
      <c r="CB13" s="720">
        <f t="shared" si="5"/>
        <v>256477000</v>
      </c>
      <c r="CC13" s="721">
        <f t="shared" si="6"/>
        <v>256477000</v>
      </c>
      <c r="CD13" s="738"/>
      <c r="CE13" s="1005">
        <v>260000000</v>
      </c>
      <c r="CF13" s="1005">
        <v>260000000</v>
      </c>
      <c r="CG13" s="1005">
        <v>260000000</v>
      </c>
      <c r="CH13" s="1005">
        <v>260000000</v>
      </c>
      <c r="CI13" s="1005">
        <v>260000000</v>
      </c>
      <c r="CJ13" s="1005">
        <v>260000000</v>
      </c>
      <c r="CK13" s="1005">
        <v>260000000</v>
      </c>
      <c r="CL13" s="1005">
        <v>260000000</v>
      </c>
      <c r="CM13" s="1005">
        <v>260000000</v>
      </c>
      <c r="CN13" s="1005">
        <v>260000000</v>
      </c>
      <c r="CO13" s="1005">
        <v>260000000</v>
      </c>
      <c r="CP13" s="1005">
        <v>260000000</v>
      </c>
      <c r="CQ13" s="355">
        <f>SUM(CE13,CF13,CG13,CH13,CI13,CJ13,CK13,CL13,CM13,CN13,CO13,CP13)</f>
        <v>3120000000</v>
      </c>
      <c r="CR13" s="355">
        <f>SUM(CF13,CG13,CH13,CI13,CJ13,CK13,CL13,CM13,CN13,CO13,CP13,CQ13)</f>
        <v>5980000000</v>
      </c>
      <c r="CS13" s="355">
        <f>SUM(CG13,CH13,CI13,CJ13,CK13,CL13,CM13,CN13,CO13,CP13,CQ13,CR13)</f>
        <v>11700000000</v>
      </c>
      <c r="CT13" s="355">
        <f>SUM(CH13,CI13,CJ13,CK13,CL13,CM13,CN13,CO13,CP13,CQ13,CR13,CS13)</f>
        <v>23140000000</v>
      </c>
      <c r="CU13" s="358">
        <f>CT13*1.09</f>
        <v>25222600000</v>
      </c>
      <c r="CV13" s="57" t="s">
        <v>38</v>
      </c>
    </row>
    <row r="14" spans="1:101" ht="15" customHeight="1" outlineLevel="2">
      <c r="A14" s="276" t="s">
        <v>39</v>
      </c>
      <c r="B14" s="277" t="str">
        <f t="shared" si="3"/>
        <v>PACK JAKARTAPACKAGEASIA PACIFIC RAYON</v>
      </c>
      <c r="C14" s="276" t="s">
        <v>36</v>
      </c>
      <c r="D14" s="276" t="s">
        <v>40</v>
      </c>
      <c r="E14" s="287" t="s">
        <v>48</v>
      </c>
      <c r="F14" s="287"/>
      <c r="G14" s="64">
        <v>0</v>
      </c>
      <c r="H14" s="65">
        <v>0</v>
      </c>
      <c r="I14" s="65">
        <v>0</v>
      </c>
      <c r="J14" s="65">
        <v>0</v>
      </c>
      <c r="K14" s="65">
        <v>203451581</v>
      </c>
      <c r="L14" s="65">
        <v>-186537554</v>
      </c>
      <c r="M14" s="65">
        <v>50063000</v>
      </c>
      <c r="N14" s="65">
        <v>38493184</v>
      </c>
      <c r="O14" s="65"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0</v>
      </c>
      <c r="W14" s="66">
        <f t="shared" si="4"/>
        <v>105470211</v>
      </c>
      <c r="X14" s="55"/>
      <c r="Y14" s="67">
        <v>0</v>
      </c>
      <c r="Z14" s="67">
        <v>0</v>
      </c>
      <c r="AA14" s="67">
        <v>0</v>
      </c>
      <c r="AB14" s="67">
        <v>0</v>
      </c>
      <c r="AC14" s="67">
        <v>0</v>
      </c>
      <c r="AD14" s="67">
        <v>0</v>
      </c>
      <c r="AE14" s="67">
        <v>0</v>
      </c>
      <c r="AF14" s="67">
        <v>0</v>
      </c>
      <c r="AG14" s="67">
        <v>0</v>
      </c>
      <c r="AH14" s="67">
        <v>0</v>
      </c>
      <c r="AI14" s="67">
        <v>0</v>
      </c>
      <c r="AJ14" s="67">
        <v>0</v>
      </c>
      <c r="AK14" s="61">
        <v>0</v>
      </c>
      <c r="AL14" s="55"/>
      <c r="AM14" s="67">
        <v>0</v>
      </c>
      <c r="AN14" s="67">
        <v>0</v>
      </c>
      <c r="AO14" s="67">
        <v>0</v>
      </c>
      <c r="AP14" s="67">
        <v>0</v>
      </c>
      <c r="AQ14" s="67">
        <v>0</v>
      </c>
      <c r="AR14" s="67">
        <v>0</v>
      </c>
      <c r="AS14" s="67">
        <v>0</v>
      </c>
      <c r="AT14" s="67">
        <v>0</v>
      </c>
      <c r="AU14" s="67">
        <v>0</v>
      </c>
      <c r="AV14" s="67">
        <v>0</v>
      </c>
      <c r="AW14" s="67">
        <v>0</v>
      </c>
      <c r="AX14" s="67">
        <v>0</v>
      </c>
      <c r="AY14" s="122">
        <v>0</v>
      </c>
      <c r="AZ14" s="55"/>
      <c r="BA14" s="639">
        <v>0</v>
      </c>
      <c r="BB14" s="639">
        <v>0</v>
      </c>
      <c r="BC14" s="86"/>
      <c r="BD14" s="639">
        <v>0</v>
      </c>
      <c r="BE14" s="86"/>
      <c r="BF14" s="639">
        <v>0</v>
      </c>
      <c r="BG14" s="86">
        <v>0</v>
      </c>
      <c r="BH14" s="639"/>
      <c r="BI14" s="86">
        <v>0</v>
      </c>
      <c r="BJ14" s="639">
        <v>0</v>
      </c>
      <c r="BK14" s="86">
        <v>0</v>
      </c>
      <c r="BL14" s="639">
        <v>0</v>
      </c>
      <c r="BM14" s="86"/>
      <c r="BN14" s="695">
        <v>0</v>
      </c>
      <c r="BO14" s="696"/>
      <c r="BP14" s="695"/>
      <c r="BQ14" s="696"/>
      <c r="BR14" s="729"/>
      <c r="BS14" s="695"/>
      <c r="BT14" s="696"/>
      <c r="BU14" s="729"/>
      <c r="BV14" s="695"/>
      <c r="BW14" s="696"/>
      <c r="BX14" s="729"/>
      <c r="BY14" s="695"/>
      <c r="BZ14" s="696"/>
      <c r="CA14" s="729"/>
      <c r="CB14" s="720">
        <f t="shared" si="5"/>
        <v>0</v>
      </c>
      <c r="CC14" s="721">
        <f t="shared" si="6"/>
        <v>0</v>
      </c>
      <c r="CD14" s="738"/>
      <c r="CE14" s="323"/>
      <c r="CF14" s="323"/>
      <c r="CG14" s="323"/>
      <c r="CH14" s="323"/>
      <c r="CI14" s="323"/>
      <c r="CJ14" s="323"/>
      <c r="CK14" s="323"/>
      <c r="CL14" s="323"/>
      <c r="CM14" s="323"/>
      <c r="CN14" s="323"/>
      <c r="CO14" s="323"/>
      <c r="CP14" s="323"/>
      <c r="CQ14" s="355">
        <f t="shared" si="7"/>
        <v>0</v>
      </c>
      <c r="CR14" s="356">
        <f>CQ14*1.07</f>
        <v>0</v>
      </c>
      <c r="CS14" s="357">
        <f>CR14*1.07</f>
        <v>0</v>
      </c>
      <c r="CT14" s="332">
        <f>CS14*1.07</f>
        <v>0</v>
      </c>
      <c r="CU14" s="358">
        <f>CT14*1.07</f>
        <v>0</v>
      </c>
      <c r="CV14" s="57" t="s">
        <v>38</v>
      </c>
    </row>
    <row r="15" spans="1:101" ht="15" customHeight="1" outlineLevel="2">
      <c r="A15" s="276" t="s">
        <v>43</v>
      </c>
      <c r="B15" s="277" t="str">
        <f t="shared" si="3"/>
        <v>PACK JAKARTAPACKAGEATLAS PETROCHEM INDO</v>
      </c>
      <c r="C15" s="276" t="s">
        <v>36</v>
      </c>
      <c r="D15" s="276" t="s">
        <v>40</v>
      </c>
      <c r="E15" s="287" t="s">
        <v>49</v>
      </c>
      <c r="F15" s="287">
        <v>3000006787</v>
      </c>
      <c r="G15" s="64">
        <v>1801919923</v>
      </c>
      <c r="H15" s="65">
        <v>144993218</v>
      </c>
      <c r="I15" s="65">
        <v>143129257</v>
      </c>
      <c r="J15" s="65">
        <v>158889280</v>
      </c>
      <c r="K15" s="65">
        <v>193494524</v>
      </c>
      <c r="L15" s="65">
        <v>171168518</v>
      </c>
      <c r="M15" s="65">
        <v>177273631</v>
      </c>
      <c r="N15" s="65">
        <v>180049841</v>
      </c>
      <c r="O15" s="65">
        <v>170758628</v>
      </c>
      <c r="P15" s="65">
        <v>170929984</v>
      </c>
      <c r="Q15" s="65">
        <v>158616657</v>
      </c>
      <c r="R15" s="65">
        <v>137684315</v>
      </c>
      <c r="S15" s="65">
        <v>132278064</v>
      </c>
      <c r="T15" s="65">
        <v>170929984</v>
      </c>
      <c r="U15" s="65">
        <v>170929984</v>
      </c>
      <c r="V15" s="65">
        <v>170929984</v>
      </c>
      <c r="W15" s="66">
        <f t="shared" si="4"/>
        <v>1939265917</v>
      </c>
      <c r="X15" s="55"/>
      <c r="Y15" s="67">
        <f>V15*1.05</f>
        <v>179476483.20000002</v>
      </c>
      <c r="Z15" s="67">
        <v>178500000</v>
      </c>
      <c r="AA15" s="67">
        <v>178500000</v>
      </c>
      <c r="AB15" s="67">
        <v>178500000</v>
      </c>
      <c r="AC15" s="67">
        <v>178500000</v>
      </c>
      <c r="AD15" s="67">
        <v>178500000</v>
      </c>
      <c r="AE15" s="67">
        <v>178500000</v>
      </c>
      <c r="AF15" s="67">
        <v>178500000</v>
      </c>
      <c r="AG15" s="67">
        <v>178500000</v>
      </c>
      <c r="AH15" s="67">
        <v>178500000</v>
      </c>
      <c r="AI15" s="67">
        <v>178500000</v>
      </c>
      <c r="AJ15" s="67">
        <v>178500000</v>
      </c>
      <c r="AK15" s="61">
        <v>2142976483.2</v>
      </c>
      <c r="AL15" s="55"/>
      <c r="AM15" s="67">
        <v>179476483.20000002</v>
      </c>
      <c r="AN15" s="67">
        <v>178500000</v>
      </c>
      <c r="AO15" s="67">
        <v>178500000</v>
      </c>
      <c r="AP15" s="67">
        <v>178500000</v>
      </c>
      <c r="AQ15" s="67">
        <v>178500000</v>
      </c>
      <c r="AR15" s="67">
        <v>178500000</v>
      </c>
      <c r="AS15" s="67">
        <v>178500000</v>
      </c>
      <c r="AT15" s="67">
        <v>178500000</v>
      </c>
      <c r="AU15" s="67">
        <v>178500000</v>
      </c>
      <c r="AV15" s="67">
        <v>178500000</v>
      </c>
      <c r="AW15" s="67">
        <v>178500000</v>
      </c>
      <c r="AX15" s="67">
        <v>178500000</v>
      </c>
      <c r="AY15" s="122">
        <v>2142976483.2</v>
      </c>
      <c r="AZ15" s="55"/>
      <c r="BA15" s="639">
        <v>139570255</v>
      </c>
      <c r="BB15" s="639">
        <v>143603753</v>
      </c>
      <c r="BC15" s="86">
        <v>140000000</v>
      </c>
      <c r="BD15" s="639">
        <v>145240285</v>
      </c>
      <c r="BE15" s="86">
        <v>145000000</v>
      </c>
      <c r="BF15" s="639">
        <v>147561120</v>
      </c>
      <c r="BG15" s="86">
        <v>145000000</v>
      </c>
      <c r="BH15" s="639">
        <v>132089163</v>
      </c>
      <c r="BI15" s="86">
        <v>145000000</v>
      </c>
      <c r="BJ15" s="639">
        <v>139250429</v>
      </c>
      <c r="BK15" s="86">
        <v>145000000</v>
      </c>
      <c r="BL15" s="639">
        <v>138264835</v>
      </c>
      <c r="BM15" s="86">
        <v>145000000</v>
      </c>
      <c r="BN15" s="695">
        <v>141715463</v>
      </c>
      <c r="BO15" s="696">
        <v>145000000</v>
      </c>
      <c r="BP15" s="695"/>
      <c r="BQ15" s="696">
        <v>145000000</v>
      </c>
      <c r="BR15" s="729">
        <v>145000000</v>
      </c>
      <c r="BS15" s="695"/>
      <c r="BT15" s="696">
        <v>145000000</v>
      </c>
      <c r="BU15" s="729">
        <v>145000000</v>
      </c>
      <c r="BV15" s="695"/>
      <c r="BW15" s="696">
        <v>145000000</v>
      </c>
      <c r="BX15" s="729">
        <v>145000000</v>
      </c>
      <c r="BY15" s="695"/>
      <c r="BZ15" s="696">
        <v>145000000</v>
      </c>
      <c r="CA15" s="729">
        <v>145000000</v>
      </c>
      <c r="CB15" s="720">
        <f t="shared" si="5"/>
        <v>1707295303</v>
      </c>
      <c r="CC15" s="721">
        <f t="shared" si="6"/>
        <v>1707295303</v>
      </c>
      <c r="CD15" s="738"/>
      <c r="CE15" s="323">
        <v>142000000</v>
      </c>
      <c r="CF15" s="323">
        <v>142000000</v>
      </c>
      <c r="CG15" s="323">
        <v>142000000</v>
      </c>
      <c r="CH15" s="323">
        <v>145000000</v>
      </c>
      <c r="CI15" s="323">
        <v>139000000</v>
      </c>
      <c r="CJ15" s="323">
        <v>142000000</v>
      </c>
      <c r="CK15" s="323">
        <v>142000000</v>
      </c>
      <c r="CL15" s="323">
        <v>142000000</v>
      </c>
      <c r="CM15" s="323">
        <v>142000000</v>
      </c>
      <c r="CN15" s="323">
        <v>142000000</v>
      </c>
      <c r="CO15" s="323">
        <v>142000000</v>
      </c>
      <c r="CP15" s="323">
        <v>142000000</v>
      </c>
      <c r="CQ15" s="355">
        <f t="shared" si="7"/>
        <v>1704000000</v>
      </c>
      <c r="CR15" s="356">
        <f>CQ15*1.17</f>
        <v>1993679999.9999998</v>
      </c>
      <c r="CS15" s="357">
        <f>CR15*1.1</f>
        <v>2193048000</v>
      </c>
      <c r="CT15" s="332">
        <f>CS15*1.15</f>
        <v>2522005200</v>
      </c>
      <c r="CU15" s="358">
        <f>CT15*1.15</f>
        <v>2900305980</v>
      </c>
      <c r="CV15" s="57" t="s">
        <v>38</v>
      </c>
    </row>
    <row r="16" spans="1:101" ht="15" customHeight="1" outlineLevel="2">
      <c r="A16" s="286" t="s">
        <v>35</v>
      </c>
      <c r="B16" s="277" t="str">
        <f t="shared" si="3"/>
        <v>PACK JAKARTAPACKAGEBABABAA ANAK NUSANTARA</v>
      </c>
      <c r="C16" s="276" t="s">
        <v>36</v>
      </c>
      <c r="E16" s="287" t="s">
        <v>50</v>
      </c>
      <c r="F16" s="287"/>
      <c r="G16" s="68">
        <v>4807563</v>
      </c>
      <c r="H16" s="65"/>
      <c r="I16" s="65"/>
      <c r="J16" s="65"/>
      <c r="K16" s="65"/>
      <c r="L16" s="65"/>
      <c r="M16" s="65"/>
      <c r="N16" s="65"/>
      <c r="O16" s="65"/>
      <c r="P16" s="65">
        <v>0</v>
      </c>
      <c r="Q16" s="65">
        <v>0</v>
      </c>
      <c r="R16" s="65">
        <v>0</v>
      </c>
      <c r="S16" s="65">
        <v>0</v>
      </c>
      <c r="T16" s="65">
        <v>0</v>
      </c>
      <c r="U16" s="65">
        <v>0</v>
      </c>
      <c r="V16" s="65">
        <v>0</v>
      </c>
      <c r="W16" s="66">
        <f t="shared" si="4"/>
        <v>0</v>
      </c>
      <c r="X16" s="55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1">
        <v>0</v>
      </c>
      <c r="AL16" s="55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122">
        <v>0</v>
      </c>
      <c r="AZ16" s="55"/>
      <c r="BA16" s="639">
        <v>0</v>
      </c>
      <c r="BB16" s="639">
        <v>0</v>
      </c>
      <c r="BC16" s="86"/>
      <c r="BD16" s="639">
        <v>0</v>
      </c>
      <c r="BE16" s="86"/>
      <c r="BF16" s="639">
        <v>0</v>
      </c>
      <c r="BG16" s="86">
        <v>0</v>
      </c>
      <c r="BH16" s="639"/>
      <c r="BI16" s="86">
        <v>0</v>
      </c>
      <c r="BJ16" s="639">
        <v>0</v>
      </c>
      <c r="BK16" s="86">
        <v>0</v>
      </c>
      <c r="BL16" s="639">
        <v>0</v>
      </c>
      <c r="BM16" s="86"/>
      <c r="BN16" s="695">
        <v>0</v>
      </c>
      <c r="BO16" s="696"/>
      <c r="BP16" s="695"/>
      <c r="BQ16" s="696"/>
      <c r="BR16" s="729"/>
      <c r="BS16" s="695"/>
      <c r="BT16" s="696"/>
      <c r="BU16" s="729"/>
      <c r="BV16" s="695"/>
      <c r="BW16" s="696"/>
      <c r="BX16" s="729"/>
      <c r="BY16" s="695"/>
      <c r="BZ16" s="696"/>
      <c r="CA16" s="729"/>
      <c r="CB16" s="720">
        <f t="shared" si="5"/>
        <v>0</v>
      </c>
      <c r="CC16" s="721">
        <f t="shared" si="6"/>
        <v>0</v>
      </c>
      <c r="CD16" s="738"/>
      <c r="CE16" s="323"/>
      <c r="CF16" s="323"/>
      <c r="CG16" s="323"/>
      <c r="CH16" s="323"/>
      <c r="CI16" s="323"/>
      <c r="CJ16" s="323"/>
      <c r="CK16" s="323"/>
      <c r="CL16" s="323"/>
      <c r="CM16" s="323"/>
      <c r="CN16" s="323"/>
      <c r="CO16" s="323"/>
      <c r="CP16" s="323"/>
      <c r="CQ16" s="355">
        <f t="shared" si="7"/>
        <v>0</v>
      </c>
      <c r="CR16" s="356"/>
      <c r="CS16" s="357"/>
      <c r="CT16" s="332"/>
      <c r="CU16" s="358"/>
      <c r="CV16" s="57" t="s">
        <v>38</v>
      </c>
    </row>
    <row r="17" spans="1:100" ht="15" customHeight="1" outlineLevel="2">
      <c r="A17" s="276" t="s">
        <v>39</v>
      </c>
      <c r="B17" s="277" t="str">
        <f t="shared" si="3"/>
        <v>PACK JAKARTAPACKAGEBAHANA PRESTASI</v>
      </c>
      <c r="C17" s="276" t="s">
        <v>36</v>
      </c>
      <c r="D17" s="276" t="s">
        <v>40</v>
      </c>
      <c r="E17" s="287" t="s">
        <v>51</v>
      </c>
      <c r="F17" s="287">
        <v>8000000027</v>
      </c>
      <c r="G17" s="64">
        <v>0</v>
      </c>
      <c r="H17" s="65">
        <v>43716400</v>
      </c>
      <c r="I17" s="65">
        <v>47849200</v>
      </c>
      <c r="J17" s="65">
        <v>40185600</v>
      </c>
      <c r="K17" s="65">
        <v>45581200</v>
      </c>
      <c r="L17" s="65">
        <v>41692000</v>
      </c>
      <c r="M17" s="65">
        <v>30186800</v>
      </c>
      <c r="N17" s="65">
        <v>27983200</v>
      </c>
      <c r="O17" s="65">
        <v>27876800</v>
      </c>
      <c r="P17" s="65">
        <v>33849300</v>
      </c>
      <c r="Q17" s="65">
        <v>23596300</v>
      </c>
      <c r="R17" s="65">
        <v>38600800</v>
      </c>
      <c r="S17" s="65">
        <v>35204400</v>
      </c>
      <c r="T17" s="65">
        <v>33849300</v>
      </c>
      <c r="U17" s="65">
        <v>33849300</v>
      </c>
      <c r="V17" s="65">
        <v>33849300</v>
      </c>
      <c r="W17" s="66">
        <f t="shared" si="4"/>
        <v>436322000</v>
      </c>
      <c r="X17" s="55"/>
      <c r="Y17" s="67">
        <f t="shared" ref="Y17:AJ17" si="8">27000000</f>
        <v>27000000</v>
      </c>
      <c r="Z17" s="67">
        <f t="shared" si="8"/>
        <v>27000000</v>
      </c>
      <c r="AA17" s="67">
        <f t="shared" si="8"/>
        <v>27000000</v>
      </c>
      <c r="AB17" s="67">
        <f t="shared" si="8"/>
        <v>27000000</v>
      </c>
      <c r="AC17" s="67">
        <f t="shared" si="8"/>
        <v>27000000</v>
      </c>
      <c r="AD17" s="67">
        <f t="shared" si="8"/>
        <v>27000000</v>
      </c>
      <c r="AE17" s="67">
        <f t="shared" si="8"/>
        <v>27000000</v>
      </c>
      <c r="AF17" s="67">
        <f t="shared" si="8"/>
        <v>27000000</v>
      </c>
      <c r="AG17" s="67">
        <f t="shared" si="8"/>
        <v>27000000</v>
      </c>
      <c r="AH17" s="67">
        <f t="shared" si="8"/>
        <v>27000000</v>
      </c>
      <c r="AI17" s="67">
        <f t="shared" si="8"/>
        <v>27000000</v>
      </c>
      <c r="AJ17" s="67">
        <f t="shared" si="8"/>
        <v>27000000</v>
      </c>
      <c r="AK17" s="61">
        <v>324000000</v>
      </c>
      <c r="AL17" s="55"/>
      <c r="AM17" s="67">
        <v>27000000</v>
      </c>
      <c r="AN17" s="67">
        <v>27000000</v>
      </c>
      <c r="AO17" s="67">
        <v>27000000</v>
      </c>
      <c r="AP17" s="67">
        <v>27000000</v>
      </c>
      <c r="AQ17" s="67">
        <v>27000000</v>
      </c>
      <c r="AR17" s="67">
        <v>27000000</v>
      </c>
      <c r="AS17" s="67">
        <v>27000000</v>
      </c>
      <c r="AT17" s="67">
        <v>27000000</v>
      </c>
      <c r="AU17" s="67">
        <v>27000000</v>
      </c>
      <c r="AV17" s="67">
        <v>27000000</v>
      </c>
      <c r="AW17" s="67">
        <v>27000000</v>
      </c>
      <c r="AX17" s="67">
        <v>27000000</v>
      </c>
      <c r="AY17" s="122">
        <v>324000000</v>
      </c>
      <c r="AZ17" s="55"/>
      <c r="BA17" s="639">
        <v>63312000</v>
      </c>
      <c r="BB17" s="639">
        <v>76944000</v>
      </c>
      <c r="BC17" s="86">
        <v>63312000</v>
      </c>
      <c r="BD17" s="639">
        <v>52284000</v>
      </c>
      <c r="BE17" s="86">
        <v>63312000</v>
      </c>
      <c r="BF17" s="639">
        <v>29952000</v>
      </c>
      <c r="BG17" s="86">
        <v>76944000</v>
      </c>
      <c r="BH17" s="639">
        <v>45630000</v>
      </c>
      <c r="BI17" s="86">
        <v>76944000</v>
      </c>
      <c r="BJ17" s="639">
        <v>44418000</v>
      </c>
      <c r="BK17" s="86">
        <v>76944000</v>
      </c>
      <c r="BL17" s="639">
        <v>32148000</v>
      </c>
      <c r="BM17" s="86">
        <v>76944000</v>
      </c>
      <c r="BN17" s="695">
        <v>80136000</v>
      </c>
      <c r="BO17" s="696">
        <v>76944000</v>
      </c>
      <c r="BP17" s="695"/>
      <c r="BQ17" s="696">
        <v>76944000</v>
      </c>
      <c r="BR17" s="729">
        <v>65000000</v>
      </c>
      <c r="BS17" s="695"/>
      <c r="BT17" s="696">
        <v>76944000</v>
      </c>
      <c r="BU17" s="729">
        <v>65000000</v>
      </c>
      <c r="BV17" s="695"/>
      <c r="BW17" s="696">
        <v>76944000</v>
      </c>
      <c r="BX17" s="729">
        <v>65000000</v>
      </c>
      <c r="BY17" s="695"/>
      <c r="BZ17" s="696">
        <v>76944000</v>
      </c>
      <c r="CA17" s="729">
        <v>65000000</v>
      </c>
      <c r="CB17" s="720">
        <f t="shared" si="5"/>
        <v>684824000</v>
      </c>
      <c r="CC17" s="721">
        <f t="shared" si="6"/>
        <v>684824000</v>
      </c>
      <c r="CD17" s="738"/>
      <c r="CE17" s="323">
        <v>50000000</v>
      </c>
      <c r="CF17" s="323">
        <v>50000000</v>
      </c>
      <c r="CG17" s="323">
        <v>50000000</v>
      </c>
      <c r="CH17" s="323">
        <v>50000000</v>
      </c>
      <c r="CI17" s="323">
        <v>50000000</v>
      </c>
      <c r="CJ17" s="323">
        <v>50000000</v>
      </c>
      <c r="CK17" s="323">
        <v>50000000</v>
      </c>
      <c r="CL17" s="323">
        <v>50000000</v>
      </c>
      <c r="CM17" s="323">
        <v>50000000</v>
      </c>
      <c r="CN17" s="323">
        <v>50000000</v>
      </c>
      <c r="CO17" s="323">
        <v>50000000</v>
      </c>
      <c r="CP17" s="323">
        <v>50000000</v>
      </c>
      <c r="CQ17" s="355">
        <f t="shared" si="7"/>
        <v>600000000</v>
      </c>
      <c r="CR17" s="356">
        <f>CQ17*1.17</f>
        <v>702000000</v>
      </c>
      <c r="CS17" s="357">
        <f>CR17*1.08</f>
        <v>758160000</v>
      </c>
      <c r="CT17" s="332">
        <f>CS17*1.09</f>
        <v>826394400.00000012</v>
      </c>
      <c r="CU17" s="358">
        <f>CT17*1.09</f>
        <v>900769896.00000024</v>
      </c>
      <c r="CV17" s="57" t="s">
        <v>38</v>
      </c>
    </row>
    <row r="18" spans="1:100" ht="15" customHeight="1" outlineLevel="2">
      <c r="A18" s="276" t="s">
        <v>39</v>
      </c>
      <c r="B18" s="277" t="str">
        <f t="shared" si="3"/>
        <v>PACK JAKARTAPACKAGEBAHTERA ADI JAYA</v>
      </c>
      <c r="C18" s="276" t="s">
        <v>36</v>
      </c>
      <c r="D18" s="276" t="s">
        <v>40</v>
      </c>
      <c r="E18" s="287" t="s">
        <v>52</v>
      </c>
      <c r="F18" s="287"/>
      <c r="G18" s="64">
        <v>63248000</v>
      </c>
      <c r="H18" s="65">
        <v>35800000</v>
      </c>
      <c r="I18" s="65">
        <v>31820000</v>
      </c>
      <c r="J18" s="65">
        <v>22120000</v>
      </c>
      <c r="K18" s="65">
        <v>26840000</v>
      </c>
      <c r="L18" s="65">
        <v>18060000</v>
      </c>
      <c r="M18" s="65">
        <v>19540000</v>
      </c>
      <c r="N18" s="65">
        <v>23140000</v>
      </c>
      <c r="O18" s="65">
        <v>36466500</v>
      </c>
      <c r="P18" s="65">
        <v>23747000</v>
      </c>
      <c r="Q18" s="65">
        <v>0</v>
      </c>
      <c r="R18" s="65">
        <v>0</v>
      </c>
      <c r="S18" s="65">
        <v>0</v>
      </c>
      <c r="T18" s="69">
        <v>0</v>
      </c>
      <c r="U18" s="69">
        <v>0</v>
      </c>
      <c r="V18" s="69">
        <v>0</v>
      </c>
      <c r="W18" s="66">
        <f t="shared" si="4"/>
        <v>237533500</v>
      </c>
      <c r="X18" s="55"/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7">
        <v>0</v>
      </c>
      <c r="AH18" s="67">
        <v>0</v>
      </c>
      <c r="AI18" s="67">
        <v>0</v>
      </c>
      <c r="AJ18" s="67">
        <v>0</v>
      </c>
      <c r="AK18" s="61">
        <v>0</v>
      </c>
      <c r="AL18" s="55"/>
      <c r="AM18" s="67">
        <v>0</v>
      </c>
      <c r="AN18" s="67">
        <v>0</v>
      </c>
      <c r="AO18" s="67">
        <v>0</v>
      </c>
      <c r="AP18" s="67">
        <v>0</v>
      </c>
      <c r="AQ18" s="67">
        <v>0</v>
      </c>
      <c r="AR18" s="67">
        <v>0</v>
      </c>
      <c r="AS18" s="67">
        <v>0</v>
      </c>
      <c r="AT18" s="67">
        <v>0</v>
      </c>
      <c r="AU18" s="67">
        <v>0</v>
      </c>
      <c r="AV18" s="67">
        <v>0</v>
      </c>
      <c r="AW18" s="67">
        <v>0</v>
      </c>
      <c r="AX18" s="67">
        <v>0</v>
      </c>
      <c r="AY18" s="122">
        <v>0</v>
      </c>
      <c r="AZ18" s="55"/>
      <c r="BA18" s="639">
        <v>0</v>
      </c>
      <c r="BB18" s="639">
        <v>0</v>
      </c>
      <c r="BC18" s="86"/>
      <c r="BD18" s="639">
        <v>0</v>
      </c>
      <c r="BE18" s="86"/>
      <c r="BF18" s="639">
        <v>0</v>
      </c>
      <c r="BG18" s="86">
        <v>0</v>
      </c>
      <c r="BH18" s="639"/>
      <c r="BI18" s="86">
        <v>0</v>
      </c>
      <c r="BJ18" s="639">
        <v>0</v>
      </c>
      <c r="BK18" s="86">
        <v>0</v>
      </c>
      <c r="BL18" s="639">
        <v>0</v>
      </c>
      <c r="BM18" s="86"/>
      <c r="BN18" s="695">
        <v>0</v>
      </c>
      <c r="BO18" s="696"/>
      <c r="BP18" s="695"/>
      <c r="BQ18" s="696"/>
      <c r="BR18" s="729"/>
      <c r="BS18" s="695"/>
      <c r="BT18" s="696"/>
      <c r="BU18" s="729"/>
      <c r="BV18" s="695"/>
      <c r="BW18" s="696"/>
      <c r="BX18" s="729"/>
      <c r="BY18" s="695"/>
      <c r="BZ18" s="696"/>
      <c r="CA18" s="729"/>
      <c r="CB18" s="720">
        <f t="shared" si="5"/>
        <v>0</v>
      </c>
      <c r="CC18" s="721">
        <f t="shared" si="6"/>
        <v>0</v>
      </c>
      <c r="CD18" s="738"/>
      <c r="CE18" s="323"/>
      <c r="CF18" s="323"/>
      <c r="CG18" s="323"/>
      <c r="CH18" s="323"/>
      <c r="CI18" s="323"/>
      <c r="CJ18" s="323"/>
      <c r="CK18" s="323"/>
      <c r="CL18" s="323"/>
      <c r="CM18" s="323"/>
      <c r="CN18" s="323"/>
      <c r="CO18" s="323"/>
      <c r="CP18" s="323"/>
      <c r="CQ18" s="355">
        <f t="shared" si="7"/>
        <v>0</v>
      </c>
      <c r="CR18" s="356">
        <f>CQ18*1.07</f>
        <v>0</v>
      </c>
      <c r="CS18" s="357">
        <f>CR18*1.07</f>
        <v>0</v>
      </c>
      <c r="CT18" s="332">
        <f>CS18*1.07</f>
        <v>0</v>
      </c>
      <c r="CU18" s="358">
        <f>CT18*1.07</f>
        <v>0</v>
      </c>
      <c r="CV18" s="57" t="s">
        <v>38</v>
      </c>
    </row>
    <row r="19" spans="1:100" ht="15" customHeight="1" outlineLevel="2">
      <c r="A19" s="276" t="s">
        <v>43</v>
      </c>
      <c r="B19" s="277" t="str">
        <f t="shared" si="3"/>
        <v>PACK JAKARTAPACKAGEBANK CENTRAL ASIA TBK</v>
      </c>
      <c r="C19" s="276" t="s">
        <v>36</v>
      </c>
      <c r="D19" s="276" t="s">
        <v>40</v>
      </c>
      <c r="E19" s="287" t="s">
        <v>53</v>
      </c>
      <c r="F19" s="287">
        <v>3000000709</v>
      </c>
      <c r="G19" s="64">
        <v>4802627880</v>
      </c>
      <c r="H19" s="65">
        <v>397930240</v>
      </c>
      <c r="I19" s="65">
        <v>395074240</v>
      </c>
      <c r="J19" s="65">
        <v>390858240</v>
      </c>
      <c r="K19" s="65">
        <v>389122240</v>
      </c>
      <c r="L19" s="65">
        <v>394000000</v>
      </c>
      <c r="M19" s="65">
        <v>394000000</v>
      </c>
      <c r="N19" s="65">
        <v>394000000</v>
      </c>
      <c r="O19" s="65">
        <v>394000000</v>
      </c>
      <c r="P19" s="65">
        <v>394000000</v>
      </c>
      <c r="Q19" s="65">
        <v>394000000</v>
      </c>
      <c r="R19" s="65">
        <v>788000000</v>
      </c>
      <c r="S19" s="65">
        <v>0</v>
      </c>
      <c r="T19" s="65">
        <v>394000000</v>
      </c>
      <c r="U19" s="65">
        <v>394000000</v>
      </c>
      <c r="V19" s="65">
        <v>394000000</v>
      </c>
      <c r="W19" s="66">
        <f t="shared" si="4"/>
        <v>4724984960</v>
      </c>
      <c r="X19" s="55"/>
      <c r="Y19" s="67">
        <v>394000000</v>
      </c>
      <c r="Z19" s="67">
        <v>394000000</v>
      </c>
      <c r="AA19" s="67">
        <v>394000000</v>
      </c>
      <c r="AB19" s="67">
        <v>394000000</v>
      </c>
      <c r="AC19" s="67">
        <v>394000000</v>
      </c>
      <c r="AD19" s="67">
        <v>394000000</v>
      </c>
      <c r="AE19" s="67">
        <v>394000000</v>
      </c>
      <c r="AF19" s="67">
        <v>394000000</v>
      </c>
      <c r="AG19" s="67">
        <v>394000000</v>
      </c>
      <c r="AH19" s="67">
        <v>394000000</v>
      </c>
      <c r="AI19" s="67">
        <v>394000000</v>
      </c>
      <c r="AJ19" s="67">
        <v>394000000</v>
      </c>
      <c r="AK19" s="61">
        <v>4728000000</v>
      </c>
      <c r="AL19" s="55"/>
      <c r="AM19" s="67">
        <v>394000000</v>
      </c>
      <c r="AN19" s="67">
        <v>394000000</v>
      </c>
      <c r="AO19" s="67">
        <v>394000000</v>
      </c>
      <c r="AP19" s="67">
        <v>394000000</v>
      </c>
      <c r="AQ19" s="67">
        <v>394000000</v>
      </c>
      <c r="AR19" s="67">
        <v>394000000</v>
      </c>
      <c r="AS19" s="67">
        <v>394000000</v>
      </c>
      <c r="AT19" s="67">
        <v>394000000</v>
      </c>
      <c r="AU19" s="67">
        <v>394000000</v>
      </c>
      <c r="AV19" s="67">
        <v>394000000</v>
      </c>
      <c r="AW19" s="67">
        <v>394000000</v>
      </c>
      <c r="AX19" s="67">
        <v>394000000</v>
      </c>
      <c r="AY19" s="122">
        <v>4728000000</v>
      </c>
      <c r="AZ19" s="55"/>
      <c r="BA19" s="639">
        <v>394000000</v>
      </c>
      <c r="BB19" s="639">
        <v>394000000</v>
      </c>
      <c r="BC19" s="86">
        <v>394000000</v>
      </c>
      <c r="BD19" s="639">
        <v>394000000</v>
      </c>
      <c r="BE19" s="86">
        <v>394000000</v>
      </c>
      <c r="BF19" s="639">
        <v>394000000</v>
      </c>
      <c r="BG19" s="86">
        <v>394000000</v>
      </c>
      <c r="BH19" s="639">
        <v>394000000</v>
      </c>
      <c r="BI19" s="86">
        <v>394000000</v>
      </c>
      <c r="BJ19" s="639">
        <v>394000000</v>
      </c>
      <c r="BK19" s="86">
        <v>394000000</v>
      </c>
      <c r="BL19" s="639">
        <v>394000000</v>
      </c>
      <c r="BM19" s="86">
        <v>394000000</v>
      </c>
      <c r="BN19" s="695">
        <v>394000000</v>
      </c>
      <c r="BO19" s="696">
        <v>394000000</v>
      </c>
      <c r="BP19" s="695"/>
      <c r="BQ19" s="696">
        <v>394000000</v>
      </c>
      <c r="BR19" s="729">
        <v>394000000</v>
      </c>
      <c r="BS19" s="695"/>
      <c r="BT19" s="696">
        <v>394000000</v>
      </c>
      <c r="BU19" s="729">
        <v>394000000</v>
      </c>
      <c r="BV19" s="695"/>
      <c r="BW19" s="696">
        <v>394000000</v>
      </c>
      <c r="BX19" s="729">
        <v>394000000</v>
      </c>
      <c r="BY19" s="695"/>
      <c r="BZ19" s="696">
        <v>394000000</v>
      </c>
      <c r="CA19" s="729">
        <v>394000000</v>
      </c>
      <c r="CB19" s="720">
        <f t="shared" si="5"/>
        <v>4728000000</v>
      </c>
      <c r="CC19" s="721">
        <f t="shared" si="6"/>
        <v>4728000000</v>
      </c>
      <c r="CD19" s="738"/>
      <c r="CE19" s="323">
        <v>394000000</v>
      </c>
      <c r="CF19" s="323">
        <v>394000000</v>
      </c>
      <c r="CG19" s="323">
        <v>394000000</v>
      </c>
      <c r="CH19" s="323">
        <v>394000000</v>
      </c>
      <c r="CI19" s="323">
        <v>394000000</v>
      </c>
      <c r="CJ19" s="323">
        <v>394000000</v>
      </c>
      <c r="CK19" s="323">
        <v>394000000</v>
      </c>
      <c r="CL19" s="323">
        <v>394000000</v>
      </c>
      <c r="CM19" s="323">
        <v>394000000</v>
      </c>
      <c r="CN19" s="323">
        <v>394000000</v>
      </c>
      <c r="CO19" s="323">
        <v>394000000</v>
      </c>
      <c r="CP19" s="323">
        <v>394000000</v>
      </c>
      <c r="CQ19" s="355">
        <f t="shared" si="7"/>
        <v>4728000000</v>
      </c>
      <c r="CR19" s="356">
        <f>CQ19*1.17</f>
        <v>5531760000</v>
      </c>
      <c r="CS19" s="357">
        <f>CR19*1.08</f>
        <v>5974300800</v>
      </c>
      <c r="CT19" s="332">
        <f>CS19*1.09</f>
        <v>6511987872.000001</v>
      </c>
      <c r="CU19" s="358">
        <f>CT19*1.09</f>
        <v>7098066780.4800014</v>
      </c>
      <c r="CV19" s="57" t="s">
        <v>38</v>
      </c>
    </row>
    <row r="20" spans="1:100" ht="15" customHeight="1" outlineLevel="2">
      <c r="A20" s="276" t="s">
        <v>43</v>
      </c>
      <c r="B20" s="277" t="str">
        <f t="shared" si="3"/>
        <v>PACK JAKARTAPACKAGEBANK HSBC INDONESIA</v>
      </c>
      <c r="C20" s="276" t="s">
        <v>36</v>
      </c>
      <c r="D20" s="276" t="s">
        <v>40</v>
      </c>
      <c r="E20" s="287" t="s">
        <v>54</v>
      </c>
      <c r="F20" s="287"/>
      <c r="G20" s="68">
        <v>12514529</v>
      </c>
      <c r="H20" s="65"/>
      <c r="I20" s="65"/>
      <c r="J20" s="65"/>
      <c r="K20" s="65"/>
      <c r="L20" s="65"/>
      <c r="M20" s="65"/>
      <c r="N20" s="65"/>
      <c r="O20" s="65"/>
      <c r="P20" s="65">
        <v>0</v>
      </c>
      <c r="Q20" s="65">
        <v>0</v>
      </c>
      <c r="R20" s="65">
        <v>0</v>
      </c>
      <c r="S20" s="65">
        <v>0</v>
      </c>
      <c r="T20" s="65">
        <v>0</v>
      </c>
      <c r="U20" s="65">
        <v>0</v>
      </c>
      <c r="V20" s="65">
        <v>0</v>
      </c>
      <c r="W20" s="66">
        <f t="shared" si="4"/>
        <v>0</v>
      </c>
      <c r="X20" s="55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1">
        <v>0</v>
      </c>
      <c r="AL20" s="55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122">
        <v>0</v>
      </c>
      <c r="AZ20" s="55"/>
      <c r="BA20" s="639">
        <v>0</v>
      </c>
      <c r="BB20" s="639">
        <v>0</v>
      </c>
      <c r="BC20" s="86"/>
      <c r="BD20" s="639">
        <v>0</v>
      </c>
      <c r="BE20" s="86"/>
      <c r="BF20" s="639">
        <v>0</v>
      </c>
      <c r="BG20" s="86">
        <v>0</v>
      </c>
      <c r="BH20" s="639"/>
      <c r="BI20" s="86">
        <v>0</v>
      </c>
      <c r="BJ20" s="639">
        <v>0</v>
      </c>
      <c r="BK20" s="86">
        <v>0</v>
      </c>
      <c r="BL20" s="639">
        <v>0</v>
      </c>
      <c r="BM20" s="86"/>
      <c r="BN20" s="695">
        <v>0</v>
      </c>
      <c r="BO20" s="696"/>
      <c r="BP20" s="695"/>
      <c r="BQ20" s="696"/>
      <c r="BR20" s="729"/>
      <c r="BS20" s="695"/>
      <c r="BT20" s="696"/>
      <c r="BU20" s="729"/>
      <c r="BV20" s="695"/>
      <c r="BW20" s="696"/>
      <c r="BX20" s="729"/>
      <c r="BY20" s="695"/>
      <c r="BZ20" s="696"/>
      <c r="CA20" s="729"/>
      <c r="CB20" s="720">
        <f t="shared" si="5"/>
        <v>0</v>
      </c>
      <c r="CC20" s="721">
        <f t="shared" si="6"/>
        <v>0</v>
      </c>
      <c r="CD20" s="738"/>
      <c r="CE20" s="323"/>
      <c r="CF20" s="323"/>
      <c r="CG20" s="323"/>
      <c r="CH20" s="323"/>
      <c r="CI20" s="323"/>
      <c r="CJ20" s="323"/>
      <c r="CK20" s="323"/>
      <c r="CL20" s="323"/>
      <c r="CM20" s="323"/>
      <c r="CN20" s="323"/>
      <c r="CO20" s="323"/>
      <c r="CP20" s="323"/>
      <c r="CQ20" s="355">
        <f t="shared" si="7"/>
        <v>0</v>
      </c>
      <c r="CR20" s="356"/>
      <c r="CS20" s="357"/>
      <c r="CT20" s="332"/>
      <c r="CU20" s="358"/>
      <c r="CV20" s="57" t="s">
        <v>38</v>
      </c>
    </row>
    <row r="21" spans="1:100" ht="15" customHeight="1" outlineLevel="2">
      <c r="A21" s="276" t="s">
        <v>43</v>
      </c>
      <c r="B21" s="277" t="str">
        <f t="shared" si="3"/>
        <v>PACK JAKARTAPACKAGEBCA FINANCE</v>
      </c>
      <c r="C21" s="276" t="s">
        <v>36</v>
      </c>
      <c r="D21" s="276" t="s">
        <v>40</v>
      </c>
      <c r="E21" s="287" t="s">
        <v>55</v>
      </c>
      <c r="F21" s="287">
        <v>3000016583</v>
      </c>
      <c r="G21" s="64">
        <v>262352900</v>
      </c>
      <c r="H21" s="65">
        <v>20036700</v>
      </c>
      <c r="I21" s="65">
        <v>22208500</v>
      </c>
      <c r="J21" s="65">
        <v>31568100</v>
      </c>
      <c r="K21" s="65">
        <v>26189600</v>
      </c>
      <c r="L21" s="65">
        <v>23897600</v>
      </c>
      <c r="M21" s="65">
        <v>22991200</v>
      </c>
      <c r="N21" s="65">
        <v>22414400</v>
      </c>
      <c r="O21" s="65">
        <v>22332000</v>
      </c>
      <c r="P21" s="65">
        <v>22332000</v>
      </c>
      <c r="Q21" s="65">
        <v>22167200</v>
      </c>
      <c r="R21" s="65">
        <v>22084800</v>
      </c>
      <c r="S21" s="65">
        <v>22084800</v>
      </c>
      <c r="T21" s="65">
        <v>22332000</v>
      </c>
      <c r="U21" s="65">
        <v>22332000</v>
      </c>
      <c r="V21" s="65">
        <v>22332000</v>
      </c>
      <c r="W21" s="66">
        <f t="shared" si="4"/>
        <v>280306900</v>
      </c>
      <c r="X21" s="55"/>
      <c r="Y21" s="67">
        <f>V21*1.05</f>
        <v>23448600</v>
      </c>
      <c r="Z21" s="67">
        <v>24150000</v>
      </c>
      <c r="AA21" s="67">
        <v>24150000</v>
      </c>
      <c r="AB21" s="67">
        <v>24150000</v>
      </c>
      <c r="AC21" s="67">
        <v>24150000</v>
      </c>
      <c r="AD21" s="67">
        <v>24150000</v>
      </c>
      <c r="AE21" s="67">
        <v>24150000</v>
      </c>
      <c r="AF21" s="67">
        <v>24150000</v>
      </c>
      <c r="AG21" s="67">
        <v>24150000</v>
      </c>
      <c r="AH21" s="67">
        <v>24150000</v>
      </c>
      <c r="AI21" s="67">
        <v>24150000</v>
      </c>
      <c r="AJ21" s="67">
        <v>24150000</v>
      </c>
      <c r="AK21" s="61">
        <v>289098600</v>
      </c>
      <c r="AL21" s="55"/>
      <c r="AM21" s="67">
        <v>23448600</v>
      </c>
      <c r="AN21" s="67">
        <v>24150000</v>
      </c>
      <c r="AO21" s="67">
        <v>24150000</v>
      </c>
      <c r="AP21" s="67">
        <v>24150000</v>
      </c>
      <c r="AQ21" s="67">
        <v>24150000</v>
      </c>
      <c r="AR21" s="67">
        <v>24150000</v>
      </c>
      <c r="AS21" s="67">
        <v>24150000</v>
      </c>
      <c r="AT21" s="67">
        <v>24150000</v>
      </c>
      <c r="AU21" s="67">
        <v>24150000</v>
      </c>
      <c r="AV21" s="67">
        <v>24150000</v>
      </c>
      <c r="AW21" s="67">
        <v>24150000</v>
      </c>
      <c r="AX21" s="67">
        <v>24150000</v>
      </c>
      <c r="AY21" s="122">
        <v>289098600</v>
      </c>
      <c r="AZ21" s="55"/>
      <c r="BA21" s="639">
        <v>21856400</v>
      </c>
      <c r="BB21" s="639">
        <v>22068200</v>
      </c>
      <c r="BC21" s="86">
        <v>22000000</v>
      </c>
      <c r="BD21" s="639">
        <v>22010000</v>
      </c>
      <c r="BE21" s="86">
        <v>22000000</v>
      </c>
      <c r="BF21" s="639">
        <v>21676100</v>
      </c>
      <c r="BG21" s="86">
        <v>22068200</v>
      </c>
      <c r="BH21" s="639">
        <v>21692000</v>
      </c>
      <c r="BI21" s="86">
        <v>22068200</v>
      </c>
      <c r="BJ21" s="639">
        <v>21755600</v>
      </c>
      <c r="BK21" s="86">
        <v>22068200</v>
      </c>
      <c r="BL21" s="639">
        <v>21739700</v>
      </c>
      <c r="BM21" s="86">
        <v>22068200</v>
      </c>
      <c r="BN21" s="695">
        <v>21866900</v>
      </c>
      <c r="BO21" s="696">
        <v>22068200</v>
      </c>
      <c r="BP21" s="695"/>
      <c r="BQ21" s="696">
        <v>22068200</v>
      </c>
      <c r="BR21" s="729">
        <v>22068200</v>
      </c>
      <c r="BS21" s="695"/>
      <c r="BT21" s="696">
        <v>22068200</v>
      </c>
      <c r="BU21" s="729">
        <v>22068200</v>
      </c>
      <c r="BV21" s="695"/>
      <c r="BW21" s="696">
        <v>22068200</v>
      </c>
      <c r="BX21" s="729">
        <v>22068200</v>
      </c>
      <c r="BY21" s="695"/>
      <c r="BZ21" s="696">
        <v>22068200</v>
      </c>
      <c r="CA21" s="729">
        <v>22068200</v>
      </c>
      <c r="CB21" s="720">
        <f t="shared" si="5"/>
        <v>262937700</v>
      </c>
      <c r="CC21" s="721">
        <f t="shared" si="6"/>
        <v>262937700</v>
      </c>
      <c r="CD21" s="738"/>
      <c r="CE21" s="323">
        <v>21700000</v>
      </c>
      <c r="CF21" s="323">
        <v>21700000</v>
      </c>
      <c r="CG21" s="323">
        <v>21700000</v>
      </c>
      <c r="CH21" s="323">
        <v>21700000</v>
      </c>
      <c r="CI21" s="323">
        <v>21700000</v>
      </c>
      <c r="CJ21" s="323">
        <v>21700000</v>
      </c>
      <c r="CK21" s="323">
        <v>21700000</v>
      </c>
      <c r="CL21" s="323">
        <v>21700000</v>
      </c>
      <c r="CM21" s="323">
        <v>21700000</v>
      </c>
      <c r="CN21" s="323">
        <v>21700000</v>
      </c>
      <c r="CO21" s="323">
        <v>21700000</v>
      </c>
      <c r="CP21" s="323">
        <v>21700000</v>
      </c>
      <c r="CQ21" s="355">
        <f t="shared" si="7"/>
        <v>260400000</v>
      </c>
      <c r="CR21" s="356">
        <f>CQ21*1.17</f>
        <v>304668000</v>
      </c>
      <c r="CS21" s="357">
        <f>CR21*1.08</f>
        <v>329041440</v>
      </c>
      <c r="CT21" s="332">
        <f>CS21*1.09</f>
        <v>358655169.60000002</v>
      </c>
      <c r="CU21" s="358">
        <f>CT21*1.09</f>
        <v>390934134.86400008</v>
      </c>
      <c r="CV21" s="57" t="s">
        <v>38</v>
      </c>
    </row>
    <row r="22" spans="1:100" ht="15" customHeight="1" outlineLevel="2">
      <c r="A22" s="276" t="s">
        <v>39</v>
      </c>
      <c r="B22" s="277" t="str">
        <f t="shared" si="3"/>
        <v>PACK JAKARTAPACKAGEBERLINA TBK</v>
      </c>
      <c r="C22" s="276" t="s">
        <v>36</v>
      </c>
      <c r="D22" s="276" t="s">
        <v>40</v>
      </c>
      <c r="E22" s="287" t="s">
        <v>56</v>
      </c>
      <c r="F22" s="287"/>
      <c r="G22" s="64">
        <v>0</v>
      </c>
      <c r="H22" s="65">
        <v>0</v>
      </c>
      <c r="I22" s="65">
        <v>0</v>
      </c>
      <c r="J22" s="65">
        <v>0</v>
      </c>
      <c r="K22" s="65">
        <v>13678142</v>
      </c>
      <c r="L22" s="65">
        <v>39337200</v>
      </c>
      <c r="M22" s="65">
        <v>26632800</v>
      </c>
      <c r="N22" s="65">
        <v>17092400</v>
      </c>
      <c r="O22" s="65">
        <v>0</v>
      </c>
      <c r="P22" s="65">
        <v>0</v>
      </c>
      <c r="Q22" s="65">
        <v>0</v>
      </c>
      <c r="R22" s="65">
        <v>0</v>
      </c>
      <c r="S22" s="65">
        <v>0</v>
      </c>
      <c r="T22" s="65">
        <v>0</v>
      </c>
      <c r="U22" s="65">
        <v>0</v>
      </c>
      <c r="V22" s="65">
        <v>0</v>
      </c>
      <c r="W22" s="66">
        <f t="shared" si="4"/>
        <v>96740542</v>
      </c>
      <c r="X22" s="55"/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7">
        <v>0</v>
      </c>
      <c r="AH22" s="67">
        <v>0</v>
      </c>
      <c r="AI22" s="67">
        <v>0</v>
      </c>
      <c r="AJ22" s="67">
        <v>0</v>
      </c>
      <c r="AK22" s="61">
        <v>0</v>
      </c>
      <c r="AL22" s="55"/>
      <c r="AM22" s="67">
        <v>0</v>
      </c>
      <c r="AN22" s="67">
        <v>0</v>
      </c>
      <c r="AO22" s="67">
        <v>0</v>
      </c>
      <c r="AP22" s="67">
        <v>0</v>
      </c>
      <c r="AQ22" s="67">
        <v>0</v>
      </c>
      <c r="AR22" s="67">
        <v>0</v>
      </c>
      <c r="AS22" s="67">
        <v>0</v>
      </c>
      <c r="AT22" s="67">
        <v>0</v>
      </c>
      <c r="AU22" s="67">
        <v>0</v>
      </c>
      <c r="AV22" s="67">
        <v>0</v>
      </c>
      <c r="AW22" s="67">
        <v>0</v>
      </c>
      <c r="AX22" s="67">
        <v>0</v>
      </c>
      <c r="AY22" s="122">
        <v>0</v>
      </c>
      <c r="AZ22" s="55"/>
      <c r="BA22" s="639">
        <v>0</v>
      </c>
      <c r="BB22" s="639">
        <v>0</v>
      </c>
      <c r="BC22" s="86"/>
      <c r="BD22" s="639">
        <v>0</v>
      </c>
      <c r="BE22" s="86"/>
      <c r="BF22" s="639">
        <v>0</v>
      </c>
      <c r="BG22" s="86">
        <v>0</v>
      </c>
      <c r="BH22" s="639"/>
      <c r="BI22" s="86">
        <v>0</v>
      </c>
      <c r="BJ22" s="639">
        <v>0</v>
      </c>
      <c r="BK22" s="86">
        <v>0</v>
      </c>
      <c r="BL22" s="639">
        <v>0</v>
      </c>
      <c r="BM22" s="86"/>
      <c r="BN22" s="695">
        <v>0</v>
      </c>
      <c r="BO22" s="696"/>
      <c r="BP22" s="695"/>
      <c r="BQ22" s="696"/>
      <c r="BR22" s="729"/>
      <c r="BS22" s="695"/>
      <c r="BT22" s="696"/>
      <c r="BU22" s="729"/>
      <c r="BV22" s="695"/>
      <c r="BW22" s="696"/>
      <c r="BX22" s="729"/>
      <c r="BY22" s="695"/>
      <c r="BZ22" s="696"/>
      <c r="CA22" s="729"/>
      <c r="CB22" s="720">
        <f t="shared" si="5"/>
        <v>0</v>
      </c>
      <c r="CC22" s="721">
        <f t="shared" si="6"/>
        <v>0</v>
      </c>
      <c r="CD22" s="738"/>
      <c r="CE22" s="323"/>
      <c r="CF22" s="323"/>
      <c r="CG22" s="323"/>
      <c r="CH22" s="323"/>
      <c r="CI22" s="323"/>
      <c r="CJ22" s="323"/>
      <c r="CK22" s="323"/>
      <c r="CL22" s="323"/>
      <c r="CM22" s="323"/>
      <c r="CN22" s="323"/>
      <c r="CO22" s="323"/>
      <c r="CP22" s="323"/>
      <c r="CQ22" s="355">
        <f t="shared" si="7"/>
        <v>0</v>
      </c>
      <c r="CR22" s="356">
        <f t="shared" ref="CR22:CU23" si="9">CQ22*1.07</f>
        <v>0</v>
      </c>
      <c r="CS22" s="357">
        <f t="shared" si="9"/>
        <v>0</v>
      </c>
      <c r="CT22" s="332">
        <f t="shared" si="9"/>
        <v>0</v>
      </c>
      <c r="CU22" s="358">
        <f t="shared" si="9"/>
        <v>0</v>
      </c>
      <c r="CV22" s="57" t="s">
        <v>38</v>
      </c>
    </row>
    <row r="23" spans="1:100" ht="15" customHeight="1" outlineLevel="2">
      <c r="A23" s="276" t="s">
        <v>43</v>
      </c>
      <c r="B23" s="277" t="str">
        <f t="shared" si="3"/>
        <v>PACK JAKARTAPACKAGEBINA MANDIRI TRANSINDO</v>
      </c>
      <c r="C23" s="276" t="s">
        <v>36</v>
      </c>
      <c r="D23" s="276" t="s">
        <v>40</v>
      </c>
      <c r="E23" s="287" t="s">
        <v>57</v>
      </c>
      <c r="F23" s="287"/>
      <c r="G23" s="64">
        <v>513507789</v>
      </c>
      <c r="H23" s="65">
        <v>78763682</v>
      </c>
      <c r="I23" s="65">
        <v>78500000</v>
      </c>
      <c r="J23" s="65">
        <v>78500000</v>
      </c>
      <c r="K23" s="65">
        <v>78500000</v>
      </c>
      <c r="L23" s="65">
        <v>0</v>
      </c>
      <c r="M23" s="65">
        <v>0</v>
      </c>
      <c r="N23" s="65">
        <v>0</v>
      </c>
      <c r="O23" s="65">
        <v>234000000</v>
      </c>
      <c r="P23" s="65">
        <v>0</v>
      </c>
      <c r="Q23" s="65">
        <v>0</v>
      </c>
      <c r="R23" s="65">
        <v>0</v>
      </c>
      <c r="S23" s="65">
        <v>0</v>
      </c>
      <c r="T23" s="65">
        <v>0</v>
      </c>
      <c r="U23" s="65">
        <v>0</v>
      </c>
      <c r="V23" s="65">
        <v>0</v>
      </c>
      <c r="W23" s="66">
        <f t="shared" si="4"/>
        <v>548263682</v>
      </c>
      <c r="X23" s="55"/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>
        <v>0</v>
      </c>
      <c r="AF23" s="67">
        <v>0</v>
      </c>
      <c r="AG23" s="67">
        <v>0</v>
      </c>
      <c r="AH23" s="67">
        <v>0</v>
      </c>
      <c r="AI23" s="67">
        <v>0</v>
      </c>
      <c r="AJ23" s="67">
        <v>0</v>
      </c>
      <c r="AK23" s="61">
        <v>0</v>
      </c>
      <c r="AL23" s="55"/>
      <c r="AM23" s="67">
        <v>0</v>
      </c>
      <c r="AN23" s="67">
        <v>0</v>
      </c>
      <c r="AO23" s="67">
        <v>0</v>
      </c>
      <c r="AP23" s="67">
        <v>0</v>
      </c>
      <c r="AQ23" s="67">
        <v>0</v>
      </c>
      <c r="AR23" s="67">
        <v>0</v>
      </c>
      <c r="AS23" s="67">
        <v>0</v>
      </c>
      <c r="AT23" s="67">
        <v>0</v>
      </c>
      <c r="AU23" s="67">
        <v>0</v>
      </c>
      <c r="AV23" s="67">
        <v>0</v>
      </c>
      <c r="AW23" s="67">
        <v>0</v>
      </c>
      <c r="AX23" s="67">
        <v>0</v>
      </c>
      <c r="AY23" s="122">
        <v>0</v>
      </c>
      <c r="AZ23" s="55"/>
      <c r="BA23" s="639">
        <v>0</v>
      </c>
      <c r="BB23" s="639">
        <v>0</v>
      </c>
      <c r="BC23" s="86"/>
      <c r="BD23" s="639">
        <v>0</v>
      </c>
      <c r="BE23" s="86"/>
      <c r="BF23" s="639">
        <v>0</v>
      </c>
      <c r="BG23" s="86">
        <v>0</v>
      </c>
      <c r="BH23" s="639"/>
      <c r="BI23" s="86">
        <v>0</v>
      </c>
      <c r="BJ23" s="639">
        <v>0</v>
      </c>
      <c r="BK23" s="86">
        <v>0</v>
      </c>
      <c r="BL23" s="639">
        <v>0</v>
      </c>
      <c r="BM23" s="86"/>
      <c r="BN23" s="695">
        <v>0</v>
      </c>
      <c r="BO23" s="696"/>
      <c r="BP23" s="695"/>
      <c r="BQ23" s="696"/>
      <c r="BR23" s="729"/>
      <c r="BS23" s="695"/>
      <c r="BT23" s="696"/>
      <c r="BU23" s="729"/>
      <c r="BV23" s="695"/>
      <c r="BW23" s="696"/>
      <c r="BX23" s="729"/>
      <c r="BY23" s="695"/>
      <c r="BZ23" s="696"/>
      <c r="CA23" s="729"/>
      <c r="CB23" s="720">
        <f t="shared" si="5"/>
        <v>0</v>
      </c>
      <c r="CC23" s="721">
        <f t="shared" si="6"/>
        <v>0</v>
      </c>
      <c r="CD23" s="738"/>
      <c r="CE23" s="323"/>
      <c r="CF23" s="323"/>
      <c r="CG23" s="323"/>
      <c r="CH23" s="323"/>
      <c r="CI23" s="323"/>
      <c r="CJ23" s="323"/>
      <c r="CK23" s="323"/>
      <c r="CL23" s="323"/>
      <c r="CM23" s="323"/>
      <c r="CN23" s="323"/>
      <c r="CO23" s="323"/>
      <c r="CP23" s="323"/>
      <c r="CQ23" s="355">
        <f t="shared" si="7"/>
        <v>0</v>
      </c>
      <c r="CR23" s="356">
        <f t="shared" si="9"/>
        <v>0</v>
      </c>
      <c r="CS23" s="357">
        <f t="shared" si="9"/>
        <v>0</v>
      </c>
      <c r="CT23" s="332">
        <f t="shared" si="9"/>
        <v>0</v>
      </c>
      <c r="CU23" s="358">
        <f t="shared" si="9"/>
        <v>0</v>
      </c>
      <c r="CV23" s="57" t="s">
        <v>38</v>
      </c>
    </row>
    <row r="24" spans="1:100" ht="15" customHeight="1" outlineLevel="2">
      <c r="A24" s="276" t="s">
        <v>43</v>
      </c>
      <c r="B24" s="277" t="str">
        <f t="shared" si="3"/>
        <v>PACK JAKARTAPACKAGECATALITE INDONESIA</v>
      </c>
      <c r="C24" s="276" t="s">
        <v>36</v>
      </c>
      <c r="D24" s="276" t="s">
        <v>40</v>
      </c>
      <c r="E24" s="287" t="s">
        <v>58</v>
      </c>
      <c r="F24" s="287">
        <v>3000012147</v>
      </c>
      <c r="G24" s="64">
        <v>24333600</v>
      </c>
      <c r="H24" s="65">
        <v>2071800</v>
      </c>
      <c r="I24" s="65">
        <v>1651800</v>
      </c>
      <c r="J24" s="65">
        <v>924250</v>
      </c>
      <c r="K24" s="65">
        <v>2792650</v>
      </c>
      <c r="L24" s="65">
        <v>1383800</v>
      </c>
      <c r="M24" s="65">
        <v>1741300</v>
      </c>
      <c r="N24" s="65">
        <v>1218850</v>
      </c>
      <c r="O24" s="65">
        <v>2439500</v>
      </c>
      <c r="P24" s="65">
        <v>2650000</v>
      </c>
      <c r="Q24" s="65">
        <v>4535050</v>
      </c>
      <c r="R24" s="65">
        <v>1818350</v>
      </c>
      <c r="S24" s="65">
        <v>1482800</v>
      </c>
      <c r="T24" s="65">
        <v>2650000</v>
      </c>
      <c r="U24" s="65">
        <v>2650000</v>
      </c>
      <c r="V24" s="65">
        <v>2650000</v>
      </c>
      <c r="W24" s="66">
        <f t="shared" si="4"/>
        <v>24710150</v>
      </c>
      <c r="X24" s="55"/>
      <c r="Y24" s="67">
        <v>2500000</v>
      </c>
      <c r="Z24" s="67">
        <v>2500000</v>
      </c>
      <c r="AA24" s="67">
        <v>2500000</v>
      </c>
      <c r="AB24" s="67">
        <v>2500000</v>
      </c>
      <c r="AC24" s="67">
        <v>2500000</v>
      </c>
      <c r="AD24" s="67">
        <v>2500000</v>
      </c>
      <c r="AE24" s="67">
        <v>2500000</v>
      </c>
      <c r="AF24" s="67">
        <v>2500000</v>
      </c>
      <c r="AG24" s="67">
        <v>2500000</v>
      </c>
      <c r="AH24" s="67">
        <v>2500000</v>
      </c>
      <c r="AI24" s="67">
        <v>2500000</v>
      </c>
      <c r="AJ24" s="67">
        <v>2500000</v>
      </c>
      <c r="AK24" s="61">
        <v>30000000</v>
      </c>
      <c r="AL24" s="55"/>
      <c r="AM24" s="67">
        <v>2500000</v>
      </c>
      <c r="AN24" s="67">
        <v>2500000</v>
      </c>
      <c r="AO24" s="67">
        <v>2500000</v>
      </c>
      <c r="AP24" s="67">
        <v>2500000</v>
      </c>
      <c r="AQ24" s="67">
        <v>2500000</v>
      </c>
      <c r="AR24" s="67">
        <v>2500000</v>
      </c>
      <c r="AS24" s="67">
        <v>2500000</v>
      </c>
      <c r="AT24" s="67">
        <v>2500000</v>
      </c>
      <c r="AU24" s="67">
        <v>2500000</v>
      </c>
      <c r="AV24" s="67">
        <v>2500000</v>
      </c>
      <c r="AW24" s="67">
        <v>2500000</v>
      </c>
      <c r="AX24" s="67">
        <v>2500000</v>
      </c>
      <c r="AY24" s="122">
        <v>30000000</v>
      </c>
      <c r="AZ24" s="55"/>
      <c r="BA24" s="639">
        <v>1631300</v>
      </c>
      <c r="BB24" s="639">
        <v>1925350</v>
      </c>
      <c r="BC24" s="86">
        <v>1700000</v>
      </c>
      <c r="BD24" s="639">
        <v>2796250</v>
      </c>
      <c r="BE24" s="86">
        <v>1700000</v>
      </c>
      <c r="BF24" s="639">
        <v>1974750</v>
      </c>
      <c r="BG24" s="86">
        <v>1925350</v>
      </c>
      <c r="BH24" s="639">
        <v>3652200</v>
      </c>
      <c r="BI24" s="86">
        <v>1925350</v>
      </c>
      <c r="BJ24" s="639">
        <v>2716800</v>
      </c>
      <c r="BK24" s="86">
        <v>1925350</v>
      </c>
      <c r="BL24" s="639">
        <v>2358600</v>
      </c>
      <c r="BM24" s="86">
        <v>1925350</v>
      </c>
      <c r="BN24" s="695">
        <v>2051850</v>
      </c>
      <c r="BO24" s="696">
        <v>1925350</v>
      </c>
      <c r="BP24" s="695"/>
      <c r="BQ24" s="696">
        <v>1925350</v>
      </c>
      <c r="BR24" s="729">
        <v>1925350</v>
      </c>
      <c r="BS24" s="695"/>
      <c r="BT24" s="696">
        <v>1925350</v>
      </c>
      <c r="BU24" s="729">
        <v>1925350</v>
      </c>
      <c r="BV24" s="695"/>
      <c r="BW24" s="696">
        <v>1925350</v>
      </c>
      <c r="BX24" s="729">
        <v>1925350</v>
      </c>
      <c r="BY24" s="695"/>
      <c r="BZ24" s="696">
        <v>1925350</v>
      </c>
      <c r="CA24" s="729">
        <v>1925350</v>
      </c>
      <c r="CB24" s="720">
        <f t="shared" si="5"/>
        <v>26808500</v>
      </c>
      <c r="CC24" s="721">
        <f t="shared" si="6"/>
        <v>26808500</v>
      </c>
      <c r="CD24" s="738"/>
      <c r="CE24" s="323">
        <v>2100000</v>
      </c>
      <c r="CF24" s="323">
        <v>2100000</v>
      </c>
      <c r="CG24" s="323">
        <v>2100000</v>
      </c>
      <c r="CH24" s="323">
        <v>2100000</v>
      </c>
      <c r="CI24" s="323">
        <v>2100000</v>
      </c>
      <c r="CJ24" s="323">
        <v>2100000</v>
      </c>
      <c r="CK24" s="323">
        <v>2100000</v>
      </c>
      <c r="CL24" s="323">
        <v>2100000</v>
      </c>
      <c r="CM24" s="323">
        <v>2100000</v>
      </c>
      <c r="CN24" s="323">
        <v>2100000</v>
      </c>
      <c r="CO24" s="323">
        <v>2100000</v>
      </c>
      <c r="CP24" s="323">
        <v>2100000</v>
      </c>
      <c r="CQ24" s="355">
        <f t="shared" si="7"/>
        <v>25200000</v>
      </c>
      <c r="CR24" s="356">
        <f>CQ24*1.17</f>
        <v>29484000</v>
      </c>
      <c r="CS24" s="357">
        <f>CR24*1.08</f>
        <v>31842720.000000004</v>
      </c>
      <c r="CT24" s="332">
        <f>CS24*1.09</f>
        <v>34708564.800000004</v>
      </c>
      <c r="CU24" s="358">
        <f>CT24*1.09</f>
        <v>37832335.632000007</v>
      </c>
      <c r="CV24" s="57" t="s">
        <v>38</v>
      </c>
    </row>
    <row r="25" spans="1:100" ht="15" customHeight="1" outlineLevel="2">
      <c r="A25" s="276" t="s">
        <v>59</v>
      </c>
      <c r="B25" s="277" t="str">
        <f>$E$7&amp;$E$6&amp;E25</f>
        <v>PACK JAKARTAPACKAGECATUR ANDALAN PERSADA</v>
      </c>
      <c r="C25" s="276" t="s">
        <v>36</v>
      </c>
      <c r="D25" s="276" t="s">
        <v>40</v>
      </c>
      <c r="E25" s="287" t="s">
        <v>60</v>
      </c>
      <c r="F25" s="287">
        <v>3000020299</v>
      </c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>
        <v>25600000</v>
      </c>
      <c r="R25" s="65">
        <v>35300000</v>
      </c>
      <c r="S25" s="65">
        <v>25600000</v>
      </c>
      <c r="T25" s="65">
        <v>24000000</v>
      </c>
      <c r="U25" s="65">
        <v>24000000</v>
      </c>
      <c r="V25" s="65">
        <v>24000000</v>
      </c>
      <c r="W25" s="66">
        <f>SUM(H25:S25)</f>
        <v>86500000</v>
      </c>
      <c r="X25" s="55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1">
        <v>0</v>
      </c>
      <c r="AL25" s="55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122">
        <v>0</v>
      </c>
      <c r="AZ25" s="55"/>
      <c r="BA25" s="639">
        <v>0</v>
      </c>
      <c r="BB25" s="639">
        <v>6210000</v>
      </c>
      <c r="BC25" s="86"/>
      <c r="BD25" s="639">
        <v>0</v>
      </c>
      <c r="BE25" s="86"/>
      <c r="BF25" s="639">
        <v>0</v>
      </c>
      <c r="BG25" s="86"/>
      <c r="BH25" s="639"/>
      <c r="BI25" s="86"/>
      <c r="BJ25" s="639">
        <v>0</v>
      </c>
      <c r="BK25" s="86"/>
      <c r="BL25" s="639">
        <v>0</v>
      </c>
      <c r="BM25" s="86"/>
      <c r="BN25" s="695">
        <v>0</v>
      </c>
      <c r="BO25" s="696"/>
      <c r="BP25" s="695"/>
      <c r="BQ25" s="696"/>
      <c r="BR25" s="729"/>
      <c r="BS25" s="695"/>
      <c r="BT25" s="696"/>
      <c r="BU25" s="729"/>
      <c r="BV25" s="695"/>
      <c r="BW25" s="696"/>
      <c r="BX25" s="729"/>
      <c r="BY25" s="695"/>
      <c r="BZ25" s="696"/>
      <c r="CA25" s="729"/>
      <c r="CB25" s="720">
        <f t="shared" si="5"/>
        <v>6210000</v>
      </c>
      <c r="CC25" s="721">
        <f t="shared" si="6"/>
        <v>6210000</v>
      </c>
      <c r="CD25" s="738"/>
      <c r="CE25" s="323"/>
      <c r="CF25" s="323"/>
      <c r="CG25" s="323"/>
      <c r="CH25" s="323"/>
      <c r="CI25" s="323"/>
      <c r="CJ25" s="323"/>
      <c r="CK25" s="323"/>
      <c r="CL25" s="323"/>
      <c r="CM25" s="323"/>
      <c r="CN25" s="323"/>
      <c r="CO25" s="323"/>
      <c r="CP25" s="323"/>
      <c r="CQ25" s="355">
        <f t="shared" si="7"/>
        <v>0</v>
      </c>
      <c r="CR25" s="356"/>
      <c r="CS25" s="357"/>
      <c r="CT25" s="332"/>
      <c r="CU25" s="358"/>
      <c r="CV25" s="57" t="s">
        <v>38</v>
      </c>
    </row>
    <row r="26" spans="1:100" ht="15" customHeight="1" outlineLevel="2">
      <c r="A26" s="286" t="s">
        <v>35</v>
      </c>
      <c r="B26" s="277" t="str">
        <f t="shared" si="3"/>
        <v>PACK JAKARTAPACKAGECHARMER INDO LOGISTIK</v>
      </c>
      <c r="C26" s="276" t="s">
        <v>36</v>
      </c>
      <c r="E26" s="287" t="s">
        <v>61</v>
      </c>
      <c r="F26" s="287"/>
      <c r="G26" s="68">
        <v>14658350</v>
      </c>
      <c r="H26" s="65"/>
      <c r="I26" s="65"/>
      <c r="J26" s="65"/>
      <c r="K26" s="65"/>
      <c r="L26" s="65"/>
      <c r="M26" s="65"/>
      <c r="N26" s="65"/>
      <c r="O26" s="65"/>
      <c r="P26" s="65">
        <v>0</v>
      </c>
      <c r="Q26" s="65">
        <v>0</v>
      </c>
      <c r="R26" s="65">
        <v>0</v>
      </c>
      <c r="S26" s="65">
        <v>0</v>
      </c>
      <c r="T26" s="65">
        <v>0</v>
      </c>
      <c r="U26" s="65">
        <v>0</v>
      </c>
      <c r="V26" s="65">
        <v>0</v>
      </c>
      <c r="W26" s="66">
        <f t="shared" si="4"/>
        <v>0</v>
      </c>
      <c r="X26" s="55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1">
        <v>0</v>
      </c>
      <c r="AL26" s="55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122">
        <v>0</v>
      </c>
      <c r="AZ26" s="55"/>
      <c r="BA26" s="639">
        <v>0</v>
      </c>
      <c r="BB26" s="639">
        <v>0</v>
      </c>
      <c r="BC26" s="86"/>
      <c r="BD26" s="639">
        <v>0</v>
      </c>
      <c r="BE26" s="86"/>
      <c r="BF26" s="639">
        <v>0</v>
      </c>
      <c r="BG26" s="86">
        <v>0</v>
      </c>
      <c r="BH26" s="639"/>
      <c r="BI26" s="86">
        <v>0</v>
      </c>
      <c r="BJ26" s="639">
        <v>0</v>
      </c>
      <c r="BK26" s="86">
        <v>0</v>
      </c>
      <c r="BL26" s="639">
        <v>0</v>
      </c>
      <c r="BM26" s="86"/>
      <c r="BN26" s="695">
        <v>0</v>
      </c>
      <c r="BO26" s="696"/>
      <c r="BP26" s="695"/>
      <c r="BQ26" s="696"/>
      <c r="BR26" s="729"/>
      <c r="BS26" s="695"/>
      <c r="BT26" s="696"/>
      <c r="BU26" s="729"/>
      <c r="BV26" s="695"/>
      <c r="BW26" s="696"/>
      <c r="BX26" s="729"/>
      <c r="BY26" s="695"/>
      <c r="BZ26" s="696"/>
      <c r="CA26" s="729"/>
      <c r="CB26" s="720">
        <f t="shared" si="5"/>
        <v>0</v>
      </c>
      <c r="CC26" s="721">
        <f t="shared" si="6"/>
        <v>0</v>
      </c>
      <c r="CD26" s="738"/>
      <c r="CE26" s="323"/>
      <c r="CF26" s="323"/>
      <c r="CG26" s="323"/>
      <c r="CH26" s="323"/>
      <c r="CI26" s="323"/>
      <c r="CJ26" s="323"/>
      <c r="CK26" s="323"/>
      <c r="CL26" s="323"/>
      <c r="CM26" s="323"/>
      <c r="CN26" s="323"/>
      <c r="CO26" s="323"/>
      <c r="CP26" s="323"/>
      <c r="CQ26" s="355">
        <f t="shared" si="7"/>
        <v>0</v>
      </c>
      <c r="CR26" s="356"/>
      <c r="CS26" s="357"/>
      <c r="CT26" s="332"/>
      <c r="CU26" s="358"/>
      <c r="CV26" s="57" t="s">
        <v>38</v>
      </c>
    </row>
    <row r="27" spans="1:100" ht="15" customHeight="1" outlineLevel="2">
      <c r="A27" s="286" t="s">
        <v>35</v>
      </c>
      <c r="B27" s="277" t="str">
        <f t="shared" si="3"/>
        <v>PACK JAKARTAPACKAGECIPTA LOGISTIK INDONESIA</v>
      </c>
      <c r="C27" s="276" t="s">
        <v>36</v>
      </c>
      <c r="E27" s="287" t="s">
        <v>62</v>
      </c>
      <c r="F27" s="287"/>
      <c r="G27" s="68">
        <v>19654634</v>
      </c>
      <c r="H27" s="65"/>
      <c r="I27" s="65"/>
      <c r="J27" s="65"/>
      <c r="K27" s="65"/>
      <c r="L27" s="65"/>
      <c r="M27" s="65"/>
      <c r="N27" s="65"/>
      <c r="O27" s="65"/>
      <c r="P27" s="65">
        <v>0</v>
      </c>
      <c r="Q27" s="65">
        <v>0</v>
      </c>
      <c r="R27" s="65">
        <v>0</v>
      </c>
      <c r="S27" s="65">
        <v>0</v>
      </c>
      <c r="T27" s="65">
        <v>0</v>
      </c>
      <c r="U27" s="65">
        <v>0</v>
      </c>
      <c r="V27" s="65">
        <v>0</v>
      </c>
      <c r="W27" s="66">
        <f t="shared" si="4"/>
        <v>0</v>
      </c>
      <c r="X27" s="55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1">
        <v>0</v>
      </c>
      <c r="AL27" s="55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122">
        <v>0</v>
      </c>
      <c r="AZ27" s="55"/>
      <c r="BA27" s="639">
        <v>0</v>
      </c>
      <c r="BB27" s="639">
        <v>0</v>
      </c>
      <c r="BC27" s="86"/>
      <c r="BD27" s="639">
        <v>0</v>
      </c>
      <c r="BE27" s="86"/>
      <c r="BF27" s="639">
        <v>0</v>
      </c>
      <c r="BG27" s="86">
        <v>0</v>
      </c>
      <c r="BH27" s="639"/>
      <c r="BI27" s="86">
        <v>0</v>
      </c>
      <c r="BJ27" s="639">
        <v>0</v>
      </c>
      <c r="BK27" s="86">
        <v>0</v>
      </c>
      <c r="BL27" s="639">
        <v>0</v>
      </c>
      <c r="BM27" s="86"/>
      <c r="BN27" s="695">
        <v>0</v>
      </c>
      <c r="BO27" s="696"/>
      <c r="BP27" s="695"/>
      <c r="BQ27" s="696"/>
      <c r="BR27" s="729"/>
      <c r="BS27" s="695"/>
      <c r="BT27" s="696"/>
      <c r="BU27" s="729"/>
      <c r="BV27" s="695"/>
      <c r="BW27" s="696"/>
      <c r="BX27" s="729"/>
      <c r="BY27" s="695"/>
      <c r="BZ27" s="696"/>
      <c r="CA27" s="729"/>
      <c r="CB27" s="720">
        <f t="shared" si="5"/>
        <v>0</v>
      </c>
      <c r="CC27" s="721">
        <f t="shared" si="6"/>
        <v>0</v>
      </c>
      <c r="CD27" s="738"/>
      <c r="CE27" s="323"/>
      <c r="CF27" s="323"/>
      <c r="CG27" s="323"/>
      <c r="CH27" s="323"/>
      <c r="CI27" s="323"/>
      <c r="CJ27" s="323"/>
      <c r="CK27" s="323"/>
      <c r="CL27" s="323"/>
      <c r="CM27" s="323"/>
      <c r="CN27" s="323"/>
      <c r="CO27" s="323"/>
      <c r="CP27" s="323"/>
      <c r="CQ27" s="355">
        <f t="shared" si="7"/>
        <v>0</v>
      </c>
      <c r="CR27" s="356"/>
      <c r="CS27" s="357"/>
      <c r="CT27" s="332"/>
      <c r="CU27" s="358"/>
      <c r="CV27" s="57" t="s">
        <v>38</v>
      </c>
    </row>
    <row r="28" spans="1:100" ht="15" customHeight="1" outlineLevel="2">
      <c r="A28" s="276" t="s">
        <v>39</v>
      </c>
      <c r="B28" s="277" t="str">
        <f t="shared" si="3"/>
        <v>PACK JAKARTAPACKAGECOBRA DENTAL INDONESIA</v>
      </c>
      <c r="C28" s="276" t="s">
        <v>36</v>
      </c>
      <c r="D28" s="276" t="s">
        <v>40</v>
      </c>
      <c r="E28" s="287" t="s">
        <v>63</v>
      </c>
      <c r="F28" s="287">
        <v>3000013310</v>
      </c>
      <c r="G28" s="64">
        <v>1537406675</v>
      </c>
      <c r="H28" s="65">
        <v>134067642</v>
      </c>
      <c r="I28" s="65">
        <v>143624628</v>
      </c>
      <c r="J28" s="65">
        <v>143754240</v>
      </c>
      <c r="K28" s="65">
        <v>132224188</v>
      </c>
      <c r="L28" s="65">
        <v>87139500</v>
      </c>
      <c r="M28" s="65">
        <v>87356384</v>
      </c>
      <c r="N28" s="65">
        <v>87141000</v>
      </c>
      <c r="O28" s="65">
        <v>87138000</v>
      </c>
      <c r="P28" s="65">
        <v>87138000</v>
      </c>
      <c r="Q28" s="65">
        <v>87138000</v>
      </c>
      <c r="R28" s="65">
        <v>87138000</v>
      </c>
      <c r="S28" s="65">
        <v>87138000</v>
      </c>
      <c r="T28" s="65">
        <v>87138000</v>
      </c>
      <c r="U28" s="65">
        <v>87138000</v>
      </c>
      <c r="V28" s="65">
        <v>87138000</v>
      </c>
      <c r="W28" s="66">
        <f t="shared" si="4"/>
        <v>1250997582</v>
      </c>
      <c r="X28" s="55"/>
      <c r="Y28" s="67">
        <v>132000000</v>
      </c>
      <c r="Z28" s="67">
        <v>132000000</v>
      </c>
      <c r="AA28" s="67">
        <v>132000000</v>
      </c>
      <c r="AB28" s="67">
        <v>132000000</v>
      </c>
      <c r="AC28" s="67">
        <v>132000000</v>
      </c>
      <c r="AD28" s="67">
        <v>132000000</v>
      </c>
      <c r="AE28" s="67">
        <v>132000000</v>
      </c>
      <c r="AF28" s="67">
        <v>132000000</v>
      </c>
      <c r="AG28" s="67">
        <v>132000000</v>
      </c>
      <c r="AH28" s="67">
        <v>132000000</v>
      </c>
      <c r="AI28" s="67">
        <v>132000000</v>
      </c>
      <c r="AJ28" s="67">
        <v>132000000</v>
      </c>
      <c r="AK28" s="61">
        <v>1584000000</v>
      </c>
      <c r="AL28" s="55"/>
      <c r="AM28" s="67">
        <v>132000000</v>
      </c>
      <c r="AN28" s="67">
        <v>132000000</v>
      </c>
      <c r="AO28" s="67">
        <v>132000000</v>
      </c>
      <c r="AP28" s="67">
        <v>132000000</v>
      </c>
      <c r="AQ28" s="67">
        <v>132000000</v>
      </c>
      <c r="AR28" s="67">
        <v>132000000</v>
      </c>
      <c r="AS28" s="67">
        <v>132000000</v>
      </c>
      <c r="AT28" s="67">
        <v>132000000</v>
      </c>
      <c r="AU28" s="67">
        <v>132000000</v>
      </c>
      <c r="AV28" s="67">
        <v>132000000</v>
      </c>
      <c r="AW28" s="67">
        <v>132000000</v>
      </c>
      <c r="AX28" s="67">
        <v>132000000</v>
      </c>
      <c r="AY28" s="122">
        <v>1584000000</v>
      </c>
      <c r="AZ28" s="55"/>
      <c r="BA28" s="639">
        <v>88445854</v>
      </c>
      <c r="BB28" s="639">
        <v>88675423</v>
      </c>
      <c r="BC28" s="86">
        <v>88445854</v>
      </c>
      <c r="BD28" s="639">
        <v>88591943</v>
      </c>
      <c r="BE28" s="86">
        <v>88445854</v>
      </c>
      <c r="BF28" s="639">
        <v>88531452</v>
      </c>
      <c r="BG28" s="86">
        <v>88675423</v>
      </c>
      <c r="BH28" s="639">
        <v>98229852</v>
      </c>
      <c r="BI28" s="86">
        <v>88675423</v>
      </c>
      <c r="BJ28" s="639">
        <v>88531452</v>
      </c>
      <c r="BK28" s="86">
        <v>88675423</v>
      </c>
      <c r="BL28" s="639">
        <v>88638247</v>
      </c>
      <c r="BM28" s="86"/>
      <c r="BN28" s="695">
        <v>88983900</v>
      </c>
      <c r="BO28" s="696"/>
      <c r="BP28" s="695"/>
      <c r="BQ28" s="696"/>
      <c r="BR28" s="729"/>
      <c r="BS28" s="695"/>
      <c r="BT28" s="696"/>
      <c r="BU28" s="729"/>
      <c r="BV28" s="695"/>
      <c r="BW28" s="696"/>
      <c r="BX28" s="729"/>
      <c r="BY28" s="695"/>
      <c r="BZ28" s="696"/>
      <c r="CA28" s="729"/>
      <c r="CB28" s="720">
        <f t="shared" si="5"/>
        <v>718628123</v>
      </c>
      <c r="CC28" s="721">
        <f t="shared" si="6"/>
        <v>718628123</v>
      </c>
      <c r="CD28" s="738"/>
      <c r="CE28" s="323"/>
      <c r="CF28" s="323"/>
      <c r="CG28" s="323"/>
      <c r="CH28" s="323"/>
      <c r="CI28" s="323"/>
      <c r="CJ28" s="323"/>
      <c r="CK28" s="323"/>
      <c r="CL28" s="323"/>
      <c r="CM28" s="323"/>
      <c r="CN28" s="323"/>
      <c r="CO28" s="323"/>
      <c r="CP28" s="323"/>
      <c r="CQ28" s="355">
        <f t="shared" si="7"/>
        <v>0</v>
      </c>
      <c r="CR28" s="356">
        <f>CQ28*1.17</f>
        <v>0</v>
      </c>
      <c r="CS28" s="357">
        <f>CR28*1.08</f>
        <v>0</v>
      </c>
      <c r="CT28" s="332">
        <f>CS28*1.09</f>
        <v>0</v>
      </c>
      <c r="CU28" s="358">
        <f>CT28*1.09</f>
        <v>0</v>
      </c>
      <c r="CV28" s="57" t="s">
        <v>38</v>
      </c>
    </row>
    <row r="29" spans="1:100" ht="15" customHeight="1" outlineLevel="2">
      <c r="A29" s="276" t="s">
        <v>43</v>
      </c>
      <c r="B29" s="277" t="str">
        <f t="shared" si="3"/>
        <v>PACK JAKARTAPACKAGECOCA-COLA DISTRIBUTION INDONESIA</v>
      </c>
      <c r="C29" s="276" t="s">
        <v>36</v>
      </c>
      <c r="D29" s="276" t="s">
        <v>40</v>
      </c>
      <c r="E29" s="287" t="s">
        <v>64</v>
      </c>
      <c r="F29" s="287">
        <v>3000007907</v>
      </c>
      <c r="G29" s="64">
        <v>0</v>
      </c>
      <c r="H29" s="65">
        <v>0</v>
      </c>
      <c r="I29" s="65">
        <v>0</v>
      </c>
      <c r="J29" s="65">
        <v>16425000</v>
      </c>
      <c r="K29" s="65">
        <v>9714000</v>
      </c>
      <c r="L29" s="65">
        <v>2578000</v>
      </c>
      <c r="M29" s="65">
        <v>0</v>
      </c>
      <c r="N29" s="65">
        <v>57042000</v>
      </c>
      <c r="O29" s="65">
        <v>21279500</v>
      </c>
      <c r="P29" s="65">
        <v>28948000</v>
      </c>
      <c r="Q29" s="65">
        <v>28504064</v>
      </c>
      <c r="R29" s="65">
        <v>24453005</v>
      </c>
      <c r="S29" s="65">
        <v>30175700</v>
      </c>
      <c r="T29" s="65">
        <v>28948000</v>
      </c>
      <c r="U29" s="65">
        <v>28948000</v>
      </c>
      <c r="V29" s="65">
        <v>28948000</v>
      </c>
      <c r="W29" s="66">
        <f t="shared" si="4"/>
        <v>219119269</v>
      </c>
      <c r="X29" s="55"/>
      <c r="Y29" s="67">
        <v>0</v>
      </c>
      <c r="Z29" s="67">
        <v>0</v>
      </c>
      <c r="AA29" s="67">
        <v>0</v>
      </c>
      <c r="AB29" s="67">
        <v>0</v>
      </c>
      <c r="AC29" s="67">
        <v>0</v>
      </c>
      <c r="AD29" s="67">
        <v>0</v>
      </c>
      <c r="AE29" s="67">
        <v>0</v>
      </c>
      <c r="AF29" s="67">
        <v>0</v>
      </c>
      <c r="AG29" s="67">
        <v>0</v>
      </c>
      <c r="AH29" s="67">
        <v>0</v>
      </c>
      <c r="AI29" s="67">
        <v>0</v>
      </c>
      <c r="AJ29" s="67">
        <v>0</v>
      </c>
      <c r="AK29" s="61">
        <v>0</v>
      </c>
      <c r="AL29" s="55"/>
      <c r="AM29" s="67">
        <v>0</v>
      </c>
      <c r="AN29" s="67">
        <v>0</v>
      </c>
      <c r="AO29" s="67">
        <v>0</v>
      </c>
      <c r="AP29" s="67">
        <v>0</v>
      </c>
      <c r="AQ29" s="67">
        <v>0</v>
      </c>
      <c r="AR29" s="67">
        <v>0</v>
      </c>
      <c r="AS29" s="67">
        <v>0</v>
      </c>
      <c r="AT29" s="67">
        <v>0</v>
      </c>
      <c r="AU29" s="67">
        <v>0</v>
      </c>
      <c r="AV29" s="67">
        <v>0</v>
      </c>
      <c r="AW29" s="67">
        <v>0</v>
      </c>
      <c r="AX29" s="67">
        <v>0</v>
      </c>
      <c r="AY29" s="122">
        <v>0</v>
      </c>
      <c r="AZ29" s="55"/>
      <c r="BA29" s="639">
        <v>25253614</v>
      </c>
      <c r="BB29" s="639">
        <v>20783354</v>
      </c>
      <c r="BC29" s="86">
        <v>25253614</v>
      </c>
      <c r="BD29" s="639">
        <v>19267251</v>
      </c>
      <c r="BE29" s="86">
        <v>25253614</v>
      </c>
      <c r="BF29" s="639">
        <v>22767646</v>
      </c>
      <c r="BG29" s="86">
        <v>20783354</v>
      </c>
      <c r="BH29" s="639">
        <v>23806134</v>
      </c>
      <c r="BI29" s="86">
        <v>20783354</v>
      </c>
      <c r="BJ29" s="639">
        <v>22974387</v>
      </c>
      <c r="BK29" s="86">
        <v>20783354</v>
      </c>
      <c r="BL29" s="639">
        <v>20384366</v>
      </c>
      <c r="BM29" s="86">
        <v>20783354</v>
      </c>
      <c r="BN29" s="695">
        <v>17001323</v>
      </c>
      <c r="BO29" s="696">
        <v>20783354</v>
      </c>
      <c r="BP29" s="695"/>
      <c r="BQ29" s="696"/>
      <c r="BR29" s="729"/>
      <c r="BS29" s="695"/>
      <c r="BT29" s="696"/>
      <c r="BU29" s="729"/>
      <c r="BV29" s="695"/>
      <c r="BW29" s="696"/>
      <c r="BX29" s="729"/>
      <c r="BY29" s="695"/>
      <c r="BZ29" s="696"/>
      <c r="CA29" s="729"/>
      <c r="CB29" s="720">
        <f t="shared" si="5"/>
        <v>172238075</v>
      </c>
      <c r="CC29" s="721">
        <f t="shared" si="6"/>
        <v>172238075</v>
      </c>
      <c r="CD29" s="738"/>
      <c r="CE29" s="323"/>
      <c r="CF29" s="323"/>
      <c r="CG29" s="323"/>
      <c r="CH29" s="323"/>
      <c r="CI29" s="323"/>
      <c r="CJ29" s="323"/>
      <c r="CK29" s="323"/>
      <c r="CL29" s="323"/>
      <c r="CM29" s="323"/>
      <c r="CN29" s="323"/>
      <c r="CO29" s="323"/>
      <c r="CP29" s="323"/>
      <c r="CQ29" s="355">
        <f t="shared" si="7"/>
        <v>0</v>
      </c>
      <c r="CR29" s="356">
        <f>CQ29*1.07</f>
        <v>0</v>
      </c>
      <c r="CS29" s="357">
        <f>CR29*1.07</f>
        <v>0</v>
      </c>
      <c r="CT29" s="332">
        <f>CS29*1.07</f>
        <v>0</v>
      </c>
      <c r="CU29" s="358">
        <f>CT29*1.07</f>
        <v>0</v>
      </c>
      <c r="CV29" s="57" t="s">
        <v>38</v>
      </c>
    </row>
    <row r="30" spans="1:100" ht="15" customHeight="1" outlineLevel="2">
      <c r="A30" s="276" t="s">
        <v>43</v>
      </c>
      <c r="B30" s="277" t="str">
        <f t="shared" si="3"/>
        <v>PACK JAKARTAPACKAGEDCH AURIGA INDONESIA</v>
      </c>
      <c r="C30" s="276" t="s">
        <v>36</v>
      </c>
      <c r="D30" s="276" t="s">
        <v>40</v>
      </c>
      <c r="E30" s="287" t="s">
        <v>65</v>
      </c>
      <c r="F30" s="287">
        <v>3000019697</v>
      </c>
      <c r="G30" s="64">
        <v>0</v>
      </c>
      <c r="H30" s="65">
        <v>0</v>
      </c>
      <c r="I30" s="65">
        <v>0</v>
      </c>
      <c r="J30" s="65">
        <v>0</v>
      </c>
      <c r="K30" s="65">
        <v>78060900</v>
      </c>
      <c r="L30" s="65">
        <v>131765600</v>
      </c>
      <c r="M30" s="65">
        <v>158575900</v>
      </c>
      <c r="N30" s="65">
        <v>231683600</v>
      </c>
      <c r="O30" s="65">
        <v>224837000</v>
      </c>
      <c r="P30" s="65">
        <v>305636300</v>
      </c>
      <c r="Q30" s="65">
        <v>290019600</v>
      </c>
      <c r="R30" s="65">
        <v>366197700</v>
      </c>
      <c r="S30" s="65">
        <v>546091400</v>
      </c>
      <c r="T30" s="65">
        <v>305636300</v>
      </c>
      <c r="U30" s="65">
        <v>400000000</v>
      </c>
      <c r="V30" s="65">
        <v>400000000</v>
      </c>
      <c r="W30" s="66">
        <f t="shared" si="4"/>
        <v>2332868000</v>
      </c>
      <c r="X30" s="55"/>
      <c r="Y30" s="67">
        <v>400000000</v>
      </c>
      <c r="Z30" s="67">
        <v>400000000</v>
      </c>
      <c r="AA30" s="67">
        <v>400000000</v>
      </c>
      <c r="AB30" s="67">
        <v>400000000</v>
      </c>
      <c r="AC30" s="67">
        <v>400000000</v>
      </c>
      <c r="AD30" s="67">
        <v>400000000</v>
      </c>
      <c r="AE30" s="67">
        <v>400000000</v>
      </c>
      <c r="AF30" s="67">
        <v>400000000</v>
      </c>
      <c r="AG30" s="67">
        <v>400000000</v>
      </c>
      <c r="AH30" s="67">
        <v>400000000</v>
      </c>
      <c r="AI30" s="67">
        <v>400000000</v>
      </c>
      <c r="AJ30" s="67">
        <v>400000000</v>
      </c>
      <c r="AK30" s="61">
        <v>4800000000</v>
      </c>
      <c r="AL30" s="55"/>
      <c r="AM30" s="67">
        <v>400000000</v>
      </c>
      <c r="AN30" s="67">
        <v>400000000</v>
      </c>
      <c r="AO30" s="67">
        <v>400000000</v>
      </c>
      <c r="AP30" s="67">
        <v>400000000</v>
      </c>
      <c r="AQ30" s="67">
        <v>400000000</v>
      </c>
      <c r="AR30" s="67">
        <v>400000000</v>
      </c>
      <c r="AS30" s="67">
        <v>400000000</v>
      </c>
      <c r="AT30" s="67">
        <v>400000000</v>
      </c>
      <c r="AU30" s="67">
        <v>400000000</v>
      </c>
      <c r="AV30" s="67">
        <v>400000000</v>
      </c>
      <c r="AW30" s="67">
        <v>400000000</v>
      </c>
      <c r="AX30" s="67">
        <v>400000000</v>
      </c>
      <c r="AY30" s="122">
        <v>4800000000</v>
      </c>
      <c r="AZ30" s="55"/>
      <c r="BA30" s="639">
        <v>516856100</v>
      </c>
      <c r="BB30" s="639">
        <v>361278600</v>
      </c>
      <c r="BC30" s="86">
        <v>200000000</v>
      </c>
      <c r="BD30" s="639">
        <v>103771700</v>
      </c>
      <c r="BE30" s="86">
        <v>140000000</v>
      </c>
      <c r="BF30" s="639">
        <v>45003100</v>
      </c>
      <c r="BG30" s="86">
        <f>700*60000</f>
        <v>42000000</v>
      </c>
      <c r="BH30" s="639">
        <v>35838000</v>
      </c>
      <c r="BI30" s="86">
        <f>700*60000</f>
        <v>42000000</v>
      </c>
      <c r="BJ30" s="639">
        <v>26184400</v>
      </c>
      <c r="BK30" s="86">
        <f>700*60000</f>
        <v>42000000</v>
      </c>
      <c r="BL30" s="639">
        <v>26063800</v>
      </c>
      <c r="BM30" s="86"/>
      <c r="BN30" s="695">
        <v>28488200</v>
      </c>
      <c r="BO30" s="696"/>
      <c r="BP30" s="695"/>
      <c r="BQ30" s="696"/>
      <c r="BR30" s="729"/>
      <c r="BS30" s="695"/>
      <c r="BT30" s="696"/>
      <c r="BU30" s="729"/>
      <c r="BV30" s="695"/>
      <c r="BW30" s="696"/>
      <c r="BX30" s="729"/>
      <c r="BY30" s="695"/>
      <c r="BZ30" s="696"/>
      <c r="CA30" s="729"/>
      <c r="CB30" s="720">
        <f t="shared" si="5"/>
        <v>1143483900</v>
      </c>
      <c r="CC30" s="721">
        <f t="shared" si="6"/>
        <v>1143483900</v>
      </c>
      <c r="CD30" s="738"/>
      <c r="CE30" s="323"/>
      <c r="CF30" s="323"/>
      <c r="CG30" s="323"/>
      <c r="CH30" s="323"/>
      <c r="CI30" s="323"/>
      <c r="CJ30" s="323"/>
      <c r="CK30" s="323"/>
      <c r="CL30" s="323"/>
      <c r="CM30" s="323"/>
      <c r="CN30" s="323"/>
      <c r="CO30" s="323"/>
      <c r="CP30" s="323"/>
      <c r="CQ30" s="355">
        <f t="shared" si="7"/>
        <v>0</v>
      </c>
      <c r="CR30" s="356">
        <f>CQ30*1.17</f>
        <v>0</v>
      </c>
      <c r="CS30" s="357">
        <f>CR30*1.1</f>
        <v>0</v>
      </c>
      <c r="CT30" s="332">
        <f>CS30*1.15</f>
        <v>0</v>
      </c>
      <c r="CU30" s="358">
        <f>CT30*1.15</f>
        <v>0</v>
      </c>
      <c r="CV30" s="57" t="s">
        <v>38</v>
      </c>
    </row>
    <row r="31" spans="1:100" ht="15" customHeight="1" outlineLevel="2">
      <c r="A31" s="276" t="s">
        <v>39</v>
      </c>
      <c r="B31" s="277" t="str">
        <f t="shared" si="3"/>
        <v>PACK JAKARTAPACKAGEDUNIA KIMIA JAYA</v>
      </c>
      <c r="C31" s="276" t="s">
        <v>36</v>
      </c>
      <c r="D31" s="276" t="s">
        <v>40</v>
      </c>
      <c r="E31" s="287" t="s">
        <v>66</v>
      </c>
      <c r="F31" s="287">
        <v>8000000015</v>
      </c>
      <c r="G31" s="64">
        <v>316546577</v>
      </c>
      <c r="H31" s="65">
        <v>124249200</v>
      </c>
      <c r="I31" s="65">
        <v>130616000</v>
      </c>
      <c r="J31" s="65">
        <v>130007000</v>
      </c>
      <c r="K31" s="65">
        <v>30445000</v>
      </c>
      <c r="L31" s="65">
        <v>50846153</v>
      </c>
      <c r="M31" s="65">
        <v>43166620</v>
      </c>
      <c r="N31" s="65">
        <v>42882000</v>
      </c>
      <c r="O31" s="65">
        <v>34616000</v>
      </c>
      <c r="P31" s="65">
        <v>34088350</v>
      </c>
      <c r="Q31" s="65">
        <v>480000</v>
      </c>
      <c r="R31" s="65">
        <v>225000</v>
      </c>
      <c r="S31" s="65">
        <v>165000</v>
      </c>
      <c r="T31" s="69">
        <v>0</v>
      </c>
      <c r="U31" s="69">
        <v>0</v>
      </c>
      <c r="V31" s="69">
        <v>0</v>
      </c>
      <c r="W31" s="66">
        <f t="shared" si="4"/>
        <v>621786323</v>
      </c>
      <c r="X31" s="55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1">
        <v>0</v>
      </c>
      <c r="AL31" s="55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122">
        <v>0</v>
      </c>
      <c r="AZ31" s="55"/>
      <c r="BA31" s="639">
        <v>75000</v>
      </c>
      <c r="BB31" s="639">
        <v>90000</v>
      </c>
      <c r="BC31" s="86"/>
      <c r="BD31" s="639">
        <v>135000</v>
      </c>
      <c r="BE31" s="86"/>
      <c r="BF31" s="639">
        <v>165000</v>
      </c>
      <c r="BG31" s="86">
        <v>90000</v>
      </c>
      <c r="BH31" s="639">
        <v>90000</v>
      </c>
      <c r="BI31" s="86">
        <v>90000</v>
      </c>
      <c r="BJ31" s="639">
        <v>180000</v>
      </c>
      <c r="BK31" s="86">
        <v>90000</v>
      </c>
      <c r="BL31" s="639">
        <v>90000</v>
      </c>
      <c r="BM31" s="86"/>
      <c r="BN31" s="695">
        <v>75000</v>
      </c>
      <c r="BO31" s="696"/>
      <c r="BP31" s="695"/>
      <c r="BQ31" s="696"/>
      <c r="BR31" s="729"/>
      <c r="BS31" s="695"/>
      <c r="BT31" s="696"/>
      <c r="BU31" s="729"/>
      <c r="BV31" s="695"/>
      <c r="BW31" s="696"/>
      <c r="BX31" s="729"/>
      <c r="BY31" s="695"/>
      <c r="BZ31" s="696"/>
      <c r="CA31" s="729"/>
      <c r="CB31" s="720">
        <f t="shared" si="5"/>
        <v>900000</v>
      </c>
      <c r="CC31" s="721">
        <f t="shared" si="6"/>
        <v>900000</v>
      </c>
      <c r="CD31" s="738"/>
      <c r="CE31" s="323"/>
      <c r="CF31" s="323"/>
      <c r="CG31" s="323"/>
      <c r="CH31" s="323"/>
      <c r="CI31" s="323"/>
      <c r="CJ31" s="323"/>
      <c r="CK31" s="323"/>
      <c r="CL31" s="323"/>
      <c r="CM31" s="323"/>
      <c r="CN31" s="323"/>
      <c r="CO31" s="323"/>
      <c r="CP31" s="323"/>
      <c r="CQ31" s="355">
        <f t="shared" si="7"/>
        <v>0</v>
      </c>
      <c r="CR31" s="356">
        <f>CQ31*1.07</f>
        <v>0</v>
      </c>
      <c r="CS31" s="357">
        <f>CR31*1.07</f>
        <v>0</v>
      </c>
      <c r="CT31" s="332">
        <f>CS31*1.07</f>
        <v>0</v>
      </c>
      <c r="CU31" s="358">
        <f>CT31*1.07</f>
        <v>0</v>
      </c>
      <c r="CV31" s="57" t="s">
        <v>38</v>
      </c>
    </row>
    <row r="32" spans="1:100" ht="15" customHeight="1" outlineLevel="2">
      <c r="A32" s="276" t="s">
        <v>43</v>
      </c>
      <c r="B32" s="277" t="str">
        <f t="shared" si="3"/>
        <v>PACK JAKARTAPACKAGEDUTCH MILL INDONESIA</v>
      </c>
      <c r="C32" s="276" t="s">
        <v>36</v>
      </c>
      <c r="D32" s="276" t="s">
        <v>40</v>
      </c>
      <c r="E32" s="287" t="s">
        <v>67</v>
      </c>
      <c r="F32" s="287"/>
      <c r="G32" s="68">
        <v>41902954</v>
      </c>
      <c r="H32" s="65"/>
      <c r="I32" s="65"/>
      <c r="J32" s="65"/>
      <c r="K32" s="65"/>
      <c r="L32" s="65"/>
      <c r="M32" s="65"/>
      <c r="N32" s="65"/>
      <c r="O32" s="65"/>
      <c r="P32" s="65">
        <v>0</v>
      </c>
      <c r="Q32" s="65">
        <v>0</v>
      </c>
      <c r="R32" s="65">
        <v>0</v>
      </c>
      <c r="S32" s="65">
        <v>0</v>
      </c>
      <c r="T32" s="65">
        <v>0</v>
      </c>
      <c r="U32" s="65">
        <v>0</v>
      </c>
      <c r="V32" s="65">
        <v>0</v>
      </c>
      <c r="W32" s="66">
        <f t="shared" si="4"/>
        <v>0</v>
      </c>
      <c r="X32" s="55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1">
        <v>0</v>
      </c>
      <c r="AL32" s="55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122">
        <v>0</v>
      </c>
      <c r="AZ32" s="55"/>
      <c r="BA32" s="639">
        <v>0</v>
      </c>
      <c r="BB32" s="639">
        <v>0</v>
      </c>
      <c r="BC32" s="86"/>
      <c r="BD32" s="639">
        <v>0</v>
      </c>
      <c r="BE32" s="86"/>
      <c r="BF32" s="639">
        <v>0</v>
      </c>
      <c r="BG32" s="86">
        <v>0</v>
      </c>
      <c r="BH32" s="639"/>
      <c r="BI32" s="86">
        <v>0</v>
      </c>
      <c r="BJ32" s="639">
        <v>0</v>
      </c>
      <c r="BK32" s="86">
        <v>0</v>
      </c>
      <c r="BL32" s="639">
        <v>0</v>
      </c>
      <c r="BM32" s="86"/>
      <c r="BN32" s="695">
        <v>0</v>
      </c>
      <c r="BO32" s="696"/>
      <c r="BP32" s="695"/>
      <c r="BQ32" s="696"/>
      <c r="BR32" s="729"/>
      <c r="BS32" s="695"/>
      <c r="BT32" s="696"/>
      <c r="BU32" s="729"/>
      <c r="BV32" s="695"/>
      <c r="BW32" s="696"/>
      <c r="BX32" s="729"/>
      <c r="BY32" s="695"/>
      <c r="BZ32" s="696"/>
      <c r="CA32" s="729"/>
      <c r="CB32" s="720">
        <f t="shared" si="5"/>
        <v>0</v>
      </c>
      <c r="CC32" s="721">
        <f t="shared" si="6"/>
        <v>0</v>
      </c>
      <c r="CD32" s="738"/>
      <c r="CE32" s="323"/>
      <c r="CF32" s="323"/>
      <c r="CG32" s="323"/>
      <c r="CH32" s="323"/>
      <c r="CI32" s="323"/>
      <c r="CJ32" s="323"/>
      <c r="CK32" s="323"/>
      <c r="CL32" s="323"/>
      <c r="CM32" s="323"/>
      <c r="CN32" s="323"/>
      <c r="CO32" s="323"/>
      <c r="CP32" s="323"/>
      <c r="CQ32" s="355">
        <f t="shared" si="7"/>
        <v>0</v>
      </c>
      <c r="CR32" s="356"/>
      <c r="CS32" s="357"/>
      <c r="CT32" s="332"/>
      <c r="CU32" s="358"/>
      <c r="CV32" s="57" t="s">
        <v>38</v>
      </c>
    </row>
    <row r="33" spans="1:101" ht="15" customHeight="1" outlineLevel="2">
      <c r="A33" s="276" t="s">
        <v>43</v>
      </c>
      <c r="B33" s="277" t="str">
        <f t="shared" si="3"/>
        <v>PACK JAKARTAPACKAGEDYNAPLAST</v>
      </c>
      <c r="C33" s="276" t="s">
        <v>36</v>
      </c>
      <c r="D33" s="276" t="s">
        <v>40</v>
      </c>
      <c r="E33" s="287" t="s">
        <v>68</v>
      </c>
      <c r="F33" s="287"/>
      <c r="G33" s="68">
        <v>59897065</v>
      </c>
      <c r="H33" s="65"/>
      <c r="I33" s="65"/>
      <c r="J33" s="65"/>
      <c r="K33" s="65"/>
      <c r="L33" s="65"/>
      <c r="M33" s="65"/>
      <c r="N33" s="65"/>
      <c r="O33" s="65"/>
      <c r="P33" s="65">
        <v>0</v>
      </c>
      <c r="Q33" s="65">
        <v>0</v>
      </c>
      <c r="R33" s="65">
        <v>0</v>
      </c>
      <c r="S33" s="65">
        <v>0</v>
      </c>
      <c r="T33" s="65">
        <v>0</v>
      </c>
      <c r="U33" s="65">
        <v>0</v>
      </c>
      <c r="V33" s="65">
        <v>0</v>
      </c>
      <c r="W33" s="66">
        <f t="shared" si="4"/>
        <v>0</v>
      </c>
      <c r="X33" s="55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1">
        <v>0</v>
      </c>
      <c r="AL33" s="55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122">
        <v>0</v>
      </c>
      <c r="AZ33" s="55"/>
      <c r="BA33" s="639">
        <v>0</v>
      </c>
      <c r="BB33" s="639">
        <v>0</v>
      </c>
      <c r="BC33" s="86"/>
      <c r="BD33" s="639">
        <v>0</v>
      </c>
      <c r="BE33" s="86"/>
      <c r="BF33" s="639">
        <v>0</v>
      </c>
      <c r="BG33" s="86">
        <v>0</v>
      </c>
      <c r="BH33" s="639"/>
      <c r="BI33" s="86">
        <v>0</v>
      </c>
      <c r="BJ33" s="639">
        <v>0</v>
      </c>
      <c r="BK33" s="86">
        <v>0</v>
      </c>
      <c r="BL33" s="639">
        <v>0</v>
      </c>
      <c r="BM33" s="86"/>
      <c r="BN33" s="695">
        <v>0</v>
      </c>
      <c r="BO33" s="696"/>
      <c r="BP33" s="695"/>
      <c r="BQ33" s="696"/>
      <c r="BR33" s="729"/>
      <c r="BS33" s="695"/>
      <c r="BT33" s="696"/>
      <c r="BU33" s="729"/>
      <c r="BV33" s="695"/>
      <c r="BW33" s="696"/>
      <c r="BX33" s="729"/>
      <c r="BY33" s="695"/>
      <c r="BZ33" s="696"/>
      <c r="CA33" s="729"/>
      <c r="CB33" s="720">
        <f t="shared" si="5"/>
        <v>0</v>
      </c>
      <c r="CC33" s="721">
        <f t="shared" si="6"/>
        <v>0</v>
      </c>
      <c r="CD33" s="738"/>
      <c r="CE33" s="323"/>
      <c r="CF33" s="323"/>
      <c r="CG33" s="323"/>
      <c r="CH33" s="323"/>
      <c r="CI33" s="323"/>
      <c r="CJ33" s="323"/>
      <c r="CK33" s="323"/>
      <c r="CL33" s="323"/>
      <c r="CM33" s="323"/>
      <c r="CN33" s="323"/>
      <c r="CO33" s="323"/>
      <c r="CP33" s="323"/>
      <c r="CQ33" s="355">
        <f t="shared" si="7"/>
        <v>0</v>
      </c>
      <c r="CR33" s="356"/>
      <c r="CS33" s="357"/>
      <c r="CT33" s="332"/>
      <c r="CU33" s="358"/>
      <c r="CV33" s="57" t="s">
        <v>38</v>
      </c>
    </row>
    <row r="34" spans="1:101" ht="15" customHeight="1" outlineLevel="2">
      <c r="A34" s="276" t="s">
        <v>43</v>
      </c>
      <c r="B34" s="277" t="str">
        <f t="shared" si="3"/>
        <v>PACK JAKARTAPACKAGEFAJAR MITRA INDAH</v>
      </c>
      <c r="C34" s="276" t="s">
        <v>36</v>
      </c>
      <c r="D34" s="276" t="s">
        <v>40</v>
      </c>
      <c r="E34" s="287" t="s">
        <v>69</v>
      </c>
      <c r="F34" s="287"/>
      <c r="G34" s="68">
        <v>391500000</v>
      </c>
      <c r="H34" s="65"/>
      <c r="I34" s="65"/>
      <c r="J34" s="65"/>
      <c r="K34" s="65"/>
      <c r="L34" s="65"/>
      <c r="M34" s="65"/>
      <c r="N34" s="65"/>
      <c r="O34" s="65"/>
      <c r="P34" s="65">
        <v>0</v>
      </c>
      <c r="Q34" s="71">
        <v>0</v>
      </c>
      <c r="R34" s="71">
        <v>0</v>
      </c>
      <c r="S34" s="71">
        <v>0</v>
      </c>
      <c r="T34" s="65">
        <v>0</v>
      </c>
      <c r="U34" s="65">
        <v>0</v>
      </c>
      <c r="V34" s="65">
        <v>0</v>
      </c>
      <c r="W34" s="66">
        <f t="shared" si="4"/>
        <v>0</v>
      </c>
      <c r="X34" s="55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1">
        <v>0</v>
      </c>
      <c r="AL34" s="55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122">
        <v>0</v>
      </c>
      <c r="AZ34" s="55"/>
      <c r="BA34" s="639">
        <v>0</v>
      </c>
      <c r="BB34" s="639">
        <v>0</v>
      </c>
      <c r="BC34" s="86"/>
      <c r="BD34" s="639">
        <v>0</v>
      </c>
      <c r="BE34" s="86"/>
      <c r="BF34" s="639">
        <v>0</v>
      </c>
      <c r="BG34" s="86">
        <v>0</v>
      </c>
      <c r="BH34" s="639"/>
      <c r="BI34" s="86">
        <v>0</v>
      </c>
      <c r="BJ34" s="639">
        <v>0</v>
      </c>
      <c r="BK34" s="86">
        <v>0</v>
      </c>
      <c r="BL34" s="639">
        <v>0</v>
      </c>
      <c r="BM34" s="86"/>
      <c r="BN34" s="695">
        <v>0</v>
      </c>
      <c r="BO34" s="696"/>
      <c r="BP34" s="695"/>
      <c r="BQ34" s="696"/>
      <c r="BR34" s="729"/>
      <c r="BS34" s="695"/>
      <c r="BT34" s="696"/>
      <c r="BU34" s="729"/>
      <c r="BV34" s="695"/>
      <c r="BW34" s="696"/>
      <c r="BX34" s="729"/>
      <c r="BY34" s="695"/>
      <c r="BZ34" s="696"/>
      <c r="CA34" s="729"/>
      <c r="CB34" s="720">
        <f t="shared" si="5"/>
        <v>0</v>
      </c>
      <c r="CC34" s="721">
        <f t="shared" si="6"/>
        <v>0</v>
      </c>
      <c r="CD34" s="738"/>
      <c r="CE34" s="323"/>
      <c r="CF34" s="323"/>
      <c r="CG34" s="323"/>
      <c r="CH34" s="323"/>
      <c r="CI34" s="323"/>
      <c r="CJ34" s="323"/>
      <c r="CK34" s="323"/>
      <c r="CL34" s="323"/>
      <c r="CM34" s="323"/>
      <c r="CN34" s="323"/>
      <c r="CO34" s="323"/>
      <c r="CP34" s="323"/>
      <c r="CQ34" s="355">
        <f t="shared" si="7"/>
        <v>0</v>
      </c>
      <c r="CR34" s="356"/>
      <c r="CS34" s="357"/>
      <c r="CT34" s="332"/>
      <c r="CU34" s="358"/>
      <c r="CV34" s="57" t="s">
        <v>38</v>
      </c>
    </row>
    <row r="35" spans="1:101" ht="15" customHeight="1" outlineLevel="2">
      <c r="A35" s="276" t="s">
        <v>43</v>
      </c>
      <c r="B35" s="277" t="str">
        <f t="shared" si="3"/>
        <v>PACK JAKARTAPACKAGEGISTEX RETAILINDO</v>
      </c>
      <c r="C35" s="276" t="s">
        <v>36</v>
      </c>
      <c r="D35" s="276" t="s">
        <v>40</v>
      </c>
      <c r="E35" s="287" t="s">
        <v>70</v>
      </c>
      <c r="F35" s="287"/>
      <c r="G35" s="68">
        <v>70000000</v>
      </c>
      <c r="H35" s="65"/>
      <c r="I35" s="65"/>
      <c r="J35" s="65"/>
      <c r="K35" s="65"/>
      <c r="L35" s="65"/>
      <c r="M35" s="65"/>
      <c r="N35" s="65"/>
      <c r="O35" s="65"/>
      <c r="P35" s="65">
        <v>0</v>
      </c>
      <c r="Q35" s="65">
        <v>0</v>
      </c>
      <c r="R35" s="65">
        <v>0</v>
      </c>
      <c r="S35" s="65">
        <v>0</v>
      </c>
      <c r="T35" s="65">
        <v>0</v>
      </c>
      <c r="U35" s="65">
        <v>0</v>
      </c>
      <c r="V35" s="65">
        <v>0</v>
      </c>
      <c r="W35" s="66">
        <f t="shared" si="4"/>
        <v>0</v>
      </c>
      <c r="X35" s="55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1">
        <v>0</v>
      </c>
      <c r="AL35" s="55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122">
        <v>0</v>
      </c>
      <c r="AZ35" s="55"/>
      <c r="BA35" s="639">
        <v>0</v>
      </c>
      <c r="BB35" s="639">
        <v>0</v>
      </c>
      <c r="BC35" s="86"/>
      <c r="BD35" s="639">
        <v>0</v>
      </c>
      <c r="BE35" s="86"/>
      <c r="BF35" s="639">
        <v>0</v>
      </c>
      <c r="BG35" s="86">
        <v>0</v>
      </c>
      <c r="BH35" s="639"/>
      <c r="BI35" s="86">
        <v>0</v>
      </c>
      <c r="BJ35" s="639">
        <v>0</v>
      </c>
      <c r="BK35" s="86">
        <v>0</v>
      </c>
      <c r="BL35" s="639">
        <v>0</v>
      </c>
      <c r="BM35" s="86"/>
      <c r="BN35" s="695">
        <v>0</v>
      </c>
      <c r="BO35" s="696"/>
      <c r="BP35" s="695"/>
      <c r="BQ35" s="696"/>
      <c r="BR35" s="729"/>
      <c r="BS35" s="695"/>
      <c r="BT35" s="696"/>
      <c r="BU35" s="729"/>
      <c r="BV35" s="695"/>
      <c r="BW35" s="696"/>
      <c r="BX35" s="729"/>
      <c r="BY35" s="695"/>
      <c r="BZ35" s="696"/>
      <c r="CA35" s="729"/>
      <c r="CB35" s="720">
        <f t="shared" si="5"/>
        <v>0</v>
      </c>
      <c r="CC35" s="721">
        <f t="shared" si="6"/>
        <v>0</v>
      </c>
      <c r="CD35" s="738"/>
      <c r="CE35" s="323"/>
      <c r="CF35" s="323"/>
      <c r="CG35" s="323"/>
      <c r="CH35" s="323"/>
      <c r="CI35" s="323"/>
      <c r="CJ35" s="323"/>
      <c r="CK35" s="323"/>
      <c r="CL35" s="323"/>
      <c r="CM35" s="323"/>
      <c r="CN35" s="323"/>
      <c r="CO35" s="323"/>
      <c r="CP35" s="323"/>
      <c r="CQ35" s="355">
        <f t="shared" si="7"/>
        <v>0</v>
      </c>
      <c r="CR35" s="356"/>
      <c r="CS35" s="357"/>
      <c r="CT35" s="332"/>
      <c r="CU35" s="358"/>
      <c r="CV35" s="57" t="s">
        <v>38</v>
      </c>
    </row>
    <row r="36" spans="1:101" ht="15" customHeight="1" outlineLevel="2">
      <c r="A36" s="276" t="s">
        <v>43</v>
      </c>
      <c r="B36" s="277" t="str">
        <f>$E$7&amp;$E$6&amp;E36</f>
        <v>PACK JAKARTAPACKAGEEMPAT PILAR FIBER INDONESIA</v>
      </c>
      <c r="C36" s="276" t="s">
        <v>36</v>
      </c>
      <c r="D36" s="276" t="s">
        <v>40</v>
      </c>
      <c r="E36" s="287" t="s">
        <v>71</v>
      </c>
      <c r="F36" s="287">
        <v>3000020130</v>
      </c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>
        <v>4740000</v>
      </c>
      <c r="R36" s="65">
        <v>3540000</v>
      </c>
      <c r="S36" s="65">
        <v>13990000</v>
      </c>
      <c r="T36" s="65"/>
      <c r="U36" s="65"/>
      <c r="V36" s="65"/>
      <c r="W36" s="66">
        <f>SUM(H36:S36)</f>
        <v>22270000</v>
      </c>
      <c r="X36" s="55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1">
        <v>0</v>
      </c>
      <c r="AL36" s="55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122">
        <v>0</v>
      </c>
      <c r="AZ36" s="55"/>
      <c r="BA36" s="639">
        <v>20425000</v>
      </c>
      <c r="BB36" s="639">
        <v>19785000</v>
      </c>
      <c r="BC36" s="86">
        <v>20425000</v>
      </c>
      <c r="BD36" s="639">
        <v>13250000</v>
      </c>
      <c r="BE36" s="86">
        <v>20425000</v>
      </c>
      <c r="BF36" s="639">
        <v>12605000</v>
      </c>
      <c r="BG36" s="86">
        <v>19785000</v>
      </c>
      <c r="BH36" s="639">
        <v>7545000</v>
      </c>
      <c r="BI36" s="86">
        <v>19785000</v>
      </c>
      <c r="BJ36" s="639">
        <v>7355000</v>
      </c>
      <c r="BK36" s="86">
        <v>19785000</v>
      </c>
      <c r="BL36" s="639">
        <v>7290000</v>
      </c>
      <c r="BM36" s="86">
        <v>19785000</v>
      </c>
      <c r="BN36" s="695">
        <v>15383000</v>
      </c>
      <c r="BO36" s="696">
        <v>19785000</v>
      </c>
      <c r="BP36" s="695"/>
      <c r="BQ36" s="696">
        <v>19785000</v>
      </c>
      <c r="BR36" s="729">
        <v>16000000</v>
      </c>
      <c r="BS36" s="695"/>
      <c r="BT36" s="696">
        <v>19785000</v>
      </c>
      <c r="BU36" s="729">
        <v>16000000</v>
      </c>
      <c r="BV36" s="695"/>
      <c r="BW36" s="696">
        <v>19785000</v>
      </c>
      <c r="BX36" s="729">
        <v>16000000</v>
      </c>
      <c r="BY36" s="695"/>
      <c r="BZ36" s="696">
        <v>19785000</v>
      </c>
      <c r="CA36" s="729">
        <v>16000000</v>
      </c>
      <c r="CB36" s="720">
        <f t="shared" si="5"/>
        <v>167638000</v>
      </c>
      <c r="CC36" s="721">
        <f t="shared" si="6"/>
        <v>167638000</v>
      </c>
      <c r="CD36" s="738"/>
      <c r="CE36" s="323"/>
      <c r="CF36" s="323"/>
      <c r="CG36" s="323"/>
      <c r="CH36" s="323"/>
      <c r="CI36" s="323"/>
      <c r="CJ36" s="323"/>
      <c r="CK36" s="323"/>
      <c r="CL36" s="323"/>
      <c r="CM36" s="323"/>
      <c r="CN36" s="323"/>
      <c r="CO36" s="323"/>
      <c r="CP36" s="323"/>
      <c r="CQ36" s="355">
        <f t="shared" si="7"/>
        <v>0</v>
      </c>
      <c r="CR36" s="356"/>
      <c r="CS36" s="357"/>
      <c r="CT36" s="332"/>
      <c r="CU36" s="358"/>
      <c r="CV36" s="57" t="s">
        <v>38</v>
      </c>
    </row>
    <row r="37" spans="1:101" ht="15" customHeight="1" outlineLevel="2">
      <c r="A37" s="276" t="s">
        <v>59</v>
      </c>
      <c r="B37" s="277" t="str">
        <f>$E$7&amp;$E$6&amp;E37</f>
        <v>PACK JAKARTAPACKAGEGUNUNG MAS PERKASA ABADI</v>
      </c>
      <c r="C37" s="276" t="s">
        <v>36</v>
      </c>
      <c r="D37" s="276" t="s">
        <v>40</v>
      </c>
      <c r="E37" s="287" t="s">
        <v>72</v>
      </c>
      <c r="F37" s="287">
        <v>3000020093</v>
      </c>
      <c r="G37" s="74"/>
      <c r="H37" s="65">
        <v>0</v>
      </c>
      <c r="I37" s="65">
        <v>0</v>
      </c>
      <c r="J37" s="65">
        <v>0</v>
      </c>
      <c r="K37" s="65">
        <v>0</v>
      </c>
      <c r="L37" s="65">
        <v>0</v>
      </c>
      <c r="M37" s="65">
        <v>0</v>
      </c>
      <c r="N37" s="65">
        <v>0</v>
      </c>
      <c r="O37" s="65"/>
      <c r="P37" s="65"/>
      <c r="Q37" s="65">
        <v>12964980</v>
      </c>
      <c r="R37" s="65">
        <v>9819647</v>
      </c>
      <c r="S37" s="65">
        <v>8762000</v>
      </c>
      <c r="T37" s="69">
        <v>5000000</v>
      </c>
      <c r="U37" s="69">
        <v>5000000</v>
      </c>
      <c r="V37" s="69">
        <v>5000000</v>
      </c>
      <c r="W37" s="66">
        <f>SUM(H37:S37)</f>
        <v>31546627</v>
      </c>
      <c r="X37" s="55"/>
      <c r="Y37" s="67">
        <v>16000000</v>
      </c>
      <c r="Z37" s="67">
        <v>16000000</v>
      </c>
      <c r="AA37" s="67">
        <v>16000000</v>
      </c>
      <c r="AB37" s="67">
        <v>16000000</v>
      </c>
      <c r="AC37" s="67">
        <v>16000000</v>
      </c>
      <c r="AD37" s="67">
        <v>16000000</v>
      </c>
      <c r="AE37" s="67">
        <v>16000000</v>
      </c>
      <c r="AF37" s="67">
        <v>16000000</v>
      </c>
      <c r="AG37" s="67">
        <v>16000000</v>
      </c>
      <c r="AH37" s="67">
        <v>16000000</v>
      </c>
      <c r="AI37" s="67">
        <v>16000000</v>
      </c>
      <c r="AJ37" s="67">
        <v>16000000</v>
      </c>
      <c r="AK37" s="61">
        <v>192000000</v>
      </c>
      <c r="AL37" s="55"/>
      <c r="AM37" s="67">
        <v>16000000</v>
      </c>
      <c r="AN37" s="67">
        <v>16000000</v>
      </c>
      <c r="AO37" s="67">
        <v>16000000</v>
      </c>
      <c r="AP37" s="67">
        <v>16000000</v>
      </c>
      <c r="AQ37" s="67">
        <v>16000000</v>
      </c>
      <c r="AR37" s="67">
        <v>16000000</v>
      </c>
      <c r="AS37" s="67">
        <v>16000000</v>
      </c>
      <c r="AT37" s="67">
        <v>16000000</v>
      </c>
      <c r="AU37" s="67">
        <v>16000000</v>
      </c>
      <c r="AV37" s="67">
        <v>16000000</v>
      </c>
      <c r="AW37" s="67">
        <v>16000000</v>
      </c>
      <c r="AX37" s="67">
        <v>16000000</v>
      </c>
      <c r="AY37" s="122">
        <v>192000000</v>
      </c>
      <c r="AZ37" s="55"/>
      <c r="BA37" s="639">
        <v>8528000</v>
      </c>
      <c r="BB37" s="639">
        <v>8928000</v>
      </c>
      <c r="BC37" s="86">
        <v>8528000</v>
      </c>
      <c r="BD37" s="639">
        <v>8639000</v>
      </c>
      <c r="BE37" s="86">
        <v>8528000</v>
      </c>
      <c r="BF37" s="639">
        <v>8599000</v>
      </c>
      <c r="BG37" s="86">
        <v>8928000</v>
      </c>
      <c r="BH37" s="639">
        <v>8539000</v>
      </c>
      <c r="BI37" s="86">
        <v>8928000</v>
      </c>
      <c r="BJ37" s="639">
        <v>8509000</v>
      </c>
      <c r="BK37" s="86">
        <v>8928000</v>
      </c>
      <c r="BL37" s="639">
        <v>8509000</v>
      </c>
      <c r="BM37" s="86">
        <v>8928000</v>
      </c>
      <c r="BN37" s="695">
        <v>7520000</v>
      </c>
      <c r="BO37" s="696">
        <v>8928000</v>
      </c>
      <c r="BP37" s="695"/>
      <c r="BQ37" s="696">
        <v>8928000</v>
      </c>
      <c r="BR37" s="729">
        <v>8928000</v>
      </c>
      <c r="BS37" s="695"/>
      <c r="BT37" s="696">
        <v>8928000</v>
      </c>
      <c r="BU37" s="729">
        <v>8928000</v>
      </c>
      <c r="BV37" s="695"/>
      <c r="BW37" s="696">
        <v>8928000</v>
      </c>
      <c r="BX37" s="729">
        <v>8928000</v>
      </c>
      <c r="BY37" s="695"/>
      <c r="BZ37" s="696">
        <v>8928000</v>
      </c>
      <c r="CA37" s="729">
        <v>8928000</v>
      </c>
      <c r="CB37" s="720">
        <f t="shared" si="5"/>
        <v>103483000</v>
      </c>
      <c r="CC37" s="721">
        <f t="shared" si="6"/>
        <v>103483000</v>
      </c>
      <c r="CD37" s="738"/>
      <c r="CE37" s="323">
        <v>8000000</v>
      </c>
      <c r="CF37" s="323">
        <v>8000000</v>
      </c>
      <c r="CG37" s="323">
        <v>8000000</v>
      </c>
      <c r="CH37" s="323">
        <v>7000000</v>
      </c>
      <c r="CI37" s="323">
        <v>7000000</v>
      </c>
      <c r="CJ37" s="323">
        <v>8000000</v>
      </c>
      <c r="CK37" s="323">
        <v>8000000</v>
      </c>
      <c r="CL37" s="323">
        <v>8500000</v>
      </c>
      <c r="CM37" s="323">
        <v>8500000</v>
      </c>
      <c r="CN37" s="323">
        <v>8500000</v>
      </c>
      <c r="CO37" s="323">
        <v>8500000</v>
      </c>
      <c r="CP37" s="323">
        <v>8000000</v>
      </c>
      <c r="CQ37" s="355">
        <f t="shared" si="7"/>
        <v>96000000</v>
      </c>
      <c r="CR37" s="356">
        <f>CQ37*1.17</f>
        <v>112320000</v>
      </c>
      <c r="CS37" s="357">
        <f>CR37*1.08</f>
        <v>121305600.00000001</v>
      </c>
      <c r="CT37" s="332">
        <f>CS37*1.09</f>
        <v>132223104.00000003</v>
      </c>
      <c r="CU37" s="358">
        <f>CT37*1.09</f>
        <v>144123183.36000004</v>
      </c>
      <c r="CV37" s="57" t="s">
        <v>38</v>
      </c>
    </row>
    <row r="38" spans="1:101" ht="15" customHeight="1" outlineLevel="2">
      <c r="A38" s="276" t="s">
        <v>39</v>
      </c>
      <c r="B38" s="277" t="str">
        <f t="shared" si="3"/>
        <v>PACK JAKARTAPACKAGEHASA PRIMA KIMIA</v>
      </c>
      <c r="C38" s="276" t="s">
        <v>36</v>
      </c>
      <c r="D38" s="276" t="s">
        <v>40</v>
      </c>
      <c r="E38" s="287" t="s">
        <v>73</v>
      </c>
      <c r="F38" s="287">
        <v>3000020184</v>
      </c>
      <c r="G38" s="70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1320000</v>
      </c>
      <c r="Q38" s="65">
        <v>1200000</v>
      </c>
      <c r="R38" s="65">
        <v>1200000</v>
      </c>
      <c r="S38" s="65">
        <v>7535000</v>
      </c>
      <c r="T38" s="71">
        <f>1320000+2000000</f>
        <v>3320000</v>
      </c>
      <c r="U38" s="71">
        <f>1320000+3200000</f>
        <v>4520000</v>
      </c>
      <c r="V38" s="71">
        <f>1320000+3200000</f>
        <v>4520000</v>
      </c>
      <c r="W38" s="66">
        <f t="shared" si="4"/>
        <v>11255000</v>
      </c>
      <c r="X38" s="55"/>
      <c r="Y38" s="72">
        <v>1320000</v>
      </c>
      <c r="Z38" s="72">
        <v>1320000</v>
      </c>
      <c r="AA38" s="72">
        <v>1320000</v>
      </c>
      <c r="AB38" s="72">
        <v>1320000</v>
      </c>
      <c r="AC38" s="72">
        <v>1320000</v>
      </c>
      <c r="AD38" s="72">
        <v>1320000</v>
      </c>
      <c r="AE38" s="72">
        <v>1320000</v>
      </c>
      <c r="AF38" s="72">
        <v>1320000</v>
      </c>
      <c r="AG38" s="72">
        <v>1320000</v>
      </c>
      <c r="AH38" s="72">
        <v>1320000</v>
      </c>
      <c r="AI38" s="72">
        <v>1320000</v>
      </c>
      <c r="AJ38" s="72">
        <v>1320000</v>
      </c>
      <c r="AK38" s="61">
        <v>15840000</v>
      </c>
      <c r="AL38" s="55"/>
      <c r="AM38" s="72">
        <v>1320000</v>
      </c>
      <c r="AN38" s="72">
        <v>1320000</v>
      </c>
      <c r="AO38" s="72">
        <v>1320000</v>
      </c>
      <c r="AP38" s="72">
        <v>1320000</v>
      </c>
      <c r="AQ38" s="72">
        <v>1320000</v>
      </c>
      <c r="AR38" s="72">
        <v>1320000</v>
      </c>
      <c r="AS38" s="72">
        <v>1320000</v>
      </c>
      <c r="AT38" s="72">
        <v>1320000</v>
      </c>
      <c r="AU38" s="72">
        <v>1320000</v>
      </c>
      <c r="AV38" s="72">
        <v>1320000</v>
      </c>
      <c r="AW38" s="72">
        <v>1320000</v>
      </c>
      <c r="AX38" s="72">
        <v>1320000</v>
      </c>
      <c r="AY38" s="122">
        <v>15840000</v>
      </c>
      <c r="AZ38" s="55"/>
      <c r="BA38" s="639">
        <v>6060000</v>
      </c>
      <c r="BB38" s="639">
        <v>7560000</v>
      </c>
      <c r="BC38" s="86">
        <v>6060000</v>
      </c>
      <c r="BD38" s="639">
        <v>15280000</v>
      </c>
      <c r="BE38" s="86">
        <v>6060000</v>
      </c>
      <c r="BF38" s="639">
        <v>6060000</v>
      </c>
      <c r="BG38" s="86">
        <v>7560000</v>
      </c>
      <c r="BH38" s="639">
        <v>4254000</v>
      </c>
      <c r="BI38" s="86">
        <v>7560000</v>
      </c>
      <c r="BJ38" s="639">
        <v>14271000</v>
      </c>
      <c r="BK38" s="86">
        <v>7560000</v>
      </c>
      <c r="BL38" s="639">
        <v>12636000</v>
      </c>
      <c r="BM38" s="86">
        <v>7560000</v>
      </c>
      <c r="BN38" s="695">
        <v>9481000</v>
      </c>
      <c r="BO38" s="696">
        <v>7560000</v>
      </c>
      <c r="BP38" s="695"/>
      <c r="BQ38" s="696">
        <v>7560000</v>
      </c>
      <c r="BR38" s="729">
        <v>7560000</v>
      </c>
      <c r="BS38" s="695"/>
      <c r="BT38" s="696">
        <v>7560000</v>
      </c>
      <c r="BU38" s="729">
        <v>7560000</v>
      </c>
      <c r="BV38" s="695"/>
      <c r="BW38" s="696">
        <v>7560000</v>
      </c>
      <c r="BX38" s="729">
        <v>7560000</v>
      </c>
      <c r="BY38" s="695"/>
      <c r="BZ38" s="696"/>
      <c r="CA38" s="729"/>
      <c r="CB38" s="720">
        <f t="shared" si="5"/>
        <v>98282000</v>
      </c>
      <c r="CC38" s="721">
        <f t="shared" si="6"/>
        <v>98282000</v>
      </c>
      <c r="CD38" s="738"/>
      <c r="CE38" s="323">
        <v>7000000</v>
      </c>
      <c r="CF38" s="323">
        <v>7000000</v>
      </c>
      <c r="CG38" s="323">
        <v>9000000</v>
      </c>
      <c r="CH38" s="323">
        <v>8000000</v>
      </c>
      <c r="CI38" s="323">
        <v>6000000</v>
      </c>
      <c r="CJ38" s="323">
        <v>8000000</v>
      </c>
      <c r="CK38" s="323">
        <v>8000000</v>
      </c>
      <c r="CL38" s="323">
        <v>8000000</v>
      </c>
      <c r="CM38" s="323">
        <v>8000000</v>
      </c>
      <c r="CN38" s="323">
        <v>9000000</v>
      </c>
      <c r="CO38" s="323">
        <v>9000000</v>
      </c>
      <c r="CP38" s="323">
        <v>9000000</v>
      </c>
      <c r="CQ38" s="355">
        <f t="shared" si="7"/>
        <v>96000000</v>
      </c>
      <c r="CR38" s="356">
        <f>CQ38*1.17</f>
        <v>112320000</v>
      </c>
      <c r="CS38" s="357">
        <f>CR38*1.08</f>
        <v>121305600.00000001</v>
      </c>
      <c r="CT38" s="332">
        <f>CS38*1.09</f>
        <v>132223104.00000003</v>
      </c>
      <c r="CU38" s="358">
        <f>CT38*1.09</f>
        <v>144123183.36000004</v>
      </c>
      <c r="CV38" s="57" t="s">
        <v>38</v>
      </c>
    </row>
    <row r="39" spans="1:101" ht="15" customHeight="1" outlineLevel="2">
      <c r="A39" s="276" t="s">
        <v>39</v>
      </c>
      <c r="B39" s="277" t="str">
        <f t="shared" si="3"/>
        <v>PACK JAKARTAPACKAGEHIAS RITEL INDONESIA</v>
      </c>
      <c r="C39" s="276" t="s">
        <v>36</v>
      </c>
      <c r="D39" s="276" t="s">
        <v>40</v>
      </c>
      <c r="E39" s="287" t="s">
        <v>74</v>
      </c>
      <c r="F39" s="287"/>
      <c r="G39" s="64">
        <v>4234885385</v>
      </c>
      <c r="H39" s="65">
        <v>78793412</v>
      </c>
      <c r="I39" s="65">
        <v>34229729</v>
      </c>
      <c r="J39" s="65">
        <v>0</v>
      </c>
      <c r="K39" s="65">
        <v>0</v>
      </c>
      <c r="L39" s="65">
        <v>0</v>
      </c>
      <c r="M39" s="65">
        <v>0</v>
      </c>
      <c r="N39" s="65">
        <v>0</v>
      </c>
      <c r="O39" s="65">
        <v>0</v>
      </c>
      <c r="P39" s="65">
        <v>0</v>
      </c>
      <c r="Q39" s="65">
        <v>0</v>
      </c>
      <c r="R39" s="65">
        <v>0</v>
      </c>
      <c r="S39" s="65">
        <v>-76852478</v>
      </c>
      <c r="T39" s="65">
        <v>0</v>
      </c>
      <c r="U39" s="65">
        <v>0</v>
      </c>
      <c r="V39" s="65">
        <v>0</v>
      </c>
      <c r="W39" s="66">
        <f t="shared" si="4"/>
        <v>36170663</v>
      </c>
      <c r="X39" s="55"/>
      <c r="Y39" s="67">
        <v>0</v>
      </c>
      <c r="Z39" s="67">
        <v>0</v>
      </c>
      <c r="AA39" s="67">
        <v>0</v>
      </c>
      <c r="AB39" s="67">
        <v>0</v>
      </c>
      <c r="AC39" s="67">
        <v>0</v>
      </c>
      <c r="AD39" s="67">
        <v>0</v>
      </c>
      <c r="AE39" s="67">
        <v>0</v>
      </c>
      <c r="AF39" s="67">
        <v>0</v>
      </c>
      <c r="AG39" s="67">
        <v>0</v>
      </c>
      <c r="AH39" s="67">
        <v>0</v>
      </c>
      <c r="AI39" s="67">
        <v>0</v>
      </c>
      <c r="AJ39" s="67">
        <v>0</v>
      </c>
      <c r="AK39" s="61">
        <v>0</v>
      </c>
      <c r="AL39" s="55"/>
      <c r="AM39" s="67">
        <v>0</v>
      </c>
      <c r="AN39" s="67">
        <v>0</v>
      </c>
      <c r="AO39" s="67">
        <v>0</v>
      </c>
      <c r="AP39" s="67">
        <v>0</v>
      </c>
      <c r="AQ39" s="67">
        <v>0</v>
      </c>
      <c r="AR39" s="67">
        <v>0</v>
      </c>
      <c r="AS39" s="67">
        <v>0</v>
      </c>
      <c r="AT39" s="67">
        <v>0</v>
      </c>
      <c r="AU39" s="67">
        <v>0</v>
      </c>
      <c r="AV39" s="67">
        <v>0</v>
      </c>
      <c r="AW39" s="67">
        <v>0</v>
      </c>
      <c r="AX39" s="67">
        <v>0</v>
      </c>
      <c r="AY39" s="122">
        <v>0</v>
      </c>
      <c r="AZ39" s="55"/>
      <c r="BA39" s="639">
        <v>0</v>
      </c>
      <c r="BB39" s="639">
        <v>0</v>
      </c>
      <c r="BC39" s="86"/>
      <c r="BD39" s="639">
        <v>0</v>
      </c>
      <c r="BE39" s="86"/>
      <c r="BF39" s="639"/>
      <c r="BG39" s="86">
        <v>0</v>
      </c>
      <c r="BH39" s="639"/>
      <c r="BI39" s="86">
        <v>0</v>
      </c>
      <c r="BJ39" s="639">
        <v>0</v>
      </c>
      <c r="BK39" s="86">
        <v>0</v>
      </c>
      <c r="BL39" s="639">
        <v>0</v>
      </c>
      <c r="BM39" s="86"/>
      <c r="BN39" s="695">
        <v>0</v>
      </c>
      <c r="BO39" s="696"/>
      <c r="BP39" s="695"/>
      <c r="BQ39" s="696"/>
      <c r="BR39" s="729"/>
      <c r="BS39" s="695"/>
      <c r="BT39" s="696"/>
      <c r="BU39" s="729"/>
      <c r="BV39" s="695"/>
      <c r="BW39" s="696"/>
      <c r="BX39" s="729"/>
      <c r="BY39" s="695"/>
      <c r="BZ39" s="696"/>
      <c r="CA39" s="729"/>
      <c r="CB39" s="720">
        <f t="shared" si="5"/>
        <v>0</v>
      </c>
      <c r="CC39" s="721">
        <f t="shared" si="6"/>
        <v>0</v>
      </c>
      <c r="CD39" s="738"/>
      <c r="CE39" s="323"/>
      <c r="CF39" s="323"/>
      <c r="CG39" s="323"/>
      <c r="CH39" s="323"/>
      <c r="CI39" s="323"/>
      <c r="CJ39" s="323"/>
      <c r="CK39" s="323"/>
      <c r="CL39" s="323"/>
      <c r="CM39" s="323"/>
      <c r="CN39" s="323"/>
      <c r="CO39" s="323"/>
      <c r="CP39" s="323"/>
      <c r="CQ39" s="355">
        <f t="shared" si="7"/>
        <v>0</v>
      </c>
      <c r="CR39" s="356">
        <f>CQ39*1.07</f>
        <v>0</v>
      </c>
      <c r="CS39" s="357">
        <f>CR39*1.07</f>
        <v>0</v>
      </c>
      <c r="CT39" s="332">
        <f>CS39*1.07</f>
        <v>0</v>
      </c>
      <c r="CU39" s="358">
        <f>CT39*1.07</f>
        <v>0</v>
      </c>
      <c r="CV39" s="57" t="s">
        <v>38</v>
      </c>
    </row>
    <row r="40" spans="1:101" ht="15" customHeight="1" outlineLevel="2">
      <c r="A40" s="276" t="s">
        <v>39</v>
      </c>
      <c r="B40" s="277" t="str">
        <f t="shared" si="3"/>
        <v>PACK JAKARTAPACKAGEINDAH KIAT PULP &amp; PAPER Tbk.</v>
      </c>
      <c r="C40" s="276" t="s">
        <v>36</v>
      </c>
      <c r="D40" s="276" t="s">
        <v>40</v>
      </c>
      <c r="E40" s="287" t="s">
        <v>75</v>
      </c>
      <c r="F40" s="287">
        <v>3000002443</v>
      </c>
      <c r="G40" s="64">
        <v>212092000</v>
      </c>
      <c r="H40" s="65">
        <v>103446500</v>
      </c>
      <c r="I40" s="65">
        <v>146699000</v>
      </c>
      <c r="J40" s="65">
        <v>149889000</v>
      </c>
      <c r="K40" s="65">
        <v>155811500</v>
      </c>
      <c r="L40" s="65">
        <v>151146500</v>
      </c>
      <c r="M40" s="65">
        <v>116164000</v>
      </c>
      <c r="N40" s="65">
        <v>110509000</v>
      </c>
      <c r="O40" s="65">
        <v>103046500</v>
      </c>
      <c r="P40" s="65">
        <v>105811500</v>
      </c>
      <c r="Q40" s="65">
        <v>78564500</v>
      </c>
      <c r="R40" s="65">
        <v>70550000</v>
      </c>
      <c r="S40" s="65">
        <v>74175000</v>
      </c>
      <c r="T40" s="65">
        <v>105811500</v>
      </c>
      <c r="U40" s="65">
        <v>105811500</v>
      </c>
      <c r="V40" s="65">
        <v>105811500</v>
      </c>
      <c r="W40" s="66">
        <f t="shared" si="4"/>
        <v>1365813000</v>
      </c>
      <c r="X40" s="55"/>
      <c r="Y40" s="67">
        <v>105811500</v>
      </c>
      <c r="Z40" s="67">
        <v>105811500</v>
      </c>
      <c r="AA40" s="67">
        <v>105811500</v>
      </c>
      <c r="AB40" s="67">
        <v>105811500</v>
      </c>
      <c r="AC40" s="67">
        <v>105811500</v>
      </c>
      <c r="AD40" s="67">
        <v>105811500</v>
      </c>
      <c r="AE40" s="67">
        <v>105811500</v>
      </c>
      <c r="AF40" s="67">
        <v>105811500</v>
      </c>
      <c r="AG40" s="67">
        <v>105811500</v>
      </c>
      <c r="AH40" s="67">
        <v>105811500</v>
      </c>
      <c r="AI40" s="67">
        <v>105811500</v>
      </c>
      <c r="AJ40" s="67">
        <v>105811500</v>
      </c>
      <c r="AK40" s="61">
        <v>1269738000</v>
      </c>
      <c r="AL40" s="55"/>
      <c r="AM40" s="67">
        <v>105811500</v>
      </c>
      <c r="AN40" s="67">
        <v>105811500</v>
      </c>
      <c r="AO40" s="67">
        <v>105811500</v>
      </c>
      <c r="AP40" s="67">
        <v>105811500</v>
      </c>
      <c r="AQ40" s="67">
        <v>105811500</v>
      </c>
      <c r="AR40" s="67">
        <v>105811500</v>
      </c>
      <c r="AS40" s="67">
        <v>105811500</v>
      </c>
      <c r="AT40" s="67">
        <v>105811500</v>
      </c>
      <c r="AU40" s="67">
        <v>105811500</v>
      </c>
      <c r="AV40" s="67">
        <v>105811500</v>
      </c>
      <c r="AW40" s="67">
        <v>105811500</v>
      </c>
      <c r="AX40" s="67">
        <v>105811500</v>
      </c>
      <c r="AY40" s="122">
        <v>1269738000</v>
      </c>
      <c r="AZ40" s="55"/>
      <c r="BA40" s="639">
        <v>74450000</v>
      </c>
      <c r="BB40" s="639">
        <v>67957500</v>
      </c>
      <c r="BC40" s="86">
        <v>74450000</v>
      </c>
      <c r="BD40" s="639">
        <v>67950000</v>
      </c>
      <c r="BE40" s="86">
        <v>74450000</v>
      </c>
      <c r="BF40" s="639">
        <v>13590000</v>
      </c>
      <c r="BG40" s="86"/>
      <c r="BH40" s="639"/>
      <c r="BI40" s="86"/>
      <c r="BJ40" s="639">
        <v>0</v>
      </c>
      <c r="BK40" s="86"/>
      <c r="BL40" s="639">
        <v>0</v>
      </c>
      <c r="BM40" s="86"/>
      <c r="BN40" s="695">
        <v>0</v>
      </c>
      <c r="BO40" s="696"/>
      <c r="BP40" s="695"/>
      <c r="BQ40" s="696"/>
      <c r="BR40" s="729"/>
      <c r="BS40" s="695"/>
      <c r="BT40" s="696"/>
      <c r="BU40" s="729"/>
      <c r="BV40" s="695"/>
      <c r="BW40" s="696"/>
      <c r="BX40" s="729"/>
      <c r="BY40" s="695"/>
      <c r="BZ40" s="696"/>
      <c r="CA40" s="729"/>
      <c r="CB40" s="720">
        <f t="shared" si="5"/>
        <v>223947500</v>
      </c>
      <c r="CC40" s="721">
        <f t="shared" si="6"/>
        <v>223947500</v>
      </c>
      <c r="CD40" s="738"/>
      <c r="CE40" s="323"/>
      <c r="CF40" s="323"/>
      <c r="CG40" s="323"/>
      <c r="CH40" s="323"/>
      <c r="CI40" s="323"/>
      <c r="CJ40" s="323"/>
      <c r="CK40" s="323"/>
      <c r="CL40" s="323"/>
      <c r="CM40" s="323"/>
      <c r="CN40" s="323"/>
      <c r="CO40" s="323"/>
      <c r="CP40" s="323"/>
      <c r="CQ40" s="355">
        <f t="shared" si="7"/>
        <v>0</v>
      </c>
      <c r="CR40" s="356">
        <f>CQ40*1.17</f>
        <v>0</v>
      </c>
      <c r="CS40" s="357">
        <f>CR40*1.1</f>
        <v>0</v>
      </c>
      <c r="CT40" s="332">
        <f>CS40*1.12</f>
        <v>0</v>
      </c>
      <c r="CU40" s="358">
        <f>CT40*1.12</f>
        <v>0</v>
      </c>
      <c r="CV40" s="57" t="s">
        <v>38</v>
      </c>
    </row>
    <row r="41" spans="1:101" ht="15" customHeight="1" outlineLevel="2">
      <c r="A41" s="286" t="s">
        <v>35</v>
      </c>
      <c r="B41" s="277" t="str">
        <f t="shared" si="3"/>
        <v>PACK JAKARTAPACKAGEINTI MEGAH SWARA</v>
      </c>
      <c r="C41" s="276" t="s">
        <v>36</v>
      </c>
      <c r="E41" s="287" t="s">
        <v>76</v>
      </c>
      <c r="F41" s="287"/>
      <c r="G41" s="68">
        <v>87419312</v>
      </c>
      <c r="H41" s="65"/>
      <c r="I41" s="65"/>
      <c r="J41" s="65"/>
      <c r="K41" s="65"/>
      <c r="L41" s="65"/>
      <c r="M41" s="65"/>
      <c r="N41" s="65"/>
      <c r="O41" s="65"/>
      <c r="P41" s="65">
        <v>0</v>
      </c>
      <c r="Q41" s="65">
        <v>0</v>
      </c>
      <c r="R41" s="65">
        <v>0</v>
      </c>
      <c r="S41" s="65">
        <v>0</v>
      </c>
      <c r="T41" s="65">
        <v>0</v>
      </c>
      <c r="U41" s="65">
        <v>0</v>
      </c>
      <c r="V41" s="65">
        <v>0</v>
      </c>
      <c r="W41" s="66">
        <f t="shared" si="4"/>
        <v>0</v>
      </c>
      <c r="X41" s="55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1">
        <v>0</v>
      </c>
      <c r="AL41" s="55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122">
        <v>0</v>
      </c>
      <c r="AZ41" s="55"/>
      <c r="BA41" s="639">
        <v>0</v>
      </c>
      <c r="BB41" s="639">
        <v>0</v>
      </c>
      <c r="BC41" s="86"/>
      <c r="BD41" s="639">
        <v>0</v>
      </c>
      <c r="BE41" s="86"/>
      <c r="BF41" s="639"/>
      <c r="BG41" s="86">
        <v>0</v>
      </c>
      <c r="BH41" s="639"/>
      <c r="BI41" s="86">
        <v>0</v>
      </c>
      <c r="BJ41" s="639">
        <v>0</v>
      </c>
      <c r="BK41" s="86">
        <v>0</v>
      </c>
      <c r="BL41" s="639">
        <v>0</v>
      </c>
      <c r="BM41" s="86"/>
      <c r="BN41" s="695">
        <v>0</v>
      </c>
      <c r="BO41" s="696"/>
      <c r="BP41" s="695"/>
      <c r="BQ41" s="696"/>
      <c r="BR41" s="729"/>
      <c r="BS41" s="695"/>
      <c r="BT41" s="696"/>
      <c r="BU41" s="729"/>
      <c r="BV41" s="695"/>
      <c r="BW41" s="696"/>
      <c r="BX41" s="729"/>
      <c r="BY41" s="695"/>
      <c r="BZ41" s="696"/>
      <c r="CA41" s="729"/>
      <c r="CB41" s="720">
        <f t="shared" si="5"/>
        <v>0</v>
      </c>
      <c r="CC41" s="721">
        <f t="shared" si="6"/>
        <v>0</v>
      </c>
      <c r="CD41" s="738"/>
      <c r="CE41" s="323"/>
      <c r="CF41" s="323"/>
      <c r="CG41" s="323"/>
      <c r="CH41" s="323"/>
      <c r="CI41" s="323"/>
      <c r="CJ41" s="323"/>
      <c r="CK41" s="323"/>
      <c r="CL41" s="323"/>
      <c r="CM41" s="323"/>
      <c r="CN41" s="323"/>
      <c r="CO41" s="323"/>
      <c r="CP41" s="323"/>
      <c r="CQ41" s="355">
        <f t="shared" si="7"/>
        <v>0</v>
      </c>
      <c r="CR41" s="356"/>
      <c r="CS41" s="357"/>
      <c r="CT41" s="332"/>
      <c r="CU41" s="358"/>
      <c r="CV41" s="57" t="s">
        <v>38</v>
      </c>
    </row>
    <row r="42" spans="1:101" ht="15" customHeight="1" outlineLevel="2">
      <c r="A42" s="276" t="s">
        <v>39</v>
      </c>
      <c r="B42" s="277" t="str">
        <f t="shared" si="3"/>
        <v>PACK JAKARTAPACKAGEITOCHU INDONESIA</v>
      </c>
      <c r="C42" s="276" t="s">
        <v>36</v>
      </c>
      <c r="D42" s="276" t="s">
        <v>40</v>
      </c>
      <c r="E42" s="287" t="s">
        <v>77</v>
      </c>
      <c r="F42" s="287">
        <v>3000002698</v>
      </c>
      <c r="G42" s="64">
        <v>96363000</v>
      </c>
      <c r="H42" s="65">
        <v>7829000</v>
      </c>
      <c r="I42" s="65">
        <v>4784500</v>
      </c>
      <c r="J42" s="65">
        <v>6861000</v>
      </c>
      <c r="K42" s="65">
        <v>7339500</v>
      </c>
      <c r="L42" s="65">
        <v>8443000</v>
      </c>
      <c r="M42" s="65">
        <v>5292000</v>
      </c>
      <c r="N42" s="65">
        <v>5223000</v>
      </c>
      <c r="O42" s="65">
        <v>5923500</v>
      </c>
      <c r="P42" s="65">
        <v>9072000</v>
      </c>
      <c r="Q42" s="65">
        <v>7965000</v>
      </c>
      <c r="R42" s="65">
        <v>11740000</v>
      </c>
      <c r="S42" s="65">
        <v>6421000</v>
      </c>
      <c r="T42" s="65">
        <v>9072000</v>
      </c>
      <c r="U42" s="65">
        <v>9072000</v>
      </c>
      <c r="V42" s="65">
        <v>9072000</v>
      </c>
      <c r="W42" s="66">
        <f t="shared" si="4"/>
        <v>86893500</v>
      </c>
      <c r="X42" s="55"/>
      <c r="Y42" s="67">
        <v>6000000</v>
      </c>
      <c r="Z42" s="67">
        <v>6000000</v>
      </c>
      <c r="AA42" s="67">
        <v>6000000</v>
      </c>
      <c r="AB42" s="67">
        <v>6000000</v>
      </c>
      <c r="AC42" s="67">
        <v>6000000</v>
      </c>
      <c r="AD42" s="67">
        <v>6000000</v>
      </c>
      <c r="AE42" s="67">
        <v>6000000</v>
      </c>
      <c r="AF42" s="67">
        <v>6000000</v>
      </c>
      <c r="AG42" s="67">
        <v>6000000</v>
      </c>
      <c r="AH42" s="67">
        <v>6000000</v>
      </c>
      <c r="AI42" s="67">
        <v>6000000</v>
      </c>
      <c r="AJ42" s="67">
        <v>6000000</v>
      </c>
      <c r="AK42" s="61">
        <v>72000000</v>
      </c>
      <c r="AL42" s="55"/>
      <c r="AM42" s="67">
        <v>6000000</v>
      </c>
      <c r="AN42" s="67">
        <v>6000000</v>
      </c>
      <c r="AO42" s="67">
        <v>6000000</v>
      </c>
      <c r="AP42" s="67">
        <v>6000000</v>
      </c>
      <c r="AQ42" s="67">
        <v>6000000</v>
      </c>
      <c r="AR42" s="67">
        <v>6000000</v>
      </c>
      <c r="AS42" s="67">
        <v>6000000</v>
      </c>
      <c r="AT42" s="67">
        <v>6000000</v>
      </c>
      <c r="AU42" s="67">
        <v>6000000</v>
      </c>
      <c r="AV42" s="67">
        <v>6000000</v>
      </c>
      <c r="AW42" s="67">
        <v>6000000</v>
      </c>
      <c r="AX42" s="67">
        <v>6000000</v>
      </c>
      <c r="AY42" s="122">
        <v>72000000</v>
      </c>
      <c r="AZ42" s="55"/>
      <c r="BA42" s="639">
        <v>15664000</v>
      </c>
      <c r="BB42" s="639">
        <v>11976800</v>
      </c>
      <c r="BC42" s="86">
        <v>15664000</v>
      </c>
      <c r="BD42" s="639">
        <v>9506800</v>
      </c>
      <c r="BE42" s="86">
        <v>15664000</v>
      </c>
      <c r="BF42" s="639">
        <v>9715000</v>
      </c>
      <c r="BG42" s="86">
        <v>11976800</v>
      </c>
      <c r="BH42" s="639">
        <v>13187200</v>
      </c>
      <c r="BI42" s="86">
        <v>11976800</v>
      </c>
      <c r="BJ42" s="639">
        <v>10118800</v>
      </c>
      <c r="BK42" s="86">
        <v>11976800</v>
      </c>
      <c r="BL42" s="639">
        <v>9543600</v>
      </c>
      <c r="BM42" s="86">
        <v>11976800</v>
      </c>
      <c r="BN42" s="695">
        <v>12129200</v>
      </c>
      <c r="BO42" s="696">
        <v>11976800</v>
      </c>
      <c r="BP42" s="695"/>
      <c r="BQ42" s="696">
        <v>11976800</v>
      </c>
      <c r="BR42" s="729">
        <v>11976800</v>
      </c>
      <c r="BS42" s="695"/>
      <c r="BT42" s="696">
        <v>11976800</v>
      </c>
      <c r="BU42" s="729">
        <v>11976800</v>
      </c>
      <c r="BV42" s="695"/>
      <c r="BW42" s="696">
        <v>11976800</v>
      </c>
      <c r="BX42" s="729">
        <v>11976800</v>
      </c>
      <c r="BY42" s="695"/>
      <c r="BZ42" s="696">
        <v>11976800</v>
      </c>
      <c r="CA42" s="729">
        <v>11976800</v>
      </c>
      <c r="CB42" s="720">
        <f t="shared" si="5"/>
        <v>139748600</v>
      </c>
      <c r="CC42" s="721">
        <f t="shared" si="6"/>
        <v>139748600</v>
      </c>
      <c r="CD42" s="738"/>
      <c r="CE42" s="323">
        <v>14000000</v>
      </c>
      <c r="CF42" s="323">
        <v>12000000</v>
      </c>
      <c r="CG42" s="323">
        <v>12000000</v>
      </c>
      <c r="CH42" s="323">
        <v>12000000</v>
      </c>
      <c r="CI42" s="323">
        <v>10000000</v>
      </c>
      <c r="CJ42" s="323">
        <v>12000000</v>
      </c>
      <c r="CK42" s="323">
        <v>12000000</v>
      </c>
      <c r="CL42" s="323">
        <v>12000000</v>
      </c>
      <c r="CM42" s="323">
        <v>12000000</v>
      </c>
      <c r="CN42" s="323">
        <v>12000000</v>
      </c>
      <c r="CO42" s="323">
        <v>12000000</v>
      </c>
      <c r="CP42" s="323">
        <v>12000000</v>
      </c>
      <c r="CQ42" s="355">
        <f t="shared" si="7"/>
        <v>144000000</v>
      </c>
      <c r="CR42" s="356">
        <f>CQ42*1.17</f>
        <v>168480000</v>
      </c>
      <c r="CS42" s="357">
        <f>CR42*1.08</f>
        <v>181958400</v>
      </c>
      <c r="CT42" s="332">
        <f>CS42*1.09</f>
        <v>198334656</v>
      </c>
      <c r="CU42" s="358">
        <f>CT42*1.09</f>
        <v>216184775.04000002</v>
      </c>
      <c r="CV42" s="57" t="s">
        <v>38</v>
      </c>
    </row>
    <row r="43" spans="1:101" ht="15" customHeight="1" outlineLevel="2">
      <c r="A43" s="276" t="s">
        <v>43</v>
      </c>
      <c r="B43" s="277" t="str">
        <f>$E$7&amp;$E$6&amp;E43</f>
        <v>PACK JAKARTAPACKAGEJAGAT KARYA PUTRA INDONESIA</v>
      </c>
      <c r="C43" s="276" t="s">
        <v>36</v>
      </c>
      <c r="D43" s="276" t="s">
        <v>40</v>
      </c>
      <c r="E43" s="287" t="s">
        <v>78</v>
      </c>
      <c r="F43" s="287">
        <v>3000020357</v>
      </c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>
        <v>0</v>
      </c>
      <c r="R43" s="65">
        <v>2826000</v>
      </c>
      <c r="S43" s="65">
        <v>24358000</v>
      </c>
      <c r="T43" s="65">
        <v>8250000</v>
      </c>
      <c r="U43" s="65">
        <v>8250000</v>
      </c>
      <c r="V43" s="65">
        <v>8250000</v>
      </c>
      <c r="W43" s="66">
        <f>SUM(H43:S43)</f>
        <v>27184000</v>
      </c>
      <c r="X43" s="55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1">
        <v>0</v>
      </c>
      <c r="AL43" s="55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122">
        <v>0</v>
      </c>
      <c r="AZ43" s="55"/>
      <c r="BA43" s="639">
        <v>12695000</v>
      </c>
      <c r="BB43" s="639">
        <v>26085000</v>
      </c>
      <c r="BC43" s="86">
        <v>12695000</v>
      </c>
      <c r="BD43" s="639">
        <v>17060000</v>
      </c>
      <c r="BE43" s="86">
        <v>12695000</v>
      </c>
      <c r="BF43" s="639">
        <v>17135000</v>
      </c>
      <c r="BG43" s="86">
        <v>26085000</v>
      </c>
      <c r="BH43" s="639">
        <v>11961000</v>
      </c>
      <c r="BI43" s="86">
        <v>26085000</v>
      </c>
      <c r="BJ43" s="639">
        <v>12660000</v>
      </c>
      <c r="BK43" s="86">
        <v>26085000</v>
      </c>
      <c r="BL43" s="639">
        <v>9690000</v>
      </c>
      <c r="BM43" s="86">
        <v>26085000</v>
      </c>
      <c r="BN43" s="695">
        <v>18775000</v>
      </c>
      <c r="BO43" s="696">
        <v>26085000</v>
      </c>
      <c r="BP43" s="695"/>
      <c r="BQ43" s="696">
        <v>26085000</v>
      </c>
      <c r="BR43" s="729">
        <v>19000000</v>
      </c>
      <c r="BS43" s="695"/>
      <c r="BT43" s="696">
        <v>26085000</v>
      </c>
      <c r="BU43" s="729">
        <v>19000000</v>
      </c>
      <c r="BV43" s="695"/>
      <c r="BW43" s="696">
        <v>26085000</v>
      </c>
      <c r="BX43" s="729">
        <v>19000000</v>
      </c>
      <c r="BY43" s="695"/>
      <c r="BZ43" s="696">
        <v>26085000</v>
      </c>
      <c r="CA43" s="729">
        <v>19000000</v>
      </c>
      <c r="CB43" s="720">
        <f t="shared" si="5"/>
        <v>202061000</v>
      </c>
      <c r="CC43" s="721">
        <f t="shared" si="6"/>
        <v>202061000</v>
      </c>
      <c r="CD43" s="738"/>
      <c r="CE43" s="323"/>
      <c r="CF43" s="323"/>
      <c r="CG43" s="323"/>
      <c r="CH43" s="323"/>
      <c r="CI43" s="323"/>
      <c r="CJ43" s="323"/>
      <c r="CK43" s="323"/>
      <c r="CL43" s="323"/>
      <c r="CM43" s="323"/>
      <c r="CN43" s="323"/>
      <c r="CO43" s="323"/>
      <c r="CP43" s="323"/>
      <c r="CQ43" s="355">
        <f t="shared" si="7"/>
        <v>0</v>
      </c>
      <c r="CR43" s="356"/>
      <c r="CS43" s="357"/>
      <c r="CT43" s="332"/>
      <c r="CU43" s="358"/>
      <c r="CV43" s="57" t="s">
        <v>38</v>
      </c>
    </row>
    <row r="44" spans="1:101" ht="15" customHeight="1" outlineLevel="2">
      <c r="A44" s="286" t="s">
        <v>35</v>
      </c>
      <c r="B44" s="277" t="str">
        <f t="shared" si="3"/>
        <v>PACK JAKARTAPACKAGEKARYA MANDIRI LESTARi</v>
      </c>
      <c r="C44" s="276" t="s">
        <v>36</v>
      </c>
      <c r="E44" s="287" t="s">
        <v>79</v>
      </c>
      <c r="F44" s="287"/>
      <c r="G44" s="68">
        <v>118597978</v>
      </c>
      <c r="H44" s="65"/>
      <c r="I44" s="65"/>
      <c r="J44" s="65"/>
      <c r="K44" s="65"/>
      <c r="L44" s="65"/>
      <c r="M44" s="65"/>
      <c r="N44" s="65"/>
      <c r="O44" s="65"/>
      <c r="P44" s="65">
        <v>0</v>
      </c>
      <c r="Q44" s="65">
        <v>0</v>
      </c>
      <c r="R44" s="65">
        <v>0</v>
      </c>
      <c r="S44" s="65">
        <v>0</v>
      </c>
      <c r="T44" s="65">
        <v>0</v>
      </c>
      <c r="U44" s="65">
        <v>0</v>
      </c>
      <c r="V44" s="65">
        <v>0</v>
      </c>
      <c r="W44" s="66">
        <f t="shared" si="4"/>
        <v>0</v>
      </c>
      <c r="X44" s="55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1">
        <v>0</v>
      </c>
      <c r="AL44" s="55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  <c r="AX44" s="67"/>
      <c r="AY44" s="122">
        <v>0</v>
      </c>
      <c r="AZ44" s="55"/>
      <c r="BA44" s="639">
        <v>0</v>
      </c>
      <c r="BB44" s="639">
        <v>0</v>
      </c>
      <c r="BC44" s="86"/>
      <c r="BD44" s="639">
        <v>0</v>
      </c>
      <c r="BE44" s="86"/>
      <c r="BF44" s="639">
        <v>0</v>
      </c>
      <c r="BG44" s="86">
        <v>0</v>
      </c>
      <c r="BH44" s="639"/>
      <c r="BI44" s="86">
        <v>0</v>
      </c>
      <c r="BJ44" s="639">
        <v>0</v>
      </c>
      <c r="BK44" s="86">
        <v>0</v>
      </c>
      <c r="BL44" s="639">
        <v>0</v>
      </c>
      <c r="BM44" s="86"/>
      <c r="BN44" s="695">
        <v>0</v>
      </c>
      <c r="BO44" s="696"/>
      <c r="BP44" s="695"/>
      <c r="BQ44" s="696"/>
      <c r="BR44" s="729"/>
      <c r="BS44" s="695"/>
      <c r="BT44" s="696"/>
      <c r="BU44" s="729"/>
      <c r="BV44" s="695"/>
      <c r="BW44" s="696"/>
      <c r="BX44" s="729"/>
      <c r="BY44" s="695"/>
      <c r="BZ44" s="696"/>
      <c r="CA44" s="729"/>
      <c r="CB44" s="720">
        <f t="shared" si="5"/>
        <v>0</v>
      </c>
      <c r="CC44" s="721">
        <f t="shared" si="6"/>
        <v>0</v>
      </c>
      <c r="CD44" s="738"/>
      <c r="CE44" s="323"/>
      <c r="CF44" s="323"/>
      <c r="CG44" s="323"/>
      <c r="CH44" s="323"/>
      <c r="CI44" s="323"/>
      <c r="CJ44" s="323"/>
      <c r="CK44" s="323"/>
      <c r="CL44" s="323"/>
      <c r="CM44" s="323"/>
      <c r="CN44" s="323"/>
      <c r="CO44" s="323"/>
      <c r="CP44" s="323"/>
      <c r="CQ44" s="355">
        <f t="shared" si="7"/>
        <v>0</v>
      </c>
      <c r="CR44" s="356"/>
      <c r="CS44" s="357"/>
      <c r="CT44" s="332"/>
      <c r="CU44" s="358"/>
      <c r="CV44" s="57" t="s">
        <v>38</v>
      </c>
    </row>
    <row r="45" spans="1:101" ht="15" customHeight="1" outlineLevel="2">
      <c r="A45" s="276" t="s">
        <v>43</v>
      </c>
      <c r="B45" s="277" t="str">
        <f t="shared" si="3"/>
        <v>PACK JAKARTAPACKAGEKAYU RAYA INDONESIA</v>
      </c>
      <c r="C45" s="276" t="s">
        <v>36</v>
      </c>
      <c r="D45" s="276" t="s">
        <v>40</v>
      </c>
      <c r="E45" s="287" t="s">
        <v>80</v>
      </c>
      <c r="F45" s="287"/>
      <c r="G45" s="64">
        <v>6202089507</v>
      </c>
      <c r="H45" s="65">
        <v>273915395</v>
      </c>
      <c r="I45" s="65">
        <v>268535750</v>
      </c>
      <c r="J45" s="65">
        <v>254167885</v>
      </c>
      <c r="K45" s="65">
        <v>172937465</v>
      </c>
      <c r="L45" s="65">
        <v>167441009</v>
      </c>
      <c r="M45" s="65">
        <v>179691579</v>
      </c>
      <c r="N45" s="65">
        <v>159762867</v>
      </c>
      <c r="O45" s="65">
        <v>0</v>
      </c>
      <c r="P45" s="65">
        <v>0</v>
      </c>
      <c r="Q45" s="65">
        <v>0</v>
      </c>
      <c r="R45" s="65">
        <v>0</v>
      </c>
      <c r="S45" s="65">
        <v>0</v>
      </c>
      <c r="T45" s="65">
        <v>0</v>
      </c>
      <c r="U45" s="65">
        <v>0</v>
      </c>
      <c r="V45" s="65">
        <v>0</v>
      </c>
      <c r="W45" s="66">
        <f t="shared" si="4"/>
        <v>1476451950</v>
      </c>
      <c r="X45" s="55"/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>
        <v>0</v>
      </c>
      <c r="AE45" s="67">
        <v>0</v>
      </c>
      <c r="AF45" s="67">
        <v>0</v>
      </c>
      <c r="AG45" s="67">
        <v>0</v>
      </c>
      <c r="AH45" s="67">
        <v>0</v>
      </c>
      <c r="AI45" s="67">
        <v>0</v>
      </c>
      <c r="AJ45" s="67">
        <v>0</v>
      </c>
      <c r="AK45" s="61">
        <v>0</v>
      </c>
      <c r="AL45" s="55"/>
      <c r="AM45" s="67">
        <v>0</v>
      </c>
      <c r="AN45" s="67">
        <v>0</v>
      </c>
      <c r="AO45" s="67">
        <v>0</v>
      </c>
      <c r="AP45" s="67">
        <v>0</v>
      </c>
      <c r="AQ45" s="67">
        <v>0</v>
      </c>
      <c r="AR45" s="67">
        <v>0</v>
      </c>
      <c r="AS45" s="67">
        <v>0</v>
      </c>
      <c r="AT45" s="67">
        <v>0</v>
      </c>
      <c r="AU45" s="67">
        <v>0</v>
      </c>
      <c r="AV45" s="67">
        <v>0</v>
      </c>
      <c r="AW45" s="67">
        <v>0</v>
      </c>
      <c r="AX45" s="67">
        <v>0</v>
      </c>
      <c r="AY45" s="122">
        <v>0</v>
      </c>
      <c r="AZ45" s="55"/>
      <c r="BA45" s="639">
        <v>0</v>
      </c>
      <c r="BB45" s="639">
        <v>0</v>
      </c>
      <c r="BC45" s="86"/>
      <c r="BD45" s="639">
        <v>0</v>
      </c>
      <c r="BE45" s="86"/>
      <c r="BF45" s="639">
        <v>0</v>
      </c>
      <c r="BG45" s="86">
        <v>0</v>
      </c>
      <c r="BH45" s="639"/>
      <c r="BI45" s="86">
        <v>0</v>
      </c>
      <c r="BJ45" s="639">
        <v>0</v>
      </c>
      <c r="BK45" s="86">
        <v>0</v>
      </c>
      <c r="BL45" s="639">
        <v>0</v>
      </c>
      <c r="BM45" s="86"/>
      <c r="BN45" s="695">
        <v>0</v>
      </c>
      <c r="BO45" s="696"/>
      <c r="BP45" s="695"/>
      <c r="BQ45" s="696"/>
      <c r="BR45" s="729"/>
      <c r="BS45" s="695"/>
      <c r="BT45" s="696"/>
      <c r="BU45" s="729"/>
      <c r="BV45" s="695"/>
      <c r="BW45" s="696"/>
      <c r="BX45" s="729"/>
      <c r="BY45" s="695"/>
      <c r="BZ45" s="696"/>
      <c r="CA45" s="729"/>
      <c r="CB45" s="720">
        <f t="shared" si="5"/>
        <v>0</v>
      </c>
      <c r="CC45" s="721">
        <f t="shared" si="6"/>
        <v>0</v>
      </c>
      <c r="CD45" s="738"/>
      <c r="CE45" s="323"/>
      <c r="CF45" s="323"/>
      <c r="CG45" s="323"/>
      <c r="CH45" s="323"/>
      <c r="CI45" s="323"/>
      <c r="CJ45" s="323"/>
      <c r="CK45" s="323"/>
      <c r="CL45" s="323"/>
      <c r="CM45" s="323"/>
      <c r="CN45" s="323"/>
      <c r="CO45" s="323"/>
      <c r="CP45" s="323"/>
      <c r="CQ45" s="355">
        <f t="shared" si="7"/>
        <v>0</v>
      </c>
      <c r="CR45" s="356">
        <f t="shared" ref="CR45:CU46" si="10">CQ45*1.07</f>
        <v>0</v>
      </c>
      <c r="CS45" s="357">
        <f t="shared" si="10"/>
        <v>0</v>
      </c>
      <c r="CT45" s="332">
        <f t="shared" si="10"/>
        <v>0</v>
      </c>
      <c r="CU45" s="358">
        <f t="shared" si="10"/>
        <v>0</v>
      </c>
      <c r="CV45" s="57" t="s">
        <v>38</v>
      </c>
    </row>
    <row r="46" spans="1:101" ht="15" customHeight="1" outlineLevel="2">
      <c r="A46" s="276" t="s">
        <v>43</v>
      </c>
      <c r="B46" s="277" t="str">
        <f t="shared" si="3"/>
        <v>PACK JAKARTAPACKAGELAM SENG HANG INDONESIA</v>
      </c>
      <c r="C46" s="276" t="s">
        <v>36</v>
      </c>
      <c r="D46" s="276" t="s">
        <v>40</v>
      </c>
      <c r="E46" s="287" t="s">
        <v>81</v>
      </c>
      <c r="F46" s="287"/>
      <c r="G46" s="64">
        <v>0</v>
      </c>
      <c r="H46" s="65">
        <v>0</v>
      </c>
      <c r="I46" s="65">
        <v>0</v>
      </c>
      <c r="J46" s="65">
        <v>0</v>
      </c>
      <c r="K46" s="65">
        <v>6948000</v>
      </c>
      <c r="L46" s="65">
        <v>11480333</v>
      </c>
      <c r="M46" s="65">
        <v>19636371</v>
      </c>
      <c r="N46" s="65">
        <v>0</v>
      </c>
      <c r="O46" s="65">
        <v>0</v>
      </c>
      <c r="P46" s="65">
        <v>0</v>
      </c>
      <c r="Q46" s="65">
        <v>0</v>
      </c>
      <c r="R46" s="65">
        <v>0</v>
      </c>
      <c r="S46" s="65">
        <v>0</v>
      </c>
      <c r="T46" s="65">
        <v>0</v>
      </c>
      <c r="U46" s="65">
        <v>0</v>
      </c>
      <c r="V46" s="65">
        <v>0</v>
      </c>
      <c r="W46" s="66">
        <f t="shared" si="4"/>
        <v>38064704</v>
      </c>
      <c r="X46" s="55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1">
        <v>0</v>
      </c>
      <c r="AL46" s="55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122">
        <v>0</v>
      </c>
      <c r="AZ46" s="55"/>
      <c r="BA46" s="639">
        <v>0</v>
      </c>
      <c r="BB46" s="639">
        <v>0</v>
      </c>
      <c r="BC46" s="86"/>
      <c r="BD46" s="639">
        <v>0</v>
      </c>
      <c r="BE46" s="86"/>
      <c r="BF46" s="639">
        <v>0</v>
      </c>
      <c r="BG46" s="86">
        <v>0</v>
      </c>
      <c r="BH46" s="639"/>
      <c r="BI46" s="86">
        <v>0</v>
      </c>
      <c r="BJ46" s="639">
        <v>0</v>
      </c>
      <c r="BK46" s="86">
        <v>0</v>
      </c>
      <c r="BL46" s="639">
        <v>0</v>
      </c>
      <c r="BM46" s="86"/>
      <c r="BN46" s="695">
        <v>0</v>
      </c>
      <c r="BO46" s="696"/>
      <c r="BP46" s="695"/>
      <c r="BQ46" s="696"/>
      <c r="BR46" s="729"/>
      <c r="BS46" s="695"/>
      <c r="BT46" s="696"/>
      <c r="BU46" s="729"/>
      <c r="BV46" s="695"/>
      <c r="BW46" s="696"/>
      <c r="BX46" s="729"/>
      <c r="BY46" s="695"/>
      <c r="BZ46" s="696"/>
      <c r="CA46" s="729"/>
      <c r="CB46" s="720">
        <f t="shared" si="5"/>
        <v>0</v>
      </c>
      <c r="CC46" s="721">
        <f t="shared" si="6"/>
        <v>0</v>
      </c>
      <c r="CD46" s="738"/>
      <c r="CE46" s="323"/>
      <c r="CF46" s="323"/>
      <c r="CG46" s="323"/>
      <c r="CH46" s="323"/>
      <c r="CI46" s="323"/>
      <c r="CJ46" s="323"/>
      <c r="CK46" s="323"/>
      <c r="CL46" s="323"/>
      <c r="CM46" s="323"/>
      <c r="CN46" s="323"/>
      <c r="CO46" s="323"/>
      <c r="CP46" s="323"/>
      <c r="CQ46" s="355">
        <f t="shared" si="7"/>
        <v>0</v>
      </c>
      <c r="CR46" s="356">
        <f t="shared" si="10"/>
        <v>0</v>
      </c>
      <c r="CS46" s="357">
        <f t="shared" si="10"/>
        <v>0</v>
      </c>
      <c r="CT46" s="332">
        <f t="shared" si="10"/>
        <v>0</v>
      </c>
      <c r="CU46" s="358">
        <f t="shared" si="10"/>
        <v>0</v>
      </c>
      <c r="CV46" s="57" t="s">
        <v>38</v>
      </c>
    </row>
    <row r="47" spans="1:101" ht="15" customHeight="1" outlineLevel="2">
      <c r="A47" s="276" t="s">
        <v>43</v>
      </c>
      <c r="B47" s="277" t="str">
        <f t="shared" si="3"/>
        <v>PACK JAKARTAPACKAGELAM SENG HANG RESIN</v>
      </c>
      <c r="C47" s="276" t="s">
        <v>36</v>
      </c>
      <c r="D47" s="276" t="s">
        <v>40</v>
      </c>
      <c r="E47" s="287" t="s">
        <v>82</v>
      </c>
      <c r="F47" s="287">
        <v>3000013377</v>
      </c>
      <c r="G47" s="64">
        <v>957919002</v>
      </c>
      <c r="H47" s="65">
        <v>109395267</v>
      </c>
      <c r="I47" s="65">
        <v>95118942</v>
      </c>
      <c r="J47" s="65">
        <v>81097507</v>
      </c>
      <c r="K47" s="65">
        <v>84493750</v>
      </c>
      <c r="L47" s="65">
        <v>57529949</v>
      </c>
      <c r="M47" s="65">
        <v>57286151</v>
      </c>
      <c r="N47" s="65">
        <v>31161475</v>
      </c>
      <c r="O47" s="65">
        <v>57607949</v>
      </c>
      <c r="P47" s="65">
        <v>59164625</v>
      </c>
      <c r="Q47" s="65">
        <v>60283950</v>
      </c>
      <c r="R47" s="65">
        <v>57301900</v>
      </c>
      <c r="S47" s="65">
        <v>67994600</v>
      </c>
      <c r="T47" s="65">
        <v>59164625</v>
      </c>
      <c r="U47" s="69">
        <f>59164625+20000000</f>
        <v>79164625</v>
      </c>
      <c r="V47" s="69">
        <f>59164625+20000000</f>
        <v>79164625</v>
      </c>
      <c r="W47" s="66">
        <f t="shared" si="4"/>
        <v>818436065</v>
      </c>
      <c r="X47" s="55"/>
      <c r="Y47" s="67">
        <v>80000000</v>
      </c>
      <c r="Z47" s="67">
        <v>80000000</v>
      </c>
      <c r="AA47" s="67">
        <v>80000000</v>
      </c>
      <c r="AB47" s="67">
        <v>80000000</v>
      </c>
      <c r="AC47" s="67">
        <v>80000000</v>
      </c>
      <c r="AD47" s="67">
        <v>80000000</v>
      </c>
      <c r="AE47" s="67">
        <v>80000000</v>
      </c>
      <c r="AF47" s="67">
        <v>80000000</v>
      </c>
      <c r="AG47" s="67">
        <v>80000000</v>
      </c>
      <c r="AH47" s="67">
        <v>80000000</v>
      </c>
      <c r="AI47" s="67">
        <v>80000000</v>
      </c>
      <c r="AJ47" s="67">
        <v>80000000</v>
      </c>
      <c r="AK47" s="61">
        <v>960000000</v>
      </c>
      <c r="AL47" s="55"/>
      <c r="AM47" s="67">
        <v>80000000</v>
      </c>
      <c r="AN47" s="67">
        <v>80000000</v>
      </c>
      <c r="AO47" s="67">
        <v>80000000</v>
      </c>
      <c r="AP47" s="67">
        <v>80000000</v>
      </c>
      <c r="AQ47" s="67">
        <v>80000000</v>
      </c>
      <c r="AR47" s="67">
        <v>80000000</v>
      </c>
      <c r="AS47" s="67">
        <v>80000000</v>
      </c>
      <c r="AT47" s="67">
        <v>80000000</v>
      </c>
      <c r="AU47" s="67">
        <v>80000000</v>
      </c>
      <c r="AV47" s="67">
        <v>80000000</v>
      </c>
      <c r="AW47" s="67">
        <v>80000000</v>
      </c>
      <c r="AX47" s="67">
        <v>80000000</v>
      </c>
      <c r="AY47" s="122">
        <v>960000000</v>
      </c>
      <c r="AZ47" s="55"/>
      <c r="BA47" s="639">
        <v>60925100</v>
      </c>
      <c r="BB47" s="639">
        <v>61188375</v>
      </c>
      <c r="BC47" s="86">
        <v>60925100</v>
      </c>
      <c r="BD47" s="639">
        <v>60791650</v>
      </c>
      <c r="BE47" s="86">
        <v>60925100</v>
      </c>
      <c r="BF47" s="639">
        <v>58019425</v>
      </c>
      <c r="BG47" s="86">
        <v>61188375</v>
      </c>
      <c r="BH47" s="639">
        <v>58713999</v>
      </c>
      <c r="BI47" s="86">
        <v>61188375</v>
      </c>
      <c r="BJ47" s="639">
        <v>57818750</v>
      </c>
      <c r="BK47" s="86">
        <v>61188375</v>
      </c>
      <c r="BL47" s="639">
        <v>57818750</v>
      </c>
      <c r="BM47" s="86">
        <v>61188375</v>
      </c>
      <c r="BN47" s="695">
        <v>57818749</v>
      </c>
      <c r="BO47" s="696">
        <v>70000000</v>
      </c>
      <c r="BP47" s="695"/>
      <c r="BQ47" s="696">
        <v>70000000</v>
      </c>
      <c r="BR47" s="729">
        <v>62000000</v>
      </c>
      <c r="BS47" s="695"/>
      <c r="BT47" s="696">
        <v>70000000</v>
      </c>
      <c r="BU47" s="729">
        <v>62000000</v>
      </c>
      <c r="BV47" s="695"/>
      <c r="BW47" s="696">
        <v>70000000</v>
      </c>
      <c r="BX47" s="729">
        <v>62000000</v>
      </c>
      <c r="BY47" s="695"/>
      <c r="BZ47" s="696">
        <v>70000000</v>
      </c>
      <c r="CA47" s="729">
        <v>62000000</v>
      </c>
      <c r="CB47" s="720">
        <f t="shared" si="5"/>
        <v>721094798</v>
      </c>
      <c r="CC47" s="721">
        <f t="shared" si="6"/>
        <v>721094798</v>
      </c>
      <c r="CD47" s="738"/>
      <c r="CE47" s="323"/>
      <c r="CF47" s="323"/>
      <c r="CG47" s="323"/>
      <c r="CH47" s="323"/>
      <c r="CI47" s="323"/>
      <c r="CJ47" s="323"/>
      <c r="CK47" s="323"/>
      <c r="CL47" s="323"/>
      <c r="CM47" s="323"/>
      <c r="CN47" s="323"/>
      <c r="CO47" s="323"/>
      <c r="CP47" s="323"/>
      <c r="CQ47" s="355">
        <f t="shared" si="7"/>
        <v>0</v>
      </c>
      <c r="CR47" s="356">
        <f>CQ47*1.17</f>
        <v>0</v>
      </c>
      <c r="CS47" s="357">
        <f>CR47*1.08</f>
        <v>0</v>
      </c>
      <c r="CT47" s="332">
        <f>CS47*1.09</f>
        <v>0</v>
      </c>
      <c r="CU47" s="358">
        <f>CT47*1.09</f>
        <v>0</v>
      </c>
      <c r="CV47" s="57" t="s">
        <v>38</v>
      </c>
    </row>
    <row r="48" spans="1:101" ht="15" customHeight="1" outlineLevel="2">
      <c r="A48" s="276" t="s">
        <v>39</v>
      </c>
      <c r="B48" s="277" t="str">
        <f t="shared" si="3"/>
        <v>PACK JAKARTAPACKAGELAUTAN LUAS TBK</v>
      </c>
      <c r="C48" s="276" t="s">
        <v>36</v>
      </c>
      <c r="D48" s="276" t="s">
        <v>40</v>
      </c>
      <c r="E48" s="287" t="s">
        <v>83</v>
      </c>
      <c r="F48" s="287">
        <v>8000000010</v>
      </c>
      <c r="G48" s="64">
        <v>10364648814</v>
      </c>
      <c r="H48" s="65">
        <v>811938189</v>
      </c>
      <c r="I48" s="65">
        <v>809631746</v>
      </c>
      <c r="J48" s="65">
        <v>763514237</v>
      </c>
      <c r="K48" s="65">
        <v>801699577</v>
      </c>
      <c r="L48" s="65">
        <v>749222373</v>
      </c>
      <c r="M48" s="65">
        <v>762705233</v>
      </c>
      <c r="N48" s="65">
        <v>781752646</v>
      </c>
      <c r="O48" s="65">
        <v>770212431</v>
      </c>
      <c r="P48" s="65">
        <v>669349992</v>
      </c>
      <c r="Q48" s="65">
        <v>702674098</v>
      </c>
      <c r="R48" s="65">
        <v>654999537</v>
      </c>
      <c r="S48" s="65">
        <v>673763943</v>
      </c>
      <c r="T48" s="69">
        <v>750000000</v>
      </c>
      <c r="U48" s="69">
        <v>750000000</v>
      </c>
      <c r="V48" s="69">
        <v>750000000</v>
      </c>
      <c r="W48" s="66">
        <f t="shared" si="4"/>
        <v>8951464002</v>
      </c>
      <c r="X48" s="55"/>
      <c r="Y48" s="67">
        <f t="shared" ref="Y48:AJ48" si="11">700000000-575612.722580748</f>
        <v>699424387.27741921</v>
      </c>
      <c r="Z48" s="67">
        <f t="shared" si="11"/>
        <v>699424387.27741921</v>
      </c>
      <c r="AA48" s="67">
        <f t="shared" si="11"/>
        <v>699424387.27741921</v>
      </c>
      <c r="AB48" s="67">
        <f t="shared" si="11"/>
        <v>699424387.27741921</v>
      </c>
      <c r="AC48" s="67">
        <f t="shared" si="11"/>
        <v>699424387.27741921</v>
      </c>
      <c r="AD48" s="67">
        <f t="shared" si="11"/>
        <v>699424387.27741921</v>
      </c>
      <c r="AE48" s="67">
        <f t="shared" si="11"/>
        <v>699424387.27741921</v>
      </c>
      <c r="AF48" s="67">
        <f t="shared" si="11"/>
        <v>699424387.27741921</v>
      </c>
      <c r="AG48" s="67">
        <f t="shared" si="11"/>
        <v>699424387.27741921</v>
      </c>
      <c r="AH48" s="67">
        <f t="shared" si="11"/>
        <v>699424387.27741921</v>
      </c>
      <c r="AI48" s="67">
        <f t="shared" si="11"/>
        <v>699424387.27741921</v>
      </c>
      <c r="AJ48" s="67">
        <f t="shared" si="11"/>
        <v>699424387.27741921</v>
      </c>
      <c r="AK48" s="61">
        <v>8393092647.32903</v>
      </c>
      <c r="AL48" s="55"/>
      <c r="AM48" s="67">
        <v>699424387.27741921</v>
      </c>
      <c r="AN48" s="67">
        <v>699424387.27741921</v>
      </c>
      <c r="AO48" s="67">
        <v>699424387.27741921</v>
      </c>
      <c r="AP48" s="67">
        <v>699424387.27741921</v>
      </c>
      <c r="AQ48" s="67">
        <v>699424387.27741921</v>
      </c>
      <c r="AR48" s="67">
        <v>699424387.27741921</v>
      </c>
      <c r="AS48" s="67">
        <v>699424387.27741921</v>
      </c>
      <c r="AT48" s="67">
        <v>699424387.27741921</v>
      </c>
      <c r="AU48" s="67">
        <v>699424387.27741921</v>
      </c>
      <c r="AV48" s="67">
        <v>699424387.27741921</v>
      </c>
      <c r="AW48" s="67">
        <v>699424387.27741921</v>
      </c>
      <c r="AX48" s="67">
        <v>699424387.27741921</v>
      </c>
      <c r="AY48" s="122">
        <v>8393092647.32903</v>
      </c>
      <c r="AZ48" s="55"/>
      <c r="BA48" s="639">
        <v>703634875</v>
      </c>
      <c r="BB48" s="639">
        <v>656349812</v>
      </c>
      <c r="BC48" s="86">
        <v>703634875</v>
      </c>
      <c r="BD48" s="639">
        <v>649105066</v>
      </c>
      <c r="BE48" s="86">
        <v>703634875</v>
      </c>
      <c r="BF48" s="639">
        <v>604856031</v>
      </c>
      <c r="BG48" s="86">
        <v>656349812</v>
      </c>
      <c r="BH48" s="639">
        <v>614896665</v>
      </c>
      <c r="BI48" s="86">
        <v>656349812</v>
      </c>
      <c r="BJ48" s="639">
        <v>599593201</v>
      </c>
      <c r="BK48" s="86">
        <v>656349812</v>
      </c>
      <c r="BL48" s="639">
        <v>632643940</v>
      </c>
      <c r="BM48" s="86">
        <v>656349812</v>
      </c>
      <c r="BN48" s="695">
        <v>727588446</v>
      </c>
      <c r="BO48" s="696">
        <v>656349812</v>
      </c>
      <c r="BP48" s="695"/>
      <c r="BQ48" s="696">
        <v>656349812</v>
      </c>
      <c r="BR48" s="729">
        <v>656349812</v>
      </c>
      <c r="BS48" s="695"/>
      <c r="BT48" s="696">
        <v>656349812</v>
      </c>
      <c r="BU48" s="729">
        <v>656349812</v>
      </c>
      <c r="BV48" s="695"/>
      <c r="BW48" s="696">
        <v>656349812</v>
      </c>
      <c r="BX48" s="729">
        <v>656349812</v>
      </c>
      <c r="BY48" s="695"/>
      <c r="BZ48" s="696">
        <v>656349812</v>
      </c>
      <c r="CA48" s="729">
        <v>656349812</v>
      </c>
      <c r="CB48" s="720">
        <f t="shared" si="5"/>
        <v>7814067284</v>
      </c>
      <c r="CC48" s="721">
        <f t="shared" si="6"/>
        <v>7814067284</v>
      </c>
      <c r="CD48" s="738"/>
      <c r="CE48" s="323"/>
      <c r="CF48" s="323"/>
      <c r="CG48" s="323"/>
      <c r="CH48" s="323"/>
      <c r="CI48" s="323"/>
      <c r="CJ48" s="323"/>
      <c r="CK48" s="323"/>
      <c r="CL48" s="323"/>
      <c r="CM48" s="323"/>
      <c r="CN48" s="323"/>
      <c r="CO48" s="323"/>
      <c r="CP48" s="323"/>
      <c r="CQ48" s="355">
        <f t="shared" si="7"/>
        <v>0</v>
      </c>
      <c r="CR48" s="356">
        <f>(CQ48*1.17)-1006611183.61804</f>
        <v>-1006611183.61804</v>
      </c>
      <c r="CS48" s="357">
        <f>(CR48*1.1)-708396848.145345</f>
        <v>-1815669150.1251891</v>
      </c>
      <c r="CT48" s="332">
        <f>(CS48*1.1)-594407527.602613</f>
        <v>-2591643592.7403212</v>
      </c>
      <c r="CU48" s="358">
        <f>(CT48*1.1)-594407527.602613</f>
        <v>-3445215479.6169662</v>
      </c>
      <c r="CV48" s="57" t="s">
        <v>42</v>
      </c>
      <c r="CW48" s="38">
        <v>1</v>
      </c>
    </row>
    <row r="49" spans="1:100" ht="15" customHeight="1" outlineLevel="2">
      <c r="A49" s="286" t="s">
        <v>35</v>
      </c>
      <c r="B49" s="277" t="str">
        <f t="shared" si="3"/>
        <v>PACK JAKARTAPACKAGEMDKOKO COSMETICS INDONESIA</v>
      </c>
      <c r="C49" s="276" t="s">
        <v>36</v>
      </c>
      <c r="E49" s="287" t="s">
        <v>84</v>
      </c>
      <c r="F49" s="287"/>
      <c r="G49" s="68">
        <v>40834766</v>
      </c>
      <c r="H49" s="65"/>
      <c r="I49" s="65"/>
      <c r="J49" s="65"/>
      <c r="K49" s="65"/>
      <c r="L49" s="65"/>
      <c r="M49" s="65"/>
      <c r="N49" s="65"/>
      <c r="O49" s="65"/>
      <c r="P49" s="65">
        <v>0</v>
      </c>
      <c r="Q49" s="65">
        <v>0</v>
      </c>
      <c r="R49" s="65">
        <v>0</v>
      </c>
      <c r="S49" s="65">
        <v>0</v>
      </c>
      <c r="T49" s="65">
        <v>0</v>
      </c>
      <c r="U49" s="65">
        <v>0</v>
      </c>
      <c r="V49" s="65">
        <v>0</v>
      </c>
      <c r="W49" s="66">
        <f t="shared" si="4"/>
        <v>0</v>
      </c>
      <c r="X49" s="55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1">
        <v>0</v>
      </c>
      <c r="AL49" s="55"/>
      <c r="AM49" s="67"/>
      <c r="AN49" s="67"/>
      <c r="AO49" s="67"/>
      <c r="AP49" s="67"/>
      <c r="AQ49" s="67"/>
      <c r="AR49" s="67"/>
      <c r="AS49" s="67"/>
      <c r="AT49" s="67"/>
      <c r="AU49" s="67"/>
      <c r="AV49" s="67"/>
      <c r="AW49" s="67"/>
      <c r="AX49" s="67"/>
      <c r="AY49" s="122">
        <v>0</v>
      </c>
      <c r="AZ49" s="55"/>
      <c r="BA49" s="639">
        <v>0</v>
      </c>
      <c r="BB49" s="639">
        <v>0</v>
      </c>
      <c r="BC49" s="86"/>
      <c r="BD49" s="639">
        <v>0</v>
      </c>
      <c r="BE49" s="86"/>
      <c r="BF49" s="639">
        <v>0</v>
      </c>
      <c r="BG49" s="86">
        <v>0</v>
      </c>
      <c r="BH49" s="639"/>
      <c r="BI49" s="86">
        <v>0</v>
      </c>
      <c r="BJ49" s="639">
        <v>0</v>
      </c>
      <c r="BK49" s="86">
        <v>0</v>
      </c>
      <c r="BL49" s="639">
        <v>0</v>
      </c>
      <c r="BM49" s="86"/>
      <c r="BN49" s="695">
        <v>0</v>
      </c>
      <c r="BO49" s="696"/>
      <c r="BP49" s="695"/>
      <c r="BQ49" s="696"/>
      <c r="BR49" s="729"/>
      <c r="BS49" s="695"/>
      <c r="BT49" s="696"/>
      <c r="BU49" s="729"/>
      <c r="BV49" s="695"/>
      <c r="BW49" s="696"/>
      <c r="BX49" s="729"/>
      <c r="BY49" s="695"/>
      <c r="BZ49" s="696"/>
      <c r="CA49" s="729"/>
      <c r="CB49" s="720">
        <f t="shared" si="5"/>
        <v>0</v>
      </c>
      <c r="CC49" s="721">
        <f t="shared" si="6"/>
        <v>0</v>
      </c>
      <c r="CD49" s="738"/>
      <c r="CE49" s="323"/>
      <c r="CF49" s="323"/>
      <c r="CG49" s="323"/>
      <c r="CH49" s="323"/>
      <c r="CI49" s="323"/>
      <c r="CJ49" s="323"/>
      <c r="CK49" s="323"/>
      <c r="CL49" s="323"/>
      <c r="CM49" s="323"/>
      <c r="CN49" s="323"/>
      <c r="CO49" s="323"/>
      <c r="CP49" s="323"/>
      <c r="CQ49" s="355">
        <f t="shared" si="7"/>
        <v>0</v>
      </c>
      <c r="CR49" s="356"/>
      <c r="CS49" s="357"/>
      <c r="CT49" s="332"/>
      <c r="CU49" s="358"/>
      <c r="CV49" s="57" t="s">
        <v>38</v>
      </c>
    </row>
    <row r="50" spans="1:100" ht="15" customHeight="1" outlineLevel="2">
      <c r="A50" s="286" t="s">
        <v>35</v>
      </c>
      <c r="B50" s="277" t="str">
        <f t="shared" si="3"/>
        <v>PACK JAKARTAPACKAGEMOVI VENTURA PRIMA</v>
      </c>
      <c r="C50" s="276" t="s">
        <v>36</v>
      </c>
      <c r="E50" s="287" t="s">
        <v>85</v>
      </c>
      <c r="F50" s="287"/>
      <c r="G50" s="68">
        <v>35884990</v>
      </c>
      <c r="H50" s="65"/>
      <c r="I50" s="65"/>
      <c r="J50" s="65"/>
      <c r="K50" s="65"/>
      <c r="L50" s="65"/>
      <c r="M50" s="65"/>
      <c r="N50" s="65"/>
      <c r="O50" s="65"/>
      <c r="P50" s="65">
        <v>0</v>
      </c>
      <c r="Q50" s="65">
        <v>0</v>
      </c>
      <c r="R50" s="65">
        <v>0</v>
      </c>
      <c r="S50" s="65">
        <v>0</v>
      </c>
      <c r="T50" s="65">
        <v>0</v>
      </c>
      <c r="U50" s="65">
        <v>0</v>
      </c>
      <c r="V50" s="65">
        <v>0</v>
      </c>
      <c r="W50" s="66">
        <f t="shared" si="4"/>
        <v>0</v>
      </c>
      <c r="X50" s="55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1">
        <v>0</v>
      </c>
      <c r="AL50" s="55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122">
        <v>0</v>
      </c>
      <c r="AZ50" s="55"/>
      <c r="BA50" s="639">
        <v>0</v>
      </c>
      <c r="BB50" s="639">
        <v>0</v>
      </c>
      <c r="BC50" s="86"/>
      <c r="BD50" s="639">
        <v>0</v>
      </c>
      <c r="BE50" s="86"/>
      <c r="BF50" s="639">
        <v>0</v>
      </c>
      <c r="BG50" s="86">
        <v>0</v>
      </c>
      <c r="BH50" s="639"/>
      <c r="BI50" s="86">
        <v>0</v>
      </c>
      <c r="BJ50" s="639">
        <v>0</v>
      </c>
      <c r="BK50" s="86">
        <v>0</v>
      </c>
      <c r="BL50" s="639">
        <v>0</v>
      </c>
      <c r="BM50" s="86"/>
      <c r="BN50" s="695">
        <v>0</v>
      </c>
      <c r="BO50" s="696"/>
      <c r="BP50" s="695"/>
      <c r="BQ50" s="696"/>
      <c r="BR50" s="729"/>
      <c r="BS50" s="695"/>
      <c r="BT50" s="696"/>
      <c r="BU50" s="729"/>
      <c r="BV50" s="695"/>
      <c r="BW50" s="696"/>
      <c r="BX50" s="729"/>
      <c r="BY50" s="695"/>
      <c r="BZ50" s="696"/>
      <c r="CA50" s="729"/>
      <c r="CB50" s="720">
        <f t="shared" si="5"/>
        <v>0</v>
      </c>
      <c r="CC50" s="721">
        <f t="shared" si="6"/>
        <v>0</v>
      </c>
      <c r="CD50" s="738"/>
      <c r="CE50" s="323"/>
      <c r="CF50" s="323"/>
      <c r="CG50" s="323"/>
      <c r="CH50" s="323"/>
      <c r="CI50" s="323"/>
      <c r="CJ50" s="323"/>
      <c r="CK50" s="323"/>
      <c r="CL50" s="323"/>
      <c r="CM50" s="323"/>
      <c r="CN50" s="323"/>
      <c r="CO50" s="323"/>
      <c r="CP50" s="323"/>
      <c r="CQ50" s="355">
        <f t="shared" si="7"/>
        <v>0</v>
      </c>
      <c r="CR50" s="356"/>
      <c r="CS50" s="357"/>
      <c r="CT50" s="332"/>
      <c r="CU50" s="358"/>
      <c r="CV50" s="57" t="s">
        <v>38</v>
      </c>
    </row>
    <row r="51" spans="1:100" ht="15" customHeight="1" outlineLevel="2">
      <c r="A51" s="276" t="s">
        <v>39</v>
      </c>
      <c r="B51" s="277" t="str">
        <f t="shared" si="3"/>
        <v>PACK JAKARTAPACKAGEMULTI FORTUNA SINARDELTA</v>
      </c>
      <c r="C51" s="276" t="s">
        <v>36</v>
      </c>
      <c r="D51" s="276" t="s">
        <v>40</v>
      </c>
      <c r="E51" s="287" t="s">
        <v>86</v>
      </c>
      <c r="F51" s="287"/>
      <c r="G51" s="64">
        <v>952136257</v>
      </c>
      <c r="H51" s="65"/>
      <c r="I51" s="65"/>
      <c r="J51" s="65"/>
      <c r="K51" s="65"/>
      <c r="L51" s="65"/>
      <c r="M51" s="65"/>
      <c r="N51" s="65"/>
      <c r="O51" s="65"/>
      <c r="P51" s="65">
        <v>0</v>
      </c>
      <c r="Q51" s="65">
        <v>0</v>
      </c>
      <c r="R51" s="65">
        <v>0</v>
      </c>
      <c r="S51" s="65">
        <v>0</v>
      </c>
      <c r="T51" s="65">
        <v>0</v>
      </c>
      <c r="U51" s="65">
        <v>0</v>
      </c>
      <c r="V51" s="65">
        <v>0</v>
      </c>
      <c r="W51" s="66">
        <f t="shared" si="4"/>
        <v>0</v>
      </c>
      <c r="X51" s="55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1">
        <v>0</v>
      </c>
      <c r="AL51" s="55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  <c r="AX51" s="67"/>
      <c r="AY51" s="122">
        <v>0</v>
      </c>
      <c r="AZ51" s="55"/>
      <c r="BA51" s="639">
        <v>0</v>
      </c>
      <c r="BB51" s="639">
        <v>0</v>
      </c>
      <c r="BC51" s="86"/>
      <c r="BD51" s="639">
        <v>0</v>
      </c>
      <c r="BE51" s="86"/>
      <c r="BF51" s="639">
        <v>0</v>
      </c>
      <c r="BG51" s="86">
        <v>0</v>
      </c>
      <c r="BH51" s="639"/>
      <c r="BI51" s="86">
        <v>0</v>
      </c>
      <c r="BJ51" s="639">
        <v>0</v>
      </c>
      <c r="BK51" s="86">
        <v>0</v>
      </c>
      <c r="BL51" s="639">
        <v>0</v>
      </c>
      <c r="BM51" s="86"/>
      <c r="BN51" s="695">
        <v>0</v>
      </c>
      <c r="BO51" s="696"/>
      <c r="BP51" s="695"/>
      <c r="BQ51" s="696"/>
      <c r="BR51" s="729"/>
      <c r="BS51" s="695"/>
      <c r="BT51" s="696"/>
      <c r="BU51" s="729"/>
      <c r="BV51" s="695"/>
      <c r="BW51" s="696"/>
      <c r="BX51" s="729"/>
      <c r="BY51" s="695"/>
      <c r="BZ51" s="696"/>
      <c r="CA51" s="729"/>
      <c r="CB51" s="720">
        <f t="shared" si="5"/>
        <v>0</v>
      </c>
      <c r="CC51" s="721">
        <f t="shared" si="6"/>
        <v>0</v>
      </c>
      <c r="CD51" s="738"/>
      <c r="CE51" s="323"/>
      <c r="CF51" s="323"/>
      <c r="CG51" s="323"/>
      <c r="CH51" s="323"/>
      <c r="CI51" s="323"/>
      <c r="CJ51" s="323"/>
      <c r="CK51" s="323"/>
      <c r="CL51" s="323"/>
      <c r="CM51" s="323"/>
      <c r="CN51" s="323"/>
      <c r="CO51" s="323"/>
      <c r="CP51" s="323"/>
      <c r="CQ51" s="355">
        <f t="shared" si="7"/>
        <v>0</v>
      </c>
      <c r="CR51" s="356"/>
      <c r="CS51" s="357"/>
      <c r="CT51" s="332"/>
      <c r="CU51" s="358"/>
      <c r="CV51" s="57" t="s">
        <v>38</v>
      </c>
    </row>
    <row r="52" spans="1:100" ht="15" customHeight="1" outlineLevel="2">
      <c r="A52" s="276" t="s">
        <v>43</v>
      </c>
      <c r="B52" s="277" t="str">
        <f t="shared" si="3"/>
        <v>PACK JAKARTAPACKAGENIRWANA LESTARI</v>
      </c>
      <c r="C52" s="276" t="s">
        <v>36</v>
      </c>
      <c r="D52" s="276" t="s">
        <v>40</v>
      </c>
      <c r="E52" s="287" t="s">
        <v>87</v>
      </c>
      <c r="F52" s="287">
        <v>3000007550</v>
      </c>
      <c r="G52" s="64">
        <v>15891941181</v>
      </c>
      <c r="H52" s="65">
        <v>62000000</v>
      </c>
      <c r="I52" s="65">
        <v>62000000</v>
      </c>
      <c r="J52" s="65">
        <v>62000000</v>
      </c>
      <c r="K52" s="65">
        <v>62000000</v>
      </c>
      <c r="L52" s="65">
        <v>62000000</v>
      </c>
      <c r="M52" s="65">
        <v>62000000</v>
      </c>
      <c r="N52" s="65">
        <v>62000000</v>
      </c>
      <c r="O52" s="65">
        <v>62000000</v>
      </c>
      <c r="P52" s="65">
        <v>62000000</v>
      </c>
      <c r="Q52" s="65">
        <v>62000000</v>
      </c>
      <c r="R52" s="65">
        <v>62000000</v>
      </c>
      <c r="S52" s="65">
        <v>62000000</v>
      </c>
      <c r="T52" s="65">
        <v>62000000</v>
      </c>
      <c r="U52" s="65">
        <v>62000000</v>
      </c>
      <c r="V52" s="65">
        <v>62000000</v>
      </c>
      <c r="W52" s="66">
        <f t="shared" si="4"/>
        <v>744000000</v>
      </c>
      <c r="X52" s="55"/>
      <c r="Y52" s="67">
        <v>0</v>
      </c>
      <c r="Z52" s="67">
        <v>0</v>
      </c>
      <c r="AA52" s="67">
        <v>0</v>
      </c>
      <c r="AB52" s="67">
        <v>0</v>
      </c>
      <c r="AC52" s="67">
        <v>0</v>
      </c>
      <c r="AD52" s="67">
        <v>0</v>
      </c>
      <c r="AE52" s="67">
        <v>0</v>
      </c>
      <c r="AF52" s="67">
        <v>0</v>
      </c>
      <c r="AG52" s="67">
        <v>0</v>
      </c>
      <c r="AH52" s="67">
        <v>0</v>
      </c>
      <c r="AI52" s="67">
        <v>0</v>
      </c>
      <c r="AJ52" s="67">
        <v>0</v>
      </c>
      <c r="AK52" s="61">
        <v>0</v>
      </c>
      <c r="AL52" s="55"/>
      <c r="AM52" s="67">
        <v>0</v>
      </c>
      <c r="AN52" s="67">
        <v>0</v>
      </c>
      <c r="AO52" s="67">
        <v>0</v>
      </c>
      <c r="AP52" s="67">
        <v>0</v>
      </c>
      <c r="AQ52" s="67">
        <v>0</v>
      </c>
      <c r="AR52" s="67">
        <v>0</v>
      </c>
      <c r="AS52" s="67">
        <v>0</v>
      </c>
      <c r="AT52" s="67">
        <v>0</v>
      </c>
      <c r="AU52" s="67">
        <v>0</v>
      </c>
      <c r="AV52" s="67">
        <v>0</v>
      </c>
      <c r="AW52" s="67">
        <v>0</v>
      </c>
      <c r="AX52" s="67">
        <v>0</v>
      </c>
      <c r="AY52" s="122">
        <v>0</v>
      </c>
      <c r="AZ52" s="55"/>
      <c r="BA52" s="639">
        <v>61000000</v>
      </c>
      <c r="BB52" s="639">
        <v>57258065</v>
      </c>
      <c r="BC52" s="86">
        <v>61000000</v>
      </c>
      <c r="BD52" s="639">
        <v>46500000</v>
      </c>
      <c r="BE52" s="86">
        <f>3000*15500</f>
        <v>46500000</v>
      </c>
      <c r="BF52" s="639">
        <v>46500000</v>
      </c>
      <c r="BG52" s="86">
        <f>3000*15500</f>
        <v>46500000</v>
      </c>
      <c r="BH52" s="639">
        <v>46500000</v>
      </c>
      <c r="BI52" s="86">
        <f>3000*15500</f>
        <v>46500000</v>
      </c>
      <c r="BJ52" s="639">
        <v>46500000</v>
      </c>
      <c r="BK52" s="86">
        <f>3000*15500</f>
        <v>46500000</v>
      </c>
      <c r="BL52" s="639">
        <v>46500000</v>
      </c>
      <c r="BM52" s="86">
        <f>3000*15500</f>
        <v>46500000</v>
      </c>
      <c r="BN52" s="695">
        <v>46500000</v>
      </c>
      <c r="BO52" s="696">
        <f>3000*15500</f>
        <v>46500000</v>
      </c>
      <c r="BP52" s="695"/>
      <c r="BQ52" s="696">
        <f>3000*15500</f>
        <v>46500000</v>
      </c>
      <c r="BR52" s="729">
        <v>47000000</v>
      </c>
      <c r="BS52" s="695"/>
      <c r="BT52" s="696">
        <f>3000*15500</f>
        <v>46500000</v>
      </c>
      <c r="BU52" s="729">
        <v>47000000</v>
      </c>
      <c r="BV52" s="695"/>
      <c r="BW52" s="696">
        <f>3000*15500</f>
        <v>46500000</v>
      </c>
      <c r="BX52" s="729">
        <v>47000000</v>
      </c>
      <c r="BY52" s="695"/>
      <c r="BZ52" s="696">
        <f>3000*15500</f>
        <v>46500000</v>
      </c>
      <c r="CA52" s="729">
        <v>47000000</v>
      </c>
      <c r="CB52" s="720">
        <f t="shared" si="5"/>
        <v>585258065</v>
      </c>
      <c r="CC52" s="721">
        <f t="shared" si="6"/>
        <v>585258065</v>
      </c>
      <c r="CD52" s="738"/>
      <c r="CE52" s="323">
        <v>47000000</v>
      </c>
      <c r="CF52" s="323">
        <v>47000000</v>
      </c>
      <c r="CG52" s="323">
        <v>47000000</v>
      </c>
      <c r="CH52" s="323">
        <v>47000000</v>
      </c>
      <c r="CI52" s="323">
        <v>47000000</v>
      </c>
      <c r="CJ52" s="323">
        <v>47000000</v>
      </c>
      <c r="CK52" s="323">
        <v>47000000</v>
      </c>
      <c r="CL52" s="323">
        <v>47000000</v>
      </c>
      <c r="CM52" s="323">
        <v>47000000</v>
      </c>
      <c r="CN52" s="323">
        <v>47000000</v>
      </c>
      <c r="CO52" s="323">
        <v>47000000</v>
      </c>
      <c r="CP52" s="323">
        <v>47000000</v>
      </c>
      <c r="CQ52" s="355">
        <f t="shared" si="7"/>
        <v>564000000</v>
      </c>
      <c r="CR52" s="356">
        <f>CQ52*1.07</f>
        <v>603480000</v>
      </c>
      <c r="CS52" s="357">
        <f>CR52*1.07</f>
        <v>645723600</v>
      </c>
      <c r="CT52" s="332">
        <f>CS52*1.07</f>
        <v>690924252</v>
      </c>
      <c r="CU52" s="358">
        <f>CT52*1.07</f>
        <v>739288949.63999999</v>
      </c>
      <c r="CV52" s="57" t="s">
        <v>38</v>
      </c>
    </row>
    <row r="53" spans="1:100" ht="15" customHeight="1" outlineLevel="2">
      <c r="A53" s="286" t="s">
        <v>35</v>
      </c>
      <c r="B53" s="277" t="str">
        <f t="shared" si="3"/>
        <v>PACK JAKARTAPACKAGEOXFORD BUSINESS ASSOCIATION</v>
      </c>
      <c r="C53" s="276" t="s">
        <v>36</v>
      </c>
      <c r="E53" s="287" t="s">
        <v>88</v>
      </c>
      <c r="F53" s="287"/>
      <c r="G53" s="64">
        <v>2525554</v>
      </c>
      <c r="H53" s="65"/>
      <c r="I53" s="65"/>
      <c r="J53" s="65"/>
      <c r="K53" s="65"/>
      <c r="L53" s="65"/>
      <c r="M53" s="65"/>
      <c r="N53" s="65"/>
      <c r="O53" s="65"/>
      <c r="P53" s="65">
        <v>0</v>
      </c>
      <c r="Q53" s="65">
        <v>0</v>
      </c>
      <c r="R53" s="65">
        <v>0</v>
      </c>
      <c r="S53" s="65">
        <v>0</v>
      </c>
      <c r="T53" s="65">
        <v>0</v>
      </c>
      <c r="U53" s="65">
        <v>0</v>
      </c>
      <c r="V53" s="65">
        <v>0</v>
      </c>
      <c r="W53" s="66">
        <f t="shared" si="4"/>
        <v>0</v>
      </c>
      <c r="X53" s="55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1">
        <v>0</v>
      </c>
      <c r="AL53" s="55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122">
        <v>0</v>
      </c>
      <c r="AZ53" s="55"/>
      <c r="BA53" s="639">
        <v>0</v>
      </c>
      <c r="BB53" s="639">
        <v>0</v>
      </c>
      <c r="BC53" s="86"/>
      <c r="BD53" s="639">
        <v>0</v>
      </c>
      <c r="BE53" s="86"/>
      <c r="BF53" s="639">
        <v>0</v>
      </c>
      <c r="BG53" s="86">
        <v>0</v>
      </c>
      <c r="BH53" s="639"/>
      <c r="BI53" s="86">
        <v>0</v>
      </c>
      <c r="BJ53" s="639">
        <v>0</v>
      </c>
      <c r="BK53" s="86">
        <v>0</v>
      </c>
      <c r="BL53" s="639">
        <v>0</v>
      </c>
      <c r="BM53" s="86"/>
      <c r="BN53" s="695">
        <v>0</v>
      </c>
      <c r="BO53" s="696"/>
      <c r="BP53" s="695"/>
      <c r="BQ53" s="696"/>
      <c r="BR53" s="729"/>
      <c r="BS53" s="695"/>
      <c r="BT53" s="696"/>
      <c r="BU53" s="729"/>
      <c r="BV53" s="695"/>
      <c r="BW53" s="696"/>
      <c r="BX53" s="729"/>
      <c r="BY53" s="695"/>
      <c r="BZ53" s="696"/>
      <c r="CA53" s="729"/>
      <c r="CB53" s="720">
        <f t="shared" si="5"/>
        <v>0</v>
      </c>
      <c r="CC53" s="721">
        <f t="shared" si="6"/>
        <v>0</v>
      </c>
      <c r="CD53" s="738"/>
      <c r="CE53" s="323"/>
      <c r="CF53" s="323"/>
      <c r="CG53" s="323"/>
      <c r="CH53" s="323"/>
      <c r="CI53" s="323"/>
      <c r="CJ53" s="323"/>
      <c r="CK53" s="323"/>
      <c r="CL53" s="323"/>
      <c r="CM53" s="323"/>
      <c r="CN53" s="323"/>
      <c r="CO53" s="323"/>
      <c r="CP53" s="323"/>
      <c r="CQ53" s="355">
        <f t="shared" si="7"/>
        <v>0</v>
      </c>
      <c r="CR53" s="356"/>
      <c r="CS53" s="357"/>
      <c r="CT53" s="332"/>
      <c r="CU53" s="358"/>
      <c r="CV53" s="57" t="s">
        <v>38</v>
      </c>
    </row>
    <row r="54" spans="1:100" ht="15" customHeight="1" outlineLevel="2">
      <c r="A54" s="276" t="s">
        <v>39</v>
      </c>
      <c r="B54" s="277" t="str">
        <f t="shared" si="3"/>
        <v>PACK JAKARTAPACKAGEPACINESIA CHEMICAL INDUSTRY</v>
      </c>
      <c r="C54" s="276" t="s">
        <v>36</v>
      </c>
      <c r="D54" s="276" t="s">
        <v>40</v>
      </c>
      <c r="E54" s="287" t="s">
        <v>89</v>
      </c>
      <c r="F54" s="287"/>
      <c r="G54" s="64">
        <v>129358000</v>
      </c>
      <c r="H54" s="65">
        <v>1543400</v>
      </c>
      <c r="I54" s="65">
        <v>1025000</v>
      </c>
      <c r="J54" s="65">
        <v>912500</v>
      </c>
      <c r="K54" s="65">
        <v>987500</v>
      </c>
      <c r="L54" s="65">
        <v>0</v>
      </c>
      <c r="M54" s="65">
        <v>0</v>
      </c>
      <c r="N54" s="65">
        <v>0</v>
      </c>
      <c r="O54" s="65">
        <v>0</v>
      </c>
      <c r="P54" s="65">
        <v>0</v>
      </c>
      <c r="Q54" s="65">
        <v>0</v>
      </c>
      <c r="R54" s="65">
        <v>0</v>
      </c>
      <c r="S54" s="65">
        <v>0</v>
      </c>
      <c r="T54" s="65">
        <v>0</v>
      </c>
      <c r="U54" s="65">
        <v>0</v>
      </c>
      <c r="V54" s="65">
        <v>0</v>
      </c>
      <c r="W54" s="66">
        <f t="shared" si="4"/>
        <v>4468400</v>
      </c>
      <c r="X54" s="55"/>
      <c r="Y54" s="67">
        <v>0</v>
      </c>
      <c r="Z54" s="67">
        <v>0</v>
      </c>
      <c r="AA54" s="67">
        <v>0</v>
      </c>
      <c r="AB54" s="67">
        <v>0</v>
      </c>
      <c r="AC54" s="67">
        <v>0</v>
      </c>
      <c r="AD54" s="67">
        <v>0</v>
      </c>
      <c r="AE54" s="67">
        <v>0</v>
      </c>
      <c r="AF54" s="67">
        <v>0</v>
      </c>
      <c r="AG54" s="67">
        <v>0</v>
      </c>
      <c r="AH54" s="67">
        <v>0</v>
      </c>
      <c r="AI54" s="67">
        <v>0</v>
      </c>
      <c r="AJ54" s="67">
        <v>0</v>
      </c>
      <c r="AK54" s="61">
        <v>0</v>
      </c>
      <c r="AL54" s="55"/>
      <c r="AM54" s="67">
        <v>0</v>
      </c>
      <c r="AN54" s="67">
        <v>0</v>
      </c>
      <c r="AO54" s="67">
        <v>0</v>
      </c>
      <c r="AP54" s="67">
        <v>0</v>
      </c>
      <c r="AQ54" s="67">
        <v>0</v>
      </c>
      <c r="AR54" s="67">
        <v>0</v>
      </c>
      <c r="AS54" s="67">
        <v>0</v>
      </c>
      <c r="AT54" s="67">
        <v>0</v>
      </c>
      <c r="AU54" s="67">
        <v>0</v>
      </c>
      <c r="AV54" s="67">
        <v>0</v>
      </c>
      <c r="AW54" s="67">
        <v>0</v>
      </c>
      <c r="AX54" s="67">
        <v>0</v>
      </c>
      <c r="AY54" s="122">
        <v>0</v>
      </c>
      <c r="AZ54" s="55"/>
      <c r="BA54" s="639">
        <v>0</v>
      </c>
      <c r="BB54" s="639">
        <v>0</v>
      </c>
      <c r="BC54" s="86"/>
      <c r="BD54" s="639">
        <v>0</v>
      </c>
      <c r="BE54" s="86"/>
      <c r="BF54" s="639">
        <v>0</v>
      </c>
      <c r="BG54" s="86">
        <v>0</v>
      </c>
      <c r="BH54" s="639"/>
      <c r="BI54" s="86">
        <v>0</v>
      </c>
      <c r="BJ54" s="639">
        <v>0</v>
      </c>
      <c r="BK54" s="86">
        <v>0</v>
      </c>
      <c r="BL54" s="639">
        <v>0</v>
      </c>
      <c r="BM54" s="86"/>
      <c r="BN54" s="695">
        <v>0</v>
      </c>
      <c r="BO54" s="696"/>
      <c r="BP54" s="695"/>
      <c r="BQ54" s="696"/>
      <c r="BR54" s="729"/>
      <c r="BS54" s="695"/>
      <c r="BT54" s="696"/>
      <c r="BU54" s="729"/>
      <c r="BV54" s="695"/>
      <c r="BW54" s="696"/>
      <c r="BX54" s="729"/>
      <c r="BY54" s="695"/>
      <c r="BZ54" s="696"/>
      <c r="CA54" s="729"/>
      <c r="CB54" s="720">
        <f t="shared" si="5"/>
        <v>0</v>
      </c>
      <c r="CC54" s="721">
        <f t="shared" si="6"/>
        <v>0</v>
      </c>
      <c r="CD54" s="738"/>
      <c r="CE54" s="323"/>
      <c r="CF54" s="323"/>
      <c r="CG54" s="323"/>
      <c r="CH54" s="323"/>
      <c r="CI54" s="323"/>
      <c r="CJ54" s="323"/>
      <c r="CK54" s="323"/>
      <c r="CL54" s="323"/>
      <c r="CM54" s="323"/>
      <c r="CN54" s="323"/>
      <c r="CO54" s="323"/>
      <c r="CP54" s="323"/>
      <c r="CQ54" s="355">
        <f t="shared" si="7"/>
        <v>0</v>
      </c>
      <c r="CR54" s="356">
        <f t="shared" ref="CR54:CU55" si="12">CQ54*1.07</f>
        <v>0</v>
      </c>
      <c r="CS54" s="357">
        <f t="shared" si="12"/>
        <v>0</v>
      </c>
      <c r="CT54" s="332">
        <f t="shared" si="12"/>
        <v>0</v>
      </c>
      <c r="CU54" s="358">
        <f t="shared" si="12"/>
        <v>0</v>
      </c>
      <c r="CV54" s="57" t="s">
        <v>38</v>
      </c>
    </row>
    <row r="55" spans="1:100" ht="15" customHeight="1" outlineLevel="2">
      <c r="A55" s="276" t="s">
        <v>43</v>
      </c>
      <c r="B55" s="277" t="str">
        <f t="shared" si="3"/>
        <v>PACK JAKARTAPACKAGEPERUSAHAAN INDUSTRI CERES</v>
      </c>
      <c r="C55" s="276" t="s">
        <v>36</v>
      </c>
      <c r="D55" s="276" t="s">
        <v>40</v>
      </c>
      <c r="E55" s="287" t="s">
        <v>90</v>
      </c>
      <c r="F55" s="287"/>
      <c r="G55" s="64">
        <v>3596846670</v>
      </c>
      <c r="H55" s="65">
        <v>1439040688</v>
      </c>
      <c r="I55" s="65">
        <v>1122533420</v>
      </c>
      <c r="J55" s="65">
        <v>92316154</v>
      </c>
      <c r="K55" s="65">
        <v>0</v>
      </c>
      <c r="L55" s="65">
        <v>0</v>
      </c>
      <c r="M55" s="65">
        <v>0</v>
      </c>
      <c r="N55" s="65">
        <v>0</v>
      </c>
      <c r="O55" s="65">
        <v>0</v>
      </c>
      <c r="P55" s="65">
        <v>0</v>
      </c>
      <c r="Q55" s="65">
        <v>0</v>
      </c>
      <c r="R55" s="65">
        <v>0</v>
      </c>
      <c r="S55" s="65">
        <v>0</v>
      </c>
      <c r="T55" s="65">
        <v>0</v>
      </c>
      <c r="U55" s="65">
        <v>0</v>
      </c>
      <c r="V55" s="65">
        <v>0</v>
      </c>
      <c r="W55" s="66">
        <f t="shared" si="4"/>
        <v>2653890262</v>
      </c>
      <c r="X55" s="55"/>
      <c r="Y55" s="67">
        <v>0</v>
      </c>
      <c r="Z55" s="67">
        <v>0</v>
      </c>
      <c r="AA55" s="67">
        <v>0</v>
      </c>
      <c r="AB55" s="67">
        <v>0</v>
      </c>
      <c r="AC55" s="67">
        <v>0</v>
      </c>
      <c r="AD55" s="67">
        <v>0</v>
      </c>
      <c r="AE55" s="67">
        <v>0</v>
      </c>
      <c r="AF55" s="67">
        <v>0</v>
      </c>
      <c r="AG55" s="67">
        <v>0</v>
      </c>
      <c r="AH55" s="67">
        <v>0</v>
      </c>
      <c r="AI55" s="67">
        <v>0</v>
      </c>
      <c r="AJ55" s="67">
        <v>0</v>
      </c>
      <c r="AK55" s="61">
        <v>0</v>
      </c>
      <c r="AL55" s="55"/>
      <c r="AM55" s="67">
        <v>0</v>
      </c>
      <c r="AN55" s="67">
        <v>0</v>
      </c>
      <c r="AO55" s="67">
        <v>0</v>
      </c>
      <c r="AP55" s="67">
        <v>0</v>
      </c>
      <c r="AQ55" s="67">
        <v>0</v>
      </c>
      <c r="AR55" s="67">
        <v>0</v>
      </c>
      <c r="AS55" s="67">
        <v>0</v>
      </c>
      <c r="AT55" s="67">
        <v>0</v>
      </c>
      <c r="AU55" s="67">
        <v>0</v>
      </c>
      <c r="AV55" s="67">
        <v>0</v>
      </c>
      <c r="AW55" s="67">
        <v>0</v>
      </c>
      <c r="AX55" s="67">
        <v>0</v>
      </c>
      <c r="AY55" s="122">
        <v>0</v>
      </c>
      <c r="AZ55" s="55"/>
      <c r="BA55" s="639">
        <v>0</v>
      </c>
      <c r="BB55" s="639">
        <v>0</v>
      </c>
      <c r="BC55" s="86"/>
      <c r="BD55" s="639">
        <v>0</v>
      </c>
      <c r="BE55" s="86"/>
      <c r="BF55" s="639">
        <v>0</v>
      </c>
      <c r="BG55" s="86">
        <v>0</v>
      </c>
      <c r="BH55" s="639"/>
      <c r="BI55" s="86">
        <v>0</v>
      </c>
      <c r="BJ55" s="639">
        <v>0</v>
      </c>
      <c r="BK55" s="86">
        <v>0</v>
      </c>
      <c r="BL55" s="639">
        <v>0</v>
      </c>
      <c r="BM55" s="86"/>
      <c r="BN55" s="695">
        <v>0</v>
      </c>
      <c r="BO55" s="696"/>
      <c r="BP55" s="695"/>
      <c r="BQ55" s="696"/>
      <c r="BR55" s="729"/>
      <c r="BS55" s="695"/>
      <c r="BT55" s="696"/>
      <c r="BU55" s="729"/>
      <c r="BV55" s="695"/>
      <c r="BW55" s="696"/>
      <c r="BX55" s="729"/>
      <c r="BY55" s="695"/>
      <c r="BZ55" s="696"/>
      <c r="CA55" s="729"/>
      <c r="CB55" s="720">
        <f t="shared" si="5"/>
        <v>0</v>
      </c>
      <c r="CC55" s="721">
        <f t="shared" si="6"/>
        <v>0</v>
      </c>
      <c r="CD55" s="738"/>
      <c r="CE55" s="323"/>
      <c r="CF55" s="323"/>
      <c r="CG55" s="323"/>
      <c r="CH55" s="323"/>
      <c r="CI55" s="323"/>
      <c r="CJ55" s="323"/>
      <c r="CK55" s="323"/>
      <c r="CL55" s="323"/>
      <c r="CM55" s="323"/>
      <c r="CN55" s="323"/>
      <c r="CO55" s="323"/>
      <c r="CP55" s="323"/>
      <c r="CQ55" s="355">
        <f t="shared" si="7"/>
        <v>0</v>
      </c>
      <c r="CR55" s="356">
        <f t="shared" si="12"/>
        <v>0</v>
      </c>
      <c r="CS55" s="357">
        <f t="shared" si="12"/>
        <v>0</v>
      </c>
      <c r="CT55" s="332">
        <f t="shared" si="12"/>
        <v>0</v>
      </c>
      <c r="CU55" s="358">
        <f t="shared" si="12"/>
        <v>0</v>
      </c>
      <c r="CV55" s="57" t="s">
        <v>38</v>
      </c>
    </row>
    <row r="56" spans="1:100" ht="15" customHeight="1" outlineLevel="2">
      <c r="A56" s="286" t="s">
        <v>35</v>
      </c>
      <c r="B56" s="277" t="str">
        <f t="shared" si="3"/>
        <v>PACK JAKARTAPACKAGEPIKATHATI KARUNIA AZZA</v>
      </c>
      <c r="C56" s="276" t="s">
        <v>36</v>
      </c>
      <c r="E56" s="287" t="s">
        <v>91</v>
      </c>
      <c r="F56" s="287"/>
      <c r="G56" s="64">
        <v>2412455</v>
      </c>
      <c r="H56" s="65"/>
      <c r="I56" s="65"/>
      <c r="J56" s="65"/>
      <c r="K56" s="65"/>
      <c r="L56" s="65"/>
      <c r="M56" s="65"/>
      <c r="N56" s="65"/>
      <c r="O56" s="65"/>
      <c r="P56" s="65">
        <v>0</v>
      </c>
      <c r="Q56" s="65">
        <v>0</v>
      </c>
      <c r="R56" s="65">
        <v>0</v>
      </c>
      <c r="S56" s="65">
        <v>0</v>
      </c>
      <c r="T56" s="65">
        <v>0</v>
      </c>
      <c r="U56" s="65">
        <v>0</v>
      </c>
      <c r="V56" s="65">
        <v>0</v>
      </c>
      <c r="W56" s="66">
        <f t="shared" si="4"/>
        <v>0</v>
      </c>
      <c r="X56" s="55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1">
        <v>0</v>
      </c>
      <c r="AL56" s="55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122">
        <v>0</v>
      </c>
      <c r="AZ56" s="55"/>
      <c r="BA56" s="639">
        <v>0</v>
      </c>
      <c r="BB56" s="639">
        <v>0</v>
      </c>
      <c r="BC56" s="86"/>
      <c r="BD56" s="639">
        <v>0</v>
      </c>
      <c r="BE56" s="86"/>
      <c r="BF56" s="639">
        <v>0</v>
      </c>
      <c r="BG56" s="86">
        <v>0</v>
      </c>
      <c r="BH56" s="639"/>
      <c r="BI56" s="86">
        <v>0</v>
      </c>
      <c r="BJ56" s="639">
        <v>0</v>
      </c>
      <c r="BK56" s="86">
        <v>0</v>
      </c>
      <c r="BL56" s="639">
        <v>0</v>
      </c>
      <c r="BM56" s="86"/>
      <c r="BN56" s="695">
        <v>0</v>
      </c>
      <c r="BO56" s="696"/>
      <c r="BP56" s="695"/>
      <c r="BQ56" s="696"/>
      <c r="BR56" s="729"/>
      <c r="BS56" s="695"/>
      <c r="BT56" s="696"/>
      <c r="BU56" s="729"/>
      <c r="BV56" s="695"/>
      <c r="BW56" s="696"/>
      <c r="BX56" s="729"/>
      <c r="BY56" s="695"/>
      <c r="BZ56" s="696"/>
      <c r="CA56" s="729"/>
      <c r="CB56" s="720">
        <f t="shared" si="5"/>
        <v>0</v>
      </c>
      <c r="CC56" s="721">
        <f t="shared" si="6"/>
        <v>0</v>
      </c>
      <c r="CD56" s="738"/>
      <c r="CE56" s="323"/>
      <c r="CF56" s="323"/>
      <c r="CG56" s="323"/>
      <c r="CH56" s="323"/>
      <c r="CI56" s="323"/>
      <c r="CJ56" s="323"/>
      <c r="CK56" s="323"/>
      <c r="CL56" s="323"/>
      <c r="CM56" s="323"/>
      <c r="CN56" s="323"/>
      <c r="CO56" s="323"/>
      <c r="CP56" s="323"/>
      <c r="CQ56" s="355">
        <f t="shared" si="7"/>
        <v>0</v>
      </c>
      <c r="CR56" s="356"/>
      <c r="CS56" s="357"/>
      <c r="CT56" s="332"/>
      <c r="CU56" s="358"/>
      <c r="CV56" s="57" t="s">
        <v>38</v>
      </c>
    </row>
    <row r="57" spans="1:100" ht="15" customHeight="1" outlineLevel="2">
      <c r="A57" s="276" t="s">
        <v>39</v>
      </c>
      <c r="B57" s="277" t="str">
        <f t="shared" si="3"/>
        <v>PACK JAKARTAPACKAGEPRIMA MAS MAKMUR</v>
      </c>
      <c r="C57" s="276" t="s">
        <v>36</v>
      </c>
      <c r="D57" s="276" t="s">
        <v>40</v>
      </c>
      <c r="E57" s="287" t="s">
        <v>92</v>
      </c>
      <c r="F57" s="287">
        <v>3000007612</v>
      </c>
      <c r="G57" s="64">
        <v>54005000</v>
      </c>
      <c r="H57" s="65">
        <v>6811000</v>
      </c>
      <c r="I57" s="65">
        <v>3574000</v>
      </c>
      <c r="J57" s="65">
        <v>4354000</v>
      </c>
      <c r="K57" s="65">
        <v>9435000</v>
      </c>
      <c r="L57" s="65">
        <v>3308000</v>
      </c>
      <c r="M57" s="65">
        <v>3941000</v>
      </c>
      <c r="N57" s="65">
        <v>6696000</v>
      </c>
      <c r="O57" s="65">
        <v>7703000</v>
      </c>
      <c r="P57" s="65">
        <v>4104000</v>
      </c>
      <c r="Q57" s="65">
        <v>5136000</v>
      </c>
      <c r="R57" s="65">
        <v>7471000</v>
      </c>
      <c r="S57" s="65">
        <v>7173000</v>
      </c>
      <c r="T57" s="65">
        <v>4104000</v>
      </c>
      <c r="U57" s="65">
        <v>4104000</v>
      </c>
      <c r="V57" s="65">
        <v>4104000</v>
      </c>
      <c r="W57" s="66">
        <f t="shared" si="4"/>
        <v>69706000</v>
      </c>
      <c r="X57" s="55"/>
      <c r="Y57" s="67">
        <v>7000000</v>
      </c>
      <c r="Z57" s="67">
        <v>7000000</v>
      </c>
      <c r="AA57" s="67">
        <v>7000000</v>
      </c>
      <c r="AB57" s="67">
        <v>7000000</v>
      </c>
      <c r="AC57" s="67">
        <v>7000000</v>
      </c>
      <c r="AD57" s="67">
        <v>7000000</v>
      </c>
      <c r="AE57" s="67">
        <v>7000000</v>
      </c>
      <c r="AF57" s="67">
        <v>7000000</v>
      </c>
      <c r="AG57" s="67">
        <v>7000000</v>
      </c>
      <c r="AH57" s="67">
        <v>7000000</v>
      </c>
      <c r="AI57" s="67">
        <v>7000000</v>
      </c>
      <c r="AJ57" s="67">
        <v>7000000</v>
      </c>
      <c r="AK57" s="61">
        <v>84000000</v>
      </c>
      <c r="AL57" s="55"/>
      <c r="AM57" s="67">
        <v>7000000</v>
      </c>
      <c r="AN57" s="67">
        <v>7000000</v>
      </c>
      <c r="AO57" s="67">
        <v>7000000</v>
      </c>
      <c r="AP57" s="67">
        <v>7000000</v>
      </c>
      <c r="AQ57" s="67">
        <v>7000000</v>
      </c>
      <c r="AR57" s="67">
        <v>7000000</v>
      </c>
      <c r="AS57" s="67">
        <v>7000000</v>
      </c>
      <c r="AT57" s="67">
        <v>7000000</v>
      </c>
      <c r="AU57" s="67">
        <v>7000000</v>
      </c>
      <c r="AV57" s="67">
        <v>7000000</v>
      </c>
      <c r="AW57" s="67">
        <v>7000000</v>
      </c>
      <c r="AX57" s="67">
        <v>7000000</v>
      </c>
      <c r="AY57" s="122">
        <v>84000000</v>
      </c>
      <c r="AZ57" s="55"/>
      <c r="BA57" s="639">
        <v>5076000</v>
      </c>
      <c r="BB57" s="639">
        <v>9968000</v>
      </c>
      <c r="BC57" s="86">
        <v>5076000</v>
      </c>
      <c r="BD57" s="639">
        <v>10124000</v>
      </c>
      <c r="BE57" s="86">
        <v>5076000</v>
      </c>
      <c r="BF57" s="639">
        <v>13049000</v>
      </c>
      <c r="BG57" s="86">
        <v>9968000</v>
      </c>
      <c r="BH57" s="639">
        <v>10738000</v>
      </c>
      <c r="BI57" s="86">
        <v>9968000</v>
      </c>
      <c r="BJ57" s="639">
        <v>12890000</v>
      </c>
      <c r="BK57" s="86">
        <v>9968000</v>
      </c>
      <c r="BL57" s="639">
        <v>5643000</v>
      </c>
      <c r="BM57" s="86">
        <v>9968000</v>
      </c>
      <c r="BN57" s="695">
        <v>3928000</v>
      </c>
      <c r="BO57" s="696">
        <v>9968000</v>
      </c>
      <c r="BP57" s="695"/>
      <c r="BQ57" s="696">
        <v>9968000</v>
      </c>
      <c r="BR57" s="729">
        <v>6000000</v>
      </c>
      <c r="BS57" s="695"/>
      <c r="BT57" s="696">
        <v>9968000</v>
      </c>
      <c r="BU57" s="729">
        <v>7000000</v>
      </c>
      <c r="BV57" s="695"/>
      <c r="BW57" s="696">
        <v>9968000</v>
      </c>
      <c r="BX57" s="729">
        <v>8000000</v>
      </c>
      <c r="BY57" s="695"/>
      <c r="BZ57" s="696">
        <v>9968000</v>
      </c>
      <c r="CA57" s="729">
        <v>9968000</v>
      </c>
      <c r="CB57" s="720">
        <f t="shared" si="5"/>
        <v>102384000</v>
      </c>
      <c r="CC57" s="721">
        <f t="shared" si="6"/>
        <v>102384000</v>
      </c>
      <c r="CD57" s="738"/>
      <c r="CE57" s="323">
        <v>5000000</v>
      </c>
      <c r="CF57" s="323">
        <v>7000000</v>
      </c>
      <c r="CG57" s="323">
        <v>9000000</v>
      </c>
      <c r="CH57" s="323">
        <v>9000000</v>
      </c>
      <c r="CI57" s="323">
        <v>6000000</v>
      </c>
      <c r="CJ57" s="323">
        <v>8000000</v>
      </c>
      <c r="CK57" s="323">
        <v>8000000</v>
      </c>
      <c r="CL57" s="323">
        <v>9000000</v>
      </c>
      <c r="CM57" s="323">
        <v>9000000</v>
      </c>
      <c r="CN57" s="323">
        <v>9000000</v>
      </c>
      <c r="CO57" s="323">
        <v>9000000</v>
      </c>
      <c r="CP57" s="323">
        <v>8000000</v>
      </c>
      <c r="CQ57" s="355">
        <f t="shared" si="7"/>
        <v>96000000</v>
      </c>
      <c r="CR57" s="356">
        <f>CQ57*1.17</f>
        <v>112320000</v>
      </c>
      <c r="CS57" s="357">
        <f>CR57*1.08</f>
        <v>121305600.00000001</v>
      </c>
      <c r="CT57" s="332">
        <f>CS57*1.09</f>
        <v>132223104.00000003</v>
      </c>
      <c r="CU57" s="358">
        <f>CT57*1.09</f>
        <v>144123183.36000004</v>
      </c>
      <c r="CV57" s="57" t="s">
        <v>38</v>
      </c>
    </row>
    <row r="58" spans="1:100" ht="15" customHeight="1" outlineLevel="2">
      <c r="A58" s="276" t="s">
        <v>39</v>
      </c>
      <c r="B58" s="277" t="str">
        <f t="shared" si="3"/>
        <v>PACK JAKARTAPACKAGEPZ CUSSONS INDONESIA</v>
      </c>
      <c r="C58" s="276" t="s">
        <v>36</v>
      </c>
      <c r="D58" s="276" t="s">
        <v>40</v>
      </c>
      <c r="E58" s="287" t="s">
        <v>93</v>
      </c>
      <c r="F58" s="287"/>
      <c r="G58" s="64">
        <v>0</v>
      </c>
      <c r="H58" s="65">
        <v>0</v>
      </c>
      <c r="I58" s="65">
        <v>0</v>
      </c>
      <c r="J58" s="65">
        <v>0</v>
      </c>
      <c r="K58" s="65">
        <v>245628900</v>
      </c>
      <c r="L58" s="65">
        <v>0</v>
      </c>
      <c r="M58" s="65">
        <v>0</v>
      </c>
      <c r="N58" s="65">
        <v>0</v>
      </c>
      <c r="O58" s="65">
        <v>1740000</v>
      </c>
      <c r="P58" s="65">
        <v>0</v>
      </c>
      <c r="Q58" s="65">
        <v>0</v>
      </c>
      <c r="R58" s="65">
        <v>0</v>
      </c>
      <c r="S58" s="65">
        <v>0</v>
      </c>
      <c r="T58" s="65">
        <v>0</v>
      </c>
      <c r="U58" s="65">
        <v>0</v>
      </c>
      <c r="V58" s="65">
        <v>0</v>
      </c>
      <c r="W58" s="66">
        <f t="shared" si="4"/>
        <v>247368900</v>
      </c>
      <c r="X58" s="55"/>
      <c r="Y58" s="67">
        <v>0</v>
      </c>
      <c r="Z58" s="67">
        <v>0</v>
      </c>
      <c r="AA58" s="67">
        <v>0</v>
      </c>
      <c r="AB58" s="67">
        <v>0</v>
      </c>
      <c r="AC58" s="67">
        <v>0</v>
      </c>
      <c r="AD58" s="67">
        <v>0</v>
      </c>
      <c r="AE58" s="67">
        <v>0</v>
      </c>
      <c r="AF58" s="67">
        <v>0</v>
      </c>
      <c r="AG58" s="67">
        <v>0</v>
      </c>
      <c r="AH58" s="67">
        <v>0</v>
      </c>
      <c r="AI58" s="67">
        <v>0</v>
      </c>
      <c r="AJ58" s="67">
        <v>0</v>
      </c>
      <c r="AK58" s="61">
        <v>0</v>
      </c>
      <c r="AL58" s="55"/>
      <c r="AM58" s="67">
        <v>0</v>
      </c>
      <c r="AN58" s="67">
        <v>0</v>
      </c>
      <c r="AO58" s="67">
        <v>0</v>
      </c>
      <c r="AP58" s="67">
        <v>0</v>
      </c>
      <c r="AQ58" s="67">
        <v>0</v>
      </c>
      <c r="AR58" s="67">
        <v>0</v>
      </c>
      <c r="AS58" s="67">
        <v>0</v>
      </c>
      <c r="AT58" s="67">
        <v>0</v>
      </c>
      <c r="AU58" s="67">
        <v>0</v>
      </c>
      <c r="AV58" s="67">
        <v>0</v>
      </c>
      <c r="AW58" s="67">
        <v>0</v>
      </c>
      <c r="AX58" s="67">
        <v>0</v>
      </c>
      <c r="AY58" s="122">
        <v>0</v>
      </c>
      <c r="AZ58" s="55"/>
      <c r="BA58" s="639">
        <v>0</v>
      </c>
      <c r="BB58" s="639">
        <v>0</v>
      </c>
      <c r="BC58" s="86"/>
      <c r="BD58" s="639">
        <v>0</v>
      </c>
      <c r="BE58" s="86"/>
      <c r="BF58" s="639">
        <v>0</v>
      </c>
      <c r="BG58" s="86">
        <v>0</v>
      </c>
      <c r="BH58" s="639"/>
      <c r="BI58" s="86">
        <v>0</v>
      </c>
      <c r="BJ58" s="639">
        <v>0</v>
      </c>
      <c r="BK58" s="86">
        <v>0</v>
      </c>
      <c r="BL58" s="639">
        <v>0</v>
      </c>
      <c r="BM58" s="86"/>
      <c r="BN58" s="695">
        <v>0</v>
      </c>
      <c r="BO58" s="696"/>
      <c r="BP58" s="695"/>
      <c r="BQ58" s="696"/>
      <c r="BR58" s="729"/>
      <c r="BS58" s="695"/>
      <c r="BT58" s="696"/>
      <c r="BU58" s="729"/>
      <c r="BV58" s="695"/>
      <c r="BW58" s="696"/>
      <c r="BX58" s="729"/>
      <c r="BY58" s="695"/>
      <c r="BZ58" s="696"/>
      <c r="CA58" s="729"/>
      <c r="CB58" s="720">
        <f t="shared" si="5"/>
        <v>0</v>
      </c>
      <c r="CC58" s="721">
        <f t="shared" si="6"/>
        <v>0</v>
      </c>
      <c r="CD58" s="738"/>
      <c r="CE58" s="323"/>
      <c r="CF58" s="323"/>
      <c r="CG58" s="323"/>
      <c r="CH58" s="323"/>
      <c r="CI58" s="323"/>
      <c r="CJ58" s="323"/>
      <c r="CK58" s="323"/>
      <c r="CL58" s="323"/>
      <c r="CM58" s="323"/>
      <c r="CN58" s="323"/>
      <c r="CO58" s="323"/>
      <c r="CP58" s="323"/>
      <c r="CQ58" s="355">
        <f t="shared" si="7"/>
        <v>0</v>
      </c>
      <c r="CR58" s="356">
        <f t="shared" ref="CR58:CU59" si="13">CQ58*1.07</f>
        <v>0</v>
      </c>
      <c r="CS58" s="357">
        <f t="shared" si="13"/>
        <v>0</v>
      </c>
      <c r="CT58" s="332">
        <f t="shared" si="13"/>
        <v>0</v>
      </c>
      <c r="CU58" s="358">
        <f t="shared" si="13"/>
        <v>0</v>
      </c>
      <c r="CV58" s="57" t="s">
        <v>38</v>
      </c>
    </row>
    <row r="59" spans="1:100" ht="15" customHeight="1" outlineLevel="2">
      <c r="A59" s="286" t="s">
        <v>35</v>
      </c>
      <c r="B59" s="277" t="str">
        <f t="shared" si="3"/>
        <v>PACK JAKARTAPACKAGERAKSASA BISNIS INDONESIA</v>
      </c>
      <c r="C59" s="276" t="s">
        <v>36</v>
      </c>
      <c r="D59" s="276" t="s">
        <v>40</v>
      </c>
      <c r="E59" s="288" t="s">
        <v>94</v>
      </c>
      <c r="F59" s="288"/>
      <c r="G59" s="64">
        <v>310089975</v>
      </c>
      <c r="H59" s="65">
        <v>0</v>
      </c>
      <c r="I59" s="65">
        <v>1971885</v>
      </c>
      <c r="J59" s="65">
        <v>0</v>
      </c>
      <c r="K59" s="65">
        <v>0</v>
      </c>
      <c r="L59" s="65">
        <v>0</v>
      </c>
      <c r="M59" s="65">
        <v>0</v>
      </c>
      <c r="N59" s="65">
        <v>0</v>
      </c>
      <c r="O59" s="65">
        <v>0</v>
      </c>
      <c r="P59" s="65">
        <v>0</v>
      </c>
      <c r="Q59" s="65">
        <v>0</v>
      </c>
      <c r="R59" s="65">
        <v>0</v>
      </c>
      <c r="S59" s="65">
        <v>0</v>
      </c>
      <c r="T59" s="65">
        <v>0</v>
      </c>
      <c r="U59" s="65">
        <v>0</v>
      </c>
      <c r="V59" s="65">
        <v>0</v>
      </c>
      <c r="W59" s="66">
        <f t="shared" si="4"/>
        <v>1971885</v>
      </c>
      <c r="X59" s="55"/>
      <c r="Y59" s="67">
        <v>0</v>
      </c>
      <c r="Z59" s="67">
        <v>0</v>
      </c>
      <c r="AA59" s="67">
        <v>0</v>
      </c>
      <c r="AB59" s="67">
        <v>0</v>
      </c>
      <c r="AC59" s="67">
        <v>0</v>
      </c>
      <c r="AD59" s="67">
        <v>0</v>
      </c>
      <c r="AE59" s="67">
        <v>0</v>
      </c>
      <c r="AF59" s="67">
        <v>0</v>
      </c>
      <c r="AG59" s="67">
        <v>0</v>
      </c>
      <c r="AH59" s="67">
        <v>0</v>
      </c>
      <c r="AI59" s="67">
        <v>0</v>
      </c>
      <c r="AJ59" s="67">
        <v>0</v>
      </c>
      <c r="AK59" s="61">
        <v>0</v>
      </c>
      <c r="AL59" s="55"/>
      <c r="AM59" s="67">
        <v>0</v>
      </c>
      <c r="AN59" s="67">
        <v>0</v>
      </c>
      <c r="AO59" s="67">
        <v>0</v>
      </c>
      <c r="AP59" s="67">
        <v>0</v>
      </c>
      <c r="AQ59" s="67">
        <v>0</v>
      </c>
      <c r="AR59" s="67">
        <v>0</v>
      </c>
      <c r="AS59" s="67">
        <v>0</v>
      </c>
      <c r="AT59" s="67">
        <v>0</v>
      </c>
      <c r="AU59" s="67">
        <v>0</v>
      </c>
      <c r="AV59" s="67">
        <v>0</v>
      </c>
      <c r="AW59" s="67">
        <v>0</v>
      </c>
      <c r="AX59" s="67">
        <v>0</v>
      </c>
      <c r="AY59" s="122">
        <v>0</v>
      </c>
      <c r="AZ59" s="55"/>
      <c r="BA59" s="639">
        <v>0</v>
      </c>
      <c r="BB59" s="639">
        <v>0</v>
      </c>
      <c r="BC59" s="86"/>
      <c r="BD59" s="639">
        <v>0</v>
      </c>
      <c r="BE59" s="86"/>
      <c r="BF59" s="639">
        <v>0</v>
      </c>
      <c r="BG59" s="86">
        <v>0</v>
      </c>
      <c r="BH59" s="639"/>
      <c r="BI59" s="86">
        <v>0</v>
      </c>
      <c r="BJ59" s="639">
        <v>0</v>
      </c>
      <c r="BK59" s="86">
        <v>0</v>
      </c>
      <c r="BL59" s="639">
        <v>0</v>
      </c>
      <c r="BM59" s="86"/>
      <c r="BN59" s="695">
        <v>0</v>
      </c>
      <c r="BO59" s="696"/>
      <c r="BP59" s="695"/>
      <c r="BQ59" s="696"/>
      <c r="BR59" s="729"/>
      <c r="BS59" s="695"/>
      <c r="BT59" s="696"/>
      <c r="BU59" s="729"/>
      <c r="BV59" s="695"/>
      <c r="BW59" s="696"/>
      <c r="BX59" s="729"/>
      <c r="BY59" s="695"/>
      <c r="BZ59" s="696"/>
      <c r="CA59" s="729"/>
      <c r="CB59" s="720">
        <f t="shared" si="5"/>
        <v>0</v>
      </c>
      <c r="CC59" s="721">
        <f t="shared" si="6"/>
        <v>0</v>
      </c>
      <c r="CD59" s="738"/>
      <c r="CE59" s="323"/>
      <c r="CF59" s="323"/>
      <c r="CG59" s="323"/>
      <c r="CH59" s="323"/>
      <c r="CI59" s="323"/>
      <c r="CJ59" s="323"/>
      <c r="CK59" s="323"/>
      <c r="CL59" s="323"/>
      <c r="CM59" s="323"/>
      <c r="CN59" s="323"/>
      <c r="CO59" s="323"/>
      <c r="CP59" s="323"/>
      <c r="CQ59" s="355">
        <f t="shared" si="7"/>
        <v>0</v>
      </c>
      <c r="CR59" s="356">
        <f t="shared" si="13"/>
        <v>0</v>
      </c>
      <c r="CS59" s="357">
        <f t="shared" si="13"/>
        <v>0</v>
      </c>
      <c r="CT59" s="332">
        <f t="shared" si="13"/>
        <v>0</v>
      </c>
      <c r="CU59" s="358">
        <f t="shared" si="13"/>
        <v>0</v>
      </c>
      <c r="CV59" s="57" t="s">
        <v>38</v>
      </c>
    </row>
    <row r="60" spans="1:100" ht="15" customHeight="1" outlineLevel="2">
      <c r="A60" s="276" t="s">
        <v>43</v>
      </c>
      <c r="B60" s="277" t="str">
        <f t="shared" si="3"/>
        <v>PACK JAKARTAPACKAGERB FOOD SUPPLY INDONESIA</v>
      </c>
      <c r="C60" s="276" t="s">
        <v>36</v>
      </c>
      <c r="D60" s="276" t="s">
        <v>40</v>
      </c>
      <c r="E60" s="287" t="s">
        <v>95</v>
      </c>
      <c r="F60" s="287"/>
      <c r="G60" s="64">
        <v>235916140</v>
      </c>
      <c r="H60" s="65"/>
      <c r="I60" s="65"/>
      <c r="J60" s="65"/>
      <c r="K60" s="65"/>
      <c r="L60" s="65"/>
      <c r="M60" s="65"/>
      <c r="N60" s="65"/>
      <c r="O60" s="65"/>
      <c r="P60" s="65">
        <v>0</v>
      </c>
      <c r="Q60" s="65">
        <v>0</v>
      </c>
      <c r="R60" s="65">
        <v>0</v>
      </c>
      <c r="S60" s="65">
        <v>0</v>
      </c>
      <c r="T60" s="65">
        <v>0</v>
      </c>
      <c r="U60" s="65">
        <v>0</v>
      </c>
      <c r="V60" s="65">
        <v>0</v>
      </c>
      <c r="W60" s="66">
        <f t="shared" si="4"/>
        <v>0</v>
      </c>
      <c r="X60" s="55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1">
        <v>0</v>
      </c>
      <c r="AL60" s="55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122">
        <v>0</v>
      </c>
      <c r="AZ60" s="55"/>
      <c r="BA60" s="639">
        <v>0</v>
      </c>
      <c r="BB60" s="639">
        <v>0</v>
      </c>
      <c r="BC60" s="86"/>
      <c r="BD60" s="639">
        <v>0</v>
      </c>
      <c r="BE60" s="86"/>
      <c r="BF60" s="639">
        <v>0</v>
      </c>
      <c r="BG60" s="86">
        <v>0</v>
      </c>
      <c r="BH60" s="639"/>
      <c r="BI60" s="86">
        <v>0</v>
      </c>
      <c r="BJ60" s="639">
        <v>0</v>
      </c>
      <c r="BK60" s="86">
        <v>0</v>
      </c>
      <c r="BL60" s="639">
        <v>0</v>
      </c>
      <c r="BM60" s="86"/>
      <c r="BN60" s="695">
        <v>0</v>
      </c>
      <c r="BO60" s="696"/>
      <c r="BP60" s="695"/>
      <c r="BQ60" s="696"/>
      <c r="BR60" s="729"/>
      <c r="BS60" s="695"/>
      <c r="BT60" s="696"/>
      <c r="BU60" s="729"/>
      <c r="BV60" s="695"/>
      <c r="BW60" s="696"/>
      <c r="BX60" s="729"/>
      <c r="BY60" s="695"/>
      <c r="BZ60" s="696"/>
      <c r="CA60" s="729"/>
      <c r="CB60" s="720">
        <f t="shared" si="5"/>
        <v>0</v>
      </c>
      <c r="CC60" s="721">
        <f t="shared" si="6"/>
        <v>0</v>
      </c>
      <c r="CD60" s="738"/>
      <c r="CE60" s="323"/>
      <c r="CF60" s="323"/>
      <c r="CG60" s="323"/>
      <c r="CH60" s="323"/>
      <c r="CI60" s="323"/>
      <c r="CJ60" s="323"/>
      <c r="CK60" s="323"/>
      <c r="CL60" s="323"/>
      <c r="CM60" s="323"/>
      <c r="CN60" s="323"/>
      <c r="CO60" s="323"/>
      <c r="CP60" s="323"/>
      <c r="CQ60" s="355">
        <f t="shared" si="7"/>
        <v>0</v>
      </c>
      <c r="CR60" s="356"/>
      <c r="CS60" s="357"/>
      <c r="CT60" s="332"/>
      <c r="CU60" s="358"/>
      <c r="CV60" s="57" t="s">
        <v>38</v>
      </c>
    </row>
    <row r="61" spans="1:100" ht="15" customHeight="1" outlineLevel="2">
      <c r="A61" s="276" t="s">
        <v>39</v>
      </c>
      <c r="B61" s="277" t="str">
        <f t="shared" si="3"/>
        <v>PACK JAKARTAPACKAGERIAU ANDALAN KERTAS</v>
      </c>
      <c r="C61" s="276" t="s">
        <v>36</v>
      </c>
      <c r="D61" s="276" t="s">
        <v>40</v>
      </c>
      <c r="E61" s="288" t="s">
        <v>96</v>
      </c>
      <c r="F61" s="288"/>
      <c r="G61" s="64">
        <v>0</v>
      </c>
      <c r="H61" s="65">
        <v>0</v>
      </c>
      <c r="I61" s="65">
        <v>0</v>
      </c>
      <c r="J61" s="65">
        <v>0</v>
      </c>
      <c r="K61" s="65">
        <v>0</v>
      </c>
      <c r="L61" s="65">
        <v>646130581</v>
      </c>
      <c r="M61" s="65">
        <v>453784667</v>
      </c>
      <c r="N61" s="65">
        <v>291326149</v>
      </c>
      <c r="O61" s="65">
        <v>-12229668</v>
      </c>
      <c r="P61" s="65">
        <v>0</v>
      </c>
      <c r="Q61" s="65">
        <v>0</v>
      </c>
      <c r="R61" s="65">
        <v>0</v>
      </c>
      <c r="S61" s="65">
        <v>0</v>
      </c>
      <c r="T61" s="65">
        <v>0</v>
      </c>
      <c r="U61" s="65">
        <v>0</v>
      </c>
      <c r="V61" s="65">
        <v>0</v>
      </c>
      <c r="W61" s="66">
        <f t="shared" si="4"/>
        <v>1379011729</v>
      </c>
      <c r="X61" s="55"/>
      <c r="Y61" s="67">
        <v>0</v>
      </c>
      <c r="Z61" s="67">
        <v>0</v>
      </c>
      <c r="AA61" s="67">
        <v>0</v>
      </c>
      <c r="AB61" s="67">
        <v>0</v>
      </c>
      <c r="AC61" s="67">
        <v>0</v>
      </c>
      <c r="AD61" s="67">
        <v>0</v>
      </c>
      <c r="AE61" s="67">
        <v>0</v>
      </c>
      <c r="AF61" s="67">
        <v>0</v>
      </c>
      <c r="AG61" s="67">
        <v>0</v>
      </c>
      <c r="AH61" s="67">
        <v>0</v>
      </c>
      <c r="AI61" s="67">
        <v>0</v>
      </c>
      <c r="AJ61" s="67">
        <v>0</v>
      </c>
      <c r="AK61" s="61">
        <v>0</v>
      </c>
      <c r="AL61" s="55"/>
      <c r="AM61" s="67">
        <v>0</v>
      </c>
      <c r="AN61" s="67">
        <v>0</v>
      </c>
      <c r="AO61" s="67">
        <v>0</v>
      </c>
      <c r="AP61" s="67">
        <v>0</v>
      </c>
      <c r="AQ61" s="67">
        <v>0</v>
      </c>
      <c r="AR61" s="67">
        <v>0</v>
      </c>
      <c r="AS61" s="67">
        <v>0</v>
      </c>
      <c r="AT61" s="67">
        <v>0</v>
      </c>
      <c r="AU61" s="67">
        <v>0</v>
      </c>
      <c r="AV61" s="67">
        <v>0</v>
      </c>
      <c r="AW61" s="67">
        <v>0</v>
      </c>
      <c r="AX61" s="67">
        <v>0</v>
      </c>
      <c r="AY61" s="122">
        <v>0</v>
      </c>
      <c r="AZ61" s="55"/>
      <c r="BA61" s="639">
        <v>0</v>
      </c>
      <c r="BB61" s="639">
        <v>0</v>
      </c>
      <c r="BC61" s="86"/>
      <c r="BD61" s="639">
        <v>0</v>
      </c>
      <c r="BE61" s="86"/>
      <c r="BF61" s="639">
        <v>0</v>
      </c>
      <c r="BG61" s="86">
        <v>0</v>
      </c>
      <c r="BH61" s="639"/>
      <c r="BI61" s="86">
        <v>0</v>
      </c>
      <c r="BJ61" s="639">
        <v>0</v>
      </c>
      <c r="BK61" s="86">
        <v>0</v>
      </c>
      <c r="BL61" s="639">
        <v>0</v>
      </c>
      <c r="BM61" s="86"/>
      <c r="BN61" s="695">
        <v>0</v>
      </c>
      <c r="BO61" s="696"/>
      <c r="BP61" s="695"/>
      <c r="BQ61" s="696"/>
      <c r="BR61" s="729"/>
      <c r="BS61" s="695"/>
      <c r="BT61" s="696"/>
      <c r="BU61" s="729"/>
      <c r="BV61" s="695"/>
      <c r="BW61" s="696"/>
      <c r="BX61" s="729"/>
      <c r="BY61" s="695"/>
      <c r="BZ61" s="696"/>
      <c r="CA61" s="729"/>
      <c r="CB61" s="720">
        <f t="shared" si="5"/>
        <v>0</v>
      </c>
      <c r="CC61" s="721">
        <f t="shared" si="6"/>
        <v>0</v>
      </c>
      <c r="CD61" s="738"/>
      <c r="CE61" s="323"/>
      <c r="CF61" s="323"/>
      <c r="CG61" s="323"/>
      <c r="CH61" s="323"/>
      <c r="CI61" s="323"/>
      <c r="CJ61" s="323"/>
      <c r="CK61" s="323"/>
      <c r="CL61" s="323"/>
      <c r="CM61" s="323"/>
      <c r="CN61" s="323"/>
      <c r="CO61" s="323"/>
      <c r="CP61" s="323"/>
      <c r="CQ61" s="355">
        <f t="shared" si="7"/>
        <v>0</v>
      </c>
      <c r="CR61" s="356">
        <f>CQ61*1.07</f>
        <v>0</v>
      </c>
      <c r="CS61" s="357">
        <f>CR61*1.07</f>
        <v>0</v>
      </c>
      <c r="CT61" s="332">
        <f>CS61*1.07</f>
        <v>0</v>
      </c>
      <c r="CU61" s="358">
        <f>CT61*1.07</f>
        <v>0</v>
      </c>
      <c r="CV61" s="57" t="s">
        <v>38</v>
      </c>
    </row>
    <row r="62" spans="1:100" ht="15" customHeight="1" outlineLevel="2">
      <c r="A62" s="276" t="s">
        <v>59</v>
      </c>
      <c r="B62" s="277" t="str">
        <f>$E$7&amp;$E$6&amp;E62</f>
        <v>PACK JAKARTAPACKAGERHENUS LOGISTICS INDONESIA</v>
      </c>
      <c r="C62" s="276" t="s">
        <v>36</v>
      </c>
      <c r="D62" s="276" t="s">
        <v>40</v>
      </c>
      <c r="E62" s="287" t="s">
        <v>97</v>
      </c>
      <c r="F62" s="287">
        <v>3000019632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>
        <v>28403000</v>
      </c>
      <c r="R62" s="65">
        <v>32784000</v>
      </c>
      <c r="S62" s="65">
        <v>13712000</v>
      </c>
      <c r="T62" s="69">
        <v>5000000</v>
      </c>
      <c r="U62" s="69">
        <v>5000000</v>
      </c>
      <c r="V62" s="69">
        <v>5000000</v>
      </c>
      <c r="W62" s="66">
        <f>SUM(H62:S62)</f>
        <v>74899000</v>
      </c>
      <c r="X62" s="55"/>
      <c r="Y62" s="67">
        <v>18200000</v>
      </c>
      <c r="Z62" s="67">
        <v>18200000</v>
      </c>
      <c r="AA62" s="67">
        <v>18200000</v>
      </c>
      <c r="AB62" s="67">
        <v>18200000</v>
      </c>
      <c r="AC62" s="67">
        <v>18200000</v>
      </c>
      <c r="AD62" s="67">
        <v>18200000</v>
      </c>
      <c r="AE62" s="67">
        <v>18200000</v>
      </c>
      <c r="AF62" s="67">
        <v>18200000</v>
      </c>
      <c r="AG62" s="67">
        <v>18200000</v>
      </c>
      <c r="AH62" s="67">
        <v>18200000</v>
      </c>
      <c r="AI62" s="67">
        <v>18200000</v>
      </c>
      <c r="AJ62" s="67">
        <v>18200000</v>
      </c>
      <c r="AK62" s="61">
        <v>218400000</v>
      </c>
      <c r="AL62" s="55"/>
      <c r="AM62" s="67">
        <v>18200000</v>
      </c>
      <c r="AN62" s="67">
        <v>18200000</v>
      </c>
      <c r="AO62" s="67">
        <v>18200000</v>
      </c>
      <c r="AP62" s="67">
        <v>18200000</v>
      </c>
      <c r="AQ62" s="67">
        <v>18200000</v>
      </c>
      <c r="AR62" s="67">
        <v>18200000</v>
      </c>
      <c r="AS62" s="67">
        <v>18200000</v>
      </c>
      <c r="AT62" s="67">
        <v>18200000</v>
      </c>
      <c r="AU62" s="67">
        <v>18200000</v>
      </c>
      <c r="AV62" s="67">
        <v>18200000</v>
      </c>
      <c r="AW62" s="67">
        <v>18200000</v>
      </c>
      <c r="AX62" s="67">
        <v>18200000</v>
      </c>
      <c r="AY62" s="122">
        <v>218400000</v>
      </c>
      <c r="AZ62" s="55"/>
      <c r="BA62" s="639">
        <v>9430000</v>
      </c>
      <c r="BB62" s="639">
        <v>9420000</v>
      </c>
      <c r="BC62" s="86">
        <v>9430000</v>
      </c>
      <c r="BD62" s="639">
        <v>0</v>
      </c>
      <c r="BE62" s="86">
        <v>0</v>
      </c>
      <c r="BF62" s="639">
        <v>0</v>
      </c>
      <c r="BG62" s="86">
        <v>0</v>
      </c>
      <c r="BH62" s="639"/>
      <c r="BI62" s="86">
        <v>0</v>
      </c>
      <c r="BJ62" s="639">
        <v>0</v>
      </c>
      <c r="BK62" s="86">
        <v>50000000</v>
      </c>
      <c r="BL62" s="639">
        <v>0</v>
      </c>
      <c r="BM62" s="86">
        <v>50000000</v>
      </c>
      <c r="BN62" s="695">
        <v>0</v>
      </c>
      <c r="BO62" s="696">
        <v>50000000</v>
      </c>
      <c r="BP62" s="695"/>
      <c r="BQ62" s="696">
        <v>50000000</v>
      </c>
      <c r="BR62" s="729">
        <v>25000000</v>
      </c>
      <c r="BS62" s="695"/>
      <c r="BT62" s="696">
        <v>50000000</v>
      </c>
      <c r="BU62" s="729">
        <v>25000000</v>
      </c>
      <c r="BV62" s="695"/>
      <c r="BW62" s="696">
        <v>50000000</v>
      </c>
      <c r="BX62" s="729">
        <v>25000000</v>
      </c>
      <c r="BY62" s="695"/>
      <c r="BZ62" s="696">
        <v>50000000</v>
      </c>
      <c r="CA62" s="729">
        <v>25000000</v>
      </c>
      <c r="CB62" s="720">
        <f t="shared" si="5"/>
        <v>118850000</v>
      </c>
      <c r="CC62" s="721">
        <f t="shared" si="6"/>
        <v>118850000</v>
      </c>
      <c r="CD62" s="738"/>
      <c r="CE62" s="323"/>
      <c r="CF62" s="323"/>
      <c r="CG62" s="323"/>
      <c r="CH62" s="323"/>
      <c r="CI62" s="323"/>
      <c r="CJ62" s="323"/>
      <c r="CK62" s="323"/>
      <c r="CL62" s="323"/>
      <c r="CM62" s="323"/>
      <c r="CN62" s="323"/>
      <c r="CO62" s="323"/>
      <c r="CP62" s="323"/>
      <c r="CQ62" s="355">
        <f t="shared" si="7"/>
        <v>0</v>
      </c>
      <c r="CR62" s="356">
        <f>CQ62*1.17</f>
        <v>0</v>
      </c>
      <c r="CS62" s="357">
        <f>CR62*1.08</f>
        <v>0</v>
      </c>
      <c r="CT62" s="332">
        <f>CS62*1.09</f>
        <v>0</v>
      </c>
      <c r="CU62" s="358">
        <f>CT62*1.09</f>
        <v>0</v>
      </c>
      <c r="CV62" s="57" t="s">
        <v>38</v>
      </c>
    </row>
    <row r="63" spans="1:100" ht="15" customHeight="1" outlineLevel="2">
      <c r="A63" s="276" t="s">
        <v>43</v>
      </c>
      <c r="B63" s="277" t="str">
        <f t="shared" si="3"/>
        <v>PACK JAKARTAPACKAGESAM JUNG INDONESIA</v>
      </c>
      <c r="C63" s="276" t="s">
        <v>36</v>
      </c>
      <c r="D63" s="276" t="s">
        <v>40</v>
      </c>
      <c r="E63" s="287" t="s">
        <v>98</v>
      </c>
      <c r="F63" s="287">
        <v>3000018542</v>
      </c>
      <c r="G63" s="64">
        <v>4325000</v>
      </c>
      <c r="H63" s="65">
        <v>1525000</v>
      </c>
      <c r="I63" s="65">
        <v>1440000</v>
      </c>
      <c r="J63" s="65">
        <v>1440000</v>
      </c>
      <c r="K63" s="65">
        <v>1440000</v>
      </c>
      <c r="L63" s="65">
        <v>1440000</v>
      </c>
      <c r="M63" s="65">
        <v>1500000</v>
      </c>
      <c r="N63" s="65">
        <v>1440000</v>
      </c>
      <c r="O63" s="65">
        <v>2430000</v>
      </c>
      <c r="P63" s="65">
        <v>1440000</v>
      </c>
      <c r="Q63" s="65">
        <v>1440000</v>
      </c>
      <c r="R63" s="65">
        <v>1440000</v>
      </c>
      <c r="S63" s="65">
        <v>1440000</v>
      </c>
      <c r="T63" s="65">
        <v>1440000</v>
      </c>
      <c r="U63" s="65">
        <v>1440000</v>
      </c>
      <c r="V63" s="65">
        <v>1440000</v>
      </c>
      <c r="W63" s="66">
        <f t="shared" si="4"/>
        <v>18415000</v>
      </c>
      <c r="X63" s="55"/>
      <c r="Y63" s="67">
        <v>2000000</v>
      </c>
      <c r="Z63" s="67">
        <v>2000000</v>
      </c>
      <c r="AA63" s="67">
        <v>2000000</v>
      </c>
      <c r="AB63" s="67">
        <v>2000000</v>
      </c>
      <c r="AC63" s="67">
        <v>2000000</v>
      </c>
      <c r="AD63" s="67">
        <v>2000000</v>
      </c>
      <c r="AE63" s="67">
        <v>2000000</v>
      </c>
      <c r="AF63" s="67">
        <v>2000000</v>
      </c>
      <c r="AG63" s="67">
        <v>2000000</v>
      </c>
      <c r="AH63" s="67">
        <v>2000000</v>
      </c>
      <c r="AI63" s="67">
        <v>2000000</v>
      </c>
      <c r="AJ63" s="67">
        <v>2000000</v>
      </c>
      <c r="AK63" s="61">
        <v>24000000</v>
      </c>
      <c r="AL63" s="55"/>
      <c r="AM63" s="67">
        <v>2000000</v>
      </c>
      <c r="AN63" s="67">
        <v>2000000</v>
      </c>
      <c r="AO63" s="67">
        <v>2000000</v>
      </c>
      <c r="AP63" s="67">
        <v>2000000</v>
      </c>
      <c r="AQ63" s="67">
        <v>2000000</v>
      </c>
      <c r="AR63" s="67">
        <v>2000000</v>
      </c>
      <c r="AS63" s="67">
        <v>2000000</v>
      </c>
      <c r="AT63" s="67">
        <v>2000000</v>
      </c>
      <c r="AU63" s="67">
        <v>2000000</v>
      </c>
      <c r="AV63" s="67">
        <v>2000000</v>
      </c>
      <c r="AW63" s="67">
        <v>2000000</v>
      </c>
      <c r="AX63" s="67">
        <v>2000000</v>
      </c>
      <c r="AY63" s="122">
        <v>24000000</v>
      </c>
      <c r="AZ63" s="55"/>
      <c r="BA63" s="639">
        <v>1440000</v>
      </c>
      <c r="BB63" s="639">
        <v>1797800</v>
      </c>
      <c r="BC63" s="86">
        <v>1440000</v>
      </c>
      <c r="BD63" s="639">
        <v>1479000</v>
      </c>
      <c r="BE63" s="86">
        <v>1440000</v>
      </c>
      <c r="BF63" s="639">
        <v>1537000</v>
      </c>
      <c r="BG63" s="86">
        <v>1797800</v>
      </c>
      <c r="BH63" s="639">
        <v>1537000</v>
      </c>
      <c r="BI63" s="86">
        <v>1797800</v>
      </c>
      <c r="BJ63" s="639">
        <v>1479000</v>
      </c>
      <c r="BK63" s="86">
        <v>1797800</v>
      </c>
      <c r="BL63" s="639">
        <v>1479000</v>
      </c>
      <c r="BM63" s="86">
        <v>1797800</v>
      </c>
      <c r="BN63" s="695">
        <v>1479000</v>
      </c>
      <c r="BO63" s="696">
        <v>1797800</v>
      </c>
      <c r="BP63" s="695"/>
      <c r="BQ63" s="696">
        <v>1797800</v>
      </c>
      <c r="BR63" s="729">
        <v>1650000</v>
      </c>
      <c r="BS63" s="695"/>
      <c r="BT63" s="696">
        <v>1797800</v>
      </c>
      <c r="BU63" s="729">
        <v>1650000</v>
      </c>
      <c r="BV63" s="695"/>
      <c r="BW63" s="696">
        <v>1797800</v>
      </c>
      <c r="BX63" s="729">
        <v>1650000</v>
      </c>
      <c r="BY63" s="695"/>
      <c r="BZ63" s="696">
        <v>1797800</v>
      </c>
      <c r="CA63" s="729">
        <v>1650000</v>
      </c>
      <c r="CB63" s="720">
        <f t="shared" si="5"/>
        <v>18827800</v>
      </c>
      <c r="CC63" s="721">
        <f t="shared" si="6"/>
        <v>18827800</v>
      </c>
      <c r="CD63" s="738"/>
      <c r="CE63" s="323">
        <v>1500000</v>
      </c>
      <c r="CF63" s="323">
        <v>1500000</v>
      </c>
      <c r="CG63" s="323">
        <v>1500000</v>
      </c>
      <c r="CH63" s="323">
        <v>1500000</v>
      </c>
      <c r="CI63" s="323">
        <v>1500000</v>
      </c>
      <c r="CJ63" s="323">
        <v>1500000</v>
      </c>
      <c r="CK63" s="323">
        <v>1500000</v>
      </c>
      <c r="CL63" s="323">
        <v>1500000</v>
      </c>
      <c r="CM63" s="323">
        <v>1500000</v>
      </c>
      <c r="CN63" s="323">
        <v>1500000</v>
      </c>
      <c r="CO63" s="323">
        <v>1500000</v>
      </c>
      <c r="CP63" s="323">
        <v>1500000</v>
      </c>
      <c r="CQ63" s="355">
        <f t="shared" si="7"/>
        <v>18000000</v>
      </c>
      <c r="CR63" s="356">
        <f>CQ63*1.17</f>
        <v>21060000</v>
      </c>
      <c r="CS63" s="357">
        <f>CR63*1.08</f>
        <v>22744800</v>
      </c>
      <c r="CT63" s="332">
        <f>CS63*1.09</f>
        <v>24791832</v>
      </c>
      <c r="CU63" s="358">
        <f>CT63*1.09</f>
        <v>27023096.880000003</v>
      </c>
      <c r="CV63" s="57" t="s">
        <v>38</v>
      </c>
    </row>
    <row r="64" spans="1:100" ht="15" customHeight="1" outlineLevel="2">
      <c r="A64" s="276" t="s">
        <v>43</v>
      </c>
      <c r="B64" s="277" t="str">
        <f t="shared" si="3"/>
        <v>PACK JAKARTAPACKAGESAMSONITE INDONESIA</v>
      </c>
      <c r="C64" s="276" t="s">
        <v>36</v>
      </c>
      <c r="D64" s="276" t="s">
        <v>40</v>
      </c>
      <c r="E64" s="287" t="s">
        <v>99</v>
      </c>
      <c r="F64" s="287">
        <v>3000007662</v>
      </c>
      <c r="G64" s="64">
        <v>5881990838</v>
      </c>
      <c r="H64" s="65">
        <v>689951636</v>
      </c>
      <c r="I64" s="65">
        <v>606158912</v>
      </c>
      <c r="J64" s="65">
        <v>461427544</v>
      </c>
      <c r="K64" s="65">
        <v>650388202</v>
      </c>
      <c r="L64" s="65">
        <v>650231199</v>
      </c>
      <c r="M64" s="65">
        <v>5164376</v>
      </c>
      <c r="N64" s="65">
        <v>418014622</v>
      </c>
      <c r="O64" s="65">
        <v>462597599</v>
      </c>
      <c r="P64" s="65">
        <v>451130241</v>
      </c>
      <c r="Q64" s="65">
        <v>417365303</v>
      </c>
      <c r="R64" s="65">
        <v>440024970</v>
      </c>
      <c r="S64" s="65">
        <v>429828074</v>
      </c>
      <c r="T64" s="65">
        <v>451130241</v>
      </c>
      <c r="U64" s="65">
        <v>451130241</v>
      </c>
      <c r="V64" s="65">
        <v>451130241</v>
      </c>
      <c r="W64" s="66">
        <f t="shared" si="4"/>
        <v>5682282678</v>
      </c>
      <c r="X64" s="55"/>
      <c r="Y64" s="67">
        <v>420000000</v>
      </c>
      <c r="Z64" s="67">
        <v>420000000</v>
      </c>
      <c r="AA64" s="67">
        <v>420000000</v>
      </c>
      <c r="AB64" s="67">
        <v>650000000</v>
      </c>
      <c r="AC64" s="67">
        <v>650000000</v>
      </c>
      <c r="AD64" s="67">
        <v>650000000</v>
      </c>
      <c r="AE64" s="67">
        <v>650000000</v>
      </c>
      <c r="AF64" s="67">
        <v>650000000</v>
      </c>
      <c r="AG64" s="67">
        <v>650000000</v>
      </c>
      <c r="AH64" s="67">
        <v>650000000</v>
      </c>
      <c r="AI64" s="67">
        <v>650000000</v>
      </c>
      <c r="AJ64" s="67">
        <v>650000000</v>
      </c>
      <c r="AK64" s="61">
        <v>7110000000</v>
      </c>
      <c r="AL64" s="55"/>
      <c r="AM64" s="67">
        <v>420000000</v>
      </c>
      <c r="AN64" s="67">
        <v>420000000</v>
      </c>
      <c r="AO64" s="67">
        <v>420000000</v>
      </c>
      <c r="AP64" s="67">
        <v>650000000</v>
      </c>
      <c r="AQ64" s="67">
        <v>650000000</v>
      </c>
      <c r="AR64" s="67">
        <v>650000000</v>
      </c>
      <c r="AS64" s="67">
        <v>650000000</v>
      </c>
      <c r="AT64" s="67">
        <v>650000000</v>
      </c>
      <c r="AU64" s="67">
        <v>650000000</v>
      </c>
      <c r="AV64" s="67">
        <v>650000000</v>
      </c>
      <c r="AW64" s="67">
        <v>650000000</v>
      </c>
      <c r="AX64" s="67">
        <v>650000000</v>
      </c>
      <c r="AY64" s="122">
        <v>7110000000</v>
      </c>
      <c r="AZ64" s="55"/>
      <c r="BA64" s="639">
        <v>401212499</v>
      </c>
      <c r="BB64" s="639">
        <v>363411884</v>
      </c>
      <c r="BC64" s="86">
        <v>420000000</v>
      </c>
      <c r="BD64" s="639">
        <v>370906150</v>
      </c>
      <c r="BE64" s="86">
        <v>420000000</v>
      </c>
      <c r="BF64" s="639">
        <v>259451388</v>
      </c>
      <c r="BG64" s="86">
        <v>350000000</v>
      </c>
      <c r="BH64" s="639">
        <v>311741055</v>
      </c>
      <c r="BI64" s="86">
        <v>350000000</v>
      </c>
      <c r="BJ64" s="639">
        <v>291327068</v>
      </c>
      <c r="BK64" s="86">
        <v>350000000</v>
      </c>
      <c r="BL64" s="639">
        <v>268861246</v>
      </c>
      <c r="BM64" s="86">
        <v>350000000</v>
      </c>
      <c r="BN64" s="695">
        <v>288201855</v>
      </c>
      <c r="BO64" s="696">
        <v>350000000</v>
      </c>
      <c r="BP64" s="695"/>
      <c r="BQ64" s="696">
        <v>350000000</v>
      </c>
      <c r="BR64" s="729">
        <v>350000000</v>
      </c>
      <c r="BS64" s="695"/>
      <c r="BT64" s="696">
        <v>350000000</v>
      </c>
      <c r="BU64" s="729">
        <v>350000000</v>
      </c>
      <c r="BV64" s="695"/>
      <c r="BW64" s="696">
        <v>350000000</v>
      </c>
      <c r="BX64" s="729">
        <v>350000000</v>
      </c>
      <c r="BY64" s="695"/>
      <c r="BZ64" s="696">
        <v>350000000</v>
      </c>
      <c r="CA64" s="729">
        <v>350000000</v>
      </c>
      <c r="CB64" s="720">
        <f t="shared" si="5"/>
        <v>3955113145</v>
      </c>
      <c r="CC64" s="721">
        <f t="shared" si="6"/>
        <v>3955113145</v>
      </c>
      <c r="CD64" s="738"/>
      <c r="CE64" s="323">
        <v>350000000</v>
      </c>
      <c r="CF64" s="323">
        <v>350000000</v>
      </c>
      <c r="CG64" s="323">
        <v>350000000</v>
      </c>
      <c r="CH64" s="323">
        <v>350000000</v>
      </c>
      <c r="CI64" s="323">
        <v>350000000</v>
      </c>
      <c r="CJ64" s="323">
        <v>400000000</v>
      </c>
      <c r="CK64" s="323">
        <v>400000000</v>
      </c>
      <c r="CL64" s="323">
        <v>400000000</v>
      </c>
      <c r="CM64" s="323">
        <v>400000000</v>
      </c>
      <c r="CN64" s="323">
        <v>400000000</v>
      </c>
      <c r="CO64" s="323">
        <v>400000000</v>
      </c>
      <c r="CP64" s="323">
        <v>400000000</v>
      </c>
      <c r="CQ64" s="355">
        <f t="shared" si="7"/>
        <v>4550000000</v>
      </c>
      <c r="CR64" s="356">
        <f>CQ64*1.17</f>
        <v>5323500000</v>
      </c>
      <c r="CS64" s="357">
        <f>(CR64*1.1)-708396848.145345</f>
        <v>5147453151.8546553</v>
      </c>
      <c r="CT64" s="332">
        <f>(CS64*1.1)-594407527.602613</f>
        <v>5067790939.4375076</v>
      </c>
      <c r="CU64" s="358">
        <f>(CT64*1.1)-594407527.602613</f>
        <v>4980162505.7786465</v>
      </c>
      <c r="CV64" s="57" t="s">
        <v>38</v>
      </c>
    </row>
    <row r="65" spans="1:100" ht="15" customHeight="1" outlineLevel="2">
      <c r="A65" s="276" t="s">
        <v>39</v>
      </c>
      <c r="B65" s="277" t="str">
        <f t="shared" si="3"/>
        <v>PACK JAKARTAPACKAGESEJAHTERA MITRA TRISUKSES</v>
      </c>
      <c r="C65" s="276" t="s">
        <v>36</v>
      </c>
      <c r="D65" s="276" t="s">
        <v>40</v>
      </c>
      <c r="E65" s="287" t="s">
        <v>100</v>
      </c>
      <c r="F65" s="287">
        <v>3000015283</v>
      </c>
      <c r="G65" s="64">
        <v>67216000</v>
      </c>
      <c r="H65" s="65">
        <v>6579000</v>
      </c>
      <c r="I65" s="65">
        <v>5058500</v>
      </c>
      <c r="J65" s="65">
        <v>7608500</v>
      </c>
      <c r="K65" s="65">
        <v>9825500</v>
      </c>
      <c r="L65" s="65">
        <v>8195500</v>
      </c>
      <c r="M65" s="65">
        <v>7905000</v>
      </c>
      <c r="N65" s="65">
        <v>9354500</v>
      </c>
      <c r="O65" s="65">
        <v>5061000</v>
      </c>
      <c r="P65" s="65">
        <v>5550000</v>
      </c>
      <c r="Q65" s="65">
        <v>9168000</v>
      </c>
      <c r="R65" s="65">
        <v>5677500</v>
      </c>
      <c r="S65" s="65">
        <v>4594500</v>
      </c>
      <c r="T65" s="65">
        <v>5550000</v>
      </c>
      <c r="U65" s="65">
        <v>5550000</v>
      </c>
      <c r="V65" s="65">
        <v>5550000</v>
      </c>
      <c r="W65" s="66">
        <f t="shared" si="4"/>
        <v>84577500</v>
      </c>
      <c r="X65" s="55"/>
      <c r="Y65" s="67">
        <v>10000000</v>
      </c>
      <c r="Z65" s="67">
        <v>10000000</v>
      </c>
      <c r="AA65" s="67">
        <v>10000000</v>
      </c>
      <c r="AB65" s="67">
        <v>10000000</v>
      </c>
      <c r="AC65" s="67">
        <v>10000000</v>
      </c>
      <c r="AD65" s="67">
        <v>10000000</v>
      </c>
      <c r="AE65" s="67">
        <v>10000000</v>
      </c>
      <c r="AF65" s="67">
        <v>10000000</v>
      </c>
      <c r="AG65" s="67">
        <v>10000000</v>
      </c>
      <c r="AH65" s="67">
        <v>10000000</v>
      </c>
      <c r="AI65" s="67">
        <v>10000000</v>
      </c>
      <c r="AJ65" s="67">
        <v>10000000</v>
      </c>
      <c r="AK65" s="61">
        <v>120000000</v>
      </c>
      <c r="AL65" s="55"/>
      <c r="AM65" s="67">
        <v>10000000</v>
      </c>
      <c r="AN65" s="67">
        <v>10000000</v>
      </c>
      <c r="AO65" s="67">
        <v>10000000</v>
      </c>
      <c r="AP65" s="67">
        <v>10000000</v>
      </c>
      <c r="AQ65" s="67">
        <v>10000000</v>
      </c>
      <c r="AR65" s="67">
        <v>10000000</v>
      </c>
      <c r="AS65" s="67">
        <v>10000000</v>
      </c>
      <c r="AT65" s="67">
        <v>10000000</v>
      </c>
      <c r="AU65" s="67">
        <v>10000000</v>
      </c>
      <c r="AV65" s="67">
        <v>10000000</v>
      </c>
      <c r="AW65" s="67">
        <v>10000000</v>
      </c>
      <c r="AX65" s="67">
        <v>10000000</v>
      </c>
      <c r="AY65" s="122">
        <v>120000000</v>
      </c>
      <c r="AZ65" s="55"/>
      <c r="BA65" s="639">
        <v>4069500</v>
      </c>
      <c r="BB65" s="639">
        <v>11532500</v>
      </c>
      <c r="BC65" s="86">
        <v>4069500</v>
      </c>
      <c r="BD65" s="639">
        <v>8508500</v>
      </c>
      <c r="BE65" s="86">
        <v>4069500</v>
      </c>
      <c r="BF65" s="639">
        <v>6962000</v>
      </c>
      <c r="BG65" s="86">
        <v>11532500</v>
      </c>
      <c r="BH65" s="639">
        <v>7502000</v>
      </c>
      <c r="BI65" s="86">
        <v>11532500</v>
      </c>
      <c r="BJ65" s="639">
        <v>5175500</v>
      </c>
      <c r="BK65" s="86">
        <v>11532500</v>
      </c>
      <c r="BL65" s="639">
        <v>4064500</v>
      </c>
      <c r="BM65" s="86">
        <v>11532500</v>
      </c>
      <c r="BN65" s="695">
        <v>8870000</v>
      </c>
      <c r="BO65" s="696">
        <v>11532500</v>
      </c>
      <c r="BP65" s="695"/>
      <c r="BQ65" s="696">
        <v>11532500</v>
      </c>
      <c r="BR65" s="729">
        <v>8500000</v>
      </c>
      <c r="BS65" s="695"/>
      <c r="BT65" s="696">
        <v>11532500</v>
      </c>
      <c r="BU65" s="729">
        <v>8500000</v>
      </c>
      <c r="BV65" s="695"/>
      <c r="BW65" s="696">
        <v>11532500</v>
      </c>
      <c r="BX65" s="729">
        <v>8500000</v>
      </c>
      <c r="BY65" s="695"/>
      <c r="BZ65" s="696">
        <v>11532500</v>
      </c>
      <c r="CA65" s="729">
        <v>8500000</v>
      </c>
      <c r="CB65" s="720">
        <f t="shared" si="5"/>
        <v>90684500</v>
      </c>
      <c r="CC65" s="721">
        <f t="shared" si="6"/>
        <v>90684500</v>
      </c>
      <c r="CD65" s="738"/>
      <c r="CE65" s="323">
        <v>8000000</v>
      </c>
      <c r="CF65" s="323">
        <v>8000000</v>
      </c>
      <c r="CG65" s="323">
        <v>8000000</v>
      </c>
      <c r="CH65" s="323">
        <v>7900000</v>
      </c>
      <c r="CI65" s="323">
        <v>7900000</v>
      </c>
      <c r="CJ65" s="323">
        <v>8000000</v>
      </c>
      <c r="CK65" s="323">
        <v>8000000</v>
      </c>
      <c r="CL65" s="323">
        <v>8000000</v>
      </c>
      <c r="CM65" s="323">
        <v>8000000</v>
      </c>
      <c r="CN65" s="323">
        <v>8000000</v>
      </c>
      <c r="CO65" s="323">
        <v>8000000</v>
      </c>
      <c r="CP65" s="323">
        <v>8000000</v>
      </c>
      <c r="CQ65" s="355">
        <f t="shared" si="7"/>
        <v>95800000</v>
      </c>
      <c r="CR65" s="356">
        <f>CQ65*1.17</f>
        <v>112086000</v>
      </c>
      <c r="CS65" s="357">
        <f>CR65*1.08</f>
        <v>121052880.00000001</v>
      </c>
      <c r="CT65" s="332">
        <f>CS65*1.09</f>
        <v>131947639.20000003</v>
      </c>
      <c r="CU65" s="358">
        <f>CT65*1.09</f>
        <v>143822926.72800004</v>
      </c>
      <c r="CV65" s="57" t="s">
        <v>38</v>
      </c>
    </row>
    <row r="66" spans="1:100" ht="15" customHeight="1" outlineLevel="2">
      <c r="A66" s="286" t="s">
        <v>35</v>
      </c>
      <c r="B66" s="277" t="str">
        <f t="shared" si="3"/>
        <v>PACK JAKARTAPACKAGESO GOOD FOOD</v>
      </c>
      <c r="C66" s="276" t="s">
        <v>36</v>
      </c>
      <c r="E66" s="287" t="s">
        <v>101</v>
      </c>
      <c r="F66" s="287"/>
      <c r="G66" s="64">
        <v>21848175</v>
      </c>
      <c r="H66" s="65"/>
      <c r="I66" s="65"/>
      <c r="J66" s="65"/>
      <c r="K66" s="65"/>
      <c r="L66" s="65"/>
      <c r="M66" s="65"/>
      <c r="N66" s="65"/>
      <c r="O66" s="65"/>
      <c r="P66" s="65">
        <v>0</v>
      </c>
      <c r="Q66" s="65">
        <v>0</v>
      </c>
      <c r="R66" s="65">
        <v>0</v>
      </c>
      <c r="S66" s="65">
        <v>0</v>
      </c>
      <c r="T66" s="65">
        <v>0</v>
      </c>
      <c r="U66" s="65">
        <v>0</v>
      </c>
      <c r="V66" s="65">
        <v>0</v>
      </c>
      <c r="W66" s="66">
        <f t="shared" si="4"/>
        <v>0</v>
      </c>
      <c r="X66" s="55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1">
        <v>0</v>
      </c>
      <c r="AL66" s="55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122">
        <v>0</v>
      </c>
      <c r="AZ66" s="55"/>
      <c r="BA66" s="639">
        <v>0</v>
      </c>
      <c r="BB66" s="639">
        <v>0</v>
      </c>
      <c r="BC66" s="86"/>
      <c r="BD66" s="639">
        <v>0</v>
      </c>
      <c r="BE66" s="86"/>
      <c r="BF66" s="639">
        <v>0</v>
      </c>
      <c r="BG66" s="86">
        <v>0</v>
      </c>
      <c r="BH66" s="639"/>
      <c r="BI66" s="86">
        <v>0</v>
      </c>
      <c r="BJ66" s="639">
        <v>0</v>
      </c>
      <c r="BK66" s="86">
        <v>0</v>
      </c>
      <c r="BL66" s="639">
        <v>0</v>
      </c>
      <c r="BM66" s="86"/>
      <c r="BN66" s="695">
        <v>0</v>
      </c>
      <c r="BO66" s="696"/>
      <c r="BP66" s="695"/>
      <c r="BQ66" s="696"/>
      <c r="BR66" s="729"/>
      <c r="BS66" s="695"/>
      <c r="BT66" s="696"/>
      <c r="BU66" s="729"/>
      <c r="BV66" s="695"/>
      <c r="BW66" s="696"/>
      <c r="BX66" s="729"/>
      <c r="BY66" s="695"/>
      <c r="BZ66" s="696"/>
      <c r="CA66" s="729"/>
      <c r="CB66" s="720">
        <f t="shared" si="5"/>
        <v>0</v>
      </c>
      <c r="CC66" s="721">
        <f t="shared" si="6"/>
        <v>0</v>
      </c>
      <c r="CD66" s="738"/>
      <c r="CE66" s="323"/>
      <c r="CF66" s="323"/>
      <c r="CG66" s="323"/>
      <c r="CH66" s="323"/>
      <c r="CI66" s="323"/>
      <c r="CJ66" s="323"/>
      <c r="CK66" s="323"/>
      <c r="CL66" s="323"/>
      <c r="CM66" s="323"/>
      <c r="CN66" s="323"/>
      <c r="CO66" s="323"/>
      <c r="CP66" s="323"/>
      <c r="CQ66" s="355">
        <f t="shared" si="7"/>
        <v>0</v>
      </c>
      <c r="CR66" s="356"/>
      <c r="CS66" s="357"/>
      <c r="CT66" s="332"/>
      <c r="CU66" s="358"/>
      <c r="CV66" s="57" t="s">
        <v>38</v>
      </c>
    </row>
    <row r="67" spans="1:100" ht="15" customHeight="1" outlineLevel="2">
      <c r="A67" s="276" t="s">
        <v>43</v>
      </c>
      <c r="B67" s="277" t="str">
        <f t="shared" si="3"/>
        <v>PACK JAKARTAPACKAGESUNTORY GARUDA BEVERAGE</v>
      </c>
      <c r="C67" s="276" t="s">
        <v>36</v>
      </c>
      <c r="D67" s="276" t="s">
        <v>40</v>
      </c>
      <c r="E67" s="287" t="s">
        <v>102</v>
      </c>
      <c r="F67" s="287">
        <v>3000007752</v>
      </c>
      <c r="G67" s="64">
        <v>9363414963</v>
      </c>
      <c r="H67" s="65"/>
      <c r="I67" s="65"/>
      <c r="J67" s="65"/>
      <c r="K67" s="65"/>
      <c r="L67" s="65"/>
      <c r="M67" s="65"/>
      <c r="N67" s="65"/>
      <c r="O67" s="65"/>
      <c r="P67" s="65">
        <v>253150000</v>
      </c>
      <c r="Q67" s="65">
        <v>0</v>
      </c>
      <c r="R67" s="65">
        <v>0</v>
      </c>
      <c r="S67" s="65">
        <v>2500000</v>
      </c>
      <c r="T67" s="65">
        <v>253150000</v>
      </c>
      <c r="U67" s="65">
        <v>253150000</v>
      </c>
      <c r="V67" s="65">
        <v>253150000</v>
      </c>
      <c r="W67" s="66">
        <f t="shared" si="4"/>
        <v>255650000</v>
      </c>
      <c r="X67" s="55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1">
        <v>0</v>
      </c>
      <c r="AL67" s="55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122">
        <v>0</v>
      </c>
      <c r="AZ67" s="55"/>
      <c r="BA67" s="639">
        <v>0</v>
      </c>
      <c r="BB67" s="639">
        <v>120213000</v>
      </c>
      <c r="BC67" s="86"/>
      <c r="BD67" s="639">
        <v>0</v>
      </c>
      <c r="BE67" s="86"/>
      <c r="BF67" s="639">
        <v>0</v>
      </c>
      <c r="BG67" s="86"/>
      <c r="BH67" s="639">
        <v>19650000</v>
      </c>
      <c r="BI67" s="86"/>
      <c r="BJ67" s="639">
        <v>0</v>
      </c>
      <c r="BK67" s="86"/>
      <c r="BL67" s="639">
        <v>0</v>
      </c>
      <c r="BM67" s="86"/>
      <c r="BN67" s="695">
        <v>11450000</v>
      </c>
      <c r="BO67" s="696"/>
      <c r="BP67" s="695"/>
      <c r="BQ67" s="696"/>
      <c r="BR67" s="729"/>
      <c r="BS67" s="695"/>
      <c r="BT67" s="696"/>
      <c r="BU67" s="729"/>
      <c r="BV67" s="695"/>
      <c r="BW67" s="696"/>
      <c r="BX67" s="729"/>
      <c r="BY67" s="695"/>
      <c r="BZ67" s="696"/>
      <c r="CA67" s="729"/>
      <c r="CB67" s="720">
        <f t="shared" si="5"/>
        <v>151313000</v>
      </c>
      <c r="CC67" s="721">
        <f t="shared" si="6"/>
        <v>151313000</v>
      </c>
      <c r="CD67" s="738"/>
      <c r="CE67" s="323"/>
      <c r="CF67" s="323"/>
      <c r="CG67" s="323"/>
      <c r="CH67" s="323"/>
      <c r="CI67" s="323"/>
      <c r="CJ67" s="323"/>
      <c r="CK67" s="323"/>
      <c r="CL67" s="323"/>
      <c r="CM67" s="323"/>
      <c r="CN67" s="323"/>
      <c r="CO67" s="323"/>
      <c r="CP67" s="323"/>
      <c r="CQ67" s="355">
        <f t="shared" si="7"/>
        <v>0</v>
      </c>
      <c r="CR67" s="356"/>
      <c r="CS67" s="357"/>
      <c r="CT67" s="332"/>
      <c r="CU67" s="358"/>
      <c r="CV67" s="57" t="s">
        <v>38</v>
      </c>
    </row>
    <row r="68" spans="1:100" ht="15" customHeight="1" outlineLevel="2">
      <c r="A68" s="276" t="s">
        <v>43</v>
      </c>
      <c r="B68" s="277" t="str">
        <f t="shared" si="3"/>
        <v>PACK JAKARTAPACKAGETIRTA INVESTAMA</v>
      </c>
      <c r="C68" s="276" t="s">
        <v>36</v>
      </c>
      <c r="D68" s="276" t="s">
        <v>40</v>
      </c>
      <c r="E68" s="287" t="s">
        <v>103</v>
      </c>
      <c r="F68" s="287">
        <v>3000009257</v>
      </c>
      <c r="G68" s="64">
        <v>10004720800</v>
      </c>
      <c r="H68" s="65">
        <v>356461000</v>
      </c>
      <c r="I68" s="65">
        <v>323978000</v>
      </c>
      <c r="J68" s="65">
        <v>317692000</v>
      </c>
      <c r="K68" s="65">
        <v>479976000</v>
      </c>
      <c r="L68" s="65">
        <v>1089678000</v>
      </c>
      <c r="M68" s="65">
        <v>394705000</v>
      </c>
      <c r="N68" s="65">
        <v>377227000</v>
      </c>
      <c r="O68" s="65">
        <v>375552000</v>
      </c>
      <c r="P68" s="65">
        <v>299479500</v>
      </c>
      <c r="Q68" s="65">
        <v>335036500</v>
      </c>
      <c r="R68" s="65">
        <v>321554000</v>
      </c>
      <c r="S68" s="65">
        <v>3956807500</v>
      </c>
      <c r="T68" s="69">
        <f>P68+168000000+205000000</f>
        <v>672479500</v>
      </c>
      <c r="U68" s="69">
        <f>T68</f>
        <v>672479500</v>
      </c>
      <c r="V68" s="69">
        <f>U68</f>
        <v>672479500</v>
      </c>
      <c r="W68" s="66">
        <f t="shared" si="4"/>
        <v>8628146500</v>
      </c>
      <c r="X68" s="55"/>
      <c r="Y68" s="67">
        <f t="shared" ref="Y68:AJ68" si="14">350000000</f>
        <v>350000000</v>
      </c>
      <c r="Z68" s="67">
        <f t="shared" si="14"/>
        <v>350000000</v>
      </c>
      <c r="AA68" s="67">
        <f t="shared" si="14"/>
        <v>350000000</v>
      </c>
      <c r="AB68" s="67">
        <f t="shared" si="14"/>
        <v>350000000</v>
      </c>
      <c r="AC68" s="67">
        <f t="shared" si="14"/>
        <v>350000000</v>
      </c>
      <c r="AD68" s="67">
        <f t="shared" si="14"/>
        <v>350000000</v>
      </c>
      <c r="AE68" s="67">
        <f t="shared" si="14"/>
        <v>350000000</v>
      </c>
      <c r="AF68" s="67">
        <f t="shared" si="14"/>
        <v>350000000</v>
      </c>
      <c r="AG68" s="67">
        <f t="shared" si="14"/>
        <v>350000000</v>
      </c>
      <c r="AH68" s="67">
        <f t="shared" si="14"/>
        <v>350000000</v>
      </c>
      <c r="AI68" s="67">
        <f t="shared" si="14"/>
        <v>350000000</v>
      </c>
      <c r="AJ68" s="67">
        <f t="shared" si="14"/>
        <v>350000000</v>
      </c>
      <c r="AK68" s="61">
        <v>4200000000</v>
      </c>
      <c r="AL68" s="55"/>
      <c r="AM68" s="67">
        <v>350000000</v>
      </c>
      <c r="AN68" s="67">
        <v>350000000</v>
      </c>
      <c r="AO68" s="67">
        <v>350000000</v>
      </c>
      <c r="AP68" s="67">
        <v>350000000</v>
      </c>
      <c r="AQ68" s="67">
        <v>350000000</v>
      </c>
      <c r="AR68" s="67">
        <v>350000000</v>
      </c>
      <c r="AS68" s="67">
        <v>350000000</v>
      </c>
      <c r="AT68" s="67">
        <v>350000000</v>
      </c>
      <c r="AU68" s="67">
        <v>350000000</v>
      </c>
      <c r="AV68" s="67">
        <v>350000000</v>
      </c>
      <c r="AW68" s="67">
        <v>350000000</v>
      </c>
      <c r="AX68" s="67">
        <v>350000000</v>
      </c>
      <c r="AY68" s="122">
        <v>4200000000</v>
      </c>
      <c r="AZ68" s="55"/>
      <c r="BA68" s="639">
        <v>261193000</v>
      </c>
      <c r="BB68" s="639">
        <v>260860000</v>
      </c>
      <c r="BC68" s="86">
        <f>261193000+30000000</f>
        <v>291193000</v>
      </c>
      <c r="BD68" s="639">
        <v>258349000</v>
      </c>
      <c r="BE68" s="86">
        <f>261193000+30000000</f>
        <v>291193000</v>
      </c>
      <c r="BF68" s="639">
        <v>256720000</v>
      </c>
      <c r="BG68" s="86">
        <v>280000000</v>
      </c>
      <c r="BH68" s="639">
        <v>253777000</v>
      </c>
      <c r="BI68" s="86">
        <v>280000000</v>
      </c>
      <c r="BJ68" s="639">
        <v>259240000</v>
      </c>
      <c r="BK68" s="86">
        <v>280000000</v>
      </c>
      <c r="BL68" s="639">
        <v>255107000</v>
      </c>
      <c r="BM68" s="86">
        <v>320000000</v>
      </c>
      <c r="BN68" s="695">
        <v>0</v>
      </c>
      <c r="BO68" s="696">
        <v>320000000</v>
      </c>
      <c r="BP68" s="695"/>
      <c r="BQ68" s="696">
        <v>320000000</v>
      </c>
      <c r="BR68" s="729">
        <v>265000000</v>
      </c>
      <c r="BS68" s="695"/>
      <c r="BT68" s="696">
        <v>320000000</v>
      </c>
      <c r="BU68" s="729">
        <v>270000000</v>
      </c>
      <c r="BV68" s="695"/>
      <c r="BW68" s="696">
        <v>320000000</v>
      </c>
      <c r="BX68" s="729">
        <v>270000000</v>
      </c>
      <c r="BY68" s="695"/>
      <c r="BZ68" s="696">
        <v>320000000</v>
      </c>
      <c r="CA68" s="729">
        <v>270000000</v>
      </c>
      <c r="CB68" s="720">
        <f t="shared" si="5"/>
        <v>2880246000</v>
      </c>
      <c r="CC68" s="721">
        <f t="shared" si="6"/>
        <v>2880246000</v>
      </c>
      <c r="CD68" s="738"/>
      <c r="CE68" s="323"/>
      <c r="CF68" s="323"/>
      <c r="CG68" s="323"/>
      <c r="CH68" s="323"/>
      <c r="CI68" s="323"/>
      <c r="CJ68" s="323"/>
      <c r="CK68" s="323"/>
      <c r="CL68" s="323"/>
      <c r="CM68" s="323"/>
      <c r="CN68" s="323"/>
      <c r="CO68" s="323"/>
      <c r="CP68" s="323"/>
      <c r="CQ68" s="355">
        <f t="shared" si="7"/>
        <v>0</v>
      </c>
      <c r="CR68" s="356">
        <f>CQ68*1.17</f>
        <v>0</v>
      </c>
      <c r="CS68" s="357">
        <f>CR68*1.15</f>
        <v>0</v>
      </c>
      <c r="CT68" s="332">
        <f>CS68*1.2</f>
        <v>0</v>
      </c>
      <c r="CU68" s="358">
        <f>CT68*1.2</f>
        <v>0</v>
      </c>
      <c r="CV68" s="57" t="s">
        <v>38</v>
      </c>
    </row>
    <row r="69" spans="1:100" ht="15" customHeight="1" outlineLevel="2">
      <c r="A69" s="276" t="s">
        <v>43</v>
      </c>
      <c r="B69" s="277" t="str">
        <f t="shared" si="3"/>
        <v>PACK JAKARTAPACKAGEUNILEVER ENTERPRISES INDONESIA</v>
      </c>
      <c r="C69" s="276" t="s">
        <v>36</v>
      </c>
      <c r="D69" s="276" t="s">
        <v>40</v>
      </c>
      <c r="E69" s="287" t="s">
        <v>104</v>
      </c>
      <c r="F69" s="287">
        <v>3000019743</v>
      </c>
      <c r="G69" s="64">
        <v>0</v>
      </c>
      <c r="H69" s="65">
        <v>0</v>
      </c>
      <c r="I69" s="65">
        <v>0</v>
      </c>
      <c r="J69" s="65">
        <v>0</v>
      </c>
      <c r="K69" s="65">
        <v>0</v>
      </c>
      <c r="L69" s="65">
        <v>10658600</v>
      </c>
      <c r="M69" s="65">
        <v>53307900</v>
      </c>
      <c r="N69" s="65">
        <v>61473400</v>
      </c>
      <c r="O69" s="65">
        <v>29580700</v>
      </c>
      <c r="P69" s="65">
        <v>23591300</v>
      </c>
      <c r="Q69" s="65">
        <v>23743100</v>
      </c>
      <c r="R69" s="65">
        <v>23536200</v>
      </c>
      <c r="S69" s="65">
        <v>20633500</v>
      </c>
      <c r="T69" s="65">
        <v>23591300</v>
      </c>
      <c r="U69" s="65">
        <v>23591300</v>
      </c>
      <c r="V69" s="65">
        <v>23591300</v>
      </c>
      <c r="W69" s="66">
        <f t="shared" si="4"/>
        <v>246524700</v>
      </c>
      <c r="X69" s="55"/>
      <c r="Y69" s="67">
        <v>80000000</v>
      </c>
      <c r="Z69" s="67">
        <v>80000000</v>
      </c>
      <c r="AA69" s="67">
        <v>80000000</v>
      </c>
      <c r="AB69" s="67">
        <v>80000000</v>
      </c>
      <c r="AC69" s="67">
        <v>80000000</v>
      </c>
      <c r="AD69" s="67">
        <v>80000000</v>
      </c>
      <c r="AE69" s="67">
        <v>80000000</v>
      </c>
      <c r="AF69" s="67">
        <v>80000000</v>
      </c>
      <c r="AG69" s="67">
        <v>80000000</v>
      </c>
      <c r="AH69" s="67">
        <v>80000000</v>
      </c>
      <c r="AI69" s="67">
        <v>80000000</v>
      </c>
      <c r="AJ69" s="67">
        <v>80000000</v>
      </c>
      <c r="AK69" s="61">
        <v>960000000</v>
      </c>
      <c r="AL69" s="55"/>
      <c r="AM69" s="67">
        <v>80000000</v>
      </c>
      <c r="AN69" s="67">
        <v>80000000</v>
      </c>
      <c r="AO69" s="67">
        <v>80000000</v>
      </c>
      <c r="AP69" s="67">
        <v>80000000</v>
      </c>
      <c r="AQ69" s="67">
        <v>80000000</v>
      </c>
      <c r="AR69" s="67">
        <v>80000000</v>
      </c>
      <c r="AS69" s="67">
        <v>80000000</v>
      </c>
      <c r="AT69" s="67">
        <v>80000000</v>
      </c>
      <c r="AU69" s="67">
        <v>80000000</v>
      </c>
      <c r="AV69" s="67">
        <v>80000000</v>
      </c>
      <c r="AW69" s="67">
        <v>80000000</v>
      </c>
      <c r="AX69" s="67">
        <v>80000000</v>
      </c>
      <c r="AY69" s="122">
        <v>960000000</v>
      </c>
      <c r="AZ69" s="55"/>
      <c r="BA69" s="639">
        <v>33940800</v>
      </c>
      <c r="BB69" s="639">
        <v>26613800</v>
      </c>
      <c r="BC69" s="86">
        <v>33940800</v>
      </c>
      <c r="BD69" s="639">
        <v>37785100</v>
      </c>
      <c r="BE69" s="86">
        <v>33940800</v>
      </c>
      <c r="BF69" s="639">
        <v>33692700</v>
      </c>
      <c r="BG69" s="86">
        <v>26613800</v>
      </c>
      <c r="BH69" s="639">
        <v>32735000</v>
      </c>
      <c r="BI69" s="86">
        <v>0</v>
      </c>
      <c r="BJ69" s="639">
        <v>90433000</v>
      </c>
      <c r="BK69" s="86">
        <v>0</v>
      </c>
      <c r="BL69" s="639">
        <v>17570500</v>
      </c>
      <c r="BM69" s="86">
        <v>0</v>
      </c>
      <c r="BN69" s="695">
        <v>16831000</v>
      </c>
      <c r="BO69" s="696">
        <v>0</v>
      </c>
      <c r="BP69" s="695"/>
      <c r="BQ69" s="696">
        <v>0</v>
      </c>
      <c r="BR69" s="729">
        <v>0</v>
      </c>
      <c r="BS69" s="695"/>
      <c r="BT69" s="696">
        <v>0</v>
      </c>
      <c r="BU69" s="729">
        <v>0</v>
      </c>
      <c r="BV69" s="695"/>
      <c r="BW69" s="696">
        <v>0</v>
      </c>
      <c r="BX69" s="729">
        <v>0</v>
      </c>
      <c r="BY69" s="695"/>
      <c r="BZ69" s="696">
        <v>0</v>
      </c>
      <c r="CA69" s="729">
        <v>0</v>
      </c>
      <c r="CB69" s="720">
        <f t="shared" si="5"/>
        <v>289601900</v>
      </c>
      <c r="CC69" s="721">
        <f t="shared" si="6"/>
        <v>289601900</v>
      </c>
      <c r="CD69" s="738"/>
      <c r="CE69" s="323"/>
      <c r="CF69" s="323"/>
      <c r="CG69" s="323"/>
      <c r="CH69" s="323"/>
      <c r="CI69" s="323"/>
      <c r="CJ69" s="323"/>
      <c r="CK69" s="323"/>
      <c r="CL69" s="323"/>
      <c r="CM69" s="323"/>
      <c r="CN69" s="323"/>
      <c r="CO69" s="323"/>
      <c r="CP69" s="323"/>
      <c r="CQ69" s="355">
        <f t="shared" si="7"/>
        <v>0</v>
      </c>
      <c r="CR69" s="356">
        <f>CQ69*1.17</f>
        <v>0</v>
      </c>
      <c r="CS69" s="357">
        <f>CR69*1.15</f>
        <v>0</v>
      </c>
      <c r="CT69" s="332">
        <f>CS69*1.2</f>
        <v>0</v>
      </c>
      <c r="CU69" s="358">
        <f>CT69*1.2</f>
        <v>0</v>
      </c>
      <c r="CV69" s="57" t="s">
        <v>38</v>
      </c>
    </row>
    <row r="70" spans="1:100" ht="15" customHeight="1" outlineLevel="2">
      <c r="A70" s="276" t="s">
        <v>43</v>
      </c>
      <c r="B70" s="277" t="str">
        <f t="shared" si="3"/>
        <v>PACK JAKARTAPACKAGEVICTORY RETAILINDO</v>
      </c>
      <c r="C70" s="276" t="s">
        <v>36</v>
      </c>
      <c r="D70" s="276" t="s">
        <v>40</v>
      </c>
      <c r="E70" s="287" t="s">
        <v>105</v>
      </c>
      <c r="F70" s="287">
        <v>3000015942</v>
      </c>
      <c r="G70" s="64">
        <v>3899799510</v>
      </c>
      <c r="H70" s="65">
        <v>362780776</v>
      </c>
      <c r="I70" s="65">
        <v>351230833</v>
      </c>
      <c r="J70" s="65">
        <v>425127827</v>
      </c>
      <c r="K70" s="65">
        <v>390688123</v>
      </c>
      <c r="L70" s="65">
        <v>377876211</v>
      </c>
      <c r="M70" s="65">
        <v>370230143</v>
      </c>
      <c r="N70" s="65">
        <v>370456829</v>
      </c>
      <c r="O70" s="65">
        <v>379237013</v>
      </c>
      <c r="P70" s="65">
        <v>369038994</v>
      </c>
      <c r="Q70" s="65">
        <v>366611617</v>
      </c>
      <c r="R70" s="65">
        <v>372270874</v>
      </c>
      <c r="S70" s="65">
        <v>370979225</v>
      </c>
      <c r="T70" s="65">
        <v>369038994</v>
      </c>
      <c r="U70" s="65">
        <v>369038994</v>
      </c>
      <c r="V70" s="65">
        <v>369038994</v>
      </c>
      <c r="W70" s="66">
        <f t="shared" si="4"/>
        <v>4506528465</v>
      </c>
      <c r="X70" s="55"/>
      <c r="Y70" s="67">
        <f>V70*1.05</f>
        <v>387490943.69999999</v>
      </c>
      <c r="Z70" s="67">
        <v>388979670.44999999</v>
      </c>
      <c r="AA70" s="67">
        <v>388979670.44999999</v>
      </c>
      <c r="AB70" s="67">
        <v>388979670.44999999</v>
      </c>
      <c r="AC70" s="67">
        <v>388979670.44999999</v>
      </c>
      <c r="AD70" s="67">
        <v>388979670.44999999</v>
      </c>
      <c r="AE70" s="67">
        <v>388979670.44999999</v>
      </c>
      <c r="AF70" s="67">
        <v>388979670.44999999</v>
      </c>
      <c r="AG70" s="67">
        <v>388979670.44999999</v>
      </c>
      <c r="AH70" s="67">
        <v>388979670.44999999</v>
      </c>
      <c r="AI70" s="67">
        <v>388979670.44999999</v>
      </c>
      <c r="AJ70" s="67">
        <v>388979670.44999999</v>
      </c>
      <c r="AK70" s="61">
        <v>4666267318.6499987</v>
      </c>
      <c r="AL70" s="55"/>
      <c r="AM70" s="67">
        <v>387490943.69999999</v>
      </c>
      <c r="AN70" s="67">
        <v>388979670.44999999</v>
      </c>
      <c r="AO70" s="67">
        <v>388979670.44999999</v>
      </c>
      <c r="AP70" s="67">
        <v>388979670.44999999</v>
      </c>
      <c r="AQ70" s="67">
        <v>388979670.44999999</v>
      </c>
      <c r="AR70" s="67">
        <v>388979670.44999999</v>
      </c>
      <c r="AS70" s="67">
        <v>388979670.44999999</v>
      </c>
      <c r="AT70" s="67">
        <v>388979670.44999999</v>
      </c>
      <c r="AU70" s="67">
        <v>388979670.44999999</v>
      </c>
      <c r="AV70" s="67">
        <v>388979670.44999999</v>
      </c>
      <c r="AW70" s="67">
        <v>388979670.44999999</v>
      </c>
      <c r="AX70" s="67">
        <v>388979670.44999999</v>
      </c>
      <c r="AY70" s="122">
        <v>4666267318.6499987</v>
      </c>
      <c r="AZ70" s="55"/>
      <c r="BA70" s="639">
        <v>375214954</v>
      </c>
      <c r="BB70" s="639">
        <v>398738192</v>
      </c>
      <c r="BC70" s="86">
        <v>390000000</v>
      </c>
      <c r="BD70" s="639">
        <v>384070491</v>
      </c>
      <c r="BE70" s="86">
        <v>375214954</v>
      </c>
      <c r="BF70" s="639">
        <v>381640430</v>
      </c>
      <c r="BG70" s="86">
        <v>375214954</v>
      </c>
      <c r="BH70" s="639">
        <v>392771519</v>
      </c>
      <c r="BI70" s="86">
        <v>375214954</v>
      </c>
      <c r="BJ70" s="639">
        <v>383399450</v>
      </c>
      <c r="BK70" s="86">
        <v>375214954</v>
      </c>
      <c r="BL70" s="639">
        <v>385305056</v>
      </c>
      <c r="BM70" s="86">
        <v>375214954</v>
      </c>
      <c r="BN70" s="695">
        <v>387143525</v>
      </c>
      <c r="BO70" s="696">
        <v>375214954</v>
      </c>
      <c r="BP70" s="695"/>
      <c r="BQ70" s="696">
        <v>375214954</v>
      </c>
      <c r="BR70" s="729">
        <v>400000000</v>
      </c>
      <c r="BS70" s="695"/>
      <c r="BT70" s="696">
        <v>375214954</v>
      </c>
      <c r="BU70" s="729">
        <v>425000000</v>
      </c>
      <c r="BV70" s="695"/>
      <c r="BW70" s="696">
        <v>375214954</v>
      </c>
      <c r="BX70" s="729">
        <v>450000000</v>
      </c>
      <c r="BY70" s="695"/>
      <c r="BZ70" s="696">
        <v>375214954</v>
      </c>
      <c r="CA70" s="729">
        <v>475000000</v>
      </c>
      <c r="CB70" s="720">
        <f t="shared" si="5"/>
        <v>4838283617</v>
      </c>
      <c r="CC70" s="721">
        <f t="shared" si="6"/>
        <v>4838283617</v>
      </c>
      <c r="CD70" s="738"/>
      <c r="CE70" s="323">
        <v>400000000</v>
      </c>
      <c r="CF70" s="323">
        <v>400000000</v>
      </c>
      <c r="CG70" s="323">
        <v>400000000</v>
      </c>
      <c r="CH70" s="323">
        <v>400000000</v>
      </c>
      <c r="CI70" s="323">
        <v>400000000</v>
      </c>
      <c r="CJ70" s="323">
        <v>400000000</v>
      </c>
      <c r="CK70" s="323">
        <v>400000000</v>
      </c>
      <c r="CL70" s="323">
        <v>400000000</v>
      </c>
      <c r="CM70" s="323">
        <v>400000000</v>
      </c>
      <c r="CN70" s="323">
        <v>400000000</v>
      </c>
      <c r="CO70" s="323">
        <v>400000000</v>
      </c>
      <c r="CP70" s="323">
        <v>400000000</v>
      </c>
      <c r="CQ70" s="355">
        <f t="shared" si="7"/>
        <v>4800000000</v>
      </c>
      <c r="CR70" s="356">
        <f>CQ70*1.17</f>
        <v>5616000000</v>
      </c>
      <c r="CS70" s="357">
        <f>CR70*1.08</f>
        <v>6065280000</v>
      </c>
      <c r="CT70" s="332">
        <f>CS70*1.09</f>
        <v>6611155200.000001</v>
      </c>
      <c r="CU70" s="358">
        <f>CT70*1.09</f>
        <v>7206159168.0000019</v>
      </c>
      <c r="CV70" s="57" t="s">
        <v>38</v>
      </c>
    </row>
    <row r="71" spans="1:100" ht="15" customHeight="1" outlineLevel="2">
      <c r="A71" s="276" t="s">
        <v>39</v>
      </c>
      <c r="B71" s="277" t="str">
        <f t="shared" si="3"/>
        <v>PACK JAKARTAPACKAGEZULU ALPHA PAPA</v>
      </c>
      <c r="C71" s="276" t="s">
        <v>36</v>
      </c>
      <c r="D71" s="276" t="s">
        <v>40</v>
      </c>
      <c r="E71" s="287" t="s">
        <v>106</v>
      </c>
      <c r="F71" s="287">
        <v>3000018702</v>
      </c>
      <c r="G71" s="64">
        <v>205753895</v>
      </c>
      <c r="H71" s="65">
        <v>51705495</v>
      </c>
      <c r="I71" s="65">
        <v>83566900</v>
      </c>
      <c r="J71" s="65">
        <v>60642360</v>
      </c>
      <c r="K71" s="65">
        <v>50120000</v>
      </c>
      <c r="L71" s="65">
        <v>40470000</v>
      </c>
      <c r="M71" s="65">
        <v>40470000</v>
      </c>
      <c r="N71" s="65">
        <v>51213345</v>
      </c>
      <c r="O71" s="65">
        <v>56089490</v>
      </c>
      <c r="P71" s="65">
        <v>59167585</v>
      </c>
      <c r="Q71" s="65">
        <v>61339090</v>
      </c>
      <c r="R71" s="65">
        <v>55651380</v>
      </c>
      <c r="S71" s="65">
        <v>80003155</v>
      </c>
      <c r="T71" s="65">
        <v>59167585</v>
      </c>
      <c r="U71" s="65">
        <v>59167585</v>
      </c>
      <c r="V71" s="65">
        <v>59167585</v>
      </c>
      <c r="W71" s="66">
        <f t="shared" si="4"/>
        <v>690438800</v>
      </c>
      <c r="X71" s="55"/>
      <c r="Y71" s="67">
        <f>60000000*1.05</f>
        <v>63000000</v>
      </c>
      <c r="Z71" s="67">
        <v>63000000</v>
      </c>
      <c r="AA71" s="67">
        <v>63000000</v>
      </c>
      <c r="AB71" s="67">
        <v>63000000</v>
      </c>
      <c r="AC71" s="67">
        <v>63000000</v>
      </c>
      <c r="AD71" s="67">
        <v>63000000</v>
      </c>
      <c r="AE71" s="67">
        <v>63000000</v>
      </c>
      <c r="AF71" s="67">
        <v>63000000</v>
      </c>
      <c r="AG71" s="67">
        <v>63000000</v>
      </c>
      <c r="AH71" s="67">
        <v>63000000</v>
      </c>
      <c r="AI71" s="67">
        <v>63000000</v>
      </c>
      <c r="AJ71" s="67">
        <v>63000000</v>
      </c>
      <c r="AK71" s="61">
        <v>756000000</v>
      </c>
      <c r="AL71" s="55"/>
      <c r="AM71" s="67">
        <v>63000000</v>
      </c>
      <c r="AN71" s="67">
        <v>63000000</v>
      </c>
      <c r="AO71" s="67">
        <v>63000000</v>
      </c>
      <c r="AP71" s="67">
        <v>63000000</v>
      </c>
      <c r="AQ71" s="67">
        <v>63000000</v>
      </c>
      <c r="AR71" s="67">
        <v>63000000</v>
      </c>
      <c r="AS71" s="67">
        <v>63000000</v>
      </c>
      <c r="AT71" s="67">
        <v>63000000</v>
      </c>
      <c r="AU71" s="67">
        <v>63000000</v>
      </c>
      <c r="AV71" s="67">
        <v>63000000</v>
      </c>
      <c r="AW71" s="67">
        <v>63000000</v>
      </c>
      <c r="AX71" s="67">
        <v>63000000</v>
      </c>
      <c r="AY71" s="122">
        <v>756000000</v>
      </c>
      <c r="AZ71" s="55"/>
      <c r="BA71" s="639">
        <v>59874182</v>
      </c>
      <c r="BB71" s="639">
        <v>65113205</v>
      </c>
      <c r="BC71" s="86">
        <v>59874182</v>
      </c>
      <c r="BD71" s="639">
        <v>51487405</v>
      </c>
      <c r="BE71" s="86">
        <v>59874182</v>
      </c>
      <c r="BF71" s="639">
        <v>48080955</v>
      </c>
      <c r="BG71" s="86">
        <v>60000000</v>
      </c>
      <c r="BH71" s="639">
        <v>69732660</v>
      </c>
      <c r="BI71" s="86">
        <v>60000000</v>
      </c>
      <c r="BJ71" s="639">
        <v>66363845</v>
      </c>
      <c r="BK71" s="86">
        <v>60000000</v>
      </c>
      <c r="BL71" s="639">
        <v>54562860</v>
      </c>
      <c r="BM71" s="86">
        <v>60000000</v>
      </c>
      <c r="BN71" s="695">
        <v>61357425</v>
      </c>
      <c r="BO71" s="696">
        <v>60000000</v>
      </c>
      <c r="BP71" s="695"/>
      <c r="BQ71" s="696">
        <v>60000000</v>
      </c>
      <c r="BR71" s="729">
        <v>60000000</v>
      </c>
      <c r="BS71" s="695"/>
      <c r="BT71" s="696">
        <v>60000000</v>
      </c>
      <c r="BU71" s="729">
        <v>60000000</v>
      </c>
      <c r="BV71" s="695"/>
      <c r="BW71" s="696">
        <v>60000000</v>
      </c>
      <c r="BX71" s="729">
        <v>60000000</v>
      </c>
      <c r="BY71" s="695"/>
      <c r="BZ71" s="696">
        <v>60000000</v>
      </c>
      <c r="CA71" s="729">
        <v>60000000</v>
      </c>
      <c r="CB71" s="720">
        <f t="shared" si="5"/>
        <v>716572537</v>
      </c>
      <c r="CC71" s="721">
        <f t="shared" si="6"/>
        <v>716572537</v>
      </c>
      <c r="CD71" s="738"/>
      <c r="CE71" s="323">
        <v>50000000</v>
      </c>
      <c r="CF71" s="323">
        <v>50000000</v>
      </c>
      <c r="CG71" s="323">
        <v>60000000</v>
      </c>
      <c r="CH71" s="323">
        <v>60000000</v>
      </c>
      <c r="CI71" s="323">
        <v>50000000</v>
      </c>
      <c r="CJ71" s="323">
        <v>60000000</v>
      </c>
      <c r="CK71" s="323">
        <v>60000000</v>
      </c>
      <c r="CL71" s="323">
        <v>60000000</v>
      </c>
      <c r="CM71" s="323">
        <v>60000000</v>
      </c>
      <c r="CN71" s="323">
        <v>60000000</v>
      </c>
      <c r="CO71" s="323">
        <v>60000000</v>
      </c>
      <c r="CP71" s="323">
        <v>60000000</v>
      </c>
      <c r="CQ71" s="355">
        <f t="shared" si="7"/>
        <v>690000000</v>
      </c>
      <c r="CR71" s="356">
        <f>CQ71*1.17</f>
        <v>807300000</v>
      </c>
      <c r="CS71" s="357">
        <f>CR71*1.08</f>
        <v>871884000</v>
      </c>
      <c r="CT71" s="332">
        <f>CS71*1.09</f>
        <v>950353560.00000012</v>
      </c>
      <c r="CU71" s="358">
        <f>CT71*1.09</f>
        <v>1035885380.4000002</v>
      </c>
      <c r="CV71" s="57" t="s">
        <v>38</v>
      </c>
    </row>
    <row r="72" spans="1:100" s="41" customFormat="1" ht="15" customHeight="1" outlineLevel="2">
      <c r="A72" s="289"/>
      <c r="B72" s="290"/>
      <c r="C72" s="289"/>
      <c r="D72" s="289"/>
      <c r="E72" s="291" t="s">
        <v>107</v>
      </c>
      <c r="F72" s="291"/>
      <c r="G72" s="247"/>
      <c r="H72" s="101"/>
      <c r="I72" s="101"/>
      <c r="J72" s="101"/>
      <c r="K72" s="101"/>
      <c r="L72" s="101"/>
      <c r="M72" s="101"/>
      <c r="N72" s="101"/>
      <c r="O72" s="101"/>
      <c r="P72" s="101"/>
      <c r="Q72" s="142"/>
      <c r="R72" s="142"/>
      <c r="S72" s="142"/>
      <c r="T72" s="101"/>
      <c r="U72" s="101"/>
      <c r="V72" s="101"/>
      <c r="W72" s="231"/>
      <c r="X72" s="55"/>
      <c r="Y72" s="224">
        <f t="shared" ref="Y72:AK72" si="15">SUM(Y73:Y82)</f>
        <v>598700000</v>
      </c>
      <c r="Z72" s="224">
        <f t="shared" si="15"/>
        <v>598700000</v>
      </c>
      <c r="AA72" s="224">
        <f t="shared" si="15"/>
        <v>598700000</v>
      </c>
      <c r="AB72" s="224">
        <f t="shared" si="15"/>
        <v>598700000</v>
      </c>
      <c r="AC72" s="224">
        <f t="shared" si="15"/>
        <v>598700000</v>
      </c>
      <c r="AD72" s="224">
        <f t="shared" si="15"/>
        <v>598700000</v>
      </c>
      <c r="AE72" s="224">
        <f t="shared" si="15"/>
        <v>598700000</v>
      </c>
      <c r="AF72" s="224">
        <f t="shared" si="15"/>
        <v>598700000</v>
      </c>
      <c r="AG72" s="224">
        <f t="shared" si="15"/>
        <v>598700000</v>
      </c>
      <c r="AH72" s="224">
        <f t="shared" si="15"/>
        <v>598700000</v>
      </c>
      <c r="AI72" s="224">
        <f t="shared" si="15"/>
        <v>598700000</v>
      </c>
      <c r="AJ72" s="224">
        <f t="shared" si="15"/>
        <v>598700000</v>
      </c>
      <c r="AK72" s="224">
        <f t="shared" si="15"/>
        <v>7184400000</v>
      </c>
      <c r="AL72" s="55"/>
      <c r="AM72" s="224">
        <f t="shared" ref="AM72:AY72" si="16">SUM(AM73:AM82)</f>
        <v>598700000</v>
      </c>
      <c r="AN72" s="224">
        <f t="shared" si="16"/>
        <v>598700000</v>
      </c>
      <c r="AO72" s="224">
        <f t="shared" si="16"/>
        <v>598700000</v>
      </c>
      <c r="AP72" s="224">
        <f t="shared" si="16"/>
        <v>598700000</v>
      </c>
      <c r="AQ72" s="224">
        <f t="shared" si="16"/>
        <v>598700000</v>
      </c>
      <c r="AR72" s="224">
        <f t="shared" si="16"/>
        <v>598700000</v>
      </c>
      <c r="AS72" s="224">
        <f t="shared" si="16"/>
        <v>598700000</v>
      </c>
      <c r="AT72" s="224">
        <f t="shared" si="16"/>
        <v>598700000</v>
      </c>
      <c r="AU72" s="224">
        <f t="shared" si="16"/>
        <v>598700000</v>
      </c>
      <c r="AV72" s="224">
        <f t="shared" si="16"/>
        <v>598700000</v>
      </c>
      <c r="AW72" s="224">
        <f t="shared" si="16"/>
        <v>598700000</v>
      </c>
      <c r="AX72" s="224">
        <f t="shared" si="16"/>
        <v>598700000</v>
      </c>
      <c r="AY72" s="224">
        <f t="shared" si="16"/>
        <v>7184400000</v>
      </c>
      <c r="AZ72" s="110"/>
      <c r="BA72" s="224">
        <f>SUM(BA73:BA82)</f>
        <v>0</v>
      </c>
      <c r="BB72" s="224">
        <f t="shared" ref="BB72:CC72" si="17">SUM(BB73:BB82)</f>
        <v>0</v>
      </c>
      <c r="BC72" s="224">
        <f t="shared" si="17"/>
        <v>250000000</v>
      </c>
      <c r="BD72" s="224">
        <f t="shared" si="17"/>
        <v>245963384</v>
      </c>
      <c r="BE72" s="224">
        <f t="shared" si="17"/>
        <v>430000000</v>
      </c>
      <c r="BF72" s="224">
        <f t="shared" si="17"/>
        <v>539610317</v>
      </c>
      <c r="BG72" s="224">
        <f t="shared" si="17"/>
        <v>365000000</v>
      </c>
      <c r="BH72" s="224">
        <f t="shared" si="17"/>
        <v>263669737</v>
      </c>
      <c r="BI72" s="224">
        <f t="shared" si="17"/>
        <v>395000000</v>
      </c>
      <c r="BJ72" s="224">
        <f t="shared" si="17"/>
        <v>750935166</v>
      </c>
      <c r="BK72" s="224">
        <f t="shared" si="17"/>
        <v>1210000000</v>
      </c>
      <c r="BL72" s="224">
        <f t="shared" si="17"/>
        <v>418916897</v>
      </c>
      <c r="BM72" s="224">
        <f t="shared" si="17"/>
        <v>1210000000</v>
      </c>
      <c r="BN72" s="697">
        <f t="shared" si="17"/>
        <v>1910779368</v>
      </c>
      <c r="BO72" s="697">
        <f t="shared" si="17"/>
        <v>1410000000</v>
      </c>
      <c r="BP72" s="697">
        <f t="shared" si="17"/>
        <v>0</v>
      </c>
      <c r="BQ72" s="697">
        <f>SUM(BQ73:BQ82)</f>
        <v>1265000000</v>
      </c>
      <c r="BR72" s="697">
        <f>SUM(BR73:BR82)</f>
        <v>1515000000</v>
      </c>
      <c r="BS72" s="697">
        <f t="shared" si="17"/>
        <v>0</v>
      </c>
      <c r="BT72" s="697">
        <f>SUM(BT73:BT82)</f>
        <v>1285000000</v>
      </c>
      <c r="BU72" s="697">
        <f t="shared" si="17"/>
        <v>1685000000</v>
      </c>
      <c r="BV72" s="697">
        <f t="shared" si="17"/>
        <v>0</v>
      </c>
      <c r="BW72" s="697">
        <f>SUM(BW73:BW82)</f>
        <v>1285000000</v>
      </c>
      <c r="BX72" s="697">
        <f t="shared" si="17"/>
        <v>1845000000</v>
      </c>
      <c r="BY72" s="697">
        <f t="shared" si="17"/>
        <v>0</v>
      </c>
      <c r="BZ72" s="697">
        <f>SUM(BZ73:BZ82)</f>
        <v>1285000000</v>
      </c>
      <c r="CA72" s="697">
        <f t="shared" si="17"/>
        <v>1995000000</v>
      </c>
      <c r="CB72" s="697">
        <f t="shared" si="17"/>
        <v>11169874869</v>
      </c>
      <c r="CC72" s="697">
        <f t="shared" si="17"/>
        <v>11169874869</v>
      </c>
      <c r="CD72" s="738"/>
      <c r="CE72" s="324">
        <f>SUM(CE73:CE82)</f>
        <v>1363000000</v>
      </c>
      <c r="CF72" s="324">
        <f t="shared" ref="CF72:CP72" si="18">SUM(CF73:CF82)</f>
        <v>1353000000</v>
      </c>
      <c r="CG72" s="324">
        <f t="shared" si="18"/>
        <v>1353000000</v>
      </c>
      <c r="CH72" s="324">
        <f t="shared" si="18"/>
        <v>1363000000</v>
      </c>
      <c r="CI72" s="324">
        <f t="shared" si="18"/>
        <v>1193000000</v>
      </c>
      <c r="CJ72" s="324">
        <f t="shared" si="18"/>
        <v>1323000000</v>
      </c>
      <c r="CK72" s="324">
        <f t="shared" si="18"/>
        <v>1353000000</v>
      </c>
      <c r="CL72" s="324">
        <f t="shared" si="18"/>
        <v>1353000000</v>
      </c>
      <c r="CM72" s="324">
        <f t="shared" si="18"/>
        <v>1383000000</v>
      </c>
      <c r="CN72" s="324">
        <f t="shared" si="18"/>
        <v>1373000000</v>
      </c>
      <c r="CO72" s="324">
        <f t="shared" si="18"/>
        <v>1363000000</v>
      </c>
      <c r="CP72" s="324">
        <f t="shared" si="18"/>
        <v>1353000000</v>
      </c>
      <c r="CQ72" s="324">
        <f>SUM(CQ73:CQ82)</f>
        <v>16126000000</v>
      </c>
      <c r="CR72" s="324">
        <f>SUM(CR73:CR82)</f>
        <v>15423200000</v>
      </c>
      <c r="CS72" s="324">
        <f>SUM(CS73:CS82)</f>
        <v>21022692000</v>
      </c>
      <c r="CT72" s="324">
        <f>SUM(CT73:CT82)</f>
        <v>31474431680</v>
      </c>
      <c r="CU72" s="324">
        <f>SUM(CU73:CU82)</f>
        <v>35834429619.199997</v>
      </c>
      <c r="CV72" s="92"/>
    </row>
    <row r="73" spans="1:100" ht="15" customHeight="1" outlineLevel="2">
      <c r="A73" s="276" t="s">
        <v>43</v>
      </c>
      <c r="C73" s="276" t="s">
        <v>36</v>
      </c>
      <c r="D73" s="276" t="s">
        <v>108</v>
      </c>
      <c r="E73" s="292" t="s">
        <v>109</v>
      </c>
      <c r="F73" s="287">
        <v>3000020972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6"/>
      <c r="X73" s="55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61"/>
      <c r="AL73" s="55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122"/>
      <c r="AZ73" s="55"/>
      <c r="BA73" s="639"/>
      <c r="BB73" s="639"/>
      <c r="BC73" s="86"/>
      <c r="BD73" s="639"/>
      <c r="BE73" s="86"/>
      <c r="BF73" s="639"/>
      <c r="BG73" s="86"/>
      <c r="BH73" s="639"/>
      <c r="BI73" s="86">
        <v>30000000</v>
      </c>
      <c r="BJ73" s="639">
        <v>377801398</v>
      </c>
      <c r="BK73" s="86">
        <v>145000000</v>
      </c>
      <c r="BL73" s="639">
        <v>-20381398</v>
      </c>
      <c r="BM73" s="86">
        <v>145000000</v>
      </c>
      <c r="BN73" s="695">
        <v>0</v>
      </c>
      <c r="BO73" s="696">
        <v>145000000</v>
      </c>
      <c r="BP73" s="695"/>
      <c r="BQ73" s="696"/>
      <c r="BR73" s="729"/>
      <c r="BS73" s="695"/>
      <c r="BT73" s="696"/>
      <c r="BU73" s="729"/>
      <c r="BV73" s="695"/>
      <c r="BW73" s="696"/>
      <c r="BX73" s="729"/>
      <c r="BY73" s="695"/>
      <c r="BZ73" s="696"/>
      <c r="CA73" s="729"/>
      <c r="CB73" s="720">
        <f t="shared" si="5"/>
        <v>357420000</v>
      </c>
      <c r="CC73" s="721">
        <f t="shared" si="6"/>
        <v>357420000</v>
      </c>
      <c r="CD73" s="738"/>
      <c r="CE73" s="323"/>
      <c r="CF73" s="323"/>
      <c r="CG73" s="323"/>
      <c r="CH73" s="323"/>
      <c r="CI73" s="323"/>
      <c r="CJ73" s="323"/>
      <c r="CK73" s="323"/>
      <c r="CL73" s="323"/>
      <c r="CM73" s="323"/>
      <c r="CN73" s="323"/>
      <c r="CO73" s="323"/>
      <c r="CP73" s="323"/>
      <c r="CQ73" s="355">
        <f t="shared" si="7"/>
        <v>0</v>
      </c>
      <c r="CR73" s="356"/>
      <c r="CS73" s="357"/>
      <c r="CT73" s="332"/>
      <c r="CU73" s="358"/>
      <c r="CV73" s="57" t="s">
        <v>38</v>
      </c>
    </row>
    <row r="74" spans="1:100" ht="15" customHeight="1" outlineLevel="2">
      <c r="A74" s="276" t="s">
        <v>43</v>
      </c>
      <c r="C74" s="276" t="s">
        <v>36</v>
      </c>
      <c r="D74" s="276" t="s">
        <v>108</v>
      </c>
      <c r="E74" s="292" t="s">
        <v>110</v>
      </c>
      <c r="F74" s="287">
        <v>3000021106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6"/>
      <c r="X74" s="55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61"/>
      <c r="AL74" s="55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122"/>
      <c r="AZ74" s="55"/>
      <c r="BA74" s="639"/>
      <c r="BB74" s="639"/>
      <c r="BC74" s="86"/>
      <c r="BD74" s="639"/>
      <c r="BE74" s="86"/>
      <c r="BF74" s="639"/>
      <c r="BG74" s="86"/>
      <c r="BH74" s="639"/>
      <c r="BI74" s="86"/>
      <c r="BJ74" s="639"/>
      <c r="BK74" s="86"/>
      <c r="BL74" s="639">
        <v>74287715</v>
      </c>
      <c r="BM74" s="86"/>
      <c r="BN74" s="695">
        <v>68412118</v>
      </c>
      <c r="BO74" s="696"/>
      <c r="BP74" s="695"/>
      <c r="BQ74" s="696"/>
      <c r="BR74" s="729">
        <v>70000000</v>
      </c>
      <c r="BS74" s="695"/>
      <c r="BT74" s="696"/>
      <c r="BU74" s="729">
        <v>70000000</v>
      </c>
      <c r="BV74" s="695"/>
      <c r="BW74" s="696"/>
      <c r="BX74" s="729">
        <v>70000000</v>
      </c>
      <c r="BY74" s="695"/>
      <c r="BZ74" s="696"/>
      <c r="CA74" s="729">
        <v>70000000</v>
      </c>
      <c r="CB74" s="720">
        <f t="shared" ref="CB74:CB82" si="19">SUM(BA74,BB74,BD74,BF74,BH74,BJ74,BL74,BN74,BP74,BR74,BU74,BX74,CA74)</f>
        <v>422699833</v>
      </c>
      <c r="CC74" s="721">
        <f t="shared" ref="CC74:CC82" si="20">SUM(BA74,BB74,BD74,BF74,BH74,BJ74,BL74,BN74,BR74,BU74,BX74,CA74)</f>
        <v>422699833</v>
      </c>
      <c r="CD74" s="738"/>
      <c r="CE74" s="1005"/>
      <c r="CF74" s="1005"/>
      <c r="CG74" s="1005"/>
      <c r="CH74" s="1005"/>
      <c r="CI74" s="1005"/>
      <c r="CJ74" s="1005"/>
      <c r="CK74" s="1005"/>
      <c r="CL74" s="1005"/>
      <c r="CM74" s="1005"/>
      <c r="CN74" s="1005"/>
      <c r="CO74" s="1005"/>
      <c r="CP74" s="1005"/>
      <c r="CQ74" s="355">
        <f t="shared" ref="CQ74:CQ82" si="21">SUM(CE74,CF74,CG74,CH74,CI74,CJ74,CK74,CL74,CM74,CN74,CO74,CP74)</f>
        <v>0</v>
      </c>
      <c r="CR74" s="356"/>
      <c r="CS74" s="357"/>
      <c r="CT74" s="332"/>
      <c r="CU74" s="358"/>
      <c r="CV74" s="57" t="s">
        <v>38</v>
      </c>
    </row>
    <row r="75" spans="1:100" ht="15" customHeight="1" outlineLevel="2">
      <c r="A75" s="276" t="s">
        <v>39</v>
      </c>
      <c r="B75" s="277" t="str">
        <f>$E$7&amp;$E$6&amp;E75</f>
        <v>PACK JAKARTAPACKAGEBASF DISTRIBUTION INDONESIA</v>
      </c>
      <c r="C75" s="276" t="s">
        <v>36</v>
      </c>
      <c r="D75" s="276" t="s">
        <v>108</v>
      </c>
      <c r="E75" s="287" t="s">
        <v>111</v>
      </c>
      <c r="F75" s="287">
        <v>3000020580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6">
        <f>SUM(H75:S75)</f>
        <v>0</v>
      </c>
      <c r="X75" s="55"/>
      <c r="Y75" s="75">
        <f t="shared" ref="Y75:AJ75" si="22">450000000+48700000</f>
        <v>498700000</v>
      </c>
      <c r="Z75" s="75">
        <f t="shared" si="22"/>
        <v>498700000</v>
      </c>
      <c r="AA75" s="75">
        <f t="shared" si="22"/>
        <v>498700000</v>
      </c>
      <c r="AB75" s="75">
        <f t="shared" si="22"/>
        <v>498700000</v>
      </c>
      <c r="AC75" s="75">
        <f t="shared" si="22"/>
        <v>498700000</v>
      </c>
      <c r="AD75" s="75">
        <f t="shared" si="22"/>
        <v>498700000</v>
      </c>
      <c r="AE75" s="75">
        <f t="shared" si="22"/>
        <v>498700000</v>
      </c>
      <c r="AF75" s="75">
        <f t="shared" si="22"/>
        <v>498700000</v>
      </c>
      <c r="AG75" s="75">
        <f t="shared" si="22"/>
        <v>498700000</v>
      </c>
      <c r="AH75" s="75">
        <f t="shared" si="22"/>
        <v>498700000</v>
      </c>
      <c r="AI75" s="75">
        <f t="shared" si="22"/>
        <v>498700000</v>
      </c>
      <c r="AJ75" s="75">
        <f t="shared" si="22"/>
        <v>498700000</v>
      </c>
      <c r="AK75" s="61">
        <v>5984400000</v>
      </c>
      <c r="AL75" s="55"/>
      <c r="AM75" s="75">
        <v>498700000</v>
      </c>
      <c r="AN75" s="75">
        <v>498700000</v>
      </c>
      <c r="AO75" s="75">
        <v>498700000</v>
      </c>
      <c r="AP75" s="75">
        <v>498700000</v>
      </c>
      <c r="AQ75" s="75">
        <v>498700000</v>
      </c>
      <c r="AR75" s="75">
        <v>498700000</v>
      </c>
      <c r="AS75" s="75">
        <v>498700000</v>
      </c>
      <c r="AT75" s="75">
        <v>498700000</v>
      </c>
      <c r="AU75" s="75">
        <v>498700000</v>
      </c>
      <c r="AV75" s="75">
        <v>498700000</v>
      </c>
      <c r="AW75" s="75">
        <v>498700000</v>
      </c>
      <c r="AX75" s="75">
        <v>498700000</v>
      </c>
      <c r="AY75" s="122">
        <v>5984400000</v>
      </c>
      <c r="AZ75" s="55"/>
      <c r="BA75" s="639">
        <v>0</v>
      </c>
      <c r="BB75" s="639">
        <v>0</v>
      </c>
      <c r="BC75" s="86">
        <v>250000000</v>
      </c>
      <c r="BD75" s="639">
        <v>153499084</v>
      </c>
      <c r="BE75" s="86">
        <v>350000000</v>
      </c>
      <c r="BF75" s="639">
        <v>331201179</v>
      </c>
      <c r="BG75" s="86">
        <v>200000000</v>
      </c>
      <c r="BH75" s="639">
        <v>136081184</v>
      </c>
      <c r="BI75" s="86">
        <v>200000000</v>
      </c>
      <c r="BJ75" s="639">
        <v>141732316</v>
      </c>
      <c r="BK75" s="86">
        <v>200000000</v>
      </c>
      <c r="BL75" s="639">
        <v>-3775220</v>
      </c>
      <c r="BM75" s="86">
        <v>200000000</v>
      </c>
      <c r="BN75" s="695">
        <v>688438609</v>
      </c>
      <c r="BO75" s="696">
        <v>200000000</v>
      </c>
      <c r="BP75" s="695"/>
      <c r="BQ75" s="696">
        <v>200000000</v>
      </c>
      <c r="BR75" s="729">
        <v>400000000</v>
      </c>
      <c r="BS75" s="695"/>
      <c r="BT75" s="696">
        <v>200000000</v>
      </c>
      <c r="BU75" s="729">
        <v>500000000</v>
      </c>
      <c r="BV75" s="695"/>
      <c r="BW75" s="696">
        <v>200000000</v>
      </c>
      <c r="BX75" s="729">
        <v>600000000</v>
      </c>
      <c r="BY75" s="695"/>
      <c r="BZ75" s="696">
        <v>200000000</v>
      </c>
      <c r="CA75" s="729">
        <v>700000000</v>
      </c>
      <c r="CB75" s="720">
        <f t="shared" si="19"/>
        <v>3647177152</v>
      </c>
      <c r="CC75" s="721">
        <f t="shared" si="20"/>
        <v>3647177152</v>
      </c>
      <c r="CD75" s="738"/>
      <c r="CE75" s="323">
        <v>160000000</v>
      </c>
      <c r="CF75" s="323">
        <v>160000000</v>
      </c>
      <c r="CG75" s="323">
        <v>160000000</v>
      </c>
      <c r="CH75" s="323">
        <v>160000000</v>
      </c>
      <c r="CI75" s="323">
        <v>160000000</v>
      </c>
      <c r="CJ75" s="323">
        <v>160000000</v>
      </c>
      <c r="CK75" s="323">
        <v>160000000</v>
      </c>
      <c r="CL75" s="323">
        <v>160000000</v>
      </c>
      <c r="CM75" s="323">
        <v>160000000</v>
      </c>
      <c r="CN75" s="323">
        <v>160000000</v>
      </c>
      <c r="CO75" s="323">
        <v>160000000</v>
      </c>
      <c r="CP75" s="323">
        <v>160000000</v>
      </c>
      <c r="CQ75" s="355">
        <f t="shared" si="21"/>
        <v>1920000000</v>
      </c>
      <c r="CR75" s="356">
        <f>CQ75*1.17</f>
        <v>2246400000</v>
      </c>
      <c r="CS75" s="357">
        <f>CR75*1.08</f>
        <v>2426112000</v>
      </c>
      <c r="CT75" s="332">
        <f>CS75*1.09</f>
        <v>2644462080</v>
      </c>
      <c r="CU75" s="358">
        <f>CT75*1.09</f>
        <v>2882463667.2000003</v>
      </c>
      <c r="CV75" s="57" t="s">
        <v>38</v>
      </c>
    </row>
    <row r="76" spans="1:100" ht="15" customHeight="1" outlineLevel="2">
      <c r="A76" s="276" t="s">
        <v>39</v>
      </c>
      <c r="B76" s="277" t="str">
        <f>$E$7&amp;$E$6&amp;E76</f>
        <v>PACK JAKARTAPACKAGEBASF INDONESIA</v>
      </c>
      <c r="C76" s="276" t="s">
        <v>36</v>
      </c>
      <c r="D76" s="276" t="s">
        <v>108</v>
      </c>
      <c r="E76" s="287" t="s">
        <v>112</v>
      </c>
      <c r="F76" s="287">
        <v>3000000735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6"/>
      <c r="X76" s="5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61"/>
      <c r="AL76" s="5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122"/>
      <c r="AZ76" s="55"/>
      <c r="BA76" s="639"/>
      <c r="BB76" s="639"/>
      <c r="BC76" s="86"/>
      <c r="BD76" s="639">
        <v>0</v>
      </c>
      <c r="BE76" s="86"/>
      <c r="BF76" s="639">
        <v>0</v>
      </c>
      <c r="BG76" s="86"/>
      <c r="BH76" s="639"/>
      <c r="BI76" s="86"/>
      <c r="BJ76" s="639">
        <v>0</v>
      </c>
      <c r="BK76" s="86">
        <v>700000000</v>
      </c>
      <c r="BL76" s="639"/>
      <c r="BM76" s="86">
        <v>700000000</v>
      </c>
      <c r="BN76" s="695">
        <v>766945414</v>
      </c>
      <c r="BO76" s="696">
        <v>900000000</v>
      </c>
      <c r="BP76" s="695"/>
      <c r="BQ76" s="696">
        <v>900000000</v>
      </c>
      <c r="BR76" s="729">
        <v>800000000</v>
      </c>
      <c r="BS76" s="695"/>
      <c r="BT76" s="696">
        <v>900000000</v>
      </c>
      <c r="BU76" s="729">
        <v>850000000</v>
      </c>
      <c r="BV76" s="695"/>
      <c r="BW76" s="696">
        <v>900000000</v>
      </c>
      <c r="BX76" s="729">
        <v>900000000</v>
      </c>
      <c r="BY76" s="695"/>
      <c r="BZ76" s="696">
        <v>900000000</v>
      </c>
      <c r="CA76" s="729">
        <v>950000000</v>
      </c>
      <c r="CB76" s="720">
        <f t="shared" si="19"/>
        <v>4266945414</v>
      </c>
      <c r="CC76" s="721">
        <f t="shared" si="20"/>
        <v>4266945414</v>
      </c>
      <c r="CD76" s="738"/>
      <c r="CE76" s="323">
        <v>800000000</v>
      </c>
      <c r="CF76" s="323">
        <v>800000000</v>
      </c>
      <c r="CG76" s="323">
        <v>800000000</v>
      </c>
      <c r="CH76" s="323">
        <v>800000000</v>
      </c>
      <c r="CI76" s="323">
        <v>700000000</v>
      </c>
      <c r="CJ76" s="323">
        <v>800000000</v>
      </c>
      <c r="CK76" s="323">
        <v>800000000</v>
      </c>
      <c r="CL76" s="323">
        <v>800000000</v>
      </c>
      <c r="CM76" s="323">
        <v>800000000</v>
      </c>
      <c r="CN76" s="323">
        <v>800000000</v>
      </c>
      <c r="CO76" s="323">
        <v>800000000</v>
      </c>
      <c r="CP76" s="323">
        <v>800000000</v>
      </c>
      <c r="CQ76" s="355">
        <f t="shared" si="21"/>
        <v>9500000000</v>
      </c>
      <c r="CR76" s="356"/>
      <c r="CS76" s="357"/>
      <c r="CT76" s="332"/>
      <c r="CU76" s="358"/>
      <c r="CV76" s="57" t="s">
        <v>38</v>
      </c>
    </row>
    <row r="77" spans="1:100" ht="15" customHeight="1" outlineLevel="2">
      <c r="A77" s="276" t="s">
        <v>39</v>
      </c>
      <c r="B77" s="277" t="str">
        <f>$E$7&amp;$E$6&amp;E77</f>
        <v>PACK JAKARTAPACKAGEBASF Others</v>
      </c>
      <c r="C77" s="276" t="s">
        <v>36</v>
      </c>
      <c r="D77" s="276" t="s">
        <v>108</v>
      </c>
      <c r="E77" s="287" t="s">
        <v>113</v>
      </c>
      <c r="F77" s="287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6">
        <f>SUM(H77:S77)</f>
        <v>0</v>
      </c>
      <c r="X77" s="55"/>
      <c r="Y77" s="67"/>
      <c r="Z77" s="67"/>
      <c r="AA77" s="67"/>
      <c r="AB77" s="67"/>
      <c r="AC77" s="67"/>
      <c r="AD77" s="67"/>
      <c r="AE77" s="67"/>
      <c r="AF77" s="67"/>
      <c r="AG77" s="67"/>
      <c r="AH77" s="67"/>
      <c r="AI77" s="67"/>
      <c r="AJ77" s="67"/>
      <c r="AK77" s="61">
        <v>0</v>
      </c>
      <c r="AL77" s="55"/>
      <c r="AM77" s="67"/>
      <c r="AN77" s="67"/>
      <c r="AO77" s="67"/>
      <c r="AP77" s="67"/>
      <c r="AQ77" s="67"/>
      <c r="AR77" s="67"/>
      <c r="AS77" s="67"/>
      <c r="AT77" s="67"/>
      <c r="AU77" s="67"/>
      <c r="AV77" s="67"/>
      <c r="AW77" s="67"/>
      <c r="AX77" s="67"/>
      <c r="AY77" s="122">
        <v>0</v>
      </c>
      <c r="AZ77" s="55"/>
      <c r="BA77" s="639"/>
      <c r="BB77" s="639">
        <v>0</v>
      </c>
      <c r="BC77" s="86"/>
      <c r="BD77" s="639">
        <v>0</v>
      </c>
      <c r="BE77" s="86"/>
      <c r="BF77" s="639">
        <v>0</v>
      </c>
      <c r="BG77" s="86">
        <v>0</v>
      </c>
      <c r="BH77" s="639"/>
      <c r="BI77" s="86">
        <v>0</v>
      </c>
      <c r="BJ77" s="639">
        <v>0</v>
      </c>
      <c r="BK77" s="86">
        <v>0</v>
      </c>
      <c r="BL77" s="639">
        <v>0</v>
      </c>
      <c r="BM77" s="86"/>
      <c r="BN77" s="695">
        <v>0</v>
      </c>
      <c r="BO77" s="696"/>
      <c r="BP77" s="695"/>
      <c r="BQ77" s="696"/>
      <c r="BR77" s="729"/>
      <c r="BS77" s="695"/>
      <c r="BT77" s="696"/>
      <c r="BU77" s="729"/>
      <c r="BV77" s="695"/>
      <c r="BW77" s="696"/>
      <c r="BX77" s="729"/>
      <c r="BY77" s="695"/>
      <c r="BZ77" s="696"/>
      <c r="CA77" s="729"/>
      <c r="CB77" s="720">
        <f t="shared" si="19"/>
        <v>0</v>
      </c>
      <c r="CC77" s="721">
        <f t="shared" si="20"/>
        <v>0</v>
      </c>
      <c r="CD77" s="738"/>
      <c r="CE77" s="323"/>
      <c r="CF77" s="323"/>
      <c r="CG77" s="323"/>
      <c r="CH77" s="323"/>
      <c r="CI77" s="323"/>
      <c r="CJ77" s="323"/>
      <c r="CK77" s="323"/>
      <c r="CL77" s="323"/>
      <c r="CM77" s="323"/>
      <c r="CN77" s="323"/>
      <c r="CO77" s="323"/>
      <c r="CP77" s="323"/>
      <c r="CQ77" s="355">
        <f t="shared" si="21"/>
        <v>0</v>
      </c>
      <c r="CR77" s="356">
        <f>500000000*12</f>
        <v>6000000000</v>
      </c>
      <c r="CS77" s="357">
        <f>CR77*1.15</f>
        <v>6899999999.999999</v>
      </c>
      <c r="CT77" s="332">
        <f>CS77*1.2</f>
        <v>8279999999.9999981</v>
      </c>
      <c r="CU77" s="358">
        <f>CT77*1.2</f>
        <v>9935999999.9999981</v>
      </c>
      <c r="CV77" s="57" t="s">
        <v>38</v>
      </c>
    </row>
    <row r="78" spans="1:100" ht="15" customHeight="1" outlineLevel="2">
      <c r="A78" s="276" t="s">
        <v>39</v>
      </c>
      <c r="B78" s="277" t="str">
        <f>$E$7&amp;$E$6&amp;E78</f>
        <v>PACK JAKARTAPACKAGEGCM MARKETING SOLUTIONS INDONESIA</v>
      </c>
      <c r="C78" s="276" t="s">
        <v>36</v>
      </c>
      <c r="D78" s="276" t="s">
        <v>108</v>
      </c>
      <c r="E78" s="287" t="s">
        <v>114</v>
      </c>
      <c r="F78" s="287">
        <v>3000019518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T78" s="65"/>
      <c r="U78" s="65"/>
      <c r="V78" s="65"/>
      <c r="W78" s="66">
        <f>SUM(H78:S78)</f>
        <v>0</v>
      </c>
      <c r="X78" s="55"/>
      <c r="Y78" s="67">
        <v>100000000</v>
      </c>
      <c r="Z78" s="67">
        <v>100000000</v>
      </c>
      <c r="AA78" s="67">
        <v>100000000</v>
      </c>
      <c r="AB78" s="67">
        <v>100000000</v>
      </c>
      <c r="AC78" s="67">
        <v>100000000</v>
      </c>
      <c r="AD78" s="67">
        <v>100000000</v>
      </c>
      <c r="AE78" s="67">
        <v>100000000</v>
      </c>
      <c r="AF78" s="67">
        <v>100000000</v>
      </c>
      <c r="AG78" s="67">
        <v>100000000</v>
      </c>
      <c r="AH78" s="67">
        <v>100000000</v>
      </c>
      <c r="AI78" s="67">
        <v>100000000</v>
      </c>
      <c r="AJ78" s="67">
        <v>100000000</v>
      </c>
      <c r="AK78" s="61">
        <v>1200000000</v>
      </c>
      <c r="AL78" s="55"/>
      <c r="AM78" s="67">
        <v>100000000</v>
      </c>
      <c r="AN78" s="67">
        <v>100000000</v>
      </c>
      <c r="AO78" s="67">
        <v>100000000</v>
      </c>
      <c r="AP78" s="67">
        <v>100000000</v>
      </c>
      <c r="AQ78" s="67">
        <v>100000000</v>
      </c>
      <c r="AR78" s="67">
        <v>100000000</v>
      </c>
      <c r="AS78" s="67">
        <v>100000000</v>
      </c>
      <c r="AT78" s="67">
        <v>100000000</v>
      </c>
      <c r="AU78" s="67">
        <v>100000000</v>
      </c>
      <c r="AV78" s="67">
        <v>100000000</v>
      </c>
      <c r="AW78" s="67">
        <v>100000000</v>
      </c>
      <c r="AX78" s="67">
        <v>100000000</v>
      </c>
      <c r="AY78" s="122">
        <v>1200000000</v>
      </c>
      <c r="AZ78" s="55"/>
      <c r="BA78" s="639">
        <v>0</v>
      </c>
      <c r="BB78" s="639">
        <v>0</v>
      </c>
      <c r="BC78" s="86"/>
      <c r="BD78" s="639">
        <v>32230000</v>
      </c>
      <c r="BE78" s="86">
        <v>30000000</v>
      </c>
      <c r="BF78" s="639">
        <v>42520138</v>
      </c>
      <c r="BG78" s="86">
        <v>30000000</v>
      </c>
      <c r="BH78" s="639">
        <v>56384953</v>
      </c>
      <c r="BI78" s="86">
        <v>30000000</v>
      </c>
      <c r="BJ78" s="639">
        <v>88386052</v>
      </c>
      <c r="BK78" s="86">
        <v>30000000</v>
      </c>
      <c r="BL78" s="639">
        <v>81817500</v>
      </c>
      <c r="BM78" s="86">
        <v>30000000</v>
      </c>
      <c r="BN78" s="695">
        <v>85961327</v>
      </c>
      <c r="BO78" s="696">
        <v>30000000</v>
      </c>
      <c r="BP78" s="695"/>
      <c r="BQ78" s="696">
        <v>30000000</v>
      </c>
      <c r="BR78" s="729">
        <v>40000000</v>
      </c>
      <c r="BS78" s="695"/>
      <c r="BT78" s="696">
        <v>50000000</v>
      </c>
      <c r="BU78" s="729">
        <v>50000000</v>
      </c>
      <c r="BV78" s="695"/>
      <c r="BW78" s="696">
        <v>50000000</v>
      </c>
      <c r="BX78" s="729">
        <v>60000000</v>
      </c>
      <c r="BY78" s="695"/>
      <c r="BZ78" s="696">
        <v>50000000</v>
      </c>
      <c r="CA78" s="729">
        <v>60000000</v>
      </c>
      <c r="CB78" s="720">
        <f t="shared" si="19"/>
        <v>597299970</v>
      </c>
      <c r="CC78" s="721">
        <f t="shared" si="20"/>
        <v>597299970</v>
      </c>
      <c r="CD78" s="738"/>
      <c r="CE78" s="323">
        <v>100000000</v>
      </c>
      <c r="CF78" s="323">
        <v>100000000</v>
      </c>
      <c r="CG78" s="323">
        <v>100000000</v>
      </c>
      <c r="CH78" s="323">
        <v>100000000</v>
      </c>
      <c r="CI78" s="323">
        <v>60000000</v>
      </c>
      <c r="CJ78" s="323">
        <v>80000000</v>
      </c>
      <c r="CK78" s="323">
        <v>80000000</v>
      </c>
      <c r="CL78" s="323">
        <v>80000000</v>
      </c>
      <c r="CM78" s="323">
        <v>100000000</v>
      </c>
      <c r="CN78" s="323">
        <v>100000000</v>
      </c>
      <c r="CO78" s="323">
        <v>100000000</v>
      </c>
      <c r="CP78" s="323">
        <v>100000000</v>
      </c>
      <c r="CQ78" s="355">
        <f t="shared" si="21"/>
        <v>1100000000</v>
      </c>
      <c r="CR78" s="356">
        <f>CQ78*1.17</f>
        <v>1287000000</v>
      </c>
      <c r="CS78" s="357">
        <f>CR78*1.1</f>
        <v>1415700000</v>
      </c>
      <c r="CT78" s="332">
        <f>CS78*1.12</f>
        <v>1585584000.0000002</v>
      </c>
      <c r="CU78" s="358">
        <f>CT78*1.12</f>
        <v>1775854080.0000005</v>
      </c>
      <c r="CV78" s="57" t="s">
        <v>38</v>
      </c>
    </row>
    <row r="79" spans="1:100" ht="15" customHeight="1" outlineLevel="2">
      <c r="A79" s="276" t="s">
        <v>43</v>
      </c>
      <c r="C79" s="276" t="s">
        <v>36</v>
      </c>
      <c r="D79" s="276" t="s">
        <v>108</v>
      </c>
      <c r="E79" s="293" t="s">
        <v>115</v>
      </c>
      <c r="F79" s="287">
        <v>3000020617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6"/>
      <c r="X79" s="55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61"/>
      <c r="AL79" s="55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122"/>
      <c r="AZ79" s="55"/>
      <c r="BA79" s="639"/>
      <c r="BB79" s="639">
        <v>0</v>
      </c>
      <c r="BC79" s="86"/>
      <c r="BD79" s="639">
        <v>2204300</v>
      </c>
      <c r="BE79" s="86"/>
      <c r="BF79" s="639">
        <v>4876000</v>
      </c>
      <c r="BG79" s="86">
        <v>5000000</v>
      </c>
      <c r="BH79" s="639">
        <v>3678600</v>
      </c>
      <c r="BI79" s="86">
        <v>5000000</v>
      </c>
      <c r="BJ79" s="639">
        <v>13035900</v>
      </c>
      <c r="BK79" s="86">
        <v>5000000</v>
      </c>
      <c r="BL79" s="639">
        <v>15042300</v>
      </c>
      <c r="BM79" s="86">
        <v>5000000</v>
      </c>
      <c r="BN79" s="695">
        <v>1707900</v>
      </c>
      <c r="BO79" s="696">
        <v>5000000</v>
      </c>
      <c r="BP79" s="695"/>
      <c r="BQ79" s="696">
        <v>5000000</v>
      </c>
      <c r="BR79" s="729">
        <v>5000000</v>
      </c>
      <c r="BS79" s="695"/>
      <c r="BT79" s="696">
        <v>5000000</v>
      </c>
      <c r="BU79" s="729">
        <v>5000000</v>
      </c>
      <c r="BV79" s="695"/>
      <c r="BW79" s="696">
        <v>5000000</v>
      </c>
      <c r="BX79" s="729">
        <v>5000000</v>
      </c>
      <c r="BY79" s="695"/>
      <c r="BZ79" s="696">
        <v>5000000</v>
      </c>
      <c r="CA79" s="729">
        <v>5000000</v>
      </c>
      <c r="CB79" s="720">
        <f t="shared" si="19"/>
        <v>60545000</v>
      </c>
      <c r="CC79" s="721">
        <f t="shared" si="20"/>
        <v>60545000</v>
      </c>
      <c r="CD79" s="738"/>
      <c r="CE79" s="323">
        <v>10000000</v>
      </c>
      <c r="CF79" s="323"/>
      <c r="CG79" s="323"/>
      <c r="CH79" s="323">
        <v>10000000</v>
      </c>
      <c r="CI79" s="323"/>
      <c r="CJ79" s="323">
        <v>10000000</v>
      </c>
      <c r="CK79" s="323"/>
      <c r="CL79" s="323"/>
      <c r="CM79" s="323">
        <v>10000000</v>
      </c>
      <c r="CN79" s="323"/>
      <c r="CO79" s="323">
        <v>10000000</v>
      </c>
      <c r="CP79" s="323"/>
      <c r="CQ79" s="355">
        <f>SUM(CE79,CF79,CG79,CH79,CI79,CJ79,CK79,CL79,CM79,CN79,CO79,CP79)</f>
        <v>50000000</v>
      </c>
      <c r="CR79" s="356"/>
      <c r="CS79" s="357"/>
      <c r="CT79" s="332"/>
      <c r="CU79" s="358"/>
      <c r="CV79" s="57" t="s">
        <v>38</v>
      </c>
    </row>
    <row r="80" spans="1:100" ht="15" customHeight="1" outlineLevel="2">
      <c r="A80" s="276" t="s">
        <v>59</v>
      </c>
      <c r="B80" s="277" t="str">
        <f>$E$7&amp;$E$6&amp;E80</f>
        <v>PACK JAKARTAPACKAGELUMAS JAYA INDUSTRY</v>
      </c>
      <c r="C80" s="276" t="s">
        <v>36</v>
      </c>
      <c r="D80" s="276" t="s">
        <v>108</v>
      </c>
      <c r="E80" s="287" t="s">
        <v>116</v>
      </c>
      <c r="F80" s="287">
        <v>8000000526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>
        <v>0</v>
      </c>
      <c r="R80" s="65">
        <v>1000000</v>
      </c>
      <c r="S80" s="65">
        <v>0</v>
      </c>
      <c r="T80" s="65"/>
      <c r="U80" s="65"/>
      <c r="V80" s="65"/>
      <c r="W80" s="66">
        <f>SUM(H80:S80)</f>
        <v>1000000</v>
      </c>
      <c r="X80" s="55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1">
        <v>0</v>
      </c>
      <c r="AL80" s="55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  <c r="AX80" s="67"/>
      <c r="AY80" s="122">
        <v>0</v>
      </c>
      <c r="AZ80" s="55"/>
      <c r="BA80" s="639"/>
      <c r="BB80" s="639">
        <v>0</v>
      </c>
      <c r="BC80" s="86"/>
      <c r="BD80" s="639">
        <v>0</v>
      </c>
      <c r="BE80" s="86"/>
      <c r="BF80" s="639">
        <v>0</v>
      </c>
      <c r="BG80" s="86">
        <v>0</v>
      </c>
      <c r="BH80" s="639"/>
      <c r="BI80" s="86">
        <v>0</v>
      </c>
      <c r="BJ80" s="639">
        <v>0</v>
      </c>
      <c r="BK80" s="86">
        <v>0</v>
      </c>
      <c r="BL80" s="639">
        <v>0</v>
      </c>
      <c r="BM80" s="86">
        <v>0</v>
      </c>
      <c r="BN80" s="695">
        <v>0</v>
      </c>
      <c r="BO80" s="696">
        <v>0</v>
      </c>
      <c r="BP80" s="695"/>
      <c r="BQ80" s="696">
        <v>0</v>
      </c>
      <c r="BR80" s="729">
        <v>0</v>
      </c>
      <c r="BS80" s="695"/>
      <c r="BT80" s="696">
        <v>0</v>
      </c>
      <c r="BU80" s="729">
        <v>0</v>
      </c>
      <c r="BV80" s="695"/>
      <c r="BW80" s="696">
        <v>0</v>
      </c>
      <c r="BX80" s="729">
        <v>0</v>
      </c>
      <c r="BY80" s="695"/>
      <c r="BZ80" s="696">
        <v>0</v>
      </c>
      <c r="CA80" s="729">
        <v>0</v>
      </c>
      <c r="CB80" s="720">
        <f t="shared" si="19"/>
        <v>0</v>
      </c>
      <c r="CC80" s="721">
        <f t="shared" si="20"/>
        <v>0</v>
      </c>
      <c r="CD80" s="738"/>
      <c r="CE80" s="323"/>
      <c r="CF80" s="323"/>
      <c r="CG80" s="323"/>
      <c r="CH80" s="323"/>
      <c r="CI80" s="323"/>
      <c r="CJ80" s="323"/>
      <c r="CK80" s="323"/>
      <c r="CL80" s="323"/>
      <c r="CM80" s="323"/>
      <c r="CN80" s="323"/>
      <c r="CO80" s="323"/>
      <c r="CP80" s="323"/>
      <c r="CQ80" s="355">
        <f t="shared" si="21"/>
        <v>0</v>
      </c>
      <c r="CR80" s="356"/>
      <c r="CS80" s="357"/>
      <c r="CT80" s="332"/>
      <c r="CU80" s="358"/>
      <c r="CV80" s="57" t="s">
        <v>38</v>
      </c>
    </row>
    <row r="81" spans="1:100" ht="15" customHeight="1" outlineLevel="2">
      <c r="A81" s="296" t="s">
        <v>117</v>
      </c>
      <c r="C81" s="276" t="s">
        <v>36</v>
      </c>
      <c r="D81" s="276" t="s">
        <v>108</v>
      </c>
      <c r="E81" s="287" t="s">
        <v>118</v>
      </c>
      <c r="F81" s="287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6"/>
      <c r="X81" s="55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1"/>
      <c r="AL81" s="55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122"/>
      <c r="AZ81" s="55"/>
      <c r="BA81" s="639"/>
      <c r="BB81" s="639"/>
      <c r="BC81" s="86"/>
      <c r="BD81" s="639"/>
      <c r="BE81" s="86"/>
      <c r="BF81" s="639"/>
      <c r="BG81" s="86"/>
      <c r="BH81" s="639"/>
      <c r="BI81" s="86"/>
      <c r="BJ81" s="639">
        <v>87132000</v>
      </c>
      <c r="BK81" s="86"/>
      <c r="BL81" s="639">
        <v>193000000</v>
      </c>
      <c r="BM81" s="86"/>
      <c r="BN81" s="695">
        <v>193000000</v>
      </c>
      <c r="BO81" s="696"/>
      <c r="BP81" s="695"/>
      <c r="BQ81" s="696"/>
      <c r="BR81" s="729">
        <v>100000000</v>
      </c>
      <c r="BS81" s="695"/>
      <c r="BT81" s="696"/>
      <c r="BU81" s="729">
        <v>100000000</v>
      </c>
      <c r="BV81" s="695"/>
      <c r="BW81" s="696"/>
      <c r="BX81" s="729">
        <v>100000000</v>
      </c>
      <c r="BY81" s="695"/>
      <c r="BZ81" s="696"/>
      <c r="CA81" s="729">
        <v>100000000</v>
      </c>
      <c r="CB81" s="720">
        <f t="shared" si="19"/>
        <v>873132000</v>
      </c>
      <c r="CC81" s="721">
        <f t="shared" si="20"/>
        <v>873132000</v>
      </c>
      <c r="CD81" s="738"/>
      <c r="CE81" s="323">
        <v>193000000</v>
      </c>
      <c r="CF81" s="323">
        <v>193000000</v>
      </c>
      <c r="CG81" s="323">
        <v>193000000</v>
      </c>
      <c r="CH81" s="323">
        <v>193000000</v>
      </c>
      <c r="CI81" s="323">
        <v>193000000</v>
      </c>
      <c r="CJ81" s="323">
        <v>193000000</v>
      </c>
      <c r="CK81" s="323">
        <v>193000000</v>
      </c>
      <c r="CL81" s="323">
        <v>193000000</v>
      </c>
      <c r="CM81" s="323">
        <v>193000000</v>
      </c>
      <c r="CN81" s="323">
        <v>193000000</v>
      </c>
      <c r="CO81" s="323">
        <v>193000000</v>
      </c>
      <c r="CP81" s="323">
        <v>193000000</v>
      </c>
      <c r="CQ81" s="355">
        <f t="shared" si="21"/>
        <v>2316000000</v>
      </c>
      <c r="CR81" s="355">
        <f>SUM(CF81,CG81,CH81,CI81,CJ81,CK81,CL81,CM81,CN81,CO81,CP81,CQ81)</f>
        <v>4439000000</v>
      </c>
      <c r="CS81" s="355">
        <f>SUM(CG81,CH81,CI81,CJ81,CK81,CL81,CM81,CN81,CO81,CP81,CQ81,CR81)</f>
        <v>8685000000</v>
      </c>
      <c r="CT81" s="355">
        <f>SUM(CH81,CI81,CJ81,CK81,CL81,CM81,CN81,CO81,CP81,CQ81,CR81,CS81)</f>
        <v>17177000000</v>
      </c>
      <c r="CU81" s="358">
        <f>CT81*1.12</f>
        <v>19238240000</v>
      </c>
      <c r="CV81" s="57" t="s">
        <v>38</v>
      </c>
    </row>
    <row r="82" spans="1:100" ht="15" customHeight="1" outlineLevel="2">
      <c r="A82" s="276" t="s">
        <v>39</v>
      </c>
      <c r="B82" s="277" t="str">
        <f>$E$7&amp;$E$6&amp;E82</f>
        <v>PACK JAKARTAPACKAGEYOKE FOOD INDUSTRIES INDONESIA</v>
      </c>
      <c r="C82" s="276" t="s">
        <v>36</v>
      </c>
      <c r="D82" s="276" t="s">
        <v>108</v>
      </c>
      <c r="E82" s="287" t="s">
        <v>119</v>
      </c>
      <c r="F82" s="287">
        <v>3000017758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6">
        <f>SUM(H82:S82)</f>
        <v>0</v>
      </c>
      <c r="X82" s="55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1">
        <v>0</v>
      </c>
      <c r="AL82" s="55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  <c r="AX82" s="67"/>
      <c r="AY82" s="122">
        <v>0</v>
      </c>
      <c r="AZ82" s="55"/>
      <c r="BA82" s="639"/>
      <c r="BB82" s="639">
        <v>0</v>
      </c>
      <c r="BC82" s="86"/>
      <c r="BD82" s="639">
        <v>58030000</v>
      </c>
      <c r="BE82" s="86">
        <v>50000000</v>
      </c>
      <c r="BF82" s="639">
        <v>161013000</v>
      </c>
      <c r="BG82" s="86">
        <v>130000000</v>
      </c>
      <c r="BH82" s="639">
        <v>67525000</v>
      </c>
      <c r="BI82" s="86">
        <v>130000000</v>
      </c>
      <c r="BJ82" s="639">
        <v>42847500</v>
      </c>
      <c r="BK82" s="86">
        <v>130000000</v>
      </c>
      <c r="BL82" s="639">
        <v>78926000</v>
      </c>
      <c r="BM82" s="86">
        <v>130000000</v>
      </c>
      <c r="BN82" s="695">
        <v>106314000</v>
      </c>
      <c r="BO82" s="696">
        <v>130000000</v>
      </c>
      <c r="BP82" s="695"/>
      <c r="BQ82" s="696">
        <v>130000000</v>
      </c>
      <c r="BR82" s="729">
        <v>100000000</v>
      </c>
      <c r="BS82" s="695"/>
      <c r="BT82" s="696">
        <v>130000000</v>
      </c>
      <c r="BU82" s="729">
        <v>110000000</v>
      </c>
      <c r="BV82" s="695"/>
      <c r="BW82" s="696">
        <v>130000000</v>
      </c>
      <c r="BX82" s="729">
        <v>110000000</v>
      </c>
      <c r="BY82" s="695"/>
      <c r="BZ82" s="696">
        <v>130000000</v>
      </c>
      <c r="CA82" s="729">
        <v>110000000</v>
      </c>
      <c r="CB82" s="720">
        <f t="shared" si="19"/>
        <v>944655500</v>
      </c>
      <c r="CC82" s="721">
        <f t="shared" si="20"/>
        <v>944655500</v>
      </c>
      <c r="CD82" s="738"/>
      <c r="CE82" s="323">
        <v>100000000</v>
      </c>
      <c r="CF82" s="323">
        <v>100000000</v>
      </c>
      <c r="CG82" s="323">
        <v>100000000</v>
      </c>
      <c r="CH82" s="323">
        <v>100000000</v>
      </c>
      <c r="CI82" s="323">
        <v>80000000</v>
      </c>
      <c r="CJ82" s="323">
        <v>80000000</v>
      </c>
      <c r="CK82" s="323">
        <v>120000000</v>
      </c>
      <c r="CL82" s="323">
        <v>120000000</v>
      </c>
      <c r="CM82" s="323">
        <v>120000000</v>
      </c>
      <c r="CN82" s="323">
        <v>120000000</v>
      </c>
      <c r="CO82" s="323">
        <v>100000000</v>
      </c>
      <c r="CP82" s="323">
        <v>100000000</v>
      </c>
      <c r="CQ82" s="355">
        <f t="shared" si="21"/>
        <v>1240000000</v>
      </c>
      <c r="CR82" s="356">
        <f>CQ82*1.17</f>
        <v>1450800000</v>
      </c>
      <c r="CS82" s="357">
        <f>CR82*1.1</f>
        <v>1595880000.0000002</v>
      </c>
      <c r="CT82" s="332">
        <f>CS82*1.12</f>
        <v>1787385600.0000005</v>
      </c>
      <c r="CU82" s="358">
        <f>CT82*1.12</f>
        <v>2001871872.0000007</v>
      </c>
      <c r="CV82" s="57" t="s">
        <v>38</v>
      </c>
    </row>
    <row r="83" spans="1:100" s="41" customFormat="1" ht="15" customHeight="1" outlineLevel="2">
      <c r="A83" s="294"/>
      <c r="B83" s="294"/>
      <c r="C83" s="294"/>
      <c r="D83" s="294"/>
      <c r="E83" s="295" t="s">
        <v>120</v>
      </c>
      <c r="F83" s="294"/>
      <c r="G83" s="246"/>
      <c r="H83" s="246"/>
      <c r="I83" s="246"/>
      <c r="J83" s="246"/>
      <c r="K83" s="246"/>
      <c r="L83" s="246"/>
      <c r="M83" s="246"/>
      <c r="N83" s="246"/>
      <c r="O83" s="246"/>
      <c r="P83" s="246"/>
      <c r="Q83" s="246"/>
      <c r="R83" s="246"/>
      <c r="S83" s="246"/>
      <c r="T83" s="246"/>
      <c r="U83" s="246"/>
      <c r="V83" s="246"/>
      <c r="W83" s="232"/>
      <c r="X83" s="55"/>
      <c r="Y83" s="107">
        <f t="shared" ref="Y83:AK83" si="23">SUM(Y84:Y114)</f>
        <v>477000000</v>
      </c>
      <c r="Z83" s="107">
        <f t="shared" si="23"/>
        <v>477000000</v>
      </c>
      <c r="AA83" s="107">
        <f t="shared" si="23"/>
        <v>777000000</v>
      </c>
      <c r="AB83" s="107">
        <f t="shared" si="23"/>
        <v>777000000</v>
      </c>
      <c r="AC83" s="107">
        <f t="shared" si="23"/>
        <v>777000000</v>
      </c>
      <c r="AD83" s="107">
        <f t="shared" si="23"/>
        <v>777000000</v>
      </c>
      <c r="AE83" s="107">
        <f t="shared" si="23"/>
        <v>777000000</v>
      </c>
      <c r="AF83" s="107">
        <f t="shared" si="23"/>
        <v>777000000</v>
      </c>
      <c r="AG83" s="107">
        <f t="shared" si="23"/>
        <v>777000000</v>
      </c>
      <c r="AH83" s="107">
        <f t="shared" si="23"/>
        <v>777000000</v>
      </c>
      <c r="AI83" s="107">
        <f t="shared" si="23"/>
        <v>777000000</v>
      </c>
      <c r="AJ83" s="107">
        <f t="shared" si="23"/>
        <v>777000000</v>
      </c>
      <c r="AK83" s="107">
        <f t="shared" si="23"/>
        <v>8724000000</v>
      </c>
      <c r="AL83" s="55"/>
      <c r="AM83" s="107">
        <f t="shared" ref="AM83:AY83" si="24">SUM(AM84:AM114)</f>
        <v>477000000</v>
      </c>
      <c r="AN83" s="107">
        <f t="shared" si="24"/>
        <v>477000000</v>
      </c>
      <c r="AO83" s="107">
        <f t="shared" si="24"/>
        <v>777000000</v>
      </c>
      <c r="AP83" s="107">
        <f t="shared" si="24"/>
        <v>777000000</v>
      </c>
      <c r="AQ83" s="107">
        <f t="shared" si="24"/>
        <v>777000000</v>
      </c>
      <c r="AR83" s="107">
        <f t="shared" si="24"/>
        <v>777000000</v>
      </c>
      <c r="AS83" s="107">
        <f t="shared" si="24"/>
        <v>777000000</v>
      </c>
      <c r="AT83" s="107">
        <f t="shared" si="24"/>
        <v>777000000</v>
      </c>
      <c r="AU83" s="107">
        <f t="shared" si="24"/>
        <v>777000000</v>
      </c>
      <c r="AV83" s="107">
        <f t="shared" si="24"/>
        <v>777000000</v>
      </c>
      <c r="AW83" s="107">
        <f t="shared" si="24"/>
        <v>777000000</v>
      </c>
      <c r="AX83" s="107">
        <f t="shared" si="24"/>
        <v>777000000</v>
      </c>
      <c r="AY83" s="107">
        <f t="shared" si="24"/>
        <v>8724000000</v>
      </c>
      <c r="AZ83" s="110"/>
      <c r="BA83" s="107">
        <f>SUM(BA84:BA114)</f>
        <v>0</v>
      </c>
      <c r="BB83" s="107">
        <f t="shared" ref="BB83:CC83" si="25">SUM(BB84:BB114)</f>
        <v>0</v>
      </c>
      <c r="BC83" s="107">
        <f t="shared" si="25"/>
        <v>0</v>
      </c>
      <c r="BD83" s="107">
        <f t="shared" si="25"/>
        <v>0</v>
      </c>
      <c r="BE83" s="107">
        <f t="shared" si="25"/>
        <v>7000000</v>
      </c>
      <c r="BF83" s="107">
        <f t="shared" si="25"/>
        <v>0</v>
      </c>
      <c r="BG83" s="107">
        <f t="shared" si="25"/>
        <v>21000000</v>
      </c>
      <c r="BH83" s="107">
        <f t="shared" si="25"/>
        <v>0</v>
      </c>
      <c r="BI83" s="107">
        <f t="shared" si="25"/>
        <v>21000000</v>
      </c>
      <c r="BJ83" s="107">
        <f t="shared" si="25"/>
        <v>0</v>
      </c>
      <c r="BK83" s="107">
        <f>SUM(BK84:BK114)</f>
        <v>868200000</v>
      </c>
      <c r="BL83" s="107">
        <f t="shared" si="25"/>
        <v>0</v>
      </c>
      <c r="BM83" s="107">
        <f t="shared" si="25"/>
        <v>1058000000</v>
      </c>
      <c r="BN83" s="698">
        <f t="shared" si="25"/>
        <v>0</v>
      </c>
      <c r="BO83" s="698">
        <f t="shared" si="25"/>
        <v>1111000000</v>
      </c>
      <c r="BP83" s="698">
        <f t="shared" si="25"/>
        <v>0</v>
      </c>
      <c r="BQ83" s="698">
        <f>SUM(BQ84:BQ114)</f>
        <v>1391000000</v>
      </c>
      <c r="BR83" s="698">
        <f>SUM(BR84:BR114)</f>
        <v>335000000</v>
      </c>
      <c r="BS83" s="698">
        <f t="shared" si="25"/>
        <v>0</v>
      </c>
      <c r="BT83" s="698">
        <f>SUM(BT84:BT114)</f>
        <v>2191000000</v>
      </c>
      <c r="BU83" s="698">
        <f t="shared" si="25"/>
        <v>340000000</v>
      </c>
      <c r="BV83" s="698">
        <f t="shared" si="25"/>
        <v>0</v>
      </c>
      <c r="BW83" s="698">
        <f>SUM(BW84:BW114)</f>
        <v>2191000000</v>
      </c>
      <c r="BX83" s="698">
        <f t="shared" si="25"/>
        <v>539000000</v>
      </c>
      <c r="BY83" s="698">
        <f t="shared" si="25"/>
        <v>0</v>
      </c>
      <c r="BZ83" s="698">
        <f>SUM(BZ84:BZ114)</f>
        <v>2191000000</v>
      </c>
      <c r="CA83" s="698">
        <f t="shared" si="25"/>
        <v>574000000</v>
      </c>
      <c r="CB83" s="698">
        <f t="shared" si="25"/>
        <v>1788000000</v>
      </c>
      <c r="CC83" s="698">
        <f t="shared" si="25"/>
        <v>1788000000</v>
      </c>
      <c r="CD83" s="738"/>
      <c r="CE83" s="325">
        <f>SUM(CE84:CE118)</f>
        <v>20000000</v>
      </c>
      <c r="CF83" s="325">
        <f t="shared" ref="CF83:CU83" si="26">SUM(CF84:CF118)</f>
        <v>20000000</v>
      </c>
      <c r="CG83" s="325">
        <f t="shared" si="26"/>
        <v>1270000000</v>
      </c>
      <c r="CH83" s="325">
        <f t="shared" si="26"/>
        <v>1270000000</v>
      </c>
      <c r="CI83" s="325">
        <f t="shared" si="26"/>
        <v>1840000000</v>
      </c>
      <c r="CJ83" s="325">
        <f t="shared" si="26"/>
        <v>1840000000</v>
      </c>
      <c r="CK83" s="325">
        <f t="shared" si="26"/>
        <v>1840000000</v>
      </c>
      <c r="CL83" s="325">
        <f t="shared" si="26"/>
        <v>1890000000</v>
      </c>
      <c r="CM83" s="325">
        <f t="shared" si="26"/>
        <v>1890000000</v>
      </c>
      <c r="CN83" s="325">
        <f t="shared" si="26"/>
        <v>1890000000</v>
      </c>
      <c r="CO83" s="325">
        <f t="shared" si="26"/>
        <v>1940000000</v>
      </c>
      <c r="CP83" s="325">
        <f t="shared" si="26"/>
        <v>1940000000</v>
      </c>
      <c r="CQ83" s="325">
        <f t="shared" si="26"/>
        <v>17650000000</v>
      </c>
      <c r="CR83" s="325">
        <f t="shared" si="26"/>
        <v>23232000000</v>
      </c>
      <c r="CS83" s="325">
        <f t="shared" si="26"/>
        <v>42400560000</v>
      </c>
      <c r="CT83" s="325">
        <f t="shared" si="26"/>
        <v>61835402872.397392</v>
      </c>
      <c r="CU83" s="325">
        <f t="shared" si="26"/>
        <v>66059667151.654388</v>
      </c>
      <c r="CV83" s="92"/>
    </row>
    <row r="84" spans="1:100" ht="15" customHeight="1" outlineLevel="2">
      <c r="A84" s="296"/>
      <c r="C84" s="276" t="s">
        <v>36</v>
      </c>
      <c r="D84" s="297" t="s">
        <v>121</v>
      </c>
      <c r="E84" s="276" t="s">
        <v>122</v>
      </c>
      <c r="F84" s="298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6"/>
      <c r="X84" s="55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61"/>
      <c r="AL84" s="55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122"/>
      <c r="AZ84" s="55"/>
      <c r="BA84" s="639"/>
      <c r="BB84" s="639"/>
      <c r="BC84" s="86"/>
      <c r="BD84" s="639"/>
      <c r="BE84" s="86"/>
      <c r="BF84" s="639"/>
      <c r="BG84" s="86"/>
      <c r="BH84" s="639"/>
      <c r="BI84" s="86"/>
      <c r="BJ84" s="639"/>
      <c r="BK84" s="86"/>
      <c r="BL84" s="639"/>
      <c r="BM84" s="86"/>
      <c r="BN84" s="695"/>
      <c r="BO84" s="696"/>
      <c r="BP84" s="695"/>
      <c r="BQ84" s="696">
        <v>30000000</v>
      </c>
      <c r="BR84" s="729">
        <v>0</v>
      </c>
      <c r="BS84" s="695"/>
      <c r="BT84" s="696">
        <v>30000000</v>
      </c>
      <c r="BU84" s="729">
        <v>0</v>
      </c>
      <c r="BV84" s="695"/>
      <c r="BW84" s="696">
        <v>30000000</v>
      </c>
      <c r="BX84" s="729">
        <v>0</v>
      </c>
      <c r="BY84" s="695"/>
      <c r="BZ84" s="696">
        <v>30000000</v>
      </c>
      <c r="CA84" s="729">
        <v>0</v>
      </c>
      <c r="CB84" s="720">
        <f t="shared" ref="CB84:CB118" si="27">SUM(BA84,BB84,BD84,BF84,BH84,BJ84,BL84,BN84,BP84,BR84,BU84,BX84,CA84)</f>
        <v>0</v>
      </c>
      <c r="CC84" s="721">
        <f t="shared" ref="CC84:CC118" si="28">SUM(BA84,BB84,BD84,BF84,BH84,BJ84,BL84,BN84,BR84,BU84,BX84,CA84)</f>
        <v>0</v>
      </c>
      <c r="CD84" s="738"/>
      <c r="CE84" s="323"/>
      <c r="CF84" s="323"/>
      <c r="CG84" s="323"/>
      <c r="CH84" s="323"/>
      <c r="CI84" s="323"/>
      <c r="CJ84" s="323"/>
      <c r="CK84" s="323"/>
      <c r="CL84" s="323"/>
      <c r="CM84" s="323"/>
      <c r="CN84" s="323"/>
      <c r="CO84" s="323"/>
      <c r="CP84" s="323"/>
      <c r="CQ84" s="355">
        <f t="shared" ref="CQ84:CQ116" si="29">SUM(CE84,CF84,CG84,CH84,CI84,CJ84,CK84,CL84,CM84,CN84,CO84,CP84)</f>
        <v>0</v>
      </c>
      <c r="CR84" s="356"/>
      <c r="CS84" s="357"/>
      <c r="CT84" s="332"/>
      <c r="CU84" s="358"/>
      <c r="CV84" s="57" t="s">
        <v>38</v>
      </c>
    </row>
    <row r="85" spans="1:100" ht="15" customHeight="1" outlineLevel="2">
      <c r="A85" s="296" t="s">
        <v>43</v>
      </c>
      <c r="C85" s="276" t="s">
        <v>36</v>
      </c>
      <c r="D85" s="297" t="s">
        <v>121</v>
      </c>
      <c r="E85" s="293" t="s">
        <v>123</v>
      </c>
      <c r="F85" s="298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6"/>
      <c r="X85" s="55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61"/>
      <c r="AL85" s="55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122"/>
      <c r="AZ85" s="55"/>
      <c r="BA85" s="639"/>
      <c r="BB85" s="639"/>
      <c r="BC85" s="86"/>
      <c r="BD85" s="639">
        <v>0</v>
      </c>
      <c r="BE85" s="86"/>
      <c r="BF85" s="639">
        <v>0</v>
      </c>
      <c r="BG85" s="86"/>
      <c r="BH85" s="639"/>
      <c r="BI85" s="86"/>
      <c r="BJ85" s="639"/>
      <c r="BK85" s="86">
        <f>600*75000+100*52000</f>
        <v>50200000</v>
      </c>
      <c r="BL85" s="639"/>
      <c r="BM85" s="86">
        <v>100000000</v>
      </c>
      <c r="BN85" s="695"/>
      <c r="BO85" s="696">
        <v>100000000</v>
      </c>
      <c r="BP85" s="695"/>
      <c r="BQ85" s="696">
        <v>100000000</v>
      </c>
      <c r="BR85" s="729">
        <v>50000000</v>
      </c>
      <c r="BS85" s="695"/>
      <c r="BT85" s="696">
        <v>100000000</v>
      </c>
      <c r="BU85" s="729">
        <v>60000000</v>
      </c>
      <c r="BV85" s="695"/>
      <c r="BW85" s="696">
        <v>100000000</v>
      </c>
      <c r="BX85" s="729">
        <v>60000000</v>
      </c>
      <c r="BY85" s="695"/>
      <c r="BZ85" s="696">
        <v>100000000</v>
      </c>
      <c r="CA85" s="729">
        <v>70000000</v>
      </c>
      <c r="CB85" s="720">
        <f t="shared" si="27"/>
        <v>240000000</v>
      </c>
      <c r="CC85" s="721">
        <f t="shared" si="28"/>
        <v>240000000</v>
      </c>
      <c r="CD85" s="738"/>
      <c r="CE85" s="323"/>
      <c r="CF85" s="323"/>
      <c r="CG85" s="323"/>
      <c r="CH85" s="323"/>
      <c r="CI85" s="323"/>
      <c r="CJ85" s="323"/>
      <c r="CK85" s="323"/>
      <c r="CL85" s="323"/>
      <c r="CM85" s="323"/>
      <c r="CN85" s="323"/>
      <c r="CO85" s="323"/>
      <c r="CP85" s="323"/>
      <c r="CQ85" s="355">
        <f t="shared" si="29"/>
        <v>0</v>
      </c>
      <c r="CR85" s="356"/>
      <c r="CS85" s="357"/>
      <c r="CT85" s="332"/>
      <c r="CU85" s="358"/>
      <c r="CV85" s="57" t="s">
        <v>38</v>
      </c>
    </row>
    <row r="86" spans="1:100" ht="15" customHeight="1" outlineLevel="2">
      <c r="A86" s="276" t="s">
        <v>43</v>
      </c>
      <c r="B86" s="277" t="str">
        <f t="shared" ref="B86:B95" si="30">$E$7&amp;$E$6&amp;E86</f>
        <v>PACK JAKARTAPACKAGEAMCOR INDONESIA</v>
      </c>
      <c r="C86" s="276" t="s">
        <v>36</v>
      </c>
      <c r="D86" s="297" t="s">
        <v>121</v>
      </c>
      <c r="E86" s="287" t="s">
        <v>124</v>
      </c>
      <c r="F86" s="287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6">
        <f>SUM(H86:S86)</f>
        <v>0</v>
      </c>
      <c r="X86" s="55"/>
      <c r="Y86" s="67">
        <v>60000000</v>
      </c>
      <c r="Z86" s="67">
        <v>60000000</v>
      </c>
      <c r="AA86" s="67">
        <v>60000000</v>
      </c>
      <c r="AB86" s="67">
        <v>60000000</v>
      </c>
      <c r="AC86" s="67">
        <v>60000000</v>
      </c>
      <c r="AD86" s="67">
        <v>60000000</v>
      </c>
      <c r="AE86" s="67">
        <v>60000000</v>
      </c>
      <c r="AF86" s="67">
        <v>60000000</v>
      </c>
      <c r="AG86" s="67">
        <v>60000000</v>
      </c>
      <c r="AH86" s="67">
        <v>60000000</v>
      </c>
      <c r="AI86" s="67">
        <v>60000000</v>
      </c>
      <c r="AJ86" s="67">
        <v>60000000</v>
      </c>
      <c r="AK86" s="61">
        <v>720000000</v>
      </c>
      <c r="AL86" s="55"/>
      <c r="AM86" s="67">
        <v>60000000</v>
      </c>
      <c r="AN86" s="67">
        <v>60000000</v>
      </c>
      <c r="AO86" s="67">
        <v>60000000</v>
      </c>
      <c r="AP86" s="67">
        <v>60000000</v>
      </c>
      <c r="AQ86" s="67">
        <v>60000000</v>
      </c>
      <c r="AR86" s="67">
        <v>60000000</v>
      </c>
      <c r="AS86" s="67">
        <v>60000000</v>
      </c>
      <c r="AT86" s="67">
        <v>60000000</v>
      </c>
      <c r="AU86" s="67">
        <v>60000000</v>
      </c>
      <c r="AV86" s="67">
        <v>60000000</v>
      </c>
      <c r="AW86" s="67">
        <v>60000000</v>
      </c>
      <c r="AX86" s="67">
        <v>60000000</v>
      </c>
      <c r="AY86" s="122">
        <v>720000000</v>
      </c>
      <c r="AZ86" s="55"/>
      <c r="BA86" s="639">
        <v>0</v>
      </c>
      <c r="BB86" s="639">
        <v>0</v>
      </c>
      <c r="BC86" s="86"/>
      <c r="BD86" s="639">
        <v>0</v>
      </c>
      <c r="BE86" s="86"/>
      <c r="BF86" s="639">
        <v>0</v>
      </c>
      <c r="BG86" s="86">
        <v>0</v>
      </c>
      <c r="BH86" s="639"/>
      <c r="BI86" s="86">
        <v>0</v>
      </c>
      <c r="BJ86" s="639"/>
      <c r="BK86" s="86">
        <v>0</v>
      </c>
      <c r="BL86" s="639"/>
      <c r="BM86" s="86">
        <v>0</v>
      </c>
      <c r="BN86" s="695"/>
      <c r="BO86" s="696">
        <v>0</v>
      </c>
      <c r="BP86" s="695"/>
      <c r="BQ86" s="696">
        <v>0</v>
      </c>
      <c r="BR86" s="729">
        <v>0</v>
      </c>
      <c r="BS86" s="695"/>
      <c r="BT86" s="696">
        <v>0</v>
      </c>
      <c r="BU86" s="729">
        <v>0</v>
      </c>
      <c r="BV86" s="695"/>
      <c r="BW86" s="696">
        <v>0</v>
      </c>
      <c r="BX86" s="729">
        <v>0</v>
      </c>
      <c r="BY86" s="695"/>
      <c r="BZ86" s="696">
        <v>0</v>
      </c>
      <c r="CA86" s="729">
        <v>0</v>
      </c>
      <c r="CB86" s="720">
        <f t="shared" si="27"/>
        <v>0</v>
      </c>
      <c r="CC86" s="721">
        <f t="shared" si="28"/>
        <v>0</v>
      </c>
      <c r="CD86" s="738"/>
      <c r="CE86" s="323"/>
      <c r="CF86" s="323"/>
      <c r="CG86" s="323"/>
      <c r="CH86" s="323"/>
      <c r="CI86" s="323"/>
      <c r="CJ86" s="323"/>
      <c r="CK86" s="323"/>
      <c r="CL86" s="323"/>
      <c r="CM86" s="323"/>
      <c r="CN86" s="323"/>
      <c r="CO86" s="323"/>
      <c r="CP86" s="323"/>
      <c r="CQ86" s="355">
        <f t="shared" si="29"/>
        <v>0</v>
      </c>
      <c r="CR86" s="356">
        <f>CQ86*1.17</f>
        <v>0</v>
      </c>
      <c r="CS86" s="357">
        <f>CR86*1.08</f>
        <v>0</v>
      </c>
      <c r="CT86" s="332">
        <f>CS86*1.09</f>
        <v>0</v>
      </c>
      <c r="CU86" s="358">
        <f>CT86*1.09</f>
        <v>0</v>
      </c>
      <c r="CV86" s="57" t="s">
        <v>38</v>
      </c>
    </row>
    <row r="87" spans="1:100" ht="15" customHeight="1" outlineLevel="2">
      <c r="A87" s="276" t="s">
        <v>43</v>
      </c>
      <c r="B87" s="277" t="str">
        <f t="shared" si="30"/>
        <v>PACK JAKARTAPACKAGEAKSA NOBEL</v>
      </c>
      <c r="C87" s="276" t="s">
        <v>36</v>
      </c>
      <c r="D87" s="297" t="s">
        <v>121</v>
      </c>
      <c r="E87" s="287" t="s">
        <v>125</v>
      </c>
      <c r="F87" s="287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6">
        <f>SUM(H87:S87)</f>
        <v>0</v>
      </c>
      <c r="X87" s="55"/>
      <c r="Y87" s="67"/>
      <c r="Z87" s="67"/>
      <c r="AA87" s="67">
        <v>300000000</v>
      </c>
      <c r="AB87" s="67">
        <v>300000000</v>
      </c>
      <c r="AC87" s="67">
        <v>300000000</v>
      </c>
      <c r="AD87" s="67">
        <v>300000000</v>
      </c>
      <c r="AE87" s="67">
        <v>300000000</v>
      </c>
      <c r="AF87" s="67">
        <v>300000000</v>
      </c>
      <c r="AG87" s="67">
        <v>300000000</v>
      </c>
      <c r="AH87" s="67">
        <v>300000000</v>
      </c>
      <c r="AI87" s="67">
        <v>300000000</v>
      </c>
      <c r="AJ87" s="67">
        <v>300000000</v>
      </c>
      <c r="AK87" s="61">
        <v>3000000000</v>
      </c>
      <c r="AL87" s="55"/>
      <c r="AM87" s="67"/>
      <c r="AN87" s="67"/>
      <c r="AO87" s="67">
        <v>300000000</v>
      </c>
      <c r="AP87" s="67">
        <v>300000000</v>
      </c>
      <c r="AQ87" s="67">
        <v>300000000</v>
      </c>
      <c r="AR87" s="67">
        <v>300000000</v>
      </c>
      <c r="AS87" s="67">
        <v>300000000</v>
      </c>
      <c r="AT87" s="67">
        <v>300000000</v>
      </c>
      <c r="AU87" s="67">
        <v>300000000</v>
      </c>
      <c r="AV87" s="67">
        <v>300000000</v>
      </c>
      <c r="AW87" s="67">
        <v>300000000</v>
      </c>
      <c r="AX87" s="67">
        <v>300000000</v>
      </c>
      <c r="AY87" s="122">
        <v>3000000000</v>
      </c>
      <c r="AZ87" s="55"/>
      <c r="BA87" s="639">
        <v>0</v>
      </c>
      <c r="BB87" s="639">
        <v>0</v>
      </c>
      <c r="BC87" s="86"/>
      <c r="BD87" s="639">
        <v>0</v>
      </c>
      <c r="BE87" s="86"/>
      <c r="BF87" s="639">
        <v>0</v>
      </c>
      <c r="BG87" s="86">
        <v>0</v>
      </c>
      <c r="BH87" s="639"/>
      <c r="BI87" s="86">
        <v>0</v>
      </c>
      <c r="BJ87" s="639"/>
      <c r="BK87" s="86">
        <v>0</v>
      </c>
      <c r="BL87" s="639"/>
      <c r="BM87" s="86">
        <v>0</v>
      </c>
      <c r="BN87" s="695"/>
      <c r="BO87" s="696">
        <v>0</v>
      </c>
      <c r="BP87" s="695"/>
      <c r="BQ87" s="696">
        <v>0</v>
      </c>
      <c r="BR87" s="729">
        <v>0</v>
      </c>
      <c r="BS87" s="695"/>
      <c r="BT87" s="696">
        <v>0</v>
      </c>
      <c r="BU87" s="729">
        <v>0</v>
      </c>
      <c r="BV87" s="695"/>
      <c r="BW87" s="696">
        <v>0</v>
      </c>
      <c r="BX87" s="729">
        <v>0</v>
      </c>
      <c r="BY87" s="695"/>
      <c r="BZ87" s="696">
        <v>0</v>
      </c>
      <c r="CA87" s="729">
        <v>0</v>
      </c>
      <c r="CB87" s="720">
        <f t="shared" si="27"/>
        <v>0</v>
      </c>
      <c r="CC87" s="721">
        <f t="shared" si="28"/>
        <v>0</v>
      </c>
      <c r="CD87" s="738"/>
      <c r="CE87" s="323"/>
      <c r="CF87" s="323"/>
      <c r="CG87" s="323"/>
      <c r="CH87" s="323"/>
      <c r="CI87" s="323"/>
      <c r="CJ87" s="323"/>
      <c r="CK87" s="323"/>
      <c r="CL87" s="323"/>
      <c r="CM87" s="323"/>
      <c r="CN87" s="323"/>
      <c r="CO87" s="323"/>
      <c r="CP87" s="323"/>
      <c r="CQ87" s="355">
        <f t="shared" si="29"/>
        <v>0</v>
      </c>
      <c r="CR87" s="356">
        <f>CQ87*1.17</f>
        <v>0</v>
      </c>
      <c r="CS87" s="357">
        <f>CR87*1.2</f>
        <v>0</v>
      </c>
      <c r="CT87" s="332">
        <f>CS87*1.4</f>
        <v>0</v>
      </c>
      <c r="CU87" s="358">
        <f>CT87*1.4</f>
        <v>0</v>
      </c>
      <c r="CV87" s="57" t="s">
        <v>38</v>
      </c>
    </row>
    <row r="88" spans="1:100" ht="15" customHeight="1" outlineLevel="2">
      <c r="A88" s="276" t="s">
        <v>43</v>
      </c>
      <c r="B88" s="277" t="str">
        <f t="shared" si="30"/>
        <v>PACK JAKARTAPACKAGEBANGUN INFRA NUSANTARA</v>
      </c>
      <c r="C88" s="276" t="s">
        <v>36</v>
      </c>
      <c r="D88" s="297" t="s">
        <v>121</v>
      </c>
      <c r="E88" s="287" t="s">
        <v>126</v>
      </c>
      <c r="F88" s="287"/>
      <c r="G88" s="63"/>
      <c r="H88" s="65"/>
      <c r="I88" s="65"/>
      <c r="J88" s="65"/>
      <c r="K88" s="65"/>
      <c r="L88" s="65"/>
      <c r="M88" s="65"/>
      <c r="N88" s="65"/>
      <c r="O88" s="65"/>
      <c r="P88" s="65"/>
      <c r="T88" s="69"/>
      <c r="U88" s="69"/>
      <c r="V88" s="69"/>
      <c r="W88" s="66"/>
      <c r="X88" s="55"/>
      <c r="Y88" s="67">
        <f t="shared" ref="Y88:AJ89" si="31">25000000/3</f>
        <v>8333333.333333333</v>
      </c>
      <c r="Z88" s="67">
        <f t="shared" si="31"/>
        <v>8333333.333333333</v>
      </c>
      <c r="AA88" s="67">
        <f t="shared" si="31"/>
        <v>8333333.333333333</v>
      </c>
      <c r="AB88" s="67">
        <f t="shared" si="31"/>
        <v>8333333.333333333</v>
      </c>
      <c r="AC88" s="67">
        <f t="shared" si="31"/>
        <v>8333333.333333333</v>
      </c>
      <c r="AD88" s="67">
        <f t="shared" si="31"/>
        <v>8333333.333333333</v>
      </c>
      <c r="AE88" s="67">
        <f t="shared" si="31"/>
        <v>8333333.333333333</v>
      </c>
      <c r="AF88" s="67">
        <f t="shared" si="31"/>
        <v>8333333.333333333</v>
      </c>
      <c r="AG88" s="67">
        <f t="shared" si="31"/>
        <v>8333333.333333333</v>
      </c>
      <c r="AH88" s="67">
        <f t="shared" si="31"/>
        <v>8333333.333333333</v>
      </c>
      <c r="AI88" s="67">
        <f t="shared" si="31"/>
        <v>8333333.333333333</v>
      </c>
      <c r="AJ88" s="67">
        <f t="shared" si="31"/>
        <v>8333333.333333333</v>
      </c>
      <c r="AK88" s="61">
        <v>99999999.999999985</v>
      </c>
      <c r="AL88" s="55"/>
      <c r="AM88" s="67">
        <f t="shared" ref="AM88:AX89" si="32">25000000/3</f>
        <v>8333333.333333333</v>
      </c>
      <c r="AN88" s="67">
        <f t="shared" si="32"/>
        <v>8333333.333333333</v>
      </c>
      <c r="AO88" s="67">
        <f t="shared" si="32"/>
        <v>8333333.333333333</v>
      </c>
      <c r="AP88" s="67">
        <f t="shared" si="32"/>
        <v>8333333.333333333</v>
      </c>
      <c r="AQ88" s="67">
        <f t="shared" si="32"/>
        <v>8333333.333333333</v>
      </c>
      <c r="AR88" s="67">
        <f t="shared" si="32"/>
        <v>8333333.333333333</v>
      </c>
      <c r="AS88" s="67">
        <f t="shared" si="32"/>
        <v>8333333.333333333</v>
      </c>
      <c r="AT88" s="67">
        <f t="shared" si="32"/>
        <v>8333333.333333333</v>
      </c>
      <c r="AU88" s="67">
        <f t="shared" si="32"/>
        <v>8333333.333333333</v>
      </c>
      <c r="AV88" s="67">
        <f t="shared" si="32"/>
        <v>8333333.333333333</v>
      </c>
      <c r="AW88" s="67">
        <f t="shared" si="32"/>
        <v>8333333.333333333</v>
      </c>
      <c r="AX88" s="67">
        <f t="shared" si="32"/>
        <v>8333333.333333333</v>
      </c>
      <c r="AY88" s="122">
        <v>99999999.999999985</v>
      </c>
      <c r="AZ88" s="55"/>
      <c r="BA88" s="639">
        <v>0</v>
      </c>
      <c r="BB88" s="639">
        <v>0</v>
      </c>
      <c r="BC88" s="86"/>
      <c r="BD88" s="639">
        <v>0</v>
      </c>
      <c r="BE88" s="86">
        <v>7000000</v>
      </c>
      <c r="BF88" s="639">
        <v>0</v>
      </c>
      <c r="BG88" s="86">
        <v>7000000</v>
      </c>
      <c r="BH88" s="639"/>
      <c r="BI88" s="86">
        <v>7000000</v>
      </c>
      <c r="BJ88" s="639"/>
      <c r="BK88" s="86">
        <f>7000000+7000000</f>
        <v>14000000</v>
      </c>
      <c r="BL88" s="639"/>
      <c r="BM88" s="86">
        <f>7000000+7000000</f>
        <v>14000000</v>
      </c>
      <c r="BN88" s="695"/>
      <c r="BO88" s="696">
        <f>7000000+10000000</f>
        <v>17000000</v>
      </c>
      <c r="BP88" s="695"/>
      <c r="BQ88" s="696">
        <f>7000000+10000000</f>
        <v>17000000</v>
      </c>
      <c r="BR88" s="729">
        <v>0</v>
      </c>
      <c r="BS88" s="695"/>
      <c r="BT88" s="696">
        <f>7000000+10000000</f>
        <v>17000000</v>
      </c>
      <c r="BU88" s="729">
        <v>0</v>
      </c>
      <c r="BV88" s="695"/>
      <c r="BW88" s="696">
        <f>7000000+10000000</f>
        <v>17000000</v>
      </c>
      <c r="BX88" s="729">
        <f>7000000+10000000</f>
        <v>17000000</v>
      </c>
      <c r="BY88" s="695"/>
      <c r="BZ88" s="696">
        <f>7000000+10000000</f>
        <v>17000000</v>
      </c>
      <c r="CA88" s="729">
        <f>7000000+10000000</f>
        <v>17000000</v>
      </c>
      <c r="CB88" s="720">
        <f t="shared" si="27"/>
        <v>34000000</v>
      </c>
      <c r="CC88" s="721">
        <f t="shared" si="28"/>
        <v>34000000</v>
      </c>
      <c r="CD88" s="738"/>
      <c r="CE88" s="323"/>
      <c r="CF88" s="323"/>
      <c r="CG88" s="323"/>
      <c r="CH88" s="323"/>
      <c r="CI88" s="323"/>
      <c r="CJ88" s="323"/>
      <c r="CK88" s="323"/>
      <c r="CL88" s="323"/>
      <c r="CM88" s="323"/>
      <c r="CN88" s="323"/>
      <c r="CO88" s="323"/>
      <c r="CP88" s="323"/>
      <c r="CQ88" s="355">
        <f t="shared" si="29"/>
        <v>0</v>
      </c>
      <c r="CR88" s="356">
        <f>CQ88*1.17</f>
        <v>0</v>
      </c>
      <c r="CS88" s="357">
        <f>CR88*1.08</f>
        <v>0</v>
      </c>
      <c r="CT88" s="332">
        <f t="shared" ref="CT88:CU90" si="33">CS88*1.09</f>
        <v>0</v>
      </c>
      <c r="CU88" s="358">
        <f t="shared" si="33"/>
        <v>0</v>
      </c>
      <c r="CV88" s="57" t="s">
        <v>38</v>
      </c>
    </row>
    <row r="89" spans="1:100" ht="15" customHeight="1" outlineLevel="2">
      <c r="A89" s="276" t="s">
        <v>43</v>
      </c>
      <c r="B89" s="277" t="str">
        <f t="shared" si="30"/>
        <v>PACK JAKARTAPACKAGEBERSAUDARA UTAMA MAJU</v>
      </c>
      <c r="C89" s="276" t="s">
        <v>36</v>
      </c>
      <c r="D89" s="297" t="s">
        <v>121</v>
      </c>
      <c r="E89" s="287" t="s">
        <v>127</v>
      </c>
      <c r="F89" s="287"/>
      <c r="G89" s="63"/>
      <c r="H89" s="65"/>
      <c r="I89" s="65"/>
      <c r="J89" s="65"/>
      <c r="K89" s="65"/>
      <c r="L89" s="65"/>
      <c r="M89" s="65"/>
      <c r="N89" s="65"/>
      <c r="O89" s="65"/>
      <c r="P89" s="65"/>
      <c r="T89" s="69">
        <v>4000000</v>
      </c>
      <c r="U89" s="69">
        <v>4000000</v>
      </c>
      <c r="V89" s="69">
        <v>4000000</v>
      </c>
      <c r="W89" s="66">
        <f t="shared" ref="W89:W95" si="34">SUM(H89:S89)</f>
        <v>0</v>
      </c>
      <c r="X89" s="55"/>
      <c r="Y89" s="67">
        <f t="shared" si="31"/>
        <v>8333333.333333333</v>
      </c>
      <c r="Z89" s="67">
        <f t="shared" si="31"/>
        <v>8333333.333333333</v>
      </c>
      <c r="AA89" s="67">
        <f t="shared" si="31"/>
        <v>8333333.333333333</v>
      </c>
      <c r="AB89" s="67">
        <f t="shared" si="31"/>
        <v>8333333.333333333</v>
      </c>
      <c r="AC89" s="67">
        <f t="shared" si="31"/>
        <v>8333333.333333333</v>
      </c>
      <c r="AD89" s="67">
        <f t="shared" si="31"/>
        <v>8333333.333333333</v>
      </c>
      <c r="AE89" s="67">
        <f t="shared" si="31"/>
        <v>8333333.333333333</v>
      </c>
      <c r="AF89" s="67">
        <f t="shared" si="31"/>
        <v>8333333.333333333</v>
      </c>
      <c r="AG89" s="67">
        <f t="shared" si="31"/>
        <v>8333333.333333333</v>
      </c>
      <c r="AH89" s="67">
        <f t="shared" si="31"/>
        <v>8333333.333333333</v>
      </c>
      <c r="AI89" s="67">
        <f t="shared" si="31"/>
        <v>8333333.333333333</v>
      </c>
      <c r="AJ89" s="67">
        <f t="shared" si="31"/>
        <v>8333333.333333333</v>
      </c>
      <c r="AK89" s="61">
        <v>99999999.999999985</v>
      </c>
      <c r="AL89" s="55"/>
      <c r="AM89" s="67">
        <f t="shared" si="32"/>
        <v>8333333.333333333</v>
      </c>
      <c r="AN89" s="67">
        <f t="shared" si="32"/>
        <v>8333333.333333333</v>
      </c>
      <c r="AO89" s="67">
        <f t="shared" si="32"/>
        <v>8333333.333333333</v>
      </c>
      <c r="AP89" s="67">
        <f t="shared" si="32"/>
        <v>8333333.333333333</v>
      </c>
      <c r="AQ89" s="67">
        <f t="shared" si="32"/>
        <v>8333333.333333333</v>
      </c>
      <c r="AR89" s="67">
        <f t="shared" si="32"/>
        <v>8333333.333333333</v>
      </c>
      <c r="AS89" s="67">
        <f t="shared" si="32"/>
        <v>8333333.333333333</v>
      </c>
      <c r="AT89" s="67">
        <f t="shared" si="32"/>
        <v>8333333.333333333</v>
      </c>
      <c r="AU89" s="67">
        <f t="shared" si="32"/>
        <v>8333333.333333333</v>
      </c>
      <c r="AV89" s="67">
        <f t="shared" si="32"/>
        <v>8333333.333333333</v>
      </c>
      <c r="AW89" s="67">
        <f t="shared" si="32"/>
        <v>8333333.333333333</v>
      </c>
      <c r="AX89" s="67">
        <f t="shared" si="32"/>
        <v>8333333.333333333</v>
      </c>
      <c r="AY89" s="122">
        <v>99999999.999999985</v>
      </c>
      <c r="AZ89" s="55"/>
      <c r="BA89" s="639">
        <v>0</v>
      </c>
      <c r="BB89" s="639">
        <v>0</v>
      </c>
      <c r="BC89" s="86"/>
      <c r="BD89" s="639">
        <v>0</v>
      </c>
      <c r="BE89" s="86"/>
      <c r="BF89" s="639">
        <v>0</v>
      </c>
      <c r="BG89" s="86">
        <v>7000000</v>
      </c>
      <c r="BH89" s="639"/>
      <c r="BI89" s="86">
        <v>7000000</v>
      </c>
      <c r="BJ89" s="639"/>
      <c r="BK89" s="86">
        <v>7000000</v>
      </c>
      <c r="BL89" s="639"/>
      <c r="BM89" s="86">
        <v>7000000</v>
      </c>
      <c r="BN89" s="695"/>
      <c r="BO89" s="696">
        <v>7000000</v>
      </c>
      <c r="BP89" s="695"/>
      <c r="BQ89" s="696">
        <v>7000000</v>
      </c>
      <c r="BR89" s="729">
        <v>0</v>
      </c>
      <c r="BS89" s="695"/>
      <c r="BT89" s="696">
        <v>7000000</v>
      </c>
      <c r="BU89" s="729">
        <v>0</v>
      </c>
      <c r="BV89" s="695"/>
      <c r="BW89" s="696">
        <v>7000000</v>
      </c>
      <c r="BX89" s="729">
        <v>0</v>
      </c>
      <c r="BY89" s="695"/>
      <c r="BZ89" s="696">
        <v>7000000</v>
      </c>
      <c r="CA89" s="729">
        <v>0</v>
      </c>
      <c r="CB89" s="720">
        <f t="shared" si="27"/>
        <v>0</v>
      </c>
      <c r="CC89" s="721">
        <f t="shared" si="28"/>
        <v>0</v>
      </c>
      <c r="CD89" s="738"/>
      <c r="CE89" s="323"/>
      <c r="CF89" s="323"/>
      <c r="CG89" s="323"/>
      <c r="CH89" s="323"/>
      <c r="CI89" s="323"/>
      <c r="CJ89" s="323"/>
      <c r="CK89" s="323"/>
      <c r="CL89" s="323"/>
      <c r="CM89" s="323"/>
      <c r="CN89" s="323"/>
      <c r="CO89" s="323"/>
      <c r="CP89" s="323"/>
      <c r="CQ89" s="355">
        <f t="shared" si="29"/>
        <v>0</v>
      </c>
      <c r="CR89" s="356">
        <f>CQ89*1.17</f>
        <v>0</v>
      </c>
      <c r="CS89" s="357">
        <f>CR89*1.08</f>
        <v>0</v>
      </c>
      <c r="CT89" s="332">
        <f t="shared" si="33"/>
        <v>0</v>
      </c>
      <c r="CU89" s="358">
        <f t="shared" si="33"/>
        <v>0</v>
      </c>
      <c r="CV89" s="57" t="s">
        <v>38</v>
      </c>
    </row>
    <row r="90" spans="1:100" ht="15" customHeight="1" outlineLevel="2">
      <c r="A90" s="276" t="s">
        <v>43</v>
      </c>
      <c r="B90" s="277" t="str">
        <f t="shared" si="30"/>
        <v>PACK JAKARTAPACKAGEBLUEMART</v>
      </c>
      <c r="C90" s="276" t="s">
        <v>36</v>
      </c>
      <c r="D90" s="297" t="s">
        <v>121</v>
      </c>
      <c r="E90" s="287" t="s">
        <v>128</v>
      </c>
      <c r="F90" s="287"/>
      <c r="G90" s="63"/>
      <c r="H90" s="65"/>
      <c r="I90" s="65"/>
      <c r="J90" s="65"/>
      <c r="K90" s="65"/>
      <c r="L90" s="65"/>
      <c r="M90" s="65"/>
      <c r="N90" s="65"/>
      <c r="O90" s="65"/>
      <c r="P90" s="65"/>
      <c r="T90" s="65"/>
      <c r="U90" s="65"/>
      <c r="V90" s="65"/>
      <c r="W90" s="66">
        <f t="shared" si="34"/>
        <v>0</v>
      </c>
      <c r="X90" s="55"/>
      <c r="Y90" s="67">
        <v>42000000</v>
      </c>
      <c r="Z90" s="67">
        <v>42000000</v>
      </c>
      <c r="AA90" s="67">
        <v>42000000</v>
      </c>
      <c r="AB90" s="67">
        <v>42000000</v>
      </c>
      <c r="AC90" s="67">
        <v>42000000</v>
      </c>
      <c r="AD90" s="67">
        <v>42000000</v>
      </c>
      <c r="AE90" s="67">
        <v>42000000</v>
      </c>
      <c r="AF90" s="67">
        <v>42000000</v>
      </c>
      <c r="AG90" s="67">
        <v>42000000</v>
      </c>
      <c r="AH90" s="67">
        <v>42000000</v>
      </c>
      <c r="AI90" s="67">
        <v>42000000</v>
      </c>
      <c r="AJ90" s="67">
        <v>42000000</v>
      </c>
      <c r="AK90" s="61">
        <v>504000000</v>
      </c>
      <c r="AL90" s="55"/>
      <c r="AM90" s="67">
        <v>42000000</v>
      </c>
      <c r="AN90" s="67">
        <v>42000000</v>
      </c>
      <c r="AO90" s="67">
        <v>42000000</v>
      </c>
      <c r="AP90" s="67">
        <v>42000000</v>
      </c>
      <c r="AQ90" s="67">
        <v>42000000</v>
      </c>
      <c r="AR90" s="67">
        <v>42000000</v>
      </c>
      <c r="AS90" s="67">
        <v>42000000</v>
      </c>
      <c r="AT90" s="67">
        <v>42000000</v>
      </c>
      <c r="AU90" s="67">
        <v>42000000</v>
      </c>
      <c r="AV90" s="67">
        <v>42000000</v>
      </c>
      <c r="AW90" s="67">
        <v>42000000</v>
      </c>
      <c r="AX90" s="67">
        <v>42000000</v>
      </c>
      <c r="AY90" s="122">
        <v>504000000</v>
      </c>
      <c r="AZ90" s="55"/>
      <c r="BA90" s="639">
        <v>0</v>
      </c>
      <c r="BB90" s="639">
        <v>0</v>
      </c>
      <c r="BC90" s="86"/>
      <c r="BD90" s="639">
        <v>0</v>
      </c>
      <c r="BE90" s="86"/>
      <c r="BF90" s="639">
        <v>0</v>
      </c>
      <c r="BG90" s="86">
        <v>0</v>
      </c>
      <c r="BH90" s="639"/>
      <c r="BI90" s="86">
        <v>0</v>
      </c>
      <c r="BJ90" s="639"/>
      <c r="BK90" s="86">
        <v>0</v>
      </c>
      <c r="BL90" s="639"/>
      <c r="BM90" s="86"/>
      <c r="BN90" s="695"/>
      <c r="BO90" s="696"/>
      <c r="BP90" s="695"/>
      <c r="BQ90" s="696"/>
      <c r="BR90" s="729"/>
      <c r="BS90" s="695"/>
      <c r="BT90" s="696"/>
      <c r="BU90" s="729"/>
      <c r="BV90" s="695"/>
      <c r="BW90" s="696"/>
      <c r="BX90" s="729"/>
      <c r="BY90" s="695"/>
      <c r="BZ90" s="696"/>
      <c r="CA90" s="729"/>
      <c r="CB90" s="720">
        <f t="shared" si="27"/>
        <v>0</v>
      </c>
      <c r="CC90" s="721">
        <f t="shared" si="28"/>
        <v>0</v>
      </c>
      <c r="CD90" s="738"/>
      <c r="CE90" s="323"/>
      <c r="CF90" s="323"/>
      <c r="CG90" s="323"/>
      <c r="CH90" s="323"/>
      <c r="CI90" s="323"/>
      <c r="CJ90" s="323"/>
      <c r="CK90" s="323"/>
      <c r="CL90" s="323"/>
      <c r="CM90" s="323"/>
      <c r="CN90" s="323"/>
      <c r="CO90" s="323"/>
      <c r="CP90" s="323"/>
      <c r="CQ90" s="355">
        <f t="shared" si="29"/>
        <v>0</v>
      </c>
      <c r="CR90" s="356">
        <f>CQ90*1.17</f>
        <v>0</v>
      </c>
      <c r="CS90" s="357">
        <f>CR90*1.08</f>
        <v>0</v>
      </c>
      <c r="CT90" s="332">
        <f t="shared" si="33"/>
        <v>0</v>
      </c>
      <c r="CU90" s="358">
        <f t="shared" si="33"/>
        <v>0</v>
      </c>
      <c r="CV90" s="57" t="s">
        <v>38</v>
      </c>
    </row>
    <row r="91" spans="1:100" ht="15" customHeight="1" outlineLevel="2">
      <c r="A91" s="296"/>
      <c r="B91" s="277" t="str">
        <f t="shared" si="30"/>
        <v>PACK JAKARTAPACKAGECERES / NIRWANA LESTARI</v>
      </c>
      <c r="C91" s="276" t="s">
        <v>36</v>
      </c>
      <c r="D91" s="297" t="s">
        <v>121</v>
      </c>
      <c r="E91" s="287" t="s">
        <v>129</v>
      </c>
      <c r="F91" s="298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6">
        <f t="shared" si="34"/>
        <v>0</v>
      </c>
      <c r="X91" s="55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61">
        <v>0</v>
      </c>
      <c r="AL91" s="55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122">
        <v>0</v>
      </c>
      <c r="AZ91" s="55"/>
      <c r="BA91" s="639"/>
      <c r="BB91" s="639">
        <v>0</v>
      </c>
      <c r="BC91" s="86"/>
      <c r="BD91" s="639">
        <v>0</v>
      </c>
      <c r="BE91" s="86"/>
      <c r="BF91" s="639">
        <v>0</v>
      </c>
      <c r="BG91" s="86">
        <v>0</v>
      </c>
      <c r="BH91" s="639"/>
      <c r="BI91" s="86">
        <v>0</v>
      </c>
      <c r="BJ91" s="639"/>
      <c r="BK91" s="86">
        <v>0</v>
      </c>
      <c r="BL91" s="639"/>
      <c r="BM91" s="86"/>
      <c r="BN91" s="695"/>
      <c r="BO91" s="696"/>
      <c r="BP91" s="695"/>
      <c r="BQ91" s="696"/>
      <c r="BR91" s="729"/>
      <c r="BS91" s="695"/>
      <c r="BT91" s="696"/>
      <c r="BU91" s="729"/>
      <c r="BV91" s="695"/>
      <c r="BW91" s="696"/>
      <c r="BX91" s="729"/>
      <c r="BY91" s="695"/>
      <c r="BZ91" s="696"/>
      <c r="CA91" s="729"/>
      <c r="CB91" s="720">
        <f t="shared" si="27"/>
        <v>0</v>
      </c>
      <c r="CC91" s="721">
        <f t="shared" si="28"/>
        <v>0</v>
      </c>
      <c r="CD91" s="738"/>
      <c r="CE91" s="323"/>
      <c r="CF91" s="323"/>
      <c r="CG91" s="323"/>
      <c r="CH91" s="323"/>
      <c r="CI91" s="323"/>
      <c r="CJ91" s="323"/>
      <c r="CK91" s="323"/>
      <c r="CL91" s="323"/>
      <c r="CM91" s="323"/>
      <c r="CN91" s="323"/>
      <c r="CO91" s="323"/>
      <c r="CP91" s="323"/>
      <c r="CQ91" s="355">
        <f t="shared" si="29"/>
        <v>0</v>
      </c>
      <c r="CR91" s="356"/>
      <c r="CS91" s="357"/>
      <c r="CT91" s="332">
        <f>800000000*12</f>
        <v>9600000000</v>
      </c>
      <c r="CU91" s="358">
        <f>800000000*12</f>
        <v>9600000000</v>
      </c>
      <c r="CV91" s="57" t="s">
        <v>38</v>
      </c>
    </row>
    <row r="92" spans="1:100" ht="15" customHeight="1" outlineLevel="2">
      <c r="A92" s="296"/>
      <c r="B92" s="277" t="str">
        <f t="shared" si="30"/>
        <v>PACK JAKARTAPACKAGECITA RASA PRIMA</v>
      </c>
      <c r="C92" s="276" t="s">
        <v>36</v>
      </c>
      <c r="D92" s="297" t="s">
        <v>121</v>
      </c>
      <c r="E92" s="287" t="s">
        <v>130</v>
      </c>
      <c r="F92" s="287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6">
        <f t="shared" si="34"/>
        <v>0</v>
      </c>
      <c r="X92" s="55"/>
      <c r="Y92" s="67"/>
      <c r="Z92" s="67"/>
      <c r="AA92" s="67"/>
      <c r="AB92" s="67"/>
      <c r="AC92" s="67"/>
      <c r="AD92" s="67"/>
      <c r="AE92" s="67"/>
      <c r="AF92" s="67"/>
      <c r="AG92" s="67"/>
      <c r="AH92" s="67"/>
      <c r="AI92" s="67"/>
      <c r="AJ92" s="67"/>
      <c r="AK92" s="61">
        <v>0</v>
      </c>
      <c r="AL92" s="55"/>
      <c r="AM92" s="67"/>
      <c r="AN92" s="67"/>
      <c r="AO92" s="67"/>
      <c r="AP92" s="67"/>
      <c r="AQ92" s="67"/>
      <c r="AR92" s="67"/>
      <c r="AS92" s="67"/>
      <c r="AT92" s="67"/>
      <c r="AU92" s="67"/>
      <c r="AV92" s="67"/>
      <c r="AW92" s="67"/>
      <c r="AX92" s="67"/>
      <c r="AY92" s="122">
        <v>0</v>
      </c>
      <c r="AZ92" s="55"/>
      <c r="BA92" s="639"/>
      <c r="BB92" s="639">
        <v>0</v>
      </c>
      <c r="BC92" s="86"/>
      <c r="BD92" s="639">
        <v>0</v>
      </c>
      <c r="BE92" s="86"/>
      <c r="BF92" s="639">
        <v>0</v>
      </c>
      <c r="BG92" s="86">
        <v>0</v>
      </c>
      <c r="BH92" s="639"/>
      <c r="BI92" s="86">
        <v>0</v>
      </c>
      <c r="BJ92" s="639"/>
      <c r="BK92" s="86">
        <v>0</v>
      </c>
      <c r="BL92" s="639"/>
      <c r="BM92" s="86"/>
      <c r="BN92" s="695"/>
      <c r="BO92" s="696"/>
      <c r="BP92" s="695"/>
      <c r="BQ92" s="696"/>
      <c r="BR92" s="729">
        <v>0</v>
      </c>
      <c r="BS92" s="695"/>
      <c r="BT92" s="696">
        <v>30000000</v>
      </c>
      <c r="BU92" s="729">
        <v>0</v>
      </c>
      <c r="BV92" s="695"/>
      <c r="BW92" s="696">
        <v>30000000</v>
      </c>
      <c r="BX92" s="729">
        <v>50000000</v>
      </c>
      <c r="BY92" s="695"/>
      <c r="BZ92" s="696">
        <v>30000000</v>
      </c>
      <c r="CA92" s="729">
        <v>50000000</v>
      </c>
      <c r="CB92" s="720">
        <f t="shared" si="27"/>
        <v>100000000</v>
      </c>
      <c r="CC92" s="721">
        <f t="shared" si="28"/>
        <v>100000000</v>
      </c>
      <c r="CD92" s="738"/>
      <c r="CE92" s="323"/>
      <c r="CF92" s="323"/>
      <c r="CG92" s="323"/>
      <c r="CH92" s="323"/>
      <c r="CI92" s="323"/>
      <c r="CJ92" s="323"/>
      <c r="CK92" s="323"/>
      <c r="CL92" s="323"/>
      <c r="CM92" s="323"/>
      <c r="CN92" s="323"/>
      <c r="CO92" s="323"/>
      <c r="CP92" s="323"/>
      <c r="CQ92" s="355">
        <f t="shared" si="29"/>
        <v>0</v>
      </c>
      <c r="CR92" s="356"/>
      <c r="CS92" s="357">
        <f>100000000*12</f>
        <v>1200000000</v>
      </c>
      <c r="CT92" s="332">
        <f>CS92*1.1</f>
        <v>1320000000</v>
      </c>
      <c r="CU92" s="358">
        <f>CT92*1.1</f>
        <v>1452000000</v>
      </c>
      <c r="CV92" s="57" t="s">
        <v>38</v>
      </c>
    </row>
    <row r="93" spans="1:100" ht="15" customHeight="1" outlineLevel="2">
      <c r="A93" s="296"/>
      <c r="B93" s="277" t="str">
        <f t="shared" si="30"/>
        <v>PACK JAKARTAPACKAGEDANONE GUNUNG PUTRI</v>
      </c>
      <c r="C93" s="276" t="s">
        <v>36</v>
      </c>
      <c r="D93" s="297" t="s">
        <v>121</v>
      </c>
      <c r="E93" s="287" t="s">
        <v>131</v>
      </c>
      <c r="F93" s="287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6">
        <f t="shared" si="34"/>
        <v>0</v>
      </c>
      <c r="X93" s="55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1">
        <v>0</v>
      </c>
      <c r="AL93" s="55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122">
        <v>0</v>
      </c>
      <c r="AZ93" s="55"/>
      <c r="BA93" s="639"/>
      <c r="BB93" s="639">
        <v>0</v>
      </c>
      <c r="BC93" s="86"/>
      <c r="BD93" s="639">
        <v>0</v>
      </c>
      <c r="BE93" s="86"/>
      <c r="BF93" s="639">
        <v>0</v>
      </c>
      <c r="BG93" s="86">
        <v>0</v>
      </c>
      <c r="BH93" s="639"/>
      <c r="BI93" s="86">
        <v>0</v>
      </c>
      <c r="BJ93" s="639"/>
      <c r="BK93" s="86">
        <v>0</v>
      </c>
      <c r="BL93" s="639"/>
      <c r="BM93" s="86"/>
      <c r="BN93" s="695"/>
      <c r="BO93" s="696"/>
      <c r="BP93" s="695"/>
      <c r="BQ93" s="696"/>
      <c r="BR93" s="729"/>
      <c r="BS93" s="695"/>
      <c r="BT93" s="696"/>
      <c r="BU93" s="729"/>
      <c r="BV93" s="695"/>
      <c r="BW93" s="696"/>
      <c r="BX93" s="729"/>
      <c r="BY93" s="695"/>
      <c r="BZ93" s="696"/>
      <c r="CA93" s="729"/>
      <c r="CB93" s="720">
        <f t="shared" si="27"/>
        <v>0</v>
      </c>
      <c r="CC93" s="721">
        <f t="shared" si="28"/>
        <v>0</v>
      </c>
      <c r="CD93" s="738"/>
      <c r="CE93" s="323"/>
      <c r="CF93" s="323"/>
      <c r="CG93" s="323"/>
      <c r="CH93" s="323"/>
      <c r="CI93" s="323"/>
      <c r="CJ93" s="323"/>
      <c r="CK93" s="323"/>
      <c r="CL93" s="323"/>
      <c r="CM93" s="323"/>
      <c r="CN93" s="323"/>
      <c r="CO93" s="323"/>
      <c r="CP93" s="323"/>
      <c r="CQ93" s="355">
        <f t="shared" si="29"/>
        <v>0</v>
      </c>
      <c r="CR93" s="356">
        <f>450000000*12</f>
        <v>5400000000</v>
      </c>
      <c r="CS93" s="357">
        <f>CR93*1.15</f>
        <v>6209999999.999999</v>
      </c>
      <c r="CT93" s="332">
        <f>CS93*1.15</f>
        <v>7141499999.9999981</v>
      </c>
      <c r="CU93" s="358">
        <f>CT93*1.15</f>
        <v>8212724999.9999971</v>
      </c>
      <c r="CV93" s="57" t="s">
        <v>38</v>
      </c>
    </row>
    <row r="94" spans="1:100" ht="15" customHeight="1" outlineLevel="2">
      <c r="A94" s="296"/>
      <c r="B94" s="277" t="str">
        <f t="shared" si="30"/>
        <v>PACK JAKARTAPACKAGEGARUDA FOOD</v>
      </c>
      <c r="C94" s="276" t="s">
        <v>36</v>
      </c>
      <c r="D94" s="297" t="s">
        <v>121</v>
      </c>
      <c r="E94" s="287" t="s">
        <v>132</v>
      </c>
      <c r="F94" s="298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6">
        <f t="shared" si="34"/>
        <v>0</v>
      </c>
      <c r="X94" s="55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61">
        <v>0</v>
      </c>
      <c r="AL94" s="55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122">
        <v>0</v>
      </c>
      <c r="AZ94" s="55"/>
      <c r="BA94" s="639"/>
      <c r="BB94" s="639">
        <v>0</v>
      </c>
      <c r="BC94" s="86"/>
      <c r="BD94" s="639">
        <v>0</v>
      </c>
      <c r="BE94" s="86"/>
      <c r="BF94" s="639">
        <v>0</v>
      </c>
      <c r="BG94" s="86">
        <v>0</v>
      </c>
      <c r="BH94" s="639"/>
      <c r="BI94" s="86">
        <v>0</v>
      </c>
      <c r="BJ94" s="639"/>
      <c r="BK94" s="86">
        <v>0</v>
      </c>
      <c r="BL94" s="639"/>
      <c r="BM94" s="86"/>
      <c r="BN94" s="695"/>
      <c r="BO94" s="696"/>
      <c r="BP94" s="695"/>
      <c r="BQ94" s="696"/>
      <c r="BR94" s="729"/>
      <c r="BS94" s="695"/>
      <c r="BT94" s="696"/>
      <c r="BU94" s="729"/>
      <c r="BV94" s="695"/>
      <c r="BW94" s="696"/>
      <c r="BX94" s="729"/>
      <c r="BY94" s="695"/>
      <c r="BZ94" s="696"/>
      <c r="CA94" s="729"/>
      <c r="CB94" s="720">
        <f t="shared" si="27"/>
        <v>0</v>
      </c>
      <c r="CC94" s="721">
        <f t="shared" si="28"/>
        <v>0</v>
      </c>
      <c r="CD94" s="738"/>
      <c r="CE94" s="323"/>
      <c r="CF94" s="323"/>
      <c r="CG94" s="323"/>
      <c r="CH94" s="323"/>
      <c r="CI94" s="323"/>
      <c r="CJ94" s="323"/>
      <c r="CK94" s="323"/>
      <c r="CL94" s="323"/>
      <c r="CM94" s="323"/>
      <c r="CN94" s="323"/>
      <c r="CO94" s="323"/>
      <c r="CP94" s="323"/>
      <c r="CQ94" s="355">
        <f t="shared" si="29"/>
        <v>0</v>
      </c>
      <c r="CR94" s="356"/>
      <c r="CS94" s="357"/>
      <c r="CT94" s="332">
        <f>500000000*12</f>
        <v>6000000000</v>
      </c>
      <c r="CU94" s="358">
        <f>500000000*12</f>
        <v>6000000000</v>
      </c>
      <c r="CV94" s="57" t="s">
        <v>38</v>
      </c>
    </row>
    <row r="95" spans="1:100" ht="15" customHeight="1" outlineLevel="2">
      <c r="A95" s="296"/>
      <c r="B95" s="277" t="str">
        <f t="shared" si="30"/>
        <v>PACK JAKARTAPACKAGEGARUDAFOOD/MBR</v>
      </c>
      <c r="C95" s="276" t="s">
        <v>36</v>
      </c>
      <c r="D95" s="297" t="s">
        <v>121</v>
      </c>
      <c r="E95" s="287" t="s">
        <v>133</v>
      </c>
      <c r="F95" s="287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6">
        <f t="shared" si="34"/>
        <v>0</v>
      </c>
      <c r="X95" s="55"/>
      <c r="Y95" s="67"/>
      <c r="Z95" s="67"/>
      <c r="AA95" s="67"/>
      <c r="AB95" s="67"/>
      <c r="AC95" s="67"/>
      <c r="AD95" s="67"/>
      <c r="AE95" s="67"/>
      <c r="AF95" s="67"/>
      <c r="AG95" s="67"/>
      <c r="AH95" s="67"/>
      <c r="AI95" s="67"/>
      <c r="AJ95" s="67"/>
      <c r="AK95" s="61">
        <v>0</v>
      </c>
      <c r="AL95" s="55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122">
        <v>0</v>
      </c>
      <c r="AZ95" s="55"/>
      <c r="BA95" s="639"/>
      <c r="BB95" s="639">
        <v>0</v>
      </c>
      <c r="BC95" s="86"/>
      <c r="BD95" s="639">
        <v>0</v>
      </c>
      <c r="BE95" s="86"/>
      <c r="BF95" s="639">
        <v>0</v>
      </c>
      <c r="BG95" s="86">
        <v>0</v>
      </c>
      <c r="BH95" s="639"/>
      <c r="BI95" s="86">
        <v>0</v>
      </c>
      <c r="BJ95" s="639"/>
      <c r="BK95" s="86">
        <v>0</v>
      </c>
      <c r="BL95" s="639"/>
      <c r="BM95" s="86">
        <v>0</v>
      </c>
      <c r="BN95" s="695"/>
      <c r="BO95" s="696">
        <v>0</v>
      </c>
      <c r="BP95" s="695"/>
      <c r="BQ95" s="696">
        <v>0</v>
      </c>
      <c r="BR95" s="729">
        <v>0</v>
      </c>
      <c r="BS95" s="695"/>
      <c r="BT95" s="696">
        <v>0</v>
      </c>
      <c r="BU95" s="729">
        <v>0</v>
      </c>
      <c r="BV95" s="695"/>
      <c r="BW95" s="696">
        <v>0</v>
      </c>
      <c r="BX95" s="729">
        <v>0</v>
      </c>
      <c r="BY95" s="695"/>
      <c r="BZ95" s="696">
        <v>0</v>
      </c>
      <c r="CA95" s="729">
        <v>0</v>
      </c>
      <c r="CB95" s="720">
        <f t="shared" si="27"/>
        <v>0</v>
      </c>
      <c r="CC95" s="721">
        <f t="shared" si="28"/>
        <v>0</v>
      </c>
      <c r="CD95" s="738"/>
      <c r="CE95" s="323"/>
      <c r="CF95" s="323"/>
      <c r="CG95" s="323"/>
      <c r="CH95" s="323"/>
      <c r="CI95" s="323"/>
      <c r="CJ95" s="323"/>
      <c r="CK95" s="323"/>
      <c r="CL95" s="323"/>
      <c r="CM95" s="323"/>
      <c r="CN95" s="323"/>
      <c r="CO95" s="323"/>
      <c r="CP95" s="323"/>
      <c r="CQ95" s="355">
        <f t="shared" si="29"/>
        <v>0</v>
      </c>
      <c r="CR95" s="356">
        <f>CQ95*1.1</f>
        <v>0</v>
      </c>
      <c r="CS95" s="357">
        <f>CR95*1.12</f>
        <v>0</v>
      </c>
      <c r="CT95" s="332">
        <f>(CS95*1.15)-594407527.602613</f>
        <v>-594407527.60261297</v>
      </c>
      <c r="CU95" s="358">
        <f>(CT95*1.15)-594407527.602613</f>
        <v>-1277976184.3456178</v>
      </c>
      <c r="CV95" s="57" t="s">
        <v>38</v>
      </c>
    </row>
    <row r="96" spans="1:100" ht="15" customHeight="1" outlineLevel="2">
      <c r="A96" s="296"/>
      <c r="C96" s="276" t="s">
        <v>36</v>
      </c>
      <c r="D96" s="297" t="s">
        <v>121</v>
      </c>
      <c r="E96" s="276" t="s">
        <v>134</v>
      </c>
      <c r="F96" s="298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6"/>
      <c r="X96" s="55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61"/>
      <c r="AL96" s="55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122"/>
      <c r="AZ96" s="55"/>
      <c r="BA96" s="639"/>
      <c r="BB96" s="639"/>
      <c r="BC96" s="86"/>
      <c r="BD96" s="639"/>
      <c r="BE96" s="86"/>
      <c r="BF96" s="639"/>
      <c r="BG96" s="86"/>
      <c r="BH96" s="639"/>
      <c r="BI96" s="86"/>
      <c r="BJ96" s="639"/>
      <c r="BK96" s="86"/>
      <c r="BL96" s="639"/>
      <c r="BM96" s="86">
        <v>30000000</v>
      </c>
      <c r="BN96" s="695"/>
      <c r="BO96" s="696">
        <v>30000000</v>
      </c>
      <c r="BP96" s="695"/>
      <c r="BQ96" s="696">
        <v>30000000</v>
      </c>
      <c r="BR96" s="729">
        <v>30000000</v>
      </c>
      <c r="BS96" s="695"/>
      <c r="BT96" s="696">
        <v>30000000</v>
      </c>
      <c r="BU96" s="729">
        <v>30000000</v>
      </c>
      <c r="BV96" s="695"/>
      <c r="BW96" s="696">
        <v>30000000</v>
      </c>
      <c r="BX96" s="729">
        <v>30000000</v>
      </c>
      <c r="BY96" s="695"/>
      <c r="BZ96" s="696">
        <v>30000000</v>
      </c>
      <c r="CA96" s="729">
        <v>30000000</v>
      </c>
      <c r="CB96" s="720">
        <f t="shared" si="27"/>
        <v>120000000</v>
      </c>
      <c r="CC96" s="721">
        <f t="shared" si="28"/>
        <v>120000000</v>
      </c>
      <c r="CD96" s="738"/>
      <c r="CE96" s="323"/>
      <c r="CF96" s="323"/>
      <c r="CG96" s="323"/>
      <c r="CH96" s="323"/>
      <c r="CI96" s="323"/>
      <c r="CJ96" s="323"/>
      <c r="CK96" s="323"/>
      <c r="CL96" s="323"/>
      <c r="CM96" s="323"/>
      <c r="CN96" s="323"/>
      <c r="CO96" s="323"/>
      <c r="CP96" s="323"/>
      <c r="CQ96" s="355">
        <f t="shared" si="29"/>
        <v>0</v>
      </c>
      <c r="CR96" s="356"/>
      <c r="CS96" s="357"/>
      <c r="CT96" s="332"/>
      <c r="CU96" s="358"/>
      <c r="CV96" s="57" t="s">
        <v>38</v>
      </c>
    </row>
    <row r="97" spans="1:101" ht="15" customHeight="1" outlineLevel="2">
      <c r="A97" s="276" t="s">
        <v>39</v>
      </c>
      <c r="B97" s="277" t="str">
        <f>$E$7&amp;$E$6&amp;E97</f>
        <v>PACK JAKARTAPACKAGEINDO THAI TRADING</v>
      </c>
      <c r="C97" s="276" t="s">
        <v>36</v>
      </c>
      <c r="D97" s="297" t="s">
        <v>121</v>
      </c>
      <c r="E97" s="287" t="s">
        <v>135</v>
      </c>
      <c r="F97" s="287"/>
      <c r="G97" s="65"/>
      <c r="H97" s="65"/>
      <c r="I97" s="65"/>
      <c r="J97" s="65"/>
      <c r="K97" s="65"/>
      <c r="L97" s="65"/>
      <c r="M97" s="65"/>
      <c r="N97" s="65"/>
      <c r="O97" s="65"/>
      <c r="P97" s="65"/>
      <c r="T97" s="65"/>
      <c r="U97" s="65"/>
      <c r="V97" s="65"/>
      <c r="W97" s="66">
        <f>SUM(H97:S97)</f>
        <v>0</v>
      </c>
      <c r="X97" s="55"/>
      <c r="Y97" s="67">
        <v>100000000</v>
      </c>
      <c r="Z97" s="67">
        <v>100000000</v>
      </c>
      <c r="AA97" s="67">
        <v>100000000</v>
      </c>
      <c r="AB97" s="67">
        <v>100000000</v>
      </c>
      <c r="AC97" s="67">
        <v>100000000</v>
      </c>
      <c r="AD97" s="67">
        <v>100000000</v>
      </c>
      <c r="AE97" s="67">
        <v>100000000</v>
      </c>
      <c r="AF97" s="67">
        <v>100000000</v>
      </c>
      <c r="AG97" s="67">
        <v>100000000</v>
      </c>
      <c r="AH97" s="67">
        <v>100000000</v>
      </c>
      <c r="AI97" s="67">
        <v>100000000</v>
      </c>
      <c r="AJ97" s="67">
        <v>100000000</v>
      </c>
      <c r="AK97" s="61">
        <v>1200000000</v>
      </c>
      <c r="AL97" s="55"/>
      <c r="AM97" s="67">
        <v>100000000</v>
      </c>
      <c r="AN97" s="67">
        <v>100000000</v>
      </c>
      <c r="AO97" s="67">
        <v>100000000</v>
      </c>
      <c r="AP97" s="67">
        <v>100000000</v>
      </c>
      <c r="AQ97" s="67">
        <v>100000000</v>
      </c>
      <c r="AR97" s="67">
        <v>100000000</v>
      </c>
      <c r="AS97" s="67">
        <v>100000000</v>
      </c>
      <c r="AT97" s="67">
        <v>100000000</v>
      </c>
      <c r="AU97" s="67">
        <v>100000000</v>
      </c>
      <c r="AV97" s="67">
        <v>100000000</v>
      </c>
      <c r="AW97" s="67">
        <v>100000000</v>
      </c>
      <c r="AX97" s="67">
        <v>100000000</v>
      </c>
      <c r="AY97" s="122">
        <v>1200000000</v>
      </c>
      <c r="AZ97" s="55"/>
      <c r="BA97" s="639">
        <v>0</v>
      </c>
      <c r="BB97" s="639">
        <v>0</v>
      </c>
      <c r="BC97" s="86"/>
      <c r="BD97" s="639">
        <v>0</v>
      </c>
      <c r="BE97" s="86"/>
      <c r="BF97" s="639">
        <v>0</v>
      </c>
      <c r="BG97" s="86">
        <v>0</v>
      </c>
      <c r="BH97" s="639"/>
      <c r="BI97" s="86">
        <v>0</v>
      </c>
      <c r="BJ97" s="639"/>
      <c r="BK97" s="86">
        <v>0</v>
      </c>
      <c r="BL97" s="639"/>
      <c r="BM97" s="86">
        <v>0</v>
      </c>
      <c r="BN97" s="695"/>
      <c r="BO97" s="696">
        <v>0</v>
      </c>
      <c r="BP97" s="695"/>
      <c r="BQ97" s="696">
        <v>0</v>
      </c>
      <c r="BR97" s="729">
        <v>0</v>
      </c>
      <c r="BS97" s="695"/>
      <c r="BT97" s="696">
        <v>0</v>
      </c>
      <c r="BU97" s="729">
        <v>0</v>
      </c>
      <c r="BV97" s="695"/>
      <c r="BW97" s="696">
        <v>0</v>
      </c>
      <c r="BX97" s="729">
        <v>0</v>
      </c>
      <c r="BY97" s="695"/>
      <c r="BZ97" s="696">
        <v>0</v>
      </c>
      <c r="CA97" s="729">
        <v>0</v>
      </c>
      <c r="CB97" s="720">
        <f t="shared" si="27"/>
        <v>0</v>
      </c>
      <c r="CC97" s="721">
        <f t="shared" si="28"/>
        <v>0</v>
      </c>
      <c r="CD97" s="738"/>
      <c r="CE97" s="323"/>
      <c r="CF97" s="323"/>
      <c r="CG97" s="323"/>
      <c r="CH97" s="323"/>
      <c r="CI97" s="323"/>
      <c r="CJ97" s="323"/>
      <c r="CK97" s="323"/>
      <c r="CL97" s="323"/>
      <c r="CM97" s="323"/>
      <c r="CN97" s="323"/>
      <c r="CO97" s="323"/>
      <c r="CP97" s="323"/>
      <c r="CQ97" s="355">
        <f t="shared" si="29"/>
        <v>0</v>
      </c>
      <c r="CR97" s="356">
        <f>CQ97*1.17</f>
        <v>0</v>
      </c>
      <c r="CS97" s="357">
        <f>CR97*1.08</f>
        <v>0</v>
      </c>
      <c r="CT97" s="332">
        <f>CS97*1.09</f>
        <v>0</v>
      </c>
      <c r="CU97" s="358">
        <f>CT97*1.09</f>
        <v>0</v>
      </c>
      <c r="CV97" s="57" t="s">
        <v>38</v>
      </c>
    </row>
    <row r="98" spans="1:101" ht="15" customHeight="1" outlineLevel="2">
      <c r="A98" s="296"/>
      <c r="C98" s="276" t="s">
        <v>36</v>
      </c>
      <c r="D98" s="297" t="s">
        <v>121</v>
      </c>
      <c r="E98" s="293" t="s">
        <v>136</v>
      </c>
      <c r="F98" s="298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6"/>
      <c r="X98" s="55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61"/>
      <c r="AL98" s="55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122"/>
      <c r="AZ98" s="55"/>
      <c r="BA98" s="639"/>
      <c r="BB98" s="639"/>
      <c r="BC98" s="86"/>
      <c r="BD98" s="639">
        <v>0</v>
      </c>
      <c r="BE98" s="86"/>
      <c r="BF98" s="639">
        <v>0</v>
      </c>
      <c r="BG98" s="86"/>
      <c r="BH98" s="639"/>
      <c r="BI98" s="86"/>
      <c r="BJ98" s="639"/>
      <c r="BK98" s="86">
        <v>50000000</v>
      </c>
      <c r="BL98" s="639"/>
      <c r="BM98" s="86">
        <v>50000000</v>
      </c>
      <c r="BN98" s="695"/>
      <c r="BO98" s="696">
        <v>100000000</v>
      </c>
      <c r="BP98" s="695"/>
      <c r="BQ98" s="696">
        <v>100000000</v>
      </c>
      <c r="BR98" s="729">
        <v>25000000</v>
      </c>
      <c r="BS98" s="695"/>
      <c r="BT98" s="696">
        <v>100000000</v>
      </c>
      <c r="BU98" s="729">
        <v>50000000</v>
      </c>
      <c r="BV98" s="695"/>
      <c r="BW98" s="696">
        <v>100000000</v>
      </c>
      <c r="BX98" s="729">
        <v>75000000</v>
      </c>
      <c r="BY98" s="695"/>
      <c r="BZ98" s="696">
        <v>100000000</v>
      </c>
      <c r="CA98" s="729">
        <v>100000000</v>
      </c>
      <c r="CB98" s="720">
        <f t="shared" si="27"/>
        <v>250000000</v>
      </c>
      <c r="CC98" s="721">
        <f t="shared" si="28"/>
        <v>250000000</v>
      </c>
      <c r="CD98" s="738"/>
      <c r="CE98" s="323"/>
      <c r="CF98" s="323"/>
      <c r="CG98" s="323"/>
      <c r="CH98" s="323"/>
      <c r="CI98" s="323"/>
      <c r="CJ98" s="323"/>
      <c r="CK98" s="323"/>
      <c r="CL98" s="323"/>
      <c r="CM98" s="323"/>
      <c r="CN98" s="323"/>
      <c r="CO98" s="323"/>
      <c r="CP98" s="323"/>
      <c r="CQ98" s="355">
        <f t="shared" si="29"/>
        <v>0</v>
      </c>
      <c r="CR98" s="356"/>
      <c r="CS98" s="357"/>
      <c r="CT98" s="332"/>
      <c r="CU98" s="358"/>
      <c r="CV98" s="57" t="s">
        <v>38</v>
      </c>
    </row>
    <row r="99" spans="1:101" ht="15" customHeight="1" outlineLevel="2">
      <c r="A99" s="276" t="s">
        <v>43</v>
      </c>
      <c r="B99" s="277" t="str">
        <f>$E$7&amp;$E$6&amp;E99</f>
        <v>PACK JAKARTAPACKAGEKOMUNIKASI JEJALA INDONESIA</v>
      </c>
      <c r="C99" s="276" t="s">
        <v>36</v>
      </c>
      <c r="D99" s="297" t="s">
        <v>121</v>
      </c>
      <c r="E99" s="287" t="s">
        <v>137</v>
      </c>
      <c r="F99" s="287"/>
      <c r="G99" s="63"/>
      <c r="H99" s="65"/>
      <c r="I99" s="65"/>
      <c r="J99" s="65"/>
      <c r="K99" s="65"/>
      <c r="L99" s="65"/>
      <c r="M99" s="65"/>
      <c r="N99" s="65"/>
      <c r="O99" s="65"/>
      <c r="P99" s="65"/>
      <c r="T99" s="69"/>
      <c r="U99" s="69"/>
      <c r="V99" s="69"/>
      <c r="W99" s="66"/>
      <c r="X99" s="55"/>
      <c r="Y99" s="67">
        <f t="shared" ref="Y99:AJ99" si="35">25000000/3</f>
        <v>8333333.333333333</v>
      </c>
      <c r="Z99" s="67">
        <f t="shared" si="35"/>
        <v>8333333.333333333</v>
      </c>
      <c r="AA99" s="67">
        <f t="shared" si="35"/>
        <v>8333333.333333333</v>
      </c>
      <c r="AB99" s="67">
        <f t="shared" si="35"/>
        <v>8333333.333333333</v>
      </c>
      <c r="AC99" s="67">
        <f t="shared" si="35"/>
        <v>8333333.333333333</v>
      </c>
      <c r="AD99" s="67">
        <f t="shared" si="35"/>
        <v>8333333.333333333</v>
      </c>
      <c r="AE99" s="67">
        <f t="shared" si="35"/>
        <v>8333333.333333333</v>
      </c>
      <c r="AF99" s="67">
        <f t="shared" si="35"/>
        <v>8333333.333333333</v>
      </c>
      <c r="AG99" s="67">
        <f t="shared" si="35"/>
        <v>8333333.333333333</v>
      </c>
      <c r="AH99" s="67">
        <f t="shared" si="35"/>
        <v>8333333.333333333</v>
      </c>
      <c r="AI99" s="67">
        <f t="shared" si="35"/>
        <v>8333333.333333333</v>
      </c>
      <c r="AJ99" s="67">
        <f t="shared" si="35"/>
        <v>8333333.333333333</v>
      </c>
      <c r="AK99" s="61">
        <v>99999999.999999985</v>
      </c>
      <c r="AL99" s="55"/>
      <c r="AM99" s="67">
        <f t="shared" ref="AM99:AX99" si="36">25000000/3</f>
        <v>8333333.333333333</v>
      </c>
      <c r="AN99" s="67">
        <f t="shared" si="36"/>
        <v>8333333.333333333</v>
      </c>
      <c r="AO99" s="67">
        <f t="shared" si="36"/>
        <v>8333333.333333333</v>
      </c>
      <c r="AP99" s="67">
        <f t="shared" si="36"/>
        <v>8333333.333333333</v>
      </c>
      <c r="AQ99" s="67">
        <f t="shared" si="36"/>
        <v>8333333.333333333</v>
      </c>
      <c r="AR99" s="67">
        <f t="shared" si="36"/>
        <v>8333333.333333333</v>
      </c>
      <c r="AS99" s="67">
        <f t="shared" si="36"/>
        <v>8333333.333333333</v>
      </c>
      <c r="AT99" s="67">
        <f t="shared" si="36"/>
        <v>8333333.333333333</v>
      </c>
      <c r="AU99" s="67">
        <f t="shared" si="36"/>
        <v>8333333.333333333</v>
      </c>
      <c r="AV99" s="67">
        <f t="shared" si="36"/>
        <v>8333333.333333333</v>
      </c>
      <c r="AW99" s="67">
        <f t="shared" si="36"/>
        <v>8333333.333333333</v>
      </c>
      <c r="AX99" s="67">
        <f t="shared" si="36"/>
        <v>8333333.333333333</v>
      </c>
      <c r="AY99" s="122">
        <v>99999999.999999985</v>
      </c>
      <c r="AZ99" s="55"/>
      <c r="BA99" s="639">
        <v>0</v>
      </c>
      <c r="BB99" s="639">
        <v>0</v>
      </c>
      <c r="BC99" s="86"/>
      <c r="BD99" s="639">
        <v>0</v>
      </c>
      <c r="BE99" s="86"/>
      <c r="BF99" s="639">
        <v>0</v>
      </c>
      <c r="BG99" s="86">
        <v>7000000</v>
      </c>
      <c r="BH99" s="639"/>
      <c r="BI99" s="86">
        <v>7000000</v>
      </c>
      <c r="BJ99" s="639"/>
      <c r="BK99" s="86">
        <v>7000000</v>
      </c>
      <c r="BL99" s="639"/>
      <c r="BM99" s="86">
        <v>7000000</v>
      </c>
      <c r="BN99" s="695"/>
      <c r="BO99" s="696">
        <v>7000000</v>
      </c>
      <c r="BP99" s="695"/>
      <c r="BQ99" s="696">
        <v>7000000</v>
      </c>
      <c r="BR99" s="729">
        <v>0</v>
      </c>
      <c r="BS99" s="695"/>
      <c r="BT99" s="696">
        <v>7000000</v>
      </c>
      <c r="BU99" s="729">
        <v>0</v>
      </c>
      <c r="BV99" s="695"/>
      <c r="BW99" s="696">
        <v>7000000</v>
      </c>
      <c r="BX99" s="729">
        <v>7000000</v>
      </c>
      <c r="BY99" s="695"/>
      <c r="BZ99" s="696">
        <v>7000000</v>
      </c>
      <c r="CA99" s="729">
        <v>7000000</v>
      </c>
      <c r="CB99" s="720">
        <f t="shared" si="27"/>
        <v>14000000</v>
      </c>
      <c r="CC99" s="721">
        <f t="shared" si="28"/>
        <v>14000000</v>
      </c>
      <c r="CD99" s="738"/>
      <c r="CE99" s="323"/>
      <c r="CF99" s="323"/>
      <c r="CG99" s="323"/>
      <c r="CH99" s="323"/>
      <c r="CI99" s="323"/>
      <c r="CJ99" s="323"/>
      <c r="CK99" s="323"/>
      <c r="CL99" s="323"/>
      <c r="CM99" s="323"/>
      <c r="CN99" s="323"/>
      <c r="CO99" s="323"/>
      <c r="CP99" s="323"/>
      <c r="CQ99" s="355">
        <f t="shared" si="29"/>
        <v>0</v>
      </c>
      <c r="CR99" s="356">
        <f>CQ99*1.17</f>
        <v>0</v>
      </c>
      <c r="CS99" s="357">
        <f>CR99*1.08</f>
        <v>0</v>
      </c>
      <c r="CT99" s="332">
        <f>CS99*1.09</f>
        <v>0</v>
      </c>
      <c r="CU99" s="358">
        <f>CT99*1.09</f>
        <v>0</v>
      </c>
      <c r="CV99" s="57" t="s">
        <v>38</v>
      </c>
    </row>
    <row r="100" spans="1:101" ht="15" customHeight="1" outlineLevel="2">
      <c r="A100" s="296"/>
      <c r="C100" s="276" t="s">
        <v>36</v>
      </c>
      <c r="D100" s="297" t="s">
        <v>121</v>
      </c>
      <c r="E100" s="276" t="s">
        <v>138</v>
      </c>
      <c r="F100" s="298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6"/>
      <c r="X100" s="55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61"/>
      <c r="AL100" s="55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122"/>
      <c r="AZ100" s="55"/>
      <c r="BA100" s="639"/>
      <c r="BB100" s="639"/>
      <c r="BC100" s="86"/>
      <c r="BD100" s="639"/>
      <c r="BE100" s="86"/>
      <c r="BF100" s="639"/>
      <c r="BG100" s="86"/>
      <c r="BH100" s="639"/>
      <c r="BI100" s="86"/>
      <c r="BJ100" s="639"/>
      <c r="BK100" s="86"/>
      <c r="BL100" s="639"/>
      <c r="BM100" s="86"/>
      <c r="BN100" s="695"/>
      <c r="BO100" s="696"/>
      <c r="BP100" s="695"/>
      <c r="BQ100" s="696"/>
      <c r="BR100" s="729">
        <v>0</v>
      </c>
      <c r="BS100" s="695"/>
      <c r="BT100" s="696">
        <v>600000000</v>
      </c>
      <c r="BU100" s="729">
        <v>0</v>
      </c>
      <c r="BV100" s="695"/>
      <c r="BW100" s="696">
        <v>600000000</v>
      </c>
      <c r="BX100" s="729"/>
      <c r="BY100" s="695"/>
      <c r="BZ100" s="696">
        <v>600000000</v>
      </c>
      <c r="CA100" s="729"/>
      <c r="CB100" s="720">
        <f t="shared" si="27"/>
        <v>0</v>
      </c>
      <c r="CC100" s="721">
        <f t="shared" si="28"/>
        <v>0</v>
      </c>
      <c r="CD100" s="738"/>
      <c r="CE100" s="323"/>
      <c r="CF100" s="323"/>
      <c r="CG100" s="323"/>
      <c r="CH100" s="323"/>
      <c r="CI100" s="323"/>
      <c r="CJ100" s="323"/>
      <c r="CK100" s="323"/>
      <c r="CL100" s="323"/>
      <c r="CM100" s="323"/>
      <c r="CN100" s="323"/>
      <c r="CO100" s="323"/>
      <c r="CP100" s="323"/>
      <c r="CQ100" s="355">
        <f t="shared" si="29"/>
        <v>0</v>
      </c>
      <c r="CR100" s="356"/>
      <c r="CS100" s="357"/>
      <c r="CT100" s="332"/>
      <c r="CU100" s="358"/>
      <c r="CV100" s="57" t="s">
        <v>38</v>
      </c>
    </row>
    <row r="101" spans="1:101" ht="15" customHeight="1" outlineLevel="2">
      <c r="A101" s="296"/>
      <c r="C101" s="276" t="s">
        <v>36</v>
      </c>
      <c r="D101" s="297" t="s">
        <v>121</v>
      </c>
      <c r="E101" s="276" t="s">
        <v>139</v>
      </c>
      <c r="F101" s="298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6"/>
      <c r="X101" s="55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61"/>
      <c r="AL101" s="55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122"/>
      <c r="AZ101" s="55"/>
      <c r="BA101" s="639"/>
      <c r="BB101" s="639"/>
      <c r="BC101" s="86"/>
      <c r="BD101" s="639"/>
      <c r="BE101" s="86"/>
      <c r="BF101" s="639"/>
      <c r="BG101" s="86"/>
      <c r="BH101" s="639"/>
      <c r="BI101" s="86"/>
      <c r="BJ101" s="639"/>
      <c r="BK101" s="86">
        <v>10000000</v>
      </c>
      <c r="BL101" s="639"/>
      <c r="BM101" s="86">
        <v>10000000</v>
      </c>
      <c r="BN101" s="695"/>
      <c r="BO101" s="696">
        <v>10000000</v>
      </c>
      <c r="BP101" s="695"/>
      <c r="BQ101" s="696">
        <v>10000000</v>
      </c>
      <c r="BR101" s="729">
        <v>10000000</v>
      </c>
      <c r="BS101" s="695"/>
      <c r="BT101" s="696">
        <v>10000000</v>
      </c>
      <c r="BU101" s="729">
        <v>10000000</v>
      </c>
      <c r="BV101" s="695"/>
      <c r="BW101" s="696">
        <v>10000000</v>
      </c>
      <c r="BX101" s="729">
        <v>10000000</v>
      </c>
      <c r="BY101" s="695"/>
      <c r="BZ101" s="696">
        <v>10000000</v>
      </c>
      <c r="CA101" s="729">
        <v>10000000</v>
      </c>
      <c r="CB101" s="720">
        <f t="shared" si="27"/>
        <v>40000000</v>
      </c>
      <c r="CC101" s="721">
        <f t="shared" si="28"/>
        <v>40000000</v>
      </c>
      <c r="CD101" s="738"/>
      <c r="CE101" s="323"/>
      <c r="CF101" s="323"/>
      <c r="CG101" s="323"/>
      <c r="CH101" s="323"/>
      <c r="CI101" s="323"/>
      <c r="CJ101" s="323"/>
      <c r="CK101" s="323"/>
      <c r="CL101" s="323"/>
      <c r="CM101" s="323"/>
      <c r="CN101" s="323"/>
      <c r="CO101" s="323"/>
      <c r="CP101" s="323"/>
      <c r="CQ101" s="355">
        <f t="shared" si="29"/>
        <v>0</v>
      </c>
      <c r="CR101" s="356"/>
      <c r="CS101" s="357"/>
      <c r="CT101" s="332"/>
      <c r="CU101" s="358"/>
      <c r="CV101" s="57" t="s">
        <v>38</v>
      </c>
    </row>
    <row r="102" spans="1:101" ht="15" customHeight="1" outlineLevel="2">
      <c r="A102" s="296"/>
      <c r="C102" s="276" t="s">
        <v>36</v>
      </c>
      <c r="D102" s="297" t="s">
        <v>121</v>
      </c>
      <c r="E102" s="276" t="s">
        <v>140</v>
      </c>
      <c r="F102" s="298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6"/>
      <c r="X102" s="55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61"/>
      <c r="AL102" s="55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122"/>
      <c r="AZ102" s="55"/>
      <c r="BA102" s="639"/>
      <c r="BB102" s="639"/>
      <c r="BC102" s="86"/>
      <c r="BD102" s="639"/>
      <c r="BE102" s="86"/>
      <c r="BF102" s="639"/>
      <c r="BG102" s="86"/>
      <c r="BH102" s="639"/>
      <c r="BI102" s="86"/>
      <c r="BJ102" s="639"/>
      <c r="BK102" s="86"/>
      <c r="BL102" s="639"/>
      <c r="BM102" s="86">
        <v>30000000</v>
      </c>
      <c r="BN102" s="695"/>
      <c r="BO102" s="696">
        <v>30000000</v>
      </c>
      <c r="BP102" s="695"/>
      <c r="BQ102" s="696">
        <v>30000000</v>
      </c>
      <c r="BR102" s="729">
        <v>30000000</v>
      </c>
      <c r="BS102" s="695"/>
      <c r="BT102" s="696"/>
      <c r="BU102" s="729"/>
      <c r="BV102" s="695"/>
      <c r="BW102" s="696"/>
      <c r="BX102" s="729"/>
      <c r="BY102" s="695"/>
      <c r="BZ102" s="696"/>
      <c r="CA102" s="729"/>
      <c r="CB102" s="720">
        <f t="shared" si="27"/>
        <v>30000000</v>
      </c>
      <c r="CC102" s="721">
        <f t="shared" si="28"/>
        <v>30000000</v>
      </c>
      <c r="CD102" s="738"/>
      <c r="CE102" s="323"/>
      <c r="CF102" s="323"/>
      <c r="CG102" s="323"/>
      <c r="CH102" s="323"/>
      <c r="CI102" s="323"/>
      <c r="CJ102" s="323"/>
      <c r="CK102" s="323"/>
      <c r="CL102" s="323"/>
      <c r="CM102" s="323"/>
      <c r="CN102" s="323"/>
      <c r="CO102" s="323"/>
      <c r="CP102" s="323"/>
      <c r="CQ102" s="355">
        <f t="shared" si="29"/>
        <v>0</v>
      </c>
      <c r="CR102" s="356"/>
      <c r="CS102" s="357"/>
      <c r="CT102" s="332"/>
      <c r="CU102" s="358"/>
      <c r="CV102" s="57" t="s">
        <v>38</v>
      </c>
    </row>
    <row r="103" spans="1:101" ht="15" customHeight="1" outlineLevel="2">
      <c r="A103" s="296"/>
      <c r="C103" s="276" t="s">
        <v>36</v>
      </c>
      <c r="D103" s="297" t="s">
        <v>121</v>
      </c>
      <c r="E103" s="299" t="s">
        <v>141</v>
      </c>
      <c r="F103" s="298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6"/>
      <c r="X103" s="55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61"/>
      <c r="AL103" s="55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122"/>
      <c r="AZ103" s="55"/>
      <c r="BA103" s="639"/>
      <c r="BB103" s="639"/>
      <c r="BC103" s="86"/>
      <c r="BD103" s="639"/>
      <c r="BE103" s="86"/>
      <c r="BF103" s="639"/>
      <c r="BG103" s="86"/>
      <c r="BH103" s="639"/>
      <c r="BI103" s="86"/>
      <c r="BJ103" s="639"/>
      <c r="BK103" s="86">
        <f>400*60000+400*40000</f>
        <v>40000000</v>
      </c>
      <c r="BL103" s="639"/>
      <c r="BM103" s="86">
        <v>60000000</v>
      </c>
      <c r="BN103" s="695"/>
      <c r="BO103" s="696">
        <v>60000000</v>
      </c>
      <c r="BP103" s="695"/>
      <c r="BQ103" s="696">
        <v>60000000</v>
      </c>
      <c r="BR103" s="729">
        <v>0</v>
      </c>
      <c r="BS103" s="695"/>
      <c r="BT103" s="696">
        <v>60000000</v>
      </c>
      <c r="BU103" s="729">
        <v>0</v>
      </c>
      <c r="BV103" s="695"/>
      <c r="BW103" s="696">
        <v>60000000</v>
      </c>
      <c r="BX103" s="729">
        <v>0</v>
      </c>
      <c r="BY103" s="695"/>
      <c r="BZ103" s="696">
        <v>60000000</v>
      </c>
      <c r="CA103" s="729">
        <v>0</v>
      </c>
      <c r="CB103" s="720">
        <f t="shared" si="27"/>
        <v>0</v>
      </c>
      <c r="CC103" s="721">
        <f t="shared" si="28"/>
        <v>0</v>
      </c>
      <c r="CD103" s="738"/>
      <c r="CE103" s="323"/>
      <c r="CF103" s="323"/>
      <c r="CG103" s="323"/>
      <c r="CH103" s="323"/>
      <c r="CI103" s="323"/>
      <c r="CJ103" s="323"/>
      <c r="CK103" s="323"/>
      <c r="CL103" s="323"/>
      <c r="CM103" s="323"/>
      <c r="CN103" s="323"/>
      <c r="CO103" s="323"/>
      <c r="CP103" s="323"/>
      <c r="CQ103" s="355">
        <f t="shared" si="29"/>
        <v>0</v>
      </c>
      <c r="CR103" s="356"/>
      <c r="CS103" s="357"/>
      <c r="CT103" s="332"/>
      <c r="CU103" s="358"/>
      <c r="CV103" s="57" t="s">
        <v>38</v>
      </c>
    </row>
    <row r="104" spans="1:101" ht="15" customHeight="1" outlineLevel="2">
      <c r="A104" s="276" t="s">
        <v>43</v>
      </c>
      <c r="B104" s="277" t="str">
        <f>$E$7&amp;$E$6&amp;E104</f>
        <v>PACK JAKARTAPACKAGENUTRICIA</v>
      </c>
      <c r="C104" s="276" t="s">
        <v>36</v>
      </c>
      <c r="D104" s="297" t="s">
        <v>121</v>
      </c>
      <c r="E104" s="287" t="s">
        <v>142</v>
      </c>
      <c r="F104" s="287"/>
      <c r="G104" s="65"/>
      <c r="H104" s="65">
        <v>0</v>
      </c>
      <c r="I104" s="65">
        <v>0</v>
      </c>
      <c r="J104" s="65">
        <v>0</v>
      </c>
      <c r="K104" s="65">
        <v>0</v>
      </c>
      <c r="L104" s="65">
        <v>0</v>
      </c>
      <c r="M104" s="65">
        <v>0</v>
      </c>
      <c r="N104" s="65">
        <v>0</v>
      </c>
      <c r="O104" s="65"/>
      <c r="P104" s="65"/>
      <c r="Q104" s="65"/>
      <c r="R104" s="65"/>
      <c r="S104" s="65"/>
      <c r="T104" s="65"/>
      <c r="U104" s="65"/>
      <c r="V104" s="65"/>
      <c r="W104" s="66">
        <f>SUM(H104:S104)</f>
        <v>0</v>
      </c>
      <c r="X104" s="55"/>
      <c r="Y104" s="67">
        <f t="shared" ref="Y104:AJ104" si="37">250000000</f>
        <v>250000000</v>
      </c>
      <c r="Z104" s="67">
        <f t="shared" si="37"/>
        <v>250000000</v>
      </c>
      <c r="AA104" s="67">
        <f t="shared" si="37"/>
        <v>250000000</v>
      </c>
      <c r="AB104" s="67">
        <f t="shared" si="37"/>
        <v>250000000</v>
      </c>
      <c r="AC104" s="67">
        <f t="shared" si="37"/>
        <v>250000000</v>
      </c>
      <c r="AD104" s="67">
        <f t="shared" si="37"/>
        <v>250000000</v>
      </c>
      <c r="AE104" s="67">
        <f t="shared" si="37"/>
        <v>250000000</v>
      </c>
      <c r="AF104" s="67">
        <f t="shared" si="37"/>
        <v>250000000</v>
      </c>
      <c r="AG104" s="67">
        <f t="shared" si="37"/>
        <v>250000000</v>
      </c>
      <c r="AH104" s="67">
        <f t="shared" si="37"/>
        <v>250000000</v>
      </c>
      <c r="AI104" s="67">
        <f t="shared" si="37"/>
        <v>250000000</v>
      </c>
      <c r="AJ104" s="67">
        <f t="shared" si="37"/>
        <v>250000000</v>
      </c>
      <c r="AK104" s="61">
        <v>3000000000</v>
      </c>
      <c r="AL104" s="55"/>
      <c r="AM104" s="67">
        <v>250000000</v>
      </c>
      <c r="AN104" s="67">
        <v>250000000</v>
      </c>
      <c r="AO104" s="67">
        <v>250000000</v>
      </c>
      <c r="AP104" s="67">
        <v>250000000</v>
      </c>
      <c r="AQ104" s="67">
        <v>250000000</v>
      </c>
      <c r="AR104" s="67">
        <v>250000000</v>
      </c>
      <c r="AS104" s="67">
        <v>250000000</v>
      </c>
      <c r="AT104" s="67">
        <v>250000000</v>
      </c>
      <c r="AU104" s="67">
        <v>250000000</v>
      </c>
      <c r="AV104" s="67">
        <v>250000000</v>
      </c>
      <c r="AW104" s="67">
        <v>250000000</v>
      </c>
      <c r="AX104" s="67">
        <v>250000000</v>
      </c>
      <c r="AY104" s="122">
        <v>3000000000</v>
      </c>
      <c r="AZ104" s="55"/>
      <c r="BA104" s="639">
        <v>0</v>
      </c>
      <c r="BB104" s="639">
        <v>0</v>
      </c>
      <c r="BC104" s="86"/>
      <c r="BD104" s="639">
        <v>0</v>
      </c>
      <c r="BE104" s="86"/>
      <c r="BF104" s="639">
        <v>0</v>
      </c>
      <c r="BG104" s="86">
        <v>0</v>
      </c>
      <c r="BH104" s="639"/>
      <c r="BI104" s="86">
        <v>0</v>
      </c>
      <c r="BJ104" s="639"/>
      <c r="BK104" s="86">
        <v>0</v>
      </c>
      <c r="BL104" s="639"/>
      <c r="BM104" s="86">
        <v>0</v>
      </c>
      <c r="BN104" s="695"/>
      <c r="BO104" s="696">
        <v>0</v>
      </c>
      <c r="BP104" s="695"/>
      <c r="BQ104" s="696">
        <v>0</v>
      </c>
      <c r="BR104" s="729">
        <v>0</v>
      </c>
      <c r="BS104" s="695"/>
      <c r="BT104" s="696">
        <v>0</v>
      </c>
      <c r="BU104" s="729">
        <v>0</v>
      </c>
      <c r="BV104" s="695"/>
      <c r="BW104" s="696">
        <v>0</v>
      </c>
      <c r="BX104" s="729">
        <v>0</v>
      </c>
      <c r="BY104" s="695"/>
      <c r="BZ104" s="696">
        <v>0</v>
      </c>
      <c r="CA104" s="729">
        <v>0</v>
      </c>
      <c r="CB104" s="720">
        <f t="shared" si="27"/>
        <v>0</v>
      </c>
      <c r="CC104" s="721">
        <f t="shared" si="28"/>
        <v>0</v>
      </c>
      <c r="CD104" s="738"/>
      <c r="CE104" s="323"/>
      <c r="CF104" s="323"/>
      <c r="CG104" s="323">
        <v>800000000</v>
      </c>
      <c r="CH104" s="323">
        <v>800000000</v>
      </c>
      <c r="CI104" s="323">
        <v>1000000000</v>
      </c>
      <c r="CJ104" s="323">
        <v>1000000000</v>
      </c>
      <c r="CK104" s="323">
        <v>1000000000</v>
      </c>
      <c r="CL104" s="323">
        <v>1000000000</v>
      </c>
      <c r="CM104" s="323">
        <v>1000000000</v>
      </c>
      <c r="CN104" s="323">
        <v>1000000000</v>
      </c>
      <c r="CO104" s="323">
        <v>1000000000</v>
      </c>
      <c r="CP104" s="323">
        <v>1000000000</v>
      </c>
      <c r="CQ104" s="355">
        <f t="shared" si="29"/>
        <v>9600000000</v>
      </c>
      <c r="CR104" s="356">
        <f>CQ104*1.17</f>
        <v>11232000000</v>
      </c>
      <c r="CS104" s="357">
        <f>CR104*1.08</f>
        <v>12130560000</v>
      </c>
      <c r="CT104" s="332">
        <f>CS104*1.09</f>
        <v>13222310400.000002</v>
      </c>
      <c r="CU104" s="358">
        <f>CT104*1.09</f>
        <v>14412318336.000004</v>
      </c>
      <c r="CV104" s="57" t="s">
        <v>38</v>
      </c>
      <c r="CW104" s="44" t="s">
        <v>143</v>
      </c>
    </row>
    <row r="105" spans="1:101" ht="15" customHeight="1" outlineLevel="2">
      <c r="A105" s="296" t="s">
        <v>43</v>
      </c>
      <c r="B105" s="277" t="str">
        <f>$E$7&amp;$E$6&amp;E105</f>
        <v>PACK JAKARTAPACKAGEPPG</v>
      </c>
      <c r="C105" s="276" t="s">
        <v>36</v>
      </c>
      <c r="D105" s="297" t="s">
        <v>121</v>
      </c>
      <c r="E105" s="287" t="s">
        <v>144</v>
      </c>
      <c r="F105" s="287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6">
        <f>SUM(H105:S105)</f>
        <v>0</v>
      </c>
      <c r="X105" s="55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1">
        <v>0</v>
      </c>
      <c r="AL105" s="55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122">
        <v>0</v>
      </c>
      <c r="AZ105" s="55"/>
      <c r="BA105" s="639"/>
      <c r="BB105" s="639">
        <v>0</v>
      </c>
      <c r="BC105" s="86"/>
      <c r="BD105" s="639">
        <v>0</v>
      </c>
      <c r="BE105" s="86"/>
      <c r="BF105" s="639">
        <v>0</v>
      </c>
      <c r="BG105" s="86">
        <v>0</v>
      </c>
      <c r="BH105" s="639"/>
      <c r="BI105" s="86">
        <v>0</v>
      </c>
      <c r="BJ105" s="639"/>
      <c r="BK105" s="86">
        <v>0</v>
      </c>
      <c r="BL105" s="639"/>
      <c r="BM105" s="86"/>
      <c r="BN105" s="695"/>
      <c r="BO105" s="696"/>
      <c r="BP105" s="695"/>
      <c r="BQ105" s="696"/>
      <c r="BR105" s="729">
        <v>0</v>
      </c>
      <c r="BS105" s="695"/>
      <c r="BT105" s="696">
        <v>200000000</v>
      </c>
      <c r="BU105" s="729">
        <v>0</v>
      </c>
      <c r="BV105" s="695"/>
      <c r="BW105" s="696">
        <v>200000000</v>
      </c>
      <c r="BX105" s="729">
        <v>0</v>
      </c>
      <c r="BY105" s="695"/>
      <c r="BZ105" s="696">
        <v>200000000</v>
      </c>
      <c r="CA105" s="729">
        <v>0</v>
      </c>
      <c r="CB105" s="720">
        <f t="shared" si="27"/>
        <v>0</v>
      </c>
      <c r="CC105" s="721">
        <f t="shared" si="28"/>
        <v>0</v>
      </c>
      <c r="CD105" s="738"/>
      <c r="CE105" s="323"/>
      <c r="CF105" s="323"/>
      <c r="CG105" s="323">
        <v>450000000</v>
      </c>
      <c r="CH105" s="323">
        <v>450000000</v>
      </c>
      <c r="CI105" s="323">
        <v>450000000</v>
      </c>
      <c r="CJ105" s="323">
        <v>450000000</v>
      </c>
      <c r="CK105" s="323">
        <v>450000000</v>
      </c>
      <c r="CL105" s="323">
        <v>450000000</v>
      </c>
      <c r="CM105" s="323">
        <v>450000000</v>
      </c>
      <c r="CN105" s="323">
        <v>450000000</v>
      </c>
      <c r="CO105" s="323">
        <v>450000000</v>
      </c>
      <c r="CP105" s="323">
        <v>450000000</v>
      </c>
      <c r="CQ105" s="355">
        <f t="shared" si="29"/>
        <v>4500000000</v>
      </c>
      <c r="CR105" s="356"/>
      <c r="CS105" s="357">
        <f>300000000*12</f>
        <v>3600000000</v>
      </c>
      <c r="CT105" s="332">
        <f>CS105*1.1</f>
        <v>3960000000.0000005</v>
      </c>
      <c r="CU105" s="358">
        <f>CT105*1.1</f>
        <v>4356000000.000001</v>
      </c>
      <c r="CV105" s="57" t="s">
        <v>38</v>
      </c>
      <c r="CW105" s="1156" t="s">
        <v>145</v>
      </c>
    </row>
    <row r="106" spans="1:101" ht="15" customHeight="1" outlineLevel="2">
      <c r="A106" s="296"/>
      <c r="C106" s="276" t="s">
        <v>36</v>
      </c>
      <c r="D106" s="297" t="s">
        <v>121</v>
      </c>
      <c r="E106" s="276" t="s">
        <v>146</v>
      </c>
      <c r="F106" s="298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6"/>
      <c r="X106" s="55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61"/>
      <c r="AL106" s="55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122"/>
      <c r="AZ106" s="55"/>
      <c r="BA106" s="639"/>
      <c r="BB106" s="639"/>
      <c r="BC106" s="86"/>
      <c r="BD106" s="639"/>
      <c r="BE106" s="86"/>
      <c r="BF106" s="639"/>
      <c r="BG106" s="86"/>
      <c r="BH106" s="639"/>
      <c r="BI106" s="86"/>
      <c r="BJ106" s="639"/>
      <c r="BK106" s="86"/>
      <c r="BL106" s="639"/>
      <c r="BM106" s="86">
        <v>30000000</v>
      </c>
      <c r="BN106" s="695"/>
      <c r="BO106" s="696">
        <v>30000000</v>
      </c>
      <c r="BP106" s="695"/>
      <c r="BQ106" s="696">
        <v>30000000</v>
      </c>
      <c r="BR106" s="729">
        <v>30000000</v>
      </c>
      <c r="BS106" s="695"/>
      <c r="BT106" s="696">
        <v>30000000</v>
      </c>
      <c r="BU106" s="729">
        <v>30000000</v>
      </c>
      <c r="BV106" s="695"/>
      <c r="BW106" s="696">
        <v>30000000</v>
      </c>
      <c r="BX106" s="729">
        <v>30000000</v>
      </c>
      <c r="BY106" s="695"/>
      <c r="BZ106" s="696">
        <v>30000000</v>
      </c>
      <c r="CA106" s="729">
        <v>30000000</v>
      </c>
      <c r="CB106" s="720">
        <f t="shared" si="27"/>
        <v>120000000</v>
      </c>
      <c r="CC106" s="721">
        <f t="shared" si="28"/>
        <v>120000000</v>
      </c>
      <c r="CD106" s="738"/>
      <c r="CE106" s="323"/>
      <c r="CF106" s="323"/>
      <c r="CG106" s="323"/>
      <c r="CH106" s="323"/>
      <c r="CI106" s="323"/>
      <c r="CJ106" s="323"/>
      <c r="CK106" s="323"/>
      <c r="CL106" s="323"/>
      <c r="CM106" s="323"/>
      <c r="CN106" s="323"/>
      <c r="CO106" s="323"/>
      <c r="CP106" s="323"/>
      <c r="CQ106" s="355">
        <f t="shared" si="29"/>
        <v>0</v>
      </c>
      <c r="CR106" s="356"/>
      <c r="CS106" s="357"/>
      <c r="CT106" s="332"/>
      <c r="CU106" s="358"/>
      <c r="CV106" s="57" t="s">
        <v>38</v>
      </c>
    </row>
    <row r="107" spans="1:101" ht="15" customHeight="1" outlineLevel="2">
      <c r="A107" s="296"/>
      <c r="C107" s="276" t="s">
        <v>36</v>
      </c>
      <c r="D107" s="297" t="s">
        <v>121</v>
      </c>
      <c r="E107" s="276" t="s">
        <v>147</v>
      </c>
      <c r="F107" s="298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6"/>
      <c r="X107" s="55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61"/>
      <c r="AL107" s="55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122"/>
      <c r="AZ107" s="55"/>
      <c r="BA107" s="639"/>
      <c r="BB107" s="639"/>
      <c r="BC107" s="86"/>
      <c r="BD107" s="639"/>
      <c r="BE107" s="86"/>
      <c r="BF107" s="639"/>
      <c r="BG107" s="86"/>
      <c r="BH107" s="639"/>
      <c r="BI107" s="86"/>
      <c r="BJ107" s="639"/>
      <c r="BK107" s="86"/>
      <c r="BL107" s="639"/>
      <c r="BM107" s="86"/>
      <c r="BN107" s="695"/>
      <c r="BO107" s="696"/>
      <c r="BP107" s="695"/>
      <c r="BQ107" s="696">
        <v>100000000</v>
      </c>
      <c r="BR107" s="729">
        <v>100000000</v>
      </c>
      <c r="BS107" s="695"/>
      <c r="BT107" s="696">
        <v>100000000</v>
      </c>
      <c r="BU107" s="729">
        <v>100000000</v>
      </c>
      <c r="BV107" s="695"/>
      <c r="BW107" s="696">
        <v>100000000</v>
      </c>
      <c r="BX107" s="729">
        <v>100000000</v>
      </c>
      <c r="BY107" s="695"/>
      <c r="BZ107" s="696">
        <v>100000000</v>
      </c>
      <c r="CA107" s="729">
        <v>100000000</v>
      </c>
      <c r="CB107" s="720">
        <f t="shared" si="27"/>
        <v>400000000</v>
      </c>
      <c r="CC107" s="721">
        <f t="shared" si="28"/>
        <v>400000000</v>
      </c>
      <c r="CD107" s="738"/>
      <c r="CE107" s="323"/>
      <c r="CF107" s="323"/>
      <c r="CG107" s="323"/>
      <c r="CH107" s="323"/>
      <c r="CI107" s="323"/>
      <c r="CJ107" s="323"/>
      <c r="CK107" s="323"/>
      <c r="CL107" s="323"/>
      <c r="CM107" s="323"/>
      <c r="CN107" s="323"/>
      <c r="CO107" s="323"/>
      <c r="CP107" s="323"/>
      <c r="CQ107" s="355">
        <f t="shared" si="29"/>
        <v>0</v>
      </c>
      <c r="CR107" s="356"/>
      <c r="CS107" s="357"/>
      <c r="CT107" s="332"/>
      <c r="CU107" s="358"/>
      <c r="CV107" s="57" t="s">
        <v>38</v>
      </c>
    </row>
    <row r="108" spans="1:101" ht="15" customHeight="1" outlineLevel="2">
      <c r="A108" s="296" t="s">
        <v>117</v>
      </c>
      <c r="C108" s="276" t="s">
        <v>36</v>
      </c>
      <c r="D108" s="297" t="s">
        <v>121</v>
      </c>
      <c r="E108" s="276" t="s">
        <v>148</v>
      </c>
      <c r="F108" s="298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6"/>
      <c r="X108" s="55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61"/>
      <c r="AL108" s="55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122"/>
      <c r="AZ108" s="55"/>
      <c r="BA108" s="639"/>
      <c r="BB108" s="639"/>
      <c r="BC108" s="86"/>
      <c r="BD108" s="639"/>
      <c r="BE108" s="86"/>
      <c r="BF108" s="639"/>
      <c r="BG108" s="86"/>
      <c r="BH108" s="639"/>
      <c r="BI108" s="86"/>
      <c r="BJ108" s="639"/>
      <c r="BK108" s="86">
        <v>30000000</v>
      </c>
      <c r="BL108" s="639"/>
      <c r="BM108" s="86">
        <v>30000000</v>
      </c>
      <c r="BN108" s="695"/>
      <c r="BO108" s="696">
        <v>30000000</v>
      </c>
      <c r="BP108" s="695"/>
      <c r="BQ108" s="696">
        <v>30000000</v>
      </c>
      <c r="BR108" s="729">
        <v>30000000</v>
      </c>
      <c r="BS108" s="695"/>
      <c r="BT108" s="696">
        <v>30000000</v>
      </c>
      <c r="BU108" s="729">
        <v>30000000</v>
      </c>
      <c r="BV108" s="695"/>
      <c r="BW108" s="696">
        <v>30000000</v>
      </c>
      <c r="BX108" s="729">
        <v>30000000</v>
      </c>
      <c r="BY108" s="695"/>
      <c r="BZ108" s="696">
        <v>30000000</v>
      </c>
      <c r="CA108" s="729">
        <v>30000000</v>
      </c>
      <c r="CB108" s="720">
        <f t="shared" si="27"/>
        <v>120000000</v>
      </c>
      <c r="CC108" s="721">
        <f t="shared" si="28"/>
        <v>120000000</v>
      </c>
      <c r="CD108" s="738"/>
      <c r="CE108" s="323"/>
      <c r="CF108" s="323"/>
      <c r="CG108" s="323"/>
      <c r="CH108" s="323"/>
      <c r="CI108" s="323">
        <v>20000000</v>
      </c>
      <c r="CJ108" s="323">
        <v>20000000</v>
      </c>
      <c r="CK108" s="323">
        <v>20000000</v>
      </c>
      <c r="CL108" s="323">
        <v>20000000</v>
      </c>
      <c r="CM108" s="323">
        <v>20000000</v>
      </c>
      <c r="CN108" s="323">
        <v>20000000</v>
      </c>
      <c r="CO108" s="323">
        <v>20000000</v>
      </c>
      <c r="CP108" s="323">
        <v>20000000</v>
      </c>
      <c r="CQ108" s="355">
        <f t="shared" si="29"/>
        <v>160000000</v>
      </c>
      <c r="CR108" s="356"/>
      <c r="CS108" s="357"/>
      <c r="CT108" s="332"/>
      <c r="CU108" s="358"/>
      <c r="CV108" s="57" t="s">
        <v>38</v>
      </c>
    </row>
    <row r="109" spans="1:101" ht="15" customHeight="1" outlineLevel="2">
      <c r="A109" s="296"/>
      <c r="B109" s="277" t="str">
        <f>$E$7&amp;$E$6&amp;E109</f>
        <v>PACK JAKARTAPACKAGESHELL</v>
      </c>
      <c r="C109" s="276" t="s">
        <v>36</v>
      </c>
      <c r="D109" s="297" t="s">
        <v>121</v>
      </c>
      <c r="E109" s="287" t="s">
        <v>149</v>
      </c>
      <c r="F109" s="298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6">
        <f>SUM(H109:S109)</f>
        <v>0</v>
      </c>
      <c r="X109" s="55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61">
        <v>0</v>
      </c>
      <c r="AL109" s="55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122">
        <v>0</v>
      </c>
      <c r="AZ109" s="55"/>
      <c r="BA109" s="639"/>
      <c r="BB109" s="639">
        <v>0</v>
      </c>
      <c r="BC109" s="86"/>
      <c r="BD109" s="639">
        <v>0</v>
      </c>
      <c r="BE109" s="86"/>
      <c r="BF109" s="639">
        <v>0</v>
      </c>
      <c r="BG109" s="86">
        <v>0</v>
      </c>
      <c r="BH109" s="639"/>
      <c r="BI109" s="86">
        <v>0</v>
      </c>
      <c r="BJ109" s="639"/>
      <c r="BK109" s="86">
        <v>0</v>
      </c>
      <c r="BL109" s="639"/>
      <c r="BM109" s="86"/>
      <c r="BN109" s="695"/>
      <c r="BO109" s="696"/>
      <c r="BP109" s="695"/>
      <c r="BQ109" s="696"/>
      <c r="BR109" s="729"/>
      <c r="BS109" s="695"/>
      <c r="BT109" s="696"/>
      <c r="BU109" s="729"/>
      <c r="BV109" s="695"/>
      <c r="BW109" s="696"/>
      <c r="BX109" s="729"/>
      <c r="BY109" s="695"/>
      <c r="BZ109" s="696"/>
      <c r="CA109" s="729"/>
      <c r="CB109" s="720">
        <f t="shared" si="27"/>
        <v>0</v>
      </c>
      <c r="CC109" s="721">
        <f t="shared" si="28"/>
        <v>0</v>
      </c>
      <c r="CD109" s="738"/>
      <c r="CE109" s="323"/>
      <c r="CF109" s="323"/>
      <c r="CG109" s="323"/>
      <c r="CH109" s="323"/>
      <c r="CI109" s="323"/>
      <c r="CJ109" s="323"/>
      <c r="CK109" s="323"/>
      <c r="CL109" s="323"/>
      <c r="CM109" s="323"/>
      <c r="CN109" s="323"/>
      <c r="CO109" s="323"/>
      <c r="CP109" s="323"/>
      <c r="CQ109" s="355">
        <f t="shared" si="29"/>
        <v>0</v>
      </c>
      <c r="CR109" s="356"/>
      <c r="CS109" s="357">
        <f>1000000000*12</f>
        <v>12000000000</v>
      </c>
      <c r="CT109" s="332">
        <f>CS109*1.1</f>
        <v>13200000000.000002</v>
      </c>
      <c r="CU109" s="358">
        <f>CT109*1.1</f>
        <v>14520000000.000004</v>
      </c>
      <c r="CV109" s="57" t="s">
        <v>38</v>
      </c>
    </row>
    <row r="110" spans="1:101" ht="15" customHeight="1" outlineLevel="2">
      <c r="A110" s="296"/>
      <c r="B110" s="277" t="str">
        <f>$E$7&amp;$E$6&amp;E110</f>
        <v>PACK JAKARTAPACKAGESMART MARUNDA</v>
      </c>
      <c r="C110" s="276" t="s">
        <v>36</v>
      </c>
      <c r="D110" s="297" t="s">
        <v>121</v>
      </c>
      <c r="E110" s="287" t="s">
        <v>150</v>
      </c>
      <c r="F110" s="287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6">
        <f>SUM(H110:S110)</f>
        <v>0</v>
      </c>
      <c r="X110" s="55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1">
        <v>0</v>
      </c>
      <c r="AL110" s="55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122">
        <v>0</v>
      </c>
      <c r="AZ110" s="55"/>
      <c r="BA110" s="639"/>
      <c r="BB110" s="639">
        <v>0</v>
      </c>
      <c r="BC110" s="86"/>
      <c r="BD110" s="639">
        <v>0</v>
      </c>
      <c r="BE110" s="86"/>
      <c r="BF110" s="639">
        <v>0</v>
      </c>
      <c r="BG110" s="86">
        <v>0</v>
      </c>
      <c r="BH110" s="639"/>
      <c r="BI110" s="86">
        <v>0</v>
      </c>
      <c r="BJ110" s="639"/>
      <c r="BK110" s="86">
        <v>0</v>
      </c>
      <c r="BL110" s="639"/>
      <c r="BM110" s="86"/>
      <c r="BN110" s="695"/>
      <c r="BO110" s="696"/>
      <c r="BP110" s="695"/>
      <c r="BQ110" s="696"/>
      <c r="BR110" s="729"/>
      <c r="BS110" s="695"/>
      <c r="BT110" s="696"/>
      <c r="BU110" s="729"/>
      <c r="BV110" s="695"/>
      <c r="BW110" s="696"/>
      <c r="BX110" s="729"/>
      <c r="BY110" s="695"/>
      <c r="BZ110" s="696"/>
      <c r="CA110" s="729"/>
      <c r="CB110" s="720">
        <f t="shared" si="27"/>
        <v>0</v>
      </c>
      <c r="CC110" s="721">
        <f t="shared" si="28"/>
        <v>0</v>
      </c>
      <c r="CD110" s="738"/>
      <c r="CE110" s="323"/>
      <c r="CF110" s="323"/>
      <c r="CG110" s="323"/>
      <c r="CH110" s="323"/>
      <c r="CI110" s="323"/>
      <c r="CJ110" s="323"/>
      <c r="CK110" s="323"/>
      <c r="CL110" s="323"/>
      <c r="CM110" s="323"/>
      <c r="CN110" s="323"/>
      <c r="CO110" s="323"/>
      <c r="CP110" s="323"/>
      <c r="CQ110" s="355">
        <f t="shared" si="29"/>
        <v>0</v>
      </c>
      <c r="CR110" s="356">
        <f>500000000*12</f>
        <v>6000000000</v>
      </c>
      <c r="CS110" s="357">
        <f>CR110*1.1</f>
        <v>6600000000.000001</v>
      </c>
      <c r="CT110" s="332">
        <f>CS110*1.1</f>
        <v>7260000000.0000019</v>
      </c>
      <c r="CU110" s="358">
        <f>CT110*1.1</f>
        <v>7986000000.0000029</v>
      </c>
      <c r="CV110" s="57" t="s">
        <v>38</v>
      </c>
    </row>
    <row r="111" spans="1:101" ht="15" customHeight="1" outlineLevel="2">
      <c r="A111" s="296"/>
      <c r="C111" s="276" t="s">
        <v>36</v>
      </c>
      <c r="D111" s="297" t="s">
        <v>121</v>
      </c>
      <c r="E111" s="276" t="s">
        <v>151</v>
      </c>
      <c r="F111" s="298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6"/>
      <c r="X111" s="55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61"/>
      <c r="AL111" s="55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122"/>
      <c r="AZ111" s="55"/>
      <c r="BA111" s="639"/>
      <c r="BB111" s="639"/>
      <c r="BC111" s="86"/>
      <c r="BD111" s="639"/>
      <c r="BE111" s="86"/>
      <c r="BF111" s="639"/>
      <c r="BG111" s="86"/>
      <c r="BH111" s="639"/>
      <c r="BI111" s="86"/>
      <c r="BJ111" s="639"/>
      <c r="BK111" s="86"/>
      <c r="BL111" s="639"/>
      <c r="BM111" s="86"/>
      <c r="BN111" s="695"/>
      <c r="BO111" s="696"/>
      <c r="BP111" s="695"/>
      <c r="BQ111" s="696">
        <v>100000000</v>
      </c>
      <c r="BR111" s="729">
        <v>0</v>
      </c>
      <c r="BS111" s="695"/>
      <c r="BT111" s="696">
        <v>100000000</v>
      </c>
      <c r="BU111" s="729">
        <v>0</v>
      </c>
      <c r="BV111" s="695"/>
      <c r="BW111" s="696">
        <v>100000000</v>
      </c>
      <c r="BX111" s="729">
        <v>100000000</v>
      </c>
      <c r="BY111" s="695"/>
      <c r="BZ111" s="696">
        <v>100000000</v>
      </c>
      <c r="CA111" s="729">
        <v>100000000</v>
      </c>
      <c r="CB111" s="720">
        <f t="shared" si="27"/>
        <v>200000000</v>
      </c>
      <c r="CC111" s="721">
        <f t="shared" si="28"/>
        <v>200000000</v>
      </c>
      <c r="CD111" s="738"/>
      <c r="CE111" s="323"/>
      <c r="CF111" s="323"/>
      <c r="CG111" s="323"/>
      <c r="CH111" s="323"/>
      <c r="CI111" s="323"/>
      <c r="CJ111" s="323"/>
      <c r="CK111" s="323"/>
      <c r="CL111" s="323"/>
      <c r="CM111" s="323"/>
      <c r="CN111" s="323"/>
      <c r="CO111" s="323"/>
      <c r="CP111" s="323"/>
      <c r="CQ111" s="355">
        <f t="shared" si="29"/>
        <v>0</v>
      </c>
      <c r="CR111" s="356"/>
      <c r="CS111" s="357"/>
      <c r="CT111" s="332"/>
      <c r="CU111" s="358"/>
      <c r="CV111" s="57" t="s">
        <v>38</v>
      </c>
    </row>
    <row r="112" spans="1:101" ht="15" customHeight="1" outlineLevel="2">
      <c r="A112" s="296"/>
      <c r="C112" s="276" t="s">
        <v>36</v>
      </c>
      <c r="D112" s="297" t="s">
        <v>121</v>
      </c>
      <c r="E112" s="276" t="s">
        <v>152</v>
      </c>
      <c r="F112" s="298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6"/>
      <c r="X112" s="55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61"/>
      <c r="AL112" s="55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122"/>
      <c r="AZ112" s="55"/>
      <c r="BA112" s="639"/>
      <c r="BB112" s="639"/>
      <c r="BC112" s="86"/>
      <c r="BD112" s="639"/>
      <c r="BE112" s="86"/>
      <c r="BF112" s="639"/>
      <c r="BG112" s="86"/>
      <c r="BH112" s="639"/>
      <c r="BI112" s="86"/>
      <c r="BJ112" s="639"/>
      <c r="BK112" s="86"/>
      <c r="BL112" s="639"/>
      <c r="BM112" s="86"/>
      <c r="BN112" s="695"/>
      <c r="BO112" s="696"/>
      <c r="BP112" s="695"/>
      <c r="BQ112" s="696">
        <v>50000000</v>
      </c>
      <c r="BR112" s="729">
        <v>0</v>
      </c>
      <c r="BS112" s="695"/>
      <c r="BT112" s="696">
        <v>50000000</v>
      </c>
      <c r="BU112" s="729">
        <v>0</v>
      </c>
      <c r="BV112" s="695"/>
      <c r="BW112" s="696">
        <v>50000000</v>
      </c>
      <c r="BX112" s="729">
        <v>0</v>
      </c>
      <c r="BY112" s="695"/>
      <c r="BZ112" s="696">
        <v>50000000</v>
      </c>
      <c r="CA112" s="729">
        <v>0</v>
      </c>
      <c r="CB112" s="720">
        <f t="shared" si="27"/>
        <v>0</v>
      </c>
      <c r="CC112" s="721">
        <f t="shared" si="28"/>
        <v>0</v>
      </c>
      <c r="CD112" s="738"/>
      <c r="CE112" s="323"/>
      <c r="CF112" s="323"/>
      <c r="CG112" s="323"/>
      <c r="CH112" s="323"/>
      <c r="CI112" s="323"/>
      <c r="CJ112" s="323"/>
      <c r="CK112" s="323"/>
      <c r="CL112" s="323"/>
      <c r="CM112" s="323"/>
      <c r="CN112" s="323"/>
      <c r="CO112" s="323"/>
      <c r="CP112" s="323"/>
      <c r="CQ112" s="355">
        <f t="shared" si="29"/>
        <v>0</v>
      </c>
      <c r="CR112" s="356"/>
      <c r="CS112" s="357"/>
      <c r="CT112" s="332"/>
      <c r="CU112" s="358"/>
      <c r="CV112" s="57" t="s">
        <v>38</v>
      </c>
    </row>
    <row r="113" spans="1:101" ht="15" customHeight="1" outlineLevel="2">
      <c r="A113" s="296"/>
      <c r="C113" s="276" t="s">
        <v>36</v>
      </c>
      <c r="D113" s="297" t="s">
        <v>121</v>
      </c>
      <c r="E113" s="276" t="s">
        <v>153</v>
      </c>
      <c r="F113" s="298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6"/>
      <c r="X113" s="55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61"/>
      <c r="AL113" s="55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122"/>
      <c r="AZ113" s="55"/>
      <c r="BA113" s="639"/>
      <c r="BB113" s="639"/>
      <c r="BC113" s="86"/>
      <c r="BD113" s="639"/>
      <c r="BE113" s="86"/>
      <c r="BF113" s="639"/>
      <c r="BG113" s="86"/>
      <c r="BH113" s="639"/>
      <c r="BI113" s="86"/>
      <c r="BJ113" s="639"/>
      <c r="BK113" s="86">
        <v>660000000</v>
      </c>
      <c r="BL113" s="639"/>
      <c r="BM113" s="86">
        <v>660000000</v>
      </c>
      <c r="BN113" s="695"/>
      <c r="BO113" s="696">
        <v>660000000</v>
      </c>
      <c r="BP113" s="695"/>
      <c r="BQ113" s="696">
        <v>660000000</v>
      </c>
      <c r="BR113" s="729">
        <v>0</v>
      </c>
      <c r="BS113" s="695"/>
      <c r="BT113" s="696">
        <v>660000000</v>
      </c>
      <c r="BU113" s="729">
        <v>0</v>
      </c>
      <c r="BV113" s="695"/>
      <c r="BW113" s="696">
        <v>660000000</v>
      </c>
      <c r="BX113" s="729">
        <v>0</v>
      </c>
      <c r="BY113" s="695"/>
      <c r="BZ113" s="696">
        <v>660000000</v>
      </c>
      <c r="CA113" s="729">
        <v>0</v>
      </c>
      <c r="CB113" s="720">
        <f t="shared" si="27"/>
        <v>0</v>
      </c>
      <c r="CC113" s="721">
        <f t="shared" si="28"/>
        <v>0</v>
      </c>
      <c r="CD113" s="738"/>
      <c r="CE113" s="323"/>
      <c r="CF113" s="323"/>
      <c r="CG113" s="323"/>
      <c r="CH113" s="323"/>
      <c r="CI113" s="323"/>
      <c r="CJ113" s="323"/>
      <c r="CK113" s="323"/>
      <c r="CL113" s="323"/>
      <c r="CM113" s="323"/>
      <c r="CN113" s="323"/>
      <c r="CO113" s="323"/>
      <c r="CP113" s="323"/>
      <c r="CQ113" s="355">
        <f t="shared" si="29"/>
        <v>0</v>
      </c>
      <c r="CR113" s="356"/>
      <c r="CS113" s="357"/>
      <c r="CT113" s="332"/>
      <c r="CU113" s="358"/>
      <c r="CV113" s="57" t="s">
        <v>38</v>
      </c>
    </row>
    <row r="114" spans="1:101" ht="15" customHeight="1" outlineLevel="2">
      <c r="A114" s="296"/>
      <c r="C114" s="276" t="s">
        <v>36</v>
      </c>
      <c r="D114" s="297" t="s">
        <v>121</v>
      </c>
      <c r="E114" s="276" t="s">
        <v>154</v>
      </c>
      <c r="F114" s="298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6"/>
      <c r="X114" s="55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61"/>
      <c r="AL114" s="55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122"/>
      <c r="AZ114" s="55"/>
      <c r="BA114" s="639"/>
      <c r="BB114" s="639"/>
      <c r="BC114" s="86"/>
      <c r="BD114" s="639"/>
      <c r="BE114" s="86"/>
      <c r="BF114" s="639"/>
      <c r="BG114" s="86"/>
      <c r="BH114" s="639"/>
      <c r="BI114" s="86"/>
      <c r="BJ114" s="639"/>
      <c r="BK114" s="86"/>
      <c r="BL114" s="639"/>
      <c r="BM114" s="86">
        <v>30000000</v>
      </c>
      <c r="BN114" s="695"/>
      <c r="BO114" s="696">
        <v>30000000</v>
      </c>
      <c r="BP114" s="695"/>
      <c r="BQ114" s="696">
        <v>30000000</v>
      </c>
      <c r="BR114" s="729">
        <v>30000000</v>
      </c>
      <c r="BS114" s="695"/>
      <c r="BT114" s="696">
        <v>30000000</v>
      </c>
      <c r="BU114" s="729">
        <v>30000000</v>
      </c>
      <c r="BV114" s="695"/>
      <c r="BW114" s="696">
        <v>30000000</v>
      </c>
      <c r="BX114" s="729">
        <v>30000000</v>
      </c>
      <c r="BY114" s="695"/>
      <c r="BZ114" s="696">
        <v>30000000</v>
      </c>
      <c r="CA114" s="729">
        <v>30000000</v>
      </c>
      <c r="CB114" s="720">
        <f t="shared" si="27"/>
        <v>120000000</v>
      </c>
      <c r="CC114" s="721">
        <f t="shared" si="28"/>
        <v>120000000</v>
      </c>
      <c r="CD114" s="738"/>
      <c r="CE114" s="323"/>
      <c r="CF114" s="323"/>
      <c r="CG114" s="323"/>
      <c r="CH114" s="323"/>
      <c r="CI114" s="323"/>
      <c r="CJ114" s="323"/>
      <c r="CK114" s="323"/>
      <c r="CL114" s="323"/>
      <c r="CM114" s="323"/>
      <c r="CN114" s="323"/>
      <c r="CO114" s="323"/>
      <c r="CP114" s="323"/>
      <c r="CQ114" s="355">
        <f t="shared" si="29"/>
        <v>0</v>
      </c>
      <c r="CR114" s="356"/>
      <c r="CS114" s="357"/>
      <c r="CT114" s="332"/>
      <c r="CU114" s="358"/>
      <c r="CV114" s="57" t="s">
        <v>38</v>
      </c>
    </row>
    <row r="115" spans="1:101" ht="15" customHeight="1" outlineLevel="2">
      <c r="A115" s="296" t="s">
        <v>117</v>
      </c>
      <c r="B115" s="277" t="str">
        <f>$E$7&amp;$E$6&amp;E115</f>
        <v>PACK JAKARTAPACKAGEMaster Builder Solusi Indonesia</v>
      </c>
      <c r="C115" s="276" t="s">
        <v>36</v>
      </c>
      <c r="D115" s="297" t="s">
        <v>121</v>
      </c>
      <c r="E115" s="287" t="s">
        <v>155</v>
      </c>
      <c r="F115" s="287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6">
        <f>SUM(H115:S115)</f>
        <v>0</v>
      </c>
      <c r="X115" s="55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1">
        <v>0</v>
      </c>
      <c r="AL115" s="55"/>
      <c r="AM115" s="67"/>
      <c r="AN115" s="67"/>
      <c r="AO115" s="67"/>
      <c r="AP115" s="67"/>
      <c r="AQ115" s="67"/>
      <c r="AR115" s="67"/>
      <c r="AS115" s="67"/>
      <c r="AT115" s="67"/>
      <c r="AU115" s="67"/>
      <c r="AV115" s="67"/>
      <c r="AW115" s="67"/>
      <c r="AX115" s="67"/>
      <c r="AY115" s="122">
        <v>0</v>
      </c>
      <c r="AZ115" s="55"/>
      <c r="BA115" s="639"/>
      <c r="BB115" s="639">
        <v>0</v>
      </c>
      <c r="BC115" s="86"/>
      <c r="BD115" s="639">
        <v>0</v>
      </c>
      <c r="BE115" s="86"/>
      <c r="BF115" s="639">
        <v>0</v>
      </c>
      <c r="BG115" s="86">
        <v>0</v>
      </c>
      <c r="BH115" s="639"/>
      <c r="BI115" s="86">
        <v>0</v>
      </c>
      <c r="BJ115" s="639"/>
      <c r="BK115" s="86">
        <v>0</v>
      </c>
      <c r="BL115" s="639"/>
      <c r="BM115" s="86"/>
      <c r="BN115" s="695"/>
      <c r="BO115" s="696"/>
      <c r="BP115" s="695"/>
      <c r="BQ115" s="696"/>
      <c r="BR115" s="702"/>
      <c r="BS115" s="695"/>
      <c r="BT115" s="696"/>
      <c r="BU115" s="702"/>
      <c r="BV115" s="695"/>
      <c r="BW115" s="696"/>
      <c r="BX115" s="702"/>
      <c r="BY115" s="695"/>
      <c r="BZ115" s="696"/>
      <c r="CA115" s="702"/>
      <c r="CB115" s="720">
        <f t="shared" si="27"/>
        <v>0</v>
      </c>
      <c r="CC115" s="721">
        <f t="shared" si="28"/>
        <v>0</v>
      </c>
      <c r="CD115" s="738"/>
      <c r="CE115" s="322"/>
      <c r="CF115" s="322"/>
      <c r="CG115" s="322"/>
      <c r="CH115" s="322"/>
      <c r="CI115" s="322">
        <v>350000000</v>
      </c>
      <c r="CJ115" s="322">
        <v>350000000</v>
      </c>
      <c r="CK115" s="322">
        <v>350000000</v>
      </c>
      <c r="CL115" s="322">
        <v>400000000</v>
      </c>
      <c r="CM115" s="322">
        <v>400000000</v>
      </c>
      <c r="CN115" s="322">
        <v>400000000</v>
      </c>
      <c r="CO115" s="322">
        <v>450000000</v>
      </c>
      <c r="CP115" s="322">
        <v>450000000</v>
      </c>
      <c r="CQ115" s="355">
        <f t="shared" si="29"/>
        <v>3150000000</v>
      </c>
      <c r="CR115" s="356">
        <f>50000000*12</f>
        <v>600000000</v>
      </c>
      <c r="CS115" s="357">
        <f>CR115*1.1</f>
        <v>660000000</v>
      </c>
      <c r="CT115" s="332">
        <f>CS115*1.1</f>
        <v>726000000</v>
      </c>
      <c r="CU115" s="358">
        <f>CT115*1.1</f>
        <v>798600000.00000012</v>
      </c>
      <c r="CV115" s="57" t="s">
        <v>38</v>
      </c>
      <c r="CW115" s="44" t="s">
        <v>143</v>
      </c>
    </row>
    <row r="116" spans="1:101" ht="15" customHeight="1" outlineLevel="2">
      <c r="A116" s="913"/>
      <c r="C116" s="276" t="s">
        <v>36</v>
      </c>
      <c r="D116" s="297" t="s">
        <v>121</v>
      </c>
      <c r="E116" s="276" t="s">
        <v>156</v>
      </c>
      <c r="F116" s="298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6"/>
      <c r="X116" s="55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61"/>
      <c r="AL116" s="55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122"/>
      <c r="AZ116" s="55"/>
      <c r="BA116" s="639"/>
      <c r="BB116" s="639"/>
      <c r="BC116" s="86"/>
      <c r="BD116" s="639"/>
      <c r="BE116" s="86"/>
      <c r="BF116" s="639"/>
      <c r="BG116" s="86"/>
      <c r="BH116" s="639"/>
      <c r="BI116" s="86"/>
      <c r="BJ116" s="639"/>
      <c r="BK116" s="86"/>
      <c r="BL116" s="639"/>
      <c r="BM116" s="86"/>
      <c r="BN116" s="695"/>
      <c r="BO116" s="696"/>
      <c r="BP116" s="695"/>
      <c r="BQ116" s="696"/>
      <c r="BR116" s="702"/>
      <c r="BS116" s="695"/>
      <c r="BT116" s="696"/>
      <c r="BU116" s="702"/>
      <c r="BV116" s="695"/>
      <c r="BW116" s="696"/>
      <c r="BX116" s="702"/>
      <c r="BY116" s="695"/>
      <c r="BZ116" s="696"/>
      <c r="CA116" s="702"/>
      <c r="CB116" s="720">
        <f t="shared" si="27"/>
        <v>0</v>
      </c>
      <c r="CC116" s="721">
        <f t="shared" si="28"/>
        <v>0</v>
      </c>
      <c r="CD116" s="738"/>
      <c r="CE116" s="1195">
        <v>20000000</v>
      </c>
      <c r="CF116" s="1195">
        <v>20000000</v>
      </c>
      <c r="CG116" s="1195">
        <v>20000000</v>
      </c>
      <c r="CH116" s="1195">
        <v>20000000</v>
      </c>
      <c r="CI116" s="1195">
        <v>20000000</v>
      </c>
      <c r="CJ116" s="1195">
        <v>20000000</v>
      </c>
      <c r="CK116" s="1195">
        <v>20000000</v>
      </c>
      <c r="CL116" s="1195">
        <v>20000000</v>
      </c>
      <c r="CM116" s="1195">
        <v>20000000</v>
      </c>
      <c r="CN116" s="1195">
        <v>20000000</v>
      </c>
      <c r="CO116" s="1195">
        <v>20000000</v>
      </c>
      <c r="CP116" s="1195">
        <v>20000000</v>
      </c>
      <c r="CQ116" s="1196">
        <f t="shared" si="29"/>
        <v>240000000</v>
      </c>
      <c r="CR116" s="356"/>
      <c r="CS116" s="357"/>
      <c r="CT116" s="332"/>
      <c r="CU116" s="358"/>
      <c r="CV116" s="57"/>
    </row>
    <row r="117" spans="1:101" ht="15" customHeight="1" outlineLevel="2">
      <c r="A117" s="913"/>
      <c r="C117" s="276" t="s">
        <v>36</v>
      </c>
      <c r="E117" s="276"/>
      <c r="F117" s="298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6"/>
      <c r="X117" s="55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61"/>
      <c r="AL117" s="55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122"/>
      <c r="AZ117" s="55"/>
      <c r="BA117" s="639"/>
      <c r="BB117" s="639"/>
      <c r="BC117" s="86"/>
      <c r="BD117" s="639"/>
      <c r="BE117" s="86"/>
      <c r="BF117" s="639"/>
      <c r="BG117" s="86"/>
      <c r="BH117" s="639"/>
      <c r="BI117" s="86"/>
      <c r="BJ117" s="639"/>
      <c r="BK117" s="86"/>
      <c r="BL117" s="639"/>
      <c r="BM117" s="86"/>
      <c r="BN117" s="695"/>
      <c r="BO117" s="696"/>
      <c r="BP117" s="695"/>
      <c r="BQ117" s="696"/>
      <c r="BR117" s="702"/>
      <c r="BS117" s="695"/>
      <c r="BT117" s="696"/>
      <c r="BU117" s="702"/>
      <c r="BV117" s="695"/>
      <c r="BW117" s="696"/>
      <c r="BX117" s="702"/>
      <c r="BY117" s="695"/>
      <c r="BZ117" s="696"/>
      <c r="CA117" s="702"/>
      <c r="CB117" s="720">
        <f t="shared" si="27"/>
        <v>0</v>
      </c>
      <c r="CC117" s="721">
        <f t="shared" si="28"/>
        <v>0</v>
      </c>
      <c r="CD117" s="738"/>
      <c r="CE117" s="322"/>
      <c r="CF117" s="322"/>
      <c r="CG117" s="322"/>
      <c r="CH117" s="322"/>
      <c r="CI117" s="322"/>
      <c r="CJ117" s="322"/>
      <c r="CK117" s="322"/>
      <c r="CL117" s="322"/>
      <c r="CM117" s="322"/>
      <c r="CN117" s="322"/>
      <c r="CO117" s="322"/>
      <c r="CP117" s="322"/>
      <c r="CQ117" s="355"/>
      <c r="CR117" s="356"/>
      <c r="CS117" s="357"/>
      <c r="CT117" s="332"/>
      <c r="CU117" s="358"/>
      <c r="CV117" s="57"/>
    </row>
    <row r="118" spans="1:101" ht="15" customHeight="1" outlineLevel="2">
      <c r="A118" s="913"/>
      <c r="C118" s="276" t="s">
        <v>36</v>
      </c>
      <c r="E118" s="276"/>
      <c r="F118" s="300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6"/>
      <c r="X118" s="55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61"/>
      <c r="AL118" s="55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122"/>
      <c r="AZ118" s="55"/>
      <c r="BA118" s="639"/>
      <c r="BB118" s="639"/>
      <c r="BC118" s="86"/>
      <c r="BD118" s="639"/>
      <c r="BE118" s="86"/>
      <c r="BF118" s="639"/>
      <c r="BG118" s="86"/>
      <c r="BH118" s="639"/>
      <c r="BI118" s="86"/>
      <c r="BJ118" s="639"/>
      <c r="BK118" s="86"/>
      <c r="BL118" s="639"/>
      <c r="BM118" s="86"/>
      <c r="BN118" s="695"/>
      <c r="BO118" s="696"/>
      <c r="BP118" s="695"/>
      <c r="BQ118" s="696"/>
      <c r="BR118" s="702"/>
      <c r="BS118" s="695"/>
      <c r="BT118" s="696"/>
      <c r="BU118" s="702"/>
      <c r="BV118" s="695"/>
      <c r="BW118" s="696"/>
      <c r="BX118" s="702"/>
      <c r="BY118" s="695"/>
      <c r="BZ118" s="696"/>
      <c r="CA118" s="702"/>
      <c r="CB118" s="720">
        <f t="shared" si="27"/>
        <v>0</v>
      </c>
      <c r="CC118" s="721">
        <f t="shared" si="28"/>
        <v>0</v>
      </c>
      <c r="CD118" s="738"/>
      <c r="CE118" s="322"/>
      <c r="CF118" s="322"/>
      <c r="CG118" s="322"/>
      <c r="CH118" s="322"/>
      <c r="CI118" s="322"/>
      <c r="CJ118" s="322"/>
      <c r="CK118" s="322"/>
      <c r="CL118" s="322"/>
      <c r="CM118" s="322"/>
      <c r="CN118" s="322"/>
      <c r="CO118" s="322"/>
      <c r="CP118" s="322"/>
      <c r="CQ118" s="355"/>
      <c r="CR118" s="356"/>
      <c r="CS118" s="357"/>
      <c r="CT118" s="332"/>
      <c r="CU118" s="358"/>
      <c r="CV118" s="57"/>
    </row>
    <row r="119" spans="1:101" ht="15.5" outlineLevel="1">
      <c r="A119" s="301"/>
      <c r="B119" s="301"/>
      <c r="C119" s="301"/>
      <c r="D119" s="301"/>
      <c r="E119" s="301" t="s">
        <v>157</v>
      </c>
      <c r="F119" s="301"/>
      <c r="G119" s="77">
        <f t="shared" ref="G119:W119" si="38">SUM(G8:G94)</f>
        <v>86624087206</v>
      </c>
      <c r="H119" s="77">
        <f t="shared" si="38"/>
        <v>5439779140</v>
      </c>
      <c r="I119" s="77">
        <f t="shared" si="38"/>
        <v>5025568742</v>
      </c>
      <c r="J119" s="77">
        <f t="shared" si="38"/>
        <v>3834551224</v>
      </c>
      <c r="K119" s="77">
        <f t="shared" si="38"/>
        <v>4468823042</v>
      </c>
      <c r="L119" s="77">
        <f t="shared" si="38"/>
        <v>4926698189</v>
      </c>
      <c r="M119" s="77">
        <f t="shared" si="38"/>
        <v>3692915055</v>
      </c>
      <c r="N119" s="77">
        <f t="shared" si="38"/>
        <v>4027416308</v>
      </c>
      <c r="O119" s="77">
        <f t="shared" si="38"/>
        <v>3661196442</v>
      </c>
      <c r="P119" s="77">
        <f t="shared" si="38"/>
        <v>3576496171</v>
      </c>
      <c r="Q119" s="77">
        <f t="shared" si="38"/>
        <v>3315888659</v>
      </c>
      <c r="R119" s="77">
        <f t="shared" si="38"/>
        <v>3743633978</v>
      </c>
      <c r="S119" s="77">
        <f t="shared" si="38"/>
        <v>6743454995</v>
      </c>
      <c r="T119" s="77">
        <f t="shared" si="38"/>
        <v>4020560829</v>
      </c>
      <c r="U119" s="77">
        <f t="shared" si="38"/>
        <v>4136124529</v>
      </c>
      <c r="V119" s="77">
        <f t="shared" si="38"/>
        <v>4136124529</v>
      </c>
      <c r="W119" s="77">
        <f t="shared" si="38"/>
        <v>52456421945</v>
      </c>
      <c r="X119" s="55"/>
      <c r="Y119" s="77">
        <f t="shared" ref="Y119:AK119" si="39">Y7+Y72+Y83</f>
        <v>4585169789.1774197</v>
      </c>
      <c r="Z119" s="77">
        <f t="shared" si="39"/>
        <v>4591835557.7274189</v>
      </c>
      <c r="AA119" s="77">
        <f t="shared" si="39"/>
        <v>4891835557.7274189</v>
      </c>
      <c r="AB119" s="77">
        <f t="shared" si="39"/>
        <v>5121835557.7274189</v>
      </c>
      <c r="AC119" s="77">
        <f t="shared" si="39"/>
        <v>5121835557.7274189</v>
      </c>
      <c r="AD119" s="77">
        <f t="shared" si="39"/>
        <v>5121835557.7274189</v>
      </c>
      <c r="AE119" s="77">
        <f t="shared" si="39"/>
        <v>5121835557.7274189</v>
      </c>
      <c r="AF119" s="77">
        <f t="shared" si="39"/>
        <v>5121835557.7274189</v>
      </c>
      <c r="AG119" s="77">
        <f t="shared" si="39"/>
        <v>5121835557.7274189</v>
      </c>
      <c r="AH119" s="77">
        <f t="shared" si="39"/>
        <v>5121835557.7274189</v>
      </c>
      <c r="AI119" s="77">
        <f t="shared" si="39"/>
        <v>5121835557.7274189</v>
      </c>
      <c r="AJ119" s="77">
        <f t="shared" si="39"/>
        <v>5121835557.7274189</v>
      </c>
      <c r="AK119" s="77">
        <f t="shared" si="39"/>
        <v>60165360924.179031</v>
      </c>
      <c r="AL119" s="55"/>
      <c r="AM119" s="77">
        <f t="shared" ref="AM119:AY119" si="40">AM7+AM72+AM83</f>
        <v>4585169789.1774197</v>
      </c>
      <c r="AN119" s="77">
        <f t="shared" si="40"/>
        <v>4591835557.7274189</v>
      </c>
      <c r="AO119" s="77">
        <f t="shared" si="40"/>
        <v>4891835557.7274189</v>
      </c>
      <c r="AP119" s="77">
        <f t="shared" si="40"/>
        <v>5121835557.7274189</v>
      </c>
      <c r="AQ119" s="77">
        <f t="shared" si="40"/>
        <v>5121835557.7274189</v>
      </c>
      <c r="AR119" s="77">
        <f t="shared" si="40"/>
        <v>5121835557.7274189</v>
      </c>
      <c r="AS119" s="77">
        <f t="shared" si="40"/>
        <v>5121835557.7274189</v>
      </c>
      <c r="AT119" s="77">
        <f t="shared" si="40"/>
        <v>5121835557.7274189</v>
      </c>
      <c r="AU119" s="77">
        <f t="shared" si="40"/>
        <v>5121835557.7274189</v>
      </c>
      <c r="AV119" s="77">
        <f t="shared" si="40"/>
        <v>5121835557.7274189</v>
      </c>
      <c r="AW119" s="77">
        <f t="shared" si="40"/>
        <v>5121835557.7274189</v>
      </c>
      <c r="AX119" s="77">
        <f t="shared" si="40"/>
        <v>5121835557.7274189</v>
      </c>
      <c r="AY119" s="77">
        <f t="shared" si="40"/>
        <v>60165360924.179031</v>
      </c>
      <c r="AZ119" s="78"/>
      <c r="BA119" s="77">
        <f t="shared" ref="BA119:CC119" si="41">BA7+BA72+BA83</f>
        <v>3472278433</v>
      </c>
      <c r="BB119" s="77">
        <f t="shared" si="41"/>
        <v>3402574172</v>
      </c>
      <c r="BC119" s="77">
        <f t="shared" si="41"/>
        <v>3471116925</v>
      </c>
      <c r="BD119" s="77">
        <f t="shared" si="41"/>
        <v>3188802064</v>
      </c>
      <c r="BE119" s="77">
        <f t="shared" si="41"/>
        <v>3564401879</v>
      </c>
      <c r="BF119" s="77">
        <f t="shared" si="41"/>
        <v>3181097897</v>
      </c>
      <c r="BG119" s="77">
        <f t="shared" si="41"/>
        <v>3233356368</v>
      </c>
      <c r="BH119" s="77">
        <f t="shared" si="41"/>
        <v>2983135683</v>
      </c>
      <c r="BI119" s="77">
        <f t="shared" si="41"/>
        <v>3236742568</v>
      </c>
      <c r="BJ119" s="77">
        <f t="shared" si="41"/>
        <v>3464719258</v>
      </c>
      <c r="BK119" s="77">
        <f t="shared" si="41"/>
        <v>4948942568</v>
      </c>
      <c r="BL119" s="77">
        <f t="shared" si="41"/>
        <v>3020277351</v>
      </c>
      <c r="BM119" s="77">
        <f t="shared" si="41"/>
        <v>5047977145</v>
      </c>
      <c r="BN119" s="699">
        <f t="shared" si="41"/>
        <v>4727016177</v>
      </c>
      <c r="BO119" s="699">
        <f t="shared" si="41"/>
        <v>5309788770</v>
      </c>
      <c r="BP119" s="699">
        <f t="shared" si="41"/>
        <v>0</v>
      </c>
      <c r="BQ119" s="699">
        <f t="shared" si="41"/>
        <v>5424005416</v>
      </c>
      <c r="BR119" s="699">
        <f t="shared" si="41"/>
        <v>4525328162</v>
      </c>
      <c r="BS119" s="699">
        <f t="shared" si="41"/>
        <v>0</v>
      </c>
      <c r="BT119" s="699">
        <f t="shared" si="41"/>
        <v>6244005416</v>
      </c>
      <c r="BU119" s="699">
        <f t="shared" si="41"/>
        <v>4731328162</v>
      </c>
      <c r="BV119" s="699">
        <f t="shared" si="41"/>
        <v>0</v>
      </c>
      <c r="BW119" s="699">
        <f t="shared" si="41"/>
        <v>6244005416</v>
      </c>
      <c r="BX119" s="699">
        <f t="shared" si="41"/>
        <v>5116328162</v>
      </c>
      <c r="BY119" s="699">
        <f t="shared" si="41"/>
        <v>0</v>
      </c>
      <c r="BZ119" s="699">
        <f t="shared" si="41"/>
        <v>6236445416</v>
      </c>
      <c r="CA119" s="699">
        <f t="shared" si="41"/>
        <v>5320736162</v>
      </c>
      <c r="CB119" s="699">
        <f t="shared" si="41"/>
        <v>47133621683</v>
      </c>
      <c r="CC119" s="699">
        <f t="shared" si="41"/>
        <v>47133621683</v>
      </c>
      <c r="CD119" s="738"/>
      <c r="CE119" s="326">
        <f>CE7+CE72+CE83</f>
        <v>3238725000</v>
      </c>
      <c r="CF119" s="326">
        <f t="shared" ref="CF119:CU119" si="42">CF7+CF72+CF83</f>
        <v>3229168559</v>
      </c>
      <c r="CG119" s="326">
        <f t="shared" si="42"/>
        <v>4493300000</v>
      </c>
      <c r="CH119" s="326">
        <f t="shared" si="42"/>
        <v>4506325089</v>
      </c>
      <c r="CI119" s="326">
        <f t="shared" si="42"/>
        <v>4881200000</v>
      </c>
      <c r="CJ119" s="326">
        <f t="shared" si="42"/>
        <v>5092538483</v>
      </c>
      <c r="CK119" s="326">
        <f t="shared" si="42"/>
        <v>5111300000</v>
      </c>
      <c r="CL119" s="326">
        <f t="shared" si="42"/>
        <v>5163027499</v>
      </c>
      <c r="CM119" s="326">
        <f t="shared" si="42"/>
        <v>5192800000</v>
      </c>
      <c r="CN119" s="326">
        <f t="shared" si="42"/>
        <v>5183800000</v>
      </c>
      <c r="CO119" s="326">
        <f t="shared" si="42"/>
        <v>5223800000</v>
      </c>
      <c r="CP119" s="326">
        <f t="shared" si="42"/>
        <v>5212300000</v>
      </c>
      <c r="CQ119" s="326">
        <f t="shared" si="42"/>
        <v>56528284630</v>
      </c>
      <c r="CR119" s="326">
        <f t="shared" si="42"/>
        <v>65285616789.381958</v>
      </c>
      <c r="CS119" s="326">
        <f t="shared" si="42"/>
        <v>96131216412.029465</v>
      </c>
      <c r="CT119" s="326">
        <f t="shared" si="42"/>
        <v>138318720572.53958</v>
      </c>
      <c r="CU119" s="326">
        <f t="shared" si="42"/>
        <v>149935319438.98181</v>
      </c>
      <c r="CV119" s="57"/>
    </row>
    <row r="120" spans="1:101" s="918" customFormat="1" ht="15.5" outlineLevel="1">
      <c r="A120" s="302"/>
      <c r="B120" s="302"/>
      <c r="C120" s="302"/>
      <c r="D120" s="302"/>
      <c r="E120" s="302"/>
      <c r="F120" s="302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55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>
        <v>0.14695891738978628</v>
      </c>
      <c r="AL120" s="55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>
        <v>0.14695891738978628</v>
      </c>
      <c r="AZ120" s="22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>
        <v>0</v>
      </c>
      <c r="BM120" s="79"/>
      <c r="BN120" s="700"/>
      <c r="BO120" s="700"/>
      <c r="BP120" s="700"/>
      <c r="BQ120" s="700"/>
      <c r="BR120" s="700"/>
      <c r="BS120" s="700"/>
      <c r="BT120" s="700"/>
      <c r="BU120" s="700"/>
      <c r="BV120" s="700"/>
      <c r="BW120" s="700"/>
      <c r="BX120" s="700"/>
      <c r="BY120" s="700"/>
      <c r="BZ120" s="700"/>
      <c r="CA120" s="700"/>
      <c r="CB120" s="700">
        <f>CB119/AK119-1</f>
        <v>-0.21659870465335951</v>
      </c>
      <c r="CC120" s="700"/>
      <c r="CD120" s="739"/>
      <c r="CE120" s="302"/>
      <c r="CF120" s="302"/>
      <c r="CG120" s="302"/>
      <c r="CH120" s="302"/>
      <c r="CI120" s="302"/>
      <c r="CJ120" s="302"/>
      <c r="CK120" s="302"/>
      <c r="CL120" s="302"/>
      <c r="CM120" s="302"/>
      <c r="CN120" s="302"/>
      <c r="CO120" s="302"/>
      <c r="CP120" s="302"/>
      <c r="CQ120" s="302"/>
      <c r="CR120" s="302"/>
      <c r="CS120" s="302"/>
      <c r="CT120" s="302"/>
      <c r="CU120" s="302"/>
      <c r="CV120" s="917"/>
    </row>
    <row r="121" spans="1:101" ht="15.5" outlineLevel="1">
      <c r="A121" s="285"/>
      <c r="B121" s="285"/>
      <c r="C121" s="285"/>
      <c r="D121" s="285"/>
      <c r="E121" s="285" t="s">
        <v>158</v>
      </c>
      <c r="F121" s="285"/>
      <c r="G121" s="58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5"/>
      <c r="Y121" s="80">
        <f t="shared" ref="Y121:AK121" si="43">SUM(Y127:Y152)</f>
        <v>898364223.1500001</v>
      </c>
      <c r="Z121" s="80">
        <f t="shared" si="43"/>
        <v>898364223.1500001</v>
      </c>
      <c r="AA121" s="80">
        <f t="shared" si="43"/>
        <v>898364223.1500001</v>
      </c>
      <c r="AB121" s="80">
        <f t="shared" si="43"/>
        <v>898364223.1500001</v>
      </c>
      <c r="AC121" s="80">
        <f t="shared" si="43"/>
        <v>898364223.1500001</v>
      </c>
      <c r="AD121" s="80">
        <f t="shared" si="43"/>
        <v>898364223.1500001</v>
      </c>
      <c r="AE121" s="80">
        <f t="shared" si="43"/>
        <v>898364223.1500001</v>
      </c>
      <c r="AF121" s="80">
        <f t="shared" si="43"/>
        <v>898364223.1500001</v>
      </c>
      <c r="AG121" s="80">
        <f t="shared" si="43"/>
        <v>898364223.1500001</v>
      </c>
      <c r="AH121" s="80">
        <f t="shared" si="43"/>
        <v>993364223.14999998</v>
      </c>
      <c r="AI121" s="80">
        <f t="shared" si="43"/>
        <v>993364223.14999998</v>
      </c>
      <c r="AJ121" s="80">
        <f t="shared" si="43"/>
        <v>993364223.14999998</v>
      </c>
      <c r="AK121" s="80">
        <f t="shared" si="43"/>
        <v>11065370677.799999</v>
      </c>
      <c r="AL121" s="55"/>
      <c r="AM121" s="80">
        <f t="shared" ref="AM121:AY121" si="44">SUM(AM127:AM152)</f>
        <v>898364223.1500001</v>
      </c>
      <c r="AN121" s="80">
        <f t="shared" si="44"/>
        <v>898364223.1500001</v>
      </c>
      <c r="AO121" s="80">
        <f t="shared" si="44"/>
        <v>898364223.1500001</v>
      </c>
      <c r="AP121" s="80">
        <f t="shared" si="44"/>
        <v>898364223.1500001</v>
      </c>
      <c r="AQ121" s="80">
        <f t="shared" si="44"/>
        <v>898364223.1500001</v>
      </c>
      <c r="AR121" s="80">
        <f t="shared" si="44"/>
        <v>898364223.1500001</v>
      </c>
      <c r="AS121" s="80">
        <f t="shared" si="44"/>
        <v>898364223.1500001</v>
      </c>
      <c r="AT121" s="80">
        <f t="shared" si="44"/>
        <v>898364223.1500001</v>
      </c>
      <c r="AU121" s="80">
        <f t="shared" si="44"/>
        <v>898364223.1500001</v>
      </c>
      <c r="AV121" s="80">
        <f t="shared" si="44"/>
        <v>993364223.14999998</v>
      </c>
      <c r="AW121" s="80">
        <f t="shared" si="44"/>
        <v>993364223.14999998</v>
      </c>
      <c r="AX121" s="80">
        <f t="shared" si="44"/>
        <v>993364223.14999998</v>
      </c>
      <c r="AY121" s="80">
        <f t="shared" si="44"/>
        <v>11065370677.799999</v>
      </c>
      <c r="AZ121" s="55"/>
      <c r="BA121" s="80">
        <f>SUM(BA127:BA152)</f>
        <v>879650523</v>
      </c>
      <c r="BB121" s="80">
        <f t="shared" ref="BB121:CT121" si="45">SUM(BB127:BB152)</f>
        <v>986758525</v>
      </c>
      <c r="BC121" s="80">
        <f t="shared" si="45"/>
        <v>881861728</v>
      </c>
      <c r="BD121" s="80">
        <f t="shared" si="45"/>
        <v>939903936</v>
      </c>
      <c r="BE121" s="80">
        <f t="shared" si="45"/>
        <v>906537495</v>
      </c>
      <c r="BF121" s="80">
        <f t="shared" si="45"/>
        <v>913667959</v>
      </c>
      <c r="BG121" s="80">
        <f t="shared" si="45"/>
        <v>959758000</v>
      </c>
      <c r="BH121" s="80">
        <f t="shared" si="45"/>
        <v>897441567</v>
      </c>
      <c r="BI121" s="80">
        <f t="shared" si="45"/>
        <v>1063878000</v>
      </c>
      <c r="BJ121" s="80">
        <f t="shared" si="45"/>
        <v>991617982</v>
      </c>
      <c r="BK121" s="80">
        <f t="shared" si="45"/>
        <v>1233878000</v>
      </c>
      <c r="BL121" s="80">
        <f t="shared" si="45"/>
        <v>850384398</v>
      </c>
      <c r="BM121" s="80">
        <f t="shared" si="45"/>
        <v>1028878000</v>
      </c>
      <c r="BN121" s="701">
        <f t="shared" si="45"/>
        <v>715592469</v>
      </c>
      <c r="BO121" s="701">
        <f t="shared" si="45"/>
        <v>1028878000</v>
      </c>
      <c r="BP121" s="701">
        <f t="shared" si="45"/>
        <v>0</v>
      </c>
      <c r="BQ121" s="701">
        <f>SUM(BQ127:BQ152)</f>
        <v>0</v>
      </c>
      <c r="BR121" s="701">
        <f>SUM(BR127:BR152)</f>
        <v>872844000</v>
      </c>
      <c r="BS121" s="701">
        <f t="shared" si="45"/>
        <v>0</v>
      </c>
      <c r="BT121" s="701">
        <f>SUM(BT127:BT152)</f>
        <v>0</v>
      </c>
      <c r="BU121" s="701">
        <f t="shared" si="45"/>
        <v>977844000</v>
      </c>
      <c r="BV121" s="701">
        <f t="shared" si="45"/>
        <v>0</v>
      </c>
      <c r="BW121" s="701">
        <f>SUM(BW127:BW152)</f>
        <v>0</v>
      </c>
      <c r="BX121" s="701">
        <f t="shared" si="45"/>
        <v>977844000</v>
      </c>
      <c r="BY121" s="701">
        <f t="shared" si="45"/>
        <v>0</v>
      </c>
      <c r="BZ121" s="701">
        <f>SUM(BZ127:BZ152)</f>
        <v>0</v>
      </c>
      <c r="CA121" s="701">
        <f t="shared" si="45"/>
        <v>972844000</v>
      </c>
      <c r="CB121" s="701">
        <f t="shared" si="45"/>
        <v>10976393359</v>
      </c>
      <c r="CC121" s="701">
        <f t="shared" si="45"/>
        <v>10976393359</v>
      </c>
      <c r="CD121" s="736"/>
      <c r="CE121" s="327">
        <f>SUM(CE127:CE152)</f>
        <v>706000000</v>
      </c>
      <c r="CF121" s="327">
        <f t="shared" ref="CF121:CP121" si="46">SUM(CF127:CF152)</f>
        <v>706000000</v>
      </c>
      <c r="CG121" s="327">
        <f t="shared" si="46"/>
        <v>706000000</v>
      </c>
      <c r="CH121" s="327">
        <f t="shared" si="46"/>
        <v>656000000</v>
      </c>
      <c r="CI121" s="327">
        <f t="shared" si="46"/>
        <v>656000000</v>
      </c>
      <c r="CJ121" s="327">
        <f t="shared" si="46"/>
        <v>686000000</v>
      </c>
      <c r="CK121" s="327">
        <f t="shared" si="46"/>
        <v>686000000</v>
      </c>
      <c r="CL121" s="327">
        <f t="shared" si="46"/>
        <v>686000000</v>
      </c>
      <c r="CM121" s="327">
        <f t="shared" si="46"/>
        <v>686000000</v>
      </c>
      <c r="CN121" s="327">
        <f t="shared" si="46"/>
        <v>686000000</v>
      </c>
      <c r="CO121" s="327">
        <f t="shared" si="46"/>
        <v>686000000</v>
      </c>
      <c r="CP121" s="327">
        <f t="shared" si="46"/>
        <v>686000000</v>
      </c>
      <c r="CQ121" s="327">
        <f t="shared" si="45"/>
        <v>8232000000</v>
      </c>
      <c r="CR121" s="327">
        <f t="shared" si="45"/>
        <v>9238298854.9381657</v>
      </c>
      <c r="CS121" s="327">
        <f t="shared" si="45"/>
        <v>10004910811.073635</v>
      </c>
      <c r="CT121" s="327">
        <f t="shared" si="45"/>
        <v>10864393588.461945</v>
      </c>
      <c r="CU121" s="327">
        <f>SUM(CU127:CU152)</f>
        <v>11826402125.178501</v>
      </c>
      <c r="CV121" s="57"/>
    </row>
    <row r="122" spans="1:101" ht="15" customHeight="1" outlineLevel="2">
      <c r="A122" s="276" t="s">
        <v>159</v>
      </c>
      <c r="B122" s="277" t="str">
        <f t="shared" ref="B122:B143" si="47">$E$121&amp;$E$6&amp;E122</f>
        <v>PACK SEMARANGPACKAGEADVANCE STABILINDO INDONESIA</v>
      </c>
      <c r="C122" s="276" t="s">
        <v>36</v>
      </c>
      <c r="E122" s="288" t="s">
        <v>41</v>
      </c>
      <c r="F122" s="288"/>
      <c r="G122" s="64">
        <v>12101460</v>
      </c>
      <c r="H122" s="81"/>
      <c r="I122" s="81"/>
      <c r="J122" s="81"/>
      <c r="K122" s="81"/>
      <c r="L122" s="81"/>
      <c r="M122" s="81"/>
      <c r="N122" s="81"/>
      <c r="O122" s="81"/>
      <c r="P122" s="81">
        <v>0</v>
      </c>
      <c r="Q122" s="81"/>
      <c r="R122" s="81"/>
      <c r="S122" s="81"/>
      <c r="T122" s="65">
        <v>0</v>
      </c>
      <c r="U122" s="65">
        <v>0</v>
      </c>
      <c r="V122" s="65">
        <v>0</v>
      </c>
      <c r="W122" s="66">
        <f t="shared" ref="W122:W165" si="48">SUM(H122:S122)</f>
        <v>0</v>
      </c>
      <c r="X122" s="55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61">
        <v>0</v>
      </c>
      <c r="AL122" s="55"/>
      <c r="AM122" s="82"/>
      <c r="AN122" s="82"/>
      <c r="AO122" s="82"/>
      <c r="AP122" s="82"/>
      <c r="AQ122" s="82"/>
      <c r="AR122" s="82"/>
      <c r="AS122" s="82"/>
      <c r="AT122" s="82"/>
      <c r="AU122" s="82"/>
      <c r="AV122" s="82"/>
      <c r="AW122" s="82"/>
      <c r="AX122" s="82"/>
      <c r="AY122" s="122">
        <v>0</v>
      </c>
      <c r="AZ122" s="55"/>
      <c r="BA122" s="639">
        <v>0</v>
      </c>
      <c r="BB122" s="639">
        <v>0</v>
      </c>
      <c r="BC122" s="86"/>
      <c r="BD122" s="639">
        <v>0</v>
      </c>
      <c r="BE122" s="86"/>
      <c r="BF122" s="639">
        <v>0</v>
      </c>
      <c r="BG122" s="86"/>
      <c r="BH122" s="639"/>
      <c r="BI122" s="86"/>
      <c r="BJ122" s="639"/>
      <c r="BK122" s="86"/>
      <c r="BL122" s="639"/>
      <c r="BM122" s="86"/>
      <c r="BN122" s="695">
        <v>0</v>
      </c>
      <c r="BO122" s="696"/>
      <c r="BP122" s="695"/>
      <c r="BQ122" s="696"/>
      <c r="BR122" s="702"/>
      <c r="BS122" s="695"/>
      <c r="BT122" s="696"/>
      <c r="BU122" s="702"/>
      <c r="BV122" s="695"/>
      <c r="BW122" s="696"/>
      <c r="BX122" s="702"/>
      <c r="BY122" s="695"/>
      <c r="BZ122" s="696"/>
      <c r="CA122" s="702"/>
      <c r="CB122" s="720">
        <f t="shared" ref="CB122:CB152" si="49">SUM(BA122,BB122,BD122,BF122,BH122,BJ122,BL122,BN122,BP122,BR122,BU122,BX122,CA122)</f>
        <v>0</v>
      </c>
      <c r="CC122" s="721">
        <f t="shared" ref="CC122:CC152" si="50">SUM(BA122,BB122,BD122,BF122,BH122,BJ122,BL122,BN122,BR122,BU122,BX122,CA122)</f>
        <v>0</v>
      </c>
      <c r="CD122" s="738"/>
      <c r="CE122" s="322"/>
      <c r="CF122" s="322"/>
      <c r="CG122" s="322"/>
      <c r="CH122" s="322"/>
      <c r="CI122" s="322"/>
      <c r="CJ122" s="322"/>
      <c r="CK122" s="322"/>
      <c r="CL122" s="322"/>
      <c r="CM122" s="322"/>
      <c r="CN122" s="322"/>
      <c r="CO122" s="322"/>
      <c r="CP122" s="322"/>
      <c r="CQ122" s="355">
        <f t="shared" ref="CQ122:CQ152" si="51">SUM(CE122,CF122,CG122,CH122,CI122,CJ122,CK122,CL122,CM122,CN122,CO122,CP122)</f>
        <v>0</v>
      </c>
      <c r="CR122" s="356"/>
      <c r="CS122" s="357"/>
      <c r="CT122" s="332"/>
      <c r="CU122" s="358"/>
      <c r="CV122" s="57" t="s">
        <v>42</v>
      </c>
    </row>
    <row r="123" spans="1:101" ht="15" customHeight="1" outlineLevel="2">
      <c r="A123" s="276" t="s">
        <v>159</v>
      </c>
      <c r="B123" s="277" t="str">
        <f t="shared" si="47"/>
        <v>PACK SEMARANGPACKAGEAGUNG KUNCORO TEXTIEL</v>
      </c>
      <c r="C123" s="276" t="s">
        <v>36</v>
      </c>
      <c r="E123" s="288" t="s">
        <v>160</v>
      </c>
      <c r="F123" s="288"/>
      <c r="G123" s="64">
        <v>8550000</v>
      </c>
      <c r="H123" s="81"/>
      <c r="I123" s="81"/>
      <c r="J123" s="81"/>
      <c r="K123" s="81"/>
      <c r="L123" s="81"/>
      <c r="M123" s="81"/>
      <c r="N123" s="81"/>
      <c r="O123" s="81"/>
      <c r="P123" s="81">
        <v>0</v>
      </c>
      <c r="Q123" s="81"/>
      <c r="R123" s="81"/>
      <c r="S123" s="81"/>
      <c r="T123" s="65">
        <v>0</v>
      </c>
      <c r="U123" s="65">
        <v>0</v>
      </c>
      <c r="V123" s="65">
        <v>0</v>
      </c>
      <c r="W123" s="66">
        <f t="shared" si="48"/>
        <v>0</v>
      </c>
      <c r="X123" s="55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2"/>
      <c r="AK123" s="61">
        <v>0</v>
      </c>
      <c r="AL123" s="55"/>
      <c r="AM123" s="82"/>
      <c r="AN123" s="82"/>
      <c r="AO123" s="82"/>
      <c r="AP123" s="82"/>
      <c r="AQ123" s="82"/>
      <c r="AR123" s="82"/>
      <c r="AS123" s="82"/>
      <c r="AT123" s="82"/>
      <c r="AU123" s="82"/>
      <c r="AV123" s="82"/>
      <c r="AW123" s="82"/>
      <c r="AX123" s="82"/>
      <c r="AY123" s="122">
        <v>0</v>
      </c>
      <c r="AZ123" s="55"/>
      <c r="BA123" s="639">
        <v>0</v>
      </c>
      <c r="BB123" s="639">
        <v>0</v>
      </c>
      <c r="BC123" s="86"/>
      <c r="BD123" s="639">
        <v>0</v>
      </c>
      <c r="BE123" s="86"/>
      <c r="BF123" s="639">
        <v>0</v>
      </c>
      <c r="BG123" s="86"/>
      <c r="BH123" s="639"/>
      <c r="BI123" s="86"/>
      <c r="BJ123" s="639"/>
      <c r="BK123" s="86"/>
      <c r="BL123" s="639"/>
      <c r="BM123" s="86"/>
      <c r="BN123" s="695">
        <v>0</v>
      </c>
      <c r="BO123" s="696"/>
      <c r="BP123" s="695"/>
      <c r="BQ123" s="696"/>
      <c r="BR123" s="702"/>
      <c r="BS123" s="695"/>
      <c r="BT123" s="696"/>
      <c r="BU123" s="702"/>
      <c r="BV123" s="695"/>
      <c r="BW123" s="696"/>
      <c r="BX123" s="702"/>
      <c r="BY123" s="695"/>
      <c r="BZ123" s="696"/>
      <c r="CA123" s="702"/>
      <c r="CB123" s="720">
        <f t="shared" si="49"/>
        <v>0</v>
      </c>
      <c r="CC123" s="721">
        <f t="shared" si="50"/>
        <v>0</v>
      </c>
      <c r="CD123" s="738"/>
      <c r="CE123" s="322"/>
      <c r="CF123" s="322"/>
      <c r="CG123" s="322"/>
      <c r="CH123" s="322"/>
      <c r="CI123" s="322"/>
      <c r="CJ123" s="322"/>
      <c r="CK123" s="322"/>
      <c r="CL123" s="322"/>
      <c r="CM123" s="322"/>
      <c r="CN123" s="322"/>
      <c r="CO123" s="322"/>
      <c r="CP123" s="322"/>
      <c r="CQ123" s="355">
        <f t="shared" si="51"/>
        <v>0</v>
      </c>
      <c r="CR123" s="356"/>
      <c r="CS123" s="357"/>
      <c r="CT123" s="332"/>
      <c r="CU123" s="358"/>
      <c r="CV123" s="57" t="s">
        <v>38</v>
      </c>
    </row>
    <row r="124" spans="1:101" ht="15" customHeight="1" outlineLevel="2">
      <c r="A124" s="276" t="s">
        <v>159</v>
      </c>
      <c r="B124" s="277" t="str">
        <f t="shared" si="47"/>
        <v>PACK SEMARANGPACKAGEAGUNG SEJAHTERA SIDORAHARJATEX</v>
      </c>
      <c r="C124" s="276" t="s">
        <v>36</v>
      </c>
      <c r="E124" s="288" t="s">
        <v>161</v>
      </c>
      <c r="F124" s="288"/>
      <c r="G124" s="64">
        <v>422100913</v>
      </c>
      <c r="H124" s="81"/>
      <c r="I124" s="81"/>
      <c r="J124" s="81"/>
      <c r="K124" s="81"/>
      <c r="L124" s="81"/>
      <c r="M124" s="81"/>
      <c r="N124" s="81"/>
      <c r="O124" s="81"/>
      <c r="P124" s="81">
        <v>0</v>
      </c>
      <c r="Q124" s="81"/>
      <c r="R124" s="81"/>
      <c r="S124" s="81"/>
      <c r="T124" s="65">
        <v>0</v>
      </c>
      <c r="U124" s="65">
        <v>0</v>
      </c>
      <c r="V124" s="65">
        <v>0</v>
      </c>
      <c r="W124" s="66">
        <f t="shared" si="48"/>
        <v>0</v>
      </c>
      <c r="X124" s="55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61">
        <v>0</v>
      </c>
      <c r="AL124" s="55"/>
      <c r="AM124" s="82"/>
      <c r="AN124" s="82"/>
      <c r="AO124" s="82"/>
      <c r="AP124" s="82"/>
      <c r="AQ124" s="82"/>
      <c r="AR124" s="82"/>
      <c r="AS124" s="82"/>
      <c r="AT124" s="82"/>
      <c r="AU124" s="82"/>
      <c r="AV124" s="82"/>
      <c r="AW124" s="82"/>
      <c r="AX124" s="82"/>
      <c r="AY124" s="122">
        <v>0</v>
      </c>
      <c r="AZ124" s="55"/>
      <c r="BA124" s="639">
        <v>0</v>
      </c>
      <c r="BB124" s="639">
        <v>0</v>
      </c>
      <c r="BC124" s="86"/>
      <c r="BD124" s="639">
        <v>0</v>
      </c>
      <c r="BE124" s="86"/>
      <c r="BF124" s="639">
        <v>0</v>
      </c>
      <c r="BG124" s="86"/>
      <c r="BH124" s="639"/>
      <c r="BI124" s="86"/>
      <c r="BJ124" s="639"/>
      <c r="BK124" s="86"/>
      <c r="BL124" s="639"/>
      <c r="BM124" s="86"/>
      <c r="BN124" s="695">
        <v>0</v>
      </c>
      <c r="BO124" s="696"/>
      <c r="BP124" s="695"/>
      <c r="BQ124" s="696"/>
      <c r="BR124" s="702"/>
      <c r="BS124" s="695"/>
      <c r="BT124" s="696"/>
      <c r="BU124" s="702"/>
      <c r="BV124" s="695"/>
      <c r="BW124" s="696"/>
      <c r="BX124" s="702"/>
      <c r="BY124" s="695"/>
      <c r="BZ124" s="696"/>
      <c r="CA124" s="702"/>
      <c r="CB124" s="720">
        <f t="shared" si="49"/>
        <v>0</v>
      </c>
      <c r="CC124" s="721">
        <f t="shared" si="50"/>
        <v>0</v>
      </c>
      <c r="CD124" s="738"/>
      <c r="CE124" s="322"/>
      <c r="CF124" s="322"/>
      <c r="CG124" s="322"/>
      <c r="CH124" s="322"/>
      <c r="CI124" s="322"/>
      <c r="CJ124" s="322"/>
      <c r="CK124" s="322"/>
      <c r="CL124" s="322"/>
      <c r="CM124" s="322"/>
      <c r="CN124" s="322"/>
      <c r="CO124" s="322"/>
      <c r="CP124" s="322"/>
      <c r="CQ124" s="355">
        <f t="shared" si="51"/>
        <v>0</v>
      </c>
      <c r="CR124" s="356"/>
      <c r="CS124" s="357"/>
      <c r="CT124" s="332"/>
      <c r="CU124" s="358"/>
      <c r="CV124" s="57" t="s">
        <v>38</v>
      </c>
    </row>
    <row r="125" spans="1:101" ht="15" customHeight="1" outlineLevel="2">
      <c r="A125" s="276" t="s">
        <v>159</v>
      </c>
      <c r="B125" s="277" t="str">
        <f t="shared" si="47"/>
        <v>PACK SEMARANGPACKAGEANDALAN DUNIA SEMESTA</v>
      </c>
      <c r="C125" s="276" t="s">
        <v>36</v>
      </c>
      <c r="E125" s="288" t="s">
        <v>44</v>
      </c>
      <c r="F125" s="288"/>
      <c r="G125" s="64">
        <v>30823000</v>
      </c>
      <c r="H125" s="81"/>
      <c r="I125" s="81"/>
      <c r="J125" s="81"/>
      <c r="K125" s="81"/>
      <c r="L125" s="81"/>
      <c r="M125" s="81"/>
      <c r="N125" s="81"/>
      <c r="O125" s="81"/>
      <c r="P125" s="81">
        <v>0</v>
      </c>
      <c r="Q125" s="81"/>
      <c r="R125" s="81"/>
      <c r="S125" s="81"/>
      <c r="T125" s="65">
        <v>0</v>
      </c>
      <c r="U125" s="65">
        <v>0</v>
      </c>
      <c r="V125" s="65">
        <v>0</v>
      </c>
      <c r="W125" s="66">
        <f t="shared" si="48"/>
        <v>0</v>
      </c>
      <c r="X125" s="55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61">
        <v>0</v>
      </c>
      <c r="AL125" s="55"/>
      <c r="AM125" s="82"/>
      <c r="AN125" s="82"/>
      <c r="AO125" s="82"/>
      <c r="AP125" s="82"/>
      <c r="AQ125" s="82"/>
      <c r="AR125" s="82"/>
      <c r="AS125" s="82"/>
      <c r="AT125" s="82"/>
      <c r="AU125" s="82"/>
      <c r="AV125" s="82"/>
      <c r="AW125" s="82"/>
      <c r="AX125" s="82"/>
      <c r="AY125" s="122">
        <v>0</v>
      </c>
      <c r="AZ125" s="55"/>
      <c r="BA125" s="639">
        <v>0</v>
      </c>
      <c r="BB125" s="639">
        <v>0</v>
      </c>
      <c r="BC125" s="86"/>
      <c r="BD125" s="639">
        <v>0</v>
      </c>
      <c r="BE125" s="86"/>
      <c r="BF125" s="639">
        <v>0</v>
      </c>
      <c r="BG125" s="86"/>
      <c r="BH125" s="639"/>
      <c r="BI125" s="86"/>
      <c r="BJ125" s="639"/>
      <c r="BK125" s="86"/>
      <c r="BL125" s="639"/>
      <c r="BM125" s="86"/>
      <c r="BN125" s="695">
        <v>0</v>
      </c>
      <c r="BO125" s="696"/>
      <c r="BP125" s="695"/>
      <c r="BQ125" s="696"/>
      <c r="BR125" s="702"/>
      <c r="BS125" s="695"/>
      <c r="BT125" s="696"/>
      <c r="BU125" s="702"/>
      <c r="BV125" s="695"/>
      <c r="BW125" s="696"/>
      <c r="BX125" s="702"/>
      <c r="BY125" s="695"/>
      <c r="BZ125" s="696"/>
      <c r="CA125" s="702"/>
      <c r="CB125" s="720">
        <f t="shared" si="49"/>
        <v>0</v>
      </c>
      <c r="CC125" s="721">
        <f t="shared" si="50"/>
        <v>0</v>
      </c>
      <c r="CD125" s="738"/>
      <c r="CE125" s="322"/>
      <c r="CF125" s="322"/>
      <c r="CG125" s="322"/>
      <c r="CH125" s="322"/>
      <c r="CI125" s="322"/>
      <c r="CJ125" s="322"/>
      <c r="CK125" s="322"/>
      <c r="CL125" s="322"/>
      <c r="CM125" s="322"/>
      <c r="CN125" s="322"/>
      <c r="CO125" s="322"/>
      <c r="CP125" s="322"/>
      <c r="CQ125" s="355">
        <f t="shared" si="51"/>
        <v>0</v>
      </c>
      <c r="CR125" s="356"/>
      <c r="CS125" s="357"/>
      <c r="CT125" s="332"/>
      <c r="CU125" s="358"/>
      <c r="CV125" s="57" t="s">
        <v>38</v>
      </c>
    </row>
    <row r="126" spans="1:101" ht="15" customHeight="1" outlineLevel="2">
      <c r="A126" s="276" t="s">
        <v>159</v>
      </c>
      <c r="B126" s="277" t="str">
        <f t="shared" si="47"/>
        <v>PACK SEMARANGPACKAGEANUGRAH KERTAS UTAMA</v>
      </c>
      <c r="C126" s="276" t="s">
        <v>36</v>
      </c>
      <c r="D126" s="276" t="s">
        <v>40</v>
      </c>
      <c r="E126" s="288" t="s">
        <v>46</v>
      </c>
      <c r="F126" s="288"/>
      <c r="G126" s="64">
        <v>452040000</v>
      </c>
      <c r="H126" s="65">
        <v>29560000</v>
      </c>
      <c r="I126" s="65">
        <v>14020000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81">
        <v>0</v>
      </c>
      <c r="Q126" s="81"/>
      <c r="R126" s="81"/>
      <c r="S126" s="81"/>
      <c r="T126" s="65">
        <v>0</v>
      </c>
      <c r="U126" s="65">
        <v>0</v>
      </c>
      <c r="V126" s="65">
        <v>0</v>
      </c>
      <c r="W126" s="66">
        <f t="shared" si="48"/>
        <v>43580000</v>
      </c>
      <c r="X126" s="55"/>
      <c r="Y126" s="57">
        <v>0</v>
      </c>
      <c r="Z126" s="57">
        <v>0</v>
      </c>
      <c r="AA126" s="57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7">
        <v>0</v>
      </c>
      <c r="AI126" s="57">
        <v>0</v>
      </c>
      <c r="AJ126" s="57">
        <v>0</v>
      </c>
      <c r="AK126" s="61">
        <v>0</v>
      </c>
      <c r="AL126" s="55"/>
      <c r="AM126" s="57">
        <v>0</v>
      </c>
      <c r="AN126" s="57">
        <v>0</v>
      </c>
      <c r="AO126" s="57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7">
        <v>0</v>
      </c>
      <c r="AW126" s="57">
        <v>0</v>
      </c>
      <c r="AX126" s="57">
        <v>0</v>
      </c>
      <c r="AY126" s="122">
        <v>0</v>
      </c>
      <c r="AZ126" s="55"/>
      <c r="BA126" s="639">
        <v>0</v>
      </c>
      <c r="BB126" s="639">
        <v>0</v>
      </c>
      <c r="BC126" s="86"/>
      <c r="BD126" s="639">
        <v>0</v>
      </c>
      <c r="BE126" s="86"/>
      <c r="BF126" s="639">
        <v>0</v>
      </c>
      <c r="BG126" s="86"/>
      <c r="BH126" s="639"/>
      <c r="BI126" s="86"/>
      <c r="BJ126" s="639"/>
      <c r="BK126" s="86"/>
      <c r="BL126" s="639"/>
      <c r="BM126" s="86"/>
      <c r="BN126" s="695">
        <v>0</v>
      </c>
      <c r="BO126" s="696"/>
      <c r="BP126" s="695"/>
      <c r="BQ126" s="696"/>
      <c r="BR126" s="702"/>
      <c r="BS126" s="695"/>
      <c r="BT126" s="696"/>
      <c r="BU126" s="702"/>
      <c r="BV126" s="695"/>
      <c r="BW126" s="696"/>
      <c r="BX126" s="702"/>
      <c r="BY126" s="695"/>
      <c r="BZ126" s="696"/>
      <c r="CA126" s="702"/>
      <c r="CB126" s="720">
        <f t="shared" si="49"/>
        <v>0</v>
      </c>
      <c r="CC126" s="721">
        <f t="shared" si="50"/>
        <v>0</v>
      </c>
      <c r="CD126" s="738"/>
      <c r="CE126" s="322"/>
      <c r="CF126" s="322"/>
      <c r="CG126" s="322"/>
      <c r="CH126" s="322"/>
      <c r="CI126" s="322"/>
      <c r="CJ126" s="322"/>
      <c r="CK126" s="322"/>
      <c r="CL126" s="322"/>
      <c r="CM126" s="322"/>
      <c r="CN126" s="322"/>
      <c r="CO126" s="322"/>
      <c r="CP126" s="322"/>
      <c r="CQ126" s="355">
        <f t="shared" si="51"/>
        <v>0</v>
      </c>
      <c r="CR126" s="356">
        <f>CQ126*1.07</f>
        <v>0</v>
      </c>
      <c r="CS126" s="357">
        <f>CR126*1.07</f>
        <v>0</v>
      </c>
      <c r="CT126" s="332">
        <f>CS126*1.07</f>
        <v>0</v>
      </c>
      <c r="CU126" s="358">
        <f>CT126*1.07</f>
        <v>0</v>
      </c>
      <c r="CV126" s="57" t="s">
        <v>38</v>
      </c>
    </row>
    <row r="127" spans="1:101" ht="15" customHeight="1" outlineLevel="2">
      <c r="A127" s="276" t="s">
        <v>159</v>
      </c>
      <c r="B127" s="277" t="str">
        <f t="shared" si="47"/>
        <v>PACK SEMARANGPACKAGEASIA PACIFIC RAYON</v>
      </c>
      <c r="C127" s="276" t="s">
        <v>36</v>
      </c>
      <c r="D127" s="276" t="s">
        <v>40</v>
      </c>
      <c r="E127" s="288" t="s">
        <v>48</v>
      </c>
      <c r="F127" s="303">
        <v>3000016576</v>
      </c>
      <c r="G127" s="64">
        <v>10928723482</v>
      </c>
      <c r="H127" s="65">
        <v>1254484620</v>
      </c>
      <c r="I127" s="65">
        <v>415344000</v>
      </c>
      <c r="J127" s="65">
        <v>418167742</v>
      </c>
      <c r="K127" s="65">
        <v>415344000</v>
      </c>
      <c r="L127" s="65">
        <v>611431535</v>
      </c>
      <c r="M127" s="65">
        <v>610266000</v>
      </c>
      <c r="N127" s="65">
        <v>613766000</v>
      </c>
      <c r="O127" s="65">
        <v>610266000</v>
      </c>
      <c r="P127" s="81">
        <v>622380534</v>
      </c>
      <c r="Q127" s="81">
        <v>513472745</v>
      </c>
      <c r="R127" s="81">
        <v>415344000</v>
      </c>
      <c r="S127" s="81">
        <v>415344000</v>
      </c>
      <c r="T127" s="83">
        <f>613766000-100000000</f>
        <v>513766000</v>
      </c>
      <c r="U127" s="65">
        <v>415344000</v>
      </c>
      <c r="V127" s="65">
        <v>415344000</v>
      </c>
      <c r="W127" s="66">
        <f t="shared" si="48"/>
        <v>6915611176</v>
      </c>
      <c r="X127" s="55"/>
      <c r="Y127" s="67">
        <f t="shared" ref="Y127:AG127" si="52">415000000</f>
        <v>415000000</v>
      </c>
      <c r="Z127" s="67">
        <f t="shared" si="52"/>
        <v>415000000</v>
      </c>
      <c r="AA127" s="67">
        <f t="shared" si="52"/>
        <v>415000000</v>
      </c>
      <c r="AB127" s="67">
        <f t="shared" si="52"/>
        <v>415000000</v>
      </c>
      <c r="AC127" s="67">
        <f t="shared" si="52"/>
        <v>415000000</v>
      </c>
      <c r="AD127" s="67">
        <f t="shared" si="52"/>
        <v>415000000</v>
      </c>
      <c r="AE127" s="67">
        <f t="shared" si="52"/>
        <v>415000000</v>
      </c>
      <c r="AF127" s="67">
        <f t="shared" si="52"/>
        <v>415000000</v>
      </c>
      <c r="AG127" s="67">
        <f t="shared" si="52"/>
        <v>415000000</v>
      </c>
      <c r="AH127" s="67">
        <f>500000000</f>
        <v>500000000</v>
      </c>
      <c r="AI127" s="67">
        <f>500000000</f>
        <v>500000000</v>
      </c>
      <c r="AJ127" s="67">
        <f>500000000</f>
        <v>500000000</v>
      </c>
      <c r="AK127" s="61">
        <v>5235000000</v>
      </c>
      <c r="AL127" s="55"/>
      <c r="AM127" s="67">
        <v>415000000</v>
      </c>
      <c r="AN127" s="67">
        <v>415000000</v>
      </c>
      <c r="AO127" s="67">
        <v>415000000</v>
      </c>
      <c r="AP127" s="67">
        <v>415000000</v>
      </c>
      <c r="AQ127" s="67">
        <v>415000000</v>
      </c>
      <c r="AR127" s="67">
        <v>415000000</v>
      </c>
      <c r="AS127" s="67">
        <v>415000000</v>
      </c>
      <c r="AT127" s="67">
        <v>415000000</v>
      </c>
      <c r="AU127" s="67">
        <v>415000000</v>
      </c>
      <c r="AV127" s="67">
        <v>500000000</v>
      </c>
      <c r="AW127" s="67">
        <v>500000000</v>
      </c>
      <c r="AX127" s="67">
        <v>500000000</v>
      </c>
      <c r="AY127" s="122">
        <v>5235000000</v>
      </c>
      <c r="AZ127" s="55"/>
      <c r="BA127" s="639">
        <v>415344000</v>
      </c>
      <c r="BB127" s="639">
        <v>415344000</v>
      </c>
      <c r="BC127" s="86">
        <f>BA127</f>
        <v>415344000</v>
      </c>
      <c r="BD127" s="639">
        <v>415344000</v>
      </c>
      <c r="BE127" s="86">
        <f>BC127</f>
        <v>415344000</v>
      </c>
      <c r="BF127" s="639">
        <v>415344000</v>
      </c>
      <c r="BG127" s="86">
        <f>BE127</f>
        <v>415344000</v>
      </c>
      <c r="BH127" s="639">
        <v>415344000</v>
      </c>
      <c r="BI127" s="86">
        <f>BG127+60000000</f>
        <v>475344000</v>
      </c>
      <c r="BJ127" s="639">
        <v>542484000</v>
      </c>
      <c r="BK127" s="86">
        <f>BI127+140000000</f>
        <v>615344000</v>
      </c>
      <c r="BL127" s="639">
        <v>542484000</v>
      </c>
      <c r="BM127" s="86">
        <f>BI127</f>
        <v>475344000</v>
      </c>
      <c r="BN127" s="695">
        <v>415344000</v>
      </c>
      <c r="BO127" s="696">
        <f>BM127</f>
        <v>475344000</v>
      </c>
      <c r="BP127" s="695"/>
      <c r="BQ127" s="696">
        <f>BP127</f>
        <v>0</v>
      </c>
      <c r="BR127" s="729">
        <f>BO127</f>
        <v>475344000</v>
      </c>
      <c r="BS127" s="695"/>
      <c r="BT127" s="696">
        <f>BS127</f>
        <v>0</v>
      </c>
      <c r="BU127" s="729">
        <f>BR127</f>
        <v>475344000</v>
      </c>
      <c r="BV127" s="695"/>
      <c r="BW127" s="696">
        <f>BV127</f>
        <v>0</v>
      </c>
      <c r="BX127" s="729">
        <f>BU127</f>
        <v>475344000</v>
      </c>
      <c r="BY127" s="695"/>
      <c r="BZ127" s="696">
        <f>BY127</f>
        <v>0</v>
      </c>
      <c r="CA127" s="729">
        <f>BX127</f>
        <v>475344000</v>
      </c>
      <c r="CB127" s="720">
        <f t="shared" si="49"/>
        <v>5478408000</v>
      </c>
      <c r="CC127" s="721">
        <f t="shared" si="50"/>
        <v>5478408000</v>
      </c>
      <c r="CD127" s="738"/>
      <c r="CE127" s="322">
        <v>350000000</v>
      </c>
      <c r="CF127" s="322">
        <v>350000000</v>
      </c>
      <c r="CG127" s="322">
        <v>350000000</v>
      </c>
      <c r="CH127" s="322">
        <v>350000000</v>
      </c>
      <c r="CI127" s="322">
        <v>350000000</v>
      </c>
      <c r="CJ127" s="322">
        <v>350000000</v>
      </c>
      <c r="CK127" s="322">
        <v>350000000</v>
      </c>
      <c r="CL127" s="322">
        <v>350000000</v>
      </c>
      <c r="CM127" s="322">
        <v>350000000</v>
      </c>
      <c r="CN127" s="322">
        <v>350000000</v>
      </c>
      <c r="CO127" s="322">
        <v>350000000</v>
      </c>
      <c r="CP127" s="322">
        <v>350000000</v>
      </c>
      <c r="CQ127" s="355">
        <f t="shared" si="51"/>
        <v>4200000000</v>
      </c>
      <c r="CR127" s="356">
        <f>(CQ127*1.17)-180741145.061834</f>
        <v>4733258854.9381657</v>
      </c>
      <c r="CS127" s="357">
        <f>(CR127*1.15)-296076072.105254</f>
        <v>5147171611.0736361</v>
      </c>
      <c r="CT127" s="332">
        <f>(CS127*1.15)-333302932.272737</f>
        <v>5585944420.4619446</v>
      </c>
      <c r="CU127" s="358">
        <f>(CT127*1.15)-333302932.272737</f>
        <v>6090533151.2584991</v>
      </c>
      <c r="CV127" s="57" t="s">
        <v>38</v>
      </c>
      <c r="CW127" s="38">
        <v>1</v>
      </c>
    </row>
    <row r="128" spans="1:101" ht="15" customHeight="1" outlineLevel="2">
      <c r="A128" s="276" t="s">
        <v>159</v>
      </c>
      <c r="B128" s="277" t="str">
        <f t="shared" si="47"/>
        <v>PACK SEMARANGPACKAGEBAHANA PRESTASI</v>
      </c>
      <c r="C128" s="276" t="s">
        <v>36</v>
      </c>
      <c r="E128" s="288" t="s">
        <v>51</v>
      </c>
      <c r="F128" s="303">
        <v>8000000027</v>
      </c>
      <c r="G128" s="64">
        <v>214431548</v>
      </c>
      <c r="H128" s="81"/>
      <c r="I128" s="81"/>
      <c r="J128" s="81"/>
      <c r="K128" s="81"/>
      <c r="L128" s="81"/>
      <c r="M128" s="81"/>
      <c r="N128" s="81"/>
      <c r="O128" s="81"/>
      <c r="P128" s="81">
        <v>0</v>
      </c>
      <c r="Q128" s="81"/>
      <c r="R128" s="81"/>
      <c r="S128" s="81"/>
      <c r="T128" s="65">
        <v>0</v>
      </c>
      <c r="U128" s="65">
        <v>0</v>
      </c>
      <c r="V128" s="65">
        <v>0</v>
      </c>
      <c r="W128" s="66">
        <f t="shared" si="48"/>
        <v>0</v>
      </c>
      <c r="X128" s="55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61">
        <v>0</v>
      </c>
      <c r="AL128" s="55"/>
      <c r="AM128" s="82"/>
      <c r="AN128" s="82"/>
      <c r="AO128" s="82"/>
      <c r="AP128" s="82"/>
      <c r="AQ128" s="82"/>
      <c r="AR128" s="82"/>
      <c r="AS128" s="82"/>
      <c r="AT128" s="82"/>
      <c r="AU128" s="82"/>
      <c r="AV128" s="82"/>
      <c r="AW128" s="82"/>
      <c r="AX128" s="82"/>
      <c r="AY128" s="122">
        <v>0</v>
      </c>
      <c r="AZ128" s="55"/>
      <c r="BA128" s="639">
        <v>0</v>
      </c>
      <c r="BB128" s="639">
        <v>0</v>
      </c>
      <c r="BC128" s="86"/>
      <c r="BD128" s="639">
        <v>0</v>
      </c>
      <c r="BE128" s="86"/>
      <c r="BF128" s="639"/>
      <c r="BG128" s="86"/>
      <c r="BH128" s="639"/>
      <c r="BI128" s="86"/>
      <c r="BJ128" s="639"/>
      <c r="BK128" s="86"/>
      <c r="BL128" s="639"/>
      <c r="BM128" s="86"/>
      <c r="BN128" s="695">
        <v>0</v>
      </c>
      <c r="BO128" s="696"/>
      <c r="BP128" s="695"/>
      <c r="BQ128" s="696"/>
      <c r="BR128" s="729"/>
      <c r="BS128" s="695"/>
      <c r="BT128" s="696"/>
      <c r="BU128" s="729"/>
      <c r="BV128" s="695"/>
      <c r="BW128" s="696"/>
      <c r="BX128" s="729"/>
      <c r="BY128" s="695"/>
      <c r="BZ128" s="696"/>
      <c r="CA128" s="729"/>
      <c r="CB128" s="720">
        <f t="shared" si="49"/>
        <v>0</v>
      </c>
      <c r="CC128" s="721">
        <f t="shared" si="50"/>
        <v>0</v>
      </c>
      <c r="CD128" s="738"/>
      <c r="CE128" s="322"/>
      <c r="CF128" s="322"/>
      <c r="CG128" s="322"/>
      <c r="CH128" s="322"/>
      <c r="CI128" s="322"/>
      <c r="CJ128" s="322"/>
      <c r="CK128" s="322"/>
      <c r="CL128" s="322"/>
      <c r="CM128" s="322"/>
      <c r="CN128" s="322"/>
      <c r="CO128" s="322"/>
      <c r="CP128" s="322"/>
      <c r="CQ128" s="355">
        <f t="shared" si="51"/>
        <v>0</v>
      </c>
      <c r="CR128" s="356"/>
      <c r="CS128" s="357"/>
      <c r="CT128" s="332"/>
      <c r="CU128" s="358"/>
      <c r="CV128" s="57" t="s">
        <v>38</v>
      </c>
    </row>
    <row r="129" spans="1:100" ht="15" customHeight="1" outlineLevel="2">
      <c r="A129" s="276" t="s">
        <v>159</v>
      </c>
      <c r="B129" s="277" t="str">
        <f t="shared" si="47"/>
        <v>PACK SEMARANGPACKAGEBERKAT MANUNGGAL JAYA</v>
      </c>
      <c r="C129" s="276" t="s">
        <v>36</v>
      </c>
      <c r="E129" s="288" t="s">
        <v>162</v>
      </c>
      <c r="F129" s="303"/>
      <c r="G129" s="64">
        <v>7500000</v>
      </c>
      <c r="H129" s="81"/>
      <c r="I129" s="81"/>
      <c r="J129" s="81"/>
      <c r="K129" s="81"/>
      <c r="L129" s="81"/>
      <c r="M129" s="81"/>
      <c r="N129" s="81"/>
      <c r="O129" s="81"/>
      <c r="P129" s="81">
        <v>0</v>
      </c>
      <c r="Q129" s="81"/>
      <c r="R129" s="81"/>
      <c r="S129" s="81"/>
      <c r="T129" s="65">
        <v>0</v>
      </c>
      <c r="U129" s="65">
        <v>0</v>
      </c>
      <c r="V129" s="65">
        <v>0</v>
      </c>
      <c r="W129" s="66">
        <f t="shared" si="48"/>
        <v>0</v>
      </c>
      <c r="X129" s="55"/>
      <c r="Y129" s="82"/>
      <c r="Z129" s="82"/>
      <c r="AA129" s="82"/>
      <c r="AB129" s="82"/>
      <c r="AC129" s="82"/>
      <c r="AD129" s="82"/>
      <c r="AE129" s="82"/>
      <c r="AF129" s="82"/>
      <c r="AG129" s="82"/>
      <c r="AH129" s="82"/>
      <c r="AI129" s="82"/>
      <c r="AJ129" s="82"/>
      <c r="AK129" s="61">
        <v>0</v>
      </c>
      <c r="AL129" s="55"/>
      <c r="AM129" s="82"/>
      <c r="AN129" s="82"/>
      <c r="AO129" s="82"/>
      <c r="AP129" s="82"/>
      <c r="AQ129" s="82"/>
      <c r="AR129" s="82"/>
      <c r="AS129" s="82"/>
      <c r="AT129" s="82"/>
      <c r="AU129" s="82"/>
      <c r="AV129" s="82"/>
      <c r="AW129" s="82"/>
      <c r="AX129" s="82"/>
      <c r="AY129" s="122">
        <v>0</v>
      </c>
      <c r="AZ129" s="55"/>
      <c r="BA129" s="639">
        <v>0</v>
      </c>
      <c r="BB129" s="639">
        <v>0</v>
      </c>
      <c r="BC129" s="86"/>
      <c r="BD129" s="639">
        <v>0</v>
      </c>
      <c r="BE129" s="86"/>
      <c r="BF129" s="639"/>
      <c r="BG129" s="86"/>
      <c r="BH129" s="639"/>
      <c r="BI129" s="86"/>
      <c r="BJ129" s="639"/>
      <c r="BK129" s="86"/>
      <c r="BL129" s="639"/>
      <c r="BM129" s="86"/>
      <c r="BN129" s="695">
        <v>0</v>
      </c>
      <c r="BO129" s="696"/>
      <c r="BP129" s="695"/>
      <c r="BQ129" s="696"/>
      <c r="BR129" s="729"/>
      <c r="BS129" s="695"/>
      <c r="BT129" s="696"/>
      <c r="BU129" s="729"/>
      <c r="BV129" s="695"/>
      <c r="BW129" s="696"/>
      <c r="BX129" s="729"/>
      <c r="BY129" s="695"/>
      <c r="BZ129" s="696"/>
      <c r="CA129" s="729"/>
      <c r="CB129" s="720">
        <f t="shared" si="49"/>
        <v>0</v>
      </c>
      <c r="CC129" s="721">
        <f t="shared" si="50"/>
        <v>0</v>
      </c>
      <c r="CD129" s="738"/>
      <c r="CE129" s="322"/>
      <c r="CF129" s="322"/>
      <c r="CG129" s="322"/>
      <c r="CH129" s="322"/>
      <c r="CI129" s="322"/>
      <c r="CJ129" s="322"/>
      <c r="CK129" s="322"/>
      <c r="CL129" s="322"/>
      <c r="CM129" s="322"/>
      <c r="CN129" s="322"/>
      <c r="CO129" s="322"/>
      <c r="CP129" s="322"/>
      <c r="CQ129" s="355">
        <f t="shared" si="51"/>
        <v>0</v>
      </c>
      <c r="CR129" s="356"/>
      <c r="CS129" s="357"/>
      <c r="CT129" s="332"/>
      <c r="CU129" s="358"/>
      <c r="CV129" s="57" t="s">
        <v>38</v>
      </c>
    </row>
    <row r="130" spans="1:100" ht="15" customHeight="1" outlineLevel="2">
      <c r="A130" s="276" t="s">
        <v>159</v>
      </c>
      <c r="B130" s="277" t="str">
        <f t="shared" si="47"/>
        <v>PACK SEMARANGPACKAGEBINA SINAR AMITY</v>
      </c>
      <c r="C130" s="276" t="s">
        <v>36</v>
      </c>
      <c r="D130" s="276" t="s">
        <v>40</v>
      </c>
      <c r="E130" s="288" t="s">
        <v>163</v>
      </c>
      <c r="F130" s="303">
        <v>3000018197</v>
      </c>
      <c r="G130" s="64">
        <v>264310181</v>
      </c>
      <c r="H130" s="65">
        <v>38951000</v>
      </c>
      <c r="I130" s="65">
        <v>77902000</v>
      </c>
      <c r="J130" s="65">
        <v>38951000</v>
      </c>
      <c r="K130" s="65">
        <v>39262000</v>
      </c>
      <c r="L130" s="65">
        <v>40195000</v>
      </c>
      <c r="M130" s="65">
        <v>39262000</v>
      </c>
      <c r="N130" s="65">
        <v>43115943</v>
      </c>
      <c r="O130" s="65">
        <v>35408057</v>
      </c>
      <c r="P130" s="81">
        <v>39262000</v>
      </c>
      <c r="Q130" s="81">
        <v>2762903</v>
      </c>
      <c r="R130" s="81">
        <v>65841465</v>
      </c>
      <c r="S130" s="81">
        <v>25629520</v>
      </c>
      <c r="T130" s="83">
        <v>15000000</v>
      </c>
      <c r="U130" s="83">
        <v>15000000</v>
      </c>
      <c r="V130" s="83">
        <v>15000000</v>
      </c>
      <c r="W130" s="66">
        <f t="shared" si="48"/>
        <v>486542888</v>
      </c>
      <c r="X130" s="55"/>
      <c r="Y130" s="67">
        <f t="shared" ref="Y130:AJ130" si="53">15000000</f>
        <v>15000000</v>
      </c>
      <c r="Z130" s="67">
        <f t="shared" si="53"/>
        <v>15000000</v>
      </c>
      <c r="AA130" s="67">
        <f t="shared" si="53"/>
        <v>15000000</v>
      </c>
      <c r="AB130" s="67">
        <f t="shared" si="53"/>
        <v>15000000</v>
      </c>
      <c r="AC130" s="67">
        <f t="shared" si="53"/>
        <v>15000000</v>
      </c>
      <c r="AD130" s="67">
        <f t="shared" si="53"/>
        <v>15000000</v>
      </c>
      <c r="AE130" s="67">
        <f t="shared" si="53"/>
        <v>15000000</v>
      </c>
      <c r="AF130" s="67">
        <f t="shared" si="53"/>
        <v>15000000</v>
      </c>
      <c r="AG130" s="67">
        <f t="shared" si="53"/>
        <v>15000000</v>
      </c>
      <c r="AH130" s="67">
        <f t="shared" si="53"/>
        <v>15000000</v>
      </c>
      <c r="AI130" s="67">
        <f t="shared" si="53"/>
        <v>15000000</v>
      </c>
      <c r="AJ130" s="67">
        <f t="shared" si="53"/>
        <v>15000000</v>
      </c>
      <c r="AK130" s="61">
        <v>180000000</v>
      </c>
      <c r="AL130" s="55"/>
      <c r="AM130" s="67">
        <v>15000000</v>
      </c>
      <c r="AN130" s="67">
        <v>15000000</v>
      </c>
      <c r="AO130" s="67">
        <v>15000000</v>
      </c>
      <c r="AP130" s="67">
        <v>15000000</v>
      </c>
      <c r="AQ130" s="67">
        <v>15000000</v>
      </c>
      <c r="AR130" s="67">
        <v>15000000</v>
      </c>
      <c r="AS130" s="67">
        <v>15000000</v>
      </c>
      <c r="AT130" s="67">
        <v>15000000</v>
      </c>
      <c r="AU130" s="67">
        <v>15000000</v>
      </c>
      <c r="AV130" s="67">
        <v>15000000</v>
      </c>
      <c r="AW130" s="67">
        <v>15000000</v>
      </c>
      <c r="AX130" s="67">
        <v>15000000</v>
      </c>
      <c r="AY130" s="122">
        <v>180000000</v>
      </c>
      <c r="AZ130" s="55"/>
      <c r="BA130" s="639">
        <v>24484863</v>
      </c>
      <c r="BB130" s="639">
        <v>27201634</v>
      </c>
      <c r="BC130" s="86">
        <v>25000000</v>
      </c>
      <c r="BD130" s="639">
        <v>27981764</v>
      </c>
      <c r="BE130" s="86">
        <v>30000000</v>
      </c>
      <c r="BF130" s="639">
        <v>55736401</v>
      </c>
      <c r="BG130" s="86">
        <v>30000000</v>
      </c>
      <c r="BH130" s="639">
        <v>25404068</v>
      </c>
      <c r="BI130" s="86">
        <v>30000000</v>
      </c>
      <c r="BJ130" s="639">
        <v>-4041479</v>
      </c>
      <c r="BK130" s="86">
        <f>BI130</f>
        <v>30000000</v>
      </c>
      <c r="BL130" s="639">
        <v>21080305</v>
      </c>
      <c r="BM130" s="86">
        <f>BK130</f>
        <v>30000000</v>
      </c>
      <c r="BN130" s="695">
        <v>20481605</v>
      </c>
      <c r="BO130" s="696">
        <f>BM130</f>
        <v>30000000</v>
      </c>
      <c r="BP130" s="695"/>
      <c r="BQ130" s="696">
        <f>BP130</f>
        <v>0</v>
      </c>
      <c r="BR130" s="729">
        <f>BO130</f>
        <v>30000000</v>
      </c>
      <c r="BS130" s="695"/>
      <c r="BT130" s="696">
        <f>BS130</f>
        <v>0</v>
      </c>
      <c r="BU130" s="729">
        <f>BR130</f>
        <v>30000000</v>
      </c>
      <c r="BV130" s="695"/>
      <c r="BW130" s="696">
        <f>BV130</f>
        <v>0</v>
      </c>
      <c r="BX130" s="729">
        <f>BU130</f>
        <v>30000000</v>
      </c>
      <c r="BY130" s="695"/>
      <c r="BZ130" s="696">
        <f>BY130</f>
        <v>0</v>
      </c>
      <c r="CA130" s="729">
        <f>BX130</f>
        <v>30000000</v>
      </c>
      <c r="CB130" s="720">
        <f t="shared" si="49"/>
        <v>318329161</v>
      </c>
      <c r="CC130" s="721">
        <f t="shared" si="50"/>
        <v>318329161</v>
      </c>
      <c r="CD130" s="738"/>
      <c r="CE130" s="322"/>
      <c r="CF130" s="322"/>
      <c r="CG130" s="322"/>
      <c r="CH130" s="322"/>
      <c r="CI130" s="322"/>
      <c r="CJ130" s="322"/>
      <c r="CK130" s="322"/>
      <c r="CL130" s="322"/>
      <c r="CM130" s="322"/>
      <c r="CN130" s="322"/>
      <c r="CO130" s="322"/>
      <c r="CP130" s="322"/>
      <c r="CQ130" s="355">
        <f t="shared" si="51"/>
        <v>0</v>
      </c>
      <c r="CR130" s="356">
        <f>CQ130*1.17</f>
        <v>0</v>
      </c>
      <c r="CS130" s="357">
        <f>CR130*1.08</f>
        <v>0</v>
      </c>
      <c r="CT130" s="332">
        <f>CS130*1.09</f>
        <v>0</v>
      </c>
      <c r="CU130" s="358">
        <f>CT130*1.09</f>
        <v>0</v>
      </c>
      <c r="CV130" s="57" t="s">
        <v>38</v>
      </c>
    </row>
    <row r="131" spans="1:100" ht="15" customHeight="1" outlineLevel="2">
      <c r="A131" s="276" t="s">
        <v>159</v>
      </c>
      <c r="B131" s="277" t="str">
        <f t="shared" si="47"/>
        <v>PACK SEMARANGPACKAGEBINTANG ASAHI TEXTIL</v>
      </c>
      <c r="C131" s="276" t="s">
        <v>36</v>
      </c>
      <c r="E131" s="288" t="s">
        <v>164</v>
      </c>
      <c r="F131" s="303"/>
      <c r="G131" s="64">
        <v>119076298</v>
      </c>
      <c r="H131" s="81"/>
      <c r="I131" s="81"/>
      <c r="J131" s="81"/>
      <c r="K131" s="81"/>
      <c r="L131" s="81"/>
      <c r="M131" s="81"/>
      <c r="N131" s="81"/>
      <c r="O131" s="81"/>
      <c r="P131" s="81">
        <v>0</v>
      </c>
      <c r="Q131" s="81"/>
      <c r="R131" s="81"/>
      <c r="S131" s="81"/>
      <c r="T131" s="65">
        <v>0</v>
      </c>
      <c r="U131" s="65">
        <v>0</v>
      </c>
      <c r="V131" s="65">
        <v>0</v>
      </c>
      <c r="W131" s="66">
        <f t="shared" si="48"/>
        <v>0</v>
      </c>
      <c r="X131" s="55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  <c r="AJ131" s="82"/>
      <c r="AK131" s="61">
        <v>0</v>
      </c>
      <c r="AL131" s="55"/>
      <c r="AM131" s="82"/>
      <c r="AN131" s="82"/>
      <c r="AO131" s="82"/>
      <c r="AP131" s="82"/>
      <c r="AQ131" s="82"/>
      <c r="AR131" s="82"/>
      <c r="AS131" s="82"/>
      <c r="AT131" s="82"/>
      <c r="AU131" s="82"/>
      <c r="AV131" s="82"/>
      <c r="AW131" s="82"/>
      <c r="AX131" s="82"/>
      <c r="AY131" s="122">
        <v>0</v>
      </c>
      <c r="AZ131" s="55"/>
      <c r="BA131" s="639">
        <v>0</v>
      </c>
      <c r="BB131" s="639">
        <v>0</v>
      </c>
      <c r="BC131" s="86"/>
      <c r="BD131" s="639">
        <v>0</v>
      </c>
      <c r="BE131" s="86"/>
      <c r="BF131" s="639">
        <v>0</v>
      </c>
      <c r="BG131" s="86"/>
      <c r="BH131" s="639"/>
      <c r="BI131" s="86"/>
      <c r="BJ131" s="639">
        <v>0</v>
      </c>
      <c r="BK131" s="86"/>
      <c r="BL131" s="639"/>
      <c r="BM131" s="86"/>
      <c r="BN131" s="695">
        <v>0</v>
      </c>
      <c r="BO131" s="696"/>
      <c r="BP131" s="695"/>
      <c r="BQ131" s="696"/>
      <c r="BR131" s="729"/>
      <c r="BS131" s="695"/>
      <c r="BT131" s="696"/>
      <c r="BU131" s="729"/>
      <c r="BV131" s="695"/>
      <c r="BW131" s="696"/>
      <c r="BX131" s="729"/>
      <c r="BY131" s="695"/>
      <c r="BZ131" s="696"/>
      <c r="CA131" s="729"/>
      <c r="CB131" s="720">
        <f t="shared" si="49"/>
        <v>0</v>
      </c>
      <c r="CC131" s="721">
        <f t="shared" si="50"/>
        <v>0</v>
      </c>
      <c r="CD131" s="738"/>
      <c r="CE131" s="322"/>
      <c r="CF131" s="322"/>
      <c r="CG131" s="322"/>
      <c r="CH131" s="322"/>
      <c r="CI131" s="322"/>
      <c r="CJ131" s="322"/>
      <c r="CK131" s="322"/>
      <c r="CL131" s="322"/>
      <c r="CM131" s="322"/>
      <c r="CN131" s="322"/>
      <c r="CO131" s="322"/>
      <c r="CP131" s="322"/>
      <c r="CQ131" s="355">
        <f t="shared" si="51"/>
        <v>0</v>
      </c>
      <c r="CR131" s="356"/>
      <c r="CS131" s="357"/>
      <c r="CT131" s="332"/>
      <c r="CU131" s="358"/>
      <c r="CV131" s="57" t="s">
        <v>38</v>
      </c>
    </row>
    <row r="132" spans="1:100" ht="15" customHeight="1" outlineLevel="2">
      <c r="A132" s="276" t="s">
        <v>159</v>
      </c>
      <c r="B132" s="277" t="str">
        <f t="shared" si="47"/>
        <v>PACK SEMARANGPACKAGEBUMI WAHYU JAYA ABADI</v>
      </c>
      <c r="C132" s="276" t="s">
        <v>36</v>
      </c>
      <c r="E132" s="288" t="s">
        <v>165</v>
      </c>
      <c r="F132" s="303"/>
      <c r="G132" s="64">
        <v>10422432</v>
      </c>
      <c r="H132" s="81"/>
      <c r="I132" s="81"/>
      <c r="J132" s="81"/>
      <c r="K132" s="81"/>
      <c r="L132" s="81"/>
      <c r="M132" s="81"/>
      <c r="N132" s="81"/>
      <c r="O132" s="81"/>
      <c r="P132" s="81">
        <v>0</v>
      </c>
      <c r="Q132" s="81"/>
      <c r="R132" s="81"/>
      <c r="S132" s="81"/>
      <c r="T132" s="65">
        <v>0</v>
      </c>
      <c r="U132" s="65">
        <v>0</v>
      </c>
      <c r="V132" s="65">
        <v>0</v>
      </c>
      <c r="W132" s="66">
        <f t="shared" si="48"/>
        <v>0</v>
      </c>
      <c r="X132" s="55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61">
        <v>0</v>
      </c>
      <c r="AL132" s="55"/>
      <c r="AM132" s="82"/>
      <c r="AN132" s="82"/>
      <c r="AO132" s="82"/>
      <c r="AP132" s="82"/>
      <c r="AQ132" s="82"/>
      <c r="AR132" s="82"/>
      <c r="AS132" s="82"/>
      <c r="AT132" s="82"/>
      <c r="AU132" s="82"/>
      <c r="AV132" s="82"/>
      <c r="AW132" s="82"/>
      <c r="AX132" s="82"/>
      <c r="AY132" s="122">
        <v>0</v>
      </c>
      <c r="AZ132" s="55"/>
      <c r="BA132" s="639">
        <v>0</v>
      </c>
      <c r="BB132" s="639">
        <v>0</v>
      </c>
      <c r="BC132" s="86"/>
      <c r="BD132" s="639">
        <v>0</v>
      </c>
      <c r="BE132" s="86"/>
      <c r="BF132" s="639">
        <v>0</v>
      </c>
      <c r="BG132" s="86"/>
      <c r="BH132" s="639"/>
      <c r="BI132" s="86"/>
      <c r="BJ132" s="639">
        <v>0</v>
      </c>
      <c r="BK132" s="86"/>
      <c r="BL132" s="639"/>
      <c r="BM132" s="86"/>
      <c r="BN132" s="695">
        <v>0</v>
      </c>
      <c r="BO132" s="696"/>
      <c r="BP132" s="695"/>
      <c r="BQ132" s="696"/>
      <c r="BR132" s="729"/>
      <c r="BS132" s="695"/>
      <c r="BT132" s="696"/>
      <c r="BU132" s="729"/>
      <c r="BV132" s="695"/>
      <c r="BW132" s="696"/>
      <c r="BX132" s="729"/>
      <c r="BY132" s="695"/>
      <c r="BZ132" s="696"/>
      <c r="CA132" s="729"/>
      <c r="CB132" s="720">
        <f t="shared" si="49"/>
        <v>0</v>
      </c>
      <c r="CC132" s="721">
        <f t="shared" si="50"/>
        <v>0</v>
      </c>
      <c r="CD132" s="738"/>
      <c r="CE132" s="322"/>
      <c r="CF132" s="322"/>
      <c r="CG132" s="322"/>
      <c r="CH132" s="322"/>
      <c r="CI132" s="322"/>
      <c r="CJ132" s="322"/>
      <c r="CK132" s="322"/>
      <c r="CL132" s="322"/>
      <c r="CM132" s="322"/>
      <c r="CN132" s="322"/>
      <c r="CO132" s="322"/>
      <c r="CP132" s="322"/>
      <c r="CQ132" s="355">
        <f t="shared" si="51"/>
        <v>0</v>
      </c>
      <c r="CR132" s="356"/>
      <c r="CS132" s="357"/>
      <c r="CT132" s="332"/>
      <c r="CU132" s="358"/>
      <c r="CV132" s="57" t="s">
        <v>38</v>
      </c>
    </row>
    <row r="133" spans="1:100" ht="15" customHeight="1" outlineLevel="2">
      <c r="A133" s="276" t="s">
        <v>159</v>
      </c>
      <c r="B133" s="277" t="str">
        <f t="shared" si="47"/>
        <v>PACK SEMARANGPACKAGEDUNIA KIMIA JAYA</v>
      </c>
      <c r="C133" s="276" t="s">
        <v>36</v>
      </c>
      <c r="D133" s="276" t="s">
        <v>40</v>
      </c>
      <c r="E133" s="288" t="s">
        <v>66</v>
      </c>
      <c r="F133" s="303">
        <v>8000000015</v>
      </c>
      <c r="G133" s="64">
        <v>75987041</v>
      </c>
      <c r="H133" s="65">
        <v>4390000</v>
      </c>
      <c r="I133" s="65">
        <v>4526000</v>
      </c>
      <c r="J133" s="65">
        <v>2869000</v>
      </c>
      <c r="K133" s="65">
        <v>2830000</v>
      </c>
      <c r="L133" s="65">
        <v>2611000</v>
      </c>
      <c r="M133" s="65">
        <v>2167000</v>
      </c>
      <c r="N133" s="65">
        <v>3220000</v>
      </c>
      <c r="O133" s="65">
        <v>3736000</v>
      </c>
      <c r="P133" s="81">
        <v>3763000</v>
      </c>
      <c r="Q133" s="81">
        <v>5199000</v>
      </c>
      <c r="R133" s="81">
        <v>5455000</v>
      </c>
      <c r="S133" s="81">
        <v>3586000</v>
      </c>
      <c r="T133" s="65">
        <v>3220000</v>
      </c>
      <c r="U133" s="65">
        <v>3220000</v>
      </c>
      <c r="V133" s="65">
        <v>3220000</v>
      </c>
      <c r="W133" s="66">
        <f t="shared" si="48"/>
        <v>44352000</v>
      </c>
      <c r="X133" s="55"/>
      <c r="Y133" s="67">
        <f>V133*1.05</f>
        <v>3381000</v>
      </c>
      <c r="Z133" s="67">
        <v>3381000</v>
      </c>
      <c r="AA133" s="67">
        <v>3381000</v>
      </c>
      <c r="AB133" s="67">
        <v>3381000</v>
      </c>
      <c r="AC133" s="67">
        <v>3381000</v>
      </c>
      <c r="AD133" s="67">
        <v>3381000</v>
      </c>
      <c r="AE133" s="67">
        <v>3381000</v>
      </c>
      <c r="AF133" s="67">
        <v>3381000</v>
      </c>
      <c r="AG133" s="67">
        <v>3381000</v>
      </c>
      <c r="AH133" s="67">
        <v>3381000</v>
      </c>
      <c r="AI133" s="67">
        <v>3381000</v>
      </c>
      <c r="AJ133" s="67">
        <v>3381000</v>
      </c>
      <c r="AK133" s="61">
        <v>40572000</v>
      </c>
      <c r="AL133" s="55"/>
      <c r="AM133" s="67">
        <v>3381000</v>
      </c>
      <c r="AN133" s="67">
        <v>3381000</v>
      </c>
      <c r="AO133" s="67">
        <v>3381000</v>
      </c>
      <c r="AP133" s="67">
        <v>3381000</v>
      </c>
      <c r="AQ133" s="67">
        <v>3381000</v>
      </c>
      <c r="AR133" s="67">
        <v>3381000</v>
      </c>
      <c r="AS133" s="67">
        <v>3381000</v>
      </c>
      <c r="AT133" s="67">
        <v>3381000</v>
      </c>
      <c r="AU133" s="67">
        <v>3381000</v>
      </c>
      <c r="AV133" s="67">
        <v>3381000</v>
      </c>
      <c r="AW133" s="67">
        <v>3381000</v>
      </c>
      <c r="AX133" s="67">
        <v>3381000</v>
      </c>
      <c r="AY133" s="122">
        <v>40572000</v>
      </c>
      <c r="AZ133" s="55"/>
      <c r="BA133" s="639">
        <v>4412000</v>
      </c>
      <c r="BB133" s="639">
        <v>5620000</v>
      </c>
      <c r="BC133" s="86">
        <f>BA133</f>
        <v>4412000</v>
      </c>
      <c r="BD133" s="639">
        <v>5247500</v>
      </c>
      <c r="BE133" s="86">
        <v>5000000</v>
      </c>
      <c r="BF133" s="639">
        <v>5419000</v>
      </c>
      <c r="BG133" s="86">
        <v>5000000</v>
      </c>
      <c r="BH133" s="639">
        <v>4726750</v>
      </c>
      <c r="BI133" s="86">
        <v>5000000</v>
      </c>
      <c r="BJ133" s="639">
        <v>5702750</v>
      </c>
      <c r="BK133" s="86">
        <f>BI133</f>
        <v>5000000</v>
      </c>
      <c r="BL133" s="639">
        <v>4755000</v>
      </c>
      <c r="BM133" s="86"/>
      <c r="BN133" s="695">
        <v>5676250</v>
      </c>
      <c r="BO133" s="696"/>
      <c r="BP133" s="695"/>
      <c r="BQ133" s="696"/>
      <c r="BR133" s="729">
        <v>5000000</v>
      </c>
      <c r="BS133" s="695"/>
      <c r="BT133" s="696"/>
      <c r="BU133" s="729">
        <v>5000000</v>
      </c>
      <c r="BV133" s="695"/>
      <c r="BW133" s="696"/>
      <c r="BX133" s="729">
        <v>5000000</v>
      </c>
      <c r="BY133" s="695"/>
      <c r="BZ133" s="696"/>
      <c r="CA133" s="729">
        <v>5000000</v>
      </c>
      <c r="CB133" s="720">
        <f t="shared" si="49"/>
        <v>61559250</v>
      </c>
      <c r="CC133" s="721">
        <f t="shared" si="50"/>
        <v>61559250</v>
      </c>
      <c r="CD133" s="738"/>
      <c r="CE133" s="322">
        <v>6000000</v>
      </c>
      <c r="CF133" s="322">
        <v>6000000</v>
      </c>
      <c r="CG133" s="322">
        <v>6000000</v>
      </c>
      <c r="CH133" s="322">
        <v>6000000</v>
      </c>
      <c r="CI133" s="322">
        <v>6000000</v>
      </c>
      <c r="CJ133" s="322">
        <v>6000000</v>
      </c>
      <c r="CK133" s="322">
        <v>6000000</v>
      </c>
      <c r="CL133" s="322">
        <v>6000000</v>
      </c>
      <c r="CM133" s="322">
        <v>6000000</v>
      </c>
      <c r="CN133" s="322">
        <v>6000000</v>
      </c>
      <c r="CO133" s="322">
        <v>6000000</v>
      </c>
      <c r="CP133" s="322">
        <v>6000000</v>
      </c>
      <c r="CQ133" s="355">
        <f t="shared" si="51"/>
        <v>72000000</v>
      </c>
      <c r="CR133" s="356">
        <f>CQ133*1.17</f>
        <v>84240000</v>
      </c>
      <c r="CS133" s="357">
        <f>CR133*1.08</f>
        <v>90979200</v>
      </c>
      <c r="CT133" s="332">
        <f>CS133*1.09</f>
        <v>99167328</v>
      </c>
      <c r="CU133" s="358">
        <f>CT133*1.09</f>
        <v>108092387.52000001</v>
      </c>
      <c r="CV133" s="57" t="s">
        <v>38</v>
      </c>
    </row>
    <row r="134" spans="1:100" ht="15" customHeight="1" outlineLevel="2">
      <c r="A134" s="276" t="s">
        <v>159</v>
      </c>
      <c r="B134" s="277" t="str">
        <f t="shared" si="47"/>
        <v>PACK SEMARANGPACKAGEGRAND TEXTILE INDUSTI</v>
      </c>
      <c r="C134" s="276" t="s">
        <v>36</v>
      </c>
      <c r="E134" s="288" t="s">
        <v>166</v>
      </c>
      <c r="F134" s="303"/>
      <c r="G134" s="64">
        <v>2200000</v>
      </c>
      <c r="H134" s="81"/>
      <c r="I134" s="81"/>
      <c r="J134" s="81"/>
      <c r="K134" s="81"/>
      <c r="L134" s="81"/>
      <c r="M134" s="81"/>
      <c r="N134" s="81"/>
      <c r="O134" s="81"/>
      <c r="P134" s="81">
        <v>0</v>
      </c>
      <c r="Q134" s="81"/>
      <c r="R134" s="81"/>
      <c r="S134" s="81"/>
      <c r="T134" s="65">
        <v>0</v>
      </c>
      <c r="U134" s="65">
        <v>0</v>
      </c>
      <c r="V134" s="65">
        <v>0</v>
      </c>
      <c r="W134" s="66">
        <f t="shared" si="48"/>
        <v>0</v>
      </c>
      <c r="X134" s="55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61">
        <v>0</v>
      </c>
      <c r="AL134" s="55"/>
      <c r="AM134" s="82"/>
      <c r="AN134" s="82"/>
      <c r="AO134" s="82"/>
      <c r="AP134" s="82"/>
      <c r="AQ134" s="82"/>
      <c r="AR134" s="82"/>
      <c r="AS134" s="82"/>
      <c r="AT134" s="82"/>
      <c r="AU134" s="82"/>
      <c r="AV134" s="82"/>
      <c r="AW134" s="82"/>
      <c r="AX134" s="82"/>
      <c r="AY134" s="122">
        <v>0</v>
      </c>
      <c r="AZ134" s="55"/>
      <c r="BA134" s="639">
        <v>0</v>
      </c>
      <c r="BB134" s="639">
        <v>0</v>
      </c>
      <c r="BC134" s="86"/>
      <c r="BD134" s="639">
        <v>0</v>
      </c>
      <c r="BE134" s="86"/>
      <c r="BF134" s="639">
        <v>0</v>
      </c>
      <c r="BG134" s="86"/>
      <c r="BH134" s="639"/>
      <c r="BI134" s="86"/>
      <c r="BJ134" s="639">
        <v>0</v>
      </c>
      <c r="BK134" s="86"/>
      <c r="BL134" s="639"/>
      <c r="BM134" s="86"/>
      <c r="BN134" s="695">
        <v>0</v>
      </c>
      <c r="BO134" s="696"/>
      <c r="BP134" s="695"/>
      <c r="BQ134" s="696"/>
      <c r="BR134" s="729"/>
      <c r="BS134" s="695"/>
      <c r="BT134" s="696"/>
      <c r="BU134" s="729"/>
      <c r="BV134" s="695"/>
      <c r="BW134" s="696"/>
      <c r="BX134" s="729"/>
      <c r="BY134" s="695"/>
      <c r="BZ134" s="696"/>
      <c r="CA134" s="729"/>
      <c r="CB134" s="720">
        <f t="shared" si="49"/>
        <v>0</v>
      </c>
      <c r="CC134" s="721">
        <f t="shared" si="50"/>
        <v>0</v>
      </c>
      <c r="CD134" s="738"/>
      <c r="CE134" s="322"/>
      <c r="CF134" s="322"/>
      <c r="CG134" s="322"/>
      <c r="CH134" s="322"/>
      <c r="CI134" s="322"/>
      <c r="CJ134" s="322"/>
      <c r="CK134" s="322"/>
      <c r="CL134" s="322"/>
      <c r="CM134" s="322"/>
      <c r="CN134" s="322"/>
      <c r="CO134" s="322"/>
      <c r="CP134" s="322"/>
      <c r="CQ134" s="355">
        <f t="shared" si="51"/>
        <v>0</v>
      </c>
      <c r="CR134" s="356"/>
      <c r="CS134" s="357"/>
      <c r="CT134" s="332"/>
      <c r="CU134" s="358"/>
      <c r="CV134" s="57" t="s">
        <v>38</v>
      </c>
    </row>
    <row r="135" spans="1:100" ht="15" customHeight="1" outlineLevel="2">
      <c r="A135" s="276" t="s">
        <v>159</v>
      </c>
      <c r="B135" s="277" t="str">
        <f t="shared" si="47"/>
        <v>PACK SEMARANGPACKAGEINDO THAI TRADING</v>
      </c>
      <c r="C135" s="276" t="s">
        <v>36</v>
      </c>
      <c r="D135" s="276" t="s">
        <v>40</v>
      </c>
      <c r="E135" s="288" t="s">
        <v>135</v>
      </c>
      <c r="F135" s="303">
        <v>3000011390</v>
      </c>
      <c r="G135" s="64">
        <v>507959328</v>
      </c>
      <c r="H135" s="65">
        <v>14291335</v>
      </c>
      <c r="I135" s="65">
        <v>13942260</v>
      </c>
      <c r="J135" s="65">
        <v>9878676</v>
      </c>
      <c r="K135" s="65">
        <v>16673201</v>
      </c>
      <c r="L135" s="65">
        <v>27119151</v>
      </c>
      <c r="M135" s="65">
        <v>8435151</v>
      </c>
      <c r="N135" s="65">
        <v>6728151</v>
      </c>
      <c r="O135" s="65">
        <v>5408151</v>
      </c>
      <c r="P135" s="81">
        <v>7940432</v>
      </c>
      <c r="Q135" s="81">
        <v>12944932</v>
      </c>
      <c r="R135" s="81">
        <v>6800932</v>
      </c>
      <c r="S135" s="81">
        <v>8548432</v>
      </c>
      <c r="T135" s="65">
        <v>6728151</v>
      </c>
      <c r="U135" s="65">
        <v>6728151</v>
      </c>
      <c r="V135" s="65">
        <v>6728151</v>
      </c>
      <c r="W135" s="66">
        <f t="shared" si="48"/>
        <v>138710804</v>
      </c>
      <c r="X135" s="55"/>
      <c r="Y135" s="67">
        <f>V135*1.05</f>
        <v>7064558.5500000007</v>
      </c>
      <c r="Z135" s="67">
        <v>7064558.5500000007</v>
      </c>
      <c r="AA135" s="67">
        <v>7064558.5500000007</v>
      </c>
      <c r="AB135" s="67">
        <v>7064558.5500000007</v>
      </c>
      <c r="AC135" s="67">
        <v>7064558.5500000007</v>
      </c>
      <c r="AD135" s="67">
        <v>7064558.5500000007</v>
      </c>
      <c r="AE135" s="67">
        <v>7064558.5500000007</v>
      </c>
      <c r="AF135" s="67">
        <v>7064558.5500000007</v>
      </c>
      <c r="AG135" s="67">
        <v>7064558.5500000007</v>
      </c>
      <c r="AH135" s="67">
        <v>7064558.5500000007</v>
      </c>
      <c r="AI135" s="67">
        <v>7064558.5500000007</v>
      </c>
      <c r="AJ135" s="67">
        <v>7064558.5500000007</v>
      </c>
      <c r="AK135" s="61">
        <v>84774702.599999979</v>
      </c>
      <c r="AL135" s="55"/>
      <c r="AM135" s="67">
        <v>7064558.5500000007</v>
      </c>
      <c r="AN135" s="67">
        <v>7064558.5500000007</v>
      </c>
      <c r="AO135" s="67">
        <v>7064558.5500000007</v>
      </c>
      <c r="AP135" s="67">
        <v>7064558.5500000007</v>
      </c>
      <c r="AQ135" s="67">
        <v>7064558.5500000007</v>
      </c>
      <c r="AR135" s="67">
        <v>7064558.5500000007</v>
      </c>
      <c r="AS135" s="67">
        <v>7064558.5500000007</v>
      </c>
      <c r="AT135" s="67">
        <v>7064558.5500000007</v>
      </c>
      <c r="AU135" s="67">
        <v>7064558.5500000007</v>
      </c>
      <c r="AV135" s="67">
        <v>7064558.5500000007</v>
      </c>
      <c r="AW135" s="67">
        <v>7064558.5500000007</v>
      </c>
      <c r="AX135" s="67">
        <v>7064558.5500000007</v>
      </c>
      <c r="AY135" s="122">
        <v>84774702.599999979</v>
      </c>
      <c r="AZ135" s="55"/>
      <c r="BA135" s="639">
        <v>13303932</v>
      </c>
      <c r="BB135" s="639">
        <v>11811500</v>
      </c>
      <c r="BC135" s="86">
        <v>15000000</v>
      </c>
      <c r="BD135" s="639">
        <v>0</v>
      </c>
      <c r="BE135" s="86">
        <v>10880000</v>
      </c>
      <c r="BF135" s="639">
        <v>0</v>
      </c>
      <c r="BG135" s="86">
        <v>20000000</v>
      </c>
      <c r="BH135" s="639"/>
      <c r="BI135" s="86">
        <v>20000000</v>
      </c>
      <c r="BJ135" s="639">
        <v>0</v>
      </c>
      <c r="BK135" s="86">
        <f>BI135</f>
        <v>20000000</v>
      </c>
      <c r="BL135" s="639"/>
      <c r="BM135" s="86">
        <v>5000000</v>
      </c>
      <c r="BN135" s="695">
        <v>0</v>
      </c>
      <c r="BO135" s="696">
        <f>BM135</f>
        <v>5000000</v>
      </c>
      <c r="BP135" s="695"/>
      <c r="BQ135" s="696">
        <f>BP135</f>
        <v>0</v>
      </c>
      <c r="BR135" s="729">
        <v>2500000</v>
      </c>
      <c r="BS135" s="695"/>
      <c r="BT135" s="696">
        <f>BS135</f>
        <v>0</v>
      </c>
      <c r="BU135" s="729">
        <f>BR135</f>
        <v>2500000</v>
      </c>
      <c r="BV135" s="695"/>
      <c r="BW135" s="696">
        <f>BV135</f>
        <v>0</v>
      </c>
      <c r="BX135" s="729">
        <f>BU135</f>
        <v>2500000</v>
      </c>
      <c r="BY135" s="695"/>
      <c r="BZ135" s="696">
        <f>BY135</f>
        <v>0</v>
      </c>
      <c r="CA135" s="729">
        <f>BX135</f>
        <v>2500000</v>
      </c>
      <c r="CB135" s="720">
        <f t="shared" si="49"/>
        <v>35115432</v>
      </c>
      <c r="CC135" s="721">
        <f t="shared" si="50"/>
        <v>35115432</v>
      </c>
      <c r="CD135" s="738"/>
      <c r="CE135" s="322"/>
      <c r="CF135" s="322"/>
      <c r="CG135" s="322"/>
      <c r="CH135" s="322"/>
      <c r="CI135" s="322"/>
      <c r="CJ135" s="322"/>
      <c r="CK135" s="322"/>
      <c r="CL135" s="322"/>
      <c r="CM135" s="322"/>
      <c r="CN135" s="322"/>
      <c r="CO135" s="322"/>
      <c r="CP135" s="322"/>
      <c r="CQ135" s="355">
        <f t="shared" si="51"/>
        <v>0</v>
      </c>
      <c r="CR135" s="356">
        <f>CQ135*1.17</f>
        <v>0</v>
      </c>
      <c r="CS135" s="357">
        <f>CR135*1.08</f>
        <v>0</v>
      </c>
      <c r="CT135" s="332">
        <f>CS135*1.09</f>
        <v>0</v>
      </c>
      <c r="CU135" s="358">
        <f>CT135*1.09</f>
        <v>0</v>
      </c>
      <c r="CV135" s="57" t="s">
        <v>38</v>
      </c>
    </row>
    <row r="136" spans="1:100" ht="15" customHeight="1" outlineLevel="2">
      <c r="A136" s="276" t="s">
        <v>159</v>
      </c>
      <c r="B136" s="277" t="str">
        <f t="shared" si="47"/>
        <v>PACK SEMARANGPACKAGEINTERNATIONAL FORTUNA EKSPRESINDO</v>
      </c>
      <c r="C136" s="276" t="s">
        <v>36</v>
      </c>
      <c r="D136" s="276" t="s">
        <v>40</v>
      </c>
      <c r="E136" s="288" t="s">
        <v>167</v>
      </c>
      <c r="F136" s="303"/>
      <c r="G136" s="64"/>
      <c r="H136" s="65">
        <v>0</v>
      </c>
      <c r="I136" s="65">
        <v>0</v>
      </c>
      <c r="J136" s="65">
        <v>0</v>
      </c>
      <c r="K136" s="65">
        <v>1520000</v>
      </c>
      <c r="L136" s="65">
        <v>1660000</v>
      </c>
      <c r="M136" s="65">
        <v>190000</v>
      </c>
      <c r="N136" s="65">
        <v>1590000</v>
      </c>
      <c r="O136" s="65">
        <v>1590000</v>
      </c>
      <c r="P136" s="81">
        <v>1590000</v>
      </c>
      <c r="Q136" s="81"/>
      <c r="R136" s="81"/>
      <c r="S136" s="81"/>
      <c r="T136" s="65">
        <v>1590000</v>
      </c>
      <c r="U136" s="65">
        <v>1590000</v>
      </c>
      <c r="V136" s="65">
        <v>1590000</v>
      </c>
      <c r="W136" s="66">
        <f t="shared" si="48"/>
        <v>8140000</v>
      </c>
      <c r="X136" s="55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1">
        <v>0</v>
      </c>
      <c r="AL136" s="55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122">
        <v>0</v>
      </c>
      <c r="AZ136" s="55"/>
      <c r="BA136" s="639">
        <v>0</v>
      </c>
      <c r="BB136" s="639">
        <v>0</v>
      </c>
      <c r="BC136" s="86"/>
      <c r="BD136" s="639">
        <v>0</v>
      </c>
      <c r="BE136" s="86"/>
      <c r="BF136" s="639">
        <v>0</v>
      </c>
      <c r="BG136" s="86"/>
      <c r="BH136" s="639"/>
      <c r="BI136" s="86"/>
      <c r="BJ136" s="639">
        <v>0</v>
      </c>
      <c r="BK136" s="86"/>
      <c r="BL136" s="639"/>
      <c r="BM136" s="86"/>
      <c r="BN136" s="695">
        <v>0</v>
      </c>
      <c r="BO136" s="696"/>
      <c r="BP136" s="695"/>
      <c r="BQ136" s="696"/>
      <c r="BR136" s="729"/>
      <c r="BS136" s="695"/>
      <c r="BT136" s="696"/>
      <c r="BU136" s="729"/>
      <c r="BV136" s="695"/>
      <c r="BW136" s="696"/>
      <c r="BX136" s="729"/>
      <c r="BY136" s="695"/>
      <c r="BZ136" s="696"/>
      <c r="CA136" s="729"/>
      <c r="CB136" s="720">
        <f t="shared" si="49"/>
        <v>0</v>
      </c>
      <c r="CC136" s="721">
        <f t="shared" si="50"/>
        <v>0</v>
      </c>
      <c r="CD136" s="738"/>
      <c r="CE136" s="322"/>
      <c r="CF136" s="322"/>
      <c r="CG136" s="322"/>
      <c r="CH136" s="322"/>
      <c r="CI136" s="322"/>
      <c r="CJ136" s="322"/>
      <c r="CK136" s="322"/>
      <c r="CL136" s="322"/>
      <c r="CM136" s="322"/>
      <c r="CN136" s="322"/>
      <c r="CO136" s="322"/>
      <c r="CP136" s="322"/>
      <c r="CQ136" s="355">
        <f t="shared" si="51"/>
        <v>0</v>
      </c>
      <c r="CR136" s="356">
        <f t="shared" ref="CR136:CU137" si="54">CQ136*1.07</f>
        <v>0</v>
      </c>
      <c r="CS136" s="357">
        <f t="shared" si="54"/>
        <v>0</v>
      </c>
      <c r="CT136" s="332">
        <f t="shared" si="54"/>
        <v>0</v>
      </c>
      <c r="CU136" s="358">
        <f t="shared" si="54"/>
        <v>0</v>
      </c>
      <c r="CV136" s="57" t="s">
        <v>38</v>
      </c>
    </row>
    <row r="137" spans="1:100" ht="15" customHeight="1" outlineLevel="2">
      <c r="A137" s="276" t="s">
        <v>159</v>
      </c>
      <c r="B137" s="277" t="str">
        <f t="shared" si="47"/>
        <v>PACK SEMARANGPACKAGEKAYU RAYA INDONESIA</v>
      </c>
      <c r="C137" s="276" t="s">
        <v>36</v>
      </c>
      <c r="D137" s="276" t="s">
        <v>40</v>
      </c>
      <c r="E137" s="288" t="s">
        <v>80</v>
      </c>
      <c r="F137" s="303"/>
      <c r="G137" s="64">
        <v>195750000</v>
      </c>
      <c r="H137" s="65">
        <v>65250000</v>
      </c>
      <c r="I137" s="65">
        <v>65250000</v>
      </c>
      <c r="J137" s="65">
        <v>65250000</v>
      </c>
      <c r="K137" s="65">
        <v>0</v>
      </c>
      <c r="L137" s="65">
        <v>0</v>
      </c>
      <c r="M137" s="65">
        <v>0</v>
      </c>
      <c r="N137" s="65">
        <v>0</v>
      </c>
      <c r="O137" s="65">
        <v>0</v>
      </c>
      <c r="P137" s="81">
        <v>0</v>
      </c>
      <c r="Q137" s="81"/>
      <c r="R137" s="81"/>
      <c r="S137" s="81"/>
      <c r="T137" s="65">
        <v>0</v>
      </c>
      <c r="U137" s="65">
        <v>0</v>
      </c>
      <c r="V137" s="65">
        <v>0</v>
      </c>
      <c r="W137" s="66">
        <f t="shared" si="48"/>
        <v>195750000</v>
      </c>
      <c r="X137" s="55"/>
      <c r="Y137" s="67">
        <v>0</v>
      </c>
      <c r="Z137" s="67">
        <v>0</v>
      </c>
      <c r="AA137" s="67">
        <v>0</v>
      </c>
      <c r="AB137" s="67">
        <v>0</v>
      </c>
      <c r="AC137" s="67">
        <v>0</v>
      </c>
      <c r="AD137" s="67">
        <v>0</v>
      </c>
      <c r="AE137" s="67">
        <v>0</v>
      </c>
      <c r="AF137" s="67">
        <v>0</v>
      </c>
      <c r="AG137" s="67">
        <v>0</v>
      </c>
      <c r="AH137" s="67">
        <v>0</v>
      </c>
      <c r="AI137" s="67">
        <v>0</v>
      </c>
      <c r="AJ137" s="67">
        <v>0</v>
      </c>
      <c r="AK137" s="61">
        <v>0</v>
      </c>
      <c r="AL137" s="55"/>
      <c r="AM137" s="67">
        <v>0</v>
      </c>
      <c r="AN137" s="67">
        <v>0</v>
      </c>
      <c r="AO137" s="67">
        <v>0</v>
      </c>
      <c r="AP137" s="67">
        <v>0</v>
      </c>
      <c r="AQ137" s="67">
        <v>0</v>
      </c>
      <c r="AR137" s="67">
        <v>0</v>
      </c>
      <c r="AS137" s="67">
        <v>0</v>
      </c>
      <c r="AT137" s="67">
        <v>0</v>
      </c>
      <c r="AU137" s="67">
        <v>0</v>
      </c>
      <c r="AV137" s="67">
        <v>0</v>
      </c>
      <c r="AW137" s="67">
        <v>0</v>
      </c>
      <c r="AX137" s="67">
        <v>0</v>
      </c>
      <c r="AY137" s="122">
        <v>0</v>
      </c>
      <c r="AZ137" s="55"/>
      <c r="BA137" s="639">
        <v>0</v>
      </c>
      <c r="BB137" s="639">
        <v>0</v>
      </c>
      <c r="BC137" s="86"/>
      <c r="BD137" s="639">
        <v>0</v>
      </c>
      <c r="BE137" s="86"/>
      <c r="BF137" s="639">
        <v>0</v>
      </c>
      <c r="BG137" s="86"/>
      <c r="BH137" s="639"/>
      <c r="BI137" s="86"/>
      <c r="BJ137" s="639">
        <v>0</v>
      </c>
      <c r="BK137" s="86"/>
      <c r="BL137" s="639"/>
      <c r="BM137" s="86"/>
      <c r="BN137" s="695">
        <v>0</v>
      </c>
      <c r="BO137" s="696"/>
      <c r="BP137" s="695"/>
      <c r="BQ137" s="696"/>
      <c r="BR137" s="729"/>
      <c r="BS137" s="695"/>
      <c r="BT137" s="696"/>
      <c r="BU137" s="729"/>
      <c r="BV137" s="695"/>
      <c r="BW137" s="696"/>
      <c r="BX137" s="729"/>
      <c r="BY137" s="695"/>
      <c r="BZ137" s="696"/>
      <c r="CA137" s="729"/>
      <c r="CB137" s="720">
        <f t="shared" si="49"/>
        <v>0</v>
      </c>
      <c r="CC137" s="721">
        <f t="shared" si="50"/>
        <v>0</v>
      </c>
      <c r="CD137" s="738"/>
      <c r="CE137" s="322"/>
      <c r="CF137" s="322"/>
      <c r="CG137" s="322"/>
      <c r="CH137" s="322"/>
      <c r="CI137" s="322"/>
      <c r="CJ137" s="322"/>
      <c r="CK137" s="322"/>
      <c r="CL137" s="322"/>
      <c r="CM137" s="322"/>
      <c r="CN137" s="322"/>
      <c r="CO137" s="322"/>
      <c r="CP137" s="322"/>
      <c r="CQ137" s="355">
        <f t="shared" si="51"/>
        <v>0</v>
      </c>
      <c r="CR137" s="356">
        <f t="shared" si="54"/>
        <v>0</v>
      </c>
      <c r="CS137" s="357">
        <f t="shared" si="54"/>
        <v>0</v>
      </c>
      <c r="CT137" s="332">
        <f t="shared" si="54"/>
        <v>0</v>
      </c>
      <c r="CU137" s="358">
        <f t="shared" si="54"/>
        <v>0</v>
      </c>
      <c r="CV137" s="57" t="s">
        <v>38</v>
      </c>
    </row>
    <row r="138" spans="1:100" ht="15" customHeight="1" outlineLevel="2">
      <c r="A138" s="276" t="s">
        <v>159</v>
      </c>
      <c r="B138" s="277" t="str">
        <f t="shared" si="47"/>
        <v>PACK SEMARANGPACKAGELAUTAN LUAS TBK</v>
      </c>
      <c r="C138" s="276" t="s">
        <v>36</v>
      </c>
      <c r="D138" s="276" t="s">
        <v>40</v>
      </c>
      <c r="E138" s="288" t="s">
        <v>83</v>
      </c>
      <c r="F138" s="303">
        <v>8000000010</v>
      </c>
      <c r="G138" s="64">
        <v>2493608302</v>
      </c>
      <c r="H138" s="65">
        <v>67270182</v>
      </c>
      <c r="I138" s="65">
        <v>78809044</v>
      </c>
      <c r="J138" s="65">
        <v>92483304</v>
      </c>
      <c r="K138" s="65">
        <v>84296510</v>
      </c>
      <c r="L138" s="65">
        <v>71106084</v>
      </c>
      <c r="M138" s="65">
        <v>1744243</v>
      </c>
      <c r="N138" s="65">
        <v>74208252</v>
      </c>
      <c r="O138" s="65">
        <v>70025562</v>
      </c>
      <c r="P138" s="81">
        <v>66516745</v>
      </c>
      <c r="Q138" s="81">
        <v>66132879</v>
      </c>
      <c r="R138" s="81">
        <v>60518983</v>
      </c>
      <c r="S138" s="81">
        <v>59431874</v>
      </c>
      <c r="T138" s="65">
        <v>74208252</v>
      </c>
      <c r="U138" s="65">
        <v>74208252</v>
      </c>
      <c r="V138" s="65">
        <v>74208252</v>
      </c>
      <c r="W138" s="66">
        <f t="shared" si="48"/>
        <v>792543662</v>
      </c>
      <c r="X138" s="55"/>
      <c r="Y138" s="67">
        <f>V138*1.05</f>
        <v>77918664.600000009</v>
      </c>
      <c r="Z138" s="67">
        <v>77918664.600000009</v>
      </c>
      <c r="AA138" s="67">
        <v>77918664.600000009</v>
      </c>
      <c r="AB138" s="67">
        <v>77918664.600000009</v>
      </c>
      <c r="AC138" s="67">
        <v>77918664.600000009</v>
      </c>
      <c r="AD138" s="67">
        <v>77918664.600000009</v>
      </c>
      <c r="AE138" s="67">
        <v>77918664.600000009</v>
      </c>
      <c r="AF138" s="67">
        <v>77918664.600000009</v>
      </c>
      <c r="AG138" s="67">
        <v>77918664.600000009</v>
      </c>
      <c r="AH138" s="67">
        <v>77918664.600000009</v>
      </c>
      <c r="AI138" s="67">
        <v>77918664.600000009</v>
      </c>
      <c r="AJ138" s="67">
        <v>77918664.600000009</v>
      </c>
      <c r="AK138" s="61">
        <v>935023975.20000017</v>
      </c>
      <c r="AL138" s="55"/>
      <c r="AM138" s="67">
        <v>77918664.600000009</v>
      </c>
      <c r="AN138" s="67">
        <v>77918664.600000009</v>
      </c>
      <c r="AO138" s="67">
        <v>77918664.600000009</v>
      </c>
      <c r="AP138" s="67">
        <v>77918664.600000009</v>
      </c>
      <c r="AQ138" s="67">
        <v>77918664.600000009</v>
      </c>
      <c r="AR138" s="67">
        <v>77918664.600000009</v>
      </c>
      <c r="AS138" s="67">
        <v>77918664.600000009</v>
      </c>
      <c r="AT138" s="67">
        <v>77918664.600000009</v>
      </c>
      <c r="AU138" s="67">
        <v>77918664.600000009</v>
      </c>
      <c r="AV138" s="67">
        <v>77918664.600000009</v>
      </c>
      <c r="AW138" s="67">
        <v>77918664.600000009</v>
      </c>
      <c r="AX138" s="67">
        <v>77918664.600000009</v>
      </c>
      <c r="AY138" s="122">
        <v>935023975.20000017</v>
      </c>
      <c r="AZ138" s="55"/>
      <c r="BA138" s="639">
        <v>70132233</v>
      </c>
      <c r="BB138" s="639">
        <v>73702217</v>
      </c>
      <c r="BC138" s="86">
        <f>BA138</f>
        <v>70132233</v>
      </c>
      <c r="BD138" s="639">
        <v>53276567</v>
      </c>
      <c r="BE138" s="86">
        <v>58534000</v>
      </c>
      <c r="BF138" s="639">
        <v>9988520</v>
      </c>
      <c r="BG138" s="86">
        <v>58534000</v>
      </c>
      <c r="BH138" s="639">
        <v>47595966</v>
      </c>
      <c r="BI138" s="86">
        <v>58534000</v>
      </c>
      <c r="BJ138" s="639">
        <v>27586145</v>
      </c>
      <c r="BK138" s="86">
        <f>BI138</f>
        <v>58534000</v>
      </c>
      <c r="BL138" s="639">
        <v>28383896</v>
      </c>
      <c r="BM138" s="86">
        <f>BK138</f>
        <v>58534000</v>
      </c>
      <c r="BN138" s="695">
        <v>29474721</v>
      </c>
      <c r="BO138" s="696">
        <f>BM138</f>
        <v>58534000</v>
      </c>
      <c r="BP138" s="695"/>
      <c r="BQ138" s="696">
        <f>BP138</f>
        <v>0</v>
      </c>
      <c r="BR138" s="729">
        <v>30000000</v>
      </c>
      <c r="BS138" s="695"/>
      <c r="BT138" s="696">
        <f>BS138</f>
        <v>0</v>
      </c>
      <c r="BU138" s="729">
        <v>35000000</v>
      </c>
      <c r="BV138" s="695"/>
      <c r="BW138" s="696">
        <f>BV138</f>
        <v>0</v>
      </c>
      <c r="BX138" s="729">
        <f>BU138</f>
        <v>35000000</v>
      </c>
      <c r="BY138" s="695"/>
      <c r="BZ138" s="696">
        <f>BY138</f>
        <v>0</v>
      </c>
      <c r="CA138" s="729">
        <v>30000000</v>
      </c>
      <c r="CB138" s="720">
        <f t="shared" si="49"/>
        <v>470140265</v>
      </c>
      <c r="CC138" s="721">
        <f t="shared" si="50"/>
        <v>470140265</v>
      </c>
      <c r="CD138" s="738"/>
      <c r="CE138" s="322">
        <v>70000000</v>
      </c>
      <c r="CF138" s="322">
        <v>70000000</v>
      </c>
      <c r="CG138" s="322">
        <v>70000000</v>
      </c>
      <c r="CH138" s="322">
        <v>70000000</v>
      </c>
      <c r="CI138" s="322">
        <v>70000000</v>
      </c>
      <c r="CJ138" s="322">
        <v>70000000</v>
      </c>
      <c r="CK138" s="322">
        <v>70000000</v>
      </c>
      <c r="CL138" s="322">
        <v>70000000</v>
      </c>
      <c r="CM138" s="322">
        <v>70000000</v>
      </c>
      <c r="CN138" s="322">
        <v>70000000</v>
      </c>
      <c r="CO138" s="322">
        <v>70000000</v>
      </c>
      <c r="CP138" s="322">
        <v>70000000</v>
      </c>
      <c r="CQ138" s="355">
        <f t="shared" si="51"/>
        <v>840000000</v>
      </c>
      <c r="CR138" s="356">
        <f>CQ138*1.17</f>
        <v>982799999.99999988</v>
      </c>
      <c r="CS138" s="357">
        <f>CR138*1.08</f>
        <v>1061424000</v>
      </c>
      <c r="CT138" s="332">
        <f>CS138*1.09</f>
        <v>1156952160</v>
      </c>
      <c r="CU138" s="358">
        <f>CT138*1.09</f>
        <v>1261077854.4000001</v>
      </c>
      <c r="CV138" s="57" t="s">
        <v>42</v>
      </c>
    </row>
    <row r="139" spans="1:100" ht="15" customHeight="1" outlineLevel="2">
      <c r="A139" s="276" t="s">
        <v>159</v>
      </c>
      <c r="B139" s="277" t="str">
        <f t="shared" si="47"/>
        <v>PACK SEMARANGPACKAGEMANNA ANUGERAH SEJAHTERA</v>
      </c>
      <c r="C139" s="276" t="s">
        <v>36</v>
      </c>
      <c r="E139" s="288" t="s">
        <v>168</v>
      </c>
      <c r="F139" s="303"/>
      <c r="G139" s="64">
        <v>1512000</v>
      </c>
      <c r="H139" s="81"/>
      <c r="I139" s="81"/>
      <c r="J139" s="81"/>
      <c r="K139" s="81"/>
      <c r="L139" s="81"/>
      <c r="M139" s="81"/>
      <c r="N139" s="81"/>
      <c r="O139" s="81"/>
      <c r="P139" s="81">
        <v>0</v>
      </c>
      <c r="Q139" s="81"/>
      <c r="R139" s="81"/>
      <c r="S139" s="81"/>
      <c r="T139" s="65">
        <v>0</v>
      </c>
      <c r="U139" s="65">
        <v>0</v>
      </c>
      <c r="V139" s="65">
        <v>0</v>
      </c>
      <c r="W139" s="66">
        <f t="shared" si="48"/>
        <v>0</v>
      </c>
      <c r="X139" s="55"/>
      <c r="Y139" s="82"/>
      <c r="Z139" s="82"/>
      <c r="AA139" s="82"/>
      <c r="AB139" s="82"/>
      <c r="AC139" s="82"/>
      <c r="AD139" s="82"/>
      <c r="AE139" s="82"/>
      <c r="AF139" s="82"/>
      <c r="AG139" s="82"/>
      <c r="AH139" s="82"/>
      <c r="AI139" s="82"/>
      <c r="AJ139" s="82"/>
      <c r="AK139" s="61">
        <v>0</v>
      </c>
      <c r="AL139" s="55"/>
      <c r="AM139" s="82"/>
      <c r="AN139" s="82"/>
      <c r="AO139" s="82"/>
      <c r="AP139" s="82"/>
      <c r="AQ139" s="82"/>
      <c r="AR139" s="82"/>
      <c r="AS139" s="82"/>
      <c r="AT139" s="82"/>
      <c r="AU139" s="82"/>
      <c r="AV139" s="82"/>
      <c r="AW139" s="82"/>
      <c r="AX139" s="82"/>
      <c r="AY139" s="122">
        <v>0</v>
      </c>
      <c r="AZ139" s="55"/>
      <c r="BA139" s="639">
        <v>0</v>
      </c>
      <c r="BB139" s="639">
        <v>0</v>
      </c>
      <c r="BC139" s="86"/>
      <c r="BD139" s="639">
        <v>0</v>
      </c>
      <c r="BE139" s="86"/>
      <c r="BF139" s="639"/>
      <c r="BG139" s="86"/>
      <c r="BH139" s="639"/>
      <c r="BI139" s="86"/>
      <c r="BJ139" s="639">
        <v>0</v>
      </c>
      <c r="BK139" s="86"/>
      <c r="BL139" s="639"/>
      <c r="BM139" s="86"/>
      <c r="BN139" s="695">
        <v>0</v>
      </c>
      <c r="BO139" s="696"/>
      <c r="BP139" s="695"/>
      <c r="BQ139" s="696"/>
      <c r="BR139" s="729"/>
      <c r="BS139" s="695"/>
      <c r="BT139" s="696"/>
      <c r="BU139" s="729"/>
      <c r="BV139" s="695"/>
      <c r="BW139" s="696"/>
      <c r="BX139" s="729"/>
      <c r="BY139" s="695"/>
      <c r="BZ139" s="696"/>
      <c r="CA139" s="729"/>
      <c r="CB139" s="720">
        <f t="shared" si="49"/>
        <v>0</v>
      </c>
      <c r="CC139" s="721">
        <f t="shared" si="50"/>
        <v>0</v>
      </c>
      <c r="CD139" s="738"/>
      <c r="CE139" s="322"/>
      <c r="CF139" s="322"/>
      <c r="CG139" s="322"/>
      <c r="CH139" s="322"/>
      <c r="CI139" s="322"/>
      <c r="CJ139" s="322"/>
      <c r="CK139" s="322"/>
      <c r="CL139" s="322"/>
      <c r="CM139" s="322"/>
      <c r="CN139" s="322"/>
      <c r="CO139" s="322"/>
      <c r="CP139" s="322"/>
      <c r="CQ139" s="355">
        <f t="shared" si="51"/>
        <v>0</v>
      </c>
      <c r="CR139" s="356"/>
      <c r="CS139" s="357"/>
      <c r="CT139" s="332"/>
      <c r="CU139" s="358"/>
      <c r="CV139" s="57" t="s">
        <v>38</v>
      </c>
    </row>
    <row r="140" spans="1:100" ht="15" customHeight="1" outlineLevel="2">
      <c r="A140" s="276" t="s">
        <v>159</v>
      </c>
      <c r="B140" s="277" t="str">
        <f t="shared" si="47"/>
        <v>PACK SEMARANGPACKAGEMERCUPRIMA SENTOSA TEXTILE</v>
      </c>
      <c r="C140" s="276" t="s">
        <v>36</v>
      </c>
      <c r="E140" s="288" t="s">
        <v>169</v>
      </c>
      <c r="F140" s="303"/>
      <c r="G140" s="64">
        <v>2800000</v>
      </c>
      <c r="H140" s="81"/>
      <c r="I140" s="81"/>
      <c r="J140" s="81"/>
      <c r="K140" s="81"/>
      <c r="L140" s="81"/>
      <c r="M140" s="81"/>
      <c r="N140" s="81"/>
      <c r="O140" s="81"/>
      <c r="P140" s="81">
        <v>0</v>
      </c>
      <c r="Q140" s="81"/>
      <c r="R140" s="81"/>
      <c r="S140" s="81"/>
      <c r="T140" s="65">
        <v>0</v>
      </c>
      <c r="U140" s="65">
        <v>0</v>
      </c>
      <c r="V140" s="65">
        <v>0</v>
      </c>
      <c r="W140" s="66">
        <f t="shared" si="48"/>
        <v>0</v>
      </c>
      <c r="X140" s="55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61">
        <v>0</v>
      </c>
      <c r="AL140" s="55"/>
      <c r="AM140" s="82"/>
      <c r="AN140" s="82"/>
      <c r="AO140" s="82"/>
      <c r="AP140" s="82"/>
      <c r="AQ140" s="82"/>
      <c r="AR140" s="82"/>
      <c r="AS140" s="82"/>
      <c r="AT140" s="82"/>
      <c r="AU140" s="82"/>
      <c r="AV140" s="82"/>
      <c r="AW140" s="82"/>
      <c r="AX140" s="82"/>
      <c r="AY140" s="122">
        <v>0</v>
      </c>
      <c r="AZ140" s="55"/>
      <c r="BA140" s="639">
        <v>0</v>
      </c>
      <c r="BB140" s="639">
        <v>0</v>
      </c>
      <c r="BC140" s="86"/>
      <c r="BD140" s="639">
        <v>0</v>
      </c>
      <c r="BE140" s="86"/>
      <c r="BF140" s="639"/>
      <c r="BG140" s="86"/>
      <c r="BH140" s="639"/>
      <c r="BI140" s="86"/>
      <c r="BJ140" s="639">
        <v>0</v>
      </c>
      <c r="BK140" s="86"/>
      <c r="BL140" s="639"/>
      <c r="BM140" s="86"/>
      <c r="BN140" s="695">
        <v>0</v>
      </c>
      <c r="BO140" s="696"/>
      <c r="BP140" s="695"/>
      <c r="BQ140" s="696"/>
      <c r="BR140" s="729"/>
      <c r="BS140" s="695"/>
      <c r="BT140" s="696"/>
      <c r="BU140" s="729"/>
      <c r="BV140" s="695"/>
      <c r="BW140" s="696"/>
      <c r="BX140" s="729"/>
      <c r="BY140" s="695"/>
      <c r="BZ140" s="696"/>
      <c r="CA140" s="729"/>
      <c r="CB140" s="720">
        <f t="shared" si="49"/>
        <v>0</v>
      </c>
      <c r="CC140" s="721">
        <f t="shared" si="50"/>
        <v>0</v>
      </c>
      <c r="CD140" s="738"/>
      <c r="CE140" s="322"/>
      <c r="CF140" s="322"/>
      <c r="CG140" s="322"/>
      <c r="CH140" s="322"/>
      <c r="CI140" s="322"/>
      <c r="CJ140" s="322"/>
      <c r="CK140" s="322"/>
      <c r="CL140" s="322"/>
      <c r="CM140" s="322"/>
      <c r="CN140" s="322"/>
      <c r="CO140" s="322"/>
      <c r="CP140" s="322"/>
      <c r="CQ140" s="355">
        <f t="shared" si="51"/>
        <v>0</v>
      </c>
      <c r="CR140" s="356"/>
      <c r="CS140" s="357"/>
      <c r="CT140" s="332"/>
      <c r="CU140" s="358"/>
      <c r="CV140" s="57" t="s">
        <v>38</v>
      </c>
    </row>
    <row r="141" spans="1:100" ht="15" customHeight="1" outlineLevel="2">
      <c r="A141" s="276" t="s">
        <v>159</v>
      </c>
      <c r="B141" s="277" t="str">
        <f t="shared" si="47"/>
        <v>PACK SEMARANGPACKAGEMULIA JAYA SEJAHTERA</v>
      </c>
      <c r="C141" s="276" t="s">
        <v>36</v>
      </c>
      <c r="E141" s="288" t="s">
        <v>170</v>
      </c>
      <c r="F141" s="303"/>
      <c r="G141" s="64">
        <v>19184160</v>
      </c>
      <c r="H141" s="81"/>
      <c r="I141" s="81"/>
      <c r="J141" s="81"/>
      <c r="K141" s="81"/>
      <c r="L141" s="81"/>
      <c r="M141" s="81"/>
      <c r="N141" s="81"/>
      <c r="O141" s="81"/>
      <c r="P141" s="81">
        <v>0</v>
      </c>
      <c r="Q141" s="81"/>
      <c r="R141" s="81"/>
      <c r="S141" s="81"/>
      <c r="T141" s="65">
        <v>0</v>
      </c>
      <c r="U141" s="65">
        <v>0</v>
      </c>
      <c r="V141" s="65">
        <v>0</v>
      </c>
      <c r="W141" s="66">
        <f t="shared" si="48"/>
        <v>0</v>
      </c>
      <c r="X141" s="55"/>
      <c r="Y141" s="82"/>
      <c r="Z141" s="82"/>
      <c r="AA141" s="82"/>
      <c r="AB141" s="82"/>
      <c r="AC141" s="82"/>
      <c r="AD141" s="82"/>
      <c r="AE141" s="82"/>
      <c r="AF141" s="82"/>
      <c r="AG141" s="82"/>
      <c r="AH141" s="82"/>
      <c r="AI141" s="82"/>
      <c r="AJ141" s="82"/>
      <c r="AK141" s="61">
        <v>0</v>
      </c>
      <c r="AL141" s="55"/>
      <c r="AM141" s="82"/>
      <c r="AN141" s="82"/>
      <c r="AO141" s="82"/>
      <c r="AP141" s="82"/>
      <c r="AQ141" s="82"/>
      <c r="AR141" s="82"/>
      <c r="AS141" s="82"/>
      <c r="AT141" s="82"/>
      <c r="AU141" s="82"/>
      <c r="AV141" s="82"/>
      <c r="AW141" s="82"/>
      <c r="AX141" s="82"/>
      <c r="AY141" s="122">
        <v>0</v>
      </c>
      <c r="AZ141" s="55"/>
      <c r="BA141" s="639">
        <v>0</v>
      </c>
      <c r="BB141" s="639">
        <v>0</v>
      </c>
      <c r="BC141" s="86"/>
      <c r="BD141" s="639">
        <v>0</v>
      </c>
      <c r="BE141" s="86"/>
      <c r="BF141" s="639"/>
      <c r="BG141" s="86"/>
      <c r="BH141" s="639"/>
      <c r="BI141" s="86"/>
      <c r="BJ141" s="639">
        <v>0</v>
      </c>
      <c r="BK141" s="86"/>
      <c r="BL141" s="639"/>
      <c r="BM141" s="86"/>
      <c r="BN141" s="695">
        <v>0</v>
      </c>
      <c r="BO141" s="696"/>
      <c r="BP141" s="695"/>
      <c r="BQ141" s="696"/>
      <c r="BR141" s="729"/>
      <c r="BS141" s="695"/>
      <c r="BT141" s="696"/>
      <c r="BU141" s="729"/>
      <c r="BV141" s="695"/>
      <c r="BW141" s="696"/>
      <c r="BX141" s="729"/>
      <c r="BY141" s="695"/>
      <c r="BZ141" s="696"/>
      <c r="CA141" s="729"/>
      <c r="CB141" s="720">
        <f t="shared" si="49"/>
        <v>0</v>
      </c>
      <c r="CC141" s="721">
        <f t="shared" si="50"/>
        <v>0</v>
      </c>
      <c r="CD141" s="738"/>
      <c r="CE141" s="322"/>
      <c r="CF141" s="322"/>
      <c r="CG141" s="322"/>
      <c r="CH141" s="322"/>
      <c r="CI141" s="322"/>
      <c r="CJ141" s="322"/>
      <c r="CK141" s="322"/>
      <c r="CL141" s="322"/>
      <c r="CM141" s="322"/>
      <c r="CN141" s="322"/>
      <c r="CO141" s="322"/>
      <c r="CP141" s="322"/>
      <c r="CQ141" s="355">
        <f t="shared" si="51"/>
        <v>0</v>
      </c>
      <c r="CR141" s="356"/>
      <c r="CS141" s="357"/>
      <c r="CT141" s="332"/>
      <c r="CU141" s="358"/>
      <c r="CV141" s="57" t="s">
        <v>38</v>
      </c>
    </row>
    <row r="142" spans="1:100" ht="15" customHeight="1" outlineLevel="2">
      <c r="A142" s="276" t="s">
        <v>159</v>
      </c>
      <c r="B142" s="277" t="str">
        <f t="shared" si="47"/>
        <v>PACK SEMARANGPACKAGENIRWANA LESTARI</v>
      </c>
      <c r="C142" s="276" t="s">
        <v>36</v>
      </c>
      <c r="D142" s="276" t="s">
        <v>40</v>
      </c>
      <c r="E142" s="288" t="s">
        <v>87</v>
      </c>
      <c r="F142" s="303">
        <v>3000007550</v>
      </c>
      <c r="G142" s="64">
        <v>3970204915</v>
      </c>
      <c r="H142" s="65">
        <v>316789994</v>
      </c>
      <c r="I142" s="65">
        <v>440657149</v>
      </c>
      <c r="J142" s="65">
        <v>373935348</v>
      </c>
      <c r="K142" s="65">
        <v>339586455</v>
      </c>
      <c r="L142" s="65">
        <v>274193259</v>
      </c>
      <c r="M142" s="65">
        <v>271267822</v>
      </c>
      <c r="N142" s="65">
        <v>279102043</v>
      </c>
      <c r="O142" s="65">
        <v>298492770</v>
      </c>
      <c r="P142" s="81">
        <v>317904273</v>
      </c>
      <c r="Q142" s="81">
        <v>289563501</v>
      </c>
      <c r="R142" s="81">
        <v>334927978</v>
      </c>
      <c r="S142" s="81">
        <v>365223324</v>
      </c>
      <c r="T142" s="69">
        <v>317000000</v>
      </c>
      <c r="U142" s="69">
        <v>317000000</v>
      </c>
      <c r="V142" s="69">
        <v>317000000</v>
      </c>
      <c r="W142" s="66">
        <f t="shared" si="48"/>
        <v>3901643916</v>
      </c>
      <c r="X142" s="55"/>
      <c r="Y142" s="67">
        <f t="shared" ref="Y142:AJ142" si="55">350000000</f>
        <v>350000000</v>
      </c>
      <c r="Z142" s="67">
        <f t="shared" si="55"/>
        <v>350000000</v>
      </c>
      <c r="AA142" s="67">
        <f t="shared" si="55"/>
        <v>350000000</v>
      </c>
      <c r="AB142" s="67">
        <f t="shared" si="55"/>
        <v>350000000</v>
      </c>
      <c r="AC142" s="67">
        <f t="shared" si="55"/>
        <v>350000000</v>
      </c>
      <c r="AD142" s="67">
        <f t="shared" si="55"/>
        <v>350000000</v>
      </c>
      <c r="AE142" s="67">
        <f t="shared" si="55"/>
        <v>350000000</v>
      </c>
      <c r="AF142" s="67">
        <f t="shared" si="55"/>
        <v>350000000</v>
      </c>
      <c r="AG142" s="67">
        <f t="shared" si="55"/>
        <v>350000000</v>
      </c>
      <c r="AH142" s="67">
        <f t="shared" si="55"/>
        <v>350000000</v>
      </c>
      <c r="AI142" s="67">
        <f t="shared" si="55"/>
        <v>350000000</v>
      </c>
      <c r="AJ142" s="67">
        <f t="shared" si="55"/>
        <v>350000000</v>
      </c>
      <c r="AK142" s="61">
        <v>4200000000</v>
      </c>
      <c r="AL142" s="55"/>
      <c r="AM142" s="67">
        <v>350000000</v>
      </c>
      <c r="AN142" s="67">
        <v>350000000</v>
      </c>
      <c r="AO142" s="67">
        <v>350000000</v>
      </c>
      <c r="AP142" s="67">
        <v>350000000</v>
      </c>
      <c r="AQ142" s="67">
        <v>350000000</v>
      </c>
      <c r="AR142" s="67">
        <v>350000000</v>
      </c>
      <c r="AS142" s="67">
        <v>350000000</v>
      </c>
      <c r="AT142" s="67">
        <v>350000000</v>
      </c>
      <c r="AU142" s="67">
        <v>350000000</v>
      </c>
      <c r="AV142" s="67">
        <v>350000000</v>
      </c>
      <c r="AW142" s="67">
        <v>350000000</v>
      </c>
      <c r="AX142" s="67">
        <v>350000000</v>
      </c>
      <c r="AY142" s="122">
        <v>4200000000</v>
      </c>
      <c r="AZ142" s="55"/>
      <c r="BA142" s="639">
        <v>316779495</v>
      </c>
      <c r="BB142" s="639">
        <v>432619574</v>
      </c>
      <c r="BC142" s="86">
        <f>BA142</f>
        <v>316779495</v>
      </c>
      <c r="BD142" s="639">
        <v>318464305</v>
      </c>
      <c r="BE142" s="86">
        <f>BC142</f>
        <v>316779495</v>
      </c>
      <c r="BF142" s="639">
        <v>347567851</v>
      </c>
      <c r="BG142" s="86">
        <v>300000000</v>
      </c>
      <c r="BH142" s="639">
        <v>353300669</v>
      </c>
      <c r="BI142" s="86">
        <v>350000000</v>
      </c>
      <c r="BJ142" s="639">
        <v>322618975</v>
      </c>
      <c r="BK142" s="86">
        <v>350000000</v>
      </c>
      <c r="BL142" s="639">
        <v>144412528</v>
      </c>
      <c r="BM142" s="86">
        <f>300000000</f>
        <v>300000000</v>
      </c>
      <c r="BN142" s="695">
        <v>138846056</v>
      </c>
      <c r="BO142" s="696">
        <f>BM142</f>
        <v>300000000</v>
      </c>
      <c r="BP142" s="695"/>
      <c r="BQ142" s="696">
        <f>BP142</f>
        <v>0</v>
      </c>
      <c r="BR142" s="729">
        <v>200000000</v>
      </c>
      <c r="BS142" s="695"/>
      <c r="BT142" s="696">
        <f>BS142</f>
        <v>0</v>
      </c>
      <c r="BU142" s="729">
        <v>300000000</v>
      </c>
      <c r="BV142" s="695"/>
      <c r="BW142" s="696">
        <f>BV142</f>
        <v>0</v>
      </c>
      <c r="BX142" s="729">
        <f>BU142</f>
        <v>300000000</v>
      </c>
      <c r="BY142" s="695"/>
      <c r="BZ142" s="696">
        <f>BY142</f>
        <v>0</v>
      </c>
      <c r="CA142" s="729">
        <f>BX142</f>
        <v>300000000</v>
      </c>
      <c r="CB142" s="720">
        <f t="shared" si="49"/>
        <v>3474609453</v>
      </c>
      <c r="CC142" s="721">
        <f t="shared" si="50"/>
        <v>3474609453</v>
      </c>
      <c r="CD142" s="738"/>
      <c r="CE142" s="322">
        <v>200000000</v>
      </c>
      <c r="CF142" s="322">
        <f>CE142</f>
        <v>200000000</v>
      </c>
      <c r="CG142" s="322">
        <v>200000000</v>
      </c>
      <c r="CH142" s="322">
        <v>150000000</v>
      </c>
      <c r="CI142" s="322">
        <v>150000000</v>
      </c>
      <c r="CJ142" s="322">
        <v>180000000</v>
      </c>
      <c r="CK142" s="322">
        <v>180000000</v>
      </c>
      <c r="CL142" s="322">
        <v>180000000</v>
      </c>
      <c r="CM142" s="322">
        <v>180000000</v>
      </c>
      <c r="CN142" s="322">
        <v>180000000</v>
      </c>
      <c r="CO142" s="322">
        <v>180000000</v>
      </c>
      <c r="CP142" s="322">
        <v>180000000</v>
      </c>
      <c r="CQ142" s="355">
        <f t="shared" si="51"/>
        <v>2160000000</v>
      </c>
      <c r="CR142" s="356">
        <f>CQ142*1.17</f>
        <v>2527200000</v>
      </c>
      <c r="CS142" s="357">
        <f>CR142*1.08</f>
        <v>2729376000</v>
      </c>
      <c r="CT142" s="332">
        <f>CS142*1.09</f>
        <v>2975019840</v>
      </c>
      <c r="CU142" s="358">
        <f>CT142*1.09</f>
        <v>3242771625.6000004</v>
      </c>
      <c r="CV142" s="57" t="s">
        <v>38</v>
      </c>
    </row>
    <row r="143" spans="1:100" ht="15" customHeight="1" outlineLevel="2">
      <c r="A143" s="276" t="s">
        <v>159</v>
      </c>
      <c r="B143" s="277" t="str">
        <f t="shared" si="47"/>
        <v>PACK SEMARANGPACKAGEPACINESIA CHEMICAL INDUSTRY</v>
      </c>
      <c r="C143" s="276" t="s">
        <v>36</v>
      </c>
      <c r="D143" s="276" t="s">
        <v>40</v>
      </c>
      <c r="E143" s="288" t="s">
        <v>89</v>
      </c>
      <c r="F143" s="303"/>
      <c r="G143" s="64">
        <v>13555200</v>
      </c>
      <c r="H143" s="65">
        <v>105000</v>
      </c>
      <c r="I143" s="65">
        <v>165000</v>
      </c>
      <c r="J143" s="65">
        <v>105000</v>
      </c>
      <c r="K143" s="65">
        <v>165000</v>
      </c>
      <c r="L143" s="65">
        <v>35000</v>
      </c>
      <c r="M143" s="65">
        <v>65000</v>
      </c>
      <c r="N143" s="65">
        <v>0</v>
      </c>
      <c r="O143" s="65">
        <v>0</v>
      </c>
      <c r="P143" s="81">
        <v>0</v>
      </c>
      <c r="Q143" s="81"/>
      <c r="R143" s="81"/>
      <c r="S143" s="81"/>
      <c r="T143" s="65">
        <v>0</v>
      </c>
      <c r="U143" s="65">
        <v>0</v>
      </c>
      <c r="V143" s="65">
        <v>0</v>
      </c>
      <c r="W143" s="66">
        <f t="shared" si="48"/>
        <v>640000</v>
      </c>
      <c r="X143" s="55"/>
      <c r="Y143" s="67">
        <v>0</v>
      </c>
      <c r="Z143" s="67">
        <v>0</v>
      </c>
      <c r="AA143" s="67">
        <v>0</v>
      </c>
      <c r="AB143" s="67">
        <v>0</v>
      </c>
      <c r="AC143" s="67">
        <v>0</v>
      </c>
      <c r="AD143" s="67">
        <v>0</v>
      </c>
      <c r="AE143" s="67">
        <v>0</v>
      </c>
      <c r="AF143" s="67">
        <v>0</v>
      </c>
      <c r="AG143" s="67">
        <v>0</v>
      </c>
      <c r="AH143" s="67">
        <v>0</v>
      </c>
      <c r="AI143" s="67">
        <v>0</v>
      </c>
      <c r="AJ143" s="67">
        <v>0</v>
      </c>
      <c r="AK143" s="61">
        <v>0</v>
      </c>
      <c r="AL143" s="55"/>
      <c r="AM143" s="67">
        <v>0</v>
      </c>
      <c r="AN143" s="67">
        <v>0</v>
      </c>
      <c r="AO143" s="67">
        <v>0</v>
      </c>
      <c r="AP143" s="67">
        <v>0</v>
      </c>
      <c r="AQ143" s="67">
        <v>0</v>
      </c>
      <c r="AR143" s="67">
        <v>0</v>
      </c>
      <c r="AS143" s="67">
        <v>0</v>
      </c>
      <c r="AT143" s="67">
        <v>0</v>
      </c>
      <c r="AU143" s="67">
        <v>0</v>
      </c>
      <c r="AV143" s="67">
        <v>0</v>
      </c>
      <c r="AW143" s="67">
        <v>0</v>
      </c>
      <c r="AX143" s="67">
        <v>0</v>
      </c>
      <c r="AY143" s="122">
        <v>0</v>
      </c>
      <c r="AZ143" s="55"/>
      <c r="BA143" s="639">
        <v>0</v>
      </c>
      <c r="BB143" s="639">
        <v>0</v>
      </c>
      <c r="BC143" s="86"/>
      <c r="BD143" s="639">
        <v>0</v>
      </c>
      <c r="BE143" s="86"/>
      <c r="BF143" s="639">
        <v>0</v>
      </c>
      <c r="BG143" s="86"/>
      <c r="BH143" s="639"/>
      <c r="BI143" s="86"/>
      <c r="BJ143" s="639">
        <v>0</v>
      </c>
      <c r="BK143" s="86"/>
      <c r="BL143" s="639"/>
      <c r="BM143" s="86"/>
      <c r="BN143" s="695">
        <v>0</v>
      </c>
      <c r="BO143" s="696"/>
      <c r="BP143" s="695"/>
      <c r="BQ143" s="696"/>
      <c r="BR143" s="729"/>
      <c r="BS143" s="695"/>
      <c r="BT143" s="696"/>
      <c r="BU143" s="729"/>
      <c r="BV143" s="695"/>
      <c r="BW143" s="696"/>
      <c r="BX143" s="729"/>
      <c r="BY143" s="695"/>
      <c r="BZ143" s="696"/>
      <c r="CA143" s="729"/>
      <c r="CB143" s="720">
        <f t="shared" si="49"/>
        <v>0</v>
      </c>
      <c r="CC143" s="721">
        <f t="shared" si="50"/>
        <v>0</v>
      </c>
      <c r="CD143" s="738"/>
      <c r="CE143" s="322"/>
      <c r="CF143" s="322"/>
      <c r="CG143" s="322"/>
      <c r="CH143" s="322"/>
      <c r="CI143" s="322"/>
      <c r="CJ143" s="322"/>
      <c r="CK143" s="322"/>
      <c r="CL143" s="322"/>
      <c r="CM143" s="322"/>
      <c r="CN143" s="322"/>
      <c r="CO143" s="322"/>
      <c r="CP143" s="322"/>
      <c r="CQ143" s="355">
        <f t="shared" si="51"/>
        <v>0</v>
      </c>
      <c r="CR143" s="356">
        <f>CQ143*1.07</f>
        <v>0</v>
      </c>
      <c r="CS143" s="357">
        <f>CR143*1.07</f>
        <v>0</v>
      </c>
      <c r="CT143" s="332">
        <f>CS143*1.07</f>
        <v>0</v>
      </c>
      <c r="CU143" s="358">
        <f>CT143*1.07</f>
        <v>0</v>
      </c>
      <c r="CV143" s="57" t="s">
        <v>42</v>
      </c>
    </row>
    <row r="144" spans="1:100" ht="15" customHeight="1" outlineLevel="2">
      <c r="A144" s="276" t="s">
        <v>159</v>
      </c>
      <c r="C144" s="276" t="s">
        <v>36</v>
      </c>
      <c r="D144" s="276" t="s">
        <v>40</v>
      </c>
      <c r="E144" s="288" t="s">
        <v>171</v>
      </c>
      <c r="F144" s="303">
        <v>3000020764</v>
      </c>
      <c r="G144" s="64"/>
      <c r="H144" s="65"/>
      <c r="I144" s="65"/>
      <c r="J144" s="65"/>
      <c r="K144" s="65"/>
      <c r="L144" s="65"/>
      <c r="M144" s="65"/>
      <c r="N144" s="65"/>
      <c r="O144" s="65"/>
      <c r="P144" s="81"/>
      <c r="Q144" s="81"/>
      <c r="R144" s="81"/>
      <c r="S144" s="81"/>
      <c r="T144" s="65"/>
      <c r="U144" s="65"/>
      <c r="V144" s="65"/>
      <c r="W144" s="66"/>
      <c r="X144" s="55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1"/>
      <c r="AL144" s="55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122"/>
      <c r="AZ144" s="55"/>
      <c r="BA144" s="639"/>
      <c r="BB144" s="639"/>
      <c r="BC144" s="86"/>
      <c r="BD144" s="639">
        <v>10880000</v>
      </c>
      <c r="BE144" s="86"/>
      <c r="BF144" s="639">
        <v>2916000</v>
      </c>
      <c r="BG144" s="86">
        <f>BD144</f>
        <v>10880000</v>
      </c>
      <c r="BH144" s="639">
        <v>8622000</v>
      </c>
      <c r="BI144" s="86">
        <v>5000000</v>
      </c>
      <c r="BJ144" s="639">
        <v>12804000</v>
      </c>
      <c r="BK144" s="86">
        <f>BI144</f>
        <v>5000000</v>
      </c>
      <c r="BL144" s="639">
        <v>22923500</v>
      </c>
      <c r="BM144" s="86">
        <v>10000000</v>
      </c>
      <c r="BN144" s="695">
        <v>25325075</v>
      </c>
      <c r="BO144" s="696">
        <f>BM144</f>
        <v>10000000</v>
      </c>
      <c r="BP144" s="695"/>
      <c r="BQ144" s="696">
        <f>BP144</f>
        <v>0</v>
      </c>
      <c r="BR144" s="729">
        <f>BO144</f>
        <v>10000000</v>
      </c>
      <c r="BS144" s="695"/>
      <c r="BT144" s="696">
        <f>BS144</f>
        <v>0</v>
      </c>
      <c r="BU144" s="729">
        <f>BR144</f>
        <v>10000000</v>
      </c>
      <c r="BV144" s="695"/>
      <c r="BW144" s="696">
        <f>BV144</f>
        <v>0</v>
      </c>
      <c r="BX144" s="729">
        <f>BU144</f>
        <v>10000000</v>
      </c>
      <c r="BY144" s="695"/>
      <c r="BZ144" s="696"/>
      <c r="CA144" s="729">
        <f>BX144</f>
        <v>10000000</v>
      </c>
      <c r="CB144" s="720">
        <f t="shared" si="49"/>
        <v>123470575</v>
      </c>
      <c r="CC144" s="721">
        <f t="shared" si="50"/>
        <v>123470575</v>
      </c>
      <c r="CD144" s="738"/>
      <c r="CE144" s="322">
        <v>10000000</v>
      </c>
      <c r="CF144" s="322">
        <v>10000000</v>
      </c>
      <c r="CG144" s="322">
        <v>10000000</v>
      </c>
      <c r="CH144" s="322">
        <v>10000000</v>
      </c>
      <c r="CI144" s="322">
        <v>10000000</v>
      </c>
      <c r="CJ144" s="322">
        <v>10000000</v>
      </c>
      <c r="CK144" s="322">
        <v>10000000</v>
      </c>
      <c r="CL144" s="322">
        <v>10000000</v>
      </c>
      <c r="CM144" s="322">
        <v>10000000</v>
      </c>
      <c r="CN144" s="322">
        <v>10000000</v>
      </c>
      <c r="CO144" s="322">
        <v>10000000</v>
      </c>
      <c r="CP144" s="322">
        <v>10000000</v>
      </c>
      <c r="CQ144" s="355">
        <f t="shared" si="51"/>
        <v>120000000</v>
      </c>
      <c r="CR144" s="356"/>
      <c r="CS144" s="357"/>
      <c r="CT144" s="332"/>
      <c r="CU144" s="358"/>
      <c r="CV144" s="57" t="s">
        <v>38</v>
      </c>
    </row>
    <row r="145" spans="1:101" ht="15" customHeight="1" outlineLevel="2">
      <c r="A145" s="276" t="s">
        <v>159</v>
      </c>
      <c r="B145" s="277" t="str">
        <f>$E$121&amp;$E$6&amp;E145</f>
        <v>PACK SEMARANGPACKAGEPURA BARUTAMA</v>
      </c>
      <c r="C145" s="276" t="s">
        <v>36</v>
      </c>
      <c r="E145" s="288" t="s">
        <v>172</v>
      </c>
      <c r="F145" s="303"/>
      <c r="G145" s="64">
        <v>2700000</v>
      </c>
      <c r="H145" s="81"/>
      <c r="I145" s="81"/>
      <c r="J145" s="81"/>
      <c r="K145" s="81"/>
      <c r="L145" s="81"/>
      <c r="M145" s="81"/>
      <c r="N145" s="81"/>
      <c r="O145" s="81"/>
      <c r="P145" s="81">
        <v>0</v>
      </c>
      <c r="Q145" s="81"/>
      <c r="R145" s="81"/>
      <c r="S145" s="81"/>
      <c r="T145" s="65">
        <v>0</v>
      </c>
      <c r="U145" s="65">
        <v>0</v>
      </c>
      <c r="V145" s="65">
        <v>0</v>
      </c>
      <c r="W145" s="66">
        <f t="shared" si="48"/>
        <v>0</v>
      </c>
      <c r="X145" s="55"/>
      <c r="Y145" s="82"/>
      <c r="Z145" s="82"/>
      <c r="AA145" s="82"/>
      <c r="AB145" s="82"/>
      <c r="AC145" s="82"/>
      <c r="AD145" s="82"/>
      <c r="AE145" s="82"/>
      <c r="AF145" s="82"/>
      <c r="AG145" s="82"/>
      <c r="AH145" s="82"/>
      <c r="AI145" s="82"/>
      <c r="AJ145" s="82"/>
      <c r="AK145" s="61">
        <v>0</v>
      </c>
      <c r="AL145" s="55"/>
      <c r="AM145" s="82"/>
      <c r="AN145" s="82"/>
      <c r="AO145" s="82"/>
      <c r="AP145" s="82"/>
      <c r="AQ145" s="82"/>
      <c r="AR145" s="82"/>
      <c r="AS145" s="82"/>
      <c r="AT145" s="82"/>
      <c r="AU145" s="82"/>
      <c r="AV145" s="82"/>
      <c r="AW145" s="82"/>
      <c r="AX145" s="82"/>
      <c r="AY145" s="122">
        <v>0</v>
      </c>
      <c r="AZ145" s="55"/>
      <c r="BA145" s="639">
        <v>0</v>
      </c>
      <c r="BB145" s="639">
        <v>0</v>
      </c>
      <c r="BC145" s="86"/>
      <c r="BD145" s="639">
        <v>0</v>
      </c>
      <c r="BE145" s="86"/>
      <c r="BF145" s="639">
        <v>0</v>
      </c>
      <c r="BG145" s="86"/>
      <c r="BH145" s="639"/>
      <c r="BI145" s="86"/>
      <c r="BJ145" s="639">
        <v>0</v>
      </c>
      <c r="BK145" s="86"/>
      <c r="BL145" s="639"/>
      <c r="BM145" s="86"/>
      <c r="BN145" s="695">
        <v>0</v>
      </c>
      <c r="BO145" s="696"/>
      <c r="BP145" s="695"/>
      <c r="BQ145" s="696"/>
      <c r="BR145" s="729"/>
      <c r="BS145" s="695"/>
      <c r="BT145" s="696"/>
      <c r="BU145" s="729"/>
      <c r="BV145" s="695"/>
      <c r="BW145" s="696"/>
      <c r="BX145" s="729"/>
      <c r="BY145" s="695"/>
      <c r="BZ145" s="696"/>
      <c r="CA145" s="729"/>
      <c r="CB145" s="720">
        <f t="shared" si="49"/>
        <v>0</v>
      </c>
      <c r="CC145" s="721">
        <f t="shared" si="50"/>
        <v>0</v>
      </c>
      <c r="CD145" s="738"/>
      <c r="CE145" s="322"/>
      <c r="CF145" s="322"/>
      <c r="CG145" s="322"/>
      <c r="CH145" s="322"/>
      <c r="CI145" s="322"/>
      <c r="CJ145" s="322"/>
      <c r="CK145" s="322"/>
      <c r="CL145" s="322"/>
      <c r="CM145" s="322"/>
      <c r="CN145" s="322"/>
      <c r="CO145" s="322"/>
      <c r="CP145" s="322"/>
      <c r="CQ145" s="355">
        <f t="shared" si="51"/>
        <v>0</v>
      </c>
      <c r="CR145" s="356"/>
      <c r="CS145" s="357"/>
      <c r="CT145" s="332"/>
      <c r="CU145" s="358"/>
      <c r="CV145" s="57" t="s">
        <v>38</v>
      </c>
    </row>
    <row r="146" spans="1:101" ht="15" customHeight="1" outlineLevel="2">
      <c r="A146" s="276" t="s">
        <v>159</v>
      </c>
      <c r="B146" s="277" t="str">
        <f>$E$121&amp;$E$6&amp;E146</f>
        <v>PACK SEMARANGPACKAGERIAU ANDALAN KERTAS</v>
      </c>
      <c r="C146" s="276" t="s">
        <v>36</v>
      </c>
      <c r="D146" s="276" t="s">
        <v>40</v>
      </c>
      <c r="E146" s="288" t="s">
        <v>96</v>
      </c>
      <c r="F146" s="303"/>
      <c r="G146" s="64">
        <v>181820000</v>
      </c>
      <c r="H146" s="65">
        <v>4140000</v>
      </c>
      <c r="I146" s="65">
        <v>21120000</v>
      </c>
      <c r="J146" s="65">
        <v>0</v>
      </c>
      <c r="K146" s="65">
        <v>0</v>
      </c>
      <c r="L146" s="65">
        <v>0</v>
      </c>
      <c r="M146" s="65">
        <v>0</v>
      </c>
      <c r="N146" s="65">
        <v>0</v>
      </c>
      <c r="O146" s="65">
        <v>0</v>
      </c>
      <c r="P146" s="81">
        <v>0</v>
      </c>
      <c r="Q146" s="81"/>
      <c r="R146" s="81"/>
      <c r="S146" s="81"/>
      <c r="T146" s="65">
        <v>0</v>
      </c>
      <c r="U146" s="65">
        <v>0</v>
      </c>
      <c r="V146" s="65">
        <v>0</v>
      </c>
      <c r="W146" s="66">
        <f t="shared" si="48"/>
        <v>25260000</v>
      </c>
      <c r="X146" s="55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1">
        <v>0</v>
      </c>
      <c r="AL146" s="55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122">
        <v>0</v>
      </c>
      <c r="AZ146" s="55"/>
      <c r="BA146" s="639">
        <v>0</v>
      </c>
      <c r="BB146" s="639">
        <v>0</v>
      </c>
      <c r="BC146" s="86"/>
      <c r="BD146" s="639">
        <v>0</v>
      </c>
      <c r="BE146" s="86"/>
      <c r="BF146" s="639">
        <v>0</v>
      </c>
      <c r="BG146" s="86"/>
      <c r="BH146" s="639"/>
      <c r="BI146" s="86"/>
      <c r="BJ146" s="639">
        <v>0</v>
      </c>
      <c r="BK146" s="86"/>
      <c r="BL146" s="639"/>
      <c r="BM146" s="86"/>
      <c r="BN146" s="695">
        <v>0</v>
      </c>
      <c r="BO146" s="696"/>
      <c r="BP146" s="695"/>
      <c r="BQ146" s="696"/>
      <c r="BR146" s="729"/>
      <c r="BS146" s="695"/>
      <c r="BT146" s="696"/>
      <c r="BU146" s="729"/>
      <c r="BV146" s="695"/>
      <c r="BW146" s="696"/>
      <c r="BX146" s="729"/>
      <c r="BY146" s="695"/>
      <c r="BZ146" s="696"/>
      <c r="CA146" s="729"/>
      <c r="CB146" s="720">
        <f t="shared" si="49"/>
        <v>0</v>
      </c>
      <c r="CC146" s="721">
        <f t="shared" si="50"/>
        <v>0</v>
      </c>
      <c r="CD146" s="738"/>
      <c r="CE146" s="322"/>
      <c r="CF146" s="322"/>
      <c r="CG146" s="322"/>
      <c r="CH146" s="322"/>
      <c r="CI146" s="322"/>
      <c r="CJ146" s="322"/>
      <c r="CK146" s="322"/>
      <c r="CL146" s="322"/>
      <c r="CM146" s="322"/>
      <c r="CN146" s="322"/>
      <c r="CO146" s="322"/>
      <c r="CP146" s="322"/>
      <c r="CQ146" s="355">
        <f t="shared" si="51"/>
        <v>0</v>
      </c>
      <c r="CR146" s="356">
        <f>CQ146*1.07</f>
        <v>0</v>
      </c>
      <c r="CS146" s="357">
        <f>CR146*1.07</f>
        <v>0</v>
      </c>
      <c r="CT146" s="332">
        <f>CS146*1.07</f>
        <v>0</v>
      </c>
      <c r="CU146" s="358">
        <f>CT146*1.07</f>
        <v>0</v>
      </c>
      <c r="CV146" s="57" t="s">
        <v>38</v>
      </c>
    </row>
    <row r="147" spans="1:101" ht="15" customHeight="1" outlineLevel="2">
      <c r="A147" s="276" t="s">
        <v>159</v>
      </c>
      <c r="B147" s="277" t="str">
        <f>$E$121&amp;$E$6&amp;E147</f>
        <v>PACK SEMARANGPACKAGERINDANG JATI SPINNING</v>
      </c>
      <c r="C147" s="276" t="s">
        <v>36</v>
      </c>
      <c r="E147" s="288" t="s">
        <v>173</v>
      </c>
      <c r="F147" s="303"/>
      <c r="G147" s="64">
        <v>3192784</v>
      </c>
      <c r="H147" s="81"/>
      <c r="I147" s="81"/>
      <c r="J147" s="81"/>
      <c r="K147" s="81"/>
      <c r="L147" s="81"/>
      <c r="M147" s="81"/>
      <c r="N147" s="81"/>
      <c r="O147" s="81"/>
      <c r="P147" s="81">
        <v>0</v>
      </c>
      <c r="Q147" s="81"/>
      <c r="R147" s="81"/>
      <c r="S147" s="81"/>
      <c r="T147" s="65">
        <v>0</v>
      </c>
      <c r="U147" s="65">
        <v>0</v>
      </c>
      <c r="V147" s="65">
        <v>0</v>
      </c>
      <c r="W147" s="66">
        <f t="shared" si="48"/>
        <v>0</v>
      </c>
      <c r="X147" s="55"/>
      <c r="Y147" s="82"/>
      <c r="Z147" s="82"/>
      <c r="AA147" s="82"/>
      <c r="AB147" s="82"/>
      <c r="AC147" s="82"/>
      <c r="AD147" s="82"/>
      <c r="AE147" s="82"/>
      <c r="AF147" s="82"/>
      <c r="AG147" s="82"/>
      <c r="AH147" s="82"/>
      <c r="AI147" s="82"/>
      <c r="AJ147" s="82"/>
      <c r="AK147" s="61">
        <v>0</v>
      </c>
      <c r="AL147" s="55"/>
      <c r="AM147" s="82"/>
      <c r="AN147" s="82"/>
      <c r="AO147" s="82"/>
      <c r="AP147" s="82"/>
      <c r="AQ147" s="82"/>
      <c r="AR147" s="82"/>
      <c r="AS147" s="82"/>
      <c r="AT147" s="82"/>
      <c r="AU147" s="82"/>
      <c r="AV147" s="82"/>
      <c r="AW147" s="82"/>
      <c r="AX147" s="82"/>
      <c r="AY147" s="122">
        <v>0</v>
      </c>
      <c r="AZ147" s="55"/>
      <c r="BA147" s="639">
        <v>0</v>
      </c>
      <c r="BB147" s="639">
        <v>0</v>
      </c>
      <c r="BC147" s="86"/>
      <c r="BD147" s="639">
        <v>0</v>
      </c>
      <c r="BE147" s="86"/>
      <c r="BF147" s="639">
        <v>0</v>
      </c>
      <c r="BG147" s="86"/>
      <c r="BH147" s="639"/>
      <c r="BI147" s="86"/>
      <c r="BJ147" s="639">
        <v>0</v>
      </c>
      <c r="BK147" s="86"/>
      <c r="BL147" s="639"/>
      <c r="BM147" s="86"/>
      <c r="BN147" s="695">
        <v>0</v>
      </c>
      <c r="BO147" s="696"/>
      <c r="BP147" s="695"/>
      <c r="BQ147" s="696"/>
      <c r="BR147" s="729"/>
      <c r="BS147" s="695"/>
      <c r="BT147" s="696"/>
      <c r="BU147" s="729"/>
      <c r="BV147" s="695"/>
      <c r="BW147" s="696"/>
      <c r="BX147" s="729"/>
      <c r="BY147" s="695"/>
      <c r="BZ147" s="696"/>
      <c r="CA147" s="729"/>
      <c r="CB147" s="720">
        <f t="shared" si="49"/>
        <v>0</v>
      </c>
      <c r="CC147" s="721">
        <f t="shared" si="50"/>
        <v>0</v>
      </c>
      <c r="CD147" s="738"/>
      <c r="CE147" s="322"/>
      <c r="CF147" s="322"/>
      <c r="CG147" s="322"/>
      <c r="CH147" s="322"/>
      <c r="CI147" s="322"/>
      <c r="CJ147" s="322"/>
      <c r="CK147" s="322"/>
      <c r="CL147" s="322"/>
      <c r="CM147" s="322"/>
      <c r="CN147" s="322"/>
      <c r="CO147" s="322"/>
      <c r="CP147" s="322"/>
      <c r="CQ147" s="355">
        <f t="shared" si="51"/>
        <v>0</v>
      </c>
      <c r="CR147" s="356"/>
      <c r="CS147" s="357"/>
      <c r="CT147" s="332"/>
      <c r="CU147" s="358"/>
      <c r="CV147" s="57" t="s">
        <v>38</v>
      </c>
    </row>
    <row r="148" spans="1:101" ht="15" customHeight="1" outlineLevel="2">
      <c r="A148" s="276" t="s">
        <v>159</v>
      </c>
      <c r="B148" s="277" t="str">
        <f>$E$121&amp;$E$6&amp;E160</f>
        <v>PACK SEMARANGPACKAGEROHA</v>
      </c>
      <c r="C148" s="276" t="s">
        <v>36</v>
      </c>
      <c r="E148" s="304"/>
      <c r="F148" s="303"/>
      <c r="G148" s="64">
        <v>9800000</v>
      </c>
      <c r="H148" s="81"/>
      <c r="I148" s="81"/>
      <c r="J148" s="81"/>
      <c r="K148" s="81"/>
      <c r="L148" s="81"/>
      <c r="M148" s="81"/>
      <c r="N148" s="81"/>
      <c r="O148" s="81"/>
      <c r="P148" s="81">
        <v>0</v>
      </c>
      <c r="Q148" s="81"/>
      <c r="R148" s="81"/>
      <c r="S148" s="81"/>
      <c r="T148" s="65">
        <v>0</v>
      </c>
      <c r="U148" s="65">
        <v>0</v>
      </c>
      <c r="V148" s="65">
        <v>0</v>
      </c>
      <c r="W148" s="66">
        <f t="shared" si="48"/>
        <v>0</v>
      </c>
      <c r="X148" s="55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61">
        <v>0</v>
      </c>
      <c r="AL148" s="55"/>
      <c r="AM148" s="82"/>
      <c r="AN148" s="82"/>
      <c r="AO148" s="82"/>
      <c r="AP148" s="82"/>
      <c r="AQ148" s="82"/>
      <c r="AR148" s="82"/>
      <c r="AS148" s="82"/>
      <c r="AT148" s="82"/>
      <c r="AU148" s="82"/>
      <c r="AV148" s="82"/>
      <c r="AW148" s="82"/>
      <c r="AX148" s="82"/>
      <c r="AY148" s="122">
        <v>0</v>
      </c>
      <c r="AZ148" s="55"/>
      <c r="BA148" s="639">
        <v>0</v>
      </c>
      <c r="BB148" s="639">
        <v>0</v>
      </c>
      <c r="BC148" s="86"/>
      <c r="BD148" s="639">
        <v>0</v>
      </c>
      <c r="BE148" s="86"/>
      <c r="BF148" s="639">
        <v>0</v>
      </c>
      <c r="BG148" s="86"/>
      <c r="BH148" s="639"/>
      <c r="BI148" s="86"/>
      <c r="BJ148" s="639">
        <v>0</v>
      </c>
      <c r="BK148" s="86"/>
      <c r="BL148" s="639"/>
      <c r="BM148" s="86"/>
      <c r="BN148" s="695">
        <v>0</v>
      </c>
      <c r="BO148" s="696"/>
      <c r="BP148" s="695"/>
      <c r="BQ148" s="696"/>
      <c r="BR148" s="729"/>
      <c r="BS148" s="695"/>
      <c r="BT148" s="696"/>
      <c r="BU148" s="729"/>
      <c r="BV148" s="695"/>
      <c r="BW148" s="696"/>
      <c r="BX148" s="729"/>
      <c r="BY148" s="695"/>
      <c r="BZ148" s="696"/>
      <c r="CA148" s="729"/>
      <c r="CB148" s="720">
        <f t="shared" si="49"/>
        <v>0</v>
      </c>
      <c r="CC148" s="721">
        <f t="shared" si="50"/>
        <v>0</v>
      </c>
      <c r="CD148" s="738"/>
      <c r="CE148" s="322"/>
      <c r="CF148" s="322"/>
      <c r="CG148" s="322"/>
      <c r="CH148" s="322"/>
      <c r="CI148" s="322"/>
      <c r="CJ148" s="322"/>
      <c r="CK148" s="322"/>
      <c r="CL148" s="322"/>
      <c r="CM148" s="322"/>
      <c r="CN148" s="322"/>
      <c r="CO148" s="322"/>
      <c r="CP148" s="322"/>
      <c r="CQ148" s="355">
        <f t="shared" si="51"/>
        <v>0</v>
      </c>
      <c r="CR148" s="356"/>
      <c r="CS148" s="357"/>
      <c r="CT148" s="332"/>
      <c r="CU148" s="358"/>
      <c r="CV148" s="57" t="s">
        <v>38</v>
      </c>
    </row>
    <row r="149" spans="1:101" ht="15" customHeight="1" outlineLevel="2">
      <c r="A149" s="276" t="s">
        <v>159</v>
      </c>
      <c r="B149" s="277" t="str">
        <f>$E$121&amp;$E$6&amp;E149</f>
        <v>PACK SEMARANGPACKAGE</v>
      </c>
      <c r="C149" s="276" t="s">
        <v>36</v>
      </c>
      <c r="E149" s="288"/>
      <c r="F149" s="303"/>
      <c r="G149" s="64">
        <v>16050000</v>
      </c>
      <c r="H149" s="81"/>
      <c r="I149" s="81"/>
      <c r="J149" s="81"/>
      <c r="K149" s="81"/>
      <c r="L149" s="81"/>
      <c r="M149" s="81"/>
      <c r="N149" s="81"/>
      <c r="O149" s="81"/>
      <c r="P149" s="81">
        <v>0</v>
      </c>
      <c r="Q149" s="81"/>
      <c r="R149" s="81"/>
      <c r="S149" s="81"/>
      <c r="T149" s="65">
        <v>0</v>
      </c>
      <c r="U149" s="65">
        <v>0</v>
      </c>
      <c r="V149" s="65">
        <v>0</v>
      </c>
      <c r="W149" s="66">
        <f t="shared" si="48"/>
        <v>0</v>
      </c>
      <c r="X149" s="55"/>
      <c r="Y149" s="82"/>
      <c r="Z149" s="82"/>
      <c r="AA149" s="82"/>
      <c r="AB149" s="82"/>
      <c r="AC149" s="82"/>
      <c r="AD149" s="82"/>
      <c r="AE149" s="82"/>
      <c r="AF149" s="82"/>
      <c r="AG149" s="82"/>
      <c r="AH149" s="82"/>
      <c r="AI149" s="82"/>
      <c r="AJ149" s="82"/>
      <c r="AK149" s="61">
        <v>0</v>
      </c>
      <c r="AL149" s="55"/>
      <c r="AM149" s="82"/>
      <c r="AN149" s="82"/>
      <c r="AO149" s="82"/>
      <c r="AP149" s="82"/>
      <c r="AQ149" s="82"/>
      <c r="AR149" s="82"/>
      <c r="AS149" s="82"/>
      <c r="AT149" s="82"/>
      <c r="AU149" s="82"/>
      <c r="AV149" s="82"/>
      <c r="AW149" s="82"/>
      <c r="AX149" s="82"/>
      <c r="AY149" s="122">
        <v>0</v>
      </c>
      <c r="AZ149" s="55"/>
      <c r="BA149" s="639">
        <v>0</v>
      </c>
      <c r="BB149" s="639">
        <v>0</v>
      </c>
      <c r="BC149" s="86"/>
      <c r="BD149" s="639">
        <v>0</v>
      </c>
      <c r="BE149" s="86"/>
      <c r="BF149" s="639">
        <v>0</v>
      </c>
      <c r="BG149" s="86"/>
      <c r="BH149" s="639"/>
      <c r="BI149" s="86"/>
      <c r="BJ149" s="639">
        <v>0</v>
      </c>
      <c r="BK149" s="86"/>
      <c r="BL149" s="639"/>
      <c r="BM149" s="86"/>
      <c r="BN149" s="695">
        <v>0</v>
      </c>
      <c r="BO149" s="696"/>
      <c r="BP149" s="695"/>
      <c r="BQ149" s="696"/>
      <c r="BR149" s="729"/>
      <c r="BS149" s="695"/>
      <c r="BT149" s="696"/>
      <c r="BU149" s="729"/>
      <c r="BV149" s="695"/>
      <c r="BW149" s="696"/>
      <c r="BX149" s="729"/>
      <c r="BY149" s="695"/>
      <c r="BZ149" s="696"/>
      <c r="CA149" s="729"/>
      <c r="CB149" s="720">
        <f t="shared" si="49"/>
        <v>0</v>
      </c>
      <c r="CC149" s="721">
        <f t="shared" si="50"/>
        <v>0</v>
      </c>
      <c r="CD149" s="738"/>
      <c r="CE149" s="322"/>
      <c r="CF149" s="322"/>
      <c r="CG149" s="322"/>
      <c r="CH149" s="322"/>
      <c r="CI149" s="322"/>
      <c r="CJ149" s="322"/>
      <c r="CK149" s="322"/>
      <c r="CL149" s="322"/>
      <c r="CM149" s="322"/>
      <c r="CN149" s="322"/>
      <c r="CO149" s="322"/>
      <c r="CP149" s="322"/>
      <c r="CQ149" s="355">
        <f t="shared" si="51"/>
        <v>0</v>
      </c>
      <c r="CR149" s="356"/>
      <c r="CS149" s="357"/>
      <c r="CT149" s="332"/>
      <c r="CU149" s="358"/>
      <c r="CV149" s="57" t="s">
        <v>38</v>
      </c>
    </row>
    <row r="150" spans="1:101" ht="15" customHeight="1" outlineLevel="2">
      <c r="A150" s="276" t="s">
        <v>159</v>
      </c>
      <c r="B150" s="277" t="str">
        <f>$E$121&amp;$E$6&amp;E150</f>
        <v>PACK SEMARANGPACKAGETOTAL MANDIRI SELARAS</v>
      </c>
      <c r="C150" s="276" t="s">
        <v>36</v>
      </c>
      <c r="D150" s="276" t="s">
        <v>40</v>
      </c>
      <c r="E150" s="288" t="s">
        <v>174</v>
      </c>
      <c r="F150" s="303">
        <v>3000018793</v>
      </c>
      <c r="G150" s="64">
        <v>15176000</v>
      </c>
      <c r="H150" s="65">
        <v>3600000</v>
      </c>
      <c r="I150" s="65">
        <v>5155000</v>
      </c>
      <c r="J150" s="65">
        <v>6661000</v>
      </c>
      <c r="K150" s="65">
        <v>6597000</v>
      </c>
      <c r="L150" s="65">
        <v>4693000</v>
      </c>
      <c r="M150" s="65">
        <v>5350000</v>
      </c>
      <c r="N150" s="65">
        <v>22982000</v>
      </c>
      <c r="O150" s="65">
        <v>35052000</v>
      </c>
      <c r="P150" s="81">
        <v>58250000</v>
      </c>
      <c r="Q150" s="81">
        <v>61369000</v>
      </c>
      <c r="R150" s="81">
        <v>72695000</v>
      </c>
      <c r="S150" s="81">
        <v>79343000</v>
      </c>
      <c r="T150" s="65">
        <v>22982000</v>
      </c>
      <c r="U150" s="65">
        <v>22982000</v>
      </c>
      <c r="V150" s="65">
        <v>22982000</v>
      </c>
      <c r="W150" s="66">
        <f t="shared" si="48"/>
        <v>361747000</v>
      </c>
      <c r="X150" s="55"/>
      <c r="Y150" s="67">
        <f t="shared" ref="Y150:AG150" si="56">30000000</f>
        <v>30000000</v>
      </c>
      <c r="Z150" s="67">
        <f t="shared" si="56"/>
        <v>30000000</v>
      </c>
      <c r="AA150" s="67">
        <f t="shared" si="56"/>
        <v>30000000</v>
      </c>
      <c r="AB150" s="67">
        <f t="shared" si="56"/>
        <v>30000000</v>
      </c>
      <c r="AC150" s="67">
        <f t="shared" si="56"/>
        <v>30000000</v>
      </c>
      <c r="AD150" s="67">
        <f t="shared" si="56"/>
        <v>30000000</v>
      </c>
      <c r="AE150" s="67">
        <f t="shared" si="56"/>
        <v>30000000</v>
      </c>
      <c r="AF150" s="67">
        <f t="shared" si="56"/>
        <v>30000000</v>
      </c>
      <c r="AG150" s="67">
        <f t="shared" si="56"/>
        <v>30000000</v>
      </c>
      <c r="AH150" s="67">
        <f>40000000</f>
        <v>40000000</v>
      </c>
      <c r="AI150" s="67">
        <f>40000000</f>
        <v>40000000</v>
      </c>
      <c r="AJ150" s="67">
        <f>40000000</f>
        <v>40000000</v>
      </c>
      <c r="AK150" s="61">
        <v>390000000</v>
      </c>
      <c r="AL150" s="55"/>
      <c r="AM150" s="67">
        <v>30000000</v>
      </c>
      <c r="AN150" s="67">
        <v>30000000</v>
      </c>
      <c r="AO150" s="67">
        <v>30000000</v>
      </c>
      <c r="AP150" s="67">
        <v>30000000</v>
      </c>
      <c r="AQ150" s="67">
        <v>30000000</v>
      </c>
      <c r="AR150" s="67">
        <v>30000000</v>
      </c>
      <c r="AS150" s="67">
        <v>30000000</v>
      </c>
      <c r="AT150" s="67">
        <v>30000000</v>
      </c>
      <c r="AU150" s="67">
        <v>30000000</v>
      </c>
      <c r="AV150" s="67">
        <v>40000000</v>
      </c>
      <c r="AW150" s="67">
        <v>40000000</v>
      </c>
      <c r="AX150" s="67">
        <v>40000000</v>
      </c>
      <c r="AY150" s="122">
        <v>390000000</v>
      </c>
      <c r="AZ150" s="55"/>
      <c r="BA150" s="639">
        <v>35194000</v>
      </c>
      <c r="BB150" s="639">
        <v>20459600</v>
      </c>
      <c r="BC150" s="86">
        <f>BA150</f>
        <v>35194000</v>
      </c>
      <c r="BD150" s="639">
        <v>40629800</v>
      </c>
      <c r="BE150" s="86">
        <v>50000000</v>
      </c>
      <c r="BF150" s="639">
        <v>15669600</v>
      </c>
      <c r="BG150" s="86">
        <f>BE150</f>
        <v>50000000</v>
      </c>
      <c r="BH150" s="639">
        <v>4389600</v>
      </c>
      <c r="BI150" s="86">
        <f>BG150</f>
        <v>50000000</v>
      </c>
      <c r="BJ150" s="639">
        <v>3258000</v>
      </c>
      <c r="BK150" s="86">
        <f>BI150</f>
        <v>50000000</v>
      </c>
      <c r="BL150" s="639">
        <v>4732800</v>
      </c>
      <c r="BM150" s="86">
        <f>BK150</f>
        <v>50000000</v>
      </c>
      <c r="BN150" s="695">
        <v>3036000</v>
      </c>
      <c r="BO150" s="696">
        <f>BM150</f>
        <v>50000000</v>
      </c>
      <c r="BP150" s="695"/>
      <c r="BQ150" s="696">
        <f>BP150</f>
        <v>0</v>
      </c>
      <c r="BR150" s="729">
        <v>30000000</v>
      </c>
      <c r="BS150" s="695"/>
      <c r="BT150" s="696">
        <f>BS150</f>
        <v>0</v>
      </c>
      <c r="BU150" s="729">
        <f>BR150</f>
        <v>30000000</v>
      </c>
      <c r="BV150" s="695"/>
      <c r="BW150" s="696">
        <f>BV150</f>
        <v>0</v>
      </c>
      <c r="BX150" s="729">
        <f>BU150</f>
        <v>30000000</v>
      </c>
      <c r="BY150" s="695"/>
      <c r="BZ150" s="696">
        <f>BY150</f>
        <v>0</v>
      </c>
      <c r="CA150" s="729">
        <f>BX150</f>
        <v>30000000</v>
      </c>
      <c r="CB150" s="720">
        <f t="shared" si="49"/>
        <v>247369400</v>
      </c>
      <c r="CC150" s="721">
        <f t="shared" si="50"/>
        <v>247369400</v>
      </c>
      <c r="CD150" s="738"/>
      <c r="CE150" s="322">
        <v>10000000</v>
      </c>
      <c r="CF150" s="322">
        <v>10000000</v>
      </c>
      <c r="CG150" s="322">
        <v>10000000</v>
      </c>
      <c r="CH150" s="322">
        <v>10000000</v>
      </c>
      <c r="CI150" s="322">
        <v>10000000</v>
      </c>
      <c r="CJ150" s="322">
        <v>10000000</v>
      </c>
      <c r="CK150" s="322">
        <v>10000000</v>
      </c>
      <c r="CL150" s="322">
        <v>10000000</v>
      </c>
      <c r="CM150" s="322">
        <v>10000000</v>
      </c>
      <c r="CN150" s="322">
        <v>10000000</v>
      </c>
      <c r="CO150" s="322">
        <v>10000000</v>
      </c>
      <c r="CP150" s="322">
        <v>10000000</v>
      </c>
      <c r="CQ150" s="355">
        <f t="shared" si="51"/>
        <v>120000000</v>
      </c>
      <c r="CR150" s="356">
        <f>CQ150*1.17</f>
        <v>140400000</v>
      </c>
      <c r="CS150" s="357">
        <f>CR150*1.08</f>
        <v>151632000</v>
      </c>
      <c r="CT150" s="332">
        <f>CS150*1.09</f>
        <v>165278880</v>
      </c>
      <c r="CU150" s="358">
        <f>CT150*1.09</f>
        <v>180153979.20000002</v>
      </c>
      <c r="CV150" s="57" t="s">
        <v>38</v>
      </c>
    </row>
    <row r="151" spans="1:101" ht="15" customHeight="1" outlineLevel="2">
      <c r="A151" s="276" t="s">
        <v>159</v>
      </c>
      <c r="B151" s="277" t="str">
        <f>$E$121&amp;$E$6&amp;E151</f>
        <v>PACK SEMARANGPACKAGETRISAKTI MUSTIKA GRAPHIKA</v>
      </c>
      <c r="C151" s="276" t="s">
        <v>36</v>
      </c>
      <c r="E151" s="288" t="s">
        <v>175</v>
      </c>
      <c r="F151" s="303"/>
      <c r="G151" s="64">
        <v>188486854</v>
      </c>
      <c r="H151" s="81"/>
      <c r="I151" s="81"/>
      <c r="J151" s="81"/>
      <c r="K151" s="81"/>
      <c r="L151" s="81"/>
      <c r="M151" s="81"/>
      <c r="N151" s="81"/>
      <c r="O151" s="81"/>
      <c r="P151" s="81">
        <v>0</v>
      </c>
      <c r="Q151" s="81"/>
      <c r="R151" s="81"/>
      <c r="S151" s="81"/>
      <c r="T151" s="65">
        <v>0</v>
      </c>
      <c r="U151" s="65">
        <v>0</v>
      </c>
      <c r="V151" s="65">
        <v>0</v>
      </c>
      <c r="W151" s="66">
        <f t="shared" si="48"/>
        <v>0</v>
      </c>
      <c r="X151" s="55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2"/>
      <c r="AK151" s="61">
        <v>0</v>
      </c>
      <c r="AL151" s="55"/>
      <c r="AM151" s="82"/>
      <c r="AN151" s="82"/>
      <c r="AO151" s="82"/>
      <c r="AP151" s="82"/>
      <c r="AQ151" s="82"/>
      <c r="AR151" s="82"/>
      <c r="AS151" s="82"/>
      <c r="AT151" s="82"/>
      <c r="AU151" s="82"/>
      <c r="AV151" s="82"/>
      <c r="AW151" s="82"/>
      <c r="AX151" s="82"/>
      <c r="AY151" s="122">
        <v>0</v>
      </c>
      <c r="AZ151" s="55"/>
      <c r="BA151" s="639">
        <v>0</v>
      </c>
      <c r="BB151" s="639">
        <v>0</v>
      </c>
      <c r="BC151" s="86"/>
      <c r="BD151" s="639">
        <v>0</v>
      </c>
      <c r="BE151" s="86"/>
      <c r="BF151" s="639"/>
      <c r="BG151" s="86"/>
      <c r="BH151" s="639"/>
      <c r="BI151" s="86"/>
      <c r="BJ151" s="639">
        <v>0</v>
      </c>
      <c r="BK151" s="86"/>
      <c r="BL151" s="639"/>
      <c r="BM151" s="86"/>
      <c r="BN151" s="695">
        <v>0</v>
      </c>
      <c r="BO151" s="696"/>
      <c r="BP151" s="695"/>
      <c r="BQ151" s="696"/>
      <c r="BR151" s="729"/>
      <c r="BS151" s="695"/>
      <c r="BT151" s="696"/>
      <c r="BU151" s="729"/>
      <c r="BV151" s="695"/>
      <c r="BW151" s="696"/>
      <c r="BX151" s="729"/>
      <c r="BY151" s="695"/>
      <c r="BZ151" s="696"/>
      <c r="CA151" s="729"/>
      <c r="CB151" s="720">
        <f t="shared" si="49"/>
        <v>0</v>
      </c>
      <c r="CC151" s="721">
        <f t="shared" si="50"/>
        <v>0</v>
      </c>
      <c r="CD151" s="738"/>
      <c r="CE151" s="322"/>
      <c r="CF151" s="322"/>
      <c r="CG151" s="322"/>
      <c r="CH151" s="322"/>
      <c r="CI151" s="322"/>
      <c r="CJ151" s="322"/>
      <c r="CK151" s="322"/>
      <c r="CL151" s="322"/>
      <c r="CM151" s="322"/>
      <c r="CN151" s="322"/>
      <c r="CO151" s="322"/>
      <c r="CP151" s="322"/>
      <c r="CQ151" s="355">
        <f t="shared" si="51"/>
        <v>0</v>
      </c>
      <c r="CR151" s="356"/>
      <c r="CS151" s="357"/>
      <c r="CT151" s="332"/>
      <c r="CU151" s="358"/>
      <c r="CV151" s="57" t="s">
        <v>38</v>
      </c>
    </row>
    <row r="152" spans="1:101" ht="15" customHeight="1" outlineLevel="2">
      <c r="A152" s="276" t="s">
        <v>159</v>
      </c>
      <c r="B152" s="277" t="str">
        <f>$E$121&amp;$E$6&amp;E152</f>
        <v>PACK SEMARANGPACKAGEUNZA VITALIS</v>
      </c>
      <c r="C152" s="276" t="s">
        <v>36</v>
      </c>
      <c r="D152" s="276" t="s">
        <v>40</v>
      </c>
      <c r="E152" s="288" t="s">
        <v>176</v>
      </c>
      <c r="F152" s="303">
        <v>3000006166</v>
      </c>
      <c r="G152" s="73"/>
      <c r="H152" s="65">
        <v>0</v>
      </c>
      <c r="I152" s="65">
        <v>0</v>
      </c>
      <c r="J152" s="65">
        <v>0</v>
      </c>
      <c r="K152" s="65">
        <v>33616000</v>
      </c>
      <c r="L152" s="65">
        <v>49362000</v>
      </c>
      <c r="M152" s="65">
        <v>70406000</v>
      </c>
      <c r="N152" s="65">
        <v>0</v>
      </c>
      <c r="O152" s="65">
        <v>0</v>
      </c>
      <c r="P152" s="81">
        <v>0</v>
      </c>
      <c r="Q152" s="81"/>
      <c r="R152" s="81"/>
      <c r="S152" s="81"/>
      <c r="T152" s="65">
        <v>0</v>
      </c>
      <c r="U152" s="65">
        <v>0</v>
      </c>
      <c r="V152" s="65">
        <v>0</v>
      </c>
      <c r="W152" s="66">
        <f t="shared" si="48"/>
        <v>153384000</v>
      </c>
      <c r="X152" s="55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1">
        <v>0</v>
      </c>
      <c r="AL152" s="55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122">
        <v>0</v>
      </c>
      <c r="AZ152" s="55"/>
      <c r="BA152" s="639">
        <v>0</v>
      </c>
      <c r="BB152" s="639">
        <v>0</v>
      </c>
      <c r="BC152" s="86"/>
      <c r="BD152" s="639">
        <v>68080000</v>
      </c>
      <c r="BE152" s="86">
        <v>20000000</v>
      </c>
      <c r="BF152" s="639">
        <v>61026587</v>
      </c>
      <c r="BG152" s="86">
        <v>70000000</v>
      </c>
      <c r="BH152" s="639">
        <v>38058514</v>
      </c>
      <c r="BI152" s="86">
        <f>BG152</f>
        <v>70000000</v>
      </c>
      <c r="BJ152" s="639">
        <v>81205591</v>
      </c>
      <c r="BK152" s="86">
        <v>100000000</v>
      </c>
      <c r="BL152" s="639">
        <v>81612369</v>
      </c>
      <c r="BM152" s="86">
        <f>BK152</f>
        <v>100000000</v>
      </c>
      <c r="BN152" s="695">
        <v>77408762</v>
      </c>
      <c r="BO152" s="696">
        <f>BM152</f>
        <v>100000000</v>
      </c>
      <c r="BP152" s="695"/>
      <c r="BQ152" s="696">
        <f>BP152</f>
        <v>0</v>
      </c>
      <c r="BR152" s="729">
        <v>90000000</v>
      </c>
      <c r="BS152" s="695"/>
      <c r="BT152" s="696">
        <f>BS152</f>
        <v>0</v>
      </c>
      <c r="BU152" s="729">
        <f>BR152</f>
        <v>90000000</v>
      </c>
      <c r="BV152" s="695"/>
      <c r="BW152" s="696">
        <f>BV152</f>
        <v>0</v>
      </c>
      <c r="BX152" s="729">
        <f>BU152</f>
        <v>90000000</v>
      </c>
      <c r="BY152" s="695"/>
      <c r="BZ152" s="696">
        <f>BY152</f>
        <v>0</v>
      </c>
      <c r="CA152" s="729">
        <f>BX152</f>
        <v>90000000</v>
      </c>
      <c r="CB152" s="720">
        <f t="shared" si="49"/>
        <v>767391823</v>
      </c>
      <c r="CC152" s="721">
        <f t="shared" si="50"/>
        <v>767391823</v>
      </c>
      <c r="CD152" s="738"/>
      <c r="CE152" s="322">
        <v>60000000</v>
      </c>
      <c r="CF152" s="322">
        <v>60000000</v>
      </c>
      <c r="CG152" s="322">
        <v>60000000</v>
      </c>
      <c r="CH152" s="322">
        <v>60000000</v>
      </c>
      <c r="CI152" s="322">
        <v>60000000</v>
      </c>
      <c r="CJ152" s="322">
        <v>60000000</v>
      </c>
      <c r="CK152" s="322">
        <v>60000000</v>
      </c>
      <c r="CL152" s="322">
        <v>60000000</v>
      </c>
      <c r="CM152" s="322">
        <v>60000000</v>
      </c>
      <c r="CN152" s="322">
        <v>60000000</v>
      </c>
      <c r="CO152" s="322">
        <v>60000000</v>
      </c>
      <c r="CP152" s="322">
        <v>60000000</v>
      </c>
      <c r="CQ152" s="355">
        <f t="shared" si="51"/>
        <v>720000000</v>
      </c>
      <c r="CR152" s="356">
        <f>CQ152*1.07</f>
        <v>770400000</v>
      </c>
      <c r="CS152" s="357">
        <f>CR152*1.07</f>
        <v>824328000</v>
      </c>
      <c r="CT152" s="332">
        <f>CS152*1.07</f>
        <v>882030960</v>
      </c>
      <c r="CU152" s="358">
        <f>CT152*1.07</f>
        <v>943773127.20000005</v>
      </c>
      <c r="CV152" s="57" t="s">
        <v>38</v>
      </c>
    </row>
    <row r="153" spans="1:101" s="41" customFormat="1" ht="15" customHeight="1" outlineLevel="2">
      <c r="A153" s="289"/>
      <c r="B153" s="290"/>
      <c r="C153" s="289"/>
      <c r="D153" s="289"/>
      <c r="E153" s="291" t="s">
        <v>107</v>
      </c>
      <c r="F153" s="305"/>
      <c r="G153" s="247"/>
      <c r="H153" s="101"/>
      <c r="I153" s="101"/>
      <c r="J153" s="101"/>
      <c r="K153" s="101"/>
      <c r="L153" s="101"/>
      <c r="M153" s="101"/>
      <c r="N153" s="101"/>
      <c r="O153" s="101"/>
      <c r="P153" s="101"/>
      <c r="Q153" s="142"/>
      <c r="R153" s="142"/>
      <c r="S153" s="142"/>
      <c r="T153" s="101"/>
      <c r="U153" s="101"/>
      <c r="V153" s="101"/>
      <c r="W153" s="231"/>
      <c r="X153" s="55"/>
      <c r="Y153" s="224">
        <f>SUM(Y154:Y156)</f>
        <v>40000000</v>
      </c>
      <c r="Z153" s="224">
        <f t="shared" ref="Z153:AM153" si="57">SUM(Z154:Z156)</f>
        <v>40000000</v>
      </c>
      <c r="AA153" s="224">
        <f t="shared" si="57"/>
        <v>40000000</v>
      </c>
      <c r="AB153" s="224">
        <f t="shared" si="57"/>
        <v>40000000</v>
      </c>
      <c r="AC153" s="224">
        <f t="shared" si="57"/>
        <v>40000000</v>
      </c>
      <c r="AD153" s="224">
        <f t="shared" si="57"/>
        <v>40000000</v>
      </c>
      <c r="AE153" s="224">
        <f t="shared" si="57"/>
        <v>40000000</v>
      </c>
      <c r="AF153" s="224">
        <f t="shared" si="57"/>
        <v>40000000</v>
      </c>
      <c r="AG153" s="224">
        <f t="shared" si="57"/>
        <v>40000000</v>
      </c>
      <c r="AH153" s="224">
        <f t="shared" si="57"/>
        <v>40000000</v>
      </c>
      <c r="AI153" s="224">
        <f t="shared" si="57"/>
        <v>40000000</v>
      </c>
      <c r="AJ153" s="224">
        <f t="shared" si="57"/>
        <v>40000000</v>
      </c>
      <c r="AK153" s="224">
        <f t="shared" si="57"/>
        <v>480000000</v>
      </c>
      <c r="AL153" s="55"/>
      <c r="AM153" s="224">
        <f t="shared" si="57"/>
        <v>40000000</v>
      </c>
      <c r="AN153" s="224">
        <f t="shared" ref="AN153:AY153" si="58">SUM(AN154:AN156)</f>
        <v>40000000</v>
      </c>
      <c r="AO153" s="224">
        <f t="shared" si="58"/>
        <v>40000000</v>
      </c>
      <c r="AP153" s="224">
        <f t="shared" si="58"/>
        <v>40000000</v>
      </c>
      <c r="AQ153" s="224">
        <f t="shared" si="58"/>
        <v>40000000</v>
      </c>
      <c r="AR153" s="224">
        <f t="shared" si="58"/>
        <v>40000000</v>
      </c>
      <c r="AS153" s="224">
        <f t="shared" si="58"/>
        <v>40000000</v>
      </c>
      <c r="AT153" s="224">
        <f t="shared" si="58"/>
        <v>40000000</v>
      </c>
      <c r="AU153" s="224">
        <f t="shared" si="58"/>
        <v>40000000</v>
      </c>
      <c r="AV153" s="224">
        <f t="shared" si="58"/>
        <v>40000000</v>
      </c>
      <c r="AW153" s="224">
        <f t="shared" si="58"/>
        <v>40000000</v>
      </c>
      <c r="AX153" s="224">
        <f t="shared" si="58"/>
        <v>40000000</v>
      </c>
      <c r="AY153" s="224">
        <f t="shared" si="58"/>
        <v>480000000</v>
      </c>
      <c r="AZ153" s="110"/>
      <c r="BA153" s="224">
        <f t="shared" ref="BA153:CU153" si="59">SUM(BA154:BA156)</f>
        <v>0</v>
      </c>
      <c r="BB153" s="224">
        <f t="shared" si="59"/>
        <v>0</v>
      </c>
      <c r="BC153" s="224">
        <f t="shared" si="59"/>
        <v>0</v>
      </c>
      <c r="BD153" s="224">
        <f t="shared" si="59"/>
        <v>18087186</v>
      </c>
      <c r="BE153" s="224">
        <f t="shared" si="59"/>
        <v>20000000</v>
      </c>
      <c r="BF153" s="224">
        <f t="shared" si="59"/>
        <v>9043593</v>
      </c>
      <c r="BG153" s="224">
        <f t="shared" si="59"/>
        <v>50000000</v>
      </c>
      <c r="BH153" s="224">
        <f t="shared" si="59"/>
        <v>16143861</v>
      </c>
      <c r="BI153" s="224">
        <f t="shared" si="59"/>
        <v>70000000</v>
      </c>
      <c r="BJ153" s="224">
        <f t="shared" si="59"/>
        <v>20913593</v>
      </c>
      <c r="BK153" s="224">
        <f t="shared" si="59"/>
        <v>89000000</v>
      </c>
      <c r="BL153" s="224">
        <f t="shared" si="59"/>
        <v>13949593</v>
      </c>
      <c r="BM153" s="224">
        <f t="shared" si="59"/>
        <v>79000000</v>
      </c>
      <c r="BN153" s="697">
        <f t="shared" si="59"/>
        <v>37846093</v>
      </c>
      <c r="BO153" s="697">
        <f t="shared" si="59"/>
        <v>79000000</v>
      </c>
      <c r="BP153" s="697">
        <f t="shared" si="59"/>
        <v>0</v>
      </c>
      <c r="BQ153" s="697">
        <f>SUM(BQ154:BQ156)</f>
        <v>10000000</v>
      </c>
      <c r="BR153" s="697">
        <f>SUM(BR154:BR156)</f>
        <v>52000000</v>
      </c>
      <c r="BS153" s="697">
        <f t="shared" si="59"/>
        <v>0</v>
      </c>
      <c r="BT153" s="697">
        <f>SUM(BT154:BT156)</f>
        <v>10000000</v>
      </c>
      <c r="BU153" s="697">
        <f t="shared" si="59"/>
        <v>58000000</v>
      </c>
      <c r="BV153" s="697">
        <f t="shared" si="59"/>
        <v>0</v>
      </c>
      <c r="BW153" s="697">
        <f>SUM(BW154:BW156)</f>
        <v>10000000</v>
      </c>
      <c r="BX153" s="697">
        <f t="shared" si="59"/>
        <v>59000000</v>
      </c>
      <c r="BY153" s="697">
        <f t="shared" si="59"/>
        <v>0</v>
      </c>
      <c r="BZ153" s="697">
        <f>SUM(BZ154:BZ156)</f>
        <v>10000000</v>
      </c>
      <c r="CA153" s="697">
        <f t="shared" si="59"/>
        <v>59000000</v>
      </c>
      <c r="CB153" s="697">
        <f t="shared" si="59"/>
        <v>343983919</v>
      </c>
      <c r="CC153" s="697">
        <f t="shared" si="59"/>
        <v>343983919</v>
      </c>
      <c r="CD153" s="738"/>
      <c r="CE153" s="324">
        <f>SUM(CE154:CE156)</f>
        <v>30000000</v>
      </c>
      <c r="CF153" s="324">
        <f t="shared" si="59"/>
        <v>30000000</v>
      </c>
      <c r="CG153" s="324">
        <f t="shared" si="59"/>
        <v>30000000</v>
      </c>
      <c r="CH153" s="324">
        <f t="shared" si="59"/>
        <v>30000000</v>
      </c>
      <c r="CI153" s="324">
        <f t="shared" si="59"/>
        <v>30000000</v>
      </c>
      <c r="CJ153" s="324">
        <f t="shared" si="59"/>
        <v>30000000</v>
      </c>
      <c r="CK153" s="324">
        <f t="shared" si="59"/>
        <v>30000000</v>
      </c>
      <c r="CL153" s="324">
        <f t="shared" si="59"/>
        <v>30000000</v>
      </c>
      <c r="CM153" s="324">
        <f t="shared" si="59"/>
        <v>30000000</v>
      </c>
      <c r="CN153" s="324">
        <f t="shared" si="59"/>
        <v>30000000</v>
      </c>
      <c r="CO153" s="324">
        <f t="shared" si="59"/>
        <v>30000000</v>
      </c>
      <c r="CP153" s="324">
        <f t="shared" si="59"/>
        <v>30000000</v>
      </c>
      <c r="CQ153" s="324">
        <f t="shared" si="59"/>
        <v>360000000</v>
      </c>
      <c r="CR153" s="324">
        <f t="shared" si="59"/>
        <v>210600000</v>
      </c>
      <c r="CS153" s="324">
        <f t="shared" si="59"/>
        <v>227448000.00000003</v>
      </c>
      <c r="CT153" s="324">
        <f t="shared" si="59"/>
        <v>250192800.00000006</v>
      </c>
      <c r="CU153" s="324">
        <f t="shared" si="59"/>
        <v>275212080.00000006</v>
      </c>
      <c r="CV153" s="92"/>
    </row>
    <row r="154" spans="1:101" ht="15" customHeight="1" outlineLevel="2">
      <c r="A154" s="276" t="s">
        <v>159</v>
      </c>
      <c r="C154" s="276" t="s">
        <v>36</v>
      </c>
      <c r="D154" s="276" t="s">
        <v>108</v>
      </c>
      <c r="E154" s="306" t="s">
        <v>62</v>
      </c>
      <c r="F154" s="303">
        <v>8000000065</v>
      </c>
      <c r="G154" s="64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65"/>
      <c r="U154" s="65"/>
      <c r="V154" s="65"/>
      <c r="W154" s="66"/>
      <c r="X154" s="55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61"/>
      <c r="AL154" s="55"/>
      <c r="AM154" s="82"/>
      <c r="AN154" s="82"/>
      <c r="AO154" s="82"/>
      <c r="AP154" s="82"/>
      <c r="AQ154" s="82"/>
      <c r="AR154" s="82"/>
      <c r="AS154" s="82"/>
      <c r="AT154" s="82"/>
      <c r="AU154" s="82"/>
      <c r="AV154" s="82"/>
      <c r="AW154" s="82"/>
      <c r="AX154" s="82"/>
      <c r="AY154" s="122"/>
      <c r="AZ154" s="55"/>
      <c r="BA154" s="639"/>
      <c r="BB154" s="639"/>
      <c r="BC154" s="86"/>
      <c r="BD154" s="639">
        <v>18087186</v>
      </c>
      <c r="BE154" s="86"/>
      <c r="BF154" s="639">
        <v>9043593</v>
      </c>
      <c r="BG154" s="86"/>
      <c r="BH154" s="639">
        <v>9043593</v>
      </c>
      <c r="BI154" s="86">
        <v>20000000</v>
      </c>
      <c r="BJ154" s="639">
        <v>9043593</v>
      </c>
      <c r="BK154" s="86">
        <f>9000000+20000000</f>
        <v>29000000</v>
      </c>
      <c r="BL154" s="639">
        <v>9043593</v>
      </c>
      <c r="BM154" s="86">
        <f>9000000+10000000</f>
        <v>19000000</v>
      </c>
      <c r="BN154" s="695">
        <v>9043593</v>
      </c>
      <c r="BO154" s="696">
        <f>BM154</f>
        <v>19000000</v>
      </c>
      <c r="BP154" s="695"/>
      <c r="BQ154" s="696">
        <f>BP154</f>
        <v>0</v>
      </c>
      <c r="BR154" s="729">
        <v>12000000</v>
      </c>
      <c r="BS154" s="695"/>
      <c r="BT154" s="696">
        <f>BS154</f>
        <v>0</v>
      </c>
      <c r="BU154" s="729">
        <f>BR154</f>
        <v>12000000</v>
      </c>
      <c r="BV154" s="695"/>
      <c r="BW154" s="696">
        <f>BV154</f>
        <v>0</v>
      </c>
      <c r="BX154" s="729">
        <f>BU154</f>
        <v>12000000</v>
      </c>
      <c r="BY154" s="695"/>
      <c r="BZ154" s="696">
        <f>BY154</f>
        <v>0</v>
      </c>
      <c r="CA154" s="729">
        <f>BX154</f>
        <v>12000000</v>
      </c>
      <c r="CB154" s="720">
        <f>SUM(BA154,BB154,BD154,BF154,BH154,BJ154,BL154,BN154,BP154,BR154,BU154,BX154,CA154)</f>
        <v>111305151</v>
      </c>
      <c r="CC154" s="721">
        <f>SUM(BA154,BB154,BD154,BF154,BH154,BJ154,BL154,BN154,BR154,BU154,BX154,CA154)</f>
        <v>111305151</v>
      </c>
      <c r="CD154" s="738"/>
      <c r="CE154" s="322">
        <v>15000000</v>
      </c>
      <c r="CF154" s="322">
        <v>15000000</v>
      </c>
      <c r="CG154" s="322">
        <v>15000000</v>
      </c>
      <c r="CH154" s="322">
        <v>15000000</v>
      </c>
      <c r="CI154" s="322">
        <v>15000000</v>
      </c>
      <c r="CJ154" s="322">
        <v>15000000</v>
      </c>
      <c r="CK154" s="322">
        <v>15000000</v>
      </c>
      <c r="CL154" s="322">
        <v>15000000</v>
      </c>
      <c r="CM154" s="322">
        <v>15000000</v>
      </c>
      <c r="CN154" s="322">
        <v>15000000</v>
      </c>
      <c r="CO154" s="322">
        <v>15000000</v>
      </c>
      <c r="CP154" s="322">
        <v>15000000</v>
      </c>
      <c r="CQ154" s="355">
        <f>SUM(CE154,CF154,CG154,CH154,CI154,CJ154,CK154,CL154,CM154,CN154,CO154,CP154)</f>
        <v>180000000</v>
      </c>
      <c r="CR154" s="356"/>
      <c r="CS154" s="357"/>
      <c r="CT154" s="332"/>
      <c r="CU154" s="358"/>
      <c r="CV154" s="57" t="s">
        <v>42</v>
      </c>
    </row>
    <row r="155" spans="1:101" ht="15" customHeight="1" outlineLevel="2">
      <c r="A155" s="276" t="s">
        <v>159</v>
      </c>
      <c r="C155" s="276" t="s">
        <v>36</v>
      </c>
      <c r="D155" s="276" t="s">
        <v>108</v>
      </c>
      <c r="E155" s="288" t="s">
        <v>177</v>
      </c>
      <c r="F155" s="303">
        <v>3000021131</v>
      </c>
      <c r="G155" s="74"/>
      <c r="H155" s="65"/>
      <c r="I155" s="65"/>
      <c r="J155" s="65"/>
      <c r="K155" s="65"/>
      <c r="L155" s="65"/>
      <c r="M155" s="65"/>
      <c r="N155" s="65"/>
      <c r="O155" s="65"/>
      <c r="P155" s="81"/>
      <c r="Q155" s="81"/>
      <c r="R155" s="81"/>
      <c r="S155" s="81"/>
      <c r="T155" s="65"/>
      <c r="U155" s="65"/>
      <c r="V155" s="65"/>
      <c r="W155" s="66"/>
      <c r="X155" s="55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61"/>
      <c r="AL155" s="55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122"/>
      <c r="AZ155" s="55"/>
      <c r="BA155" s="639"/>
      <c r="BB155" s="639"/>
      <c r="BC155" s="86"/>
      <c r="BD155" s="639"/>
      <c r="BE155" s="86"/>
      <c r="BF155" s="639"/>
      <c r="BG155" s="86"/>
      <c r="BH155" s="639"/>
      <c r="BI155" s="86"/>
      <c r="BJ155" s="639">
        <v>0</v>
      </c>
      <c r="BK155" s="86">
        <v>10000000</v>
      </c>
      <c r="BL155" s="639">
        <v>4906000</v>
      </c>
      <c r="BM155" s="86">
        <v>10000000</v>
      </c>
      <c r="BN155" s="695">
        <v>4762500</v>
      </c>
      <c r="BO155" s="696">
        <v>10000000</v>
      </c>
      <c r="BP155" s="695"/>
      <c r="BQ155" s="696">
        <v>10000000</v>
      </c>
      <c r="BR155" s="729">
        <v>5000000</v>
      </c>
      <c r="BS155" s="695"/>
      <c r="BT155" s="696">
        <v>10000000</v>
      </c>
      <c r="BU155" s="729">
        <v>6000000</v>
      </c>
      <c r="BV155" s="695"/>
      <c r="BW155" s="696">
        <v>10000000</v>
      </c>
      <c r="BX155" s="729">
        <v>7000000</v>
      </c>
      <c r="BY155" s="695"/>
      <c r="BZ155" s="696">
        <v>10000000</v>
      </c>
      <c r="CA155" s="729">
        <v>7000000</v>
      </c>
      <c r="CB155" s="720">
        <f>SUM(BA155,BB155,BD155,BF155,BH155,BJ155,BL155,BN155,BP155,BR155,BU155,BX155,CA155)</f>
        <v>34668500</v>
      </c>
      <c r="CC155" s="721">
        <f>SUM(BA155,BB155,BD155,BF155,BH155,BJ155,BL155,BN155,BR155,BU155,BX155,CA155)</f>
        <v>34668500</v>
      </c>
      <c r="CD155" s="738"/>
      <c r="CE155" s="322"/>
      <c r="CF155" s="322"/>
      <c r="CG155" s="322"/>
      <c r="CH155" s="322"/>
      <c r="CI155" s="322"/>
      <c r="CJ155" s="322"/>
      <c r="CK155" s="322"/>
      <c r="CL155" s="322"/>
      <c r="CM155" s="322"/>
      <c r="CN155" s="322"/>
      <c r="CO155" s="322"/>
      <c r="CP155" s="322"/>
      <c r="CQ155" s="355">
        <f>SUM(CE155,CF155,CG155,CH155,CI155,CJ155,CK155,CL155,CM155,CN155,CO155,CP155)</f>
        <v>0</v>
      </c>
      <c r="CR155" s="356"/>
      <c r="CS155" s="357"/>
      <c r="CT155" s="332"/>
      <c r="CU155" s="358"/>
      <c r="CV155" s="57" t="s">
        <v>38</v>
      </c>
    </row>
    <row r="156" spans="1:101" ht="15" customHeight="1" outlineLevel="2">
      <c r="A156" s="276" t="s">
        <v>159</v>
      </c>
      <c r="B156" s="277" t="str">
        <f>$E$121&amp;$E$6&amp;E156</f>
        <v>PACK SEMARANGPACKAGEINDOCIPTA WISESA</v>
      </c>
      <c r="C156" s="276" t="s">
        <v>36</v>
      </c>
      <c r="D156" s="276" t="s">
        <v>108</v>
      </c>
      <c r="E156" s="288" t="s">
        <v>178</v>
      </c>
      <c r="F156" s="303" t="s">
        <v>179</v>
      </c>
      <c r="G156" s="73"/>
      <c r="H156" s="65">
        <v>0</v>
      </c>
      <c r="I156" s="65">
        <v>0</v>
      </c>
      <c r="J156" s="65">
        <v>0</v>
      </c>
      <c r="K156" s="65">
        <v>0</v>
      </c>
      <c r="L156" s="65">
        <v>0</v>
      </c>
      <c r="M156" s="65">
        <v>0</v>
      </c>
      <c r="N156" s="65">
        <v>0</v>
      </c>
      <c r="O156" s="65"/>
      <c r="P156" s="81">
        <v>0</v>
      </c>
      <c r="Q156" s="81"/>
      <c r="R156" s="81"/>
      <c r="S156" s="81"/>
      <c r="T156" s="65">
        <v>0</v>
      </c>
      <c r="U156" s="65">
        <v>0</v>
      </c>
      <c r="V156" s="65">
        <v>0</v>
      </c>
      <c r="W156" s="66">
        <f>SUM(H156:S156)</f>
        <v>0</v>
      </c>
      <c r="X156" s="55"/>
      <c r="Y156" s="67">
        <v>40000000</v>
      </c>
      <c r="Z156" s="67">
        <v>40000000</v>
      </c>
      <c r="AA156" s="67">
        <v>40000000</v>
      </c>
      <c r="AB156" s="67">
        <v>40000000</v>
      </c>
      <c r="AC156" s="67">
        <v>40000000</v>
      </c>
      <c r="AD156" s="67">
        <v>40000000</v>
      </c>
      <c r="AE156" s="67">
        <v>40000000</v>
      </c>
      <c r="AF156" s="67">
        <v>40000000</v>
      </c>
      <c r="AG156" s="67">
        <v>40000000</v>
      </c>
      <c r="AH156" s="67">
        <v>40000000</v>
      </c>
      <c r="AI156" s="67">
        <v>40000000</v>
      </c>
      <c r="AJ156" s="67">
        <v>40000000</v>
      </c>
      <c r="AK156" s="61">
        <v>480000000</v>
      </c>
      <c r="AL156" s="55"/>
      <c r="AM156" s="67">
        <v>40000000</v>
      </c>
      <c r="AN156" s="67">
        <v>40000000</v>
      </c>
      <c r="AO156" s="67">
        <v>40000000</v>
      </c>
      <c r="AP156" s="67">
        <v>40000000</v>
      </c>
      <c r="AQ156" s="67">
        <v>40000000</v>
      </c>
      <c r="AR156" s="67">
        <v>40000000</v>
      </c>
      <c r="AS156" s="67">
        <v>40000000</v>
      </c>
      <c r="AT156" s="67">
        <v>40000000</v>
      </c>
      <c r="AU156" s="67">
        <v>40000000</v>
      </c>
      <c r="AV156" s="67">
        <v>40000000</v>
      </c>
      <c r="AW156" s="67">
        <v>40000000</v>
      </c>
      <c r="AX156" s="67">
        <v>40000000</v>
      </c>
      <c r="AY156" s="122">
        <v>480000000</v>
      </c>
      <c r="AZ156" s="55"/>
      <c r="BA156" s="639">
        <v>0</v>
      </c>
      <c r="BB156" s="639">
        <v>0</v>
      </c>
      <c r="BC156" s="86"/>
      <c r="BD156" s="639">
        <v>0</v>
      </c>
      <c r="BE156" s="86">
        <v>20000000</v>
      </c>
      <c r="BF156" s="639">
        <v>0</v>
      </c>
      <c r="BG156" s="86">
        <v>50000000</v>
      </c>
      <c r="BH156" s="639">
        <v>7100268</v>
      </c>
      <c r="BI156" s="86">
        <f>BG156</f>
        <v>50000000</v>
      </c>
      <c r="BJ156" s="639">
        <v>11870000</v>
      </c>
      <c r="BK156" s="86">
        <f>BI156</f>
        <v>50000000</v>
      </c>
      <c r="BL156" s="639"/>
      <c r="BM156" s="86">
        <f>BK156</f>
        <v>50000000</v>
      </c>
      <c r="BN156" s="695">
        <v>24040000</v>
      </c>
      <c r="BO156" s="696">
        <f>BM156</f>
        <v>50000000</v>
      </c>
      <c r="BP156" s="695"/>
      <c r="BQ156" s="696">
        <f>BP156</f>
        <v>0</v>
      </c>
      <c r="BR156" s="729">
        <v>35000000</v>
      </c>
      <c r="BS156" s="695"/>
      <c r="BT156" s="696">
        <f>BS156</f>
        <v>0</v>
      </c>
      <c r="BU156" s="729">
        <v>40000000</v>
      </c>
      <c r="BV156" s="695"/>
      <c r="BW156" s="696">
        <f>BV156</f>
        <v>0</v>
      </c>
      <c r="BX156" s="729">
        <v>40000000</v>
      </c>
      <c r="BY156" s="695"/>
      <c r="BZ156" s="696">
        <f>BY156</f>
        <v>0</v>
      </c>
      <c r="CA156" s="729">
        <f>BX156</f>
        <v>40000000</v>
      </c>
      <c r="CB156" s="720">
        <f>SUM(BA156,BB156,BD156,BF156,BH156,BJ156,BL156,BN156,BP156,BR156,BU156,BX156,CA156)</f>
        <v>198010268</v>
      </c>
      <c r="CC156" s="721">
        <f>SUM(BA156,BB156,BD156,BF156,BH156,BJ156,BL156,BN156,BR156,BU156,BX156,CA156)</f>
        <v>198010268</v>
      </c>
      <c r="CD156" s="738"/>
      <c r="CE156" s="322">
        <v>15000000</v>
      </c>
      <c r="CF156" s="322">
        <v>15000000</v>
      </c>
      <c r="CG156" s="322">
        <v>15000000</v>
      </c>
      <c r="CH156" s="322">
        <v>15000000</v>
      </c>
      <c r="CI156" s="322">
        <v>15000000</v>
      </c>
      <c r="CJ156" s="322">
        <v>15000000</v>
      </c>
      <c r="CK156" s="322">
        <v>15000000</v>
      </c>
      <c r="CL156" s="322">
        <v>15000000</v>
      </c>
      <c r="CM156" s="322">
        <v>15000000</v>
      </c>
      <c r="CN156" s="322">
        <v>15000000</v>
      </c>
      <c r="CO156" s="322">
        <v>15000000</v>
      </c>
      <c r="CP156" s="322">
        <v>15000000</v>
      </c>
      <c r="CQ156" s="355">
        <f>SUM(CE156,CF156,CG156,CH156,CI156,CJ156,CK156,CL156,CM156,CN156,CO156,CP156)</f>
        <v>180000000</v>
      </c>
      <c r="CR156" s="356">
        <f>CQ156*1.17</f>
        <v>210600000</v>
      </c>
      <c r="CS156" s="357">
        <f>CR156*1.08</f>
        <v>227448000.00000003</v>
      </c>
      <c r="CT156" s="332">
        <f>CS156*1.1</f>
        <v>250192800.00000006</v>
      </c>
      <c r="CU156" s="358">
        <f>CT156*1.1</f>
        <v>275212080.00000006</v>
      </c>
      <c r="CV156" s="57" t="s">
        <v>38</v>
      </c>
    </row>
    <row r="157" spans="1:101" ht="15" customHeight="1" outlineLevel="2">
      <c r="A157" s="307"/>
      <c r="B157" s="307"/>
      <c r="C157" s="307"/>
      <c r="D157" s="307"/>
      <c r="E157" s="295" t="s">
        <v>120</v>
      </c>
      <c r="F157" s="307"/>
      <c r="G157" s="71"/>
      <c r="H157" s="71"/>
      <c r="I157" s="71"/>
      <c r="J157" s="71"/>
      <c r="K157" s="71"/>
      <c r="L157" s="71"/>
      <c r="M157" s="71"/>
      <c r="N157" s="71"/>
      <c r="O157" s="71"/>
      <c r="P157" s="70"/>
      <c r="Q157" s="70"/>
      <c r="R157" s="70"/>
      <c r="S157" s="70"/>
      <c r="T157" s="71"/>
      <c r="U157" s="71"/>
      <c r="V157" s="71"/>
      <c r="W157" s="232"/>
      <c r="X157" s="55"/>
      <c r="Y157" s="107">
        <f t="shared" ref="Y157:AK157" si="60">SUM(Y158:Y167)</f>
        <v>267000000</v>
      </c>
      <c r="Z157" s="107">
        <f t="shared" si="60"/>
        <v>267000000</v>
      </c>
      <c r="AA157" s="107">
        <f t="shared" si="60"/>
        <v>415400000</v>
      </c>
      <c r="AB157" s="107">
        <f t="shared" si="60"/>
        <v>415400000</v>
      </c>
      <c r="AC157" s="107">
        <f t="shared" si="60"/>
        <v>415400000</v>
      </c>
      <c r="AD157" s="107">
        <f t="shared" si="60"/>
        <v>415400000</v>
      </c>
      <c r="AE157" s="107">
        <f t="shared" si="60"/>
        <v>415400000</v>
      </c>
      <c r="AF157" s="107">
        <f t="shared" si="60"/>
        <v>415400000</v>
      </c>
      <c r="AG157" s="107">
        <f t="shared" si="60"/>
        <v>415400000</v>
      </c>
      <c r="AH157" s="107">
        <f t="shared" si="60"/>
        <v>415400000</v>
      </c>
      <c r="AI157" s="107">
        <f t="shared" si="60"/>
        <v>415400000</v>
      </c>
      <c r="AJ157" s="107">
        <f t="shared" si="60"/>
        <v>415400000</v>
      </c>
      <c r="AK157" s="107">
        <f t="shared" si="60"/>
        <v>4688000000</v>
      </c>
      <c r="AL157" s="55"/>
      <c r="AM157" s="107">
        <f t="shared" ref="AM157:AY157" si="61">SUM(AM158:AM167)</f>
        <v>267000000</v>
      </c>
      <c r="AN157" s="107">
        <f t="shared" si="61"/>
        <v>267000000</v>
      </c>
      <c r="AO157" s="107">
        <f t="shared" si="61"/>
        <v>415400000</v>
      </c>
      <c r="AP157" s="107">
        <f t="shared" si="61"/>
        <v>415400000</v>
      </c>
      <c r="AQ157" s="107">
        <f t="shared" si="61"/>
        <v>415400000</v>
      </c>
      <c r="AR157" s="107">
        <f t="shared" si="61"/>
        <v>415400000</v>
      </c>
      <c r="AS157" s="107">
        <f t="shared" si="61"/>
        <v>415400000</v>
      </c>
      <c r="AT157" s="107">
        <f t="shared" si="61"/>
        <v>415400000</v>
      </c>
      <c r="AU157" s="107">
        <f t="shared" si="61"/>
        <v>415400000</v>
      </c>
      <c r="AV157" s="107">
        <f t="shared" si="61"/>
        <v>415400000</v>
      </c>
      <c r="AW157" s="107">
        <f t="shared" si="61"/>
        <v>415400000</v>
      </c>
      <c r="AX157" s="107">
        <f t="shared" si="61"/>
        <v>415400000</v>
      </c>
      <c r="AY157" s="107">
        <f t="shared" si="61"/>
        <v>4688000000</v>
      </c>
      <c r="AZ157" s="55"/>
      <c r="BA157" s="107">
        <f t="shared" ref="BA157:CC157" si="62">SUM(BA158:BA166)</f>
        <v>0</v>
      </c>
      <c r="BB157" s="107">
        <f t="shared" si="62"/>
        <v>0</v>
      </c>
      <c r="BC157" s="107">
        <f t="shared" si="62"/>
        <v>0</v>
      </c>
      <c r="BD157" s="107">
        <f t="shared" si="62"/>
        <v>0</v>
      </c>
      <c r="BE157" s="107">
        <f t="shared" si="62"/>
        <v>0</v>
      </c>
      <c r="BF157" s="107">
        <f t="shared" si="62"/>
        <v>0</v>
      </c>
      <c r="BG157" s="107">
        <f t="shared" si="62"/>
        <v>20000000</v>
      </c>
      <c r="BH157" s="107">
        <f t="shared" si="62"/>
        <v>0</v>
      </c>
      <c r="BI157" s="107">
        <f t="shared" si="62"/>
        <v>0</v>
      </c>
      <c r="BJ157" s="107">
        <f t="shared" si="62"/>
        <v>0</v>
      </c>
      <c r="BK157" s="107">
        <f t="shared" si="62"/>
        <v>50000000</v>
      </c>
      <c r="BL157" s="107">
        <f t="shared" si="62"/>
        <v>0</v>
      </c>
      <c r="BM157" s="107">
        <f t="shared" si="62"/>
        <v>320000000</v>
      </c>
      <c r="BN157" s="698">
        <f t="shared" si="62"/>
        <v>0</v>
      </c>
      <c r="BO157" s="698">
        <f t="shared" si="62"/>
        <v>320000000</v>
      </c>
      <c r="BP157" s="698">
        <f t="shared" si="62"/>
        <v>0</v>
      </c>
      <c r="BQ157" s="698">
        <f>SUM(BQ158:BQ166)</f>
        <v>90000000</v>
      </c>
      <c r="BR157" s="698">
        <f>SUM(BR158:BR166)</f>
        <v>255000000</v>
      </c>
      <c r="BS157" s="698">
        <f t="shared" si="62"/>
        <v>0</v>
      </c>
      <c r="BT157" s="698">
        <f>SUM(BT158:BT166)</f>
        <v>330000000</v>
      </c>
      <c r="BU157" s="698">
        <f t="shared" si="62"/>
        <v>330000000</v>
      </c>
      <c r="BV157" s="698">
        <f t="shared" si="62"/>
        <v>0</v>
      </c>
      <c r="BW157" s="698">
        <f>SUM(BW158:BW166)</f>
        <v>180000000</v>
      </c>
      <c r="BX157" s="698">
        <f t="shared" si="62"/>
        <v>355000000</v>
      </c>
      <c r="BY157" s="698">
        <f t="shared" si="62"/>
        <v>0</v>
      </c>
      <c r="BZ157" s="698">
        <f>SUM(BZ158:BZ166)</f>
        <v>180000000</v>
      </c>
      <c r="CA157" s="698">
        <f t="shared" si="62"/>
        <v>380000000</v>
      </c>
      <c r="CB157" s="698">
        <f t="shared" si="62"/>
        <v>1320000000</v>
      </c>
      <c r="CC157" s="698">
        <f t="shared" si="62"/>
        <v>1320000000</v>
      </c>
      <c r="CD157" s="738"/>
      <c r="CE157" s="325">
        <f>SUM(CE158:CE168)</f>
        <v>125000000</v>
      </c>
      <c r="CF157" s="325">
        <f t="shared" ref="CF157:CU157" si="63">SUM(CF158:CF168)</f>
        <v>125000000</v>
      </c>
      <c r="CG157" s="325">
        <f t="shared" si="63"/>
        <v>125000000</v>
      </c>
      <c r="CH157" s="325">
        <f t="shared" si="63"/>
        <v>725000000</v>
      </c>
      <c r="CI157" s="325">
        <f t="shared" si="63"/>
        <v>725000000</v>
      </c>
      <c r="CJ157" s="325">
        <f t="shared" si="63"/>
        <v>725000000</v>
      </c>
      <c r="CK157" s="325">
        <f t="shared" si="63"/>
        <v>725000000</v>
      </c>
      <c r="CL157" s="325">
        <f t="shared" si="63"/>
        <v>725000000</v>
      </c>
      <c r="CM157" s="325">
        <f t="shared" si="63"/>
        <v>725000000</v>
      </c>
      <c r="CN157" s="325">
        <f t="shared" si="63"/>
        <v>725000000</v>
      </c>
      <c r="CO157" s="325">
        <f t="shared" si="63"/>
        <v>725000000</v>
      </c>
      <c r="CP157" s="325">
        <f t="shared" si="63"/>
        <v>725000000</v>
      </c>
      <c r="CQ157" s="325">
        <f t="shared" si="63"/>
        <v>6900000000</v>
      </c>
      <c r="CR157" s="325">
        <f t="shared" si="63"/>
        <v>6598800000</v>
      </c>
      <c r="CS157" s="325">
        <f t="shared" si="63"/>
        <v>12303264000</v>
      </c>
      <c r="CT157" s="325">
        <f t="shared" si="63"/>
        <v>13530557760.000002</v>
      </c>
      <c r="CU157" s="325">
        <f t="shared" si="63"/>
        <v>14880307958.400003</v>
      </c>
      <c r="CV157" s="57"/>
    </row>
    <row r="158" spans="1:101" ht="15" customHeight="1" outlineLevel="2">
      <c r="A158" s="276" t="s">
        <v>159</v>
      </c>
      <c r="C158" s="276" t="s">
        <v>36</v>
      </c>
      <c r="D158" s="297" t="s">
        <v>121</v>
      </c>
      <c r="E158" s="288" t="s">
        <v>180</v>
      </c>
      <c r="F158" s="288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6"/>
      <c r="X158" s="55"/>
      <c r="Y158" s="57"/>
      <c r="Z158" s="57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61"/>
      <c r="AL158" s="55"/>
      <c r="AM158" s="57"/>
      <c r="AN158" s="57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122"/>
      <c r="AZ158" s="55"/>
      <c r="BA158" s="639"/>
      <c r="BB158" s="639"/>
      <c r="BC158" s="86"/>
      <c r="BD158" s="639"/>
      <c r="BE158" s="86"/>
      <c r="BF158" s="639"/>
      <c r="BG158" s="86"/>
      <c r="BH158" s="639"/>
      <c r="BI158" s="86"/>
      <c r="BJ158" s="639">
        <v>0</v>
      </c>
      <c r="BK158" s="86"/>
      <c r="BL158" s="639"/>
      <c r="BM158" s="86">
        <v>20000000</v>
      </c>
      <c r="BN158" s="695"/>
      <c r="BO158" s="696">
        <v>20000000</v>
      </c>
      <c r="BP158" s="695"/>
      <c r="BQ158" s="696"/>
      <c r="BR158" s="729"/>
      <c r="BS158" s="695"/>
      <c r="BT158" s="696">
        <v>10000000</v>
      </c>
      <c r="BU158" s="729">
        <v>10000000</v>
      </c>
      <c r="BV158" s="695"/>
      <c r="BW158" s="696">
        <v>10000000</v>
      </c>
      <c r="BX158" s="729">
        <v>10000000</v>
      </c>
      <c r="BY158" s="695"/>
      <c r="BZ158" s="696">
        <v>10000000</v>
      </c>
      <c r="CA158" s="729">
        <v>10000000</v>
      </c>
      <c r="CB158" s="720">
        <f t="shared" ref="CB158:CB168" si="64">SUM(BA158,BB158,BD158,BF158,BH158,BJ158,BL158,BN158,BP158,BR158,BU158,BX158,CA158)</f>
        <v>30000000</v>
      </c>
      <c r="CC158" s="721">
        <f t="shared" ref="CC158:CC168" si="65">SUM(BA158,BB158,BD158,BF158,BH158,BJ158,BL158,BN158,BR158,BU158,BX158,CA158)</f>
        <v>30000000</v>
      </c>
      <c r="CD158" s="738"/>
      <c r="CE158" s="1195">
        <v>5000000</v>
      </c>
      <c r="CF158" s="1195">
        <v>5000000</v>
      </c>
      <c r="CG158" s="1195">
        <v>5000000</v>
      </c>
      <c r="CH158" s="1195">
        <v>5000000</v>
      </c>
      <c r="CI158" s="1195">
        <v>5000000</v>
      </c>
      <c r="CJ158" s="1195">
        <v>5000000</v>
      </c>
      <c r="CK158" s="1195">
        <v>5000000</v>
      </c>
      <c r="CL158" s="1195">
        <v>5000000</v>
      </c>
      <c r="CM158" s="1195">
        <v>5000000</v>
      </c>
      <c r="CN158" s="1195">
        <v>5000000</v>
      </c>
      <c r="CO158" s="1195">
        <v>5000000</v>
      </c>
      <c r="CP158" s="1195">
        <v>5000000</v>
      </c>
      <c r="CQ158" s="1196">
        <f t="shared" ref="CQ158:CQ168" si="66">SUM(CE158,CF158,CG158,CH158,CI158,CJ158,CK158,CL158,CM158,CN158,CO158,CP158)</f>
        <v>60000000</v>
      </c>
      <c r="CR158" s="356"/>
      <c r="CS158" s="357"/>
      <c r="CT158" s="332"/>
      <c r="CU158" s="358"/>
      <c r="CV158" s="57" t="s">
        <v>38</v>
      </c>
    </row>
    <row r="159" spans="1:101" ht="15" customHeight="1" outlineLevel="2">
      <c r="A159" s="276" t="s">
        <v>159</v>
      </c>
      <c r="B159" s="277" t="str">
        <f>$E$121&amp;$E$6&amp;E159</f>
        <v>PACK SEMARANGPACKAGEDANONE NUTRICIA</v>
      </c>
      <c r="C159" s="276" t="s">
        <v>36</v>
      </c>
      <c r="D159" s="297" t="s">
        <v>121</v>
      </c>
      <c r="E159" s="288" t="s">
        <v>181</v>
      </c>
      <c r="F159" s="288"/>
      <c r="G159" s="74"/>
      <c r="H159" s="65">
        <v>0</v>
      </c>
      <c r="I159" s="65">
        <v>0</v>
      </c>
      <c r="J159" s="65">
        <v>0</v>
      </c>
      <c r="K159" s="65">
        <v>0</v>
      </c>
      <c r="L159" s="65">
        <v>0</v>
      </c>
      <c r="M159" s="65">
        <v>0</v>
      </c>
      <c r="N159" s="65">
        <v>0</v>
      </c>
      <c r="O159" s="65"/>
      <c r="P159" s="81">
        <v>0</v>
      </c>
      <c r="Q159" s="81"/>
      <c r="R159" s="81"/>
      <c r="S159" s="81"/>
      <c r="T159" s="65">
        <v>0</v>
      </c>
      <c r="U159" s="65">
        <v>0</v>
      </c>
      <c r="V159" s="65">
        <v>0</v>
      </c>
      <c r="W159" s="66">
        <f>SUM(H159:S159)</f>
        <v>0</v>
      </c>
      <c r="X159" s="55"/>
      <c r="Y159" s="84">
        <v>260000000</v>
      </c>
      <c r="Z159" s="84">
        <v>260000000</v>
      </c>
      <c r="AA159" s="84">
        <v>260000000</v>
      </c>
      <c r="AB159" s="84">
        <v>260000000</v>
      </c>
      <c r="AC159" s="84">
        <v>260000000</v>
      </c>
      <c r="AD159" s="84">
        <v>260000000</v>
      </c>
      <c r="AE159" s="84">
        <v>260000000</v>
      </c>
      <c r="AF159" s="84">
        <v>260000000</v>
      </c>
      <c r="AG159" s="84">
        <v>260000000</v>
      </c>
      <c r="AH159" s="84">
        <v>260000000</v>
      </c>
      <c r="AI159" s="84">
        <v>260000000</v>
      </c>
      <c r="AJ159" s="84">
        <v>260000000</v>
      </c>
      <c r="AK159" s="61">
        <v>3120000000</v>
      </c>
      <c r="AL159" s="55"/>
      <c r="AM159" s="84">
        <v>260000000</v>
      </c>
      <c r="AN159" s="84">
        <v>260000000</v>
      </c>
      <c r="AO159" s="84">
        <v>260000000</v>
      </c>
      <c r="AP159" s="84">
        <v>260000000</v>
      </c>
      <c r="AQ159" s="84">
        <v>260000000</v>
      </c>
      <c r="AR159" s="84">
        <v>260000000</v>
      </c>
      <c r="AS159" s="84">
        <v>260000000</v>
      </c>
      <c r="AT159" s="84">
        <v>260000000</v>
      </c>
      <c r="AU159" s="84">
        <v>260000000</v>
      </c>
      <c r="AV159" s="84">
        <v>260000000</v>
      </c>
      <c r="AW159" s="84">
        <v>260000000</v>
      </c>
      <c r="AX159" s="84">
        <v>260000000</v>
      </c>
      <c r="AY159" s="122">
        <v>3120000000</v>
      </c>
      <c r="AZ159" s="55"/>
      <c r="BA159" s="639">
        <v>0</v>
      </c>
      <c r="BB159" s="639">
        <v>0</v>
      </c>
      <c r="BC159" s="86"/>
      <c r="BD159" s="639">
        <v>0</v>
      </c>
      <c r="BE159" s="86"/>
      <c r="BF159" s="639">
        <v>0</v>
      </c>
      <c r="BG159" s="86"/>
      <c r="BH159" s="639"/>
      <c r="BI159" s="86"/>
      <c r="BJ159" s="639">
        <v>0</v>
      </c>
      <c r="BK159" s="86"/>
      <c r="BL159" s="639"/>
      <c r="BM159" s="86"/>
      <c r="BN159" s="695"/>
      <c r="BO159" s="696"/>
      <c r="BP159" s="695"/>
      <c r="BQ159" s="696"/>
      <c r="BR159" s="729"/>
      <c r="BS159" s="695"/>
      <c r="BT159" s="696"/>
      <c r="BU159" s="729"/>
      <c r="BV159" s="695"/>
      <c r="BW159" s="696"/>
      <c r="BX159" s="729"/>
      <c r="BY159" s="695"/>
      <c r="BZ159" s="696"/>
      <c r="CA159" s="729"/>
      <c r="CB159" s="720">
        <f t="shared" si="64"/>
        <v>0</v>
      </c>
      <c r="CC159" s="721">
        <f t="shared" si="65"/>
        <v>0</v>
      </c>
      <c r="CD159" s="738"/>
      <c r="CE159" s="322"/>
      <c r="CF159" s="322"/>
      <c r="CG159" s="322"/>
      <c r="CH159" s="322">
        <v>600000000</v>
      </c>
      <c r="CI159" s="322">
        <v>600000000</v>
      </c>
      <c r="CJ159" s="322">
        <v>600000000</v>
      </c>
      <c r="CK159" s="322">
        <v>600000000</v>
      </c>
      <c r="CL159" s="322">
        <v>600000000</v>
      </c>
      <c r="CM159" s="322">
        <v>600000000</v>
      </c>
      <c r="CN159" s="322">
        <v>600000000</v>
      </c>
      <c r="CO159" s="322">
        <v>600000000</v>
      </c>
      <c r="CP159" s="322">
        <v>600000000</v>
      </c>
      <c r="CQ159" s="355">
        <f t="shared" si="66"/>
        <v>5400000000</v>
      </c>
      <c r="CR159" s="356">
        <f>CQ159*1.17</f>
        <v>6318000000</v>
      </c>
      <c r="CS159" s="357">
        <f>1000000000*12</f>
        <v>12000000000</v>
      </c>
      <c r="CT159" s="332">
        <f>CS159*1.1</f>
        <v>13200000000.000002</v>
      </c>
      <c r="CU159" s="358">
        <f>CT159*1.1</f>
        <v>14520000000.000004</v>
      </c>
      <c r="CV159" s="57" t="s">
        <v>38</v>
      </c>
      <c r="CW159" s="38" t="s">
        <v>143</v>
      </c>
    </row>
    <row r="160" spans="1:101" ht="15" customHeight="1" outlineLevel="2">
      <c r="A160" s="276" t="s">
        <v>159</v>
      </c>
      <c r="C160" s="276" t="s">
        <v>36</v>
      </c>
      <c r="D160" s="297" t="s">
        <v>121</v>
      </c>
      <c r="E160" s="288" t="s">
        <v>182</v>
      </c>
      <c r="F160" s="288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6"/>
      <c r="X160" s="55"/>
      <c r="Y160" s="57"/>
      <c r="Z160" s="57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61"/>
      <c r="AL160" s="55"/>
      <c r="AM160" s="57"/>
      <c r="AN160" s="57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122"/>
      <c r="AZ160" s="55"/>
      <c r="BA160" s="639"/>
      <c r="BB160" s="639"/>
      <c r="BC160" s="86"/>
      <c r="BD160" s="639"/>
      <c r="BE160" s="86"/>
      <c r="BF160" s="639"/>
      <c r="BG160" s="86"/>
      <c r="BH160" s="639"/>
      <c r="BI160" s="86"/>
      <c r="BJ160" s="639">
        <v>0</v>
      </c>
      <c r="BK160" s="86">
        <v>50000000</v>
      </c>
      <c r="BL160" s="639"/>
      <c r="BM160" s="86">
        <v>50000000</v>
      </c>
      <c r="BN160" s="695"/>
      <c r="BO160" s="696">
        <v>50000000</v>
      </c>
      <c r="BP160" s="695"/>
      <c r="BQ160" s="696">
        <v>50000000</v>
      </c>
      <c r="BR160" s="729">
        <v>50000000</v>
      </c>
      <c r="BS160" s="695"/>
      <c r="BT160" s="696">
        <v>50000000</v>
      </c>
      <c r="BU160" s="729">
        <v>50000000</v>
      </c>
      <c r="BV160" s="695"/>
      <c r="BW160" s="696">
        <v>50000000</v>
      </c>
      <c r="BX160" s="729">
        <v>50000000</v>
      </c>
      <c r="BY160" s="695"/>
      <c r="BZ160" s="696">
        <v>50000000</v>
      </c>
      <c r="CA160" s="729">
        <v>50000000</v>
      </c>
      <c r="CB160" s="720">
        <f t="shared" si="64"/>
        <v>200000000</v>
      </c>
      <c r="CC160" s="721">
        <f t="shared" si="65"/>
        <v>200000000</v>
      </c>
      <c r="CD160" s="738"/>
      <c r="CE160" s="1195">
        <f>CF160</f>
        <v>5000000</v>
      </c>
      <c r="CF160" s="1195">
        <v>5000000</v>
      </c>
      <c r="CG160" s="1195">
        <v>5000000</v>
      </c>
      <c r="CH160" s="1195">
        <v>5000000</v>
      </c>
      <c r="CI160" s="1195">
        <v>5000000</v>
      </c>
      <c r="CJ160" s="1195">
        <v>5000000</v>
      </c>
      <c r="CK160" s="1195">
        <v>5000000</v>
      </c>
      <c r="CL160" s="1195">
        <v>5000000</v>
      </c>
      <c r="CM160" s="1195">
        <v>5000000</v>
      </c>
      <c r="CN160" s="1195">
        <v>5000000</v>
      </c>
      <c r="CO160" s="1195">
        <v>5000000</v>
      </c>
      <c r="CP160" s="1195">
        <v>5000000</v>
      </c>
      <c r="CQ160" s="1196">
        <f t="shared" si="66"/>
        <v>60000000</v>
      </c>
      <c r="CR160" s="356"/>
      <c r="CS160" s="357"/>
      <c r="CT160" s="332"/>
      <c r="CU160" s="358"/>
      <c r="CV160" s="57" t="s">
        <v>38</v>
      </c>
    </row>
    <row r="161" spans="1:100" ht="15" customHeight="1" outlineLevel="2">
      <c r="A161" s="276" t="s">
        <v>159</v>
      </c>
      <c r="C161" s="276" t="s">
        <v>36</v>
      </c>
      <c r="D161" s="297" t="s">
        <v>121</v>
      </c>
      <c r="E161" s="288" t="s">
        <v>183</v>
      </c>
      <c r="F161" s="288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6"/>
      <c r="X161" s="55"/>
      <c r="Y161" s="57"/>
      <c r="Z161" s="57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61"/>
      <c r="AL161" s="55"/>
      <c r="AM161" s="57"/>
      <c r="AN161" s="57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122"/>
      <c r="AZ161" s="55"/>
      <c r="BA161" s="639"/>
      <c r="BB161" s="639"/>
      <c r="BC161" s="86"/>
      <c r="BD161" s="639"/>
      <c r="BE161" s="86"/>
      <c r="BF161" s="639"/>
      <c r="BG161" s="86"/>
      <c r="BH161" s="639"/>
      <c r="BI161" s="86"/>
      <c r="BJ161" s="639">
        <v>0</v>
      </c>
      <c r="BK161" s="86"/>
      <c r="BL161" s="639"/>
      <c r="BM161" s="86">
        <v>100000000</v>
      </c>
      <c r="BN161" s="695"/>
      <c r="BO161" s="696">
        <v>100000000</v>
      </c>
      <c r="BP161" s="695"/>
      <c r="BQ161" s="696">
        <f>BP161</f>
        <v>0</v>
      </c>
      <c r="BR161" s="729">
        <v>75000000</v>
      </c>
      <c r="BS161" s="695"/>
      <c r="BT161" s="696">
        <v>150000000</v>
      </c>
      <c r="BU161" s="729">
        <v>100000000</v>
      </c>
      <c r="BV161" s="695"/>
      <c r="BW161" s="696">
        <f>BV161</f>
        <v>0</v>
      </c>
      <c r="BX161" s="729">
        <v>125000000</v>
      </c>
      <c r="BY161" s="695"/>
      <c r="BZ161" s="696">
        <f>BY161</f>
        <v>0</v>
      </c>
      <c r="CA161" s="729">
        <v>150000000</v>
      </c>
      <c r="CB161" s="720">
        <f t="shared" si="64"/>
        <v>450000000</v>
      </c>
      <c r="CC161" s="721">
        <f t="shared" si="65"/>
        <v>450000000</v>
      </c>
      <c r="CD161" s="738"/>
      <c r="CE161" s="1195">
        <v>20000000</v>
      </c>
      <c r="CF161" s="1195">
        <v>20000000</v>
      </c>
      <c r="CG161" s="1195">
        <v>20000000</v>
      </c>
      <c r="CH161" s="1195">
        <v>20000000</v>
      </c>
      <c r="CI161" s="1195">
        <v>20000000</v>
      </c>
      <c r="CJ161" s="1195">
        <v>20000000</v>
      </c>
      <c r="CK161" s="1195">
        <v>20000000</v>
      </c>
      <c r="CL161" s="1195">
        <v>20000000</v>
      </c>
      <c r="CM161" s="1195">
        <v>20000000</v>
      </c>
      <c r="CN161" s="1195">
        <v>20000000</v>
      </c>
      <c r="CO161" s="1195">
        <v>20000000</v>
      </c>
      <c r="CP161" s="1195">
        <v>20000000</v>
      </c>
      <c r="CQ161" s="1196">
        <f t="shared" si="66"/>
        <v>240000000</v>
      </c>
      <c r="CR161" s="356"/>
      <c r="CS161" s="357"/>
      <c r="CT161" s="332"/>
      <c r="CU161" s="358"/>
      <c r="CV161" s="57" t="s">
        <v>38</v>
      </c>
    </row>
    <row r="162" spans="1:100" ht="15" customHeight="1" outlineLevel="2">
      <c r="A162" s="276" t="s">
        <v>159</v>
      </c>
      <c r="B162" s="277" t="str">
        <f>$E$121&amp;$E$6&amp;E162</f>
        <v>PACK SEMARANGPACKAGEROLIMEX</v>
      </c>
      <c r="C162" s="276" t="s">
        <v>36</v>
      </c>
      <c r="D162" s="297" t="s">
        <v>121</v>
      </c>
      <c r="E162" s="288" t="s">
        <v>184</v>
      </c>
      <c r="F162" s="288"/>
      <c r="G162" s="74"/>
      <c r="H162" s="65">
        <v>0</v>
      </c>
      <c r="I162" s="65">
        <v>0</v>
      </c>
      <c r="J162" s="65">
        <v>0</v>
      </c>
      <c r="K162" s="65">
        <v>0</v>
      </c>
      <c r="L162" s="65">
        <v>0</v>
      </c>
      <c r="M162" s="65">
        <v>0</v>
      </c>
      <c r="N162" s="65">
        <v>0</v>
      </c>
      <c r="O162" s="65"/>
      <c r="P162" s="81">
        <v>0</v>
      </c>
      <c r="Q162" s="81"/>
      <c r="R162" s="81"/>
      <c r="S162" s="81"/>
      <c r="T162" s="65">
        <v>0</v>
      </c>
      <c r="U162" s="65">
        <v>0</v>
      </c>
      <c r="V162" s="65">
        <v>0</v>
      </c>
      <c r="W162" s="66">
        <f t="shared" si="48"/>
        <v>0</v>
      </c>
      <c r="X162" s="55"/>
      <c r="Y162" s="67">
        <f t="shared" ref="Y162:AJ162" si="67">7000000</f>
        <v>7000000</v>
      </c>
      <c r="Z162" s="67">
        <f t="shared" si="67"/>
        <v>7000000</v>
      </c>
      <c r="AA162" s="67">
        <f t="shared" si="67"/>
        <v>7000000</v>
      </c>
      <c r="AB162" s="67">
        <f t="shared" si="67"/>
        <v>7000000</v>
      </c>
      <c r="AC162" s="67">
        <f t="shared" si="67"/>
        <v>7000000</v>
      </c>
      <c r="AD162" s="67">
        <f t="shared" si="67"/>
        <v>7000000</v>
      </c>
      <c r="AE162" s="67">
        <f t="shared" si="67"/>
        <v>7000000</v>
      </c>
      <c r="AF162" s="67">
        <f t="shared" si="67"/>
        <v>7000000</v>
      </c>
      <c r="AG162" s="67">
        <f t="shared" si="67"/>
        <v>7000000</v>
      </c>
      <c r="AH162" s="67">
        <f t="shared" si="67"/>
        <v>7000000</v>
      </c>
      <c r="AI162" s="67">
        <f t="shared" si="67"/>
        <v>7000000</v>
      </c>
      <c r="AJ162" s="67">
        <f t="shared" si="67"/>
        <v>7000000</v>
      </c>
      <c r="AK162" s="61">
        <v>84000000</v>
      </c>
      <c r="AL162" s="55"/>
      <c r="AM162" s="67">
        <v>7000000</v>
      </c>
      <c r="AN162" s="67">
        <v>7000000</v>
      </c>
      <c r="AO162" s="67">
        <v>7000000</v>
      </c>
      <c r="AP162" s="67">
        <v>7000000</v>
      </c>
      <c r="AQ162" s="67">
        <v>7000000</v>
      </c>
      <c r="AR162" s="67">
        <v>7000000</v>
      </c>
      <c r="AS162" s="67">
        <v>7000000</v>
      </c>
      <c r="AT162" s="67">
        <v>7000000</v>
      </c>
      <c r="AU162" s="67">
        <v>7000000</v>
      </c>
      <c r="AV162" s="67">
        <v>7000000</v>
      </c>
      <c r="AW162" s="67">
        <v>7000000</v>
      </c>
      <c r="AX162" s="67">
        <v>7000000</v>
      </c>
      <c r="AY162" s="122">
        <v>84000000</v>
      </c>
      <c r="AZ162" s="55"/>
      <c r="BA162" s="639">
        <v>0</v>
      </c>
      <c r="BB162" s="639">
        <v>0</v>
      </c>
      <c r="BC162" s="86"/>
      <c r="BD162" s="639">
        <v>0</v>
      </c>
      <c r="BE162" s="86"/>
      <c r="BF162" s="639">
        <v>0</v>
      </c>
      <c r="BG162" s="86"/>
      <c r="BH162" s="639"/>
      <c r="BI162" s="86"/>
      <c r="BJ162" s="639">
        <v>0</v>
      </c>
      <c r="BK162" s="86"/>
      <c r="BL162" s="639"/>
      <c r="BM162" s="86">
        <v>40000000</v>
      </c>
      <c r="BN162" s="695"/>
      <c r="BO162" s="696">
        <f>BM162</f>
        <v>40000000</v>
      </c>
      <c r="BP162" s="695"/>
      <c r="BQ162" s="696">
        <f>BP162</f>
        <v>0</v>
      </c>
      <c r="BR162" s="729">
        <f>BO162</f>
        <v>40000000</v>
      </c>
      <c r="BS162" s="695"/>
      <c r="BT162" s="696">
        <v>50000000</v>
      </c>
      <c r="BU162" s="729">
        <v>50000000</v>
      </c>
      <c r="BV162" s="695"/>
      <c r="BW162" s="696">
        <v>50000000</v>
      </c>
      <c r="BX162" s="729">
        <v>50000000</v>
      </c>
      <c r="BY162" s="695"/>
      <c r="BZ162" s="696">
        <v>50000000</v>
      </c>
      <c r="CA162" s="729">
        <v>50000000</v>
      </c>
      <c r="CB162" s="720">
        <f t="shared" si="64"/>
        <v>190000000</v>
      </c>
      <c r="CC162" s="721">
        <f t="shared" si="65"/>
        <v>190000000</v>
      </c>
      <c r="CD162" s="738"/>
      <c r="CE162" s="1195">
        <v>20000000</v>
      </c>
      <c r="CF162" s="1195">
        <v>20000000</v>
      </c>
      <c r="CG162" s="1195">
        <v>20000000</v>
      </c>
      <c r="CH162" s="1195">
        <v>20000000</v>
      </c>
      <c r="CI162" s="1195">
        <v>20000000</v>
      </c>
      <c r="CJ162" s="1195">
        <v>20000000</v>
      </c>
      <c r="CK162" s="1195">
        <v>20000000</v>
      </c>
      <c r="CL162" s="1195">
        <v>20000000</v>
      </c>
      <c r="CM162" s="1195">
        <v>20000000</v>
      </c>
      <c r="CN162" s="1195">
        <v>20000000</v>
      </c>
      <c r="CO162" s="1195">
        <v>20000000</v>
      </c>
      <c r="CP162" s="1195">
        <v>20000000</v>
      </c>
      <c r="CQ162" s="1196">
        <f t="shared" si="66"/>
        <v>240000000</v>
      </c>
      <c r="CR162" s="356">
        <f>CQ162*1.17</f>
        <v>280800000</v>
      </c>
      <c r="CS162" s="357">
        <f>CR162*1.08</f>
        <v>303264000</v>
      </c>
      <c r="CT162" s="332">
        <f>CS162*1.09</f>
        <v>330557760</v>
      </c>
      <c r="CU162" s="358">
        <f>CT162*1.09</f>
        <v>360307958.40000004</v>
      </c>
      <c r="CV162" s="57" t="s">
        <v>38</v>
      </c>
    </row>
    <row r="163" spans="1:100" ht="15" customHeight="1" outlineLevel="2">
      <c r="A163" s="276" t="s">
        <v>159</v>
      </c>
      <c r="C163" s="276" t="s">
        <v>36</v>
      </c>
      <c r="D163" s="297" t="s">
        <v>121</v>
      </c>
      <c r="E163" s="288" t="s">
        <v>185</v>
      </c>
      <c r="F163" s="288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6"/>
      <c r="X163" s="55"/>
      <c r="Y163" s="57"/>
      <c r="Z163" s="57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61"/>
      <c r="AL163" s="55"/>
      <c r="AM163" s="57"/>
      <c r="AN163" s="57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122"/>
      <c r="AZ163" s="55"/>
      <c r="BA163" s="639"/>
      <c r="BB163" s="639"/>
      <c r="BC163" s="86"/>
      <c r="BD163" s="639"/>
      <c r="BE163" s="86"/>
      <c r="BF163" s="639"/>
      <c r="BG163" s="86"/>
      <c r="BH163" s="639"/>
      <c r="BI163" s="86"/>
      <c r="BJ163" s="639">
        <v>0</v>
      </c>
      <c r="BK163" s="86"/>
      <c r="BL163" s="639"/>
      <c r="BM163" s="86">
        <v>20000000</v>
      </c>
      <c r="BN163" s="695"/>
      <c r="BO163" s="696">
        <v>20000000</v>
      </c>
      <c r="BP163" s="695"/>
      <c r="BQ163" s="696"/>
      <c r="BR163" s="729"/>
      <c r="BS163" s="695"/>
      <c r="BT163" s="696">
        <v>10000000</v>
      </c>
      <c r="BU163" s="729">
        <v>10000000</v>
      </c>
      <c r="BV163" s="695"/>
      <c r="BW163" s="696">
        <v>10000000</v>
      </c>
      <c r="BX163" s="729">
        <v>10000000</v>
      </c>
      <c r="BY163" s="695"/>
      <c r="BZ163" s="696">
        <v>10000000</v>
      </c>
      <c r="CA163" s="729">
        <v>10000000</v>
      </c>
      <c r="CB163" s="720">
        <f t="shared" si="64"/>
        <v>30000000</v>
      </c>
      <c r="CC163" s="721">
        <f t="shared" si="65"/>
        <v>30000000</v>
      </c>
      <c r="CD163" s="738"/>
      <c r="CE163" s="1195">
        <v>10000000</v>
      </c>
      <c r="CF163" s="1195">
        <v>10000000</v>
      </c>
      <c r="CG163" s="1195">
        <v>10000000</v>
      </c>
      <c r="CH163" s="1195">
        <v>10000000</v>
      </c>
      <c r="CI163" s="1195">
        <v>10000000</v>
      </c>
      <c r="CJ163" s="1195">
        <v>10000000</v>
      </c>
      <c r="CK163" s="1195">
        <v>10000000</v>
      </c>
      <c r="CL163" s="1195">
        <v>10000000</v>
      </c>
      <c r="CM163" s="1195">
        <v>10000000</v>
      </c>
      <c r="CN163" s="1195">
        <v>10000000</v>
      </c>
      <c r="CO163" s="1195">
        <v>10000000</v>
      </c>
      <c r="CP163" s="1195">
        <v>10000000</v>
      </c>
      <c r="CQ163" s="1196">
        <f t="shared" si="66"/>
        <v>120000000</v>
      </c>
      <c r="CR163" s="356"/>
      <c r="CS163" s="357"/>
      <c r="CT163" s="332"/>
      <c r="CU163" s="358"/>
      <c r="CV163" s="57" t="s">
        <v>38</v>
      </c>
    </row>
    <row r="164" spans="1:100" ht="15" customHeight="1" outlineLevel="2">
      <c r="A164" s="276" t="s">
        <v>159</v>
      </c>
      <c r="C164" s="276" t="s">
        <v>36</v>
      </c>
      <c r="D164" s="297" t="s">
        <v>121</v>
      </c>
      <c r="E164" s="288" t="s">
        <v>186</v>
      </c>
      <c r="F164" s="288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6"/>
      <c r="X164" s="55"/>
      <c r="Y164" s="57"/>
      <c r="Z164" s="57"/>
      <c r="AA164" s="85"/>
      <c r="AB164" s="85"/>
      <c r="AC164" s="85"/>
      <c r="AD164" s="85"/>
      <c r="AE164" s="85"/>
      <c r="AF164" s="85"/>
      <c r="AG164" s="85"/>
      <c r="AH164" s="85"/>
      <c r="AI164" s="85"/>
      <c r="AJ164" s="85"/>
      <c r="AK164" s="61"/>
      <c r="AL164" s="55"/>
      <c r="AM164" s="57"/>
      <c r="AN164" s="57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122"/>
      <c r="AZ164" s="55"/>
      <c r="BA164" s="639"/>
      <c r="BB164" s="639"/>
      <c r="BC164" s="86"/>
      <c r="BD164" s="639"/>
      <c r="BE164" s="86"/>
      <c r="BF164" s="639"/>
      <c r="BG164" s="86"/>
      <c r="BH164" s="639"/>
      <c r="BI164" s="86"/>
      <c r="BJ164" s="639">
        <v>0</v>
      </c>
      <c r="BK164" s="86"/>
      <c r="BL164" s="639"/>
      <c r="BM164" s="86">
        <v>50000000</v>
      </c>
      <c r="BN164" s="695"/>
      <c r="BO164" s="696">
        <v>50000000</v>
      </c>
      <c r="BP164" s="695"/>
      <c r="BQ164" s="696">
        <f>BP164</f>
        <v>0</v>
      </c>
      <c r="BR164" s="729">
        <f>BO164</f>
        <v>50000000</v>
      </c>
      <c r="BS164" s="695"/>
      <c r="BT164" s="696">
        <f>BS164</f>
        <v>0</v>
      </c>
      <c r="BU164" s="729">
        <f>BR164</f>
        <v>50000000</v>
      </c>
      <c r="BV164" s="695"/>
      <c r="BW164" s="696">
        <f>BV164</f>
        <v>0</v>
      </c>
      <c r="BX164" s="729">
        <f>BU164</f>
        <v>50000000</v>
      </c>
      <c r="BY164" s="695"/>
      <c r="BZ164" s="696">
        <f>BY164</f>
        <v>0</v>
      </c>
      <c r="CA164" s="729">
        <f>BX164</f>
        <v>50000000</v>
      </c>
      <c r="CB164" s="720">
        <f t="shared" si="64"/>
        <v>200000000</v>
      </c>
      <c r="CC164" s="721">
        <f t="shared" si="65"/>
        <v>200000000</v>
      </c>
      <c r="CD164" s="738"/>
      <c r="CE164" s="322"/>
      <c r="CF164" s="322"/>
      <c r="CG164" s="322"/>
      <c r="CH164" s="322"/>
      <c r="CI164" s="322"/>
      <c r="CJ164" s="322"/>
      <c r="CK164" s="322"/>
      <c r="CL164" s="322"/>
      <c r="CM164" s="322"/>
      <c r="CN164" s="322"/>
      <c r="CO164" s="322"/>
      <c r="CP164" s="322"/>
      <c r="CQ164" s="355">
        <f t="shared" si="66"/>
        <v>0</v>
      </c>
      <c r="CR164" s="356"/>
      <c r="CS164" s="357"/>
      <c r="CT164" s="332"/>
      <c r="CU164" s="358"/>
      <c r="CV164" s="57" t="s">
        <v>38</v>
      </c>
    </row>
    <row r="165" spans="1:100" ht="15" customHeight="1" outlineLevel="2">
      <c r="A165" s="276" t="s">
        <v>159</v>
      </c>
      <c r="B165" s="277" t="str">
        <f>$E$121&amp;$E$6&amp;E165</f>
        <v>PACK SEMARANGPACKAGETEMANS/HONDA</v>
      </c>
      <c r="C165" s="276" t="s">
        <v>36</v>
      </c>
      <c r="D165" s="297" t="s">
        <v>121</v>
      </c>
      <c r="E165" s="288" t="s">
        <v>187</v>
      </c>
      <c r="F165" s="288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6">
        <f t="shared" si="48"/>
        <v>0</v>
      </c>
      <c r="X165" s="55"/>
      <c r="Y165" s="57"/>
      <c r="Z165" s="57"/>
      <c r="AA165" s="85">
        <v>148400000</v>
      </c>
      <c r="AB165" s="85">
        <v>148400000</v>
      </c>
      <c r="AC165" s="85">
        <v>148400000</v>
      </c>
      <c r="AD165" s="85">
        <v>148400000</v>
      </c>
      <c r="AE165" s="85">
        <v>148400000</v>
      </c>
      <c r="AF165" s="85">
        <v>148400000</v>
      </c>
      <c r="AG165" s="85">
        <v>148400000</v>
      </c>
      <c r="AH165" s="85">
        <v>148400000</v>
      </c>
      <c r="AI165" s="85">
        <v>148400000</v>
      </c>
      <c r="AJ165" s="85">
        <v>148400000</v>
      </c>
      <c r="AK165" s="61">
        <v>1484000000</v>
      </c>
      <c r="AL165" s="55"/>
      <c r="AM165" s="57"/>
      <c r="AN165" s="57"/>
      <c r="AO165" s="85">
        <v>148400000</v>
      </c>
      <c r="AP165" s="85">
        <v>148400000</v>
      </c>
      <c r="AQ165" s="85">
        <v>148400000</v>
      </c>
      <c r="AR165" s="85">
        <v>148400000</v>
      </c>
      <c r="AS165" s="85">
        <v>148400000</v>
      </c>
      <c r="AT165" s="85">
        <v>148400000</v>
      </c>
      <c r="AU165" s="85">
        <v>148400000</v>
      </c>
      <c r="AV165" s="85">
        <v>148400000</v>
      </c>
      <c r="AW165" s="85">
        <v>148400000</v>
      </c>
      <c r="AX165" s="85">
        <v>148400000</v>
      </c>
      <c r="AY165" s="122">
        <v>1484000000</v>
      </c>
      <c r="AZ165" s="55"/>
      <c r="BA165" s="639">
        <v>0</v>
      </c>
      <c r="BB165" s="639">
        <v>0</v>
      </c>
      <c r="BC165" s="86"/>
      <c r="BD165" s="639">
        <v>0</v>
      </c>
      <c r="BE165" s="86"/>
      <c r="BF165" s="639">
        <v>0</v>
      </c>
      <c r="BG165" s="86">
        <v>20000000</v>
      </c>
      <c r="BH165" s="639"/>
      <c r="BI165" s="86"/>
      <c r="BJ165" s="639">
        <v>0</v>
      </c>
      <c r="BK165" s="86">
        <f>BI165</f>
        <v>0</v>
      </c>
      <c r="BL165" s="639"/>
      <c r="BM165" s="86"/>
      <c r="BN165" s="695"/>
      <c r="BO165" s="696"/>
      <c r="BP165" s="695"/>
      <c r="BQ165" s="696"/>
      <c r="BR165" s="729"/>
      <c r="BS165" s="695"/>
      <c r="BT165" s="696">
        <v>20000000</v>
      </c>
      <c r="BU165" s="729">
        <v>20000000</v>
      </c>
      <c r="BV165" s="695"/>
      <c r="BW165" s="696">
        <v>20000000</v>
      </c>
      <c r="BX165" s="729">
        <v>20000000</v>
      </c>
      <c r="BY165" s="695"/>
      <c r="BZ165" s="696">
        <v>20000000</v>
      </c>
      <c r="CA165" s="729">
        <v>20000000</v>
      </c>
      <c r="CB165" s="720">
        <f t="shared" si="64"/>
        <v>60000000</v>
      </c>
      <c r="CC165" s="721">
        <f t="shared" si="65"/>
        <v>60000000</v>
      </c>
      <c r="CD165" s="738"/>
      <c r="CE165" s="1195">
        <v>50000000</v>
      </c>
      <c r="CF165" s="1195">
        <v>50000000</v>
      </c>
      <c r="CG165" s="1195">
        <v>50000000</v>
      </c>
      <c r="CH165" s="1195">
        <v>50000000</v>
      </c>
      <c r="CI165" s="1195">
        <v>50000000</v>
      </c>
      <c r="CJ165" s="1195">
        <v>50000000</v>
      </c>
      <c r="CK165" s="1195">
        <v>50000000</v>
      </c>
      <c r="CL165" s="1195">
        <v>50000000</v>
      </c>
      <c r="CM165" s="1195">
        <v>50000000</v>
      </c>
      <c r="CN165" s="1195">
        <v>50000000</v>
      </c>
      <c r="CO165" s="1195">
        <v>50000000</v>
      </c>
      <c r="CP165" s="1195">
        <v>50000000</v>
      </c>
      <c r="CQ165" s="1196">
        <f t="shared" si="66"/>
        <v>600000000</v>
      </c>
      <c r="CR165" s="356"/>
      <c r="CS165" s="357"/>
      <c r="CT165" s="332"/>
      <c r="CU165" s="358"/>
      <c r="CV165" s="57" t="s">
        <v>38</v>
      </c>
    </row>
    <row r="166" spans="1:100" ht="15" customHeight="1" outlineLevel="2">
      <c r="A166" s="276" t="s">
        <v>159</v>
      </c>
      <c r="C166" s="276" t="s">
        <v>36</v>
      </c>
      <c r="D166" s="297" t="s">
        <v>121</v>
      </c>
      <c r="E166" s="288" t="s">
        <v>188</v>
      </c>
      <c r="F166" s="288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6"/>
      <c r="X166" s="55"/>
      <c r="Y166" s="57"/>
      <c r="Z166" s="57"/>
      <c r="AA166" s="85"/>
      <c r="AB166" s="85"/>
      <c r="AC166" s="85"/>
      <c r="AD166" s="85"/>
      <c r="AE166" s="85"/>
      <c r="AF166" s="85"/>
      <c r="AG166" s="85"/>
      <c r="AH166" s="85"/>
      <c r="AI166" s="85"/>
      <c r="AJ166" s="85"/>
      <c r="AK166" s="61"/>
      <c r="AL166" s="55"/>
      <c r="AM166" s="57"/>
      <c r="AN166" s="57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122"/>
      <c r="AZ166" s="55"/>
      <c r="BA166" s="639"/>
      <c r="BB166" s="639"/>
      <c r="BC166" s="86"/>
      <c r="BD166" s="639"/>
      <c r="BE166" s="86"/>
      <c r="BF166" s="639"/>
      <c r="BG166" s="86"/>
      <c r="BH166" s="639"/>
      <c r="BI166" s="86"/>
      <c r="BJ166" s="639">
        <v>0</v>
      </c>
      <c r="BK166" s="86"/>
      <c r="BL166" s="639"/>
      <c r="BM166" s="86">
        <v>40000000</v>
      </c>
      <c r="BN166" s="695"/>
      <c r="BO166" s="696">
        <v>40000000</v>
      </c>
      <c r="BP166" s="695"/>
      <c r="BQ166" s="696">
        <v>40000000</v>
      </c>
      <c r="BR166" s="729">
        <v>40000000</v>
      </c>
      <c r="BS166" s="695"/>
      <c r="BT166" s="696">
        <v>40000000</v>
      </c>
      <c r="BU166" s="729">
        <v>40000000</v>
      </c>
      <c r="BV166" s="695"/>
      <c r="BW166" s="696">
        <v>40000000</v>
      </c>
      <c r="BX166" s="729">
        <v>40000000</v>
      </c>
      <c r="BY166" s="695"/>
      <c r="BZ166" s="696">
        <v>40000000</v>
      </c>
      <c r="CA166" s="729">
        <v>40000000</v>
      </c>
      <c r="CB166" s="720">
        <f t="shared" si="64"/>
        <v>160000000</v>
      </c>
      <c r="CC166" s="721">
        <f t="shared" si="65"/>
        <v>160000000</v>
      </c>
      <c r="CD166" s="738"/>
      <c r="CE166" s="1195">
        <v>5000000</v>
      </c>
      <c r="CF166" s="1195">
        <v>5000000</v>
      </c>
      <c r="CG166" s="1195">
        <v>5000000</v>
      </c>
      <c r="CH166" s="1195">
        <v>5000000</v>
      </c>
      <c r="CI166" s="1195">
        <v>5000000</v>
      </c>
      <c r="CJ166" s="1195">
        <v>5000000</v>
      </c>
      <c r="CK166" s="1195">
        <v>5000000</v>
      </c>
      <c r="CL166" s="1195">
        <v>5000000</v>
      </c>
      <c r="CM166" s="1195">
        <v>5000000</v>
      </c>
      <c r="CN166" s="1195">
        <v>5000000</v>
      </c>
      <c r="CO166" s="1195">
        <v>5000000</v>
      </c>
      <c r="CP166" s="1195">
        <v>5000000</v>
      </c>
      <c r="CQ166" s="1196">
        <f t="shared" si="66"/>
        <v>60000000</v>
      </c>
      <c r="CR166" s="356"/>
      <c r="CS166" s="357"/>
      <c r="CT166" s="332"/>
      <c r="CU166" s="358"/>
      <c r="CV166" s="57" t="s">
        <v>38</v>
      </c>
    </row>
    <row r="167" spans="1:100" ht="15" customHeight="1" outlineLevel="2">
      <c r="A167" s="296"/>
      <c r="C167" s="276" t="s">
        <v>36</v>
      </c>
      <c r="E167" s="288" t="s">
        <v>189</v>
      </c>
      <c r="F167" s="288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6"/>
      <c r="X167" s="55"/>
      <c r="Y167" s="57"/>
      <c r="Z167" s="57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61"/>
      <c r="AL167" s="55"/>
      <c r="AM167" s="57"/>
      <c r="AN167" s="57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122"/>
      <c r="AZ167" s="55"/>
      <c r="BA167" s="639"/>
      <c r="BB167" s="639"/>
      <c r="BC167" s="86"/>
      <c r="BD167" s="639"/>
      <c r="BE167" s="86"/>
      <c r="BF167" s="639"/>
      <c r="BG167" s="86"/>
      <c r="BH167" s="639"/>
      <c r="BI167" s="86"/>
      <c r="BJ167" s="639"/>
      <c r="BK167" s="86"/>
      <c r="BL167" s="639"/>
      <c r="BM167" s="86"/>
      <c r="BN167" s="695"/>
      <c r="BO167" s="696"/>
      <c r="BP167" s="695"/>
      <c r="BQ167" s="696"/>
      <c r="BR167" s="702"/>
      <c r="BS167" s="695"/>
      <c r="BT167" s="696"/>
      <c r="BU167" s="702"/>
      <c r="BV167" s="695"/>
      <c r="BW167" s="696"/>
      <c r="BX167" s="702"/>
      <c r="BY167" s="695"/>
      <c r="BZ167" s="696"/>
      <c r="CA167" s="702"/>
      <c r="CB167" s="720">
        <f t="shared" si="64"/>
        <v>0</v>
      </c>
      <c r="CC167" s="721">
        <f t="shared" si="65"/>
        <v>0</v>
      </c>
      <c r="CD167" s="738"/>
      <c r="CE167" s="1195">
        <v>10000000</v>
      </c>
      <c r="CF167" s="1195">
        <v>10000000</v>
      </c>
      <c r="CG167" s="1195">
        <v>10000000</v>
      </c>
      <c r="CH167" s="1195">
        <v>10000000</v>
      </c>
      <c r="CI167" s="1195">
        <v>10000000</v>
      </c>
      <c r="CJ167" s="1195">
        <v>10000000</v>
      </c>
      <c r="CK167" s="1195">
        <v>10000000</v>
      </c>
      <c r="CL167" s="1195">
        <v>10000000</v>
      </c>
      <c r="CM167" s="1195">
        <v>10000000</v>
      </c>
      <c r="CN167" s="1195">
        <v>10000000</v>
      </c>
      <c r="CO167" s="1195">
        <v>10000000</v>
      </c>
      <c r="CP167" s="1195">
        <v>10000000</v>
      </c>
      <c r="CQ167" s="1196">
        <f t="shared" si="66"/>
        <v>120000000</v>
      </c>
      <c r="CR167" s="356"/>
      <c r="CS167" s="357"/>
      <c r="CT167" s="332"/>
      <c r="CU167" s="358"/>
      <c r="CV167" s="57"/>
    </row>
    <row r="168" spans="1:100" ht="15" customHeight="1" outlineLevel="2">
      <c r="A168" s="296"/>
      <c r="C168" s="276" t="s">
        <v>36</v>
      </c>
      <c r="E168" s="288"/>
      <c r="F168" s="288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6"/>
      <c r="X168" s="55"/>
      <c r="Y168" s="57"/>
      <c r="Z168" s="57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61"/>
      <c r="AL168" s="55"/>
      <c r="AM168" s="57"/>
      <c r="AN168" s="57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122"/>
      <c r="AZ168" s="55"/>
      <c r="BA168" s="639"/>
      <c r="BB168" s="639"/>
      <c r="BC168" s="86"/>
      <c r="BD168" s="639"/>
      <c r="BE168" s="86"/>
      <c r="BF168" s="639"/>
      <c r="BG168" s="86"/>
      <c r="BH168" s="639"/>
      <c r="BI168" s="86"/>
      <c r="BJ168" s="639"/>
      <c r="BK168" s="86"/>
      <c r="BL168" s="639"/>
      <c r="BM168" s="86"/>
      <c r="BN168" s="695"/>
      <c r="BO168" s="696"/>
      <c r="BP168" s="695"/>
      <c r="BQ168" s="696"/>
      <c r="BR168" s="702"/>
      <c r="BS168" s="695"/>
      <c r="BT168" s="696"/>
      <c r="BU168" s="702"/>
      <c r="BV168" s="695"/>
      <c r="BW168" s="696"/>
      <c r="BX168" s="702"/>
      <c r="BY168" s="695"/>
      <c r="BZ168" s="696"/>
      <c r="CA168" s="702"/>
      <c r="CB168" s="720">
        <f t="shared" si="64"/>
        <v>0</v>
      </c>
      <c r="CC168" s="721">
        <f t="shared" si="65"/>
        <v>0</v>
      </c>
      <c r="CD168" s="738"/>
      <c r="CE168" s="323"/>
      <c r="CF168" s="323"/>
      <c r="CG168" s="323"/>
      <c r="CH168" s="323"/>
      <c r="CI168" s="323"/>
      <c r="CJ168" s="323"/>
      <c r="CK168" s="323"/>
      <c r="CL168" s="323"/>
      <c r="CM168" s="323"/>
      <c r="CN168" s="323"/>
      <c r="CO168" s="323"/>
      <c r="CP168" s="323"/>
      <c r="CQ168" s="355">
        <f t="shared" si="66"/>
        <v>0</v>
      </c>
      <c r="CR168" s="356"/>
      <c r="CS168" s="357"/>
      <c r="CT168" s="332"/>
      <c r="CU168" s="358"/>
      <c r="CV168" s="57"/>
    </row>
    <row r="169" spans="1:100" ht="15.5" outlineLevel="1">
      <c r="A169" s="301"/>
      <c r="B169" s="301"/>
      <c r="C169" s="301"/>
      <c r="D169" s="301"/>
      <c r="E169" s="301" t="s">
        <v>190</v>
      </c>
      <c r="F169" s="301"/>
      <c r="G169" s="76">
        <f t="shared" ref="G169:W169" si="68">SUM(G122:G165)</f>
        <v>20170065898</v>
      </c>
      <c r="H169" s="76">
        <f t="shared" si="68"/>
        <v>1798832131</v>
      </c>
      <c r="I169" s="76">
        <f t="shared" si="68"/>
        <v>1136890453</v>
      </c>
      <c r="J169" s="76">
        <f t="shared" si="68"/>
        <v>1008301070</v>
      </c>
      <c r="K169" s="76">
        <f t="shared" si="68"/>
        <v>939890166</v>
      </c>
      <c r="L169" s="76">
        <f t="shared" si="68"/>
        <v>1082406029</v>
      </c>
      <c r="M169" s="76">
        <f t="shared" si="68"/>
        <v>1009153216</v>
      </c>
      <c r="N169" s="76">
        <f t="shared" si="68"/>
        <v>1044712389</v>
      </c>
      <c r="O169" s="77">
        <f t="shared" si="68"/>
        <v>1059978540</v>
      </c>
      <c r="P169" s="76">
        <f t="shared" si="68"/>
        <v>1117606984</v>
      </c>
      <c r="Q169" s="76">
        <f t="shared" si="68"/>
        <v>951444960</v>
      </c>
      <c r="R169" s="76">
        <f t="shared" si="68"/>
        <v>961583358</v>
      </c>
      <c r="S169" s="76">
        <f t="shared" si="68"/>
        <v>957106150</v>
      </c>
      <c r="T169" s="76">
        <f t="shared" si="68"/>
        <v>954494403</v>
      </c>
      <c r="U169" s="76">
        <f t="shared" si="68"/>
        <v>856072403</v>
      </c>
      <c r="V169" s="76">
        <f t="shared" si="68"/>
        <v>856072403</v>
      </c>
      <c r="W169" s="76">
        <f t="shared" si="68"/>
        <v>13067905446</v>
      </c>
      <c r="X169" s="55"/>
      <c r="Y169" s="77">
        <f t="shared" ref="Y169:AK169" si="69">Y121+Y153+Y157</f>
        <v>1205364223.1500001</v>
      </c>
      <c r="Z169" s="77">
        <f t="shared" si="69"/>
        <v>1205364223.1500001</v>
      </c>
      <c r="AA169" s="77">
        <f t="shared" si="69"/>
        <v>1353764223.1500001</v>
      </c>
      <c r="AB169" s="77">
        <f t="shared" si="69"/>
        <v>1353764223.1500001</v>
      </c>
      <c r="AC169" s="77">
        <f t="shared" si="69"/>
        <v>1353764223.1500001</v>
      </c>
      <c r="AD169" s="77">
        <f t="shared" si="69"/>
        <v>1353764223.1500001</v>
      </c>
      <c r="AE169" s="77">
        <f t="shared" si="69"/>
        <v>1353764223.1500001</v>
      </c>
      <c r="AF169" s="77">
        <f t="shared" si="69"/>
        <v>1353764223.1500001</v>
      </c>
      <c r="AG169" s="77">
        <f t="shared" si="69"/>
        <v>1353764223.1500001</v>
      </c>
      <c r="AH169" s="77">
        <f t="shared" si="69"/>
        <v>1448764223.1500001</v>
      </c>
      <c r="AI169" s="77">
        <f t="shared" si="69"/>
        <v>1448764223.1500001</v>
      </c>
      <c r="AJ169" s="77">
        <f t="shared" si="69"/>
        <v>1448764223.1500001</v>
      </c>
      <c r="AK169" s="77">
        <f t="shared" si="69"/>
        <v>16233370677.799999</v>
      </c>
      <c r="AL169" s="55"/>
      <c r="AM169" s="77">
        <f t="shared" ref="AM169:AY169" si="70">AM121+AM153+AM157</f>
        <v>1205364223.1500001</v>
      </c>
      <c r="AN169" s="77">
        <f t="shared" si="70"/>
        <v>1205364223.1500001</v>
      </c>
      <c r="AO169" s="77">
        <f t="shared" si="70"/>
        <v>1353764223.1500001</v>
      </c>
      <c r="AP169" s="77">
        <f t="shared" si="70"/>
        <v>1353764223.1500001</v>
      </c>
      <c r="AQ169" s="77">
        <f t="shared" si="70"/>
        <v>1353764223.1500001</v>
      </c>
      <c r="AR169" s="77">
        <f t="shared" si="70"/>
        <v>1353764223.1500001</v>
      </c>
      <c r="AS169" s="77">
        <f t="shared" si="70"/>
        <v>1353764223.1500001</v>
      </c>
      <c r="AT169" s="77">
        <f t="shared" si="70"/>
        <v>1353764223.1500001</v>
      </c>
      <c r="AU169" s="77">
        <f t="shared" si="70"/>
        <v>1353764223.1500001</v>
      </c>
      <c r="AV169" s="77">
        <f t="shared" si="70"/>
        <v>1448764223.1500001</v>
      </c>
      <c r="AW169" s="77">
        <f t="shared" si="70"/>
        <v>1448764223.1500001</v>
      </c>
      <c r="AX169" s="77">
        <f t="shared" si="70"/>
        <v>1448764223.1500001</v>
      </c>
      <c r="AY169" s="77">
        <f t="shared" si="70"/>
        <v>16233370677.799999</v>
      </c>
      <c r="AZ169" s="55"/>
      <c r="BA169" s="77">
        <f t="shared" ref="BA169:CU169" si="71">BA121+BA153+BA157</f>
        <v>879650523</v>
      </c>
      <c r="BB169" s="77">
        <f t="shared" si="71"/>
        <v>986758525</v>
      </c>
      <c r="BC169" s="77">
        <f t="shared" si="71"/>
        <v>881861728</v>
      </c>
      <c r="BD169" s="77">
        <f t="shared" si="71"/>
        <v>957991122</v>
      </c>
      <c r="BE169" s="77">
        <f t="shared" si="71"/>
        <v>926537495</v>
      </c>
      <c r="BF169" s="77">
        <f t="shared" si="71"/>
        <v>922711552</v>
      </c>
      <c r="BG169" s="77">
        <f t="shared" si="71"/>
        <v>1029758000</v>
      </c>
      <c r="BH169" s="77">
        <f t="shared" si="71"/>
        <v>913585428</v>
      </c>
      <c r="BI169" s="77">
        <f t="shared" si="71"/>
        <v>1133878000</v>
      </c>
      <c r="BJ169" s="77">
        <f t="shared" si="71"/>
        <v>1012531575</v>
      </c>
      <c r="BK169" s="77">
        <f t="shared" si="71"/>
        <v>1372878000</v>
      </c>
      <c r="BL169" s="77">
        <f t="shared" si="71"/>
        <v>864333991</v>
      </c>
      <c r="BM169" s="77">
        <f t="shared" si="71"/>
        <v>1427878000</v>
      </c>
      <c r="BN169" s="699">
        <f t="shared" si="71"/>
        <v>753438562</v>
      </c>
      <c r="BO169" s="699">
        <f t="shared" si="71"/>
        <v>1427878000</v>
      </c>
      <c r="BP169" s="699">
        <f t="shared" si="71"/>
        <v>0</v>
      </c>
      <c r="BQ169" s="699">
        <f>BQ121+BQ153+BQ157</f>
        <v>100000000</v>
      </c>
      <c r="BR169" s="699">
        <f>BR121+BR153+BR157</f>
        <v>1179844000</v>
      </c>
      <c r="BS169" s="699">
        <f t="shared" si="71"/>
        <v>0</v>
      </c>
      <c r="BT169" s="699">
        <f>BT121+BT153+BT157</f>
        <v>340000000</v>
      </c>
      <c r="BU169" s="699">
        <f t="shared" si="71"/>
        <v>1365844000</v>
      </c>
      <c r="BV169" s="699">
        <f t="shared" si="71"/>
        <v>0</v>
      </c>
      <c r="BW169" s="699">
        <f>BW121+BW153+BW157</f>
        <v>190000000</v>
      </c>
      <c r="BX169" s="699">
        <f t="shared" si="71"/>
        <v>1391844000</v>
      </c>
      <c r="BY169" s="699">
        <f t="shared" si="71"/>
        <v>0</v>
      </c>
      <c r="BZ169" s="699">
        <f>BZ121+BZ153+BZ157</f>
        <v>190000000</v>
      </c>
      <c r="CA169" s="699">
        <f t="shared" si="71"/>
        <v>1411844000</v>
      </c>
      <c r="CB169" s="699">
        <f t="shared" si="71"/>
        <v>12640377278</v>
      </c>
      <c r="CC169" s="699">
        <f t="shared" si="71"/>
        <v>12640377278</v>
      </c>
      <c r="CD169" s="738"/>
      <c r="CE169" s="326">
        <f>CE121+CE153+CE157</f>
        <v>861000000</v>
      </c>
      <c r="CF169" s="326">
        <f t="shared" si="71"/>
        <v>861000000</v>
      </c>
      <c r="CG169" s="326">
        <f t="shared" si="71"/>
        <v>861000000</v>
      </c>
      <c r="CH169" s="326">
        <f t="shared" si="71"/>
        <v>1411000000</v>
      </c>
      <c r="CI169" s="326">
        <f t="shared" si="71"/>
        <v>1411000000</v>
      </c>
      <c r="CJ169" s="326">
        <f t="shared" si="71"/>
        <v>1441000000</v>
      </c>
      <c r="CK169" s="326">
        <f t="shared" si="71"/>
        <v>1441000000</v>
      </c>
      <c r="CL169" s="326">
        <f t="shared" si="71"/>
        <v>1441000000</v>
      </c>
      <c r="CM169" s="326">
        <f t="shared" si="71"/>
        <v>1441000000</v>
      </c>
      <c r="CN169" s="326">
        <f t="shared" si="71"/>
        <v>1441000000</v>
      </c>
      <c r="CO169" s="326">
        <f t="shared" si="71"/>
        <v>1441000000</v>
      </c>
      <c r="CP169" s="326">
        <f t="shared" si="71"/>
        <v>1441000000</v>
      </c>
      <c r="CQ169" s="326">
        <f t="shared" si="71"/>
        <v>15492000000</v>
      </c>
      <c r="CR169" s="326">
        <f t="shared" si="71"/>
        <v>16047698854.938166</v>
      </c>
      <c r="CS169" s="326">
        <f t="shared" si="71"/>
        <v>22535622811.073635</v>
      </c>
      <c r="CT169" s="326">
        <f t="shared" si="71"/>
        <v>24645144148.461945</v>
      </c>
      <c r="CU169" s="326">
        <f t="shared" si="71"/>
        <v>26981922163.578506</v>
      </c>
      <c r="CV169" s="57"/>
    </row>
    <row r="170" spans="1:100" s="918" customFormat="1" ht="15.5" outlineLevel="1">
      <c r="A170" s="302"/>
      <c r="B170" s="302"/>
      <c r="C170" s="302"/>
      <c r="D170" s="302"/>
      <c r="E170" s="302"/>
      <c r="F170" s="302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22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>
        <v>0.24223202753345041</v>
      </c>
      <c r="AL170" s="55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>
        <v>0.24223202753345041</v>
      </c>
      <c r="AZ170" s="22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00"/>
      <c r="BO170" s="700"/>
      <c r="BP170" s="700"/>
      <c r="BQ170" s="700"/>
      <c r="BR170" s="700"/>
      <c r="BS170" s="700"/>
      <c r="BT170" s="700"/>
      <c r="BU170" s="700"/>
      <c r="BV170" s="700"/>
      <c r="BW170" s="700"/>
      <c r="BX170" s="700"/>
      <c r="BY170" s="700"/>
      <c r="BZ170" s="700"/>
      <c r="CA170" s="700"/>
      <c r="CB170" s="700">
        <f>CB169/AK169-1</f>
        <v>-0.22133378650150637</v>
      </c>
      <c r="CC170" s="700" t="e">
        <f>CC169/AL169-1</f>
        <v>#DIV/0!</v>
      </c>
      <c r="CD170" s="739"/>
      <c r="CE170" s="302"/>
      <c r="CF170" s="302"/>
      <c r="CG170" s="302"/>
      <c r="CH170" s="302"/>
      <c r="CI170" s="302"/>
      <c r="CJ170" s="302"/>
      <c r="CK170" s="302"/>
      <c r="CL170" s="302"/>
      <c r="CM170" s="302"/>
      <c r="CN170" s="302"/>
      <c r="CO170" s="302"/>
      <c r="CP170" s="302"/>
      <c r="CQ170" s="302"/>
      <c r="CR170" s="302"/>
      <c r="CS170" s="302"/>
      <c r="CT170" s="302"/>
      <c r="CU170" s="302"/>
      <c r="CV170" s="917"/>
    </row>
    <row r="171" spans="1:100" s="919" customFormat="1" ht="15.5" outlineLevel="1">
      <c r="A171" s="308"/>
      <c r="B171" s="308"/>
      <c r="C171" s="308"/>
      <c r="D171" s="308"/>
      <c r="E171" s="308" t="s">
        <v>191</v>
      </c>
      <c r="F171" s="308"/>
      <c r="G171" s="225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78"/>
      <c r="Y171" s="80">
        <f t="shared" ref="Y171:AK171" si="72">SUM(Y175:Y192)</f>
        <v>2700241912.3499999</v>
      </c>
      <c r="Z171" s="80">
        <f t="shared" si="72"/>
        <v>2710241912.3499999</v>
      </c>
      <c r="AA171" s="80">
        <f t="shared" si="72"/>
        <v>2705241912.3499999</v>
      </c>
      <c r="AB171" s="80">
        <f t="shared" si="72"/>
        <v>2785241912.3499999</v>
      </c>
      <c r="AC171" s="80">
        <f t="shared" si="72"/>
        <v>2750241912.3499999</v>
      </c>
      <c r="AD171" s="80">
        <f t="shared" si="72"/>
        <v>2750241912.3499999</v>
      </c>
      <c r="AE171" s="80">
        <f t="shared" si="72"/>
        <v>3009106978.3499999</v>
      </c>
      <c r="AF171" s="80">
        <f t="shared" si="72"/>
        <v>3009106978.3499999</v>
      </c>
      <c r="AG171" s="80">
        <f t="shared" si="72"/>
        <v>3009106978.3499999</v>
      </c>
      <c r="AH171" s="80">
        <f t="shared" si="72"/>
        <v>3009106978.3499999</v>
      </c>
      <c r="AI171" s="80">
        <f t="shared" si="72"/>
        <v>3009106978.3499999</v>
      </c>
      <c r="AJ171" s="80">
        <f t="shared" si="72"/>
        <v>3009106978.3499999</v>
      </c>
      <c r="AK171" s="80">
        <f t="shared" si="72"/>
        <v>34456093344.199997</v>
      </c>
      <c r="AL171" s="55"/>
      <c r="AM171" s="80">
        <f>SUM(AM175:AM192)</f>
        <v>2700241912.3499999</v>
      </c>
      <c r="AN171" s="80">
        <f t="shared" ref="AN171:AY171" si="73">SUM(AN175:AN192)</f>
        <v>2710241912.3499999</v>
      </c>
      <c r="AO171" s="80">
        <f t="shared" si="73"/>
        <v>2705241912.3499999</v>
      </c>
      <c r="AP171" s="80">
        <f t="shared" si="73"/>
        <v>2785241912.3499999</v>
      </c>
      <c r="AQ171" s="80">
        <f t="shared" si="73"/>
        <v>2750241912.3499999</v>
      </c>
      <c r="AR171" s="80">
        <f t="shared" si="73"/>
        <v>2750241912.3499999</v>
      </c>
      <c r="AS171" s="80">
        <f t="shared" si="73"/>
        <v>3009106978.3499999</v>
      </c>
      <c r="AT171" s="80">
        <f t="shared" si="73"/>
        <v>3009106978.3499999</v>
      </c>
      <c r="AU171" s="80">
        <f t="shared" si="73"/>
        <v>3009106978.3499999</v>
      </c>
      <c r="AV171" s="80">
        <f t="shared" si="73"/>
        <v>3009106978.3499999</v>
      </c>
      <c r="AW171" s="80">
        <f t="shared" si="73"/>
        <v>3009106978.3499999</v>
      </c>
      <c r="AX171" s="80">
        <f t="shared" si="73"/>
        <v>3009106978.3499999</v>
      </c>
      <c r="AY171" s="80">
        <f t="shared" si="73"/>
        <v>34456093344.199997</v>
      </c>
      <c r="AZ171" s="78"/>
      <c r="BA171" s="80">
        <f>SUM(BA175:BA192)</f>
        <v>3202241657</v>
      </c>
      <c r="BB171" s="80">
        <f>SUM(BB175:BB192)</f>
        <v>2651343385</v>
      </c>
      <c r="BC171" s="80">
        <f t="shared" ref="BC171:CT171" si="74">SUM(BC175:BC192)</f>
        <v>2857219255</v>
      </c>
      <c r="BD171" s="80">
        <f t="shared" si="74"/>
        <v>2617189824</v>
      </c>
      <c r="BE171" s="80">
        <f t="shared" si="74"/>
        <v>2853419255</v>
      </c>
      <c r="BF171" s="80">
        <f t="shared" si="74"/>
        <v>3059756180</v>
      </c>
      <c r="BG171" s="80">
        <f t="shared" si="74"/>
        <v>3697937255</v>
      </c>
      <c r="BH171" s="80">
        <f t="shared" si="74"/>
        <v>2581074021</v>
      </c>
      <c r="BI171" s="80">
        <f t="shared" si="74"/>
        <v>3451151255</v>
      </c>
      <c r="BJ171" s="80">
        <f t="shared" si="74"/>
        <v>3256051283</v>
      </c>
      <c r="BK171" s="80">
        <f t="shared" si="74"/>
        <v>3580553255</v>
      </c>
      <c r="BL171" s="80">
        <f t="shared" si="74"/>
        <v>2329925071</v>
      </c>
      <c r="BM171" s="80">
        <f t="shared" si="74"/>
        <v>2864284000</v>
      </c>
      <c r="BN171" s="701">
        <f t="shared" si="74"/>
        <v>3829590139</v>
      </c>
      <c r="BO171" s="701">
        <f t="shared" si="74"/>
        <v>2981702000</v>
      </c>
      <c r="BP171" s="701">
        <f t="shared" si="74"/>
        <v>0</v>
      </c>
      <c r="BQ171" s="701">
        <f>SUM(BQ175:BQ192)</f>
        <v>2765666000</v>
      </c>
      <c r="BR171" s="701">
        <f>SUM(BR175:BR192)</f>
        <v>3113200000</v>
      </c>
      <c r="BS171" s="701">
        <f t="shared" si="74"/>
        <v>0</v>
      </c>
      <c r="BT171" s="701">
        <f>SUM(BT175:BT192)</f>
        <v>2705336000</v>
      </c>
      <c r="BU171" s="701">
        <f t="shared" si="74"/>
        <v>3263200000</v>
      </c>
      <c r="BV171" s="701">
        <f t="shared" si="74"/>
        <v>0</v>
      </c>
      <c r="BW171" s="701">
        <f>SUM(BW175:BW192)</f>
        <v>2726550000</v>
      </c>
      <c r="BX171" s="701">
        <f t="shared" si="74"/>
        <v>3413200000</v>
      </c>
      <c r="BY171" s="701">
        <f t="shared" si="74"/>
        <v>0</v>
      </c>
      <c r="BZ171" s="701">
        <f>SUM(BZ175:BZ192)</f>
        <v>2726550000</v>
      </c>
      <c r="CA171" s="701">
        <f t="shared" si="74"/>
        <v>3563200000</v>
      </c>
      <c r="CB171" s="701">
        <f>SUM(CB175:CB192)</f>
        <v>36879971560</v>
      </c>
      <c r="CC171" s="701">
        <f t="shared" si="74"/>
        <v>36879971560</v>
      </c>
      <c r="CD171" s="736"/>
      <c r="CE171" s="327">
        <f>SUM(CE175:CE192)</f>
        <v>2924383333</v>
      </c>
      <c r="CF171" s="327">
        <f t="shared" ref="CF171:CP171" si="75">SUM(CF175:CF192)</f>
        <v>2819383333</v>
      </c>
      <c r="CG171" s="327">
        <f t="shared" si="75"/>
        <v>2714383333</v>
      </c>
      <c r="CH171" s="327">
        <f t="shared" si="75"/>
        <v>2397383333</v>
      </c>
      <c r="CI171" s="327">
        <f t="shared" si="75"/>
        <v>2297383333</v>
      </c>
      <c r="CJ171" s="327">
        <f t="shared" si="75"/>
        <v>2347383333</v>
      </c>
      <c r="CK171" s="327">
        <f t="shared" si="75"/>
        <v>2347383333</v>
      </c>
      <c r="CL171" s="327">
        <f t="shared" si="75"/>
        <v>2347383333</v>
      </c>
      <c r="CM171" s="327">
        <f t="shared" si="75"/>
        <v>2347383333</v>
      </c>
      <c r="CN171" s="327">
        <f t="shared" si="75"/>
        <v>2347383333</v>
      </c>
      <c r="CO171" s="327">
        <f t="shared" si="75"/>
        <v>2397383333</v>
      </c>
      <c r="CP171" s="327">
        <f t="shared" si="75"/>
        <v>2497383333</v>
      </c>
      <c r="CQ171" s="327">
        <f t="shared" si="74"/>
        <v>29784599996</v>
      </c>
      <c r="CR171" s="327">
        <f t="shared" si="74"/>
        <v>34146094949.221066</v>
      </c>
      <c r="CS171" s="327">
        <f t="shared" si="74"/>
        <v>36425037241.19529</v>
      </c>
      <c r="CT171" s="327">
        <f t="shared" si="74"/>
        <v>39649219011.617584</v>
      </c>
      <c r="CU171" s="327">
        <f>SUM(CU175:CU192)</f>
        <v>43262789736.787201</v>
      </c>
      <c r="CV171" s="86"/>
    </row>
    <row r="172" spans="1:100" ht="15" customHeight="1" outlineLevel="2">
      <c r="A172" s="276" t="s">
        <v>192</v>
      </c>
      <c r="B172" s="277" t="str">
        <f t="shared" ref="B172:B192" si="76">$E$171&amp;$E$6&amp;E172</f>
        <v>PACK SURABAYAPACKAGEADVANCE STABILINDO INDONESIA</v>
      </c>
      <c r="C172" s="276" t="s">
        <v>36</v>
      </c>
      <c r="E172" s="288" t="s">
        <v>41</v>
      </c>
      <c r="F172" s="288"/>
      <c r="G172" s="64">
        <v>54120000</v>
      </c>
      <c r="H172" s="81"/>
      <c r="I172" s="81"/>
      <c r="J172" s="81"/>
      <c r="K172" s="81"/>
      <c r="L172" s="81"/>
      <c r="M172" s="81"/>
      <c r="N172" s="81"/>
      <c r="O172" s="81"/>
      <c r="P172" s="81">
        <v>0</v>
      </c>
      <c r="Q172" s="81"/>
      <c r="R172" s="81"/>
      <c r="S172" s="81"/>
      <c r="T172" s="65">
        <v>0</v>
      </c>
      <c r="U172" s="65">
        <v>0</v>
      </c>
      <c r="V172" s="65">
        <v>0</v>
      </c>
      <c r="W172" s="66">
        <f t="shared" ref="W172:W218" si="77">SUM(H172:S172)</f>
        <v>0</v>
      </c>
      <c r="X172" s="78"/>
      <c r="Y172" s="82"/>
      <c r="Z172" s="82"/>
      <c r="AA172" s="82"/>
      <c r="AB172" s="82"/>
      <c r="AC172" s="82"/>
      <c r="AD172" s="82"/>
      <c r="AE172" s="82"/>
      <c r="AF172" s="82"/>
      <c r="AG172" s="82"/>
      <c r="AH172" s="82"/>
      <c r="AI172" s="82"/>
      <c r="AJ172" s="82"/>
      <c r="AK172" s="61">
        <v>0</v>
      </c>
      <c r="AL172" s="55"/>
      <c r="AM172" s="82"/>
      <c r="AN172" s="82"/>
      <c r="AO172" s="82"/>
      <c r="AP172" s="82"/>
      <c r="AQ172" s="82"/>
      <c r="AR172" s="82"/>
      <c r="AS172" s="82"/>
      <c r="AT172" s="82"/>
      <c r="AU172" s="82"/>
      <c r="AV172" s="82"/>
      <c r="AW172" s="82"/>
      <c r="AX172" s="82"/>
      <c r="AY172" s="122">
        <v>0</v>
      </c>
      <c r="AZ172" s="78"/>
      <c r="BA172" s="639">
        <v>0</v>
      </c>
      <c r="BB172" s="639">
        <v>0</v>
      </c>
      <c r="BC172" s="86"/>
      <c r="BD172" s="639">
        <v>0</v>
      </c>
      <c r="BE172" s="86"/>
      <c r="BF172" s="639">
        <v>0</v>
      </c>
      <c r="BG172" s="86"/>
      <c r="BH172" s="639"/>
      <c r="BI172" s="86"/>
      <c r="BJ172" s="639"/>
      <c r="BK172" s="86"/>
      <c r="BL172" s="639"/>
      <c r="BM172" s="86"/>
      <c r="BN172" s="695">
        <v>0</v>
      </c>
      <c r="BO172" s="696"/>
      <c r="BP172" s="695"/>
      <c r="BQ172" s="696"/>
      <c r="BR172" s="702"/>
      <c r="BS172" s="695"/>
      <c r="BT172" s="696"/>
      <c r="BU172" s="702"/>
      <c r="BV172" s="695"/>
      <c r="BW172" s="696"/>
      <c r="BX172" s="702"/>
      <c r="BY172" s="695"/>
      <c r="BZ172" s="696"/>
      <c r="CA172" s="702"/>
      <c r="CB172" s="720">
        <f t="shared" ref="CB172:CB192" si="78">SUM(BA172,BB172,BD172,BF172,BH172,BJ172,BL172,BN172,BP172,BR172,BU172,BX172,CA172)</f>
        <v>0</v>
      </c>
      <c r="CC172" s="721">
        <f t="shared" ref="CC172:CC192" si="79">SUM(BA172,BB172,BD172,BF172,BH172,BJ172,BL172,BN172,BR172,BU172,BX172,CA172)</f>
        <v>0</v>
      </c>
      <c r="CD172" s="738"/>
      <c r="CE172" s="322"/>
      <c r="CF172" s="322"/>
      <c r="CG172" s="322"/>
      <c r="CH172" s="322"/>
      <c r="CI172" s="322"/>
      <c r="CJ172" s="322"/>
      <c r="CK172" s="322"/>
      <c r="CL172" s="322"/>
      <c r="CM172" s="322"/>
      <c r="CN172" s="322"/>
      <c r="CO172" s="322"/>
      <c r="CP172" s="322"/>
      <c r="CQ172" s="355">
        <f t="shared" ref="CQ172:CQ192" si="80">SUM(CE172,CF172,CG172,CH172,CI172,CJ172,CK172,CL172,CM172,CN172,CO172,CP172)</f>
        <v>0</v>
      </c>
      <c r="CR172" s="356"/>
      <c r="CS172" s="357"/>
      <c r="CT172" s="332"/>
      <c r="CU172" s="358"/>
      <c r="CV172" s="57" t="s">
        <v>42</v>
      </c>
    </row>
    <row r="173" spans="1:100" ht="15" customHeight="1" outlineLevel="2">
      <c r="A173" s="276" t="s">
        <v>192</v>
      </c>
      <c r="B173" s="277" t="str">
        <f t="shared" si="76"/>
        <v>PACK SURABAYAPACKAGEANDALAN DUNIA SEMESTA</v>
      </c>
      <c r="C173" s="276" t="s">
        <v>36</v>
      </c>
      <c r="E173" s="288" t="s">
        <v>44</v>
      </c>
      <c r="F173" s="288"/>
      <c r="G173" s="64">
        <v>53432300</v>
      </c>
      <c r="H173" s="81"/>
      <c r="I173" s="81"/>
      <c r="J173" s="81"/>
      <c r="K173" s="81"/>
      <c r="L173" s="81"/>
      <c r="M173" s="81"/>
      <c r="N173" s="81"/>
      <c r="O173" s="81"/>
      <c r="P173" s="81">
        <v>0</v>
      </c>
      <c r="Q173" s="81"/>
      <c r="R173" s="81"/>
      <c r="S173" s="81"/>
      <c r="T173" s="65">
        <v>0</v>
      </c>
      <c r="U173" s="65">
        <v>0</v>
      </c>
      <c r="V173" s="65">
        <v>0</v>
      </c>
      <c r="W173" s="66">
        <f t="shared" si="77"/>
        <v>0</v>
      </c>
      <c r="X173" s="78"/>
      <c r="Y173" s="82"/>
      <c r="Z173" s="82"/>
      <c r="AA173" s="82"/>
      <c r="AB173" s="82"/>
      <c r="AC173" s="82"/>
      <c r="AD173" s="82"/>
      <c r="AE173" s="82"/>
      <c r="AF173" s="82"/>
      <c r="AG173" s="82"/>
      <c r="AH173" s="82"/>
      <c r="AI173" s="82"/>
      <c r="AJ173" s="82"/>
      <c r="AK173" s="61">
        <v>0</v>
      </c>
      <c r="AL173" s="55"/>
      <c r="AM173" s="82"/>
      <c r="AN173" s="82"/>
      <c r="AO173" s="82"/>
      <c r="AP173" s="82"/>
      <c r="AQ173" s="82"/>
      <c r="AR173" s="82"/>
      <c r="AS173" s="82"/>
      <c r="AT173" s="82"/>
      <c r="AU173" s="82"/>
      <c r="AV173" s="82"/>
      <c r="AW173" s="82"/>
      <c r="AX173" s="82"/>
      <c r="AY173" s="122">
        <v>0</v>
      </c>
      <c r="AZ173" s="78"/>
      <c r="BA173" s="639">
        <v>0</v>
      </c>
      <c r="BB173" s="639">
        <v>0</v>
      </c>
      <c r="BC173" s="86"/>
      <c r="BD173" s="639">
        <v>0</v>
      </c>
      <c r="BE173" s="86"/>
      <c r="BF173" s="639">
        <v>0</v>
      </c>
      <c r="BG173" s="86"/>
      <c r="BH173" s="639"/>
      <c r="BI173" s="86"/>
      <c r="BJ173" s="639"/>
      <c r="BK173" s="86"/>
      <c r="BL173" s="639"/>
      <c r="BM173" s="86"/>
      <c r="BN173" s="695">
        <v>0</v>
      </c>
      <c r="BO173" s="696"/>
      <c r="BP173" s="695"/>
      <c r="BQ173" s="696"/>
      <c r="BR173" s="702"/>
      <c r="BS173" s="695"/>
      <c r="BT173" s="696"/>
      <c r="BU173" s="702"/>
      <c r="BV173" s="695"/>
      <c r="BW173" s="696"/>
      <c r="BX173" s="702"/>
      <c r="BY173" s="695"/>
      <c r="BZ173" s="696"/>
      <c r="CA173" s="702"/>
      <c r="CB173" s="720">
        <f t="shared" si="78"/>
        <v>0</v>
      </c>
      <c r="CC173" s="721">
        <f t="shared" si="79"/>
        <v>0</v>
      </c>
      <c r="CD173" s="738"/>
      <c r="CE173" s="322"/>
      <c r="CF173" s="322"/>
      <c r="CG173" s="322"/>
      <c r="CH173" s="322"/>
      <c r="CI173" s="322"/>
      <c r="CJ173" s="322"/>
      <c r="CK173" s="322"/>
      <c r="CL173" s="322"/>
      <c r="CM173" s="322"/>
      <c r="CN173" s="322"/>
      <c r="CO173" s="322"/>
      <c r="CP173" s="322"/>
      <c r="CQ173" s="355">
        <f t="shared" si="80"/>
        <v>0</v>
      </c>
      <c r="CR173" s="356"/>
      <c r="CS173" s="357"/>
      <c r="CT173" s="332"/>
      <c r="CU173" s="358"/>
      <c r="CV173" s="57" t="s">
        <v>38</v>
      </c>
    </row>
    <row r="174" spans="1:100" ht="15" customHeight="1" outlineLevel="2">
      <c r="A174" s="276" t="s">
        <v>192</v>
      </c>
      <c r="B174" s="277" t="str">
        <f t="shared" si="76"/>
        <v>PACK SURABAYAPACKAGEANTARA CIPTA</v>
      </c>
      <c r="C174" s="276" t="s">
        <v>36</v>
      </c>
      <c r="E174" s="288" t="s">
        <v>193</v>
      </c>
      <c r="F174" s="288"/>
      <c r="G174" s="64">
        <v>175377500</v>
      </c>
      <c r="H174" s="81"/>
      <c r="I174" s="81"/>
      <c r="J174" s="81"/>
      <c r="K174" s="81"/>
      <c r="L174" s="81"/>
      <c r="M174" s="81"/>
      <c r="N174" s="81"/>
      <c r="O174" s="81"/>
      <c r="P174" s="81">
        <v>0</v>
      </c>
      <c r="Q174" s="81"/>
      <c r="R174" s="81"/>
      <c r="S174" s="81"/>
      <c r="T174" s="65">
        <v>0</v>
      </c>
      <c r="U174" s="65">
        <v>0</v>
      </c>
      <c r="V174" s="65">
        <v>0</v>
      </c>
      <c r="W174" s="66">
        <f t="shared" si="77"/>
        <v>0</v>
      </c>
      <c r="X174" s="78"/>
      <c r="Y174" s="82"/>
      <c r="Z174" s="82"/>
      <c r="AA174" s="82"/>
      <c r="AB174" s="82"/>
      <c r="AC174" s="82"/>
      <c r="AD174" s="82"/>
      <c r="AE174" s="82"/>
      <c r="AF174" s="82"/>
      <c r="AG174" s="82"/>
      <c r="AH174" s="82"/>
      <c r="AI174" s="82"/>
      <c r="AJ174" s="82"/>
      <c r="AK174" s="61">
        <v>0</v>
      </c>
      <c r="AL174" s="55"/>
      <c r="AM174" s="82"/>
      <c r="AN174" s="82"/>
      <c r="AO174" s="82"/>
      <c r="AP174" s="82"/>
      <c r="AQ174" s="82"/>
      <c r="AR174" s="82"/>
      <c r="AS174" s="82"/>
      <c r="AT174" s="82"/>
      <c r="AU174" s="82"/>
      <c r="AV174" s="82"/>
      <c r="AW174" s="82"/>
      <c r="AX174" s="82"/>
      <c r="AY174" s="122">
        <v>0</v>
      </c>
      <c r="AZ174" s="78"/>
      <c r="BA174" s="639">
        <v>0</v>
      </c>
      <c r="BB174" s="639">
        <v>0</v>
      </c>
      <c r="BC174" s="86"/>
      <c r="BD174" s="639">
        <v>0</v>
      </c>
      <c r="BE174" s="86"/>
      <c r="BF174" s="639">
        <v>0</v>
      </c>
      <c r="BG174" s="86"/>
      <c r="BH174" s="639"/>
      <c r="BI174" s="86"/>
      <c r="BJ174" s="639"/>
      <c r="BK174" s="86"/>
      <c r="BL174" s="639"/>
      <c r="BM174" s="86"/>
      <c r="BN174" s="695">
        <v>0</v>
      </c>
      <c r="BO174" s="696"/>
      <c r="BP174" s="695"/>
      <c r="BQ174" s="696"/>
      <c r="BR174" s="702"/>
      <c r="BS174" s="695"/>
      <c r="BT174" s="696"/>
      <c r="BU174" s="702"/>
      <c r="BV174" s="695"/>
      <c r="BW174" s="696"/>
      <c r="BX174" s="702"/>
      <c r="BY174" s="695"/>
      <c r="BZ174" s="696"/>
      <c r="CA174" s="702"/>
      <c r="CB174" s="720">
        <f t="shared" si="78"/>
        <v>0</v>
      </c>
      <c r="CC174" s="721">
        <f t="shared" si="79"/>
        <v>0</v>
      </c>
      <c r="CD174" s="738"/>
      <c r="CE174" s="322"/>
      <c r="CF174" s="322"/>
      <c r="CG174" s="322"/>
      <c r="CH174" s="322"/>
      <c r="CI174" s="322"/>
      <c r="CJ174" s="322"/>
      <c r="CK174" s="322"/>
      <c r="CL174" s="322"/>
      <c r="CM174" s="322"/>
      <c r="CN174" s="322"/>
      <c r="CO174" s="322"/>
      <c r="CP174" s="322"/>
      <c r="CQ174" s="355">
        <f t="shared" si="80"/>
        <v>0</v>
      </c>
      <c r="CR174" s="356"/>
      <c r="CS174" s="357"/>
      <c r="CT174" s="332"/>
      <c r="CU174" s="358"/>
      <c r="CV174" s="57" t="s">
        <v>38</v>
      </c>
    </row>
    <row r="175" spans="1:100" ht="15" customHeight="1" outlineLevel="2">
      <c r="A175" s="276" t="s">
        <v>194</v>
      </c>
      <c r="B175" s="277" t="str">
        <f t="shared" si="76"/>
        <v>PACK SURABAYAPACKAGEBAHANA PRESTASI</v>
      </c>
      <c r="C175" s="276" t="s">
        <v>36</v>
      </c>
      <c r="D175" s="276" t="s">
        <v>40</v>
      </c>
      <c r="E175" s="288" t="s">
        <v>51</v>
      </c>
      <c r="F175" s="303">
        <v>8000000027</v>
      </c>
      <c r="G175" s="73"/>
      <c r="H175" s="65">
        <v>4326000</v>
      </c>
      <c r="I175" s="65">
        <v>596000</v>
      </c>
      <c r="J175" s="65">
        <v>0</v>
      </c>
      <c r="K175" s="65">
        <v>0</v>
      </c>
      <c r="L175" s="65">
        <v>0</v>
      </c>
      <c r="M175" s="65">
        <v>0</v>
      </c>
      <c r="N175" s="65">
        <v>0</v>
      </c>
      <c r="O175" s="65">
        <v>0</v>
      </c>
      <c r="P175" s="81">
        <v>0</v>
      </c>
      <c r="Q175" s="81">
        <v>0</v>
      </c>
      <c r="R175" s="81">
        <v>0</v>
      </c>
      <c r="S175" s="81">
        <v>4377224</v>
      </c>
      <c r="T175" s="65">
        <v>0</v>
      </c>
      <c r="U175" s="65">
        <v>0</v>
      </c>
      <c r="V175" s="65">
        <v>0</v>
      </c>
      <c r="W175" s="66">
        <f t="shared" si="77"/>
        <v>9299224</v>
      </c>
      <c r="X175" s="55"/>
      <c r="Y175" s="57">
        <v>0</v>
      </c>
      <c r="Z175" s="57">
        <v>0</v>
      </c>
      <c r="AA175" s="57">
        <v>0</v>
      </c>
      <c r="AB175" s="57">
        <v>0</v>
      </c>
      <c r="AC175" s="57">
        <v>0</v>
      </c>
      <c r="AD175" s="57">
        <v>0</v>
      </c>
      <c r="AE175" s="57">
        <v>0</v>
      </c>
      <c r="AF175" s="57">
        <v>0</v>
      </c>
      <c r="AG175" s="57">
        <v>0</v>
      </c>
      <c r="AH175" s="57">
        <v>0</v>
      </c>
      <c r="AI175" s="57">
        <v>0</v>
      </c>
      <c r="AJ175" s="57">
        <v>0</v>
      </c>
      <c r="AK175" s="61">
        <v>0</v>
      </c>
      <c r="AL175" s="55"/>
      <c r="AM175" s="57">
        <v>0</v>
      </c>
      <c r="AN175" s="57">
        <v>0</v>
      </c>
      <c r="AO175" s="57">
        <v>0</v>
      </c>
      <c r="AP175" s="57">
        <v>0</v>
      </c>
      <c r="AQ175" s="57">
        <v>0</v>
      </c>
      <c r="AR175" s="57">
        <v>0</v>
      </c>
      <c r="AS175" s="57">
        <v>0</v>
      </c>
      <c r="AT175" s="57">
        <v>0</v>
      </c>
      <c r="AU175" s="57">
        <v>0</v>
      </c>
      <c r="AV175" s="57">
        <v>0</v>
      </c>
      <c r="AW175" s="57">
        <v>0</v>
      </c>
      <c r="AX175" s="57">
        <v>0</v>
      </c>
      <c r="AY175" s="122">
        <v>0</v>
      </c>
      <c r="AZ175" s="55"/>
      <c r="BA175" s="639">
        <v>271921700</v>
      </c>
      <c r="BB175" s="639">
        <v>119274000</v>
      </c>
      <c r="BC175" s="86"/>
      <c r="BD175" s="639">
        <v>157874000</v>
      </c>
      <c r="BE175" s="86">
        <v>0</v>
      </c>
      <c r="BF175" s="639">
        <v>250514000</v>
      </c>
      <c r="BG175" s="86"/>
      <c r="BH175" s="639">
        <v>391211000</v>
      </c>
      <c r="BI175" s="86"/>
      <c r="BJ175" s="639">
        <v>1051464000</v>
      </c>
      <c r="BK175" s="86"/>
      <c r="BL175" s="639">
        <v>199948000</v>
      </c>
      <c r="BM175" s="86"/>
      <c r="BN175" s="695">
        <v>1685595560</v>
      </c>
      <c r="BO175" s="696"/>
      <c r="BP175" s="695"/>
      <c r="BQ175" s="696"/>
      <c r="BR175" s="729">
        <v>200000000</v>
      </c>
      <c r="BS175" s="695"/>
      <c r="BT175" s="696"/>
      <c r="BU175" s="729">
        <v>200000000</v>
      </c>
      <c r="BV175" s="695"/>
      <c r="BW175" s="696"/>
      <c r="BX175" s="729">
        <v>200000000</v>
      </c>
      <c r="BY175" s="695"/>
      <c r="BZ175" s="696"/>
      <c r="CA175" s="729">
        <v>200000000</v>
      </c>
      <c r="CB175" s="720">
        <f t="shared" si="78"/>
        <v>4927802260</v>
      </c>
      <c r="CC175" s="721">
        <f t="shared" si="79"/>
        <v>4927802260</v>
      </c>
      <c r="CD175" s="738"/>
      <c r="CE175" s="322"/>
      <c r="CF175" s="322"/>
      <c r="CG175" s="322"/>
      <c r="CH175" s="322"/>
      <c r="CI175" s="322"/>
      <c r="CJ175" s="322"/>
      <c r="CK175" s="322"/>
      <c r="CL175" s="322"/>
      <c r="CM175" s="322"/>
      <c r="CN175" s="322"/>
      <c r="CO175" s="322"/>
      <c r="CP175" s="322"/>
      <c r="CQ175" s="355">
        <f t="shared" si="80"/>
        <v>0</v>
      </c>
      <c r="CR175" s="356">
        <f t="shared" ref="CR175:CU176" si="81">CQ175*1.07</f>
        <v>0</v>
      </c>
      <c r="CS175" s="357">
        <f t="shared" si="81"/>
        <v>0</v>
      </c>
      <c r="CT175" s="332">
        <f t="shared" si="81"/>
        <v>0</v>
      </c>
      <c r="CU175" s="358">
        <f t="shared" si="81"/>
        <v>0</v>
      </c>
      <c r="CV175" s="57" t="s">
        <v>38</v>
      </c>
    </row>
    <row r="176" spans="1:100" ht="15" customHeight="1" outlineLevel="2">
      <c r="A176" s="276" t="s">
        <v>194</v>
      </c>
      <c r="B176" s="277" t="str">
        <f t="shared" si="76"/>
        <v>PACK SURABAYAPACKAGEBDP INDONESIA</v>
      </c>
      <c r="C176" s="276" t="s">
        <v>36</v>
      </c>
      <c r="D176" s="276" t="s">
        <v>40</v>
      </c>
      <c r="E176" s="288" t="s">
        <v>195</v>
      </c>
      <c r="F176" s="303"/>
      <c r="G176" s="64">
        <v>2053554014</v>
      </c>
      <c r="H176" s="65">
        <v>140243310</v>
      </c>
      <c r="I176" s="65">
        <v>125563149</v>
      </c>
      <c r="J176" s="65">
        <v>156882690</v>
      </c>
      <c r="K176" s="65">
        <v>202566878</v>
      </c>
      <c r="L176" s="65">
        <v>125212605</v>
      </c>
      <c r="M176" s="65">
        <v>158047205</v>
      </c>
      <c r="N176" s="65">
        <v>165206777</v>
      </c>
      <c r="O176" s="65">
        <v>184104325</v>
      </c>
      <c r="P176" s="81">
        <v>164845112</v>
      </c>
      <c r="Q176" s="81"/>
      <c r="R176" s="81"/>
      <c r="S176" s="81"/>
      <c r="T176" s="69">
        <v>0</v>
      </c>
      <c r="U176" s="69">
        <v>0</v>
      </c>
      <c r="V176" s="69">
        <v>0</v>
      </c>
      <c r="W176" s="66">
        <f t="shared" si="77"/>
        <v>1422672051</v>
      </c>
      <c r="X176" s="55"/>
      <c r="Y176" s="57"/>
      <c r="Z176" s="57"/>
      <c r="AA176" s="57">
        <v>0</v>
      </c>
      <c r="AB176" s="57">
        <v>0</v>
      </c>
      <c r="AC176" s="57">
        <v>0</v>
      </c>
      <c r="AD176" s="57">
        <v>0</v>
      </c>
      <c r="AE176" s="57">
        <v>0</v>
      </c>
      <c r="AF176" s="57">
        <v>0</v>
      </c>
      <c r="AG176" s="57">
        <v>0</v>
      </c>
      <c r="AH176" s="57">
        <v>0</v>
      </c>
      <c r="AI176" s="57">
        <v>0</v>
      </c>
      <c r="AJ176" s="57">
        <v>0</v>
      </c>
      <c r="AK176" s="61">
        <v>0</v>
      </c>
      <c r="AL176" s="55"/>
      <c r="AM176" s="57"/>
      <c r="AN176" s="57"/>
      <c r="AO176" s="57">
        <v>0</v>
      </c>
      <c r="AP176" s="57">
        <v>0</v>
      </c>
      <c r="AQ176" s="57">
        <v>0</v>
      </c>
      <c r="AR176" s="57">
        <v>0</v>
      </c>
      <c r="AS176" s="57">
        <v>0</v>
      </c>
      <c r="AT176" s="57">
        <v>0</v>
      </c>
      <c r="AU176" s="57">
        <v>0</v>
      </c>
      <c r="AV176" s="57">
        <v>0</v>
      </c>
      <c r="AW176" s="57">
        <v>0</v>
      </c>
      <c r="AX176" s="57">
        <v>0</v>
      </c>
      <c r="AY176" s="122">
        <v>0</v>
      </c>
      <c r="AZ176" s="55"/>
      <c r="BA176" s="639">
        <v>0</v>
      </c>
      <c r="BB176" s="639">
        <v>0</v>
      </c>
      <c r="BC176" s="86"/>
      <c r="BD176" s="639">
        <v>0</v>
      </c>
      <c r="BE176" s="86"/>
      <c r="BF176" s="639"/>
      <c r="BG176" s="86"/>
      <c r="BH176" s="639"/>
      <c r="BI176" s="86"/>
      <c r="BJ176" s="639"/>
      <c r="BK176" s="86"/>
      <c r="BL176" s="639"/>
      <c r="BM176" s="86"/>
      <c r="BN176" s="695">
        <v>0</v>
      </c>
      <c r="BO176" s="696"/>
      <c r="BP176" s="695"/>
      <c r="BQ176" s="696"/>
      <c r="BR176" s="729"/>
      <c r="BS176" s="695"/>
      <c r="BT176" s="696"/>
      <c r="BU176" s="729"/>
      <c r="BV176" s="695"/>
      <c r="BW176" s="696"/>
      <c r="BX176" s="729"/>
      <c r="BY176" s="695"/>
      <c r="BZ176" s="696"/>
      <c r="CA176" s="729"/>
      <c r="CB176" s="720">
        <f t="shared" si="78"/>
        <v>0</v>
      </c>
      <c r="CC176" s="721">
        <f t="shared" si="79"/>
        <v>0</v>
      </c>
      <c r="CD176" s="738"/>
      <c r="CE176" s="322"/>
      <c r="CF176" s="322"/>
      <c r="CG176" s="322"/>
      <c r="CH176" s="322"/>
      <c r="CI176" s="322"/>
      <c r="CJ176" s="322"/>
      <c r="CK176" s="322"/>
      <c r="CL176" s="322"/>
      <c r="CM176" s="322"/>
      <c r="CN176" s="322"/>
      <c r="CO176" s="322"/>
      <c r="CP176" s="322"/>
      <c r="CQ176" s="355">
        <f t="shared" si="80"/>
        <v>0</v>
      </c>
      <c r="CR176" s="356">
        <f t="shared" si="81"/>
        <v>0</v>
      </c>
      <c r="CS176" s="357">
        <f t="shared" si="81"/>
        <v>0</v>
      </c>
      <c r="CT176" s="332">
        <f t="shared" si="81"/>
        <v>0</v>
      </c>
      <c r="CU176" s="358">
        <f t="shared" si="81"/>
        <v>0</v>
      </c>
      <c r="CV176" s="57" t="s">
        <v>38</v>
      </c>
    </row>
    <row r="177" spans="1:101" ht="15" customHeight="1" outlineLevel="2">
      <c r="A177" s="276" t="s">
        <v>196</v>
      </c>
      <c r="B177" s="277" t="str">
        <f t="shared" si="76"/>
        <v>PACK SURABAYAPACKAGECIPTA MORTAR UTAMA</v>
      </c>
      <c r="C177" s="276" t="s">
        <v>36</v>
      </c>
      <c r="E177" s="288" t="s">
        <v>197</v>
      </c>
      <c r="F177" s="303"/>
      <c r="G177" s="64">
        <v>590865500</v>
      </c>
      <c r="H177" s="81"/>
      <c r="I177" s="81"/>
      <c r="J177" s="81"/>
      <c r="K177" s="81"/>
      <c r="L177" s="81"/>
      <c r="M177" s="81"/>
      <c r="N177" s="81"/>
      <c r="O177" s="81"/>
      <c r="P177" s="81">
        <v>0</v>
      </c>
      <c r="Q177" s="81"/>
      <c r="R177" s="81"/>
      <c r="S177" s="81"/>
      <c r="T177" s="65">
        <v>0</v>
      </c>
      <c r="U177" s="65">
        <v>0</v>
      </c>
      <c r="V177" s="65">
        <v>0</v>
      </c>
      <c r="W177" s="66">
        <f t="shared" si="77"/>
        <v>0</v>
      </c>
      <c r="X177" s="78"/>
      <c r="Y177" s="82"/>
      <c r="Z177" s="82"/>
      <c r="AA177" s="82"/>
      <c r="AB177" s="82"/>
      <c r="AC177" s="82"/>
      <c r="AD177" s="82"/>
      <c r="AE177" s="82"/>
      <c r="AF177" s="82"/>
      <c r="AG177" s="82"/>
      <c r="AH177" s="82"/>
      <c r="AI177" s="82"/>
      <c r="AJ177" s="82"/>
      <c r="AK177" s="61">
        <v>0</v>
      </c>
      <c r="AL177" s="55"/>
      <c r="AM177" s="82"/>
      <c r="AN177" s="82"/>
      <c r="AO177" s="82"/>
      <c r="AP177" s="82"/>
      <c r="AQ177" s="82"/>
      <c r="AR177" s="82"/>
      <c r="AS177" s="82"/>
      <c r="AT177" s="82"/>
      <c r="AU177" s="82"/>
      <c r="AV177" s="82"/>
      <c r="AW177" s="82"/>
      <c r="AX177" s="82"/>
      <c r="AY177" s="122">
        <v>0</v>
      </c>
      <c r="AZ177" s="78"/>
      <c r="BA177" s="639">
        <v>0</v>
      </c>
      <c r="BB177" s="639">
        <v>0</v>
      </c>
      <c r="BC177" s="86"/>
      <c r="BD177" s="639">
        <v>0</v>
      </c>
      <c r="BE177" s="86"/>
      <c r="BF177" s="639">
        <v>0</v>
      </c>
      <c r="BG177" s="86"/>
      <c r="BH177" s="639"/>
      <c r="BI177" s="86"/>
      <c r="BJ177" s="639"/>
      <c r="BK177" s="86"/>
      <c r="BL177" s="639"/>
      <c r="BM177" s="86"/>
      <c r="BN177" s="695">
        <v>0</v>
      </c>
      <c r="BO177" s="696"/>
      <c r="BP177" s="695"/>
      <c r="BQ177" s="696"/>
      <c r="BR177" s="729"/>
      <c r="BS177" s="695"/>
      <c r="BT177" s="696"/>
      <c r="BU177" s="729"/>
      <c r="BV177" s="695"/>
      <c r="BW177" s="696"/>
      <c r="BX177" s="729"/>
      <c r="BY177" s="695"/>
      <c r="BZ177" s="696"/>
      <c r="CA177" s="729"/>
      <c r="CB177" s="720">
        <f t="shared" si="78"/>
        <v>0</v>
      </c>
      <c r="CC177" s="721">
        <f t="shared" si="79"/>
        <v>0</v>
      </c>
      <c r="CD177" s="738"/>
      <c r="CE177" s="322"/>
      <c r="CF177" s="322"/>
      <c r="CG177" s="322"/>
      <c r="CH177" s="322"/>
      <c r="CI177" s="322"/>
      <c r="CJ177" s="322"/>
      <c r="CK177" s="322"/>
      <c r="CL177" s="322"/>
      <c r="CM177" s="322"/>
      <c r="CN177" s="322"/>
      <c r="CO177" s="322"/>
      <c r="CP177" s="322"/>
      <c r="CQ177" s="355">
        <f t="shared" si="80"/>
        <v>0</v>
      </c>
      <c r="CR177" s="356"/>
      <c r="CS177" s="357"/>
      <c r="CT177" s="332"/>
      <c r="CU177" s="358"/>
      <c r="CV177" s="57" t="s">
        <v>38</v>
      </c>
    </row>
    <row r="178" spans="1:101" ht="15" customHeight="1" outlineLevel="2">
      <c r="A178" s="276" t="s">
        <v>196</v>
      </c>
      <c r="B178" s="277" t="str">
        <f t="shared" si="76"/>
        <v>PACK SURABAYAPACKAGEDUNIA KIMIA JAYA</v>
      </c>
      <c r="C178" s="276" t="s">
        <v>36</v>
      </c>
      <c r="D178" s="276" t="s">
        <v>40</v>
      </c>
      <c r="E178" s="288" t="s">
        <v>66</v>
      </c>
      <c r="F178" s="303">
        <v>8000000015</v>
      </c>
      <c r="G178" s="64">
        <v>4750000</v>
      </c>
      <c r="H178" s="65">
        <v>100000</v>
      </c>
      <c r="I178" s="65">
        <v>650000</v>
      </c>
      <c r="J178" s="65">
        <v>700000</v>
      </c>
      <c r="K178" s="65">
        <v>350000</v>
      </c>
      <c r="L178" s="65">
        <v>300000</v>
      </c>
      <c r="M178" s="65">
        <v>750000</v>
      </c>
      <c r="N178" s="65">
        <v>500000</v>
      </c>
      <c r="O178" s="65">
        <v>375000</v>
      </c>
      <c r="P178" s="81">
        <v>1100000</v>
      </c>
      <c r="Q178" s="81">
        <v>600000</v>
      </c>
      <c r="R178" s="81">
        <v>900000</v>
      </c>
      <c r="S178" s="81">
        <v>0</v>
      </c>
      <c r="T178" s="65">
        <v>500000</v>
      </c>
      <c r="U178" s="65">
        <v>500000</v>
      </c>
      <c r="V178" s="65">
        <v>500000</v>
      </c>
      <c r="W178" s="66">
        <f t="shared" si="77"/>
        <v>6325000</v>
      </c>
      <c r="X178" s="55"/>
      <c r="Y178" s="67">
        <v>500000</v>
      </c>
      <c r="Z178" s="67">
        <v>500000</v>
      </c>
      <c r="AA178" s="67">
        <v>500000</v>
      </c>
      <c r="AB178" s="67">
        <v>500000</v>
      </c>
      <c r="AC178" s="67">
        <v>500000</v>
      </c>
      <c r="AD178" s="67">
        <v>500000</v>
      </c>
      <c r="AE178" s="67">
        <v>500000</v>
      </c>
      <c r="AF178" s="67">
        <v>500000</v>
      </c>
      <c r="AG178" s="67">
        <v>500000</v>
      </c>
      <c r="AH178" s="67">
        <v>500000</v>
      </c>
      <c r="AI178" s="67">
        <v>500000</v>
      </c>
      <c r="AJ178" s="67">
        <v>500000</v>
      </c>
      <c r="AK178" s="61">
        <v>6000000</v>
      </c>
      <c r="AL178" s="55"/>
      <c r="AM178" s="67">
        <v>500000</v>
      </c>
      <c r="AN178" s="67">
        <v>500000</v>
      </c>
      <c r="AO178" s="67">
        <v>500000</v>
      </c>
      <c r="AP178" s="67">
        <v>500000</v>
      </c>
      <c r="AQ178" s="67">
        <v>500000</v>
      </c>
      <c r="AR178" s="67">
        <v>500000</v>
      </c>
      <c r="AS178" s="67">
        <v>500000</v>
      </c>
      <c r="AT178" s="67">
        <v>500000</v>
      </c>
      <c r="AU178" s="67">
        <v>500000</v>
      </c>
      <c r="AV178" s="67">
        <v>500000</v>
      </c>
      <c r="AW178" s="67">
        <v>500000</v>
      </c>
      <c r="AX178" s="67">
        <v>500000</v>
      </c>
      <c r="AY178" s="122">
        <v>6000000</v>
      </c>
      <c r="AZ178" s="55"/>
      <c r="BA178" s="639">
        <v>0</v>
      </c>
      <c r="BB178" s="639">
        <v>1100000</v>
      </c>
      <c r="BC178" s="86"/>
      <c r="BD178" s="639">
        <v>1800000</v>
      </c>
      <c r="BE178" s="86"/>
      <c r="BF178" s="639">
        <v>250000</v>
      </c>
      <c r="BG178" s="86"/>
      <c r="BH178" s="639"/>
      <c r="BI178" s="86"/>
      <c r="BJ178" s="639">
        <v>830000</v>
      </c>
      <c r="BK178" s="86"/>
      <c r="BL178" s="639">
        <v>734750</v>
      </c>
      <c r="BM178" s="86"/>
      <c r="BN178" s="695">
        <v>720000</v>
      </c>
      <c r="BO178" s="696"/>
      <c r="BP178" s="695"/>
      <c r="BQ178" s="696"/>
      <c r="BR178" s="729">
        <v>700000</v>
      </c>
      <c r="BS178" s="695"/>
      <c r="BT178" s="696"/>
      <c r="BU178" s="729">
        <v>700000</v>
      </c>
      <c r="BV178" s="695"/>
      <c r="BW178" s="696"/>
      <c r="BX178" s="729">
        <v>700000</v>
      </c>
      <c r="BY178" s="695"/>
      <c r="BZ178" s="696"/>
      <c r="CA178" s="729">
        <v>700000</v>
      </c>
      <c r="CB178" s="720">
        <f t="shared" si="78"/>
        <v>8234750</v>
      </c>
      <c r="CC178" s="721">
        <f t="shared" si="79"/>
        <v>8234750</v>
      </c>
      <c r="CD178" s="738"/>
      <c r="CE178" s="322">
        <v>700000</v>
      </c>
      <c r="CF178" s="322">
        <v>700000</v>
      </c>
      <c r="CG178" s="322">
        <v>700000</v>
      </c>
      <c r="CH178" s="322">
        <v>700000</v>
      </c>
      <c r="CI178" s="322">
        <v>700000</v>
      </c>
      <c r="CJ178" s="322">
        <v>700000</v>
      </c>
      <c r="CK178" s="322">
        <v>700000</v>
      </c>
      <c r="CL178" s="322">
        <v>700000</v>
      </c>
      <c r="CM178" s="322">
        <v>700000</v>
      </c>
      <c r="CN178" s="322">
        <v>700000</v>
      </c>
      <c r="CO178" s="322">
        <v>700000</v>
      </c>
      <c r="CP178" s="322">
        <v>700000</v>
      </c>
      <c r="CQ178" s="355">
        <f t="shared" si="80"/>
        <v>8400000</v>
      </c>
      <c r="CR178" s="356">
        <f t="shared" ref="CR178:CR184" si="82">CQ178*1.17</f>
        <v>9828000</v>
      </c>
      <c r="CS178" s="357">
        <f>CR178*1.08</f>
        <v>10614240</v>
      </c>
      <c r="CT178" s="332">
        <f t="shared" ref="CT178:CU182" si="83">CS178*1.09</f>
        <v>11569521.600000001</v>
      </c>
      <c r="CU178" s="358">
        <f t="shared" si="83"/>
        <v>12610778.544000002</v>
      </c>
      <c r="CV178" s="57" t="s">
        <v>38</v>
      </c>
    </row>
    <row r="179" spans="1:101" ht="15" customHeight="1" outlineLevel="2">
      <c r="A179" s="276" t="s">
        <v>194</v>
      </c>
      <c r="B179" s="277" t="str">
        <f t="shared" si="76"/>
        <v>PACK SURABAYAPACKAGEECCO INDONESIA</v>
      </c>
      <c r="C179" s="276" t="s">
        <v>36</v>
      </c>
      <c r="D179" s="276" t="s">
        <v>40</v>
      </c>
      <c r="E179" s="288" t="s">
        <v>198</v>
      </c>
      <c r="F179" s="303">
        <v>3000009088</v>
      </c>
      <c r="G179" s="64">
        <v>21279665360</v>
      </c>
      <c r="H179" s="65">
        <v>1738436164</v>
      </c>
      <c r="I179" s="65">
        <v>1619240212</v>
      </c>
      <c r="J179" s="65">
        <v>1011303265</v>
      </c>
      <c r="K179" s="65">
        <v>1175550186</v>
      </c>
      <c r="L179" s="65">
        <v>846774483</v>
      </c>
      <c r="M179" s="65">
        <v>830459250</v>
      </c>
      <c r="N179" s="65">
        <v>1057380540</v>
      </c>
      <c r="O179" s="65">
        <v>993065226</v>
      </c>
      <c r="P179" s="81">
        <v>996753740</v>
      </c>
      <c r="Q179" s="81">
        <v>820280622</v>
      </c>
      <c r="R179" s="81">
        <v>1352864020</v>
      </c>
      <c r="S179" s="81">
        <v>903930216</v>
      </c>
      <c r="T179" s="65">
        <v>1057380540</v>
      </c>
      <c r="U179" s="65">
        <v>1057380540</v>
      </c>
      <c r="V179" s="65">
        <v>1057380540</v>
      </c>
      <c r="W179" s="66">
        <f t="shared" si="77"/>
        <v>13346037924</v>
      </c>
      <c r="X179" s="55"/>
      <c r="Y179" s="67">
        <v>0</v>
      </c>
      <c r="Z179" s="67">
        <v>0</v>
      </c>
      <c r="AA179" s="67">
        <v>0</v>
      </c>
      <c r="AB179" s="67">
        <v>0</v>
      </c>
      <c r="AC179" s="67">
        <v>0</v>
      </c>
      <c r="AD179" s="67">
        <v>0</v>
      </c>
      <c r="AE179" s="67">
        <v>0</v>
      </c>
      <c r="AF179" s="67">
        <v>0</v>
      </c>
      <c r="AG179" s="67">
        <v>0</v>
      </c>
      <c r="AH179" s="67">
        <v>0</v>
      </c>
      <c r="AI179" s="67">
        <v>0</v>
      </c>
      <c r="AJ179" s="67">
        <v>0</v>
      </c>
      <c r="AK179" s="61">
        <v>0</v>
      </c>
      <c r="AL179" s="55"/>
      <c r="AM179" s="67">
        <v>0</v>
      </c>
      <c r="AN179" s="67">
        <v>0</v>
      </c>
      <c r="AO179" s="67">
        <v>0</v>
      </c>
      <c r="AP179" s="67">
        <v>0</v>
      </c>
      <c r="AQ179" s="67">
        <v>0</v>
      </c>
      <c r="AR179" s="67">
        <v>0</v>
      </c>
      <c r="AS179" s="67">
        <v>0</v>
      </c>
      <c r="AT179" s="67">
        <v>0</v>
      </c>
      <c r="AU179" s="67">
        <v>0</v>
      </c>
      <c r="AV179" s="67">
        <v>0</v>
      </c>
      <c r="AW179" s="67">
        <v>0</v>
      </c>
      <c r="AX179" s="67">
        <v>0</v>
      </c>
      <c r="AY179" s="122">
        <v>0</v>
      </c>
      <c r="AZ179" s="55"/>
      <c r="BA179" s="639">
        <v>270490830</v>
      </c>
      <c r="BB179" s="639">
        <v>0</v>
      </c>
      <c r="BC179" s="86"/>
      <c r="BD179" s="639">
        <v>0</v>
      </c>
      <c r="BE179" s="86"/>
      <c r="BF179" s="639"/>
      <c r="BG179" s="86"/>
      <c r="BH179" s="639"/>
      <c r="BI179" s="86"/>
      <c r="BJ179" s="639">
        <v>0</v>
      </c>
      <c r="BK179" s="86"/>
      <c r="BL179" s="639"/>
      <c r="BM179" s="86"/>
      <c r="BN179" s="695">
        <v>0</v>
      </c>
      <c r="BO179" s="696"/>
      <c r="BP179" s="695"/>
      <c r="BQ179" s="696"/>
      <c r="BR179" s="729"/>
      <c r="BS179" s="695"/>
      <c r="BT179" s="696"/>
      <c r="BU179" s="729"/>
      <c r="BV179" s="695"/>
      <c r="BW179" s="696"/>
      <c r="BX179" s="729"/>
      <c r="BY179" s="695"/>
      <c r="BZ179" s="696"/>
      <c r="CA179" s="729"/>
      <c r="CB179" s="720">
        <f t="shared" si="78"/>
        <v>270490830</v>
      </c>
      <c r="CC179" s="721">
        <f t="shared" si="79"/>
        <v>270490830</v>
      </c>
      <c r="CD179" s="738"/>
      <c r="CE179" s="322"/>
      <c r="CF179" s="322"/>
      <c r="CG179" s="322"/>
      <c r="CH179" s="322"/>
      <c r="CI179" s="322"/>
      <c r="CJ179" s="322"/>
      <c r="CK179" s="322"/>
      <c r="CL179" s="322"/>
      <c r="CM179" s="322"/>
      <c r="CN179" s="322"/>
      <c r="CO179" s="322"/>
      <c r="CP179" s="322"/>
      <c r="CQ179" s="355">
        <f t="shared" si="80"/>
        <v>0</v>
      </c>
      <c r="CR179" s="356">
        <f t="shared" si="82"/>
        <v>0</v>
      </c>
      <c r="CS179" s="357">
        <f>CR179*1.08</f>
        <v>0</v>
      </c>
      <c r="CT179" s="332">
        <f t="shared" si="83"/>
        <v>0</v>
      </c>
      <c r="CU179" s="358">
        <f t="shared" si="83"/>
        <v>0</v>
      </c>
      <c r="CV179" s="57" t="s">
        <v>38</v>
      </c>
    </row>
    <row r="180" spans="1:101" ht="15" customHeight="1" outlineLevel="2">
      <c r="A180" s="276" t="s">
        <v>194</v>
      </c>
      <c r="B180" s="277" t="str">
        <f t="shared" si="76"/>
        <v>PACK SURABAYAPACKAGEECCO TANNERY INDONESIA</v>
      </c>
      <c r="C180" s="276" t="s">
        <v>36</v>
      </c>
      <c r="D180" s="276" t="s">
        <v>40</v>
      </c>
      <c r="E180" s="288" t="s">
        <v>199</v>
      </c>
      <c r="F180" s="303">
        <v>3000001618</v>
      </c>
      <c r="G180" s="64">
        <v>1099287500</v>
      </c>
      <c r="H180" s="65">
        <v>72750000</v>
      </c>
      <c r="I180" s="65">
        <v>72750000</v>
      </c>
      <c r="J180" s="65">
        <v>72750000</v>
      </c>
      <c r="K180" s="65">
        <v>75050000</v>
      </c>
      <c r="L180" s="65">
        <v>74403000</v>
      </c>
      <c r="M180" s="65">
        <v>74250000</v>
      </c>
      <c r="N180" s="65">
        <v>74360000</v>
      </c>
      <c r="O180" s="65">
        <v>74250000</v>
      </c>
      <c r="P180" s="81">
        <v>74460000</v>
      </c>
      <c r="Q180" s="81">
        <v>74370000</v>
      </c>
      <c r="R180" s="81">
        <v>74340000</v>
      </c>
      <c r="S180" s="81">
        <v>75850000</v>
      </c>
      <c r="T180" s="65">
        <v>74360000</v>
      </c>
      <c r="U180" s="65">
        <v>74360000</v>
      </c>
      <c r="V180" s="65">
        <v>74360000</v>
      </c>
      <c r="W180" s="66">
        <f t="shared" si="77"/>
        <v>889583000</v>
      </c>
      <c r="X180" s="55"/>
      <c r="Y180" s="88">
        <v>80000000</v>
      </c>
      <c r="Z180" s="88">
        <v>80000000</v>
      </c>
      <c r="AA180" s="88">
        <v>80000000</v>
      </c>
      <c r="AB180" s="88">
        <v>80000000</v>
      </c>
      <c r="AC180" s="88">
        <v>80000000</v>
      </c>
      <c r="AD180" s="88">
        <v>80000000</v>
      </c>
      <c r="AE180" s="88">
        <v>80000000</v>
      </c>
      <c r="AF180" s="88">
        <v>80000000</v>
      </c>
      <c r="AG180" s="88">
        <v>80000000</v>
      </c>
      <c r="AH180" s="88">
        <v>80000000</v>
      </c>
      <c r="AI180" s="88">
        <v>80000000</v>
      </c>
      <c r="AJ180" s="88">
        <v>80000000</v>
      </c>
      <c r="AK180" s="61">
        <v>960000000</v>
      </c>
      <c r="AL180" s="55"/>
      <c r="AM180" s="88">
        <v>80000000</v>
      </c>
      <c r="AN180" s="88">
        <v>80000000</v>
      </c>
      <c r="AO180" s="88">
        <v>80000000</v>
      </c>
      <c r="AP180" s="88">
        <v>80000000</v>
      </c>
      <c r="AQ180" s="88">
        <v>80000000</v>
      </c>
      <c r="AR180" s="88">
        <v>80000000</v>
      </c>
      <c r="AS180" s="88">
        <v>80000000</v>
      </c>
      <c r="AT180" s="88">
        <v>80000000</v>
      </c>
      <c r="AU180" s="88">
        <v>80000000</v>
      </c>
      <c r="AV180" s="88">
        <v>80000000</v>
      </c>
      <c r="AW180" s="88">
        <v>80000000</v>
      </c>
      <c r="AX180" s="88">
        <v>80000000</v>
      </c>
      <c r="AY180" s="122">
        <v>960000000</v>
      </c>
      <c r="AZ180" s="55"/>
      <c r="BA180" s="639">
        <v>75850000</v>
      </c>
      <c r="BB180" s="639">
        <v>75850000</v>
      </c>
      <c r="BC180" s="86">
        <v>75850000</v>
      </c>
      <c r="BD180" s="639">
        <v>76569000</v>
      </c>
      <c r="BE180" s="86">
        <v>75850000</v>
      </c>
      <c r="BF180" s="639">
        <v>77791500</v>
      </c>
      <c r="BG180" s="86">
        <v>80000000</v>
      </c>
      <c r="BH180" s="639">
        <v>86669500</v>
      </c>
      <c r="BI180" s="86">
        <v>80000000</v>
      </c>
      <c r="BJ180" s="639">
        <v>101595250</v>
      </c>
      <c r="BK180" s="86">
        <v>80000000</v>
      </c>
      <c r="BL180" s="639">
        <v>118811250</v>
      </c>
      <c r="BM180" s="86">
        <v>80000000</v>
      </c>
      <c r="BN180" s="695">
        <v>112566500</v>
      </c>
      <c r="BO180" s="696">
        <v>80000000</v>
      </c>
      <c r="BP180" s="695"/>
      <c r="BQ180" s="696">
        <v>80000000</v>
      </c>
      <c r="BR180" s="729">
        <v>80000000</v>
      </c>
      <c r="BS180" s="695"/>
      <c r="BT180" s="696">
        <v>80000000</v>
      </c>
      <c r="BU180" s="729">
        <v>80000000</v>
      </c>
      <c r="BV180" s="695"/>
      <c r="BW180" s="696">
        <v>80000000</v>
      </c>
      <c r="BX180" s="729">
        <v>80000000</v>
      </c>
      <c r="BY180" s="695"/>
      <c r="BZ180" s="696">
        <v>80000000</v>
      </c>
      <c r="CA180" s="729">
        <v>80000000</v>
      </c>
      <c r="CB180" s="720">
        <f t="shared" si="78"/>
        <v>1045703000</v>
      </c>
      <c r="CC180" s="721">
        <f t="shared" si="79"/>
        <v>1045703000</v>
      </c>
      <c r="CD180" s="738"/>
      <c r="CE180" s="322">
        <v>184000000</v>
      </c>
      <c r="CF180" s="322">
        <v>184000000</v>
      </c>
      <c r="CG180" s="322">
        <v>184000000</v>
      </c>
      <c r="CH180" s="322">
        <v>184000000</v>
      </c>
      <c r="CI180" s="322">
        <v>184000000</v>
      </c>
      <c r="CJ180" s="322">
        <v>184000000</v>
      </c>
      <c r="CK180" s="322">
        <v>184000000</v>
      </c>
      <c r="CL180" s="322">
        <v>184000000</v>
      </c>
      <c r="CM180" s="322">
        <v>184000000</v>
      </c>
      <c r="CN180" s="322">
        <v>184000000</v>
      </c>
      <c r="CO180" s="322">
        <v>184000000</v>
      </c>
      <c r="CP180" s="322">
        <v>184000000</v>
      </c>
      <c r="CQ180" s="355">
        <f t="shared" si="80"/>
        <v>2208000000</v>
      </c>
      <c r="CR180" s="356">
        <f t="shared" si="82"/>
        <v>2583360000</v>
      </c>
      <c r="CS180" s="357">
        <f>CR180*1.08</f>
        <v>2790028800</v>
      </c>
      <c r="CT180" s="332">
        <f t="shared" si="83"/>
        <v>3041131392</v>
      </c>
      <c r="CU180" s="358">
        <f t="shared" si="83"/>
        <v>3314833217.2800002</v>
      </c>
      <c r="CV180" s="57" t="s">
        <v>38</v>
      </c>
    </row>
    <row r="181" spans="1:101" ht="15" customHeight="1" outlineLevel="2">
      <c r="A181" s="276" t="s">
        <v>194</v>
      </c>
      <c r="B181" s="277" t="str">
        <f t="shared" si="76"/>
        <v>PACK SURABAYAPACKAGEILC LOGISTICS INDONESIA</v>
      </c>
      <c r="C181" s="276" t="s">
        <v>36</v>
      </c>
      <c r="D181" s="276" t="s">
        <v>40</v>
      </c>
      <c r="E181" s="288" t="s">
        <v>200</v>
      </c>
      <c r="F181" s="303">
        <v>3000008124</v>
      </c>
      <c r="G181" s="64">
        <v>4779803332</v>
      </c>
      <c r="H181" s="65">
        <v>430911081</v>
      </c>
      <c r="I181" s="65">
        <v>431079764</v>
      </c>
      <c r="J181" s="65">
        <v>416108704</v>
      </c>
      <c r="K181" s="65">
        <v>447956760</v>
      </c>
      <c r="L181" s="65">
        <v>437507537</v>
      </c>
      <c r="M181" s="65">
        <v>448911929</v>
      </c>
      <c r="N181" s="65">
        <v>414500907</v>
      </c>
      <c r="O181" s="65">
        <v>415839572</v>
      </c>
      <c r="P181" s="81">
        <v>421374429</v>
      </c>
      <c r="Q181" s="81">
        <v>412356664</v>
      </c>
      <c r="R181" s="81">
        <v>426591379</v>
      </c>
      <c r="S181" s="81">
        <v>419985381</v>
      </c>
      <c r="T181" s="65">
        <v>414500907</v>
      </c>
      <c r="U181" s="65">
        <v>414500907</v>
      </c>
      <c r="V181" s="65">
        <v>414500907</v>
      </c>
      <c r="W181" s="66">
        <f t="shared" si="77"/>
        <v>5123124107</v>
      </c>
      <c r="X181" s="55"/>
      <c r="Y181" s="67">
        <f>V181*1.05</f>
        <v>435225952.35000002</v>
      </c>
      <c r="Z181" s="67">
        <v>435225952.35000002</v>
      </c>
      <c r="AA181" s="67">
        <v>435225952.35000002</v>
      </c>
      <c r="AB181" s="67">
        <v>435225952.35000002</v>
      </c>
      <c r="AC181" s="67">
        <v>435225952.35000002</v>
      </c>
      <c r="AD181" s="67">
        <v>435225952.35000002</v>
      </c>
      <c r="AE181" s="67">
        <v>435225952.35000002</v>
      </c>
      <c r="AF181" s="67">
        <v>435225952.35000002</v>
      </c>
      <c r="AG181" s="67">
        <v>435225952.35000002</v>
      </c>
      <c r="AH181" s="67">
        <v>435225952.35000002</v>
      </c>
      <c r="AI181" s="67">
        <v>435225952.35000002</v>
      </c>
      <c r="AJ181" s="67">
        <v>435225952.35000002</v>
      </c>
      <c r="AK181" s="61">
        <v>5222711428.2000008</v>
      </c>
      <c r="AL181" s="55"/>
      <c r="AM181" s="67">
        <v>435225952.35000002</v>
      </c>
      <c r="AN181" s="67">
        <v>435225952.35000002</v>
      </c>
      <c r="AO181" s="67">
        <v>435225952.35000002</v>
      </c>
      <c r="AP181" s="67">
        <v>435225952.35000002</v>
      </c>
      <c r="AQ181" s="67">
        <v>435225952.35000002</v>
      </c>
      <c r="AR181" s="67">
        <v>435225952.35000002</v>
      </c>
      <c r="AS181" s="67">
        <v>435225952.35000002</v>
      </c>
      <c r="AT181" s="67">
        <v>435225952.35000002</v>
      </c>
      <c r="AU181" s="67">
        <v>435225952.35000002</v>
      </c>
      <c r="AV181" s="67">
        <v>435225952.35000002</v>
      </c>
      <c r="AW181" s="67">
        <v>435225952.35000002</v>
      </c>
      <c r="AX181" s="67">
        <v>435225952.35000002</v>
      </c>
      <c r="AY181" s="122">
        <v>5222711428.2000008</v>
      </c>
      <c r="AZ181" s="55"/>
      <c r="BA181" s="639">
        <v>438628820</v>
      </c>
      <c r="BB181" s="639">
        <v>439823420</v>
      </c>
      <c r="BC181" s="86">
        <v>438000000</v>
      </c>
      <c r="BD181" s="639">
        <v>448086589</v>
      </c>
      <c r="BE181" s="86">
        <v>438000000</v>
      </c>
      <c r="BF181" s="639">
        <v>431154014</v>
      </c>
      <c r="BG181" s="86">
        <v>438000000</v>
      </c>
      <c r="BH181" s="639">
        <v>441769125</v>
      </c>
      <c r="BI181" s="86">
        <v>438000000</v>
      </c>
      <c r="BJ181" s="639">
        <v>447329856</v>
      </c>
      <c r="BK181" s="86">
        <v>438000000</v>
      </c>
      <c r="BL181" s="639">
        <v>419296011</v>
      </c>
      <c r="BM181" s="86">
        <v>438000000</v>
      </c>
      <c r="BN181" s="695">
        <v>429811685</v>
      </c>
      <c r="BO181" s="696">
        <v>438000000</v>
      </c>
      <c r="BP181" s="695"/>
      <c r="BQ181" s="696">
        <v>438000000</v>
      </c>
      <c r="BR181" s="729">
        <v>450000000</v>
      </c>
      <c r="BS181" s="695"/>
      <c r="BT181" s="696">
        <v>438000000</v>
      </c>
      <c r="BU181" s="729">
        <v>475000000</v>
      </c>
      <c r="BV181" s="695"/>
      <c r="BW181" s="696">
        <v>438000000</v>
      </c>
      <c r="BX181" s="729">
        <v>500000000</v>
      </c>
      <c r="BY181" s="695"/>
      <c r="BZ181" s="696">
        <v>438000000</v>
      </c>
      <c r="CA181" s="729">
        <v>525000000</v>
      </c>
      <c r="CB181" s="720">
        <f t="shared" si="78"/>
        <v>5445899520</v>
      </c>
      <c r="CC181" s="721">
        <f t="shared" si="79"/>
        <v>5445899520</v>
      </c>
      <c r="CD181" s="738"/>
      <c r="CE181" s="322">
        <v>450000000</v>
      </c>
      <c r="CF181" s="322">
        <v>450000000</v>
      </c>
      <c r="CG181" s="322">
        <v>450000000</v>
      </c>
      <c r="CH181" s="322">
        <v>450000000</v>
      </c>
      <c r="CI181" s="322">
        <v>450000000</v>
      </c>
      <c r="CJ181" s="322">
        <v>450000000</v>
      </c>
      <c r="CK181" s="322">
        <v>450000000</v>
      </c>
      <c r="CL181" s="322">
        <v>450000000</v>
      </c>
      <c r="CM181" s="322">
        <v>450000000</v>
      </c>
      <c r="CN181" s="322">
        <v>450000000</v>
      </c>
      <c r="CO181" s="322">
        <v>450000000</v>
      </c>
      <c r="CP181" s="322">
        <v>450000000</v>
      </c>
      <c r="CQ181" s="355">
        <f t="shared" si="80"/>
        <v>5400000000</v>
      </c>
      <c r="CR181" s="356">
        <f t="shared" si="82"/>
        <v>6318000000</v>
      </c>
      <c r="CS181" s="357">
        <f>CR181*1.08</f>
        <v>6823440000</v>
      </c>
      <c r="CT181" s="332">
        <f t="shared" si="83"/>
        <v>7437549600.000001</v>
      </c>
      <c r="CU181" s="358">
        <f t="shared" si="83"/>
        <v>8106929064.0000019</v>
      </c>
      <c r="CV181" s="57" t="s">
        <v>38</v>
      </c>
    </row>
    <row r="182" spans="1:101" ht="15" customHeight="1" outlineLevel="2">
      <c r="A182" s="276" t="s">
        <v>194</v>
      </c>
      <c r="B182" s="277" t="str">
        <f t="shared" si="76"/>
        <v>PACK SURABAYAPACKAGELAM SENG HANG RESIN</v>
      </c>
      <c r="C182" s="276" t="s">
        <v>36</v>
      </c>
      <c r="D182" s="276" t="s">
        <v>40</v>
      </c>
      <c r="E182" s="288" t="s">
        <v>82</v>
      </c>
      <c r="F182" s="303">
        <v>3000013377</v>
      </c>
      <c r="G182" s="64">
        <v>416652014</v>
      </c>
      <c r="H182" s="65">
        <v>151692810</v>
      </c>
      <c r="I182" s="65">
        <v>120468510</v>
      </c>
      <c r="J182" s="65">
        <v>112562000</v>
      </c>
      <c r="K182" s="65">
        <v>72452000</v>
      </c>
      <c r="L182" s="65">
        <v>68634000</v>
      </c>
      <c r="M182" s="65">
        <v>73061720</v>
      </c>
      <c r="N182" s="65">
        <v>73161400</v>
      </c>
      <c r="O182" s="65">
        <v>65853500</v>
      </c>
      <c r="P182" s="81">
        <v>69422500</v>
      </c>
      <c r="Q182" s="81">
        <v>59986977</v>
      </c>
      <c r="R182" s="81">
        <v>66256122</v>
      </c>
      <c r="S182" s="81">
        <v>60747195</v>
      </c>
      <c r="T182" s="65">
        <v>73161400</v>
      </c>
      <c r="U182" s="65">
        <v>73161400</v>
      </c>
      <c r="V182" s="65">
        <v>73161400</v>
      </c>
      <c r="W182" s="66">
        <f t="shared" si="77"/>
        <v>994298734</v>
      </c>
      <c r="X182" s="55"/>
      <c r="Y182" s="88">
        <v>100000000</v>
      </c>
      <c r="Z182" s="88">
        <v>100000000</v>
      </c>
      <c r="AA182" s="88">
        <v>100000000</v>
      </c>
      <c r="AB182" s="88">
        <v>150000000</v>
      </c>
      <c r="AC182" s="88">
        <v>150000000</v>
      </c>
      <c r="AD182" s="88">
        <v>150000000</v>
      </c>
      <c r="AE182" s="88">
        <v>150000000</v>
      </c>
      <c r="AF182" s="88">
        <v>150000000</v>
      </c>
      <c r="AG182" s="88">
        <v>150000000</v>
      </c>
      <c r="AH182" s="88">
        <v>150000000</v>
      </c>
      <c r="AI182" s="88">
        <v>150000000</v>
      </c>
      <c r="AJ182" s="88">
        <v>150000000</v>
      </c>
      <c r="AK182" s="61">
        <v>1650000000</v>
      </c>
      <c r="AL182" s="55"/>
      <c r="AM182" s="88">
        <v>100000000</v>
      </c>
      <c r="AN182" s="88">
        <v>100000000</v>
      </c>
      <c r="AO182" s="88">
        <v>100000000</v>
      </c>
      <c r="AP182" s="88">
        <v>150000000</v>
      </c>
      <c r="AQ182" s="88">
        <v>150000000</v>
      </c>
      <c r="AR182" s="88">
        <v>150000000</v>
      </c>
      <c r="AS182" s="88">
        <v>150000000</v>
      </c>
      <c r="AT182" s="88">
        <v>150000000</v>
      </c>
      <c r="AU182" s="88">
        <v>150000000</v>
      </c>
      <c r="AV182" s="88">
        <v>150000000</v>
      </c>
      <c r="AW182" s="88">
        <v>150000000</v>
      </c>
      <c r="AX182" s="88">
        <v>150000000</v>
      </c>
      <c r="AY182" s="122">
        <v>1650000000</v>
      </c>
      <c r="AZ182" s="55"/>
      <c r="BA182" s="639">
        <v>63569850</v>
      </c>
      <c r="BB182" s="639">
        <v>62828150</v>
      </c>
      <c r="BC182" s="86">
        <v>63500000</v>
      </c>
      <c r="BD182" s="639">
        <v>64524670</v>
      </c>
      <c r="BE182" s="86">
        <v>63500000</v>
      </c>
      <c r="BF182" s="639">
        <v>61054440</v>
      </c>
      <c r="BG182" s="86">
        <v>63500000</v>
      </c>
      <c r="BH182" s="639">
        <v>54275000</v>
      </c>
      <c r="BI182" s="86">
        <v>63500000</v>
      </c>
      <c r="BJ182" s="639">
        <v>54275000</v>
      </c>
      <c r="BK182" s="86">
        <v>63500000</v>
      </c>
      <c r="BL182" s="639"/>
      <c r="BM182" s="86">
        <v>63500000</v>
      </c>
      <c r="BN182" s="695">
        <v>0</v>
      </c>
      <c r="BO182" s="696">
        <v>63500000</v>
      </c>
      <c r="BP182" s="695"/>
      <c r="BQ182" s="696">
        <v>63500000</v>
      </c>
      <c r="BR182" s="729">
        <v>63500000</v>
      </c>
      <c r="BS182" s="695"/>
      <c r="BT182" s="696">
        <v>63500000</v>
      </c>
      <c r="BU182" s="729">
        <v>63500000</v>
      </c>
      <c r="BV182" s="695"/>
      <c r="BW182" s="696">
        <v>63500000</v>
      </c>
      <c r="BX182" s="729">
        <v>63500000</v>
      </c>
      <c r="BY182" s="695"/>
      <c r="BZ182" s="696">
        <v>63500000</v>
      </c>
      <c r="CA182" s="729">
        <v>63500000</v>
      </c>
      <c r="CB182" s="720">
        <f t="shared" si="78"/>
        <v>614527110</v>
      </c>
      <c r="CC182" s="721">
        <f t="shared" si="79"/>
        <v>614527110</v>
      </c>
      <c r="CD182" s="738"/>
      <c r="CE182" s="322"/>
      <c r="CF182" s="322"/>
      <c r="CG182" s="322"/>
      <c r="CH182" s="322"/>
      <c r="CI182" s="322"/>
      <c r="CJ182" s="322"/>
      <c r="CK182" s="322"/>
      <c r="CL182" s="322"/>
      <c r="CM182" s="322"/>
      <c r="CN182" s="322"/>
      <c r="CO182" s="322"/>
      <c r="CP182" s="322"/>
      <c r="CQ182" s="355">
        <f t="shared" si="80"/>
        <v>0</v>
      </c>
      <c r="CR182" s="356">
        <f t="shared" si="82"/>
        <v>0</v>
      </c>
      <c r="CS182" s="357">
        <f>CR182*1.08</f>
        <v>0</v>
      </c>
      <c r="CT182" s="332">
        <f t="shared" si="83"/>
        <v>0</v>
      </c>
      <c r="CU182" s="358">
        <f t="shared" si="83"/>
        <v>0</v>
      </c>
      <c r="CV182" s="57" t="s">
        <v>38</v>
      </c>
    </row>
    <row r="183" spans="1:101" ht="15" customHeight="1" outlineLevel="2">
      <c r="A183" s="276" t="s">
        <v>194</v>
      </c>
      <c r="B183" s="277" t="str">
        <f t="shared" si="76"/>
        <v>PACK SURABAYAPACKAGELAUTAN LUAS TBK</v>
      </c>
      <c r="C183" s="276" t="s">
        <v>36</v>
      </c>
      <c r="D183" s="276" t="s">
        <v>40</v>
      </c>
      <c r="E183" s="288" t="s">
        <v>83</v>
      </c>
      <c r="F183" s="303">
        <v>8000000010</v>
      </c>
      <c r="G183" s="64">
        <v>2532336164</v>
      </c>
      <c r="H183" s="65">
        <v>211288809</v>
      </c>
      <c r="I183" s="65">
        <v>210364190</v>
      </c>
      <c r="J183" s="65">
        <v>210542500</v>
      </c>
      <c r="K183" s="65">
        <v>223343582</v>
      </c>
      <c r="L183" s="65">
        <v>219093048</v>
      </c>
      <c r="M183" s="65">
        <v>213229050</v>
      </c>
      <c r="N183" s="65">
        <v>211858120</v>
      </c>
      <c r="O183" s="65">
        <v>292720042</v>
      </c>
      <c r="P183" s="81">
        <v>245657589</v>
      </c>
      <c r="Q183" s="81">
        <v>243147645</v>
      </c>
      <c r="R183" s="81">
        <v>243522906</v>
      </c>
      <c r="S183" s="81">
        <v>245672593</v>
      </c>
      <c r="T183" s="65">
        <v>211858120</v>
      </c>
      <c r="U183" s="65">
        <v>211858120</v>
      </c>
      <c r="V183" s="65">
        <v>211858120</v>
      </c>
      <c r="W183" s="66">
        <f t="shared" si="77"/>
        <v>2770440074</v>
      </c>
      <c r="X183" s="55"/>
      <c r="Y183" s="88">
        <f>V183*1.05</f>
        <v>222451026</v>
      </c>
      <c r="Z183" s="67">
        <v>222451026</v>
      </c>
      <c r="AA183" s="67">
        <v>222451026</v>
      </c>
      <c r="AB183" s="67">
        <v>222451026</v>
      </c>
      <c r="AC183" s="67">
        <v>222451026</v>
      </c>
      <c r="AD183" s="67">
        <v>222451026</v>
      </c>
      <c r="AE183" s="67">
        <v>222451026</v>
      </c>
      <c r="AF183" s="67">
        <v>222451026</v>
      </c>
      <c r="AG183" s="67">
        <v>222451026</v>
      </c>
      <c r="AH183" s="67">
        <v>222451026</v>
      </c>
      <c r="AI183" s="67">
        <v>222451026</v>
      </c>
      <c r="AJ183" s="67">
        <v>222451026</v>
      </c>
      <c r="AK183" s="61">
        <v>2669412312</v>
      </c>
      <c r="AL183" s="55"/>
      <c r="AM183" s="88">
        <v>222451026</v>
      </c>
      <c r="AN183" s="67">
        <v>222451026</v>
      </c>
      <c r="AO183" s="67">
        <v>222451026</v>
      </c>
      <c r="AP183" s="67">
        <v>222451026</v>
      </c>
      <c r="AQ183" s="67">
        <v>222451026</v>
      </c>
      <c r="AR183" s="67">
        <v>222451026</v>
      </c>
      <c r="AS183" s="67">
        <v>222451026</v>
      </c>
      <c r="AT183" s="67">
        <v>222451026</v>
      </c>
      <c r="AU183" s="67">
        <v>222451026</v>
      </c>
      <c r="AV183" s="67">
        <v>222451026</v>
      </c>
      <c r="AW183" s="67">
        <v>222451026</v>
      </c>
      <c r="AX183" s="67">
        <v>222451026</v>
      </c>
      <c r="AY183" s="122">
        <v>2669412312</v>
      </c>
      <c r="AZ183" s="55"/>
      <c r="BA183" s="639">
        <v>249569255</v>
      </c>
      <c r="BB183" s="639">
        <v>257788564</v>
      </c>
      <c r="BC183" s="86">
        <v>249569255</v>
      </c>
      <c r="BD183" s="639">
        <v>260347541</v>
      </c>
      <c r="BE183" s="86">
        <v>249569255</v>
      </c>
      <c r="BF183" s="639">
        <v>259711503</v>
      </c>
      <c r="BG183" s="86">
        <v>249569255</v>
      </c>
      <c r="BH183" s="639">
        <v>163901446</v>
      </c>
      <c r="BI183" s="86">
        <v>249569255</v>
      </c>
      <c r="BJ183" s="639">
        <v>183322850</v>
      </c>
      <c r="BK183" s="86">
        <v>249569255</v>
      </c>
      <c r="BL183" s="639">
        <v>185938433</v>
      </c>
      <c r="BM183" s="86">
        <v>212000000</v>
      </c>
      <c r="BN183" s="695">
        <v>183533210</v>
      </c>
      <c r="BO183" s="696">
        <v>212000000</v>
      </c>
      <c r="BP183" s="695"/>
      <c r="BQ183" s="696">
        <v>212000000</v>
      </c>
      <c r="BR183" s="729">
        <v>212000000</v>
      </c>
      <c r="BS183" s="695"/>
      <c r="BT183" s="696">
        <v>212000000</v>
      </c>
      <c r="BU183" s="729">
        <v>212000000</v>
      </c>
      <c r="BV183" s="695"/>
      <c r="BW183" s="696">
        <v>212000000</v>
      </c>
      <c r="BX183" s="729">
        <v>212000000</v>
      </c>
      <c r="BY183" s="695"/>
      <c r="BZ183" s="696">
        <v>212000000</v>
      </c>
      <c r="CA183" s="729">
        <v>212000000</v>
      </c>
      <c r="CB183" s="720">
        <f t="shared" si="78"/>
        <v>2592112802</v>
      </c>
      <c r="CC183" s="721">
        <f t="shared" si="79"/>
        <v>2592112802</v>
      </c>
      <c r="CD183" s="738"/>
      <c r="CE183" s="322">
        <v>222600000</v>
      </c>
      <c r="CF183" s="322">
        <v>222600000</v>
      </c>
      <c r="CG183" s="322">
        <v>222600000</v>
      </c>
      <c r="CH183" s="322">
        <v>222600000</v>
      </c>
      <c r="CI183" s="322">
        <v>222600000</v>
      </c>
      <c r="CJ183" s="322">
        <v>222600000</v>
      </c>
      <c r="CK183" s="322">
        <v>222600000</v>
      </c>
      <c r="CL183" s="322">
        <v>222600000</v>
      </c>
      <c r="CM183" s="322">
        <v>222600000</v>
      </c>
      <c r="CN183" s="322">
        <v>222600000</v>
      </c>
      <c r="CO183" s="322">
        <v>222600000</v>
      </c>
      <c r="CP183" s="322">
        <v>222600000</v>
      </c>
      <c r="CQ183" s="355">
        <f t="shared" si="80"/>
        <v>2671200000</v>
      </c>
      <c r="CR183" s="356">
        <f t="shared" si="82"/>
        <v>3125304000</v>
      </c>
      <c r="CS183" s="357">
        <f>CR183*1.1</f>
        <v>3437834400.0000005</v>
      </c>
      <c r="CT183" s="332">
        <f>CS183*1.1</f>
        <v>3781617840.000001</v>
      </c>
      <c r="CU183" s="358">
        <f>CT183*1.1</f>
        <v>4159779624.0000014</v>
      </c>
      <c r="CV183" s="57" t="s">
        <v>42</v>
      </c>
    </row>
    <row r="184" spans="1:101" ht="15" customHeight="1" outlineLevel="2">
      <c r="A184" s="276" t="s">
        <v>196</v>
      </c>
      <c r="B184" s="277" t="str">
        <f t="shared" si="76"/>
        <v>PACK SURABAYAPACKAGENIRWANA LESTARI</v>
      </c>
      <c r="C184" s="276" t="s">
        <v>36</v>
      </c>
      <c r="D184" s="276" t="s">
        <v>40</v>
      </c>
      <c r="E184" s="288" t="s">
        <v>87</v>
      </c>
      <c r="F184" s="303">
        <v>3000007550</v>
      </c>
      <c r="G184" s="64">
        <v>5979960144</v>
      </c>
      <c r="H184" s="65">
        <v>532504457</v>
      </c>
      <c r="I184" s="65">
        <v>640752332</v>
      </c>
      <c r="J184" s="65">
        <v>548910061</v>
      </c>
      <c r="K184" s="65">
        <v>565710877</v>
      </c>
      <c r="L184" s="65">
        <v>467135444</v>
      </c>
      <c r="M184" s="65">
        <v>466215114</v>
      </c>
      <c r="N184" s="65">
        <v>486175751</v>
      </c>
      <c r="O184" s="65">
        <v>530439801</v>
      </c>
      <c r="P184" s="81">
        <v>531675062</v>
      </c>
      <c r="Q184" s="81">
        <v>495461025</v>
      </c>
      <c r="R184" s="81">
        <v>548477258</v>
      </c>
      <c r="S184" s="81">
        <v>573169606</v>
      </c>
      <c r="T184" s="65">
        <v>500000000</v>
      </c>
      <c r="U184" s="65">
        <v>500000000</v>
      </c>
      <c r="V184" s="65">
        <v>500000000</v>
      </c>
      <c r="W184" s="66">
        <f t="shared" si="77"/>
        <v>6386626788</v>
      </c>
      <c r="X184" s="55"/>
      <c r="Y184" s="67">
        <v>600000000</v>
      </c>
      <c r="Z184" s="85">
        <v>610000000</v>
      </c>
      <c r="AA184" s="67">
        <v>600000000</v>
      </c>
      <c r="AB184" s="85">
        <v>630000000</v>
      </c>
      <c r="AC184" s="67">
        <v>600000000</v>
      </c>
      <c r="AD184" s="67">
        <v>600000000</v>
      </c>
      <c r="AE184" s="67">
        <v>600000000</v>
      </c>
      <c r="AF184" s="67">
        <v>600000000</v>
      </c>
      <c r="AG184" s="67">
        <v>600000000</v>
      </c>
      <c r="AH184" s="67">
        <v>600000000</v>
      </c>
      <c r="AI184" s="67">
        <v>600000000</v>
      </c>
      <c r="AJ184" s="67">
        <v>600000000</v>
      </c>
      <c r="AK184" s="61">
        <v>7240000000</v>
      </c>
      <c r="AL184" s="55"/>
      <c r="AM184" s="67">
        <v>600000000</v>
      </c>
      <c r="AN184" s="85">
        <v>610000000</v>
      </c>
      <c r="AO184" s="67">
        <v>600000000</v>
      </c>
      <c r="AP184" s="85">
        <v>630000000</v>
      </c>
      <c r="AQ184" s="67">
        <v>600000000</v>
      </c>
      <c r="AR184" s="67">
        <v>600000000</v>
      </c>
      <c r="AS184" s="67">
        <v>600000000</v>
      </c>
      <c r="AT184" s="67">
        <v>600000000</v>
      </c>
      <c r="AU184" s="67">
        <v>600000000</v>
      </c>
      <c r="AV184" s="67">
        <v>600000000</v>
      </c>
      <c r="AW184" s="67">
        <v>600000000</v>
      </c>
      <c r="AX184" s="67">
        <v>600000000</v>
      </c>
      <c r="AY184" s="122">
        <v>7240000000</v>
      </c>
      <c r="AZ184" s="55"/>
      <c r="BA184" s="639">
        <v>556616673</v>
      </c>
      <c r="BB184" s="639">
        <v>419426657</v>
      </c>
      <c r="BC184" s="86">
        <v>500000000</v>
      </c>
      <c r="BD184" s="639">
        <v>334759150</v>
      </c>
      <c r="BE184" s="86">
        <v>500000000</v>
      </c>
      <c r="BF184" s="639">
        <v>299016049</v>
      </c>
      <c r="BG184" s="86">
        <v>600000000</v>
      </c>
      <c r="BH184" s="639">
        <v>295276016</v>
      </c>
      <c r="BI184" s="86">
        <v>450000000</v>
      </c>
      <c r="BJ184" s="639">
        <v>266083993</v>
      </c>
      <c r="BK184" s="86">
        <v>500000000</v>
      </c>
      <c r="BL184" s="639">
        <v>263576743</v>
      </c>
      <c r="BM184" s="86">
        <v>500000000</v>
      </c>
      <c r="BN184" s="695">
        <v>269060250</v>
      </c>
      <c r="BO184" s="696">
        <v>500000000</v>
      </c>
      <c r="BP184" s="695"/>
      <c r="BQ184" s="696">
        <v>500000000</v>
      </c>
      <c r="BR184" s="729">
        <v>350000000</v>
      </c>
      <c r="BS184" s="695"/>
      <c r="BT184" s="696">
        <v>500000000</v>
      </c>
      <c r="BU184" s="729">
        <v>400000000</v>
      </c>
      <c r="BV184" s="695"/>
      <c r="BW184" s="696">
        <v>525000000</v>
      </c>
      <c r="BX184" s="729">
        <v>450000000</v>
      </c>
      <c r="BY184" s="695"/>
      <c r="BZ184" s="696">
        <v>525000000</v>
      </c>
      <c r="CA184" s="729">
        <v>500000000</v>
      </c>
      <c r="CB184" s="720">
        <f t="shared" si="78"/>
        <v>4403815531</v>
      </c>
      <c r="CC184" s="721">
        <f t="shared" si="79"/>
        <v>4403815531</v>
      </c>
      <c r="CD184" s="738"/>
      <c r="CE184" s="322">
        <v>525000000</v>
      </c>
      <c r="CF184" s="322">
        <v>420000000</v>
      </c>
      <c r="CG184" s="322">
        <v>315000000</v>
      </c>
      <c r="CH184" s="322">
        <v>400000000</v>
      </c>
      <c r="CI184" s="322">
        <v>300000000</v>
      </c>
      <c r="CJ184" s="322">
        <v>350000000</v>
      </c>
      <c r="CK184" s="322">
        <v>350000000</v>
      </c>
      <c r="CL184" s="322">
        <v>350000000</v>
      </c>
      <c r="CM184" s="322">
        <v>350000000</v>
      </c>
      <c r="CN184" s="322">
        <v>350000000</v>
      </c>
      <c r="CO184" s="322">
        <v>400000000</v>
      </c>
      <c r="CP184" s="322">
        <v>500000000</v>
      </c>
      <c r="CQ184" s="355">
        <f t="shared" si="80"/>
        <v>4610000000</v>
      </c>
      <c r="CR184" s="356">
        <f t="shared" si="82"/>
        <v>5393700000</v>
      </c>
      <c r="CS184" s="357">
        <f>CR184*1.1</f>
        <v>5933070000.000001</v>
      </c>
      <c r="CT184" s="332">
        <f>CS184*1.12</f>
        <v>6645038400.0000019</v>
      </c>
      <c r="CU184" s="358">
        <f>CT184*1.12</f>
        <v>7442443008.0000029</v>
      </c>
      <c r="CV184" s="57" t="s">
        <v>38</v>
      </c>
    </row>
    <row r="185" spans="1:101" ht="15" customHeight="1" outlineLevel="2">
      <c r="B185" s="277" t="str">
        <f t="shared" si="76"/>
        <v>PACK SURABAYAPACKAGEPERUSAHAAN INDUSTRI</v>
      </c>
      <c r="C185" s="276" t="s">
        <v>36</v>
      </c>
      <c r="E185" s="288" t="s">
        <v>201</v>
      </c>
      <c r="F185" s="303"/>
      <c r="G185" s="64">
        <v>2633216</v>
      </c>
      <c r="H185" s="81"/>
      <c r="I185" s="81"/>
      <c r="J185" s="81"/>
      <c r="K185" s="81"/>
      <c r="L185" s="81"/>
      <c r="M185" s="81"/>
      <c r="N185" s="81"/>
      <c r="O185" s="81"/>
      <c r="P185" s="81">
        <v>0</v>
      </c>
      <c r="Q185" s="81"/>
      <c r="R185" s="81"/>
      <c r="S185" s="81"/>
      <c r="T185" s="65">
        <v>0</v>
      </c>
      <c r="U185" s="65">
        <v>0</v>
      </c>
      <c r="V185" s="65">
        <v>0</v>
      </c>
      <c r="W185" s="66">
        <f t="shared" si="77"/>
        <v>0</v>
      </c>
      <c r="X185" s="78"/>
      <c r="Y185" s="82"/>
      <c r="Z185" s="82"/>
      <c r="AA185" s="82"/>
      <c r="AB185" s="82"/>
      <c r="AC185" s="82"/>
      <c r="AD185" s="82"/>
      <c r="AE185" s="82"/>
      <c r="AF185" s="82"/>
      <c r="AG185" s="82"/>
      <c r="AH185" s="82"/>
      <c r="AI185" s="82"/>
      <c r="AJ185" s="82"/>
      <c r="AK185" s="61">
        <v>0</v>
      </c>
      <c r="AL185" s="55"/>
      <c r="AM185" s="82"/>
      <c r="AN185" s="82"/>
      <c r="AO185" s="82"/>
      <c r="AP185" s="82"/>
      <c r="AQ185" s="82"/>
      <c r="AR185" s="82"/>
      <c r="AS185" s="82"/>
      <c r="AT185" s="82"/>
      <c r="AU185" s="82"/>
      <c r="AV185" s="82"/>
      <c r="AW185" s="82"/>
      <c r="AX185" s="82"/>
      <c r="AY185" s="122">
        <v>0</v>
      </c>
      <c r="AZ185" s="78"/>
      <c r="BA185" s="639">
        <v>0</v>
      </c>
      <c r="BB185" s="639">
        <v>0</v>
      </c>
      <c r="BC185" s="86"/>
      <c r="BD185" s="639">
        <v>0</v>
      </c>
      <c r="BE185" s="86"/>
      <c r="BF185" s="639">
        <v>0</v>
      </c>
      <c r="BG185" s="86"/>
      <c r="BH185" s="639"/>
      <c r="BI185" s="86"/>
      <c r="BJ185" s="639">
        <v>0</v>
      </c>
      <c r="BK185" s="86"/>
      <c r="BL185" s="639"/>
      <c r="BM185" s="86"/>
      <c r="BN185" s="695">
        <v>0</v>
      </c>
      <c r="BO185" s="696"/>
      <c r="BP185" s="695"/>
      <c r="BQ185" s="696"/>
      <c r="BR185" s="729"/>
      <c r="BS185" s="695"/>
      <c r="BT185" s="696"/>
      <c r="BU185" s="729"/>
      <c r="BV185" s="695"/>
      <c r="BW185" s="696"/>
      <c r="BX185" s="729"/>
      <c r="BY185" s="695"/>
      <c r="BZ185" s="696"/>
      <c r="CA185" s="729"/>
      <c r="CB185" s="720">
        <f t="shared" si="78"/>
        <v>0</v>
      </c>
      <c r="CC185" s="721">
        <f t="shared" si="79"/>
        <v>0</v>
      </c>
      <c r="CD185" s="738"/>
      <c r="CE185" s="322"/>
      <c r="CF185" s="322"/>
      <c r="CG185" s="322"/>
      <c r="CH185" s="322"/>
      <c r="CI185" s="322"/>
      <c r="CJ185" s="322"/>
      <c r="CK185" s="322"/>
      <c r="CL185" s="322"/>
      <c r="CM185" s="322"/>
      <c r="CN185" s="322"/>
      <c r="CO185" s="322"/>
      <c r="CP185" s="322"/>
      <c r="CQ185" s="355">
        <f t="shared" si="80"/>
        <v>0</v>
      </c>
      <c r="CR185" s="356"/>
      <c r="CS185" s="357"/>
      <c r="CT185" s="332"/>
      <c r="CU185" s="358"/>
      <c r="CV185" s="57" t="s">
        <v>38</v>
      </c>
    </row>
    <row r="186" spans="1:101" ht="15" customHeight="1" outlineLevel="2">
      <c r="B186" s="277" t="str">
        <f t="shared" si="76"/>
        <v>PACK SURABAYAPACKAGEPPG COATINGS INDONESIA</v>
      </c>
      <c r="C186" s="276" t="s">
        <v>36</v>
      </c>
      <c r="E186" s="288" t="s">
        <v>202</v>
      </c>
      <c r="F186" s="303"/>
      <c r="G186" s="64">
        <v>37477492</v>
      </c>
      <c r="H186" s="81"/>
      <c r="I186" s="81"/>
      <c r="J186" s="81"/>
      <c r="K186" s="81"/>
      <c r="L186" s="81"/>
      <c r="M186" s="81"/>
      <c r="N186" s="81"/>
      <c r="O186" s="81"/>
      <c r="P186" s="81">
        <v>0</v>
      </c>
      <c r="Q186" s="81"/>
      <c r="R186" s="81"/>
      <c r="S186" s="81"/>
      <c r="T186" s="65">
        <v>0</v>
      </c>
      <c r="U186" s="65">
        <v>0</v>
      </c>
      <c r="V186" s="65">
        <v>0</v>
      </c>
      <c r="W186" s="66">
        <f t="shared" si="77"/>
        <v>0</v>
      </c>
      <c r="X186" s="78"/>
      <c r="Y186" s="82"/>
      <c r="Z186" s="82"/>
      <c r="AA186" s="82"/>
      <c r="AB186" s="82"/>
      <c r="AC186" s="82"/>
      <c r="AD186" s="82"/>
      <c r="AE186" s="82"/>
      <c r="AF186" s="82"/>
      <c r="AG186" s="82"/>
      <c r="AH186" s="82"/>
      <c r="AI186" s="82"/>
      <c r="AJ186" s="82"/>
      <c r="AK186" s="61">
        <v>0</v>
      </c>
      <c r="AL186" s="55"/>
      <c r="AM186" s="82"/>
      <c r="AN186" s="82"/>
      <c r="AO186" s="82"/>
      <c r="AP186" s="82"/>
      <c r="AQ186" s="82"/>
      <c r="AR186" s="82"/>
      <c r="AS186" s="82"/>
      <c r="AT186" s="82"/>
      <c r="AU186" s="82"/>
      <c r="AV186" s="82"/>
      <c r="AW186" s="82"/>
      <c r="AX186" s="82"/>
      <c r="AY186" s="122">
        <v>0</v>
      </c>
      <c r="AZ186" s="78"/>
      <c r="BA186" s="639">
        <v>0</v>
      </c>
      <c r="BB186" s="639">
        <v>0</v>
      </c>
      <c r="BC186" s="86"/>
      <c r="BD186" s="639">
        <v>0</v>
      </c>
      <c r="BE186" s="86"/>
      <c r="BF186" s="639">
        <v>0</v>
      </c>
      <c r="BG186" s="86"/>
      <c r="BH186" s="639"/>
      <c r="BI186" s="86"/>
      <c r="BJ186" s="639">
        <v>0</v>
      </c>
      <c r="BK186" s="86"/>
      <c r="BL186" s="639"/>
      <c r="BM186" s="86"/>
      <c r="BN186" s="695">
        <v>0</v>
      </c>
      <c r="BO186" s="696"/>
      <c r="BP186" s="695"/>
      <c r="BQ186" s="696"/>
      <c r="BR186" s="729"/>
      <c r="BS186" s="695"/>
      <c r="BT186" s="696"/>
      <c r="BU186" s="729"/>
      <c r="BV186" s="695"/>
      <c r="BW186" s="696"/>
      <c r="BX186" s="729"/>
      <c r="BY186" s="695"/>
      <c r="BZ186" s="696"/>
      <c r="CA186" s="729"/>
      <c r="CB186" s="720">
        <f t="shared" si="78"/>
        <v>0</v>
      </c>
      <c r="CC186" s="721">
        <f t="shared" si="79"/>
        <v>0</v>
      </c>
      <c r="CD186" s="738"/>
      <c r="CE186" s="322"/>
      <c r="CF186" s="322"/>
      <c r="CG186" s="322"/>
      <c r="CH186" s="322"/>
      <c r="CI186" s="322"/>
      <c r="CJ186" s="322"/>
      <c r="CK186" s="322"/>
      <c r="CL186" s="322"/>
      <c r="CM186" s="322"/>
      <c r="CN186" s="322"/>
      <c r="CO186" s="322"/>
      <c r="CP186" s="322"/>
      <c r="CQ186" s="355">
        <f t="shared" si="80"/>
        <v>0</v>
      </c>
      <c r="CR186" s="356"/>
      <c r="CS186" s="357"/>
      <c r="CT186" s="332"/>
      <c r="CU186" s="358"/>
      <c r="CV186" s="57" t="s">
        <v>38</v>
      </c>
    </row>
    <row r="187" spans="1:101" ht="15" customHeight="1" outlineLevel="2">
      <c r="A187" s="276" t="s">
        <v>194</v>
      </c>
      <c r="B187" s="277" t="str">
        <f t="shared" si="76"/>
        <v>PACK SURABAYAPACKAGEPRIMA MAS MAKMUR</v>
      </c>
      <c r="C187" s="276" t="s">
        <v>36</v>
      </c>
      <c r="D187" s="276" t="s">
        <v>40</v>
      </c>
      <c r="E187" s="288" t="s">
        <v>92</v>
      </c>
      <c r="F187" s="303">
        <v>3000007612</v>
      </c>
      <c r="G187" s="64">
        <v>17384000</v>
      </c>
      <c r="H187" s="65">
        <v>2697000</v>
      </c>
      <c r="I187" s="65">
        <v>3511500</v>
      </c>
      <c r="J187" s="65">
        <v>2400000</v>
      </c>
      <c r="K187" s="65">
        <v>2400000</v>
      </c>
      <c r="L187" s="65">
        <v>2400000</v>
      </c>
      <c r="M187" s="65">
        <v>2400000</v>
      </c>
      <c r="N187" s="65">
        <v>4930000</v>
      </c>
      <c r="O187" s="65">
        <v>3218000</v>
      </c>
      <c r="P187" s="81">
        <v>3667000</v>
      </c>
      <c r="Q187" s="81">
        <v>3578000</v>
      </c>
      <c r="R187" s="81">
        <v>0</v>
      </c>
      <c r="S187" s="81">
        <v>4960000</v>
      </c>
      <c r="T187" s="65">
        <v>4930000</v>
      </c>
      <c r="U187" s="65">
        <v>4930000</v>
      </c>
      <c r="V187" s="65">
        <v>4930000</v>
      </c>
      <c r="W187" s="66">
        <f t="shared" si="77"/>
        <v>36161500</v>
      </c>
      <c r="X187" s="55"/>
      <c r="Y187" s="67">
        <v>4930000</v>
      </c>
      <c r="Z187" s="67">
        <v>4930000</v>
      </c>
      <c r="AA187" s="67">
        <v>4930000</v>
      </c>
      <c r="AB187" s="67">
        <v>4930000</v>
      </c>
      <c r="AC187" s="67">
        <v>4930000</v>
      </c>
      <c r="AD187" s="67">
        <v>4930000</v>
      </c>
      <c r="AE187" s="67">
        <v>4930000</v>
      </c>
      <c r="AF187" s="67">
        <v>4930000</v>
      </c>
      <c r="AG187" s="67">
        <v>4930000</v>
      </c>
      <c r="AH187" s="67">
        <v>4930000</v>
      </c>
      <c r="AI187" s="67">
        <v>4930000</v>
      </c>
      <c r="AJ187" s="67">
        <v>4930000</v>
      </c>
      <c r="AK187" s="61">
        <v>59160000</v>
      </c>
      <c r="AL187" s="55"/>
      <c r="AM187" s="67">
        <v>4930000</v>
      </c>
      <c r="AN187" s="67">
        <v>4930000</v>
      </c>
      <c r="AO187" s="67">
        <v>4930000</v>
      </c>
      <c r="AP187" s="67">
        <v>4930000</v>
      </c>
      <c r="AQ187" s="67">
        <v>4930000</v>
      </c>
      <c r="AR187" s="67">
        <v>4930000</v>
      </c>
      <c r="AS187" s="67">
        <v>4930000</v>
      </c>
      <c r="AT187" s="67">
        <v>4930000</v>
      </c>
      <c r="AU187" s="67">
        <v>4930000</v>
      </c>
      <c r="AV187" s="67">
        <v>4930000</v>
      </c>
      <c r="AW187" s="67">
        <v>4930000</v>
      </c>
      <c r="AX187" s="67">
        <v>4930000</v>
      </c>
      <c r="AY187" s="122">
        <v>59160000</v>
      </c>
      <c r="AZ187" s="55"/>
      <c r="BA187" s="639">
        <v>2480000</v>
      </c>
      <c r="BB187" s="639">
        <v>2480000</v>
      </c>
      <c r="BC187" s="86">
        <v>2500000</v>
      </c>
      <c r="BD187" s="639">
        <v>3751000</v>
      </c>
      <c r="BE187" s="86">
        <v>2500000</v>
      </c>
      <c r="BF187" s="639">
        <v>11064000</v>
      </c>
      <c r="BG187" s="86">
        <v>2500000</v>
      </c>
      <c r="BH187" s="639">
        <v>12534000</v>
      </c>
      <c r="BI187" s="86">
        <v>2500000</v>
      </c>
      <c r="BJ187" s="639">
        <v>11745000</v>
      </c>
      <c r="BK187" s="86">
        <v>2500000</v>
      </c>
      <c r="BL187" s="639">
        <v>8767000</v>
      </c>
      <c r="BM187" s="86">
        <v>2500000</v>
      </c>
      <c r="BN187" s="695">
        <v>3631000</v>
      </c>
      <c r="BO187" s="696">
        <v>2500000</v>
      </c>
      <c r="BP187" s="695"/>
      <c r="BQ187" s="696">
        <v>2500000</v>
      </c>
      <c r="BR187" s="729">
        <v>4000000</v>
      </c>
      <c r="BS187" s="695"/>
      <c r="BT187" s="696">
        <v>2500000</v>
      </c>
      <c r="BU187" s="729">
        <v>4000000</v>
      </c>
      <c r="BV187" s="695"/>
      <c r="BW187" s="696">
        <v>2500000</v>
      </c>
      <c r="BX187" s="729">
        <v>4000000</v>
      </c>
      <c r="BY187" s="695"/>
      <c r="BZ187" s="696">
        <v>2500000</v>
      </c>
      <c r="CA187" s="729">
        <v>4000000</v>
      </c>
      <c r="CB187" s="720">
        <f t="shared" si="78"/>
        <v>72452000</v>
      </c>
      <c r="CC187" s="721">
        <f t="shared" si="79"/>
        <v>72452000</v>
      </c>
      <c r="CD187" s="738"/>
      <c r="CE187" s="322">
        <v>5000000</v>
      </c>
      <c r="CF187" s="322">
        <v>5000000</v>
      </c>
      <c r="CG187" s="322">
        <v>5000000</v>
      </c>
      <c r="CH187" s="322">
        <v>5000000</v>
      </c>
      <c r="CI187" s="322">
        <v>5000000</v>
      </c>
      <c r="CJ187" s="322">
        <v>5000000</v>
      </c>
      <c r="CK187" s="322">
        <v>5000000</v>
      </c>
      <c r="CL187" s="322">
        <v>5000000</v>
      </c>
      <c r="CM187" s="322">
        <v>5000000</v>
      </c>
      <c r="CN187" s="322">
        <v>5000000</v>
      </c>
      <c r="CO187" s="322">
        <v>5000000</v>
      </c>
      <c r="CP187" s="322">
        <v>5000000</v>
      </c>
      <c r="CQ187" s="355">
        <f t="shared" si="80"/>
        <v>60000000</v>
      </c>
      <c r="CR187" s="356">
        <f>CQ187*1.17</f>
        <v>70200000</v>
      </c>
      <c r="CS187" s="357">
        <f>CR187*1.08</f>
        <v>75816000</v>
      </c>
      <c r="CT187" s="332">
        <f>CS187*1.09</f>
        <v>82639440</v>
      </c>
      <c r="CU187" s="358">
        <f>CT187*1.09</f>
        <v>90076989.600000009</v>
      </c>
      <c r="CV187" s="57" t="s">
        <v>38</v>
      </c>
    </row>
    <row r="188" spans="1:101" ht="15" customHeight="1" outlineLevel="2">
      <c r="A188" s="276" t="s">
        <v>194</v>
      </c>
      <c r="B188" s="277" t="str">
        <f t="shared" si="76"/>
        <v>PACK SURABAYAPACKAGESCIENTEX INDONESIA</v>
      </c>
      <c r="C188" s="276" t="s">
        <v>36</v>
      </c>
      <c r="D188" s="276" t="s">
        <v>40</v>
      </c>
      <c r="E188" s="288" t="s">
        <v>203</v>
      </c>
      <c r="F188" s="303">
        <v>3000007677</v>
      </c>
      <c r="G188" s="64">
        <v>875061850</v>
      </c>
      <c r="H188" s="65">
        <v>36290650</v>
      </c>
      <c r="I188" s="65">
        <v>36744250</v>
      </c>
      <c r="J188" s="65">
        <v>33283200</v>
      </c>
      <c r="K188" s="65">
        <v>27279300</v>
      </c>
      <c r="L188" s="65">
        <v>34826400</v>
      </c>
      <c r="M188" s="65">
        <v>42370550</v>
      </c>
      <c r="N188" s="65">
        <v>38410000</v>
      </c>
      <c r="O188" s="65">
        <v>32086200</v>
      </c>
      <c r="P188" s="81">
        <v>33101600</v>
      </c>
      <c r="Q188" s="81">
        <v>23743650</v>
      </c>
      <c r="R188" s="81">
        <v>48792100</v>
      </c>
      <c r="S188" s="81">
        <v>25492500</v>
      </c>
      <c r="T188" s="65">
        <v>40000000</v>
      </c>
      <c r="U188" s="65">
        <v>40000000</v>
      </c>
      <c r="V188" s="65">
        <v>40000000</v>
      </c>
      <c r="W188" s="66">
        <f t="shared" si="77"/>
        <v>412420400</v>
      </c>
      <c r="X188" s="55"/>
      <c r="Y188" s="85">
        <v>60000000</v>
      </c>
      <c r="Z188" s="85">
        <v>60000000</v>
      </c>
      <c r="AA188" s="85">
        <v>65000000</v>
      </c>
      <c r="AB188" s="85">
        <v>65000000</v>
      </c>
      <c r="AC188" s="85">
        <v>60000000</v>
      </c>
      <c r="AD188" s="85">
        <v>60000000</v>
      </c>
      <c r="AE188" s="85">
        <v>60000000</v>
      </c>
      <c r="AF188" s="85">
        <v>60000000</v>
      </c>
      <c r="AG188" s="85">
        <v>60000000</v>
      </c>
      <c r="AH188" s="85">
        <v>60000000</v>
      </c>
      <c r="AI188" s="85">
        <v>60000000</v>
      </c>
      <c r="AJ188" s="85">
        <v>60000000</v>
      </c>
      <c r="AK188" s="61">
        <v>730000000</v>
      </c>
      <c r="AL188" s="55"/>
      <c r="AM188" s="85">
        <v>60000000</v>
      </c>
      <c r="AN188" s="85">
        <v>60000000</v>
      </c>
      <c r="AO188" s="85">
        <v>65000000</v>
      </c>
      <c r="AP188" s="85">
        <v>65000000</v>
      </c>
      <c r="AQ188" s="85">
        <v>60000000</v>
      </c>
      <c r="AR188" s="85">
        <v>60000000</v>
      </c>
      <c r="AS188" s="85">
        <v>60000000</v>
      </c>
      <c r="AT188" s="85">
        <v>60000000</v>
      </c>
      <c r="AU188" s="85">
        <v>60000000</v>
      </c>
      <c r="AV188" s="85">
        <v>60000000</v>
      </c>
      <c r="AW188" s="85">
        <v>60000000</v>
      </c>
      <c r="AX188" s="85">
        <v>60000000</v>
      </c>
      <c r="AY188" s="122">
        <v>730000000</v>
      </c>
      <c r="AZ188" s="55"/>
      <c r="BA188" s="639">
        <v>35765000</v>
      </c>
      <c r="BB188" s="639">
        <v>33480000</v>
      </c>
      <c r="BC188" s="86">
        <v>35000000</v>
      </c>
      <c r="BD188" s="639">
        <v>32630000</v>
      </c>
      <c r="BE188" s="86">
        <v>37000000</v>
      </c>
      <c r="BF188" s="639">
        <v>33460000</v>
      </c>
      <c r="BG188" s="86">
        <v>40000000</v>
      </c>
      <c r="BH188" s="639">
        <v>35657500</v>
      </c>
      <c r="BI188" s="86">
        <v>40000000</v>
      </c>
      <c r="BJ188" s="639">
        <v>37510000</v>
      </c>
      <c r="BK188" s="86">
        <v>40000000</v>
      </c>
      <c r="BL188" s="639">
        <v>26790000</v>
      </c>
      <c r="BM188" s="86">
        <v>45000000</v>
      </c>
      <c r="BN188" s="695">
        <v>28265000</v>
      </c>
      <c r="BO188" s="696">
        <v>45000000</v>
      </c>
      <c r="BP188" s="695"/>
      <c r="BQ188" s="696">
        <v>45000000</v>
      </c>
      <c r="BR188" s="729">
        <v>45000000</v>
      </c>
      <c r="BS188" s="695"/>
      <c r="BT188" s="696">
        <v>45000000</v>
      </c>
      <c r="BU188" s="729">
        <v>45000000</v>
      </c>
      <c r="BV188" s="695"/>
      <c r="BW188" s="696">
        <v>45000000</v>
      </c>
      <c r="BX188" s="729">
        <v>45000000</v>
      </c>
      <c r="BY188" s="695"/>
      <c r="BZ188" s="696">
        <v>45000000</v>
      </c>
      <c r="CA188" s="729">
        <v>45000000</v>
      </c>
      <c r="CB188" s="720">
        <f t="shared" si="78"/>
        <v>443557500</v>
      </c>
      <c r="CC188" s="721">
        <f t="shared" si="79"/>
        <v>443557500</v>
      </c>
      <c r="CD188" s="738"/>
      <c r="CE188" s="322">
        <v>35000000</v>
      </c>
      <c r="CF188" s="322">
        <v>35000000</v>
      </c>
      <c r="CG188" s="322">
        <v>35000000</v>
      </c>
      <c r="CH188" s="322">
        <v>35000000</v>
      </c>
      <c r="CI188" s="322">
        <v>35000000</v>
      </c>
      <c r="CJ188" s="322">
        <v>35000000</v>
      </c>
      <c r="CK188" s="322">
        <v>35000000</v>
      </c>
      <c r="CL188" s="322">
        <v>35000000</v>
      </c>
      <c r="CM188" s="322">
        <v>35000000</v>
      </c>
      <c r="CN188" s="322">
        <v>35000000</v>
      </c>
      <c r="CO188" s="322">
        <v>35000000</v>
      </c>
      <c r="CP188" s="322">
        <v>35000000</v>
      </c>
      <c r="CQ188" s="355">
        <f t="shared" si="80"/>
        <v>420000000</v>
      </c>
      <c r="CR188" s="356">
        <f>CQ188*1.17</f>
        <v>491399999.99999994</v>
      </c>
      <c r="CS188" s="357">
        <f>CR188*1.08</f>
        <v>530712000</v>
      </c>
      <c r="CT188" s="332">
        <f>CS188*1.09</f>
        <v>578476080</v>
      </c>
      <c r="CU188" s="358">
        <f>CT188*1.09</f>
        <v>630538927.20000005</v>
      </c>
      <c r="CV188" s="57" t="s">
        <v>38</v>
      </c>
    </row>
    <row r="189" spans="1:101" ht="15" customHeight="1" outlineLevel="2">
      <c r="A189" s="276" t="s">
        <v>194</v>
      </c>
      <c r="B189" s="277" t="str">
        <f t="shared" si="76"/>
        <v>PACK SURABAYAPACKAGESINAR MAS AGRO RESOURCES AND</v>
      </c>
      <c r="C189" s="276" t="s">
        <v>36</v>
      </c>
      <c r="D189" s="276" t="s">
        <v>40</v>
      </c>
      <c r="E189" s="288" t="s">
        <v>204</v>
      </c>
      <c r="F189" s="303">
        <v>3000005193</v>
      </c>
      <c r="G189" s="64">
        <v>3455674670</v>
      </c>
      <c r="H189" s="65">
        <v>691134934</v>
      </c>
      <c r="I189" s="65">
        <v>691134934</v>
      </c>
      <c r="J189" s="65">
        <v>691134934</v>
      </c>
      <c r="K189" s="65">
        <v>691134934</v>
      </c>
      <c r="L189" s="65">
        <v>691134934</v>
      </c>
      <c r="M189" s="65">
        <v>691134934</v>
      </c>
      <c r="N189" s="65">
        <v>691134934</v>
      </c>
      <c r="O189" s="65">
        <v>700327029</v>
      </c>
      <c r="P189" s="81">
        <v>709519124</v>
      </c>
      <c r="Q189" s="81">
        <v>691134934</v>
      </c>
      <c r="R189" s="81">
        <v>702236629</v>
      </c>
      <c r="S189" s="81">
        <v>702823149</v>
      </c>
      <c r="T189" s="89">
        <v>709519124</v>
      </c>
      <c r="U189" s="89">
        <v>709519124</v>
      </c>
      <c r="V189" s="89">
        <v>709519124</v>
      </c>
      <c r="W189" s="66">
        <f t="shared" si="77"/>
        <v>8343985403</v>
      </c>
      <c r="X189" s="55"/>
      <c r="Y189" s="67">
        <v>691134934</v>
      </c>
      <c r="Z189" s="67">
        <v>691134934</v>
      </c>
      <c r="AA189" s="67">
        <v>691134934</v>
      </c>
      <c r="AB189" s="67">
        <v>691134934</v>
      </c>
      <c r="AC189" s="67">
        <v>691134934</v>
      </c>
      <c r="AD189" s="67">
        <v>691134934</v>
      </c>
      <c r="AE189" s="67">
        <f t="shared" ref="AE189:AJ189" si="84">750000000</f>
        <v>750000000</v>
      </c>
      <c r="AF189" s="67">
        <f t="shared" si="84"/>
        <v>750000000</v>
      </c>
      <c r="AG189" s="67">
        <f t="shared" si="84"/>
        <v>750000000</v>
      </c>
      <c r="AH189" s="67">
        <f t="shared" si="84"/>
        <v>750000000</v>
      </c>
      <c r="AI189" s="67">
        <f t="shared" si="84"/>
        <v>750000000</v>
      </c>
      <c r="AJ189" s="67">
        <f t="shared" si="84"/>
        <v>750000000</v>
      </c>
      <c r="AK189" s="61">
        <v>8646809604</v>
      </c>
      <c r="AL189" s="55"/>
      <c r="AM189" s="67">
        <v>691134934</v>
      </c>
      <c r="AN189" s="67">
        <v>691134934</v>
      </c>
      <c r="AO189" s="67">
        <v>691134934</v>
      </c>
      <c r="AP189" s="67">
        <v>691134934</v>
      </c>
      <c r="AQ189" s="67">
        <v>691134934</v>
      </c>
      <c r="AR189" s="67">
        <v>691134934</v>
      </c>
      <c r="AS189" s="67">
        <v>750000000</v>
      </c>
      <c r="AT189" s="67">
        <v>750000000</v>
      </c>
      <c r="AU189" s="67">
        <v>750000000</v>
      </c>
      <c r="AV189" s="67">
        <v>750000000</v>
      </c>
      <c r="AW189" s="67">
        <v>750000000</v>
      </c>
      <c r="AX189" s="67">
        <v>750000000</v>
      </c>
      <c r="AY189" s="122">
        <v>8646809604</v>
      </c>
      <c r="AZ189" s="55"/>
      <c r="BA189" s="639">
        <v>700327029</v>
      </c>
      <c r="BB189" s="639">
        <v>704352094</v>
      </c>
      <c r="BC189" s="86">
        <v>700000000</v>
      </c>
      <c r="BD189" s="639">
        <v>697559374</v>
      </c>
      <c r="BE189" s="86">
        <v>900000000</v>
      </c>
      <c r="BF189" s="639">
        <v>1096761674</v>
      </c>
      <c r="BG189" s="86">
        <v>1092000000</v>
      </c>
      <c r="BH189" s="639">
        <v>1092962934</v>
      </c>
      <c r="BI189" s="86">
        <v>1092000000</v>
      </c>
      <c r="BJ189" s="639">
        <v>1095315834</v>
      </c>
      <c r="BK189" s="86">
        <v>1092000000</v>
      </c>
      <c r="BL189" s="639">
        <v>1098124384</v>
      </c>
      <c r="BM189" s="86">
        <v>1092000000</v>
      </c>
      <c r="BN189" s="695">
        <v>1109671934</v>
      </c>
      <c r="BO189" s="696">
        <v>1092000000</v>
      </c>
      <c r="BP189" s="695"/>
      <c r="BQ189" s="696">
        <v>1092000000</v>
      </c>
      <c r="BR189" s="729">
        <v>1200000000</v>
      </c>
      <c r="BS189" s="695"/>
      <c r="BT189" s="696">
        <v>1092000000</v>
      </c>
      <c r="BU189" s="729">
        <v>1225000000</v>
      </c>
      <c r="BV189" s="695"/>
      <c r="BW189" s="696">
        <v>1092000000</v>
      </c>
      <c r="BX189" s="729">
        <v>1250000000</v>
      </c>
      <c r="BY189" s="695"/>
      <c r="BZ189" s="696">
        <v>1092000000</v>
      </c>
      <c r="CA189" s="729">
        <v>1275000000</v>
      </c>
      <c r="CB189" s="720">
        <f t="shared" si="78"/>
        <v>12545075257</v>
      </c>
      <c r="CC189" s="721">
        <f t="shared" si="79"/>
        <v>12545075257</v>
      </c>
      <c r="CD189" s="738"/>
      <c r="CE189" s="322">
        <v>1092000000</v>
      </c>
      <c r="CF189" s="322">
        <v>1092000000</v>
      </c>
      <c r="CG189" s="322">
        <v>1092000000</v>
      </c>
      <c r="CH189" s="322">
        <v>690000000</v>
      </c>
      <c r="CI189" s="322">
        <v>690000000</v>
      </c>
      <c r="CJ189" s="322">
        <v>690000000</v>
      </c>
      <c r="CK189" s="322">
        <v>690000000</v>
      </c>
      <c r="CL189" s="322">
        <v>690000000</v>
      </c>
      <c r="CM189" s="322">
        <v>690000000</v>
      </c>
      <c r="CN189" s="322">
        <v>690000000</v>
      </c>
      <c r="CO189" s="322">
        <v>690000000</v>
      </c>
      <c r="CP189" s="322">
        <v>690000000</v>
      </c>
      <c r="CQ189" s="355">
        <f t="shared" si="80"/>
        <v>9486000000</v>
      </c>
      <c r="CR189" s="356">
        <f>(CQ189*1.17)-701887046.098935</f>
        <v>10396732953.901066</v>
      </c>
      <c r="CS189" s="357">
        <f>(CR189*1.1)-946211442.947881</f>
        <v>10490194806.343292</v>
      </c>
      <c r="CT189" s="332">
        <f>(CS189*1.15)-1272146773.35701</f>
        <v>10791577253.937775</v>
      </c>
      <c r="CU189" s="358">
        <f>(CT189*1.15)-1272146773.35701</f>
        <v>11138167068.671431</v>
      </c>
      <c r="CV189" s="57" t="s">
        <v>38</v>
      </c>
      <c r="CW189" s="38">
        <v>1</v>
      </c>
    </row>
    <row r="190" spans="1:101" ht="15" customHeight="1" outlineLevel="2">
      <c r="A190" s="276" t="s">
        <v>194</v>
      </c>
      <c r="B190" s="277" t="str">
        <f t="shared" si="76"/>
        <v>PACK SURABAYAPACKAGESSI PRIMA MAS</v>
      </c>
      <c r="C190" s="276" t="s">
        <v>36</v>
      </c>
      <c r="D190" s="276" t="s">
        <v>40</v>
      </c>
      <c r="E190" s="288" t="s">
        <v>205</v>
      </c>
      <c r="F190" s="303">
        <v>3000007728</v>
      </c>
      <c r="G190" s="64">
        <v>72603000</v>
      </c>
      <c r="H190" s="65">
        <v>4908000</v>
      </c>
      <c r="I190" s="65">
        <v>5736000</v>
      </c>
      <c r="J190" s="65">
        <v>0</v>
      </c>
      <c r="K190" s="65">
        <v>16170000</v>
      </c>
      <c r="L190" s="65">
        <v>6582000</v>
      </c>
      <c r="M190" s="65">
        <v>3795000</v>
      </c>
      <c r="N190" s="65">
        <v>5550000</v>
      </c>
      <c r="O190" s="65">
        <v>6593500</v>
      </c>
      <c r="P190" s="81">
        <v>4769500</v>
      </c>
      <c r="Q190" s="81">
        <v>6669500</v>
      </c>
      <c r="R190" s="81">
        <v>7868500</v>
      </c>
      <c r="S190" s="81">
        <v>7036000</v>
      </c>
      <c r="T190" s="65">
        <v>5550000</v>
      </c>
      <c r="U190" s="65">
        <v>5550000</v>
      </c>
      <c r="V190" s="65">
        <v>5550000</v>
      </c>
      <c r="W190" s="66">
        <f t="shared" si="77"/>
        <v>75678000</v>
      </c>
      <c r="X190" s="55"/>
      <c r="Y190" s="67">
        <v>6000000</v>
      </c>
      <c r="Z190" s="67">
        <v>6000000</v>
      </c>
      <c r="AA190" s="67">
        <v>6000000</v>
      </c>
      <c r="AB190" s="67">
        <v>6000000</v>
      </c>
      <c r="AC190" s="67">
        <v>6000000</v>
      </c>
      <c r="AD190" s="67">
        <v>6000000</v>
      </c>
      <c r="AE190" s="67">
        <v>6000000</v>
      </c>
      <c r="AF190" s="67">
        <v>6000000</v>
      </c>
      <c r="AG190" s="67">
        <v>6000000</v>
      </c>
      <c r="AH190" s="67">
        <v>6000000</v>
      </c>
      <c r="AI190" s="67">
        <v>6000000</v>
      </c>
      <c r="AJ190" s="67">
        <v>6000000</v>
      </c>
      <c r="AK190" s="61">
        <v>72000000</v>
      </c>
      <c r="AL190" s="55"/>
      <c r="AM190" s="67">
        <v>6000000</v>
      </c>
      <c r="AN190" s="67">
        <v>6000000</v>
      </c>
      <c r="AO190" s="67">
        <v>6000000</v>
      </c>
      <c r="AP190" s="67">
        <v>6000000</v>
      </c>
      <c r="AQ190" s="67">
        <v>6000000</v>
      </c>
      <c r="AR190" s="67">
        <v>6000000</v>
      </c>
      <c r="AS190" s="67">
        <v>6000000</v>
      </c>
      <c r="AT190" s="67">
        <v>6000000</v>
      </c>
      <c r="AU190" s="67">
        <v>6000000</v>
      </c>
      <c r="AV190" s="67">
        <v>6000000</v>
      </c>
      <c r="AW190" s="67">
        <v>6000000</v>
      </c>
      <c r="AX190" s="67">
        <v>6000000</v>
      </c>
      <c r="AY190" s="122">
        <v>72000000</v>
      </c>
      <c r="AZ190" s="55"/>
      <c r="BA190" s="639">
        <v>7822500</v>
      </c>
      <c r="BB190" s="639">
        <v>5740500</v>
      </c>
      <c r="BC190" s="86">
        <v>7800000</v>
      </c>
      <c r="BD190" s="639">
        <v>10088500</v>
      </c>
      <c r="BE190" s="86">
        <v>7800000</v>
      </c>
      <c r="BF190" s="639">
        <v>9779000</v>
      </c>
      <c r="BG190" s="86">
        <v>8000000</v>
      </c>
      <c r="BH190" s="639">
        <v>6817500</v>
      </c>
      <c r="BI190" s="86">
        <v>8000000</v>
      </c>
      <c r="BJ190" s="639">
        <v>6579500</v>
      </c>
      <c r="BK190" s="86">
        <v>8000000</v>
      </c>
      <c r="BL190" s="639">
        <v>7938500</v>
      </c>
      <c r="BM190" s="86">
        <v>8000000</v>
      </c>
      <c r="BN190" s="695">
        <v>6735000</v>
      </c>
      <c r="BO190" s="696">
        <v>8000000</v>
      </c>
      <c r="BP190" s="695"/>
      <c r="BQ190" s="696">
        <v>8000000</v>
      </c>
      <c r="BR190" s="729">
        <v>8000000</v>
      </c>
      <c r="BS190" s="695"/>
      <c r="BT190" s="696">
        <v>8000000</v>
      </c>
      <c r="BU190" s="729">
        <v>8000000</v>
      </c>
      <c r="BV190" s="695"/>
      <c r="BW190" s="696">
        <v>8000000</v>
      </c>
      <c r="BX190" s="729">
        <v>8000000</v>
      </c>
      <c r="BY190" s="695"/>
      <c r="BZ190" s="696">
        <v>8000000</v>
      </c>
      <c r="CA190" s="729">
        <v>8000000</v>
      </c>
      <c r="CB190" s="720">
        <f t="shared" si="78"/>
        <v>93501000</v>
      </c>
      <c r="CC190" s="721">
        <f t="shared" si="79"/>
        <v>93501000</v>
      </c>
      <c r="CD190" s="738"/>
      <c r="CE190" s="322">
        <v>8000000</v>
      </c>
      <c r="CF190" s="322">
        <v>8000000</v>
      </c>
      <c r="CG190" s="322">
        <v>8000000</v>
      </c>
      <c r="CH190" s="322">
        <v>8000000</v>
      </c>
      <c r="CI190" s="322">
        <v>8000000</v>
      </c>
      <c r="CJ190" s="322">
        <v>8000000</v>
      </c>
      <c r="CK190" s="322">
        <v>8000000</v>
      </c>
      <c r="CL190" s="322">
        <v>8000000</v>
      </c>
      <c r="CM190" s="322">
        <v>8000000</v>
      </c>
      <c r="CN190" s="322">
        <v>8000000</v>
      </c>
      <c r="CO190" s="322">
        <v>8000000</v>
      </c>
      <c r="CP190" s="322">
        <v>8000000</v>
      </c>
      <c r="CQ190" s="355">
        <f t="shared" si="80"/>
        <v>96000000</v>
      </c>
      <c r="CR190" s="356">
        <f>CQ190*1.17</f>
        <v>112320000</v>
      </c>
      <c r="CS190" s="357">
        <f>CR190*1.1</f>
        <v>123552000.00000001</v>
      </c>
      <c r="CT190" s="332">
        <f>CS190*1.12</f>
        <v>138378240.00000003</v>
      </c>
      <c r="CU190" s="358">
        <f>CT190*1.12</f>
        <v>154983628.80000004</v>
      </c>
      <c r="CV190" s="57" t="s">
        <v>38</v>
      </c>
    </row>
    <row r="191" spans="1:101" ht="15" customHeight="1" outlineLevel="2">
      <c r="A191" s="276" t="s">
        <v>192</v>
      </c>
      <c r="B191" s="277" t="str">
        <f t="shared" si="76"/>
        <v>PACK SURABAYAPACKAGESYSPEX MULTITECH</v>
      </c>
      <c r="C191" s="276" t="s">
        <v>36</v>
      </c>
      <c r="E191" s="288" t="s">
        <v>206</v>
      </c>
      <c r="F191" s="303"/>
      <c r="G191" s="64">
        <v>500000</v>
      </c>
      <c r="H191" s="81"/>
      <c r="I191" s="81"/>
      <c r="J191" s="81"/>
      <c r="K191" s="81"/>
      <c r="L191" s="81"/>
      <c r="M191" s="81"/>
      <c r="N191" s="81"/>
      <c r="O191" s="81"/>
      <c r="P191" s="81">
        <v>0</v>
      </c>
      <c r="Q191" s="81"/>
      <c r="R191" s="81"/>
      <c r="S191" s="81"/>
      <c r="T191" s="65">
        <v>0</v>
      </c>
      <c r="U191" s="65">
        <v>0</v>
      </c>
      <c r="V191" s="65">
        <v>0</v>
      </c>
      <c r="W191" s="66">
        <f t="shared" si="77"/>
        <v>0</v>
      </c>
      <c r="X191" s="78"/>
      <c r="Y191" s="82"/>
      <c r="Z191" s="82"/>
      <c r="AA191" s="82"/>
      <c r="AB191" s="82"/>
      <c r="AC191" s="82"/>
      <c r="AD191" s="82"/>
      <c r="AE191" s="82"/>
      <c r="AF191" s="82"/>
      <c r="AG191" s="82"/>
      <c r="AH191" s="82"/>
      <c r="AI191" s="82"/>
      <c r="AJ191" s="82"/>
      <c r="AK191" s="61">
        <v>0</v>
      </c>
      <c r="AL191" s="55"/>
      <c r="AM191" s="82"/>
      <c r="AN191" s="82"/>
      <c r="AO191" s="82"/>
      <c r="AP191" s="82"/>
      <c r="AQ191" s="82"/>
      <c r="AR191" s="82"/>
      <c r="AS191" s="82"/>
      <c r="AT191" s="82"/>
      <c r="AU191" s="82"/>
      <c r="AV191" s="82"/>
      <c r="AW191" s="82"/>
      <c r="AX191" s="82"/>
      <c r="AY191" s="122">
        <v>0</v>
      </c>
      <c r="AZ191" s="78"/>
      <c r="BA191" s="639">
        <v>0</v>
      </c>
      <c r="BB191" s="639">
        <v>0</v>
      </c>
      <c r="BC191" s="86"/>
      <c r="BD191" s="639">
        <v>0</v>
      </c>
      <c r="BE191" s="86"/>
      <c r="BF191" s="639">
        <v>0</v>
      </c>
      <c r="BG191" s="86"/>
      <c r="BH191" s="639"/>
      <c r="BI191" s="86"/>
      <c r="BJ191" s="639">
        <v>0</v>
      </c>
      <c r="BK191" s="86"/>
      <c r="BL191" s="639"/>
      <c r="BM191" s="86"/>
      <c r="BN191" s="695">
        <v>0</v>
      </c>
      <c r="BO191" s="696"/>
      <c r="BP191" s="695"/>
      <c r="BQ191" s="696"/>
      <c r="BR191" s="729"/>
      <c r="BS191" s="695"/>
      <c r="BT191" s="696"/>
      <c r="BU191" s="729"/>
      <c r="BV191" s="695"/>
      <c r="BW191" s="696"/>
      <c r="BX191" s="729"/>
      <c r="BY191" s="695"/>
      <c r="BZ191" s="696"/>
      <c r="CA191" s="729"/>
      <c r="CB191" s="720">
        <f t="shared" si="78"/>
        <v>0</v>
      </c>
      <c r="CC191" s="721">
        <f t="shared" si="79"/>
        <v>0</v>
      </c>
      <c r="CD191" s="738"/>
      <c r="CE191" s="322"/>
      <c r="CF191" s="322"/>
      <c r="CG191" s="322"/>
      <c r="CH191" s="322"/>
      <c r="CI191" s="322"/>
      <c r="CJ191" s="322"/>
      <c r="CK191" s="322"/>
      <c r="CL191" s="322"/>
      <c r="CM191" s="322"/>
      <c r="CN191" s="322"/>
      <c r="CO191" s="322"/>
      <c r="CP191" s="322"/>
      <c r="CQ191" s="355">
        <f t="shared" si="80"/>
        <v>0</v>
      </c>
      <c r="CR191" s="356"/>
      <c r="CS191" s="357"/>
      <c r="CT191" s="332"/>
      <c r="CU191" s="358"/>
      <c r="CV191" s="57" t="s">
        <v>38</v>
      </c>
    </row>
    <row r="192" spans="1:101" ht="15" customHeight="1" outlineLevel="2">
      <c r="A192" s="276" t="s">
        <v>196</v>
      </c>
      <c r="B192" s="277" t="str">
        <f t="shared" si="76"/>
        <v>PACK SURABAYAPACKAGETIRTA INVESTAMA</v>
      </c>
      <c r="C192" s="276" t="s">
        <v>36</v>
      </c>
      <c r="D192" s="276" t="s">
        <v>40</v>
      </c>
      <c r="E192" s="288" t="s">
        <v>103</v>
      </c>
      <c r="F192" s="303">
        <v>3000009257</v>
      </c>
      <c r="G192" s="64">
        <v>5410995000</v>
      </c>
      <c r="H192" s="65">
        <v>590190000</v>
      </c>
      <c r="I192" s="65">
        <v>261270000</v>
      </c>
      <c r="J192" s="65">
        <v>207460000</v>
      </c>
      <c r="K192" s="65">
        <v>0</v>
      </c>
      <c r="L192" s="65">
        <v>2030825000</v>
      </c>
      <c r="M192" s="65">
        <v>1913770000</v>
      </c>
      <c r="N192" s="65">
        <v>536208000</v>
      </c>
      <c r="O192" s="65">
        <v>964360000</v>
      </c>
      <c r="P192" s="81">
        <v>552090750</v>
      </c>
      <c r="Q192" s="81">
        <v>751510000</v>
      </c>
      <c r="R192" s="81">
        <v>529200000</v>
      </c>
      <c r="S192" s="81">
        <v>528335120</v>
      </c>
      <c r="T192" s="69">
        <f>552090750+200000000</f>
        <v>752090750</v>
      </c>
      <c r="U192" s="69">
        <f>552090750+200000000</f>
        <v>752090750</v>
      </c>
      <c r="V192" s="69">
        <f>552090750+200000000</f>
        <v>752090750</v>
      </c>
      <c r="W192" s="66">
        <f t="shared" si="77"/>
        <v>8865218870</v>
      </c>
      <c r="X192" s="55"/>
      <c r="Y192" s="67">
        <v>500000000</v>
      </c>
      <c r="Z192" s="67">
        <v>500000000</v>
      </c>
      <c r="AA192" s="67">
        <v>500000000</v>
      </c>
      <c r="AB192" s="67">
        <v>500000000</v>
      </c>
      <c r="AC192" s="67">
        <v>500000000</v>
      </c>
      <c r="AD192" s="67">
        <v>500000000</v>
      </c>
      <c r="AE192" s="67">
        <v>700000000</v>
      </c>
      <c r="AF192" s="67">
        <v>700000000</v>
      </c>
      <c r="AG192" s="67">
        <v>700000000</v>
      </c>
      <c r="AH192" s="67">
        <v>700000000</v>
      </c>
      <c r="AI192" s="67">
        <v>700000000</v>
      </c>
      <c r="AJ192" s="67">
        <v>700000000</v>
      </c>
      <c r="AK192" s="61">
        <v>7200000000</v>
      </c>
      <c r="AL192" s="55"/>
      <c r="AM192" s="67">
        <v>500000000</v>
      </c>
      <c r="AN192" s="67">
        <v>500000000</v>
      </c>
      <c r="AO192" s="67">
        <v>500000000</v>
      </c>
      <c r="AP192" s="67">
        <v>500000000</v>
      </c>
      <c r="AQ192" s="67">
        <v>500000000</v>
      </c>
      <c r="AR192" s="67">
        <v>500000000</v>
      </c>
      <c r="AS192" s="67">
        <v>700000000</v>
      </c>
      <c r="AT192" s="67">
        <v>700000000</v>
      </c>
      <c r="AU192" s="67">
        <v>700000000</v>
      </c>
      <c r="AV192" s="67">
        <v>700000000</v>
      </c>
      <c r="AW192" s="67">
        <v>700000000</v>
      </c>
      <c r="AX192" s="67">
        <v>700000000</v>
      </c>
      <c r="AY192" s="122">
        <v>7200000000</v>
      </c>
      <c r="AZ192" s="55"/>
      <c r="BA192" s="639">
        <v>529200000</v>
      </c>
      <c r="BB192" s="639">
        <v>529200000</v>
      </c>
      <c r="BC192" s="86">
        <f>285000000+500000000</f>
        <v>785000000</v>
      </c>
      <c r="BD192" s="639">
        <v>529200000</v>
      </c>
      <c r="BE192" s="86">
        <f>529200000+50000000</f>
        <v>579200000</v>
      </c>
      <c r="BF192" s="639">
        <v>529200000</v>
      </c>
      <c r="BG192" s="86">
        <f>2976*193000+550000000</f>
        <v>1124368000</v>
      </c>
      <c r="BH192" s="639"/>
      <c r="BI192" s="86">
        <f>5134*193000+36720000</f>
        <v>1027582000</v>
      </c>
      <c r="BJ192" s="639">
        <v>0</v>
      </c>
      <c r="BK192" s="86">
        <v>1106984000</v>
      </c>
      <c r="BL192" s="639"/>
      <c r="BM192" s="86">
        <v>423284000</v>
      </c>
      <c r="BN192" s="695">
        <v>0</v>
      </c>
      <c r="BO192" s="696">
        <v>540702000</v>
      </c>
      <c r="BP192" s="695"/>
      <c r="BQ192" s="696">
        <v>324666000</v>
      </c>
      <c r="BR192" s="729">
        <v>500000000</v>
      </c>
      <c r="BS192" s="695"/>
      <c r="BT192" s="696">
        <v>264336000</v>
      </c>
      <c r="BU192" s="729">
        <v>550000000</v>
      </c>
      <c r="BV192" s="695"/>
      <c r="BW192" s="696">
        <v>260550000</v>
      </c>
      <c r="BX192" s="729">
        <v>600000000</v>
      </c>
      <c r="BY192" s="695"/>
      <c r="BZ192" s="696">
        <v>260550000</v>
      </c>
      <c r="CA192" s="729">
        <v>650000000</v>
      </c>
      <c r="CB192" s="720">
        <f t="shared" si="78"/>
        <v>4416800000</v>
      </c>
      <c r="CC192" s="721">
        <f t="shared" si="79"/>
        <v>4416800000</v>
      </c>
      <c r="CD192" s="738"/>
      <c r="CE192" s="322">
        <v>402083333</v>
      </c>
      <c r="CF192" s="322">
        <v>402083333</v>
      </c>
      <c r="CG192" s="322">
        <v>402083333</v>
      </c>
      <c r="CH192" s="322">
        <v>402083333</v>
      </c>
      <c r="CI192" s="322">
        <v>402083333</v>
      </c>
      <c r="CJ192" s="322">
        <v>402083333</v>
      </c>
      <c r="CK192" s="322">
        <v>402083333</v>
      </c>
      <c r="CL192" s="322">
        <v>402083333</v>
      </c>
      <c r="CM192" s="322">
        <v>402083333</v>
      </c>
      <c r="CN192" s="322">
        <v>402083333</v>
      </c>
      <c r="CO192" s="322">
        <v>402083333</v>
      </c>
      <c r="CP192" s="322">
        <v>402083333</v>
      </c>
      <c r="CQ192" s="355">
        <f t="shared" si="80"/>
        <v>4824999996</v>
      </c>
      <c r="CR192" s="356">
        <f>CQ192*1.17</f>
        <v>5645249995.3199997</v>
      </c>
      <c r="CS192" s="357">
        <f>CR192*1.1</f>
        <v>6209774994.8520002</v>
      </c>
      <c r="CT192" s="332">
        <f>CS192*1.15</f>
        <v>7141241244.0797997</v>
      </c>
      <c r="CU192" s="358">
        <f>CT192*1.15</f>
        <v>8212427430.6917686</v>
      </c>
      <c r="CV192" s="57" t="s">
        <v>38</v>
      </c>
    </row>
    <row r="193" spans="1:100" ht="15" customHeight="1" outlineLevel="2">
      <c r="A193" s="296"/>
      <c r="B193" s="309"/>
      <c r="C193" s="296"/>
      <c r="D193" s="296"/>
      <c r="E193" s="291" t="s">
        <v>107</v>
      </c>
      <c r="F193" s="305"/>
      <c r="G193" s="207"/>
      <c r="H193" s="69"/>
      <c r="I193" s="69"/>
      <c r="J193" s="69"/>
      <c r="K193" s="69"/>
      <c r="L193" s="69"/>
      <c r="M193" s="69"/>
      <c r="N193" s="69"/>
      <c r="O193" s="69"/>
      <c r="P193" s="69"/>
      <c r="Q193" s="44"/>
      <c r="R193" s="44"/>
      <c r="S193" s="44"/>
      <c r="T193" s="69"/>
      <c r="U193" s="69"/>
      <c r="V193" s="69"/>
      <c r="W193" s="231"/>
      <c r="X193" s="55"/>
      <c r="Y193" s="120">
        <f t="shared" ref="Y193:AJ193" si="85">SUM(Y194:Y196)</f>
        <v>50000000</v>
      </c>
      <c r="Z193" s="120">
        <f t="shared" si="85"/>
        <v>50000000</v>
      </c>
      <c r="AA193" s="120">
        <f t="shared" si="85"/>
        <v>55000000</v>
      </c>
      <c r="AB193" s="120">
        <f t="shared" si="85"/>
        <v>55000000</v>
      </c>
      <c r="AC193" s="120">
        <f t="shared" si="85"/>
        <v>50000000</v>
      </c>
      <c r="AD193" s="120">
        <f t="shared" si="85"/>
        <v>50000000</v>
      </c>
      <c r="AE193" s="120">
        <f t="shared" si="85"/>
        <v>50000000</v>
      </c>
      <c r="AF193" s="120">
        <f t="shared" si="85"/>
        <v>50000000</v>
      </c>
      <c r="AG193" s="120">
        <f t="shared" si="85"/>
        <v>50000000</v>
      </c>
      <c r="AH193" s="120">
        <f t="shared" si="85"/>
        <v>55000000</v>
      </c>
      <c r="AI193" s="120">
        <f t="shared" si="85"/>
        <v>55000000</v>
      </c>
      <c r="AJ193" s="120">
        <f t="shared" si="85"/>
        <v>50000000</v>
      </c>
      <c r="AK193" s="120">
        <f>SUM(AK194:AK196)</f>
        <v>620000000</v>
      </c>
      <c r="AL193" s="55"/>
      <c r="AM193" s="120">
        <f t="shared" ref="AM193:AX193" si="86">SUM(AM194:AM196)</f>
        <v>50000000</v>
      </c>
      <c r="AN193" s="120">
        <f t="shared" si="86"/>
        <v>50000000</v>
      </c>
      <c r="AO193" s="120">
        <f t="shared" si="86"/>
        <v>55000000</v>
      </c>
      <c r="AP193" s="120">
        <f t="shared" si="86"/>
        <v>55000000</v>
      </c>
      <c r="AQ193" s="120">
        <f t="shared" si="86"/>
        <v>50000000</v>
      </c>
      <c r="AR193" s="120">
        <f t="shared" si="86"/>
        <v>50000000</v>
      </c>
      <c r="AS193" s="120">
        <f t="shared" si="86"/>
        <v>50000000</v>
      </c>
      <c r="AT193" s="120">
        <f t="shared" si="86"/>
        <v>50000000</v>
      </c>
      <c r="AU193" s="120">
        <f t="shared" si="86"/>
        <v>50000000</v>
      </c>
      <c r="AV193" s="120">
        <f t="shared" si="86"/>
        <v>55000000</v>
      </c>
      <c r="AW193" s="120">
        <f t="shared" si="86"/>
        <v>55000000</v>
      </c>
      <c r="AX193" s="120">
        <f t="shared" si="86"/>
        <v>50000000</v>
      </c>
      <c r="AY193" s="120">
        <f>SUM(AY194:AY196)</f>
        <v>620000000</v>
      </c>
      <c r="AZ193" s="55"/>
      <c r="BA193" s="120">
        <f>SUM(BA194:BA196)</f>
        <v>0</v>
      </c>
      <c r="BB193" s="120">
        <f t="shared" ref="BB193:CU193" si="87">SUM(BB194:BB196)</f>
        <v>0</v>
      </c>
      <c r="BC193" s="120">
        <f t="shared" si="87"/>
        <v>0</v>
      </c>
      <c r="BD193" s="120">
        <f t="shared" si="87"/>
        <v>48024308</v>
      </c>
      <c r="BE193" s="120">
        <f t="shared" si="87"/>
        <v>15840000</v>
      </c>
      <c r="BF193" s="120">
        <f t="shared" si="87"/>
        <v>25206077</v>
      </c>
      <c r="BG193" s="120">
        <f t="shared" si="87"/>
        <v>20000000</v>
      </c>
      <c r="BH193" s="120">
        <f t="shared" si="87"/>
        <v>29846077</v>
      </c>
      <c r="BI193" s="120">
        <f t="shared" si="87"/>
        <v>52000000</v>
      </c>
      <c r="BJ193" s="120">
        <f t="shared" si="87"/>
        <v>12006077</v>
      </c>
      <c r="BK193" s="120">
        <f t="shared" si="87"/>
        <v>52000000</v>
      </c>
      <c r="BL193" s="120">
        <f t="shared" si="87"/>
        <v>21916077</v>
      </c>
      <c r="BM193" s="120">
        <f t="shared" si="87"/>
        <v>52000000</v>
      </c>
      <c r="BN193" s="702">
        <f t="shared" si="87"/>
        <v>22171077</v>
      </c>
      <c r="BO193" s="702">
        <f t="shared" si="87"/>
        <v>52000000</v>
      </c>
      <c r="BP193" s="702">
        <f t="shared" si="87"/>
        <v>0</v>
      </c>
      <c r="BQ193" s="702">
        <f>SUM(BQ194:BQ196)</f>
        <v>52000000</v>
      </c>
      <c r="BR193" s="702">
        <f>SUM(BR194:BR196)</f>
        <v>42000000</v>
      </c>
      <c r="BS193" s="702">
        <f t="shared" si="87"/>
        <v>0</v>
      </c>
      <c r="BT193" s="702">
        <f>SUM(BT194:BT196)</f>
        <v>52000000</v>
      </c>
      <c r="BU193" s="702">
        <f t="shared" si="87"/>
        <v>42000000</v>
      </c>
      <c r="BV193" s="702">
        <f t="shared" si="87"/>
        <v>0</v>
      </c>
      <c r="BW193" s="702">
        <f>SUM(BW194:BW196)</f>
        <v>52000000</v>
      </c>
      <c r="BX193" s="702">
        <f t="shared" si="87"/>
        <v>47000000</v>
      </c>
      <c r="BY193" s="702">
        <f t="shared" si="87"/>
        <v>0</v>
      </c>
      <c r="BZ193" s="702">
        <f>SUM(BZ194:BZ196)</f>
        <v>52000000</v>
      </c>
      <c r="CA193" s="702">
        <f t="shared" si="87"/>
        <v>47000000</v>
      </c>
      <c r="CB193" s="702">
        <f>SUM(CB194:CB196)</f>
        <v>337169693</v>
      </c>
      <c r="CC193" s="702">
        <f t="shared" si="87"/>
        <v>337169693</v>
      </c>
      <c r="CD193" s="740"/>
      <c r="CE193" s="328">
        <v>30000000</v>
      </c>
      <c r="CF193" s="328">
        <v>30000000</v>
      </c>
      <c r="CG193" s="328">
        <v>30000000</v>
      </c>
      <c r="CH193" s="328">
        <v>30000000</v>
      </c>
      <c r="CI193" s="328">
        <v>30000000</v>
      </c>
      <c r="CJ193" s="328">
        <v>30000000</v>
      </c>
      <c r="CK193" s="328">
        <v>30000000</v>
      </c>
      <c r="CL193" s="328">
        <v>30000000</v>
      </c>
      <c r="CM193" s="328">
        <v>30000000</v>
      </c>
      <c r="CN193" s="328">
        <v>30000000</v>
      </c>
      <c r="CO193" s="328">
        <v>30000000</v>
      </c>
      <c r="CP193" s="328">
        <v>30000000</v>
      </c>
      <c r="CQ193" s="328">
        <f t="shared" si="87"/>
        <v>360000000</v>
      </c>
      <c r="CR193" s="328">
        <f t="shared" si="87"/>
        <v>210600000</v>
      </c>
      <c r="CS193" s="328">
        <f t="shared" si="87"/>
        <v>231660000.00000003</v>
      </c>
      <c r="CT193" s="328">
        <f t="shared" si="87"/>
        <v>259459200.00000006</v>
      </c>
      <c r="CU193" s="328">
        <f t="shared" si="87"/>
        <v>290594304.00000012</v>
      </c>
      <c r="CV193" s="57"/>
    </row>
    <row r="194" spans="1:100" ht="15" customHeight="1" outlineLevel="2">
      <c r="A194" s="276" t="s">
        <v>194</v>
      </c>
      <c r="C194" s="276" t="s">
        <v>36</v>
      </c>
      <c r="D194" s="276" t="s">
        <v>108</v>
      </c>
      <c r="E194" s="288" t="s">
        <v>62</v>
      </c>
      <c r="F194" s="303">
        <v>8000000065</v>
      </c>
      <c r="G194" s="64"/>
      <c r="H194" s="65"/>
      <c r="I194" s="65"/>
      <c r="J194" s="65"/>
      <c r="K194" s="65"/>
      <c r="L194" s="65"/>
      <c r="M194" s="65"/>
      <c r="N194" s="65"/>
      <c r="O194" s="65"/>
      <c r="P194" s="81"/>
      <c r="Q194" s="81"/>
      <c r="R194" s="81"/>
      <c r="S194" s="81"/>
      <c r="T194" s="69"/>
      <c r="U194" s="69"/>
      <c r="V194" s="69"/>
      <c r="W194" s="66"/>
      <c r="X194" s="55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61"/>
      <c r="AL194" s="55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122"/>
      <c r="AZ194" s="55"/>
      <c r="BA194" s="639"/>
      <c r="BB194" s="639"/>
      <c r="BC194" s="86"/>
      <c r="BD194" s="639">
        <v>48024308</v>
      </c>
      <c r="BE194" s="86"/>
      <c r="BF194" s="639">
        <v>12006077</v>
      </c>
      <c r="BG194" s="86"/>
      <c r="BH194" s="639">
        <v>12006077</v>
      </c>
      <c r="BI194" s="86">
        <v>12000000</v>
      </c>
      <c r="BJ194" s="639">
        <v>12006077</v>
      </c>
      <c r="BK194" s="86">
        <v>12000000</v>
      </c>
      <c r="BL194" s="639">
        <v>12006077</v>
      </c>
      <c r="BM194" s="86">
        <v>12000000</v>
      </c>
      <c r="BN194" s="695">
        <v>12006077</v>
      </c>
      <c r="BO194" s="696">
        <v>12000000</v>
      </c>
      <c r="BP194" s="695"/>
      <c r="BQ194" s="696">
        <v>12000000</v>
      </c>
      <c r="BR194" s="729">
        <v>12000000</v>
      </c>
      <c r="BS194" s="695"/>
      <c r="BT194" s="696">
        <v>12000000</v>
      </c>
      <c r="BU194" s="729">
        <v>12000000</v>
      </c>
      <c r="BV194" s="695"/>
      <c r="BW194" s="696">
        <v>12000000</v>
      </c>
      <c r="BX194" s="729">
        <v>12000000</v>
      </c>
      <c r="BY194" s="695"/>
      <c r="BZ194" s="696">
        <v>12000000</v>
      </c>
      <c r="CA194" s="729">
        <v>12000000</v>
      </c>
      <c r="CB194" s="720">
        <f>SUM(BA194,BB194,BD194,BF194,BH194,BJ194,BL194,BN194,BP194,BR194,BU194,BX194,CA194)</f>
        <v>156054693</v>
      </c>
      <c r="CC194" s="721">
        <f>SUM(BA194,BB194,BD194,BF194,BH194,BJ194,BL194,BN194,BR194,BU194,BX194,CA194)</f>
        <v>156054693</v>
      </c>
      <c r="CD194" s="738"/>
      <c r="CE194" s="322"/>
      <c r="CF194" s="322"/>
      <c r="CG194" s="322"/>
      <c r="CH194" s="322"/>
      <c r="CI194" s="322"/>
      <c r="CJ194" s="322"/>
      <c r="CK194" s="322"/>
      <c r="CL194" s="322"/>
      <c r="CM194" s="322"/>
      <c r="CN194" s="322"/>
      <c r="CO194" s="322"/>
      <c r="CP194" s="322"/>
      <c r="CQ194" s="355">
        <f>SUM(CE194,CF194,CG194,CH194,CI194,CJ194,CK194,CL194,CM194,CN194,CO194,CP194)</f>
        <v>0</v>
      </c>
      <c r="CR194" s="356"/>
      <c r="CS194" s="357"/>
      <c r="CT194" s="332"/>
      <c r="CU194" s="358"/>
      <c r="CV194" s="57" t="s">
        <v>42</v>
      </c>
    </row>
    <row r="195" spans="1:100" ht="15.75" customHeight="1" outlineLevel="2">
      <c r="A195" s="276" t="s">
        <v>196</v>
      </c>
      <c r="B195" s="277" t="str">
        <f>$E$171&amp;$E$6&amp;E195</f>
        <v>PACK SURABAYAPACKAGEHASA PRIMA KIMIA</v>
      </c>
      <c r="C195" s="276" t="s">
        <v>36</v>
      </c>
      <c r="D195" s="276" t="s">
        <v>108</v>
      </c>
      <c r="E195" s="288" t="s">
        <v>73</v>
      </c>
      <c r="F195" s="287">
        <v>3000020184</v>
      </c>
      <c r="G195" s="45"/>
      <c r="H195" s="65"/>
      <c r="I195" s="65"/>
      <c r="J195" s="65"/>
      <c r="K195" s="65"/>
      <c r="L195" s="65"/>
      <c r="M195" s="65"/>
      <c r="N195" s="65"/>
      <c r="O195" s="65"/>
      <c r="P195" s="81"/>
      <c r="Q195" s="81"/>
      <c r="R195" s="81"/>
      <c r="S195" s="81">
        <v>9600000</v>
      </c>
      <c r="T195" s="65"/>
      <c r="U195" s="65"/>
      <c r="V195" s="65"/>
      <c r="W195" s="66">
        <f>SUM(H195:S195)</f>
        <v>9600000</v>
      </c>
      <c r="X195" s="55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1">
        <v>0</v>
      </c>
      <c r="AL195" s="55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122">
        <v>0</v>
      </c>
      <c r="AZ195" s="55"/>
      <c r="BA195" s="639"/>
      <c r="BB195" s="639">
        <v>0</v>
      </c>
      <c r="BC195" s="86">
        <v>0</v>
      </c>
      <c r="BD195" s="639">
        <v>0</v>
      </c>
      <c r="BE195" s="86">
        <v>15840000</v>
      </c>
      <c r="BF195" s="639">
        <v>13200000</v>
      </c>
      <c r="BG195" s="86">
        <v>20000000</v>
      </c>
      <c r="BH195" s="639">
        <v>3600000</v>
      </c>
      <c r="BI195" s="86">
        <v>20000000</v>
      </c>
      <c r="BJ195" s="639">
        <v>0</v>
      </c>
      <c r="BK195" s="86">
        <v>20000000</v>
      </c>
      <c r="BL195" s="639"/>
      <c r="BM195" s="86">
        <v>20000000</v>
      </c>
      <c r="BN195" s="695">
        <v>0</v>
      </c>
      <c r="BO195" s="696">
        <v>20000000</v>
      </c>
      <c r="BP195" s="695"/>
      <c r="BQ195" s="696">
        <v>20000000</v>
      </c>
      <c r="BR195" s="729">
        <v>15000000</v>
      </c>
      <c r="BS195" s="695"/>
      <c r="BT195" s="696">
        <v>20000000</v>
      </c>
      <c r="BU195" s="729">
        <v>15000000</v>
      </c>
      <c r="BV195" s="695"/>
      <c r="BW195" s="696">
        <v>20000000</v>
      </c>
      <c r="BX195" s="729">
        <v>15000000</v>
      </c>
      <c r="BY195" s="695"/>
      <c r="BZ195" s="696">
        <v>20000000</v>
      </c>
      <c r="CA195" s="729">
        <v>15000000</v>
      </c>
      <c r="CB195" s="720">
        <f>SUM(BA195,BB195,BD195,BF195,BH195,BJ195,BL195,BN195,BP195,BR195,BU195,BX195,CA195)</f>
        <v>76800000</v>
      </c>
      <c r="CC195" s="721">
        <f>SUM(BA195,BB195,BD195,BF195,BH195,BJ195,BL195,BN195,BR195,BU195,BX195,CA195)</f>
        <v>76800000</v>
      </c>
      <c r="CD195" s="738"/>
      <c r="CE195" s="322">
        <v>15000000</v>
      </c>
      <c r="CF195" s="322">
        <v>15000000</v>
      </c>
      <c r="CG195" s="322">
        <v>15000000</v>
      </c>
      <c r="CH195" s="322">
        <v>15000000</v>
      </c>
      <c r="CI195" s="322">
        <v>15000000</v>
      </c>
      <c r="CJ195" s="322">
        <v>15000000</v>
      </c>
      <c r="CK195" s="322">
        <v>15000000</v>
      </c>
      <c r="CL195" s="322">
        <v>15000000</v>
      </c>
      <c r="CM195" s="322">
        <v>15000000</v>
      </c>
      <c r="CN195" s="322">
        <v>15000000</v>
      </c>
      <c r="CO195" s="322">
        <v>15000000</v>
      </c>
      <c r="CP195" s="322">
        <v>15000000</v>
      </c>
      <c r="CQ195" s="355">
        <f>SUM(CE195,CF195,CG195,CH195,CI195,CJ195,CK195,CL195,CM195,CN195,CO195,CP195)</f>
        <v>180000000</v>
      </c>
      <c r="CR195" s="356"/>
      <c r="CS195" s="357"/>
      <c r="CT195" s="332"/>
      <c r="CU195" s="358"/>
      <c r="CV195" s="57" t="s">
        <v>38</v>
      </c>
    </row>
    <row r="196" spans="1:100" ht="15.75" customHeight="1" outlineLevel="2">
      <c r="A196" s="276" t="s">
        <v>194</v>
      </c>
      <c r="B196" s="277" t="str">
        <f>$E$171&amp;$E$6&amp;E196</f>
        <v>PACK SURABAYAPACKAGEGCM MARKETING SOLUTIONS INDONESIA</v>
      </c>
      <c r="C196" s="276" t="s">
        <v>36</v>
      </c>
      <c r="D196" s="276" t="s">
        <v>108</v>
      </c>
      <c r="E196" s="288" t="s">
        <v>114</v>
      </c>
      <c r="F196" s="303" t="s">
        <v>207</v>
      </c>
      <c r="G196" s="45"/>
      <c r="H196" s="65"/>
      <c r="I196" s="65"/>
      <c r="J196" s="65"/>
      <c r="K196" s="65"/>
      <c r="L196" s="65"/>
      <c r="M196" s="65"/>
      <c r="N196" s="65"/>
      <c r="O196" s="65"/>
      <c r="P196" s="81"/>
      <c r="Q196" s="81"/>
      <c r="R196" s="81"/>
      <c r="S196" s="81"/>
      <c r="T196" s="65"/>
      <c r="U196" s="65"/>
      <c r="V196" s="65"/>
      <c r="W196" s="66">
        <f>SUM(H196:S196)</f>
        <v>0</v>
      </c>
      <c r="X196" s="55"/>
      <c r="Y196" s="85">
        <v>50000000</v>
      </c>
      <c r="Z196" s="85">
        <v>50000000</v>
      </c>
      <c r="AA196" s="85">
        <v>55000000</v>
      </c>
      <c r="AB196" s="85">
        <v>55000000</v>
      </c>
      <c r="AC196" s="85">
        <v>50000000</v>
      </c>
      <c r="AD196" s="85">
        <v>50000000</v>
      </c>
      <c r="AE196" s="85">
        <v>50000000</v>
      </c>
      <c r="AF196" s="85">
        <v>50000000</v>
      </c>
      <c r="AG196" s="85">
        <v>50000000</v>
      </c>
      <c r="AH196" s="85">
        <v>55000000</v>
      </c>
      <c r="AI196" s="85">
        <v>55000000</v>
      </c>
      <c r="AJ196" s="85">
        <v>50000000</v>
      </c>
      <c r="AK196" s="61">
        <v>620000000</v>
      </c>
      <c r="AL196" s="55"/>
      <c r="AM196" s="85">
        <v>50000000</v>
      </c>
      <c r="AN196" s="85">
        <v>50000000</v>
      </c>
      <c r="AO196" s="85">
        <v>55000000</v>
      </c>
      <c r="AP196" s="85">
        <v>55000000</v>
      </c>
      <c r="AQ196" s="85">
        <v>50000000</v>
      </c>
      <c r="AR196" s="85">
        <v>50000000</v>
      </c>
      <c r="AS196" s="85">
        <v>50000000</v>
      </c>
      <c r="AT196" s="85">
        <v>50000000</v>
      </c>
      <c r="AU196" s="85">
        <v>50000000</v>
      </c>
      <c r="AV196" s="85">
        <v>55000000</v>
      </c>
      <c r="AW196" s="85">
        <v>55000000</v>
      </c>
      <c r="AX196" s="85">
        <v>50000000</v>
      </c>
      <c r="AY196" s="122">
        <v>620000000</v>
      </c>
      <c r="AZ196" s="55"/>
      <c r="BA196" s="639">
        <v>0</v>
      </c>
      <c r="BB196" s="639">
        <v>0</v>
      </c>
      <c r="BC196" s="86"/>
      <c r="BD196" s="639">
        <v>0</v>
      </c>
      <c r="BE196" s="86"/>
      <c r="BF196" s="639">
        <v>0</v>
      </c>
      <c r="BG196" s="86"/>
      <c r="BH196" s="639">
        <v>14240000</v>
      </c>
      <c r="BI196" s="86">
        <v>20000000</v>
      </c>
      <c r="BJ196" s="639"/>
      <c r="BK196" s="86">
        <v>20000000</v>
      </c>
      <c r="BL196" s="639">
        <v>9910000</v>
      </c>
      <c r="BM196" s="86">
        <v>20000000</v>
      </c>
      <c r="BN196" s="695">
        <v>10165000</v>
      </c>
      <c r="BO196" s="696">
        <v>20000000</v>
      </c>
      <c r="BP196" s="695"/>
      <c r="BQ196" s="696">
        <v>20000000</v>
      </c>
      <c r="BR196" s="729">
        <v>15000000</v>
      </c>
      <c r="BS196" s="695"/>
      <c r="BT196" s="696">
        <v>20000000</v>
      </c>
      <c r="BU196" s="729">
        <v>15000000</v>
      </c>
      <c r="BV196" s="695"/>
      <c r="BW196" s="696">
        <v>20000000</v>
      </c>
      <c r="BX196" s="729">
        <v>20000000</v>
      </c>
      <c r="BY196" s="695"/>
      <c r="BZ196" s="696">
        <v>20000000</v>
      </c>
      <c r="CA196" s="729">
        <v>20000000</v>
      </c>
      <c r="CB196" s="720">
        <f>SUM(BA196,BB196,BD196,BF196,BH196,BJ196,BL196,BN196,BP196,BR196,BU196,BX196,CA196)</f>
        <v>104315000</v>
      </c>
      <c r="CC196" s="721">
        <f>SUM(BA196,BB196,BD196,BF196,BH196,BJ196,BL196,BN196,BR196,BU196,BX196,CA196)</f>
        <v>104315000</v>
      </c>
      <c r="CD196" s="738"/>
      <c r="CE196" s="322">
        <v>15000000</v>
      </c>
      <c r="CF196" s="322">
        <v>15000000</v>
      </c>
      <c r="CG196" s="322">
        <v>15000000</v>
      </c>
      <c r="CH196" s="322">
        <v>15000000</v>
      </c>
      <c r="CI196" s="322">
        <v>15000000</v>
      </c>
      <c r="CJ196" s="322">
        <v>15000000</v>
      </c>
      <c r="CK196" s="322">
        <v>15000000</v>
      </c>
      <c r="CL196" s="322">
        <v>15000000</v>
      </c>
      <c r="CM196" s="322">
        <v>15000000</v>
      </c>
      <c r="CN196" s="322">
        <v>15000000</v>
      </c>
      <c r="CO196" s="322">
        <v>15000000</v>
      </c>
      <c r="CP196" s="322">
        <v>15000000</v>
      </c>
      <c r="CQ196" s="355">
        <f>SUM(CE196,CF196,CG196,CH196,CI196,CJ196,CK196,CL196,CM196,CN196,CO196,CP196)</f>
        <v>180000000</v>
      </c>
      <c r="CR196" s="356">
        <f>CQ196*1.17</f>
        <v>210600000</v>
      </c>
      <c r="CS196" s="357">
        <f>CR196*1.1</f>
        <v>231660000.00000003</v>
      </c>
      <c r="CT196" s="332">
        <f>CS196*1.12</f>
        <v>259459200.00000006</v>
      </c>
      <c r="CU196" s="358">
        <f>CT196*1.12</f>
        <v>290594304.00000012</v>
      </c>
      <c r="CV196" s="57" t="s">
        <v>38</v>
      </c>
    </row>
    <row r="197" spans="1:100" ht="15" customHeight="1" outlineLevel="2">
      <c r="A197" s="307"/>
      <c r="B197" s="307"/>
      <c r="C197" s="307"/>
      <c r="D197" s="307"/>
      <c r="E197" s="295" t="s">
        <v>120</v>
      </c>
      <c r="F197" s="307"/>
      <c r="G197" s="71"/>
      <c r="H197" s="71"/>
      <c r="I197" s="71"/>
      <c r="J197" s="71"/>
      <c r="K197" s="71"/>
      <c r="L197" s="71"/>
      <c r="M197" s="71"/>
      <c r="N197" s="71"/>
      <c r="O197" s="71"/>
      <c r="P197" s="70"/>
      <c r="Q197" s="70"/>
      <c r="R197" s="70"/>
      <c r="S197" s="70"/>
      <c r="T197" s="71"/>
      <c r="U197" s="71"/>
      <c r="V197" s="71"/>
      <c r="W197" s="232"/>
      <c r="X197" s="55"/>
      <c r="Y197" s="107">
        <f t="shared" ref="Y197:AK197" si="88">SUM(Y198:Y220)</f>
        <v>1625000000</v>
      </c>
      <c r="Z197" s="107">
        <f t="shared" si="88"/>
        <v>1625000000</v>
      </c>
      <c r="AA197" s="107">
        <f t="shared" si="88"/>
        <v>1625000000</v>
      </c>
      <c r="AB197" s="107">
        <f t="shared" si="88"/>
        <v>1625000000</v>
      </c>
      <c r="AC197" s="107">
        <f t="shared" si="88"/>
        <v>1725000000</v>
      </c>
      <c r="AD197" s="107">
        <f t="shared" si="88"/>
        <v>1995000000</v>
      </c>
      <c r="AE197" s="107">
        <f t="shared" si="88"/>
        <v>2000000000</v>
      </c>
      <c r="AF197" s="107">
        <f t="shared" si="88"/>
        <v>1995000000</v>
      </c>
      <c r="AG197" s="107">
        <f t="shared" si="88"/>
        <v>2100000000</v>
      </c>
      <c r="AH197" s="107">
        <f t="shared" si="88"/>
        <v>2095000000</v>
      </c>
      <c r="AI197" s="107">
        <f t="shared" si="88"/>
        <v>2100000000</v>
      </c>
      <c r="AJ197" s="107">
        <f t="shared" si="88"/>
        <v>2100000000</v>
      </c>
      <c r="AK197" s="107">
        <f t="shared" si="88"/>
        <v>22610000000</v>
      </c>
      <c r="AL197" s="55"/>
      <c r="AM197" s="107">
        <f t="shared" ref="AM197:AY197" si="89">SUM(AM198:AM220)</f>
        <v>1625000000</v>
      </c>
      <c r="AN197" s="107">
        <f t="shared" si="89"/>
        <v>1625000000</v>
      </c>
      <c r="AO197" s="107">
        <f t="shared" si="89"/>
        <v>1625000000</v>
      </c>
      <c r="AP197" s="107">
        <f t="shared" si="89"/>
        <v>1625000000</v>
      </c>
      <c r="AQ197" s="107">
        <f t="shared" si="89"/>
        <v>1725000000</v>
      </c>
      <c r="AR197" s="107">
        <f t="shared" si="89"/>
        <v>1995000000</v>
      </c>
      <c r="AS197" s="107">
        <f t="shared" si="89"/>
        <v>2000000000</v>
      </c>
      <c r="AT197" s="107">
        <f t="shared" si="89"/>
        <v>1995000000</v>
      </c>
      <c r="AU197" s="107">
        <f t="shared" si="89"/>
        <v>2100000000</v>
      </c>
      <c r="AV197" s="107">
        <f t="shared" si="89"/>
        <v>2095000000</v>
      </c>
      <c r="AW197" s="107">
        <f t="shared" si="89"/>
        <v>2100000000</v>
      </c>
      <c r="AX197" s="107">
        <f t="shared" si="89"/>
        <v>2100000000</v>
      </c>
      <c r="AY197" s="107">
        <f t="shared" si="89"/>
        <v>22610000000</v>
      </c>
      <c r="AZ197" s="55"/>
      <c r="BA197" s="107">
        <f t="shared" ref="BA197:CC197" si="90">SUM(BA198:BA220)</f>
        <v>0</v>
      </c>
      <c r="BB197" s="107">
        <f t="shared" si="90"/>
        <v>0</v>
      </c>
      <c r="BC197" s="107">
        <f t="shared" si="90"/>
        <v>0</v>
      </c>
      <c r="BD197" s="107">
        <f t="shared" si="90"/>
        <v>0</v>
      </c>
      <c r="BE197" s="107">
        <f t="shared" si="90"/>
        <v>0</v>
      </c>
      <c r="BF197" s="107">
        <f t="shared" si="90"/>
        <v>0</v>
      </c>
      <c r="BG197" s="107">
        <f t="shared" si="90"/>
        <v>0</v>
      </c>
      <c r="BH197" s="107">
        <f t="shared" si="90"/>
        <v>0</v>
      </c>
      <c r="BI197" s="107">
        <f t="shared" si="90"/>
        <v>0</v>
      </c>
      <c r="BJ197" s="107">
        <f t="shared" si="90"/>
        <v>0</v>
      </c>
      <c r="BK197" s="107">
        <f t="shared" si="90"/>
        <v>170000000</v>
      </c>
      <c r="BL197" s="107">
        <f t="shared" si="90"/>
        <v>0</v>
      </c>
      <c r="BM197" s="107">
        <f t="shared" si="90"/>
        <v>1069999999.999999</v>
      </c>
      <c r="BN197" s="698">
        <f t="shared" si="90"/>
        <v>0</v>
      </c>
      <c r="BO197" s="698">
        <f t="shared" si="90"/>
        <v>2034999999.999999</v>
      </c>
      <c r="BP197" s="698">
        <f t="shared" si="90"/>
        <v>0</v>
      </c>
      <c r="BQ197" s="698">
        <f>SUM(BQ198:BQ220)</f>
        <v>3606999999.999999</v>
      </c>
      <c r="BR197" s="698">
        <f>SUM(BR198:BR220)</f>
        <v>0</v>
      </c>
      <c r="BS197" s="698">
        <f t="shared" si="90"/>
        <v>0</v>
      </c>
      <c r="BT197" s="698">
        <f>SUM(BT198:BT220)</f>
        <v>3982999999.999999</v>
      </c>
      <c r="BU197" s="698">
        <f t="shared" si="90"/>
        <v>376000000</v>
      </c>
      <c r="BV197" s="698">
        <f t="shared" si="90"/>
        <v>0</v>
      </c>
      <c r="BW197" s="698">
        <f>SUM(BW198:BW220)</f>
        <v>4408000000</v>
      </c>
      <c r="BX197" s="698">
        <f t="shared" si="90"/>
        <v>376000000</v>
      </c>
      <c r="BY197" s="698">
        <f t="shared" si="90"/>
        <v>0</v>
      </c>
      <c r="BZ197" s="698">
        <f>SUM(BZ198:BZ220)</f>
        <v>4408000000</v>
      </c>
      <c r="CA197" s="698">
        <f t="shared" si="90"/>
        <v>576000000</v>
      </c>
      <c r="CB197" s="698">
        <f t="shared" si="90"/>
        <v>1328000000</v>
      </c>
      <c r="CC197" s="698">
        <f t="shared" si="90"/>
        <v>1328000000</v>
      </c>
      <c r="CD197" s="738"/>
      <c r="CE197" s="325">
        <f>SUM(CE198:CE228)</f>
        <v>585000000</v>
      </c>
      <c r="CF197" s="325">
        <f>SUM(CF198:CF228)</f>
        <v>660000000</v>
      </c>
      <c r="CG197" s="325">
        <f>SUM(CG198:CG233)</f>
        <v>1211900000</v>
      </c>
      <c r="CH197" s="325">
        <f t="shared" ref="CH197:CQ197" si="91">SUM(CH198:CH233)</f>
        <v>1386900000</v>
      </c>
      <c r="CI197" s="325">
        <f t="shared" si="91"/>
        <v>1360000000</v>
      </c>
      <c r="CJ197" s="325">
        <f t="shared" si="91"/>
        <v>1410000000</v>
      </c>
      <c r="CK197" s="325">
        <f t="shared" si="91"/>
        <v>1410000000</v>
      </c>
      <c r="CL197" s="325">
        <f t="shared" si="91"/>
        <v>1410000000</v>
      </c>
      <c r="CM197" s="325">
        <f t="shared" si="91"/>
        <v>1460000000</v>
      </c>
      <c r="CN197" s="325">
        <f t="shared" si="91"/>
        <v>1460000000</v>
      </c>
      <c r="CO197" s="325">
        <f t="shared" si="91"/>
        <v>1537000000</v>
      </c>
      <c r="CP197" s="325">
        <f t="shared" si="91"/>
        <v>1537000000</v>
      </c>
      <c r="CQ197" s="325">
        <f t="shared" si="91"/>
        <v>15427800000</v>
      </c>
      <c r="CR197" s="325">
        <f>SUM(CR198:CR228)</f>
        <v>3100500000</v>
      </c>
      <c r="CS197" s="325">
        <f>SUM(CS198:CS228)</f>
        <v>10610550000</v>
      </c>
      <c r="CT197" s="325">
        <f>SUM(CT198:CT228)</f>
        <v>30243960000</v>
      </c>
      <c r="CU197" s="325">
        <f>SUM(CU198:CU228)</f>
        <v>32134608000</v>
      </c>
      <c r="CV197" s="57"/>
    </row>
    <row r="198" spans="1:100" ht="15.75" customHeight="1" outlineLevel="2">
      <c r="A198" s="276" t="s">
        <v>194</v>
      </c>
      <c r="B198" s="277" t="str">
        <f>$E$171&amp;$E$6&amp;E198</f>
        <v>PACK SURABAYAPACKAGEASIAN PAINTS INDONESIA</v>
      </c>
      <c r="C198" s="276" t="s">
        <v>36</v>
      </c>
      <c r="D198" s="297" t="s">
        <v>121</v>
      </c>
      <c r="E198" s="288" t="s">
        <v>208</v>
      </c>
      <c r="F198" s="288"/>
      <c r="G198" s="45"/>
      <c r="H198" s="65"/>
      <c r="I198" s="65"/>
      <c r="J198" s="65"/>
      <c r="K198" s="65"/>
      <c r="L198" s="65"/>
      <c r="M198" s="65"/>
      <c r="N198" s="65"/>
      <c r="O198" s="65"/>
      <c r="P198" s="81"/>
      <c r="Q198" s="81"/>
      <c r="R198" s="81"/>
      <c r="S198" s="81"/>
      <c r="T198" s="65"/>
      <c r="U198" s="65"/>
      <c r="V198" s="65"/>
      <c r="W198" s="66">
        <f>SUM(H198:S198)</f>
        <v>0</v>
      </c>
      <c r="X198" s="55"/>
      <c r="Y198" s="85">
        <v>30000000</v>
      </c>
      <c r="Z198" s="85">
        <v>30000000</v>
      </c>
      <c r="AA198" s="85">
        <v>30000000</v>
      </c>
      <c r="AB198" s="85">
        <v>30000000</v>
      </c>
      <c r="AC198" s="85">
        <v>30000000</v>
      </c>
      <c r="AD198" s="85">
        <v>30000000</v>
      </c>
      <c r="AE198" s="85">
        <v>35000000</v>
      </c>
      <c r="AF198" s="85">
        <v>30000000</v>
      </c>
      <c r="AG198" s="85">
        <v>35000000</v>
      </c>
      <c r="AH198" s="85">
        <v>30000000</v>
      </c>
      <c r="AI198" s="85">
        <v>35000000</v>
      </c>
      <c r="AJ198" s="85">
        <v>35000000</v>
      </c>
      <c r="AK198" s="61">
        <v>380000000</v>
      </c>
      <c r="AL198" s="55"/>
      <c r="AM198" s="85">
        <v>30000000</v>
      </c>
      <c r="AN198" s="85">
        <v>30000000</v>
      </c>
      <c r="AO198" s="85">
        <v>30000000</v>
      </c>
      <c r="AP198" s="85">
        <v>30000000</v>
      </c>
      <c r="AQ198" s="85">
        <v>30000000</v>
      </c>
      <c r="AR198" s="85">
        <v>30000000</v>
      </c>
      <c r="AS198" s="85">
        <v>35000000</v>
      </c>
      <c r="AT198" s="85">
        <v>30000000</v>
      </c>
      <c r="AU198" s="85">
        <v>35000000</v>
      </c>
      <c r="AV198" s="85">
        <v>30000000</v>
      </c>
      <c r="AW198" s="85">
        <v>35000000</v>
      </c>
      <c r="AX198" s="85">
        <v>35000000</v>
      </c>
      <c r="AY198" s="122">
        <v>380000000</v>
      </c>
      <c r="AZ198" s="55"/>
      <c r="BA198" s="639">
        <v>0</v>
      </c>
      <c r="BB198" s="639">
        <v>0</v>
      </c>
      <c r="BC198" s="86"/>
      <c r="BD198" s="639">
        <v>0</v>
      </c>
      <c r="BE198" s="86"/>
      <c r="BF198" s="639">
        <v>0</v>
      </c>
      <c r="BG198" s="86"/>
      <c r="BH198" s="639"/>
      <c r="BI198" s="86"/>
      <c r="BJ198" s="639"/>
      <c r="BK198" s="86"/>
      <c r="BL198" s="639"/>
      <c r="BM198" s="86"/>
      <c r="BN198" s="695"/>
      <c r="BO198" s="696"/>
      <c r="BP198" s="695"/>
      <c r="BQ198" s="696"/>
      <c r="BR198" s="729"/>
      <c r="BS198" s="695"/>
      <c r="BT198" s="696"/>
      <c r="BU198" s="729"/>
      <c r="BV198" s="695"/>
      <c r="BW198" s="696"/>
      <c r="BX198" s="729"/>
      <c r="BY198" s="695"/>
      <c r="BZ198" s="696"/>
      <c r="CA198" s="729"/>
      <c r="CB198" s="720">
        <f t="shared" ref="CB198:CB228" si="92">SUM(BA198,BB198,BD198,BF198,BH198,BJ198,BL198,BN198,BP198,BR198,BU198,BX198,CA198)</f>
        <v>0</v>
      </c>
      <c r="CC198" s="721">
        <f t="shared" ref="CC198:CC228" si="93">SUM(BA198,BB198,BD198,BF198,BH198,BJ198,BL198,BN198,BR198,BU198,BX198,CA198)</f>
        <v>0</v>
      </c>
      <c r="CD198" s="738"/>
      <c r="CE198" s="322"/>
      <c r="CF198" s="322"/>
      <c r="CG198" s="322"/>
      <c r="CH198" s="322"/>
      <c r="CI198" s="322"/>
      <c r="CJ198" s="322"/>
      <c r="CK198" s="322"/>
      <c r="CL198" s="322"/>
      <c r="CM198" s="322"/>
      <c r="CN198" s="322"/>
      <c r="CO198" s="322"/>
      <c r="CP198" s="322"/>
      <c r="CQ198" s="355">
        <f t="shared" ref="CQ198:CQ233" si="94">SUM(CE198,CF198,CG198,CH198,CI198,CJ198,CK198,CL198,CM198,CN198,CO198,CP198)</f>
        <v>0</v>
      </c>
      <c r="CR198" s="356">
        <f>CQ198*1.17</f>
        <v>0</v>
      </c>
      <c r="CS198" s="357">
        <f>CR198*1.1</f>
        <v>0</v>
      </c>
      <c r="CT198" s="332">
        <f>CS198*1.12</f>
        <v>0</v>
      </c>
      <c r="CU198" s="358">
        <f>CT198*1.12</f>
        <v>0</v>
      </c>
      <c r="CV198" s="57" t="s">
        <v>38</v>
      </c>
    </row>
    <row r="199" spans="1:100" ht="15.75" customHeight="1" outlineLevel="2">
      <c r="A199" s="296"/>
      <c r="C199" s="276" t="s">
        <v>36</v>
      </c>
      <c r="D199" s="297" t="s">
        <v>121</v>
      </c>
      <c r="E199" s="288" t="s">
        <v>209</v>
      </c>
      <c r="F199" s="288"/>
      <c r="G199" s="45"/>
      <c r="H199" s="65"/>
      <c r="I199" s="65"/>
      <c r="J199" s="65"/>
      <c r="K199" s="65"/>
      <c r="L199" s="65"/>
      <c r="M199" s="65"/>
      <c r="N199" s="65"/>
      <c r="O199" s="65"/>
      <c r="P199" s="81"/>
      <c r="Q199" s="81"/>
      <c r="R199" s="81"/>
      <c r="S199" s="81"/>
      <c r="T199" s="65"/>
      <c r="U199" s="65"/>
      <c r="V199" s="65"/>
      <c r="W199" s="66"/>
      <c r="X199" s="55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1"/>
      <c r="AL199" s="55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122"/>
      <c r="AZ199" s="55"/>
      <c r="BA199" s="639"/>
      <c r="BB199" s="639"/>
      <c r="BC199" s="86"/>
      <c r="BD199" s="639"/>
      <c r="BE199" s="86"/>
      <c r="BF199" s="639"/>
      <c r="BG199" s="86"/>
      <c r="BH199" s="639"/>
      <c r="BI199" s="86"/>
      <c r="BJ199" s="639"/>
      <c r="BK199" s="86"/>
      <c r="BL199" s="639"/>
      <c r="BM199" s="86">
        <v>350000000</v>
      </c>
      <c r="BN199" s="695"/>
      <c r="BO199" s="696">
        <v>350000000</v>
      </c>
      <c r="BP199" s="695"/>
      <c r="BQ199" s="696">
        <v>350000000</v>
      </c>
      <c r="BR199" s="729">
        <v>0</v>
      </c>
      <c r="BS199" s="695"/>
      <c r="BT199" s="696">
        <v>350000000</v>
      </c>
      <c r="BU199" s="729">
        <v>0</v>
      </c>
      <c r="BV199" s="695"/>
      <c r="BW199" s="696">
        <v>350000000</v>
      </c>
      <c r="BX199" s="729">
        <v>0</v>
      </c>
      <c r="BY199" s="695"/>
      <c r="BZ199" s="696">
        <v>350000000</v>
      </c>
      <c r="CA199" s="729">
        <v>0</v>
      </c>
      <c r="CB199" s="720">
        <f t="shared" si="92"/>
        <v>0</v>
      </c>
      <c r="CC199" s="721">
        <f t="shared" si="93"/>
        <v>0</v>
      </c>
      <c r="CD199" s="738"/>
      <c r="CE199" s="322"/>
      <c r="CF199" s="322"/>
      <c r="CG199" s="322"/>
      <c r="CH199" s="322"/>
      <c r="CI199" s="322"/>
      <c r="CJ199" s="322"/>
      <c r="CK199" s="322"/>
      <c r="CL199" s="322"/>
      <c r="CM199" s="322"/>
      <c r="CN199" s="322"/>
      <c r="CO199" s="322"/>
      <c r="CP199" s="322"/>
      <c r="CQ199" s="355">
        <f t="shared" si="94"/>
        <v>0</v>
      </c>
      <c r="CR199" s="356"/>
      <c r="CS199" s="357"/>
      <c r="CT199" s="332"/>
      <c r="CU199" s="358"/>
      <c r="CV199" s="57" t="s">
        <v>38</v>
      </c>
    </row>
    <row r="200" spans="1:100" ht="15" customHeight="1" outlineLevel="2">
      <c r="A200" s="276" t="s">
        <v>194</v>
      </c>
      <c r="B200" s="277" t="str">
        <f>$E$171&amp;$E$6&amp;E200</f>
        <v>PACK SURABAYAPACKAGEAZELIS</v>
      </c>
      <c r="C200" s="276" t="s">
        <v>36</v>
      </c>
      <c r="D200" s="297" t="s">
        <v>121</v>
      </c>
      <c r="E200" s="288" t="s">
        <v>210</v>
      </c>
      <c r="F200" s="288"/>
      <c r="G200" s="65"/>
      <c r="H200" s="65">
        <v>0</v>
      </c>
      <c r="I200" s="65">
        <v>0</v>
      </c>
      <c r="J200" s="65">
        <v>0</v>
      </c>
      <c r="K200" s="65">
        <v>0</v>
      </c>
      <c r="L200" s="65">
        <v>0</v>
      </c>
      <c r="M200" s="65">
        <v>0</v>
      </c>
      <c r="N200" s="65">
        <v>0</v>
      </c>
      <c r="O200" s="65"/>
      <c r="P200" s="81">
        <v>0</v>
      </c>
      <c r="Q200" s="81"/>
      <c r="R200" s="81"/>
      <c r="S200" s="81"/>
      <c r="T200" s="65">
        <f>5000000*0</f>
        <v>0</v>
      </c>
      <c r="U200" s="65">
        <f>5000000*0</f>
        <v>0</v>
      </c>
      <c r="V200" s="65">
        <f>5000000*0</f>
        <v>0</v>
      </c>
      <c r="W200" s="66">
        <f t="shared" si="77"/>
        <v>0</v>
      </c>
      <c r="X200" s="55"/>
      <c r="Y200" s="67">
        <v>5000000</v>
      </c>
      <c r="Z200" s="67">
        <v>5000000</v>
      </c>
      <c r="AA200" s="67">
        <v>5000000</v>
      </c>
      <c r="AB200" s="67">
        <v>5000000</v>
      </c>
      <c r="AC200" s="67">
        <v>5000000</v>
      </c>
      <c r="AD200" s="67">
        <v>5000000</v>
      </c>
      <c r="AE200" s="67">
        <v>5000000</v>
      </c>
      <c r="AF200" s="67">
        <v>5000000</v>
      </c>
      <c r="AG200" s="67">
        <v>5000000</v>
      </c>
      <c r="AH200" s="67">
        <v>5000000</v>
      </c>
      <c r="AI200" s="67">
        <v>5000000</v>
      </c>
      <c r="AJ200" s="67">
        <v>5000000</v>
      </c>
      <c r="AK200" s="61">
        <v>60000000</v>
      </c>
      <c r="AL200" s="55"/>
      <c r="AM200" s="67">
        <v>5000000</v>
      </c>
      <c r="AN200" s="67">
        <v>5000000</v>
      </c>
      <c r="AO200" s="67">
        <v>5000000</v>
      </c>
      <c r="AP200" s="67">
        <v>5000000</v>
      </c>
      <c r="AQ200" s="67">
        <v>5000000</v>
      </c>
      <c r="AR200" s="67">
        <v>5000000</v>
      </c>
      <c r="AS200" s="67">
        <v>5000000</v>
      </c>
      <c r="AT200" s="67">
        <v>5000000</v>
      </c>
      <c r="AU200" s="67">
        <v>5000000</v>
      </c>
      <c r="AV200" s="67">
        <v>5000000</v>
      </c>
      <c r="AW200" s="67">
        <v>5000000</v>
      </c>
      <c r="AX200" s="67">
        <v>5000000</v>
      </c>
      <c r="AY200" s="122">
        <v>60000000</v>
      </c>
      <c r="AZ200" s="55"/>
      <c r="BA200" s="639">
        <v>0</v>
      </c>
      <c r="BB200" s="639">
        <v>0</v>
      </c>
      <c r="BC200" s="86"/>
      <c r="BD200" s="639">
        <v>0</v>
      </c>
      <c r="BE200" s="86"/>
      <c r="BF200" s="639">
        <v>0</v>
      </c>
      <c r="BG200" s="86"/>
      <c r="BH200" s="639"/>
      <c r="BI200" s="86"/>
      <c r="BJ200" s="639"/>
      <c r="BK200" s="86"/>
      <c r="BL200" s="639"/>
      <c r="BM200" s="86"/>
      <c r="BN200" s="695"/>
      <c r="BO200" s="696"/>
      <c r="BP200" s="695"/>
      <c r="BQ200" s="696"/>
      <c r="BR200" s="729"/>
      <c r="BS200" s="695"/>
      <c r="BT200" s="696"/>
      <c r="BU200" s="729"/>
      <c r="BV200" s="695"/>
      <c r="BW200" s="696"/>
      <c r="BX200" s="729"/>
      <c r="BY200" s="695"/>
      <c r="BZ200" s="696"/>
      <c r="CA200" s="729"/>
      <c r="CB200" s="720">
        <f t="shared" si="92"/>
        <v>0</v>
      </c>
      <c r="CC200" s="721">
        <f t="shared" si="93"/>
        <v>0</v>
      </c>
      <c r="CD200" s="738"/>
      <c r="CE200" s="322"/>
      <c r="CF200" s="322"/>
      <c r="CG200" s="322"/>
      <c r="CH200" s="322"/>
      <c r="CI200" s="322"/>
      <c r="CJ200" s="322"/>
      <c r="CK200" s="322"/>
      <c r="CL200" s="322"/>
      <c r="CM200" s="322"/>
      <c r="CN200" s="322"/>
      <c r="CO200" s="322"/>
      <c r="CP200" s="322"/>
      <c r="CQ200" s="355">
        <f t="shared" si="94"/>
        <v>0</v>
      </c>
      <c r="CR200" s="356">
        <f>CQ200*1.17</f>
        <v>0</v>
      </c>
      <c r="CS200" s="357">
        <f>CR200*1.1</f>
        <v>0</v>
      </c>
      <c r="CT200" s="332">
        <f>CS200*1.12</f>
        <v>0</v>
      </c>
      <c r="CU200" s="358">
        <f>CT200*1.12</f>
        <v>0</v>
      </c>
      <c r="CV200" s="57" t="s">
        <v>38</v>
      </c>
    </row>
    <row r="201" spans="1:100" ht="15.75" customHeight="1" outlineLevel="2">
      <c r="A201" s="276" t="s">
        <v>194</v>
      </c>
      <c r="B201" s="277" t="str">
        <f>$E$171&amp;$E$6&amp;E201</f>
        <v>PACK SURABAYAPACKAGEBAYER</v>
      </c>
      <c r="C201" s="276" t="s">
        <v>36</v>
      </c>
      <c r="D201" s="297" t="s">
        <v>121</v>
      </c>
      <c r="E201" s="288" t="s">
        <v>211</v>
      </c>
      <c r="F201" s="288"/>
      <c r="G201" s="45"/>
      <c r="H201" s="65">
        <v>0</v>
      </c>
      <c r="I201" s="65">
        <v>0</v>
      </c>
      <c r="J201" s="65">
        <v>0</v>
      </c>
      <c r="K201" s="65">
        <v>0</v>
      </c>
      <c r="L201" s="65">
        <v>0</v>
      </c>
      <c r="M201" s="65">
        <v>0</v>
      </c>
      <c r="N201" s="65">
        <v>0</v>
      </c>
      <c r="O201" s="65"/>
      <c r="P201" s="81">
        <v>0</v>
      </c>
      <c r="Q201" s="81"/>
      <c r="R201" s="81"/>
      <c r="S201" s="81"/>
      <c r="T201" s="65">
        <v>0</v>
      </c>
      <c r="U201" s="65">
        <v>0</v>
      </c>
      <c r="V201" s="65">
        <v>0</v>
      </c>
      <c r="W201" s="66">
        <f>SUM(H201:S201)</f>
        <v>0</v>
      </c>
      <c r="X201" s="55"/>
      <c r="Y201" s="85">
        <v>100000000</v>
      </c>
      <c r="Z201" s="85">
        <v>100000000</v>
      </c>
      <c r="AA201" s="85">
        <v>100000000</v>
      </c>
      <c r="AB201" s="85">
        <v>100000000</v>
      </c>
      <c r="AC201" s="85">
        <v>100000000</v>
      </c>
      <c r="AD201" s="85">
        <v>100000000</v>
      </c>
      <c r="AE201" s="85">
        <v>100000000</v>
      </c>
      <c r="AF201" s="85">
        <v>100000000</v>
      </c>
      <c r="AG201" s="85">
        <v>100000000</v>
      </c>
      <c r="AH201" s="85">
        <v>100000000</v>
      </c>
      <c r="AI201" s="85">
        <v>100000000</v>
      </c>
      <c r="AJ201" s="85">
        <v>100000000</v>
      </c>
      <c r="AK201" s="61">
        <v>1200000000</v>
      </c>
      <c r="AL201" s="55"/>
      <c r="AM201" s="85">
        <v>100000000</v>
      </c>
      <c r="AN201" s="85">
        <v>100000000</v>
      </c>
      <c r="AO201" s="85">
        <v>100000000</v>
      </c>
      <c r="AP201" s="85">
        <v>100000000</v>
      </c>
      <c r="AQ201" s="85">
        <v>100000000</v>
      </c>
      <c r="AR201" s="85">
        <v>100000000</v>
      </c>
      <c r="AS201" s="85">
        <v>100000000</v>
      </c>
      <c r="AT201" s="85">
        <v>100000000</v>
      </c>
      <c r="AU201" s="85">
        <v>100000000</v>
      </c>
      <c r="AV201" s="85">
        <v>100000000</v>
      </c>
      <c r="AW201" s="85">
        <v>100000000</v>
      </c>
      <c r="AX201" s="85">
        <v>100000000</v>
      </c>
      <c r="AY201" s="122">
        <v>1200000000</v>
      </c>
      <c r="AZ201" s="55"/>
      <c r="BA201" s="639">
        <v>0</v>
      </c>
      <c r="BB201" s="639">
        <v>0</v>
      </c>
      <c r="BC201" s="86"/>
      <c r="BD201" s="639">
        <v>0</v>
      </c>
      <c r="BE201" s="86"/>
      <c r="BF201" s="639">
        <v>0</v>
      </c>
      <c r="BG201" s="86"/>
      <c r="BH201" s="639"/>
      <c r="BI201" s="86"/>
      <c r="BJ201" s="639"/>
      <c r="BK201" s="86">
        <v>170000000</v>
      </c>
      <c r="BL201" s="639"/>
      <c r="BM201" s="86">
        <v>0</v>
      </c>
      <c r="BN201" s="695"/>
      <c r="BO201" s="696"/>
      <c r="BP201" s="695"/>
      <c r="BQ201" s="696"/>
      <c r="BR201" s="729"/>
      <c r="BS201" s="695"/>
      <c r="BT201" s="696"/>
      <c r="BU201" s="729"/>
      <c r="BV201" s="695"/>
      <c r="BW201" s="696"/>
      <c r="BX201" s="729"/>
      <c r="BY201" s="695"/>
      <c r="BZ201" s="696"/>
      <c r="CA201" s="729"/>
      <c r="CB201" s="720">
        <f t="shared" si="92"/>
        <v>0</v>
      </c>
      <c r="CC201" s="721">
        <f t="shared" si="93"/>
        <v>0</v>
      </c>
      <c r="CD201" s="738"/>
      <c r="CE201" s="322"/>
      <c r="CF201" s="322"/>
      <c r="CG201" s="322"/>
      <c r="CH201" s="322"/>
      <c r="CI201" s="322"/>
      <c r="CJ201" s="322"/>
      <c r="CK201" s="322"/>
      <c r="CL201" s="322"/>
      <c r="CM201" s="322"/>
      <c r="CN201" s="322"/>
      <c r="CO201" s="322"/>
      <c r="CP201" s="322"/>
      <c r="CQ201" s="355">
        <f t="shared" si="94"/>
        <v>0</v>
      </c>
      <c r="CR201" s="356">
        <f>CQ201*1.1</f>
        <v>0</v>
      </c>
      <c r="CS201" s="357">
        <f>CR201*1.15</f>
        <v>0</v>
      </c>
      <c r="CT201" s="332">
        <f>CS201*1.2</f>
        <v>0</v>
      </c>
      <c r="CU201" s="358">
        <f>CT201*1.2</f>
        <v>0</v>
      </c>
      <c r="CV201" s="57" t="s">
        <v>38</v>
      </c>
    </row>
    <row r="202" spans="1:100" ht="15.75" customHeight="1" outlineLevel="2">
      <c r="A202" s="296"/>
      <c r="C202" s="276" t="s">
        <v>36</v>
      </c>
      <c r="D202" s="297" t="s">
        <v>121</v>
      </c>
      <c r="E202" s="288" t="s">
        <v>212</v>
      </c>
      <c r="F202" s="288"/>
      <c r="G202" s="45"/>
      <c r="H202" s="65"/>
      <c r="I202" s="65"/>
      <c r="J202" s="65"/>
      <c r="K202" s="65"/>
      <c r="L202" s="65"/>
      <c r="M202" s="65"/>
      <c r="N202" s="65"/>
      <c r="O202" s="65"/>
      <c r="P202" s="81"/>
      <c r="Q202" s="81"/>
      <c r="R202" s="81"/>
      <c r="S202" s="81"/>
      <c r="T202" s="65"/>
      <c r="U202" s="65"/>
      <c r="V202" s="65"/>
      <c r="W202" s="66"/>
      <c r="X202" s="55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1"/>
      <c r="AL202" s="55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122"/>
      <c r="AZ202" s="55"/>
      <c r="BA202" s="639"/>
      <c r="BB202" s="639"/>
      <c r="BC202" s="86"/>
      <c r="BD202" s="639"/>
      <c r="BE202" s="86"/>
      <c r="BF202" s="639"/>
      <c r="BG202" s="86"/>
      <c r="BH202" s="639"/>
      <c r="BI202" s="86"/>
      <c r="BJ202" s="639"/>
      <c r="BK202" s="86"/>
      <c r="BL202" s="639"/>
      <c r="BM202" s="86"/>
      <c r="BN202" s="695"/>
      <c r="BO202" s="696"/>
      <c r="BP202" s="695"/>
      <c r="BQ202" s="696"/>
      <c r="BR202" s="729"/>
      <c r="BS202" s="695"/>
      <c r="BT202" s="696">
        <v>76000000</v>
      </c>
      <c r="BU202" s="729">
        <v>76000000</v>
      </c>
      <c r="BV202" s="695"/>
      <c r="BW202" s="696">
        <v>76000000</v>
      </c>
      <c r="BX202" s="729">
        <v>76000000</v>
      </c>
      <c r="BY202" s="695"/>
      <c r="BZ202" s="696">
        <v>76000000</v>
      </c>
      <c r="CA202" s="729">
        <v>76000000</v>
      </c>
      <c r="CB202" s="720">
        <f t="shared" si="92"/>
        <v>228000000</v>
      </c>
      <c r="CC202" s="721">
        <f t="shared" si="93"/>
        <v>228000000</v>
      </c>
      <c r="CD202" s="738"/>
      <c r="CE202" s="322"/>
      <c r="CF202" s="322"/>
      <c r="CG202" s="322"/>
      <c r="CH202" s="322"/>
      <c r="CI202" s="322"/>
      <c r="CJ202" s="322"/>
      <c r="CK202" s="322"/>
      <c r="CL202" s="322"/>
      <c r="CM202" s="322"/>
      <c r="CN202" s="322"/>
      <c r="CO202" s="322"/>
      <c r="CP202" s="322"/>
      <c r="CQ202" s="355">
        <f t="shared" si="94"/>
        <v>0</v>
      </c>
      <c r="CR202" s="356"/>
      <c r="CS202" s="357"/>
      <c r="CT202" s="332"/>
      <c r="CU202" s="358"/>
      <c r="CV202" s="57" t="s">
        <v>38</v>
      </c>
    </row>
    <row r="203" spans="1:100" ht="15.75" customHeight="1" outlineLevel="2">
      <c r="A203" s="276" t="s">
        <v>194</v>
      </c>
      <c r="B203" s="277" t="str">
        <f>$E$171&amp;$E$6&amp;E203</f>
        <v>PACK SURABAYAPACKAGECARGIL COCOA</v>
      </c>
      <c r="C203" s="276" t="s">
        <v>36</v>
      </c>
      <c r="D203" s="297" t="s">
        <v>121</v>
      </c>
      <c r="E203" s="288" t="s">
        <v>213</v>
      </c>
      <c r="F203" s="288"/>
      <c r="G203" s="45"/>
      <c r="H203" s="65"/>
      <c r="I203" s="65"/>
      <c r="J203" s="65"/>
      <c r="K203" s="65"/>
      <c r="L203" s="65"/>
      <c r="M203" s="65"/>
      <c r="N203" s="65"/>
      <c r="O203" s="65"/>
      <c r="P203" s="81"/>
      <c r="Q203" s="81"/>
      <c r="R203" s="81"/>
      <c r="S203" s="81">
        <v>9600000</v>
      </c>
      <c r="T203" s="65"/>
      <c r="U203" s="65"/>
      <c r="V203" s="65"/>
      <c r="W203" s="66">
        <f>SUM(H203:S203)</f>
        <v>9600000</v>
      </c>
      <c r="X203" s="55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1">
        <v>0</v>
      </c>
      <c r="AL203" s="55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122">
        <v>0</v>
      </c>
      <c r="AZ203" s="55"/>
      <c r="BA203" s="639"/>
      <c r="BB203" s="639">
        <v>0</v>
      </c>
      <c r="BC203" s="86">
        <v>0</v>
      </c>
      <c r="BD203" s="639">
        <v>0</v>
      </c>
      <c r="BE203" s="86"/>
      <c r="BF203" s="639"/>
      <c r="BG203" s="86"/>
      <c r="BH203" s="639"/>
      <c r="BI203" s="86"/>
      <c r="BJ203" s="639"/>
      <c r="BK203" s="86"/>
      <c r="BL203" s="639"/>
      <c r="BM203" s="86">
        <f>114285.714285714*3500</f>
        <v>399999999.99999899</v>
      </c>
      <c r="BN203" s="695"/>
      <c r="BO203" s="696">
        <f>114285.714285714*3500</f>
        <v>399999999.99999899</v>
      </c>
      <c r="BP203" s="695"/>
      <c r="BQ203" s="696">
        <f>114285.714285714*3500</f>
        <v>399999999.99999899</v>
      </c>
      <c r="BR203" s="729">
        <v>0</v>
      </c>
      <c r="BS203" s="695"/>
      <c r="BT203" s="696">
        <f>114285.714285714*3500</f>
        <v>399999999.99999899</v>
      </c>
      <c r="BU203" s="729">
        <v>0</v>
      </c>
      <c r="BV203" s="695"/>
      <c r="BW203" s="696">
        <v>425000000</v>
      </c>
      <c r="BX203" s="729">
        <v>0</v>
      </c>
      <c r="BY203" s="695"/>
      <c r="BZ203" s="696">
        <v>425000000</v>
      </c>
      <c r="CA203" s="729">
        <v>0</v>
      </c>
      <c r="CB203" s="720">
        <f t="shared" si="92"/>
        <v>0</v>
      </c>
      <c r="CC203" s="721">
        <f t="shared" si="93"/>
        <v>0</v>
      </c>
      <c r="CD203" s="738"/>
      <c r="CE203" s="322"/>
      <c r="CF203" s="322"/>
      <c r="CG203" s="322"/>
      <c r="CH203" s="322"/>
      <c r="CI203" s="322"/>
      <c r="CJ203" s="322"/>
      <c r="CK203" s="322"/>
      <c r="CL203" s="322"/>
      <c r="CM203" s="322"/>
      <c r="CN203" s="322"/>
      <c r="CO203" s="322"/>
      <c r="CP203" s="322"/>
      <c r="CQ203" s="355">
        <f t="shared" si="94"/>
        <v>0</v>
      </c>
      <c r="CR203" s="356"/>
      <c r="CS203" s="357"/>
      <c r="CT203" s="332"/>
      <c r="CU203" s="358"/>
      <c r="CV203" s="57" t="s">
        <v>38</v>
      </c>
    </row>
    <row r="204" spans="1:100" ht="15" customHeight="1" outlineLevel="2">
      <c r="A204" s="276" t="s">
        <v>194</v>
      </c>
      <c r="B204" s="277" t="str">
        <f>$E$171&amp;$E$6&amp;E204</f>
        <v>PACK SURABAYAPACKAGEDANONE NUTRICIA</v>
      </c>
      <c r="C204" s="276" t="s">
        <v>36</v>
      </c>
      <c r="D204" s="297" t="s">
        <v>121</v>
      </c>
      <c r="E204" s="288" t="s">
        <v>181</v>
      </c>
      <c r="F204" s="288"/>
      <c r="G204" s="65"/>
      <c r="H204" s="65">
        <v>0</v>
      </c>
      <c r="I204" s="65">
        <v>0</v>
      </c>
      <c r="J204" s="65">
        <v>0</v>
      </c>
      <c r="K204" s="65">
        <v>0</v>
      </c>
      <c r="L204" s="65">
        <v>0</v>
      </c>
      <c r="M204" s="65">
        <v>0</v>
      </c>
      <c r="N204" s="65">
        <v>0</v>
      </c>
      <c r="O204" s="65"/>
      <c r="P204" s="81">
        <v>0</v>
      </c>
      <c r="Q204" s="81"/>
      <c r="R204" s="81"/>
      <c r="S204" s="81"/>
      <c r="T204" s="65">
        <v>0</v>
      </c>
      <c r="U204" s="65">
        <v>0</v>
      </c>
      <c r="V204" s="65">
        <v>0</v>
      </c>
      <c r="W204" s="66">
        <f t="shared" si="77"/>
        <v>0</v>
      </c>
      <c r="X204" s="55"/>
      <c r="Y204" s="57">
        <v>0</v>
      </c>
      <c r="Z204" s="57">
        <v>0</v>
      </c>
      <c r="AA204" s="57">
        <v>0</v>
      </c>
      <c r="AB204" s="57">
        <v>0</v>
      </c>
      <c r="AC204" s="57">
        <v>0</v>
      </c>
      <c r="AD204" s="57">
        <v>0</v>
      </c>
      <c r="AE204" s="57">
        <v>0</v>
      </c>
      <c r="AF204" s="57">
        <v>0</v>
      </c>
      <c r="AG204" s="57">
        <v>0</v>
      </c>
      <c r="AH204" s="57">
        <v>0</v>
      </c>
      <c r="AI204" s="57">
        <v>0</v>
      </c>
      <c r="AJ204" s="57">
        <v>0</v>
      </c>
      <c r="AK204" s="61">
        <v>0</v>
      </c>
      <c r="AL204" s="55"/>
      <c r="AM204" s="57">
        <v>0</v>
      </c>
      <c r="AN204" s="57">
        <v>0</v>
      </c>
      <c r="AO204" s="57">
        <v>0</v>
      </c>
      <c r="AP204" s="57">
        <v>0</v>
      </c>
      <c r="AQ204" s="57">
        <v>0</v>
      </c>
      <c r="AR204" s="57">
        <v>0</v>
      </c>
      <c r="AS204" s="57">
        <v>0</v>
      </c>
      <c r="AT204" s="57">
        <v>0</v>
      </c>
      <c r="AU204" s="57">
        <v>0</v>
      </c>
      <c r="AV204" s="57">
        <v>0</v>
      </c>
      <c r="AW204" s="57">
        <v>0</v>
      </c>
      <c r="AX204" s="57">
        <v>0</v>
      </c>
      <c r="AY204" s="122">
        <v>0</v>
      </c>
      <c r="AZ204" s="55"/>
      <c r="BA204" s="639">
        <v>0</v>
      </c>
      <c r="BB204" s="639">
        <v>0</v>
      </c>
      <c r="BC204" s="86"/>
      <c r="BD204" s="639">
        <v>0</v>
      </c>
      <c r="BE204" s="86"/>
      <c r="BF204" s="639">
        <v>0</v>
      </c>
      <c r="BG204" s="86"/>
      <c r="BH204" s="639"/>
      <c r="BI204" s="86"/>
      <c r="BJ204" s="639"/>
      <c r="BK204" s="86"/>
      <c r="BL204" s="639"/>
      <c r="BM204" s="86"/>
      <c r="BN204" s="695"/>
      <c r="BO204" s="696"/>
      <c r="BP204" s="695"/>
      <c r="BQ204" s="696"/>
      <c r="BR204" s="729"/>
      <c r="BS204" s="695"/>
      <c r="BT204" s="696"/>
      <c r="BU204" s="729"/>
      <c r="BV204" s="695"/>
      <c r="BW204" s="696"/>
      <c r="BX204" s="729"/>
      <c r="BY204" s="695"/>
      <c r="BZ204" s="696"/>
      <c r="CA204" s="729"/>
      <c r="CB204" s="720">
        <f t="shared" si="92"/>
        <v>0</v>
      </c>
      <c r="CC204" s="721">
        <f t="shared" si="93"/>
        <v>0</v>
      </c>
      <c r="CD204" s="738"/>
      <c r="CE204" s="322"/>
      <c r="CF204" s="322"/>
      <c r="CG204" s="322"/>
      <c r="CH204" s="322"/>
      <c r="CI204" s="322"/>
      <c r="CJ204" s="322"/>
      <c r="CK204" s="322"/>
      <c r="CL204" s="322"/>
      <c r="CM204" s="322"/>
      <c r="CN204" s="322"/>
      <c r="CO204" s="322"/>
      <c r="CP204" s="322"/>
      <c r="CQ204" s="355">
        <f t="shared" si="94"/>
        <v>0</v>
      </c>
      <c r="CR204" s="356">
        <f>CQ204*1.07</f>
        <v>0</v>
      </c>
      <c r="CS204" s="357">
        <f>CR204*1.07</f>
        <v>0</v>
      </c>
      <c r="CT204" s="332">
        <f>CS204*1.07</f>
        <v>0</v>
      </c>
      <c r="CU204" s="358">
        <f>CT204*1.07</f>
        <v>0</v>
      </c>
      <c r="CV204" s="57" t="s">
        <v>38</v>
      </c>
    </row>
    <row r="205" spans="1:100" ht="15.75" customHeight="1" outlineLevel="2">
      <c r="A205" s="276" t="s">
        <v>194</v>
      </c>
      <c r="C205" s="276" t="s">
        <v>36</v>
      </c>
      <c r="D205" s="297" t="s">
        <v>121</v>
      </c>
      <c r="E205" s="288" t="s">
        <v>214</v>
      </c>
      <c r="F205" s="288"/>
      <c r="G205" s="45"/>
      <c r="H205" s="65"/>
      <c r="I205" s="65"/>
      <c r="J205" s="65"/>
      <c r="K205" s="65"/>
      <c r="L205" s="65"/>
      <c r="M205" s="65"/>
      <c r="N205" s="65"/>
      <c r="O205" s="65"/>
      <c r="P205" s="81"/>
      <c r="Q205" s="81"/>
      <c r="R205" s="81"/>
      <c r="S205" s="81"/>
      <c r="T205" s="65"/>
      <c r="U205" s="65"/>
      <c r="V205" s="65"/>
      <c r="W205" s="66"/>
      <c r="X205" s="55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1"/>
      <c r="AL205" s="55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122"/>
      <c r="AZ205" s="55"/>
      <c r="BA205" s="639"/>
      <c r="BB205" s="639"/>
      <c r="BC205" s="86"/>
      <c r="BD205" s="639"/>
      <c r="BE205" s="86"/>
      <c r="BF205" s="639"/>
      <c r="BG205" s="86"/>
      <c r="BH205" s="639"/>
      <c r="BI205" s="86"/>
      <c r="BJ205" s="639"/>
      <c r="BK205" s="86"/>
      <c r="BL205" s="639"/>
      <c r="BM205" s="86"/>
      <c r="BN205" s="695"/>
      <c r="BO205" s="696">
        <v>45000000</v>
      </c>
      <c r="BP205" s="695"/>
      <c r="BQ205" s="696">
        <v>45000000</v>
      </c>
      <c r="BR205" s="729">
        <v>0</v>
      </c>
      <c r="BS205" s="695"/>
      <c r="BT205" s="696">
        <v>45000000</v>
      </c>
      <c r="BU205" s="729">
        <v>0</v>
      </c>
      <c r="BV205" s="695"/>
      <c r="BW205" s="696">
        <v>45000000</v>
      </c>
      <c r="BX205" s="729">
        <v>0</v>
      </c>
      <c r="BY205" s="695"/>
      <c r="BZ205" s="696">
        <v>45000000</v>
      </c>
      <c r="CA205" s="729">
        <v>0</v>
      </c>
      <c r="CB205" s="720">
        <f t="shared" si="92"/>
        <v>0</v>
      </c>
      <c r="CC205" s="721">
        <f t="shared" si="93"/>
        <v>0</v>
      </c>
      <c r="CD205" s="738"/>
      <c r="CE205" s="1195">
        <v>50000000</v>
      </c>
      <c r="CF205" s="1195">
        <v>75000000</v>
      </c>
      <c r="CG205" s="1195">
        <v>75000000</v>
      </c>
      <c r="CH205" s="1195">
        <v>100000000</v>
      </c>
      <c r="CI205" s="1195">
        <v>50000000</v>
      </c>
      <c r="CJ205" s="1195">
        <v>50000000</v>
      </c>
      <c r="CK205" s="1195">
        <v>50000000</v>
      </c>
      <c r="CL205" s="1195">
        <v>50000000</v>
      </c>
      <c r="CM205" s="1195">
        <v>50000000</v>
      </c>
      <c r="CN205" s="1195">
        <v>50000000</v>
      </c>
      <c r="CO205" s="1195">
        <v>75000000</v>
      </c>
      <c r="CP205" s="1195">
        <v>75000000</v>
      </c>
      <c r="CQ205" s="1196">
        <f t="shared" si="94"/>
        <v>750000000</v>
      </c>
      <c r="CR205" s="356"/>
      <c r="CS205" s="357"/>
      <c r="CT205" s="332"/>
      <c r="CU205" s="358"/>
      <c r="CV205" s="57" t="s">
        <v>38</v>
      </c>
    </row>
    <row r="206" spans="1:100" ht="15.75" customHeight="1" outlineLevel="2">
      <c r="A206" s="276" t="s">
        <v>121</v>
      </c>
      <c r="B206" s="277" t="str">
        <f>$E$171&amp;$E$6&amp;E206</f>
        <v>PACK SURABAYAPACKAGEECCO</v>
      </c>
      <c r="C206" s="276" t="s">
        <v>36</v>
      </c>
      <c r="D206" s="297" t="s">
        <v>121</v>
      </c>
      <c r="E206" s="288" t="s">
        <v>215</v>
      </c>
      <c r="F206" s="288"/>
      <c r="G206" s="45"/>
      <c r="H206" s="65"/>
      <c r="I206" s="65"/>
      <c r="J206" s="65"/>
      <c r="K206" s="65"/>
      <c r="L206" s="65"/>
      <c r="M206" s="65"/>
      <c r="N206" s="65"/>
      <c r="O206" s="65"/>
      <c r="P206" s="81"/>
      <c r="Q206" s="81"/>
      <c r="R206" s="81"/>
      <c r="S206" s="81"/>
      <c r="T206" s="65"/>
      <c r="U206" s="65"/>
      <c r="V206" s="65"/>
      <c r="W206" s="66">
        <f>SUM(H206:S206)</f>
        <v>0</v>
      </c>
      <c r="X206" s="55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1">
        <v>0</v>
      </c>
      <c r="AL206" s="55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122">
        <v>0</v>
      </c>
      <c r="AZ206" s="55"/>
      <c r="BA206" s="639">
        <v>0</v>
      </c>
      <c r="BB206" s="639">
        <v>0</v>
      </c>
      <c r="BC206" s="86"/>
      <c r="BD206" s="639">
        <v>0</v>
      </c>
      <c r="BE206" s="86"/>
      <c r="BF206" s="639">
        <v>0</v>
      </c>
      <c r="BG206" s="86"/>
      <c r="BH206" s="639"/>
      <c r="BI206" s="86"/>
      <c r="BJ206" s="639"/>
      <c r="BK206" s="86"/>
      <c r="BL206" s="639"/>
      <c r="BM206" s="86"/>
      <c r="BN206" s="695"/>
      <c r="BO206" s="696"/>
      <c r="BP206" s="695"/>
      <c r="BQ206" s="696"/>
      <c r="BR206" s="729"/>
      <c r="BS206" s="695"/>
      <c r="BT206" s="696"/>
      <c r="BU206" s="729"/>
      <c r="BV206" s="695"/>
      <c r="BW206" s="696"/>
      <c r="BX206" s="729"/>
      <c r="BY206" s="695"/>
      <c r="BZ206" s="696"/>
      <c r="CA206" s="729"/>
      <c r="CB206" s="720">
        <f t="shared" si="92"/>
        <v>0</v>
      </c>
      <c r="CC206" s="721">
        <f t="shared" si="93"/>
        <v>0</v>
      </c>
      <c r="CD206" s="738"/>
      <c r="CE206" s="322"/>
      <c r="CF206" s="322"/>
      <c r="CG206" s="322"/>
      <c r="CH206" s="322"/>
      <c r="CI206" s="322"/>
      <c r="CJ206" s="322"/>
      <c r="CK206" s="322"/>
      <c r="CL206" s="322"/>
      <c r="CM206" s="322"/>
      <c r="CN206" s="322"/>
      <c r="CO206" s="322"/>
      <c r="CP206" s="322"/>
      <c r="CQ206" s="355">
        <f t="shared" si="94"/>
        <v>0</v>
      </c>
      <c r="CR206" s="356"/>
      <c r="CS206" s="357"/>
      <c r="CT206" s="332">
        <f>1000000000*12</f>
        <v>12000000000</v>
      </c>
      <c r="CU206" s="358">
        <f>1000000000*12</f>
        <v>12000000000</v>
      </c>
      <c r="CV206" s="57" t="s">
        <v>38</v>
      </c>
    </row>
    <row r="207" spans="1:100" ht="15.75" customHeight="1" outlineLevel="2">
      <c r="A207" s="296"/>
      <c r="C207" s="276" t="s">
        <v>36</v>
      </c>
      <c r="D207" s="297" t="s">
        <v>121</v>
      </c>
      <c r="E207" s="288" t="s">
        <v>216</v>
      </c>
      <c r="F207" s="288"/>
      <c r="G207" s="45"/>
      <c r="H207" s="65"/>
      <c r="I207" s="65"/>
      <c r="J207" s="65"/>
      <c r="K207" s="65"/>
      <c r="L207" s="65"/>
      <c r="M207" s="65"/>
      <c r="N207" s="65"/>
      <c r="O207" s="65"/>
      <c r="P207" s="81"/>
      <c r="Q207" s="81"/>
      <c r="R207" s="81"/>
      <c r="S207" s="81"/>
      <c r="T207" s="65"/>
      <c r="U207" s="65"/>
      <c r="V207" s="65"/>
      <c r="W207" s="66"/>
      <c r="X207" s="55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1"/>
      <c r="AL207" s="55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122"/>
      <c r="AZ207" s="55"/>
      <c r="BA207" s="639"/>
      <c r="BB207" s="639"/>
      <c r="BC207" s="86"/>
      <c r="BD207" s="639"/>
      <c r="BE207" s="86"/>
      <c r="BF207" s="639"/>
      <c r="BG207" s="86"/>
      <c r="BH207" s="639"/>
      <c r="BI207" s="86"/>
      <c r="BJ207" s="639"/>
      <c r="BK207" s="86"/>
      <c r="BL207" s="639"/>
      <c r="BM207" s="86"/>
      <c r="BN207" s="695"/>
      <c r="BO207" s="696">
        <v>200000000</v>
      </c>
      <c r="BP207" s="695"/>
      <c r="BQ207" s="696">
        <v>200000000</v>
      </c>
      <c r="BR207" s="729">
        <v>0</v>
      </c>
      <c r="BS207" s="695"/>
      <c r="BT207" s="696">
        <v>200000000</v>
      </c>
      <c r="BU207" s="729">
        <v>0</v>
      </c>
      <c r="BV207" s="695"/>
      <c r="BW207" s="696">
        <v>200000000</v>
      </c>
      <c r="BX207" s="729">
        <v>0</v>
      </c>
      <c r="BY207" s="695"/>
      <c r="BZ207" s="696">
        <v>200000000</v>
      </c>
      <c r="CA207" s="729">
        <v>0</v>
      </c>
      <c r="CB207" s="720">
        <f t="shared" si="92"/>
        <v>0</v>
      </c>
      <c r="CC207" s="721">
        <f t="shared" si="93"/>
        <v>0</v>
      </c>
      <c r="CD207" s="738"/>
      <c r="CE207" s="322"/>
      <c r="CF207" s="322"/>
      <c r="CG207" s="322"/>
      <c r="CH207" s="322"/>
      <c r="CI207" s="322"/>
      <c r="CJ207" s="322"/>
      <c r="CK207" s="322"/>
      <c r="CL207" s="322"/>
      <c r="CM207" s="322"/>
      <c r="CN207" s="322"/>
      <c r="CO207" s="322"/>
      <c r="CP207" s="322"/>
      <c r="CQ207" s="355">
        <f t="shared" si="94"/>
        <v>0</v>
      </c>
      <c r="CR207" s="356"/>
      <c r="CS207" s="357"/>
      <c r="CT207" s="332"/>
      <c r="CU207" s="358"/>
      <c r="CV207" s="57" t="s">
        <v>38</v>
      </c>
    </row>
    <row r="208" spans="1:100" ht="15.75" customHeight="1" outlineLevel="2">
      <c r="A208" s="276" t="s">
        <v>121</v>
      </c>
      <c r="B208" s="277" t="str">
        <f>$E$171&amp;$E$6&amp;E208</f>
        <v>PACK SURABAYAPACKAGEHERO/Guardian</v>
      </c>
      <c r="C208" s="276" t="s">
        <v>36</v>
      </c>
      <c r="D208" s="297" t="s">
        <v>121</v>
      </c>
      <c r="E208" s="288" t="s">
        <v>217</v>
      </c>
      <c r="F208" s="288"/>
      <c r="G208" s="45"/>
      <c r="H208" s="65"/>
      <c r="I208" s="65"/>
      <c r="J208" s="65"/>
      <c r="K208" s="65"/>
      <c r="L208" s="65"/>
      <c r="M208" s="65"/>
      <c r="N208" s="65"/>
      <c r="O208" s="65"/>
      <c r="P208" s="81"/>
      <c r="Q208" s="81"/>
      <c r="R208" s="81"/>
      <c r="S208" s="81"/>
      <c r="T208" s="65"/>
      <c r="U208" s="65"/>
      <c r="V208" s="65"/>
      <c r="W208" s="66">
        <f>SUM(H208:S208)</f>
        <v>0</v>
      </c>
      <c r="X208" s="55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1">
        <v>0</v>
      </c>
      <c r="AL208" s="55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122">
        <v>0</v>
      </c>
      <c r="AZ208" s="55"/>
      <c r="BA208" s="639">
        <v>0</v>
      </c>
      <c r="BB208" s="639">
        <v>0</v>
      </c>
      <c r="BC208" s="86"/>
      <c r="BD208" s="639">
        <v>0</v>
      </c>
      <c r="BE208" s="86"/>
      <c r="BF208" s="639">
        <v>0</v>
      </c>
      <c r="BG208" s="86"/>
      <c r="BH208" s="639"/>
      <c r="BI208" s="86"/>
      <c r="BJ208" s="639"/>
      <c r="BK208" s="86"/>
      <c r="BL208" s="639"/>
      <c r="BM208" s="86"/>
      <c r="BN208" s="695"/>
      <c r="BO208" s="696"/>
      <c r="BP208" s="695"/>
      <c r="BQ208" s="696"/>
      <c r="BR208" s="729"/>
      <c r="BS208" s="695"/>
      <c r="BT208" s="696"/>
      <c r="BU208" s="729"/>
      <c r="BV208" s="695"/>
      <c r="BW208" s="696">
        <v>400000000</v>
      </c>
      <c r="BX208" s="729">
        <v>0</v>
      </c>
      <c r="BY208" s="695"/>
      <c r="BZ208" s="696">
        <v>400000000</v>
      </c>
      <c r="CA208" s="729">
        <v>0</v>
      </c>
      <c r="CB208" s="720">
        <f t="shared" si="92"/>
        <v>0</v>
      </c>
      <c r="CC208" s="721">
        <f t="shared" si="93"/>
        <v>0</v>
      </c>
      <c r="CD208" s="738"/>
      <c r="CE208" s="322"/>
      <c r="CF208" s="322"/>
      <c r="CG208" s="322"/>
      <c r="CH208" s="322"/>
      <c r="CI208" s="322"/>
      <c r="CJ208" s="322"/>
      <c r="CK208" s="322"/>
      <c r="CL208" s="322"/>
      <c r="CM208" s="322"/>
      <c r="CN208" s="322"/>
      <c r="CO208" s="322"/>
      <c r="CP208" s="322"/>
      <c r="CQ208" s="355">
        <f t="shared" si="94"/>
        <v>0</v>
      </c>
      <c r="CR208" s="356"/>
      <c r="CS208" s="357">
        <f>600000000*12</f>
        <v>7200000000</v>
      </c>
      <c r="CT208" s="332">
        <f>CS208*1.15</f>
        <v>8279999999.999999</v>
      </c>
      <c r="CU208" s="358">
        <f>CT208*1.15</f>
        <v>9521999999.9999981</v>
      </c>
      <c r="CV208" s="57" t="s">
        <v>38</v>
      </c>
    </row>
    <row r="209" spans="1:100" ht="15.75" customHeight="1" outlineLevel="2">
      <c r="A209" s="296"/>
      <c r="C209" s="276" t="s">
        <v>36</v>
      </c>
      <c r="D209" s="297" t="s">
        <v>121</v>
      </c>
      <c r="E209" s="288" t="s">
        <v>218</v>
      </c>
      <c r="F209" s="288"/>
      <c r="G209" s="45"/>
      <c r="H209" s="65"/>
      <c r="I209" s="65"/>
      <c r="J209" s="65"/>
      <c r="K209" s="65"/>
      <c r="L209" s="65"/>
      <c r="M209" s="65"/>
      <c r="N209" s="65"/>
      <c r="O209" s="65"/>
      <c r="P209" s="81"/>
      <c r="Q209" s="81"/>
      <c r="R209" s="81"/>
      <c r="S209" s="81"/>
      <c r="T209" s="65"/>
      <c r="U209" s="65"/>
      <c r="V209" s="65"/>
      <c r="W209" s="66"/>
      <c r="X209" s="55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1"/>
      <c r="AL209" s="55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122"/>
      <c r="AZ209" s="55"/>
      <c r="BA209" s="639"/>
      <c r="BB209" s="639"/>
      <c r="BC209" s="86"/>
      <c r="BD209" s="639"/>
      <c r="BE209" s="86"/>
      <c r="BF209" s="639"/>
      <c r="BG209" s="86"/>
      <c r="BH209" s="639"/>
      <c r="BI209" s="86"/>
      <c r="BJ209" s="639"/>
      <c r="BK209" s="86"/>
      <c r="BL209" s="639"/>
      <c r="BM209" s="86">
        <v>200000000</v>
      </c>
      <c r="BN209" s="695"/>
      <c r="BO209" s="696">
        <v>200000000</v>
      </c>
      <c r="BP209" s="695"/>
      <c r="BQ209" s="696">
        <v>200000000</v>
      </c>
      <c r="BR209" s="729">
        <v>0</v>
      </c>
      <c r="BS209" s="695"/>
      <c r="BT209" s="696">
        <v>200000000</v>
      </c>
      <c r="BU209" s="729">
        <v>0</v>
      </c>
      <c r="BV209" s="695"/>
      <c r="BW209" s="696">
        <v>200000000</v>
      </c>
      <c r="BX209" s="729">
        <v>0</v>
      </c>
      <c r="BY209" s="695"/>
      <c r="BZ209" s="696">
        <v>200000000</v>
      </c>
      <c r="CA209" s="729">
        <v>0</v>
      </c>
      <c r="CB209" s="720">
        <f t="shared" si="92"/>
        <v>0</v>
      </c>
      <c r="CC209" s="721">
        <f t="shared" si="93"/>
        <v>0</v>
      </c>
      <c r="CD209" s="738"/>
      <c r="CE209" s="322"/>
      <c r="CF209" s="322"/>
      <c r="CG209" s="322"/>
      <c r="CH209" s="322"/>
      <c r="CI209" s="322"/>
      <c r="CJ209" s="322"/>
      <c r="CK209" s="322"/>
      <c r="CL209" s="322"/>
      <c r="CM209" s="322"/>
      <c r="CN209" s="322"/>
      <c r="CO209" s="322"/>
      <c r="CP209" s="322"/>
      <c r="CQ209" s="355">
        <f t="shared" si="94"/>
        <v>0</v>
      </c>
      <c r="CR209" s="356"/>
      <c r="CS209" s="357"/>
      <c r="CT209" s="332"/>
      <c r="CU209" s="358"/>
      <c r="CV209" s="57" t="s">
        <v>38</v>
      </c>
    </row>
    <row r="210" spans="1:100" ht="15.75" customHeight="1" outlineLevel="2">
      <c r="A210" s="296"/>
      <c r="C210" s="276" t="s">
        <v>36</v>
      </c>
      <c r="D210" s="297" t="s">
        <v>121</v>
      </c>
      <c r="E210" s="288" t="s">
        <v>219</v>
      </c>
      <c r="F210" s="288"/>
      <c r="G210" s="45"/>
      <c r="H210" s="65"/>
      <c r="I210" s="65"/>
      <c r="J210" s="65"/>
      <c r="K210" s="65"/>
      <c r="L210" s="65"/>
      <c r="M210" s="65"/>
      <c r="N210" s="65"/>
      <c r="O210" s="65"/>
      <c r="P210" s="81"/>
      <c r="Q210" s="81"/>
      <c r="R210" s="81"/>
      <c r="S210" s="81"/>
      <c r="T210" s="65"/>
      <c r="U210" s="65"/>
      <c r="V210" s="65"/>
      <c r="W210" s="66"/>
      <c r="X210" s="55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1"/>
      <c r="AL210" s="55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122"/>
      <c r="AZ210" s="55"/>
      <c r="BA210" s="639"/>
      <c r="BB210" s="639"/>
      <c r="BC210" s="86"/>
      <c r="BD210" s="639"/>
      <c r="BE210" s="86"/>
      <c r="BF210" s="639"/>
      <c r="BG210" s="86"/>
      <c r="BH210" s="639"/>
      <c r="BI210" s="86"/>
      <c r="BJ210" s="639"/>
      <c r="BK210" s="86"/>
      <c r="BL210" s="639"/>
      <c r="BM210" s="86">
        <v>120000000</v>
      </c>
      <c r="BN210" s="695"/>
      <c r="BO210" s="696">
        <v>120000000</v>
      </c>
      <c r="BP210" s="695"/>
      <c r="BQ210" s="696">
        <v>120000000</v>
      </c>
      <c r="BR210" s="729">
        <v>0</v>
      </c>
      <c r="BS210" s="695"/>
      <c r="BT210" s="696">
        <v>120000000</v>
      </c>
      <c r="BU210" s="729">
        <v>0</v>
      </c>
      <c r="BV210" s="695"/>
      <c r="BW210" s="696">
        <v>120000000</v>
      </c>
      <c r="BX210" s="729">
        <v>0</v>
      </c>
      <c r="BY210" s="695"/>
      <c r="BZ210" s="696">
        <v>120000000</v>
      </c>
      <c r="CA210" s="729">
        <v>0</v>
      </c>
      <c r="CB210" s="720">
        <f t="shared" si="92"/>
        <v>0</v>
      </c>
      <c r="CC210" s="721">
        <f t="shared" si="93"/>
        <v>0</v>
      </c>
      <c r="CD210" s="738"/>
      <c r="CE210" s="322"/>
      <c r="CF210" s="322"/>
      <c r="CG210" s="322"/>
      <c r="CH210" s="322"/>
      <c r="CI210" s="322"/>
      <c r="CJ210" s="322"/>
      <c r="CK210" s="322"/>
      <c r="CL210" s="322"/>
      <c r="CM210" s="322"/>
      <c r="CN210" s="322"/>
      <c r="CO210" s="322"/>
      <c r="CP210" s="322"/>
      <c r="CQ210" s="355">
        <f t="shared" si="94"/>
        <v>0</v>
      </c>
      <c r="CR210" s="356"/>
      <c r="CS210" s="357"/>
      <c r="CT210" s="332"/>
      <c r="CU210" s="358"/>
      <c r="CV210" s="57" t="s">
        <v>38</v>
      </c>
    </row>
    <row r="211" spans="1:100" ht="15.75" customHeight="1" outlineLevel="2">
      <c r="A211" s="276" t="s">
        <v>194</v>
      </c>
      <c r="B211" s="277" t="str">
        <f>$E$171&amp;$E$6&amp;E211</f>
        <v>PACK SURABAYAPACKAGEMIDEA</v>
      </c>
      <c r="C211" s="276" t="s">
        <v>36</v>
      </c>
      <c r="D211" s="297" t="s">
        <v>121</v>
      </c>
      <c r="E211" s="288" t="s">
        <v>220</v>
      </c>
      <c r="F211" s="288"/>
      <c r="G211" s="45"/>
      <c r="H211" s="65"/>
      <c r="I211" s="65"/>
      <c r="J211" s="65"/>
      <c r="K211" s="65"/>
      <c r="L211" s="65"/>
      <c r="M211" s="65"/>
      <c r="N211" s="65"/>
      <c r="O211" s="65"/>
      <c r="P211" s="81"/>
      <c r="Q211" s="81"/>
      <c r="R211" s="81"/>
      <c r="S211" s="81"/>
      <c r="T211" s="65"/>
      <c r="U211" s="65"/>
      <c r="V211" s="65"/>
      <c r="W211" s="66">
        <f>SUM(H211:S211)</f>
        <v>0</v>
      </c>
      <c r="X211" s="55"/>
      <c r="Y211" s="67">
        <f t="shared" ref="Y211:AJ211" si="95">1300000000/2</f>
        <v>650000000</v>
      </c>
      <c r="Z211" s="67">
        <f t="shared" si="95"/>
        <v>650000000</v>
      </c>
      <c r="AA211" s="67">
        <f t="shared" si="95"/>
        <v>650000000</v>
      </c>
      <c r="AB211" s="67">
        <f t="shared" si="95"/>
        <v>650000000</v>
      </c>
      <c r="AC211" s="67">
        <f t="shared" si="95"/>
        <v>650000000</v>
      </c>
      <c r="AD211" s="67">
        <f t="shared" si="95"/>
        <v>650000000</v>
      </c>
      <c r="AE211" s="67">
        <f t="shared" si="95"/>
        <v>650000000</v>
      </c>
      <c r="AF211" s="67">
        <f t="shared" si="95"/>
        <v>650000000</v>
      </c>
      <c r="AG211" s="67">
        <f t="shared" si="95"/>
        <v>650000000</v>
      </c>
      <c r="AH211" s="67">
        <f t="shared" si="95"/>
        <v>650000000</v>
      </c>
      <c r="AI211" s="67">
        <f t="shared" si="95"/>
        <v>650000000</v>
      </c>
      <c r="AJ211" s="67">
        <f t="shared" si="95"/>
        <v>650000000</v>
      </c>
      <c r="AK211" s="61">
        <v>7800000000</v>
      </c>
      <c r="AL211" s="55"/>
      <c r="AM211" s="67">
        <v>650000000</v>
      </c>
      <c r="AN211" s="67">
        <v>650000000</v>
      </c>
      <c r="AO211" s="67">
        <v>650000000</v>
      </c>
      <c r="AP211" s="67">
        <v>650000000</v>
      </c>
      <c r="AQ211" s="67">
        <v>650000000</v>
      </c>
      <c r="AR211" s="67">
        <v>650000000</v>
      </c>
      <c r="AS211" s="67">
        <v>650000000</v>
      </c>
      <c r="AT211" s="67">
        <v>650000000</v>
      </c>
      <c r="AU211" s="67">
        <v>650000000</v>
      </c>
      <c r="AV211" s="67">
        <v>650000000</v>
      </c>
      <c r="AW211" s="67">
        <v>650000000</v>
      </c>
      <c r="AX211" s="67">
        <v>650000000</v>
      </c>
      <c r="AY211" s="122">
        <v>7800000000</v>
      </c>
      <c r="AZ211" s="55"/>
      <c r="BA211" s="639">
        <v>0</v>
      </c>
      <c r="BB211" s="639">
        <v>0</v>
      </c>
      <c r="BC211" s="86"/>
      <c r="BD211" s="639">
        <v>0</v>
      </c>
      <c r="BE211" s="86"/>
      <c r="BF211" s="639">
        <v>0</v>
      </c>
      <c r="BG211" s="86"/>
      <c r="BH211" s="639"/>
      <c r="BI211" s="86"/>
      <c r="BJ211" s="639"/>
      <c r="BK211" s="86"/>
      <c r="BL211" s="639"/>
      <c r="BM211" s="86"/>
      <c r="BN211" s="695"/>
      <c r="BO211" s="696"/>
      <c r="BP211" s="695"/>
      <c r="BQ211" s="696">
        <v>972000000</v>
      </c>
      <c r="BR211" s="729">
        <v>0</v>
      </c>
      <c r="BS211" s="695"/>
      <c r="BT211" s="696">
        <v>972000000</v>
      </c>
      <c r="BU211" s="729">
        <v>0</v>
      </c>
      <c r="BV211" s="695"/>
      <c r="BW211" s="696">
        <v>972000000</v>
      </c>
      <c r="BX211" s="729">
        <v>0</v>
      </c>
      <c r="BY211" s="695"/>
      <c r="BZ211" s="696">
        <v>972000000</v>
      </c>
      <c r="CA211" s="729">
        <v>0</v>
      </c>
      <c r="CB211" s="720">
        <f t="shared" si="92"/>
        <v>0</v>
      </c>
      <c r="CC211" s="721">
        <f t="shared" si="93"/>
        <v>0</v>
      </c>
      <c r="CD211" s="738"/>
      <c r="CE211" s="322"/>
      <c r="CF211" s="322"/>
      <c r="CG211" s="322"/>
      <c r="CH211" s="322"/>
      <c r="CI211" s="322"/>
      <c r="CJ211" s="322"/>
      <c r="CK211" s="322"/>
      <c r="CL211" s="322"/>
      <c r="CM211" s="322"/>
      <c r="CN211" s="322"/>
      <c r="CO211" s="322"/>
      <c r="CP211" s="322"/>
      <c r="CQ211" s="355">
        <f t="shared" si="94"/>
        <v>0</v>
      </c>
      <c r="CR211" s="356">
        <f>CQ211*1.15</f>
        <v>0</v>
      </c>
      <c r="CS211" s="357">
        <f>CR211*1.1</f>
        <v>0</v>
      </c>
      <c r="CT211" s="332">
        <f>CS211*1.15</f>
        <v>0</v>
      </c>
      <c r="CU211" s="358">
        <f>CT211*1.15</f>
        <v>0</v>
      </c>
      <c r="CV211" s="57" t="s">
        <v>38</v>
      </c>
    </row>
    <row r="212" spans="1:100" ht="15.75" customHeight="1" outlineLevel="2">
      <c r="A212" s="276" t="s">
        <v>194</v>
      </c>
      <c r="C212" s="276" t="s">
        <v>36</v>
      </c>
      <c r="D212" s="297" t="s">
        <v>121</v>
      </c>
      <c r="E212" s="288" t="s">
        <v>183</v>
      </c>
      <c r="F212" s="288"/>
      <c r="G212" s="45"/>
      <c r="H212" s="65"/>
      <c r="I212" s="65"/>
      <c r="J212" s="65"/>
      <c r="K212" s="65"/>
      <c r="L212" s="65"/>
      <c r="M212" s="65"/>
      <c r="N212" s="65"/>
      <c r="O212" s="65"/>
      <c r="P212" s="81"/>
      <c r="Q212" s="81"/>
      <c r="R212" s="81"/>
      <c r="S212" s="81"/>
      <c r="T212" s="65"/>
      <c r="U212" s="65"/>
      <c r="V212" s="65"/>
      <c r="W212" s="66"/>
      <c r="X212" s="55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1"/>
      <c r="AL212" s="55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122"/>
      <c r="AZ212" s="55"/>
      <c r="BA212" s="639"/>
      <c r="BB212" s="639"/>
      <c r="BC212" s="86"/>
      <c r="BD212" s="639"/>
      <c r="BE212" s="86"/>
      <c r="BF212" s="639"/>
      <c r="BG212" s="86"/>
      <c r="BH212" s="639"/>
      <c r="BI212" s="86"/>
      <c r="BJ212" s="639"/>
      <c r="BK212" s="86"/>
      <c r="BL212" s="639"/>
      <c r="BM212" s="86"/>
      <c r="BN212" s="695"/>
      <c r="BO212" s="696">
        <v>500000000</v>
      </c>
      <c r="BP212" s="695"/>
      <c r="BQ212" s="696">
        <v>500000000</v>
      </c>
      <c r="BR212" s="729">
        <v>0</v>
      </c>
      <c r="BS212" s="695"/>
      <c r="BT212" s="696">
        <v>500000000</v>
      </c>
      <c r="BU212" s="729">
        <v>0</v>
      </c>
      <c r="BV212" s="695"/>
      <c r="BW212" s="696">
        <v>500000000</v>
      </c>
      <c r="BX212" s="729">
        <v>0</v>
      </c>
      <c r="BY212" s="695"/>
      <c r="BZ212" s="696">
        <v>500000000</v>
      </c>
      <c r="CA212" s="729">
        <v>200000000</v>
      </c>
      <c r="CB212" s="720">
        <f t="shared" si="92"/>
        <v>200000000</v>
      </c>
      <c r="CC212" s="721">
        <f t="shared" si="93"/>
        <v>200000000</v>
      </c>
      <c r="CD212" s="738"/>
      <c r="CE212" s="322"/>
      <c r="CF212" s="322"/>
      <c r="CG212" s="322"/>
      <c r="CH212" s="322"/>
      <c r="CI212" s="322"/>
      <c r="CJ212" s="322"/>
      <c r="CK212" s="322"/>
      <c r="CL212" s="322"/>
      <c r="CM212" s="322"/>
      <c r="CN212" s="322"/>
      <c r="CO212" s="322"/>
      <c r="CP212" s="322"/>
      <c r="CQ212" s="355">
        <f t="shared" si="94"/>
        <v>0</v>
      </c>
      <c r="CR212" s="356"/>
      <c r="CS212" s="357"/>
      <c r="CT212" s="332"/>
      <c r="CU212" s="358"/>
      <c r="CV212" s="57" t="s">
        <v>38</v>
      </c>
    </row>
    <row r="213" spans="1:100" ht="15" customHeight="1" outlineLevel="2">
      <c r="A213" s="276" t="s">
        <v>196</v>
      </c>
      <c r="B213" s="277" t="str">
        <f>$E$171&amp;$E$6&amp;E213</f>
        <v>PACK SURABAYAPACKAGESAMPOERNA</v>
      </c>
      <c r="C213" s="276" t="s">
        <v>36</v>
      </c>
      <c r="D213" s="297" t="s">
        <v>121</v>
      </c>
      <c r="E213" s="288" t="s">
        <v>221</v>
      </c>
      <c r="F213" s="288"/>
      <c r="G213" s="65"/>
      <c r="H213" s="65"/>
      <c r="I213" s="65"/>
      <c r="J213" s="65"/>
      <c r="K213" s="65"/>
      <c r="L213" s="65"/>
      <c r="M213" s="65"/>
      <c r="N213" s="65"/>
      <c r="O213" s="65"/>
      <c r="P213" s="81">
        <v>0</v>
      </c>
      <c r="Q213" s="81"/>
      <c r="R213" s="81"/>
      <c r="S213" s="81"/>
      <c r="T213" s="65">
        <v>0</v>
      </c>
      <c r="U213" s="65">
        <v>0</v>
      </c>
      <c r="V213" s="65">
        <v>0</v>
      </c>
      <c r="W213" s="66">
        <f t="shared" si="77"/>
        <v>0</v>
      </c>
      <c r="X213" s="55"/>
      <c r="Y213" s="57"/>
      <c r="Z213" s="57"/>
      <c r="AA213" s="57"/>
      <c r="AB213" s="57"/>
      <c r="AC213" s="57"/>
      <c r="AD213" s="90">
        <v>250000000</v>
      </c>
      <c r="AE213" s="90">
        <v>250000000</v>
      </c>
      <c r="AF213" s="90">
        <v>250000000</v>
      </c>
      <c r="AG213" s="90">
        <v>350000000</v>
      </c>
      <c r="AH213" s="90">
        <v>350000000</v>
      </c>
      <c r="AI213" s="90">
        <v>350000000</v>
      </c>
      <c r="AJ213" s="90">
        <v>350000000</v>
      </c>
      <c r="AK213" s="61">
        <v>2150000000</v>
      </c>
      <c r="AL213" s="55"/>
      <c r="AM213" s="57"/>
      <c r="AN213" s="57"/>
      <c r="AO213" s="57"/>
      <c r="AP213" s="57"/>
      <c r="AQ213" s="57"/>
      <c r="AR213" s="90">
        <v>250000000</v>
      </c>
      <c r="AS213" s="90">
        <v>250000000</v>
      </c>
      <c r="AT213" s="90">
        <v>250000000</v>
      </c>
      <c r="AU213" s="90">
        <v>350000000</v>
      </c>
      <c r="AV213" s="90">
        <v>350000000</v>
      </c>
      <c r="AW213" s="90">
        <v>350000000</v>
      </c>
      <c r="AX213" s="90">
        <v>350000000</v>
      </c>
      <c r="AY213" s="122">
        <v>2150000000</v>
      </c>
      <c r="AZ213" s="55"/>
      <c r="BA213" s="639">
        <v>0</v>
      </c>
      <c r="BB213" s="639">
        <v>0</v>
      </c>
      <c r="BC213" s="86"/>
      <c r="BD213" s="639">
        <v>0</v>
      </c>
      <c r="BE213" s="86"/>
      <c r="BF213" s="639">
        <v>0</v>
      </c>
      <c r="BG213" s="86"/>
      <c r="BH213" s="639"/>
      <c r="BI213" s="86"/>
      <c r="BJ213" s="639"/>
      <c r="BK213" s="86"/>
      <c r="BL213" s="639"/>
      <c r="BM213" s="86"/>
      <c r="BN213" s="695"/>
      <c r="BO213" s="696"/>
      <c r="BP213" s="695"/>
      <c r="BQ213" s="696"/>
      <c r="BR213" s="729">
        <v>0</v>
      </c>
      <c r="BS213" s="695"/>
      <c r="BT213" s="696">
        <v>300000000</v>
      </c>
      <c r="BU213" s="729">
        <v>300000000</v>
      </c>
      <c r="BV213" s="695"/>
      <c r="BW213" s="696">
        <v>300000000</v>
      </c>
      <c r="BX213" s="729">
        <v>300000000</v>
      </c>
      <c r="BY213" s="695"/>
      <c r="BZ213" s="696">
        <v>300000000</v>
      </c>
      <c r="CA213" s="729">
        <v>300000000</v>
      </c>
      <c r="CB213" s="720">
        <f t="shared" si="92"/>
        <v>900000000</v>
      </c>
      <c r="CC213" s="721">
        <f t="shared" si="93"/>
        <v>900000000</v>
      </c>
      <c r="CD213" s="738"/>
      <c r="CE213" s="322"/>
      <c r="CF213" s="322"/>
      <c r="CG213" s="322">
        <v>125000000</v>
      </c>
      <c r="CH213" s="322">
        <v>125000000</v>
      </c>
      <c r="CI213" s="322">
        <v>125000000</v>
      </c>
      <c r="CJ213" s="322">
        <v>125000000</v>
      </c>
      <c r="CK213" s="322">
        <v>125000000</v>
      </c>
      <c r="CL213" s="322">
        <v>125000000</v>
      </c>
      <c r="CM213" s="322">
        <v>125000000</v>
      </c>
      <c r="CN213" s="322">
        <v>125000000</v>
      </c>
      <c r="CO213" s="322">
        <v>125000000</v>
      </c>
      <c r="CP213" s="322">
        <v>125000000</v>
      </c>
      <c r="CQ213" s="355">
        <f t="shared" si="94"/>
        <v>1250000000</v>
      </c>
      <c r="CR213" s="356">
        <f>CQ213*1.17</f>
        <v>1462500000</v>
      </c>
      <c r="CS213" s="357">
        <f>CR213*1.1</f>
        <v>1608750000.0000002</v>
      </c>
      <c r="CT213" s="332">
        <f>CS213*1.12</f>
        <v>1801800000.0000005</v>
      </c>
      <c r="CU213" s="358">
        <f>CT213*1.12</f>
        <v>2018016000.0000007</v>
      </c>
      <c r="CV213" s="57" t="s">
        <v>38</v>
      </c>
    </row>
    <row r="214" spans="1:100" ht="15.75" customHeight="1" outlineLevel="2">
      <c r="A214" s="276" t="s">
        <v>194</v>
      </c>
      <c r="C214" s="276" t="s">
        <v>36</v>
      </c>
      <c r="D214" s="297" t="s">
        <v>121</v>
      </c>
      <c r="E214" s="288" t="s">
        <v>222</v>
      </c>
      <c r="F214" s="288"/>
      <c r="G214" s="45"/>
      <c r="H214" s="65"/>
      <c r="I214" s="65"/>
      <c r="J214" s="65"/>
      <c r="K214" s="65"/>
      <c r="L214" s="65"/>
      <c r="M214" s="65"/>
      <c r="N214" s="65"/>
      <c r="O214" s="65"/>
      <c r="P214" s="81"/>
      <c r="Q214" s="81"/>
      <c r="R214" s="81"/>
      <c r="S214" s="81"/>
      <c r="T214" s="65"/>
      <c r="U214" s="65"/>
      <c r="V214" s="65"/>
      <c r="W214" s="66"/>
      <c r="X214" s="55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1"/>
      <c r="AL214" s="55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122"/>
      <c r="AZ214" s="55"/>
      <c r="BA214" s="639"/>
      <c r="BB214" s="639"/>
      <c r="BC214" s="86"/>
      <c r="BD214" s="639"/>
      <c r="BE214" s="86"/>
      <c r="BF214" s="639"/>
      <c r="BG214" s="86"/>
      <c r="BH214" s="639"/>
      <c r="BI214" s="86"/>
      <c r="BJ214" s="639"/>
      <c r="BK214" s="86"/>
      <c r="BL214" s="639"/>
      <c r="BM214" s="86"/>
      <c r="BN214" s="695"/>
      <c r="BO214" s="696">
        <v>20000000</v>
      </c>
      <c r="BP214" s="695"/>
      <c r="BQ214" s="696">
        <v>20000000</v>
      </c>
      <c r="BR214" s="729">
        <v>0</v>
      </c>
      <c r="BS214" s="695"/>
      <c r="BT214" s="696">
        <v>20000000</v>
      </c>
      <c r="BU214" s="729">
        <v>0</v>
      </c>
      <c r="BV214" s="695"/>
      <c r="BW214" s="696">
        <v>20000000</v>
      </c>
      <c r="BX214" s="729">
        <v>0</v>
      </c>
      <c r="BY214" s="695"/>
      <c r="BZ214" s="696">
        <v>20000000</v>
      </c>
      <c r="CA214" s="729">
        <v>0</v>
      </c>
      <c r="CB214" s="720">
        <f t="shared" si="92"/>
        <v>0</v>
      </c>
      <c r="CC214" s="721">
        <f t="shared" si="93"/>
        <v>0</v>
      </c>
      <c r="CD214" s="738"/>
      <c r="CE214" s="322"/>
      <c r="CF214" s="322"/>
      <c r="CG214" s="322"/>
      <c r="CH214" s="322"/>
      <c r="CI214" s="322"/>
      <c r="CJ214" s="322"/>
      <c r="CK214" s="322"/>
      <c r="CL214" s="322"/>
      <c r="CM214" s="322"/>
      <c r="CN214" s="322"/>
      <c r="CO214" s="322"/>
      <c r="CP214" s="322"/>
      <c r="CQ214" s="355">
        <f t="shared" si="94"/>
        <v>0</v>
      </c>
      <c r="CR214" s="356"/>
      <c r="CS214" s="357"/>
      <c r="CT214" s="332"/>
      <c r="CU214" s="358"/>
      <c r="CV214" s="57" t="s">
        <v>38</v>
      </c>
    </row>
    <row r="215" spans="1:100" ht="15" customHeight="1" outlineLevel="2">
      <c r="A215" s="276" t="s">
        <v>194</v>
      </c>
      <c r="B215" s="277" t="str">
        <f>$E$171&amp;$E$6&amp;E215</f>
        <v>PACK SURABAYAPACKAGESC JHONSON</v>
      </c>
      <c r="C215" s="276" t="s">
        <v>36</v>
      </c>
      <c r="D215" s="297" t="s">
        <v>121</v>
      </c>
      <c r="E215" s="288" t="s">
        <v>223</v>
      </c>
      <c r="F215" s="288"/>
      <c r="G215" s="65"/>
      <c r="H215" s="65"/>
      <c r="I215" s="65"/>
      <c r="J215" s="65"/>
      <c r="K215" s="65"/>
      <c r="L215" s="65"/>
      <c r="M215" s="65"/>
      <c r="N215" s="65"/>
      <c r="O215" s="65"/>
      <c r="P215" s="81"/>
      <c r="Q215" s="81"/>
      <c r="R215" s="81"/>
      <c r="S215" s="81"/>
      <c r="T215" s="65"/>
      <c r="U215" s="65"/>
      <c r="V215" s="65"/>
      <c r="W215" s="66">
        <f t="shared" si="77"/>
        <v>0</v>
      </c>
      <c r="X215" s="55"/>
      <c r="Y215" s="82">
        <f>40000000</f>
        <v>40000000</v>
      </c>
      <c r="Z215" s="82">
        <f>40000000</f>
        <v>40000000</v>
      </c>
      <c r="AA215" s="82">
        <f>40000000</f>
        <v>40000000</v>
      </c>
      <c r="AB215" s="82">
        <f>40000000</f>
        <v>40000000</v>
      </c>
      <c r="AC215" s="82">
        <f>40000000</f>
        <v>40000000</v>
      </c>
      <c r="AD215" s="91">
        <v>60000000</v>
      </c>
      <c r="AE215" s="91">
        <v>60000000</v>
      </c>
      <c r="AF215" s="91">
        <v>60000000</v>
      </c>
      <c r="AG215" s="91">
        <v>60000000</v>
      </c>
      <c r="AH215" s="91">
        <v>60000000</v>
      </c>
      <c r="AI215" s="91">
        <v>60000000</v>
      </c>
      <c r="AJ215" s="91">
        <v>60000000</v>
      </c>
      <c r="AK215" s="61">
        <v>620000000</v>
      </c>
      <c r="AL215" s="55"/>
      <c r="AM215" s="82">
        <v>40000000</v>
      </c>
      <c r="AN215" s="82">
        <v>40000000</v>
      </c>
      <c r="AO215" s="82">
        <v>40000000</v>
      </c>
      <c r="AP215" s="82">
        <v>40000000</v>
      </c>
      <c r="AQ215" s="82">
        <v>40000000</v>
      </c>
      <c r="AR215" s="91">
        <v>60000000</v>
      </c>
      <c r="AS215" s="91">
        <v>60000000</v>
      </c>
      <c r="AT215" s="91">
        <v>60000000</v>
      </c>
      <c r="AU215" s="91">
        <v>60000000</v>
      </c>
      <c r="AV215" s="91">
        <v>60000000</v>
      </c>
      <c r="AW215" s="91">
        <v>60000000</v>
      </c>
      <c r="AX215" s="91">
        <v>60000000</v>
      </c>
      <c r="AY215" s="122">
        <v>620000000</v>
      </c>
      <c r="AZ215" s="55"/>
      <c r="BA215" s="639">
        <v>0</v>
      </c>
      <c r="BB215" s="639">
        <v>0</v>
      </c>
      <c r="BC215" s="86"/>
      <c r="BD215" s="639">
        <v>0</v>
      </c>
      <c r="BE215" s="86"/>
      <c r="BF215" s="639">
        <v>0</v>
      </c>
      <c r="BG215" s="86"/>
      <c r="BH215" s="639"/>
      <c r="BI215" s="86"/>
      <c r="BJ215" s="639"/>
      <c r="BK215" s="86"/>
      <c r="BL215" s="639"/>
      <c r="BM215" s="86"/>
      <c r="BN215" s="695"/>
      <c r="BO215" s="696"/>
      <c r="BP215" s="695"/>
      <c r="BQ215" s="696"/>
      <c r="BR215" s="729"/>
      <c r="BS215" s="695"/>
      <c r="BT215" s="696"/>
      <c r="BU215" s="729"/>
      <c r="BV215" s="695"/>
      <c r="BW215" s="696"/>
      <c r="BX215" s="729"/>
      <c r="BY215" s="695"/>
      <c r="BZ215" s="696"/>
      <c r="CA215" s="729"/>
      <c r="CB215" s="720">
        <f t="shared" si="92"/>
        <v>0</v>
      </c>
      <c r="CC215" s="721">
        <f t="shared" si="93"/>
        <v>0</v>
      </c>
      <c r="CD215" s="738"/>
      <c r="CE215" s="322"/>
      <c r="CF215" s="322"/>
      <c r="CG215" s="322"/>
      <c r="CH215" s="322">
        <v>150000000</v>
      </c>
      <c r="CI215" s="322">
        <v>150000000</v>
      </c>
      <c r="CJ215" s="322">
        <v>150000000</v>
      </c>
      <c r="CK215" s="322">
        <v>150000000</v>
      </c>
      <c r="CL215" s="322">
        <v>150000000</v>
      </c>
      <c r="CM215" s="322">
        <v>150000000</v>
      </c>
      <c r="CN215" s="322">
        <v>150000000</v>
      </c>
      <c r="CO215" s="322">
        <v>175000000</v>
      </c>
      <c r="CP215" s="322">
        <v>175000000</v>
      </c>
      <c r="CQ215" s="355">
        <f t="shared" si="94"/>
        <v>1400000000</v>
      </c>
      <c r="CR215" s="356">
        <f>CQ215*1.17</f>
        <v>1638000000</v>
      </c>
      <c r="CS215" s="357">
        <f>CR215*1.1</f>
        <v>1801800000.0000002</v>
      </c>
      <c r="CT215" s="332">
        <f>CS215*1.2</f>
        <v>2162160000</v>
      </c>
      <c r="CU215" s="358">
        <f>CT215*1.2</f>
        <v>2594592000</v>
      </c>
      <c r="CV215" s="57" t="s">
        <v>38</v>
      </c>
    </row>
    <row r="216" spans="1:100" ht="15.75" customHeight="1" outlineLevel="2">
      <c r="A216" s="276" t="s">
        <v>121</v>
      </c>
      <c r="B216" s="277" t="str">
        <f>$E$171&amp;$E$6&amp;E216</f>
        <v>PACK SURABAYAPACKAGESHELL</v>
      </c>
      <c r="C216" s="276" t="s">
        <v>36</v>
      </c>
      <c r="D216" s="297" t="s">
        <v>121</v>
      </c>
      <c r="E216" s="288" t="s">
        <v>149</v>
      </c>
      <c r="F216" s="288"/>
      <c r="G216" s="45"/>
      <c r="H216" s="65"/>
      <c r="I216" s="65"/>
      <c r="J216" s="65"/>
      <c r="K216" s="65"/>
      <c r="L216" s="65"/>
      <c r="M216" s="65"/>
      <c r="N216" s="65"/>
      <c r="O216" s="65"/>
      <c r="P216" s="81"/>
      <c r="Q216" s="81"/>
      <c r="R216" s="81"/>
      <c r="S216" s="81"/>
      <c r="T216" s="65"/>
      <c r="U216" s="65"/>
      <c r="V216" s="65"/>
      <c r="W216" s="66">
        <f>SUM(H216:S216)</f>
        <v>0</v>
      </c>
      <c r="X216" s="55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1">
        <v>0</v>
      </c>
      <c r="AL216" s="55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122">
        <v>0</v>
      </c>
      <c r="AZ216" s="55"/>
      <c r="BA216" s="639">
        <v>0</v>
      </c>
      <c r="BB216" s="639">
        <v>0</v>
      </c>
      <c r="BC216" s="86"/>
      <c r="BD216" s="639">
        <v>0</v>
      </c>
      <c r="BE216" s="86"/>
      <c r="BF216" s="639">
        <v>0</v>
      </c>
      <c r="BG216" s="86"/>
      <c r="BH216" s="639"/>
      <c r="BI216" s="86"/>
      <c r="BJ216" s="639"/>
      <c r="BK216" s="86"/>
      <c r="BL216" s="639"/>
      <c r="BM216" s="86"/>
      <c r="BN216" s="695"/>
      <c r="BO216" s="696"/>
      <c r="BP216" s="695"/>
      <c r="BQ216" s="696"/>
      <c r="BR216" s="729"/>
      <c r="BS216" s="695"/>
      <c r="BT216" s="696"/>
      <c r="BU216" s="729"/>
      <c r="BV216" s="695"/>
      <c r="BW216" s="696"/>
      <c r="BX216" s="729"/>
      <c r="BY216" s="695"/>
      <c r="BZ216" s="696"/>
      <c r="CA216" s="729"/>
      <c r="CB216" s="720">
        <f t="shared" si="92"/>
        <v>0</v>
      </c>
      <c r="CC216" s="721">
        <f t="shared" si="93"/>
        <v>0</v>
      </c>
      <c r="CD216" s="738"/>
      <c r="CE216" s="322"/>
      <c r="CF216" s="322"/>
      <c r="CG216" s="322"/>
      <c r="CH216" s="322"/>
      <c r="CI216" s="322"/>
      <c r="CJ216" s="322"/>
      <c r="CK216" s="322"/>
      <c r="CL216" s="322"/>
      <c r="CM216" s="322"/>
      <c r="CN216" s="322"/>
      <c r="CO216" s="322"/>
      <c r="CP216" s="322"/>
      <c r="CQ216" s="355">
        <f t="shared" si="94"/>
        <v>0</v>
      </c>
      <c r="CR216" s="356"/>
      <c r="CS216" s="357"/>
      <c r="CT216" s="332">
        <f>500000000*12</f>
        <v>6000000000</v>
      </c>
      <c r="CU216" s="358">
        <f>500000000*12</f>
        <v>6000000000</v>
      </c>
      <c r="CV216" s="57" t="s">
        <v>38</v>
      </c>
    </row>
    <row r="217" spans="1:100" ht="15" customHeight="1" outlineLevel="2">
      <c r="A217" s="276" t="s">
        <v>194</v>
      </c>
      <c r="B217" s="277" t="str">
        <f>$E$171&amp;$E$6&amp;E217</f>
        <v>PACK SURABAYAPACKAGESSK</v>
      </c>
      <c r="C217" s="276" t="s">
        <v>36</v>
      </c>
      <c r="D217" s="297" t="s">
        <v>121</v>
      </c>
      <c r="E217" s="288" t="s">
        <v>224</v>
      </c>
      <c r="F217" s="288"/>
      <c r="G217" s="65"/>
      <c r="H217" s="65">
        <v>0</v>
      </c>
      <c r="I217" s="65">
        <v>0</v>
      </c>
      <c r="J217" s="65">
        <v>0</v>
      </c>
      <c r="K217" s="65">
        <v>0</v>
      </c>
      <c r="L217" s="65">
        <v>0</v>
      </c>
      <c r="M217" s="65">
        <v>0</v>
      </c>
      <c r="N217" s="65">
        <v>0</v>
      </c>
      <c r="O217" s="65"/>
      <c r="P217" s="81">
        <v>0</v>
      </c>
      <c r="Q217" s="81"/>
      <c r="R217" s="81"/>
      <c r="S217" s="81"/>
      <c r="T217" s="65">
        <f>80000000*0</f>
        <v>0</v>
      </c>
      <c r="U217" s="65">
        <f>80000000*0</f>
        <v>0</v>
      </c>
      <c r="V217" s="65">
        <f>80000000*0</f>
        <v>0</v>
      </c>
      <c r="W217" s="66">
        <f>SUM(H217:S217)</f>
        <v>0</v>
      </c>
      <c r="X217" s="55"/>
      <c r="Y217" s="67">
        <v>150000000</v>
      </c>
      <c r="Z217" s="67">
        <v>150000000</v>
      </c>
      <c r="AA217" s="67">
        <v>150000000</v>
      </c>
      <c r="AB217" s="67">
        <v>150000000</v>
      </c>
      <c r="AC217" s="67">
        <v>250000000</v>
      </c>
      <c r="AD217" s="67">
        <v>250000000</v>
      </c>
      <c r="AE217" s="67">
        <v>250000000</v>
      </c>
      <c r="AF217" s="67">
        <v>250000000</v>
      </c>
      <c r="AG217" s="67">
        <v>250000000</v>
      </c>
      <c r="AH217" s="67">
        <v>250000000</v>
      </c>
      <c r="AI217" s="67">
        <v>250000000</v>
      </c>
      <c r="AJ217" s="67">
        <v>250000000</v>
      </c>
      <c r="AK217" s="61">
        <v>2600000000</v>
      </c>
      <c r="AL217" s="55"/>
      <c r="AM217" s="67">
        <v>150000000</v>
      </c>
      <c r="AN217" s="67">
        <v>150000000</v>
      </c>
      <c r="AO217" s="67">
        <v>150000000</v>
      </c>
      <c r="AP217" s="67">
        <v>150000000</v>
      </c>
      <c r="AQ217" s="67">
        <v>250000000</v>
      </c>
      <c r="AR217" s="67">
        <v>250000000</v>
      </c>
      <c r="AS217" s="67">
        <v>250000000</v>
      </c>
      <c r="AT217" s="67">
        <v>250000000</v>
      </c>
      <c r="AU217" s="67">
        <v>250000000</v>
      </c>
      <c r="AV217" s="67">
        <v>250000000</v>
      </c>
      <c r="AW217" s="67">
        <v>250000000</v>
      </c>
      <c r="AX217" s="67">
        <v>250000000</v>
      </c>
      <c r="AY217" s="122">
        <v>2600000000</v>
      </c>
      <c r="AZ217" s="55"/>
      <c r="BA217" s="639">
        <v>0</v>
      </c>
      <c r="BB217" s="639">
        <v>0</v>
      </c>
      <c r="BC217" s="86"/>
      <c r="BD217" s="639">
        <v>0</v>
      </c>
      <c r="BE217" s="86"/>
      <c r="BF217" s="639">
        <v>0</v>
      </c>
      <c r="BG217" s="86"/>
      <c r="BH217" s="639"/>
      <c r="BI217" s="86"/>
      <c r="BJ217" s="639"/>
      <c r="BK217" s="86"/>
      <c r="BL217" s="639"/>
      <c r="BM217" s="86"/>
      <c r="BN217" s="695"/>
      <c r="BO217" s="696">
        <v>200000000</v>
      </c>
      <c r="BP217" s="695"/>
      <c r="BQ217" s="696">
        <v>200000000</v>
      </c>
      <c r="BR217" s="729">
        <v>0</v>
      </c>
      <c r="BS217" s="695"/>
      <c r="BT217" s="696">
        <v>200000000</v>
      </c>
      <c r="BU217" s="729">
        <v>0</v>
      </c>
      <c r="BV217" s="695"/>
      <c r="BW217" s="696">
        <v>200000000</v>
      </c>
      <c r="BX217" s="729">
        <v>0</v>
      </c>
      <c r="BY217" s="695"/>
      <c r="BZ217" s="696">
        <v>200000000</v>
      </c>
      <c r="CA217" s="729">
        <v>0</v>
      </c>
      <c r="CB217" s="720">
        <f t="shared" si="92"/>
        <v>0</v>
      </c>
      <c r="CC217" s="721">
        <f t="shared" si="93"/>
        <v>0</v>
      </c>
      <c r="CD217" s="738"/>
      <c r="CE217" s="322"/>
      <c r="CF217" s="322"/>
      <c r="CG217" s="322"/>
      <c r="CH217" s="322"/>
      <c r="CI217" s="322"/>
      <c r="CJ217" s="322"/>
      <c r="CK217" s="322"/>
      <c r="CL217" s="322"/>
      <c r="CM217" s="322"/>
      <c r="CN217" s="322"/>
      <c r="CO217" s="322"/>
      <c r="CP217" s="322"/>
      <c r="CQ217" s="355">
        <f t="shared" si="94"/>
        <v>0</v>
      </c>
      <c r="CR217" s="356">
        <f>CQ217*1.17</f>
        <v>0</v>
      </c>
      <c r="CS217" s="357">
        <f>CR217*1.1</f>
        <v>0</v>
      </c>
      <c r="CT217" s="332">
        <f>CS217*1.12</f>
        <v>0</v>
      </c>
      <c r="CU217" s="358">
        <f>CT217*1.12</f>
        <v>0</v>
      </c>
      <c r="CV217" s="57" t="s">
        <v>38</v>
      </c>
    </row>
    <row r="218" spans="1:100" ht="15.75" customHeight="1" outlineLevel="2">
      <c r="A218" s="276" t="s">
        <v>196</v>
      </c>
      <c r="B218" s="277" t="str">
        <f>$E$171&amp;$E$6&amp;E218</f>
        <v>PACK SURABAYAPACKAGETEMANS</v>
      </c>
      <c r="C218" s="276" t="s">
        <v>36</v>
      </c>
      <c r="D218" s="297" t="s">
        <v>121</v>
      </c>
      <c r="E218" s="288" t="s">
        <v>152</v>
      </c>
      <c r="F218" s="288"/>
      <c r="G218" s="45"/>
      <c r="H218" s="65"/>
      <c r="I218" s="65"/>
      <c r="J218" s="65"/>
      <c r="K218" s="65"/>
      <c r="L218" s="65"/>
      <c r="M218" s="65"/>
      <c r="N218" s="65"/>
      <c r="O218" s="65"/>
      <c r="P218" s="81"/>
      <c r="Q218" s="81"/>
      <c r="R218" s="81"/>
      <c r="S218" s="81"/>
      <c r="T218" s="65"/>
      <c r="U218" s="65"/>
      <c r="V218" s="65"/>
      <c r="W218" s="66">
        <f t="shared" si="77"/>
        <v>0</v>
      </c>
      <c r="X218" s="55"/>
      <c r="Y218" s="67">
        <f t="shared" ref="Y218:AJ218" si="96">1300000000/2</f>
        <v>650000000</v>
      </c>
      <c r="Z218" s="67">
        <f t="shared" si="96"/>
        <v>650000000</v>
      </c>
      <c r="AA218" s="67">
        <f t="shared" si="96"/>
        <v>650000000</v>
      </c>
      <c r="AB218" s="67">
        <f t="shared" si="96"/>
        <v>650000000</v>
      </c>
      <c r="AC218" s="67">
        <f t="shared" si="96"/>
        <v>650000000</v>
      </c>
      <c r="AD218" s="67">
        <f t="shared" si="96"/>
        <v>650000000</v>
      </c>
      <c r="AE218" s="67">
        <f t="shared" si="96"/>
        <v>650000000</v>
      </c>
      <c r="AF218" s="67">
        <f t="shared" si="96"/>
        <v>650000000</v>
      </c>
      <c r="AG218" s="67">
        <f t="shared" si="96"/>
        <v>650000000</v>
      </c>
      <c r="AH218" s="67">
        <f t="shared" si="96"/>
        <v>650000000</v>
      </c>
      <c r="AI218" s="67">
        <f t="shared" si="96"/>
        <v>650000000</v>
      </c>
      <c r="AJ218" s="67">
        <f t="shared" si="96"/>
        <v>650000000</v>
      </c>
      <c r="AK218" s="61">
        <v>7800000000</v>
      </c>
      <c r="AL218" s="55"/>
      <c r="AM218" s="67">
        <v>650000000</v>
      </c>
      <c r="AN218" s="67">
        <v>650000000</v>
      </c>
      <c r="AO218" s="67">
        <v>650000000</v>
      </c>
      <c r="AP218" s="67">
        <v>650000000</v>
      </c>
      <c r="AQ218" s="67">
        <v>650000000</v>
      </c>
      <c r="AR218" s="67">
        <v>650000000</v>
      </c>
      <c r="AS218" s="67">
        <v>650000000</v>
      </c>
      <c r="AT218" s="67">
        <v>650000000</v>
      </c>
      <c r="AU218" s="67">
        <v>650000000</v>
      </c>
      <c r="AV218" s="67">
        <v>650000000</v>
      </c>
      <c r="AW218" s="67">
        <v>650000000</v>
      </c>
      <c r="AX218" s="67">
        <v>650000000</v>
      </c>
      <c r="AY218" s="122">
        <v>7800000000</v>
      </c>
      <c r="AZ218" s="55"/>
      <c r="BA218" s="639">
        <v>0</v>
      </c>
      <c r="BB218" s="639">
        <v>0</v>
      </c>
      <c r="BC218" s="86"/>
      <c r="BD218" s="639">
        <v>0</v>
      </c>
      <c r="BE218" s="86">
        <v>0</v>
      </c>
      <c r="BF218" s="639">
        <v>0</v>
      </c>
      <c r="BG218" s="86"/>
      <c r="BH218" s="639"/>
      <c r="BI218" s="86"/>
      <c r="BJ218" s="639"/>
      <c r="BK218" s="86"/>
      <c r="BL218" s="639"/>
      <c r="BM218" s="86"/>
      <c r="BN218" s="695"/>
      <c r="BO218" s="696"/>
      <c r="BP218" s="695"/>
      <c r="BQ218" s="696"/>
      <c r="BR218" s="729"/>
      <c r="BS218" s="695"/>
      <c r="BT218" s="696"/>
      <c r="BU218" s="729"/>
      <c r="BV218" s="695"/>
      <c r="BW218" s="696"/>
      <c r="BX218" s="729"/>
      <c r="BY218" s="695"/>
      <c r="BZ218" s="696"/>
      <c r="CA218" s="729"/>
      <c r="CB218" s="720">
        <f t="shared" si="92"/>
        <v>0</v>
      </c>
      <c r="CC218" s="721">
        <f t="shared" si="93"/>
        <v>0</v>
      </c>
      <c r="CD218" s="738"/>
      <c r="CE218" s="322"/>
      <c r="CF218" s="322"/>
      <c r="CG218" s="322"/>
      <c r="CH218" s="322"/>
      <c r="CI218" s="322"/>
      <c r="CJ218" s="322"/>
      <c r="CK218" s="322"/>
      <c r="CL218" s="322"/>
      <c r="CM218" s="322"/>
      <c r="CN218" s="322"/>
      <c r="CO218" s="322"/>
      <c r="CP218" s="322"/>
      <c r="CQ218" s="355">
        <f t="shared" si="94"/>
        <v>0</v>
      </c>
      <c r="CR218" s="356">
        <f>CQ218*1.14</f>
        <v>0</v>
      </c>
      <c r="CS218" s="357">
        <f>CR218*1.2</f>
        <v>0</v>
      </c>
      <c r="CT218" s="332">
        <f>CS218*1.15</f>
        <v>0</v>
      </c>
      <c r="CU218" s="358">
        <f>CT218*1.15</f>
        <v>0</v>
      </c>
      <c r="CV218" s="57" t="s">
        <v>38</v>
      </c>
    </row>
    <row r="219" spans="1:100" ht="15.75" customHeight="1" outlineLevel="2">
      <c r="A219" s="296" t="s">
        <v>194</v>
      </c>
      <c r="C219" s="276" t="s">
        <v>36</v>
      </c>
      <c r="D219" s="297" t="s">
        <v>121</v>
      </c>
      <c r="E219" s="288" t="s">
        <v>225</v>
      </c>
      <c r="F219" s="288"/>
      <c r="G219" s="45"/>
      <c r="H219" s="65"/>
      <c r="I219" s="65"/>
      <c r="J219" s="65"/>
      <c r="K219" s="65"/>
      <c r="L219" s="65"/>
      <c r="M219" s="65"/>
      <c r="N219" s="65"/>
      <c r="O219" s="65"/>
      <c r="P219" s="81"/>
      <c r="Q219" s="81"/>
      <c r="R219" s="81"/>
      <c r="S219" s="81"/>
      <c r="T219" s="65"/>
      <c r="U219" s="65"/>
      <c r="V219" s="65"/>
      <c r="W219" s="66"/>
      <c r="X219" s="55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1"/>
      <c r="AL219" s="55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122"/>
      <c r="AZ219" s="55"/>
      <c r="BA219" s="639"/>
      <c r="BB219" s="639"/>
      <c r="BC219" s="86"/>
      <c r="BD219" s="639"/>
      <c r="BE219" s="86"/>
      <c r="BF219" s="639"/>
      <c r="BG219" s="86"/>
      <c r="BH219" s="639"/>
      <c r="BI219" s="86"/>
      <c r="BJ219" s="639"/>
      <c r="BK219" s="86"/>
      <c r="BL219" s="639"/>
      <c r="BM219" s="86"/>
      <c r="BN219" s="695"/>
      <c r="BO219" s="696"/>
      <c r="BP219" s="695"/>
      <c r="BQ219" s="696">
        <v>200000000</v>
      </c>
      <c r="BR219" s="729">
        <v>0</v>
      </c>
      <c r="BS219" s="695"/>
      <c r="BT219" s="696">
        <v>200000000</v>
      </c>
      <c r="BU219" s="729">
        <v>0</v>
      </c>
      <c r="BV219" s="695"/>
      <c r="BW219" s="696">
        <v>200000000</v>
      </c>
      <c r="BX219" s="729">
        <v>0</v>
      </c>
      <c r="BY219" s="695"/>
      <c r="BZ219" s="696">
        <v>200000000</v>
      </c>
      <c r="CA219" s="729">
        <v>0</v>
      </c>
      <c r="CB219" s="720">
        <f t="shared" si="92"/>
        <v>0</v>
      </c>
      <c r="CC219" s="721">
        <f t="shared" si="93"/>
        <v>0</v>
      </c>
      <c r="CD219" s="738"/>
      <c r="CE219" s="322"/>
      <c r="CF219" s="322"/>
      <c r="CG219" s="322"/>
      <c r="CH219" s="322"/>
      <c r="CI219" s="322"/>
      <c r="CJ219" s="322"/>
      <c r="CK219" s="322"/>
      <c r="CL219" s="322"/>
      <c r="CM219" s="322"/>
      <c r="CN219" s="322"/>
      <c r="CO219" s="322"/>
      <c r="CP219" s="322"/>
      <c r="CQ219" s="355">
        <f t="shared" si="94"/>
        <v>0</v>
      </c>
      <c r="CR219" s="356"/>
      <c r="CS219" s="357"/>
      <c r="CT219" s="332"/>
      <c r="CU219" s="358"/>
      <c r="CV219" s="57" t="s">
        <v>38</v>
      </c>
    </row>
    <row r="220" spans="1:100" ht="15.75" customHeight="1" outlineLevel="2">
      <c r="A220" s="296"/>
      <c r="C220" s="276" t="s">
        <v>36</v>
      </c>
      <c r="D220" s="297" t="s">
        <v>121</v>
      </c>
      <c r="E220" s="288" t="s">
        <v>226</v>
      </c>
      <c r="F220" s="288"/>
      <c r="G220" s="45"/>
      <c r="H220" s="65"/>
      <c r="I220" s="65"/>
      <c r="J220" s="65"/>
      <c r="K220" s="65"/>
      <c r="L220" s="65"/>
      <c r="M220" s="65"/>
      <c r="N220" s="65"/>
      <c r="O220" s="65"/>
      <c r="P220" s="81"/>
      <c r="Q220" s="81"/>
      <c r="R220" s="81"/>
      <c r="S220" s="81"/>
      <c r="T220" s="65"/>
      <c r="U220" s="65"/>
      <c r="V220" s="65"/>
      <c r="W220" s="66"/>
      <c r="X220" s="55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1"/>
      <c r="AL220" s="55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122"/>
      <c r="AZ220" s="55"/>
      <c r="BA220" s="639"/>
      <c r="BB220" s="639"/>
      <c r="BC220" s="86"/>
      <c r="BD220" s="639"/>
      <c r="BE220" s="86"/>
      <c r="BF220" s="639"/>
      <c r="BG220" s="86"/>
      <c r="BH220" s="639"/>
      <c r="BI220" s="86"/>
      <c r="BJ220" s="639"/>
      <c r="BK220" s="86"/>
      <c r="BL220" s="639"/>
      <c r="BM220" s="86"/>
      <c r="BN220" s="695"/>
      <c r="BO220" s="696"/>
      <c r="BP220" s="695"/>
      <c r="BQ220" s="696">
        <v>400000000</v>
      </c>
      <c r="BR220" s="729">
        <v>0</v>
      </c>
      <c r="BS220" s="695"/>
      <c r="BT220" s="696">
        <v>400000000</v>
      </c>
      <c r="BU220" s="729">
        <v>0</v>
      </c>
      <c r="BV220" s="695"/>
      <c r="BW220" s="696">
        <v>400000000</v>
      </c>
      <c r="BX220" s="729">
        <v>0</v>
      </c>
      <c r="BY220" s="695"/>
      <c r="BZ220" s="696">
        <v>400000000</v>
      </c>
      <c r="CA220" s="729">
        <v>0</v>
      </c>
      <c r="CB220" s="720">
        <f t="shared" si="92"/>
        <v>0</v>
      </c>
      <c r="CC220" s="721">
        <f t="shared" si="93"/>
        <v>0</v>
      </c>
      <c r="CD220" s="738"/>
      <c r="CE220" s="322"/>
      <c r="CF220" s="322"/>
      <c r="CG220" s="322"/>
      <c r="CH220" s="322"/>
      <c r="CI220" s="322"/>
      <c r="CJ220" s="322"/>
      <c r="CK220" s="322"/>
      <c r="CL220" s="322"/>
      <c r="CM220" s="322"/>
      <c r="CN220" s="322"/>
      <c r="CO220" s="322"/>
      <c r="CP220" s="322"/>
      <c r="CQ220" s="355">
        <f t="shared" si="94"/>
        <v>0</v>
      </c>
      <c r="CR220" s="356"/>
      <c r="CS220" s="357"/>
      <c r="CT220" s="332"/>
      <c r="CU220" s="358"/>
      <c r="CV220" s="57" t="s">
        <v>38</v>
      </c>
    </row>
    <row r="221" spans="1:100" ht="15.75" customHeight="1" outlineLevel="2">
      <c r="A221" s="296" t="s">
        <v>194</v>
      </c>
      <c r="C221" s="276" t="s">
        <v>36</v>
      </c>
      <c r="D221" s="297" t="s">
        <v>121</v>
      </c>
      <c r="E221" s="288" t="s">
        <v>227</v>
      </c>
      <c r="F221" s="288"/>
      <c r="G221" s="45"/>
      <c r="H221" s="65"/>
      <c r="I221" s="65"/>
      <c r="J221" s="65"/>
      <c r="K221" s="65"/>
      <c r="L221" s="65"/>
      <c r="M221" s="65"/>
      <c r="N221" s="65"/>
      <c r="O221" s="65"/>
      <c r="P221" s="81"/>
      <c r="Q221" s="81"/>
      <c r="R221" s="81"/>
      <c r="S221" s="81"/>
      <c r="T221" s="65"/>
      <c r="U221" s="65"/>
      <c r="V221" s="65"/>
      <c r="W221" s="66"/>
      <c r="X221" s="55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1"/>
      <c r="AL221" s="55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122"/>
      <c r="AZ221" s="55"/>
      <c r="BA221" s="639"/>
      <c r="BB221" s="639"/>
      <c r="BC221" s="86"/>
      <c r="BD221" s="639"/>
      <c r="BE221" s="86"/>
      <c r="BF221" s="639"/>
      <c r="BG221" s="86"/>
      <c r="BH221" s="639"/>
      <c r="BI221" s="86"/>
      <c r="BJ221" s="639"/>
      <c r="BK221" s="86"/>
      <c r="BL221" s="639"/>
      <c r="BM221" s="86"/>
      <c r="BN221" s="695"/>
      <c r="BO221" s="696"/>
      <c r="BP221" s="695"/>
      <c r="BQ221" s="696"/>
      <c r="BR221" s="729"/>
      <c r="BS221" s="695"/>
      <c r="BT221" s="696"/>
      <c r="BU221" s="729"/>
      <c r="BV221" s="695"/>
      <c r="BW221" s="696"/>
      <c r="BX221" s="729"/>
      <c r="BY221" s="695"/>
      <c r="BZ221" s="696"/>
      <c r="CA221" s="729"/>
      <c r="CB221" s="720"/>
      <c r="CC221" s="721"/>
      <c r="CD221" s="738"/>
      <c r="CE221" s="1195">
        <v>200000000</v>
      </c>
      <c r="CF221" s="1195">
        <v>200000000</v>
      </c>
      <c r="CG221" s="1195">
        <v>200000000</v>
      </c>
      <c r="CH221" s="1195">
        <v>200000000</v>
      </c>
      <c r="CI221" s="1195">
        <v>200000000</v>
      </c>
      <c r="CJ221" s="1195">
        <v>200000000</v>
      </c>
      <c r="CK221" s="1195">
        <v>200000000</v>
      </c>
      <c r="CL221" s="1195">
        <v>200000000</v>
      </c>
      <c r="CM221" s="1195">
        <v>200000000</v>
      </c>
      <c r="CN221" s="1195">
        <v>200000000</v>
      </c>
      <c r="CO221" s="1195">
        <v>200000000</v>
      </c>
      <c r="CP221" s="1195">
        <v>200000000</v>
      </c>
      <c r="CQ221" s="1196">
        <f t="shared" si="94"/>
        <v>2400000000</v>
      </c>
      <c r="CR221" s="356"/>
      <c r="CS221" s="357"/>
      <c r="CT221" s="332"/>
      <c r="CU221" s="358"/>
      <c r="CV221" s="57"/>
    </row>
    <row r="222" spans="1:100" ht="15.75" customHeight="1" outlineLevel="2">
      <c r="A222" s="296" t="s">
        <v>194</v>
      </c>
      <c r="C222" s="276" t="s">
        <v>36</v>
      </c>
      <c r="D222" s="297" t="s">
        <v>121</v>
      </c>
      <c r="E222" s="288" t="s">
        <v>228</v>
      </c>
      <c r="F222" s="288"/>
      <c r="G222" s="45"/>
      <c r="H222" s="65"/>
      <c r="I222" s="65"/>
      <c r="J222" s="65"/>
      <c r="K222" s="65"/>
      <c r="L222" s="65"/>
      <c r="M222" s="65"/>
      <c r="N222" s="65"/>
      <c r="O222" s="65"/>
      <c r="P222" s="81"/>
      <c r="Q222" s="81"/>
      <c r="R222" s="81"/>
      <c r="S222" s="81"/>
      <c r="T222" s="65"/>
      <c r="U222" s="65"/>
      <c r="V222" s="65"/>
      <c r="W222" s="66"/>
      <c r="X222" s="55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1"/>
      <c r="AL222" s="55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122"/>
      <c r="AZ222" s="55"/>
      <c r="BA222" s="639"/>
      <c r="BB222" s="639"/>
      <c r="BC222" s="86"/>
      <c r="BD222" s="639"/>
      <c r="BE222" s="86"/>
      <c r="BF222" s="639"/>
      <c r="BG222" s="86"/>
      <c r="BH222" s="639"/>
      <c r="BI222" s="86"/>
      <c r="BJ222" s="639"/>
      <c r="BK222" s="86"/>
      <c r="BL222" s="639"/>
      <c r="BM222" s="86"/>
      <c r="BN222" s="695"/>
      <c r="BO222" s="696"/>
      <c r="BP222" s="695"/>
      <c r="BQ222" s="696"/>
      <c r="BR222" s="729"/>
      <c r="BS222" s="695"/>
      <c r="BT222" s="696"/>
      <c r="BU222" s="729"/>
      <c r="BV222" s="695"/>
      <c r="BW222" s="696"/>
      <c r="BX222" s="729"/>
      <c r="BY222" s="695"/>
      <c r="BZ222" s="696"/>
      <c r="CA222" s="729"/>
      <c r="CB222" s="720"/>
      <c r="CC222" s="721"/>
      <c r="CD222" s="738"/>
      <c r="CE222" s="322"/>
      <c r="CF222" s="322"/>
      <c r="CG222" s="322"/>
      <c r="CH222" s="322">
        <v>100000000</v>
      </c>
      <c r="CI222" s="322">
        <v>100000000</v>
      </c>
      <c r="CJ222" s="322">
        <v>100000000</v>
      </c>
      <c r="CK222" s="322">
        <v>100000000</v>
      </c>
      <c r="CL222" s="322">
        <v>100000000</v>
      </c>
      <c r="CM222" s="322">
        <v>100000000</v>
      </c>
      <c r="CN222" s="322">
        <v>100000000</v>
      </c>
      <c r="CO222" s="322">
        <v>100000000</v>
      </c>
      <c r="CP222" s="322">
        <v>100000000</v>
      </c>
      <c r="CQ222" s="355">
        <f t="shared" si="94"/>
        <v>900000000</v>
      </c>
      <c r="CR222" s="356"/>
      <c r="CS222" s="357"/>
      <c r="CT222" s="332"/>
      <c r="CU222" s="358"/>
      <c r="CV222" s="57"/>
    </row>
    <row r="223" spans="1:100" ht="15.75" customHeight="1" outlineLevel="2">
      <c r="A223" s="296" t="s">
        <v>194</v>
      </c>
      <c r="C223" s="276" t="s">
        <v>36</v>
      </c>
      <c r="D223" s="297" t="s">
        <v>121</v>
      </c>
      <c r="E223" s="288" t="s">
        <v>229</v>
      </c>
      <c r="F223" s="288"/>
      <c r="G223" s="45"/>
      <c r="H223" s="65"/>
      <c r="I223" s="65"/>
      <c r="J223" s="65"/>
      <c r="K223" s="65"/>
      <c r="L223" s="65"/>
      <c r="M223" s="65"/>
      <c r="N223" s="65"/>
      <c r="O223" s="65"/>
      <c r="P223" s="81"/>
      <c r="Q223" s="81"/>
      <c r="R223" s="81"/>
      <c r="S223" s="81"/>
      <c r="T223" s="65"/>
      <c r="U223" s="65"/>
      <c r="V223" s="65"/>
      <c r="W223" s="66"/>
      <c r="X223" s="55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1"/>
      <c r="AL223" s="55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122"/>
      <c r="AZ223" s="55"/>
      <c r="BA223" s="639"/>
      <c r="BB223" s="639"/>
      <c r="BC223" s="86"/>
      <c r="BD223" s="639"/>
      <c r="BE223" s="86"/>
      <c r="BF223" s="639"/>
      <c r="BG223" s="86"/>
      <c r="BH223" s="639"/>
      <c r="BI223" s="86"/>
      <c r="BJ223" s="639"/>
      <c r="BK223" s="86"/>
      <c r="BL223" s="639"/>
      <c r="BM223" s="86"/>
      <c r="BN223" s="695"/>
      <c r="BO223" s="696"/>
      <c r="BP223" s="695"/>
      <c r="BQ223" s="696"/>
      <c r="BR223" s="729"/>
      <c r="BS223" s="695"/>
      <c r="BT223" s="696"/>
      <c r="BU223" s="729"/>
      <c r="BV223" s="695"/>
      <c r="BW223" s="696"/>
      <c r="BX223" s="729"/>
      <c r="BY223" s="695"/>
      <c r="BZ223" s="696"/>
      <c r="CA223" s="729"/>
      <c r="CB223" s="720"/>
      <c r="CC223" s="721"/>
      <c r="CD223" s="738"/>
      <c r="CE223" s="1195">
        <v>50000000</v>
      </c>
      <c r="CF223" s="1195">
        <v>50000000</v>
      </c>
      <c r="CG223" s="1195">
        <v>50000000</v>
      </c>
      <c r="CH223" s="1195">
        <v>50000000</v>
      </c>
      <c r="CI223" s="1195">
        <v>50000000</v>
      </c>
      <c r="CJ223" s="1195">
        <v>50000000</v>
      </c>
      <c r="CK223" s="1195">
        <v>50000000</v>
      </c>
      <c r="CL223" s="1195">
        <v>50000000</v>
      </c>
      <c r="CM223" s="1195">
        <v>50000000</v>
      </c>
      <c r="CN223" s="1195">
        <v>50000000</v>
      </c>
      <c r="CO223" s="1195">
        <v>50000000</v>
      </c>
      <c r="CP223" s="1195">
        <v>50000000</v>
      </c>
      <c r="CQ223" s="1196">
        <f t="shared" si="94"/>
        <v>600000000</v>
      </c>
      <c r="CR223" s="356"/>
      <c r="CS223" s="357"/>
      <c r="CT223" s="332"/>
      <c r="CU223" s="358"/>
      <c r="CV223" s="57"/>
    </row>
    <row r="224" spans="1:100" ht="15.75" customHeight="1" outlineLevel="2">
      <c r="A224" s="296" t="s">
        <v>194</v>
      </c>
      <c r="C224" s="276" t="s">
        <v>36</v>
      </c>
      <c r="D224" s="297" t="s">
        <v>121</v>
      </c>
      <c r="E224" s="288" t="s">
        <v>230</v>
      </c>
      <c r="F224" s="288"/>
      <c r="G224" s="45"/>
      <c r="H224" s="65"/>
      <c r="I224" s="65"/>
      <c r="J224" s="65"/>
      <c r="K224" s="65"/>
      <c r="L224" s="65"/>
      <c r="M224" s="65"/>
      <c r="N224" s="65"/>
      <c r="O224" s="65"/>
      <c r="P224" s="81"/>
      <c r="Q224" s="81"/>
      <c r="R224" s="81"/>
      <c r="S224" s="81"/>
      <c r="T224" s="65"/>
      <c r="U224" s="65"/>
      <c r="V224" s="65"/>
      <c r="W224" s="66"/>
      <c r="X224" s="55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1"/>
      <c r="AL224" s="55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122"/>
      <c r="AZ224" s="55"/>
      <c r="BA224" s="639"/>
      <c r="BB224" s="639"/>
      <c r="BC224" s="86"/>
      <c r="BD224" s="639"/>
      <c r="BE224" s="86"/>
      <c r="BF224" s="639"/>
      <c r="BG224" s="86"/>
      <c r="BH224" s="639"/>
      <c r="BI224" s="86"/>
      <c r="BJ224" s="639"/>
      <c r="BK224" s="86"/>
      <c r="BL224" s="639"/>
      <c r="BM224" s="86"/>
      <c r="BN224" s="695"/>
      <c r="BO224" s="696"/>
      <c r="BP224" s="695"/>
      <c r="BQ224" s="696"/>
      <c r="BR224" s="729"/>
      <c r="BS224" s="695"/>
      <c r="BT224" s="696"/>
      <c r="BU224" s="729"/>
      <c r="BV224" s="695"/>
      <c r="BW224" s="696"/>
      <c r="BX224" s="729"/>
      <c r="BY224" s="695"/>
      <c r="BZ224" s="696"/>
      <c r="CA224" s="729"/>
      <c r="CB224" s="720"/>
      <c r="CC224" s="721"/>
      <c r="CD224" s="738"/>
      <c r="CE224" s="1195">
        <v>20000000</v>
      </c>
      <c r="CF224" s="1195">
        <v>20000000</v>
      </c>
      <c r="CG224" s="1195">
        <v>20000000</v>
      </c>
      <c r="CH224" s="1195">
        <v>20000000</v>
      </c>
      <c r="CI224" s="1195">
        <v>20000000</v>
      </c>
      <c r="CJ224" s="1195">
        <v>20000000</v>
      </c>
      <c r="CK224" s="1195">
        <v>20000000</v>
      </c>
      <c r="CL224" s="1195">
        <v>20000000</v>
      </c>
      <c r="CM224" s="1195">
        <v>20000000</v>
      </c>
      <c r="CN224" s="1195">
        <v>20000000</v>
      </c>
      <c r="CO224" s="1195">
        <v>20000000</v>
      </c>
      <c r="CP224" s="1195">
        <v>20000000</v>
      </c>
      <c r="CQ224" s="1196">
        <f t="shared" si="94"/>
        <v>240000000</v>
      </c>
      <c r="CR224" s="356"/>
      <c r="CS224" s="357"/>
      <c r="CT224" s="332"/>
      <c r="CU224" s="358"/>
      <c r="CV224" s="57"/>
    </row>
    <row r="225" spans="1:100" ht="15.75" customHeight="1" outlineLevel="2">
      <c r="A225" s="296" t="s">
        <v>194</v>
      </c>
      <c r="C225" s="276" t="s">
        <v>36</v>
      </c>
      <c r="D225" s="297" t="s">
        <v>121</v>
      </c>
      <c r="E225" s="288" t="s">
        <v>231</v>
      </c>
      <c r="F225" s="288"/>
      <c r="G225" s="45"/>
      <c r="H225" s="65"/>
      <c r="I225" s="65"/>
      <c r="J225" s="65"/>
      <c r="K225" s="65"/>
      <c r="L225" s="65"/>
      <c r="M225" s="65"/>
      <c r="N225" s="65"/>
      <c r="O225" s="65"/>
      <c r="P225" s="81"/>
      <c r="Q225" s="81"/>
      <c r="R225" s="81"/>
      <c r="S225" s="81"/>
      <c r="T225" s="65"/>
      <c r="U225" s="65"/>
      <c r="V225" s="65"/>
      <c r="W225" s="66"/>
      <c r="X225" s="55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1"/>
      <c r="AL225" s="55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122"/>
      <c r="AZ225" s="55"/>
      <c r="BA225" s="639"/>
      <c r="BB225" s="639"/>
      <c r="BC225" s="86"/>
      <c r="BD225" s="639"/>
      <c r="BE225" s="86"/>
      <c r="BF225" s="639"/>
      <c r="BG225" s="86"/>
      <c r="BH225" s="639"/>
      <c r="BI225" s="86"/>
      <c r="BJ225" s="639"/>
      <c r="BK225" s="86"/>
      <c r="BL225" s="639"/>
      <c r="BM225" s="86"/>
      <c r="BN225" s="695"/>
      <c r="BO225" s="696"/>
      <c r="BP225" s="695"/>
      <c r="BQ225" s="696"/>
      <c r="BR225" s="729"/>
      <c r="BS225" s="695"/>
      <c r="BT225" s="696"/>
      <c r="BU225" s="729"/>
      <c r="BV225" s="695"/>
      <c r="BW225" s="696"/>
      <c r="BX225" s="729"/>
      <c r="BY225" s="695"/>
      <c r="BZ225" s="696"/>
      <c r="CA225" s="729"/>
      <c r="CB225" s="720"/>
      <c r="CC225" s="721"/>
      <c r="CD225" s="738"/>
      <c r="CE225" s="1195">
        <v>135000000</v>
      </c>
      <c r="CF225" s="1195">
        <v>135000000</v>
      </c>
      <c r="CG225" s="1195">
        <v>135000000</v>
      </c>
      <c r="CH225" s="1195">
        <v>135000000</v>
      </c>
      <c r="CI225" s="1195">
        <v>135000000</v>
      </c>
      <c r="CJ225" s="1195">
        <v>135000000</v>
      </c>
      <c r="CK225" s="1195">
        <v>135000000</v>
      </c>
      <c r="CL225" s="1195">
        <v>135000000</v>
      </c>
      <c r="CM225" s="1195">
        <v>135000000</v>
      </c>
      <c r="CN225" s="1195">
        <v>135000000</v>
      </c>
      <c r="CO225" s="1195">
        <v>135000000</v>
      </c>
      <c r="CP225" s="1195">
        <v>135000000</v>
      </c>
      <c r="CQ225" s="1196">
        <f t="shared" si="94"/>
        <v>1620000000</v>
      </c>
      <c r="CR225" s="356"/>
      <c r="CS225" s="357"/>
      <c r="CT225" s="332"/>
      <c r="CU225" s="358"/>
      <c r="CV225" s="57"/>
    </row>
    <row r="226" spans="1:100" ht="15.75" customHeight="1" outlineLevel="2">
      <c r="A226" s="296" t="s">
        <v>196</v>
      </c>
      <c r="C226" s="276" t="s">
        <v>36</v>
      </c>
      <c r="D226" s="297" t="s">
        <v>121</v>
      </c>
      <c r="E226" s="288" t="s">
        <v>232</v>
      </c>
      <c r="F226" s="288"/>
      <c r="G226" s="45"/>
      <c r="H226" s="65"/>
      <c r="I226" s="65"/>
      <c r="J226" s="65"/>
      <c r="K226" s="65"/>
      <c r="L226" s="65"/>
      <c r="M226" s="65"/>
      <c r="N226" s="65"/>
      <c r="O226" s="65"/>
      <c r="P226" s="81"/>
      <c r="Q226" s="81"/>
      <c r="R226" s="81"/>
      <c r="S226" s="81"/>
      <c r="T226" s="65"/>
      <c r="U226" s="65"/>
      <c r="V226" s="65"/>
      <c r="W226" s="66"/>
      <c r="X226" s="55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1"/>
      <c r="AL226" s="55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122"/>
      <c r="AZ226" s="55"/>
      <c r="BA226" s="639"/>
      <c r="BB226" s="639"/>
      <c r="BC226" s="86"/>
      <c r="BD226" s="639"/>
      <c r="BE226" s="86"/>
      <c r="BF226" s="639"/>
      <c r="BG226" s="86"/>
      <c r="BH226" s="639"/>
      <c r="BI226" s="86"/>
      <c r="BJ226" s="639"/>
      <c r="BK226" s="86"/>
      <c r="BL226" s="639"/>
      <c r="BM226" s="86"/>
      <c r="BN226" s="695"/>
      <c r="BO226" s="696"/>
      <c r="BP226" s="695"/>
      <c r="BQ226" s="696"/>
      <c r="BR226" s="729"/>
      <c r="BS226" s="695"/>
      <c r="BT226" s="696"/>
      <c r="BU226" s="729"/>
      <c r="BV226" s="695"/>
      <c r="BW226" s="696"/>
      <c r="BX226" s="729"/>
      <c r="BY226" s="695"/>
      <c r="BZ226" s="696"/>
      <c r="CA226" s="729"/>
      <c r="CB226" s="720"/>
      <c r="CC226" s="721"/>
      <c r="CD226" s="738"/>
      <c r="CE226" s="1195">
        <v>30000000</v>
      </c>
      <c r="CF226" s="1195">
        <v>30000000</v>
      </c>
      <c r="CG226" s="1195">
        <v>30000000</v>
      </c>
      <c r="CH226" s="1195">
        <v>30000000</v>
      </c>
      <c r="CI226" s="1195">
        <v>30000000</v>
      </c>
      <c r="CJ226" s="1195">
        <v>30000000</v>
      </c>
      <c r="CK226" s="1195">
        <v>30000000</v>
      </c>
      <c r="CL226" s="1195">
        <v>30000000</v>
      </c>
      <c r="CM226" s="1195">
        <v>30000000</v>
      </c>
      <c r="CN226" s="1195">
        <v>30000000</v>
      </c>
      <c r="CO226" s="1195">
        <v>30000000</v>
      </c>
      <c r="CP226" s="1195">
        <v>30000000</v>
      </c>
      <c r="CQ226" s="1196">
        <f t="shared" si="94"/>
        <v>360000000</v>
      </c>
      <c r="CR226" s="356"/>
      <c r="CS226" s="357"/>
      <c r="CT226" s="332"/>
      <c r="CU226" s="358"/>
      <c r="CV226" s="57"/>
    </row>
    <row r="227" spans="1:100" ht="15.75" customHeight="1" outlineLevel="2">
      <c r="A227" s="296" t="s">
        <v>194</v>
      </c>
      <c r="C227" s="276" t="s">
        <v>36</v>
      </c>
      <c r="D227" s="297" t="s">
        <v>121</v>
      </c>
      <c r="E227" s="288" t="s">
        <v>233</v>
      </c>
      <c r="F227" s="288"/>
      <c r="G227" s="45"/>
      <c r="H227" s="65"/>
      <c r="I227" s="65"/>
      <c r="J227" s="65"/>
      <c r="K227" s="65"/>
      <c r="L227" s="65"/>
      <c r="M227" s="65"/>
      <c r="N227" s="65"/>
      <c r="O227" s="65"/>
      <c r="P227" s="81"/>
      <c r="Q227" s="81"/>
      <c r="R227" s="81"/>
      <c r="S227" s="81"/>
      <c r="T227" s="65"/>
      <c r="U227" s="65"/>
      <c r="V227" s="65"/>
      <c r="W227" s="66"/>
      <c r="X227" s="55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1"/>
      <c r="AL227" s="55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122"/>
      <c r="AZ227" s="55"/>
      <c r="BA227" s="639"/>
      <c r="BB227" s="639"/>
      <c r="BC227" s="86"/>
      <c r="BD227" s="639"/>
      <c r="BE227" s="86"/>
      <c r="BF227" s="639"/>
      <c r="BG227" s="86"/>
      <c r="BH227" s="639"/>
      <c r="BI227" s="86"/>
      <c r="BJ227" s="639"/>
      <c r="BK227" s="86"/>
      <c r="BL227" s="639"/>
      <c r="BM227" s="86"/>
      <c r="BN227" s="695"/>
      <c r="BO227" s="696"/>
      <c r="BP227" s="695"/>
      <c r="BQ227" s="696"/>
      <c r="BR227" s="729"/>
      <c r="BS227" s="695"/>
      <c r="BT227" s="696"/>
      <c r="BU227" s="729"/>
      <c r="BV227" s="695"/>
      <c r="BW227" s="696"/>
      <c r="BX227" s="729"/>
      <c r="BY227" s="695"/>
      <c r="BZ227" s="696"/>
      <c r="CA227" s="729"/>
      <c r="CB227" s="720"/>
      <c r="CC227" s="721"/>
      <c r="CD227" s="738"/>
      <c r="CE227" s="1195">
        <v>100000000</v>
      </c>
      <c r="CF227" s="1195">
        <v>150000000</v>
      </c>
      <c r="CG227" s="1195">
        <v>176900000</v>
      </c>
      <c r="CH227" s="1195">
        <v>176900000</v>
      </c>
      <c r="CI227" s="1195">
        <v>100000000</v>
      </c>
      <c r="CJ227" s="1195">
        <v>100000000</v>
      </c>
      <c r="CK227" s="1195">
        <v>100000000</v>
      </c>
      <c r="CL227" s="1195">
        <v>100000000</v>
      </c>
      <c r="CM227" s="1195">
        <v>150000000</v>
      </c>
      <c r="CN227" s="1195">
        <v>150000000</v>
      </c>
      <c r="CO227" s="1195">
        <v>177000000</v>
      </c>
      <c r="CP227" s="1195">
        <v>177000000</v>
      </c>
      <c r="CQ227" s="1196">
        <f t="shared" si="94"/>
        <v>1657800000</v>
      </c>
      <c r="CR227" s="356"/>
      <c r="CS227" s="357"/>
      <c r="CT227" s="332"/>
      <c r="CU227" s="358"/>
      <c r="CV227" s="57"/>
    </row>
    <row r="228" spans="1:100" ht="15" customHeight="1" outlineLevel="2">
      <c r="A228" s="296" t="s">
        <v>194</v>
      </c>
      <c r="C228" s="276" t="s">
        <v>36</v>
      </c>
      <c r="D228" s="297" t="s">
        <v>121</v>
      </c>
      <c r="E228" s="300" t="s">
        <v>234</v>
      </c>
      <c r="F228" s="300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92"/>
      <c r="X228" s="55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61"/>
      <c r="AL228" s="55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122"/>
      <c r="AZ228" s="55"/>
      <c r="BA228" s="639"/>
      <c r="BB228" s="639"/>
      <c r="BC228" s="86"/>
      <c r="BD228" s="639"/>
      <c r="BE228" s="86"/>
      <c r="BF228" s="639"/>
      <c r="BG228" s="86"/>
      <c r="BH228" s="639"/>
      <c r="BI228" s="86"/>
      <c r="BJ228" s="639"/>
      <c r="BK228" s="86"/>
      <c r="BL228" s="639"/>
      <c r="BM228" s="86"/>
      <c r="BN228" s="695"/>
      <c r="BO228" s="696"/>
      <c r="BP228" s="695"/>
      <c r="BQ228" s="696"/>
      <c r="BR228" s="702"/>
      <c r="BS228" s="695"/>
      <c r="BT228" s="696"/>
      <c r="BU228" s="702"/>
      <c r="BV228" s="695"/>
      <c r="BW228" s="696"/>
      <c r="BX228" s="702"/>
      <c r="BY228" s="695"/>
      <c r="BZ228" s="696"/>
      <c r="CA228" s="702"/>
      <c r="CB228" s="720">
        <f t="shared" si="92"/>
        <v>0</v>
      </c>
      <c r="CC228" s="721">
        <f t="shared" si="93"/>
        <v>0</v>
      </c>
      <c r="CD228" s="738"/>
      <c r="CE228" s="322">
        <v>0</v>
      </c>
      <c r="CF228" s="322">
        <v>0</v>
      </c>
      <c r="CG228" s="322">
        <v>0</v>
      </c>
      <c r="CH228" s="322"/>
      <c r="CI228" s="322">
        <v>100000000</v>
      </c>
      <c r="CJ228" s="322">
        <v>150000000</v>
      </c>
      <c r="CK228" s="322">
        <v>150000000</v>
      </c>
      <c r="CL228" s="322">
        <v>150000000</v>
      </c>
      <c r="CM228" s="322">
        <v>150000000</v>
      </c>
      <c r="CN228" s="322">
        <v>150000000</v>
      </c>
      <c r="CO228" s="322">
        <v>150000000</v>
      </c>
      <c r="CP228" s="322">
        <v>150000000</v>
      </c>
      <c r="CQ228" s="355">
        <f t="shared" si="94"/>
        <v>1150000000</v>
      </c>
      <c r="CR228" s="356"/>
      <c r="CS228" s="357"/>
      <c r="CT228" s="332"/>
      <c r="CU228" s="358"/>
      <c r="CV228" s="57"/>
    </row>
    <row r="229" spans="1:100" ht="15" customHeight="1" outlineLevel="2">
      <c r="A229" s="296" t="s">
        <v>196</v>
      </c>
      <c r="C229" s="276" t="s">
        <v>36</v>
      </c>
      <c r="D229" s="297" t="s">
        <v>121</v>
      </c>
      <c r="E229" s="300" t="s">
        <v>235</v>
      </c>
      <c r="F229" s="300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92"/>
      <c r="X229" s="55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61"/>
      <c r="AL229" s="55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122"/>
      <c r="AZ229" s="55"/>
      <c r="BA229" s="639"/>
      <c r="BB229" s="639"/>
      <c r="BC229" s="86"/>
      <c r="BD229" s="639"/>
      <c r="BE229" s="86"/>
      <c r="BF229" s="639"/>
      <c r="BG229" s="86"/>
      <c r="BH229" s="639"/>
      <c r="BI229" s="86"/>
      <c r="BJ229" s="639"/>
      <c r="BK229" s="86"/>
      <c r="BL229" s="639"/>
      <c r="BM229" s="86"/>
      <c r="BN229" s="695"/>
      <c r="BO229" s="696"/>
      <c r="BP229" s="695"/>
      <c r="BQ229" s="696"/>
      <c r="BR229" s="702"/>
      <c r="BS229" s="695"/>
      <c r="BT229" s="696"/>
      <c r="BU229" s="702"/>
      <c r="BV229" s="695"/>
      <c r="BW229" s="696"/>
      <c r="BX229" s="702"/>
      <c r="BY229" s="695"/>
      <c r="BZ229" s="696"/>
      <c r="CA229" s="702"/>
      <c r="CB229" s="720"/>
      <c r="CC229" s="721"/>
      <c r="CD229" s="738"/>
      <c r="CE229" s="322">
        <v>0</v>
      </c>
      <c r="CF229" s="322">
        <v>0</v>
      </c>
      <c r="CG229" s="322">
        <v>250000000</v>
      </c>
      <c r="CH229" s="322">
        <v>0</v>
      </c>
      <c r="CI229" s="322">
        <v>0</v>
      </c>
      <c r="CJ229" s="322">
        <v>0</v>
      </c>
      <c r="CK229" s="322">
        <v>0</v>
      </c>
      <c r="CL229" s="322">
        <v>0</v>
      </c>
      <c r="CM229" s="322">
        <v>0</v>
      </c>
      <c r="CN229" s="322">
        <v>0</v>
      </c>
      <c r="CO229" s="322">
        <v>0</v>
      </c>
      <c r="CP229" s="322">
        <v>0</v>
      </c>
      <c r="CQ229" s="355">
        <f t="shared" si="94"/>
        <v>250000000</v>
      </c>
      <c r="CR229" s="356"/>
      <c r="CS229" s="357"/>
      <c r="CT229" s="332"/>
      <c r="CU229" s="358"/>
      <c r="CV229" s="57"/>
    </row>
    <row r="230" spans="1:100" ht="15" customHeight="1" outlineLevel="2">
      <c r="A230" s="296"/>
      <c r="C230" s="276" t="s">
        <v>36</v>
      </c>
      <c r="D230" s="297" t="s">
        <v>121</v>
      </c>
      <c r="E230" s="300" t="s">
        <v>236</v>
      </c>
      <c r="F230" s="300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92"/>
      <c r="X230" s="55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61"/>
      <c r="AL230" s="55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122"/>
      <c r="AZ230" s="55"/>
      <c r="BA230" s="639"/>
      <c r="BB230" s="639"/>
      <c r="BC230" s="86"/>
      <c r="BD230" s="639"/>
      <c r="BE230" s="86"/>
      <c r="BF230" s="639"/>
      <c r="BG230" s="86"/>
      <c r="BH230" s="639"/>
      <c r="BI230" s="86"/>
      <c r="BJ230" s="639"/>
      <c r="BK230" s="86"/>
      <c r="BL230" s="639"/>
      <c r="BM230" s="86"/>
      <c r="BN230" s="695"/>
      <c r="BO230" s="696"/>
      <c r="BP230" s="695"/>
      <c r="BQ230" s="696"/>
      <c r="BR230" s="702"/>
      <c r="BS230" s="695"/>
      <c r="BT230" s="696"/>
      <c r="BU230" s="702"/>
      <c r="BV230" s="695"/>
      <c r="BW230" s="696"/>
      <c r="BX230" s="702"/>
      <c r="BY230" s="695"/>
      <c r="BZ230" s="696"/>
      <c r="CA230" s="702"/>
      <c r="CB230" s="720"/>
      <c r="CC230" s="721"/>
      <c r="CD230" s="738"/>
      <c r="CE230" s="322">
        <v>0</v>
      </c>
      <c r="CF230" s="322">
        <v>0</v>
      </c>
      <c r="CG230" s="322">
        <v>50000000</v>
      </c>
      <c r="CH230" s="322">
        <v>50000000</v>
      </c>
      <c r="CI230" s="322">
        <v>50000000</v>
      </c>
      <c r="CJ230" s="322">
        <v>50000000</v>
      </c>
      <c r="CK230" s="322">
        <v>50000000</v>
      </c>
      <c r="CL230" s="322">
        <v>50000000</v>
      </c>
      <c r="CM230" s="322">
        <v>50000000</v>
      </c>
      <c r="CN230" s="322">
        <v>50000000</v>
      </c>
      <c r="CO230" s="322">
        <v>50000000</v>
      </c>
      <c r="CP230" s="322">
        <v>50000000</v>
      </c>
      <c r="CQ230" s="355">
        <f t="shared" si="94"/>
        <v>500000000</v>
      </c>
      <c r="CR230" s="356"/>
      <c r="CS230" s="357"/>
      <c r="CT230" s="332"/>
      <c r="CU230" s="358"/>
      <c r="CV230" s="57"/>
    </row>
    <row r="231" spans="1:100" ht="15" customHeight="1" outlineLevel="2">
      <c r="A231" s="296"/>
      <c r="C231" s="276" t="s">
        <v>36</v>
      </c>
      <c r="D231" s="297" t="s">
        <v>121</v>
      </c>
      <c r="E231" s="300" t="s">
        <v>237</v>
      </c>
      <c r="F231" s="300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92"/>
      <c r="X231" s="55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61"/>
      <c r="AL231" s="55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122"/>
      <c r="AZ231" s="55"/>
      <c r="BA231" s="639"/>
      <c r="BB231" s="639"/>
      <c r="BC231" s="86"/>
      <c r="BD231" s="639"/>
      <c r="BE231" s="86"/>
      <c r="BF231" s="639"/>
      <c r="BG231" s="86"/>
      <c r="BH231" s="639"/>
      <c r="BI231" s="86"/>
      <c r="BJ231" s="639"/>
      <c r="BK231" s="86"/>
      <c r="BL231" s="639"/>
      <c r="BM231" s="86"/>
      <c r="BN231" s="695"/>
      <c r="BO231" s="696"/>
      <c r="BP231" s="695"/>
      <c r="BQ231" s="696"/>
      <c r="BR231" s="702"/>
      <c r="BS231" s="695"/>
      <c r="BT231" s="696"/>
      <c r="BU231" s="702"/>
      <c r="BV231" s="695"/>
      <c r="BW231" s="696"/>
      <c r="BX231" s="702"/>
      <c r="BY231" s="695"/>
      <c r="BZ231" s="696"/>
      <c r="CA231" s="702"/>
      <c r="CB231" s="720"/>
      <c r="CC231" s="721"/>
      <c r="CD231" s="738"/>
      <c r="CE231" s="322">
        <v>0</v>
      </c>
      <c r="CF231" s="322">
        <v>0</v>
      </c>
      <c r="CG231" s="322">
        <v>100000000</v>
      </c>
      <c r="CH231" s="322">
        <v>100000000</v>
      </c>
      <c r="CI231" s="322">
        <v>100000000</v>
      </c>
      <c r="CJ231" s="322">
        <v>100000000</v>
      </c>
      <c r="CK231" s="322">
        <v>100000000</v>
      </c>
      <c r="CL231" s="322">
        <v>100000000</v>
      </c>
      <c r="CM231" s="322">
        <v>100000000</v>
      </c>
      <c r="CN231" s="322">
        <v>100000000</v>
      </c>
      <c r="CO231" s="322">
        <v>100000000</v>
      </c>
      <c r="CP231" s="322">
        <v>100000000</v>
      </c>
      <c r="CQ231" s="355">
        <f t="shared" si="94"/>
        <v>1000000000</v>
      </c>
      <c r="CR231" s="356"/>
      <c r="CS231" s="357"/>
      <c r="CT231" s="332"/>
      <c r="CU231" s="358"/>
      <c r="CV231" s="57"/>
    </row>
    <row r="232" spans="1:100" ht="15" customHeight="1" outlineLevel="2">
      <c r="A232" s="296"/>
      <c r="C232" s="276" t="s">
        <v>36</v>
      </c>
      <c r="D232" s="297" t="s">
        <v>121</v>
      </c>
      <c r="E232" s="300" t="s">
        <v>238</v>
      </c>
      <c r="F232" s="300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92"/>
      <c r="X232" s="55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61"/>
      <c r="AL232" s="55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122"/>
      <c r="AZ232" s="55"/>
      <c r="BA232" s="639"/>
      <c r="BB232" s="639"/>
      <c r="BC232" s="86"/>
      <c r="BD232" s="639"/>
      <c r="BE232" s="86"/>
      <c r="BF232" s="639"/>
      <c r="BG232" s="86"/>
      <c r="BH232" s="639"/>
      <c r="BI232" s="86"/>
      <c r="BJ232" s="639"/>
      <c r="BK232" s="86"/>
      <c r="BL232" s="639"/>
      <c r="BM232" s="86"/>
      <c r="BN232" s="695"/>
      <c r="BO232" s="696"/>
      <c r="BP232" s="695"/>
      <c r="BQ232" s="696"/>
      <c r="BR232" s="702"/>
      <c r="BS232" s="695"/>
      <c r="BT232" s="696"/>
      <c r="BU232" s="702"/>
      <c r="BV232" s="695"/>
      <c r="BW232" s="696"/>
      <c r="BX232" s="702"/>
      <c r="BY232" s="695"/>
      <c r="BZ232" s="696"/>
      <c r="CA232" s="702"/>
      <c r="CB232" s="720"/>
      <c r="CC232" s="721"/>
      <c r="CD232" s="738"/>
      <c r="CE232" s="322">
        <v>0</v>
      </c>
      <c r="CF232" s="322">
        <v>0</v>
      </c>
      <c r="CG232" s="322">
        <v>0</v>
      </c>
      <c r="CH232" s="322">
        <v>150000000</v>
      </c>
      <c r="CI232" s="322">
        <v>150000000</v>
      </c>
      <c r="CJ232" s="322">
        <v>150000000</v>
      </c>
      <c r="CK232" s="322">
        <v>150000000</v>
      </c>
      <c r="CL232" s="322">
        <v>150000000</v>
      </c>
      <c r="CM232" s="322">
        <v>150000000</v>
      </c>
      <c r="CN232" s="322">
        <v>150000000</v>
      </c>
      <c r="CO232" s="322">
        <v>150000000</v>
      </c>
      <c r="CP232" s="322">
        <v>150000000</v>
      </c>
      <c r="CQ232" s="355">
        <f t="shared" si="94"/>
        <v>1350000000</v>
      </c>
      <c r="CR232" s="356"/>
      <c r="CS232" s="357"/>
      <c r="CT232" s="332"/>
      <c r="CU232" s="358"/>
      <c r="CV232" s="57"/>
    </row>
    <row r="233" spans="1:100" ht="15" customHeight="1" outlineLevel="2">
      <c r="A233" s="296"/>
      <c r="D233" s="297"/>
      <c r="E233" s="300"/>
      <c r="F233" s="300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92"/>
      <c r="X233" s="55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61"/>
      <c r="AL233" s="55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122"/>
      <c r="AZ233" s="55"/>
      <c r="BA233" s="639"/>
      <c r="BB233" s="639"/>
      <c r="BC233" s="86"/>
      <c r="BD233" s="639"/>
      <c r="BE233" s="86"/>
      <c r="BF233" s="639"/>
      <c r="BG233" s="86"/>
      <c r="BH233" s="639"/>
      <c r="BI233" s="86"/>
      <c r="BJ233" s="639"/>
      <c r="BK233" s="86"/>
      <c r="BL233" s="639"/>
      <c r="BM233" s="86"/>
      <c r="BN233" s="695"/>
      <c r="BO233" s="696"/>
      <c r="BP233" s="695"/>
      <c r="BQ233" s="696"/>
      <c r="BR233" s="702"/>
      <c r="BS233" s="695"/>
      <c r="BT233" s="696"/>
      <c r="BU233" s="702"/>
      <c r="BV233" s="695"/>
      <c r="BW233" s="696"/>
      <c r="BX233" s="702"/>
      <c r="BY233" s="695"/>
      <c r="BZ233" s="696"/>
      <c r="CA233" s="702"/>
      <c r="CB233" s="720"/>
      <c r="CC233" s="721"/>
      <c r="CD233" s="738"/>
      <c r="CE233" s="322"/>
      <c r="CF233" s="322"/>
      <c r="CG233" s="322"/>
      <c r="CH233" s="322"/>
      <c r="CI233" s="322"/>
      <c r="CJ233" s="322"/>
      <c r="CK233" s="322"/>
      <c r="CL233" s="322"/>
      <c r="CM233" s="322"/>
      <c r="CN233" s="322"/>
      <c r="CO233" s="322"/>
      <c r="CP233" s="322"/>
      <c r="CQ233" s="355">
        <f t="shared" si="94"/>
        <v>0</v>
      </c>
      <c r="CR233" s="356"/>
      <c r="CS233" s="357"/>
      <c r="CT233" s="332"/>
      <c r="CU233" s="358"/>
      <c r="CV233" s="57"/>
    </row>
    <row r="234" spans="1:100" ht="15.5" outlineLevel="1">
      <c r="A234" s="301"/>
      <c r="B234" s="301"/>
      <c r="C234" s="301"/>
      <c r="D234" s="301"/>
      <c r="E234" s="301" t="s">
        <v>239</v>
      </c>
      <c r="F234" s="301"/>
      <c r="G234" s="76">
        <f t="shared" ref="G234:W234" si="97">SUM(G172:G228)</f>
        <v>48892133056</v>
      </c>
      <c r="H234" s="76">
        <f t="shared" si="97"/>
        <v>4607473215</v>
      </c>
      <c r="I234" s="76">
        <f t="shared" si="97"/>
        <v>4219860841</v>
      </c>
      <c r="J234" s="76">
        <f t="shared" si="97"/>
        <v>3464037354</v>
      </c>
      <c r="K234" s="76">
        <f t="shared" si="97"/>
        <v>3499964517</v>
      </c>
      <c r="L234" s="76">
        <f t="shared" si="97"/>
        <v>5004828451</v>
      </c>
      <c r="M234" s="76">
        <f t="shared" si="97"/>
        <v>4918394752</v>
      </c>
      <c r="N234" s="76">
        <f t="shared" si="97"/>
        <v>3759376429</v>
      </c>
      <c r="O234" s="76">
        <f t="shared" si="97"/>
        <v>4263232195</v>
      </c>
      <c r="P234" s="76">
        <f t="shared" si="97"/>
        <v>3808436406</v>
      </c>
      <c r="Q234" s="76">
        <f t="shared" si="97"/>
        <v>3582839017</v>
      </c>
      <c r="R234" s="76">
        <f t="shared" si="97"/>
        <v>4001048914</v>
      </c>
      <c r="S234" s="76">
        <f t="shared" si="97"/>
        <v>3571578984</v>
      </c>
      <c r="T234" s="76">
        <f t="shared" si="97"/>
        <v>3843850841</v>
      </c>
      <c r="U234" s="76">
        <f t="shared" si="97"/>
        <v>3843850841</v>
      </c>
      <c r="V234" s="76">
        <f t="shared" si="97"/>
        <v>3843850841</v>
      </c>
      <c r="W234" s="76">
        <f t="shared" si="97"/>
        <v>48701071075</v>
      </c>
      <c r="X234" s="55"/>
      <c r="Y234" s="77">
        <f t="shared" ref="Y234:AK234" si="98">Y197+Y193+Y171</f>
        <v>4375241912.3500004</v>
      </c>
      <c r="Z234" s="77">
        <f t="shared" si="98"/>
        <v>4385241912.3500004</v>
      </c>
      <c r="AA234" s="77">
        <f t="shared" si="98"/>
        <v>4385241912.3500004</v>
      </c>
      <c r="AB234" s="77">
        <f t="shared" si="98"/>
        <v>4465241912.3500004</v>
      </c>
      <c r="AC234" s="77">
        <f t="shared" si="98"/>
        <v>4525241912.3500004</v>
      </c>
      <c r="AD234" s="77">
        <f t="shared" si="98"/>
        <v>4795241912.3500004</v>
      </c>
      <c r="AE234" s="77">
        <f t="shared" si="98"/>
        <v>5059106978.3500004</v>
      </c>
      <c r="AF234" s="77">
        <f t="shared" si="98"/>
        <v>5054106978.3500004</v>
      </c>
      <c r="AG234" s="77">
        <f t="shared" si="98"/>
        <v>5159106978.3500004</v>
      </c>
      <c r="AH234" s="77">
        <f t="shared" si="98"/>
        <v>5159106978.3500004</v>
      </c>
      <c r="AI234" s="77">
        <f t="shared" si="98"/>
        <v>5164106978.3500004</v>
      </c>
      <c r="AJ234" s="77">
        <f t="shared" si="98"/>
        <v>5159106978.3500004</v>
      </c>
      <c r="AK234" s="77">
        <f t="shared" si="98"/>
        <v>57686093344.199997</v>
      </c>
      <c r="AL234" s="55"/>
      <c r="AM234" s="77">
        <f t="shared" ref="AM234:AY234" si="99">AM197+AM193+AM171</f>
        <v>4375241912.3500004</v>
      </c>
      <c r="AN234" s="77">
        <f t="shared" si="99"/>
        <v>4385241912.3500004</v>
      </c>
      <c r="AO234" s="77">
        <f t="shared" si="99"/>
        <v>4385241912.3500004</v>
      </c>
      <c r="AP234" s="77">
        <f t="shared" si="99"/>
        <v>4465241912.3500004</v>
      </c>
      <c r="AQ234" s="77">
        <f t="shared" si="99"/>
        <v>4525241912.3500004</v>
      </c>
      <c r="AR234" s="77">
        <f t="shared" si="99"/>
        <v>4795241912.3500004</v>
      </c>
      <c r="AS234" s="77">
        <f t="shared" si="99"/>
        <v>5059106978.3500004</v>
      </c>
      <c r="AT234" s="77">
        <f t="shared" si="99"/>
        <v>5054106978.3500004</v>
      </c>
      <c r="AU234" s="77">
        <f t="shared" si="99"/>
        <v>5159106978.3500004</v>
      </c>
      <c r="AV234" s="77">
        <f t="shared" si="99"/>
        <v>5159106978.3500004</v>
      </c>
      <c r="AW234" s="77">
        <f t="shared" si="99"/>
        <v>5164106978.3500004</v>
      </c>
      <c r="AX234" s="77">
        <f t="shared" si="99"/>
        <v>5159106978.3500004</v>
      </c>
      <c r="AY234" s="77">
        <f t="shared" si="99"/>
        <v>57686093344.199997</v>
      </c>
      <c r="AZ234" s="55"/>
      <c r="BA234" s="77">
        <f t="shared" ref="BA234:CU234" si="100">BA197+BA193+BA171</f>
        <v>3202241657</v>
      </c>
      <c r="BB234" s="77">
        <f t="shared" si="100"/>
        <v>2651343385</v>
      </c>
      <c r="BC234" s="77">
        <f t="shared" si="100"/>
        <v>2857219255</v>
      </c>
      <c r="BD234" s="77">
        <f t="shared" si="100"/>
        <v>2665214132</v>
      </c>
      <c r="BE234" s="77">
        <f t="shared" si="100"/>
        <v>2869259255</v>
      </c>
      <c r="BF234" s="77">
        <f t="shared" si="100"/>
        <v>3084962257</v>
      </c>
      <c r="BG234" s="77">
        <f t="shared" si="100"/>
        <v>3717937255</v>
      </c>
      <c r="BH234" s="77">
        <f t="shared" si="100"/>
        <v>2610920098</v>
      </c>
      <c r="BI234" s="77">
        <f t="shared" si="100"/>
        <v>3503151255</v>
      </c>
      <c r="BJ234" s="77">
        <f t="shared" si="100"/>
        <v>3268057360</v>
      </c>
      <c r="BK234" s="77">
        <f t="shared" si="100"/>
        <v>3802553255</v>
      </c>
      <c r="BL234" s="77">
        <f t="shared" si="100"/>
        <v>2351841148</v>
      </c>
      <c r="BM234" s="77">
        <f t="shared" si="100"/>
        <v>3986283999.999999</v>
      </c>
      <c r="BN234" s="699">
        <f t="shared" si="100"/>
        <v>3851761216</v>
      </c>
      <c r="BO234" s="699">
        <f t="shared" si="100"/>
        <v>5068701999.999999</v>
      </c>
      <c r="BP234" s="699">
        <f t="shared" si="100"/>
        <v>0</v>
      </c>
      <c r="BQ234" s="699">
        <f>BQ197+BQ193+BQ171</f>
        <v>6424665999.999999</v>
      </c>
      <c r="BR234" s="699">
        <f>BR197+BR193+BR171</f>
        <v>3155200000</v>
      </c>
      <c r="BS234" s="699">
        <f t="shared" si="100"/>
        <v>0</v>
      </c>
      <c r="BT234" s="699">
        <f>BT197+BT193+BT171</f>
        <v>6740335999.999999</v>
      </c>
      <c r="BU234" s="699">
        <f t="shared" si="100"/>
        <v>3681200000</v>
      </c>
      <c r="BV234" s="699">
        <f t="shared" si="100"/>
        <v>0</v>
      </c>
      <c r="BW234" s="699">
        <f>BW197+BW193+BW171</f>
        <v>7186550000</v>
      </c>
      <c r="BX234" s="699">
        <f t="shared" si="100"/>
        <v>3836200000</v>
      </c>
      <c r="BY234" s="699">
        <f t="shared" si="100"/>
        <v>0</v>
      </c>
      <c r="BZ234" s="699">
        <f>BZ197+BZ193+BZ171</f>
        <v>7186550000</v>
      </c>
      <c r="CA234" s="699">
        <f t="shared" si="100"/>
        <v>4186200000</v>
      </c>
      <c r="CB234" s="699">
        <f t="shared" si="100"/>
        <v>38545141253</v>
      </c>
      <c r="CC234" s="699">
        <f t="shared" si="100"/>
        <v>38545141253</v>
      </c>
      <c r="CD234" s="738"/>
      <c r="CE234" s="326">
        <f t="shared" si="100"/>
        <v>3539383333</v>
      </c>
      <c r="CF234" s="326">
        <f t="shared" si="100"/>
        <v>3509383333</v>
      </c>
      <c r="CG234" s="326">
        <f t="shared" si="100"/>
        <v>3956283333</v>
      </c>
      <c r="CH234" s="326">
        <f t="shared" si="100"/>
        <v>3814283333</v>
      </c>
      <c r="CI234" s="326">
        <f t="shared" si="100"/>
        <v>3687383333</v>
      </c>
      <c r="CJ234" s="326">
        <f t="shared" si="100"/>
        <v>3787383333</v>
      </c>
      <c r="CK234" s="326">
        <f t="shared" si="100"/>
        <v>3787383333</v>
      </c>
      <c r="CL234" s="326">
        <f t="shared" si="100"/>
        <v>3787383333</v>
      </c>
      <c r="CM234" s="326">
        <f t="shared" si="100"/>
        <v>3837383333</v>
      </c>
      <c r="CN234" s="326">
        <f t="shared" si="100"/>
        <v>3837383333</v>
      </c>
      <c r="CO234" s="326">
        <f t="shared" si="100"/>
        <v>3964383333</v>
      </c>
      <c r="CP234" s="326">
        <f t="shared" si="100"/>
        <v>4064383333</v>
      </c>
      <c r="CQ234" s="326">
        <f t="shared" si="100"/>
        <v>45572399996</v>
      </c>
      <c r="CR234" s="326">
        <f t="shared" si="100"/>
        <v>37457194949.221069</v>
      </c>
      <c r="CS234" s="326">
        <f t="shared" si="100"/>
        <v>47267247241.19529</v>
      </c>
      <c r="CT234" s="326">
        <f t="shared" si="100"/>
        <v>70152638211.617584</v>
      </c>
      <c r="CU234" s="326">
        <f t="shared" si="100"/>
        <v>75687992040.787201</v>
      </c>
      <c r="CV234" s="57"/>
    </row>
    <row r="235" spans="1:100" s="918" customFormat="1" ht="15.5" outlineLevel="1">
      <c r="A235" s="302"/>
      <c r="B235" s="302"/>
      <c r="C235" s="302"/>
      <c r="D235" s="302"/>
      <c r="E235" s="302"/>
      <c r="F235" s="302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22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>
        <v>0.18472685401813971</v>
      </c>
      <c r="AL235" s="55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>
        <v>0.18472685401813971</v>
      </c>
      <c r="AZ235" s="22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00"/>
      <c r="BO235" s="700"/>
      <c r="BP235" s="700"/>
      <c r="BQ235" s="700"/>
      <c r="BR235" s="700"/>
      <c r="BS235" s="700"/>
      <c r="BT235" s="700"/>
      <c r="BU235" s="700"/>
      <c r="BV235" s="700"/>
      <c r="BW235" s="700"/>
      <c r="BX235" s="700"/>
      <c r="BY235" s="700"/>
      <c r="BZ235" s="700"/>
      <c r="CA235" s="700"/>
      <c r="CB235" s="700">
        <f>CB234/AK234-1</f>
        <v>-0.33181224419185784</v>
      </c>
      <c r="CC235" s="700" t="e">
        <f>CC234/AL234-1</f>
        <v>#DIV/0!</v>
      </c>
      <c r="CD235" s="739"/>
      <c r="CE235" s="302"/>
      <c r="CF235" s="302"/>
      <c r="CG235" s="302"/>
      <c r="CH235" s="302"/>
      <c r="CI235" s="302"/>
      <c r="CJ235" s="302"/>
      <c r="CK235" s="302"/>
      <c r="CL235" s="302"/>
      <c r="CM235" s="302"/>
      <c r="CN235" s="302"/>
      <c r="CO235" s="302"/>
      <c r="CP235" s="302"/>
      <c r="CQ235" s="302"/>
      <c r="CR235" s="302"/>
      <c r="CS235" s="302"/>
      <c r="CT235" s="302"/>
      <c r="CU235" s="302"/>
      <c r="CV235" s="917"/>
    </row>
    <row r="236" spans="1:100" ht="15.5" outlineLevel="1">
      <c r="A236" s="285"/>
      <c r="B236" s="285"/>
      <c r="C236" s="285"/>
      <c r="D236" s="285"/>
      <c r="E236" s="285" t="s">
        <v>240</v>
      </c>
      <c r="F236" s="285"/>
      <c r="G236" s="58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5"/>
      <c r="Y236" s="80">
        <f t="shared" ref="Y236:AK236" si="101">SUM(Y238:Y251)</f>
        <v>398289450</v>
      </c>
      <c r="Z236" s="80">
        <f t="shared" si="101"/>
        <v>404123250</v>
      </c>
      <c r="AA236" s="80">
        <f t="shared" si="101"/>
        <v>450123250</v>
      </c>
      <c r="AB236" s="80">
        <f t="shared" si="101"/>
        <v>450123250</v>
      </c>
      <c r="AC236" s="80">
        <f t="shared" si="101"/>
        <v>405123250</v>
      </c>
      <c r="AD236" s="80">
        <f t="shared" si="101"/>
        <v>450123250</v>
      </c>
      <c r="AE236" s="80">
        <f t="shared" si="101"/>
        <v>500123250</v>
      </c>
      <c r="AF236" s="80">
        <f t="shared" si="101"/>
        <v>500123250</v>
      </c>
      <c r="AG236" s="80">
        <f t="shared" si="101"/>
        <v>500123250</v>
      </c>
      <c r="AH236" s="80">
        <f t="shared" si="101"/>
        <v>455123250</v>
      </c>
      <c r="AI236" s="80">
        <f t="shared" si="101"/>
        <v>455123250</v>
      </c>
      <c r="AJ236" s="80">
        <f t="shared" si="101"/>
        <v>454123250</v>
      </c>
      <c r="AK236" s="80">
        <f t="shared" si="101"/>
        <v>5422645200</v>
      </c>
      <c r="AL236" s="55"/>
      <c r="AM236" s="80">
        <f t="shared" ref="AM236:AY236" si="102">SUM(AM238:AM251)</f>
        <v>398289450</v>
      </c>
      <c r="AN236" s="80">
        <f t="shared" si="102"/>
        <v>404123250</v>
      </c>
      <c r="AO236" s="80">
        <f t="shared" si="102"/>
        <v>450123250</v>
      </c>
      <c r="AP236" s="80">
        <f t="shared" si="102"/>
        <v>450123250</v>
      </c>
      <c r="AQ236" s="80">
        <f t="shared" si="102"/>
        <v>405123250</v>
      </c>
      <c r="AR236" s="80">
        <f t="shared" si="102"/>
        <v>450123250</v>
      </c>
      <c r="AS236" s="80">
        <f t="shared" si="102"/>
        <v>500123250</v>
      </c>
      <c r="AT236" s="80">
        <f t="shared" si="102"/>
        <v>500123250</v>
      </c>
      <c r="AU236" s="80">
        <f t="shared" si="102"/>
        <v>500123250</v>
      </c>
      <c r="AV236" s="80">
        <f t="shared" si="102"/>
        <v>455123250</v>
      </c>
      <c r="AW236" s="80">
        <f t="shared" si="102"/>
        <v>455123250</v>
      </c>
      <c r="AX236" s="80">
        <f t="shared" si="102"/>
        <v>454123250</v>
      </c>
      <c r="AY236" s="80">
        <f t="shared" si="102"/>
        <v>5422645200</v>
      </c>
      <c r="AZ236" s="55"/>
      <c r="BA236" s="80">
        <f>SUM(BA238:BA251)</f>
        <v>341082998</v>
      </c>
      <c r="BB236" s="80">
        <f t="shared" ref="BB236:CT236" si="103">SUM(BB238:BB251)</f>
        <v>301888193</v>
      </c>
      <c r="BC236" s="80">
        <f t="shared" si="103"/>
        <v>292263993</v>
      </c>
      <c r="BD236" s="80">
        <f t="shared" si="103"/>
        <v>295795633</v>
      </c>
      <c r="BE236" s="80">
        <f t="shared" si="103"/>
        <v>298070000</v>
      </c>
      <c r="BF236" s="80">
        <f t="shared" si="103"/>
        <v>332959280</v>
      </c>
      <c r="BG236" s="80">
        <f t="shared" si="103"/>
        <v>301570000</v>
      </c>
      <c r="BH236" s="80">
        <f t="shared" si="103"/>
        <v>149167365</v>
      </c>
      <c r="BI236" s="80">
        <f t="shared" si="103"/>
        <v>315070000</v>
      </c>
      <c r="BJ236" s="80">
        <f t="shared" si="103"/>
        <v>189136270</v>
      </c>
      <c r="BK236" s="80">
        <f t="shared" si="103"/>
        <v>295570000</v>
      </c>
      <c r="BL236" s="80">
        <f t="shared" si="103"/>
        <v>169622565</v>
      </c>
      <c r="BM236" s="80">
        <f t="shared" si="103"/>
        <v>295570000</v>
      </c>
      <c r="BN236" s="701">
        <f t="shared" si="103"/>
        <v>169174163</v>
      </c>
      <c r="BO236" s="701">
        <f t="shared" si="103"/>
        <v>295570000</v>
      </c>
      <c r="BP236" s="701">
        <f t="shared" si="103"/>
        <v>0</v>
      </c>
      <c r="BQ236" s="701">
        <f>SUM(BQ238:BQ251)</f>
        <v>295570000</v>
      </c>
      <c r="BR236" s="701">
        <f>SUM(BR238:BR251)</f>
        <v>207500000</v>
      </c>
      <c r="BS236" s="701">
        <f t="shared" si="103"/>
        <v>0</v>
      </c>
      <c r="BT236" s="701">
        <f>SUM(BT238:BT251)</f>
        <v>295570000</v>
      </c>
      <c r="BU236" s="701">
        <f t="shared" si="103"/>
        <v>246500000</v>
      </c>
      <c r="BV236" s="701">
        <f t="shared" si="103"/>
        <v>0</v>
      </c>
      <c r="BW236" s="701">
        <f>SUM(BW238:BW251)</f>
        <v>345570000</v>
      </c>
      <c r="BX236" s="701">
        <f t="shared" si="103"/>
        <v>335500000</v>
      </c>
      <c r="BY236" s="701">
        <f t="shared" si="103"/>
        <v>0</v>
      </c>
      <c r="BZ236" s="701">
        <f>SUM(BZ238:BZ251)</f>
        <v>445570000</v>
      </c>
      <c r="CA236" s="701">
        <f t="shared" si="103"/>
        <v>423500000</v>
      </c>
      <c r="CB236" s="701">
        <f t="shared" si="103"/>
        <v>3161826467</v>
      </c>
      <c r="CC236" s="701">
        <f t="shared" si="103"/>
        <v>3161826467</v>
      </c>
      <c r="CD236" s="736"/>
      <c r="CE236" s="327">
        <f>SUM(CE238:CE251)</f>
        <v>322885500</v>
      </c>
      <c r="CF236" s="327">
        <f t="shared" ref="CF236:CP236" si="104">SUM(CF238:CF251)</f>
        <v>327739500</v>
      </c>
      <c r="CG236" s="327">
        <f t="shared" si="104"/>
        <v>326441500</v>
      </c>
      <c r="CH236" s="327">
        <f t="shared" si="104"/>
        <v>251664000</v>
      </c>
      <c r="CI236" s="327">
        <f t="shared" si="104"/>
        <v>260159500</v>
      </c>
      <c r="CJ236" s="327">
        <f t="shared" si="104"/>
        <v>254393500</v>
      </c>
      <c r="CK236" s="327">
        <f t="shared" si="104"/>
        <v>261284000</v>
      </c>
      <c r="CL236" s="327">
        <f t="shared" si="104"/>
        <v>259966000</v>
      </c>
      <c r="CM236" s="327">
        <f t="shared" si="104"/>
        <v>261300000</v>
      </c>
      <c r="CN236" s="327">
        <f t="shared" si="104"/>
        <v>263300000</v>
      </c>
      <c r="CO236" s="327">
        <f t="shared" si="104"/>
        <v>315300000</v>
      </c>
      <c r="CP236" s="327">
        <f t="shared" si="104"/>
        <v>366300000</v>
      </c>
      <c r="CQ236" s="327">
        <f t="shared" si="103"/>
        <v>3470733500</v>
      </c>
      <c r="CR236" s="327">
        <f t="shared" si="103"/>
        <v>3241077939.9678936</v>
      </c>
      <c r="CS236" s="327">
        <f t="shared" si="103"/>
        <v>3557382784.0466871</v>
      </c>
      <c r="CT236" s="327">
        <f t="shared" si="103"/>
        <v>3904016239.7641554</v>
      </c>
      <c r="CU236" s="327">
        <f>SUM(CU238:CU251)</f>
        <v>4300764940.5739164</v>
      </c>
      <c r="CV236" s="57"/>
    </row>
    <row r="237" spans="1:100" ht="15" customHeight="1" outlineLevel="2">
      <c r="B237" s="277" t="str">
        <f t="shared" ref="B237:B251" si="105">$E$236&amp;$E$6&amp;E237</f>
        <v>PACK MEDANPACKAGE</v>
      </c>
      <c r="C237" s="276" t="s">
        <v>36</v>
      </c>
      <c r="D237" s="276" t="s">
        <v>40</v>
      </c>
      <c r="E237" s="288"/>
      <c r="F237" s="288"/>
      <c r="G237" s="93">
        <v>42077750</v>
      </c>
      <c r="H237" s="65">
        <v>3723250</v>
      </c>
      <c r="I237" s="65">
        <v>3502750</v>
      </c>
      <c r="J237" s="65">
        <v>2875000</v>
      </c>
      <c r="K237" s="65">
        <v>2875000</v>
      </c>
      <c r="L237" s="65">
        <v>2875000</v>
      </c>
      <c r="M237" s="65">
        <v>3757000</v>
      </c>
      <c r="N237" s="65">
        <v>0</v>
      </c>
      <c r="O237" s="65">
        <v>0</v>
      </c>
      <c r="P237" s="65">
        <v>0</v>
      </c>
      <c r="Q237" s="65"/>
      <c r="R237" s="65"/>
      <c r="S237" s="65"/>
      <c r="T237" s="65">
        <v>0</v>
      </c>
      <c r="U237" s="65">
        <v>0</v>
      </c>
      <c r="V237" s="65">
        <v>0</v>
      </c>
      <c r="W237" s="66">
        <f t="shared" ref="W237:W261" si="106">SUM(H237:S237)</f>
        <v>19608000</v>
      </c>
      <c r="X237" s="55"/>
      <c r="Y237" s="67">
        <v>0</v>
      </c>
      <c r="Z237" s="67">
        <v>0</v>
      </c>
      <c r="AA237" s="67">
        <v>0</v>
      </c>
      <c r="AB237" s="67">
        <v>0</v>
      </c>
      <c r="AC237" s="67">
        <v>0</v>
      </c>
      <c r="AD237" s="67">
        <v>0</v>
      </c>
      <c r="AE237" s="67">
        <v>0</v>
      </c>
      <c r="AF237" s="67">
        <v>0</v>
      </c>
      <c r="AG237" s="67">
        <v>0</v>
      </c>
      <c r="AH237" s="67">
        <v>0</v>
      </c>
      <c r="AI237" s="67">
        <v>0</v>
      </c>
      <c r="AJ237" s="67">
        <v>0</v>
      </c>
      <c r="AK237" s="61">
        <v>0</v>
      </c>
      <c r="AL237" s="55"/>
      <c r="AM237" s="67">
        <v>0</v>
      </c>
      <c r="AN237" s="67">
        <v>0</v>
      </c>
      <c r="AO237" s="67">
        <v>0</v>
      </c>
      <c r="AP237" s="67">
        <v>0</v>
      </c>
      <c r="AQ237" s="67">
        <v>0</v>
      </c>
      <c r="AR237" s="67">
        <v>0</v>
      </c>
      <c r="AS237" s="67">
        <v>0</v>
      </c>
      <c r="AT237" s="67">
        <v>0</v>
      </c>
      <c r="AU237" s="67">
        <v>0</v>
      </c>
      <c r="AV237" s="67">
        <v>0</v>
      </c>
      <c r="AW237" s="67">
        <v>0</v>
      </c>
      <c r="AX237" s="67">
        <v>0</v>
      </c>
      <c r="AY237" s="122">
        <v>0</v>
      </c>
      <c r="AZ237" s="55"/>
      <c r="BA237" s="639"/>
      <c r="BB237" s="639">
        <v>0</v>
      </c>
      <c r="BC237" s="86"/>
      <c r="BD237" s="639">
        <v>0</v>
      </c>
      <c r="BE237" s="86">
        <v>0</v>
      </c>
      <c r="BF237" s="639">
        <v>0</v>
      </c>
      <c r="BG237" s="86"/>
      <c r="BH237" s="639"/>
      <c r="BI237" s="86"/>
      <c r="BJ237" s="639"/>
      <c r="BK237" s="86"/>
      <c r="BL237" s="639"/>
      <c r="BM237" s="86"/>
      <c r="BN237" s="695">
        <v>0</v>
      </c>
      <c r="BO237" s="696"/>
      <c r="BP237" s="695"/>
      <c r="BQ237" s="696"/>
      <c r="BR237" s="702"/>
      <c r="BS237" s="695"/>
      <c r="BT237" s="696"/>
      <c r="BU237" s="702"/>
      <c r="BV237" s="695"/>
      <c r="BW237" s="696"/>
      <c r="BX237" s="702"/>
      <c r="BY237" s="695"/>
      <c r="BZ237" s="696"/>
      <c r="CA237" s="702"/>
      <c r="CB237" s="720">
        <f t="shared" ref="CB237:CB250" si="107">SUM(BA237,BB237,BD237,BF237,BH237,BJ237,BL237,BN237,BP237,BR237,BU237,BX237,CA237)</f>
        <v>0</v>
      </c>
      <c r="CC237" s="721">
        <f t="shared" ref="CC237:CC251" si="108">SUM(BA237,BB237,BD237,BF237,BH237,BJ237,BL237,BN237,BR237,BU237,BX237,CA237)</f>
        <v>0</v>
      </c>
      <c r="CD237" s="738"/>
      <c r="CE237" s="1037"/>
      <c r="CF237" s="1037" t="s">
        <v>241</v>
      </c>
      <c r="CG237" s="1037" t="s">
        <v>241</v>
      </c>
      <c r="CH237" s="1037" t="s">
        <v>241</v>
      </c>
      <c r="CI237" s="1037"/>
      <c r="CJ237" s="1037"/>
      <c r="CK237" s="1037"/>
      <c r="CL237" s="1037" t="s">
        <v>241</v>
      </c>
      <c r="CM237" s="1037"/>
      <c r="CN237" s="1037"/>
      <c r="CO237" s="1037"/>
      <c r="CP237" s="1037"/>
      <c r="CQ237" s="355">
        <f t="shared" ref="CQ237:CQ251" si="109">SUM(CE237,CF237,CG237,CH237,CI237,CJ237,CK237,CL237,CM237,CN237,CO237,CP237)</f>
        <v>0</v>
      </c>
      <c r="CR237" s="356">
        <f>CQ237*1.07</f>
        <v>0</v>
      </c>
      <c r="CS237" s="357">
        <f>CR237*1.07</f>
        <v>0</v>
      </c>
      <c r="CT237" s="332">
        <f>CS237*1.07</f>
        <v>0</v>
      </c>
      <c r="CU237" s="358">
        <f>CT237*1.07</f>
        <v>0</v>
      </c>
      <c r="CV237" s="57" t="s">
        <v>38</v>
      </c>
    </row>
    <row r="238" spans="1:100" ht="15" customHeight="1" outlineLevel="2">
      <c r="A238" s="276" t="s">
        <v>242</v>
      </c>
      <c r="B238" s="277" t="str">
        <f t="shared" si="105"/>
        <v>PACK MEDANPACKAGEAZELIS INDONESIA DISTRIBUSI</v>
      </c>
      <c r="C238" s="276" t="s">
        <v>36</v>
      </c>
      <c r="D238" s="276" t="s">
        <v>40</v>
      </c>
      <c r="E238" s="288" t="s">
        <v>243</v>
      </c>
      <c r="F238" s="303">
        <v>3000019640</v>
      </c>
      <c r="G238" s="81"/>
      <c r="H238" s="65">
        <v>0</v>
      </c>
      <c r="I238" s="65">
        <v>0</v>
      </c>
      <c r="J238" s="65">
        <v>2459000</v>
      </c>
      <c r="K238" s="65">
        <v>4003000</v>
      </c>
      <c r="L238" s="65">
        <v>6294000</v>
      </c>
      <c r="M238" s="65">
        <v>5144000</v>
      </c>
      <c r="N238" s="65">
        <v>5008000</v>
      </c>
      <c r="O238" s="65">
        <v>4698000</v>
      </c>
      <c r="P238" s="65">
        <v>4111000</v>
      </c>
      <c r="Q238" s="65">
        <v>3342000</v>
      </c>
      <c r="R238" s="65">
        <v>3114000</v>
      </c>
      <c r="S238" s="65">
        <v>2757000</v>
      </c>
      <c r="T238" s="83">
        <f>4500000</f>
        <v>4500000</v>
      </c>
      <c r="U238" s="83">
        <f>4500000</f>
        <v>4500000</v>
      </c>
      <c r="V238" s="83">
        <f>4500000</f>
        <v>4500000</v>
      </c>
      <c r="W238" s="66">
        <f t="shared" si="106"/>
        <v>40930000</v>
      </c>
      <c r="X238" s="55"/>
      <c r="Y238" s="67">
        <f>V238*1.05</f>
        <v>4725000</v>
      </c>
      <c r="Z238" s="67">
        <v>5258400</v>
      </c>
      <c r="AA238" s="67">
        <v>5258400</v>
      </c>
      <c r="AB238" s="67">
        <v>5258400</v>
      </c>
      <c r="AC238" s="67">
        <v>5258400</v>
      </c>
      <c r="AD238" s="67">
        <v>5258400</v>
      </c>
      <c r="AE238" s="67">
        <v>5258400</v>
      </c>
      <c r="AF238" s="67">
        <v>5258400</v>
      </c>
      <c r="AG238" s="67">
        <v>5258400</v>
      </c>
      <c r="AH238" s="67">
        <v>5258400</v>
      </c>
      <c r="AI238" s="67">
        <v>5258400</v>
      </c>
      <c r="AJ238" s="67">
        <v>5258400</v>
      </c>
      <c r="AK238" s="61">
        <v>62567400</v>
      </c>
      <c r="AL238" s="55"/>
      <c r="AM238" s="67">
        <v>4725000</v>
      </c>
      <c r="AN238" s="67">
        <v>5258400</v>
      </c>
      <c r="AO238" s="67">
        <v>5258400</v>
      </c>
      <c r="AP238" s="67">
        <v>5258400</v>
      </c>
      <c r="AQ238" s="67">
        <v>5258400</v>
      </c>
      <c r="AR238" s="67">
        <v>5258400</v>
      </c>
      <c r="AS238" s="67">
        <v>5258400</v>
      </c>
      <c r="AT238" s="67">
        <v>5258400</v>
      </c>
      <c r="AU238" s="67">
        <v>5258400</v>
      </c>
      <c r="AV238" s="67">
        <v>5258400</v>
      </c>
      <c r="AW238" s="67">
        <v>5258400</v>
      </c>
      <c r="AX238" s="67">
        <v>5258400</v>
      </c>
      <c r="AY238" s="122">
        <v>62567400</v>
      </c>
      <c r="AZ238" s="55"/>
      <c r="BA238" s="639">
        <v>2460000</v>
      </c>
      <c r="BB238" s="639">
        <v>4653500</v>
      </c>
      <c r="BC238" s="86">
        <v>4653500</v>
      </c>
      <c r="BD238" s="639">
        <v>3851000</v>
      </c>
      <c r="BE238" s="86">
        <v>4000000</v>
      </c>
      <c r="BF238" s="639">
        <v>3746000</v>
      </c>
      <c r="BG238" s="86">
        <v>4500000</v>
      </c>
      <c r="BH238" s="639">
        <v>3142500</v>
      </c>
      <c r="BI238" s="86">
        <v>3000000</v>
      </c>
      <c r="BJ238" s="639">
        <v>4240000</v>
      </c>
      <c r="BK238" s="86">
        <v>4500000</v>
      </c>
      <c r="BL238" s="639">
        <v>3326000</v>
      </c>
      <c r="BM238" s="86">
        <v>4500000</v>
      </c>
      <c r="BN238" s="695">
        <v>5876000</v>
      </c>
      <c r="BO238" s="696">
        <v>4500000</v>
      </c>
      <c r="BP238" s="695"/>
      <c r="BQ238" s="696">
        <v>4500000</v>
      </c>
      <c r="BR238" s="729">
        <v>4500000</v>
      </c>
      <c r="BS238" s="695"/>
      <c r="BT238" s="696">
        <v>4500000</v>
      </c>
      <c r="BU238" s="729">
        <v>4500000</v>
      </c>
      <c r="BV238" s="695"/>
      <c r="BW238" s="696">
        <v>4500000</v>
      </c>
      <c r="BX238" s="729">
        <v>4500000</v>
      </c>
      <c r="BY238" s="695"/>
      <c r="BZ238" s="696">
        <v>4500000</v>
      </c>
      <c r="CA238" s="729">
        <v>4500000</v>
      </c>
      <c r="CB238" s="720">
        <f t="shared" si="107"/>
        <v>49295000</v>
      </c>
      <c r="CC238" s="721">
        <f t="shared" si="108"/>
        <v>49295000</v>
      </c>
      <c r="CD238" s="738"/>
      <c r="CE238" s="1038">
        <v>4900000</v>
      </c>
      <c r="CF238" s="1038">
        <v>4900000</v>
      </c>
      <c r="CG238" s="1038">
        <v>4900000</v>
      </c>
      <c r="CH238" s="1038">
        <v>4900000</v>
      </c>
      <c r="CI238" s="1038">
        <v>4900000</v>
      </c>
      <c r="CJ238" s="1038">
        <v>4900000</v>
      </c>
      <c r="CK238" s="1038">
        <v>4900000</v>
      </c>
      <c r="CL238" s="1038">
        <v>4900000</v>
      </c>
      <c r="CM238" s="1038">
        <v>4900000</v>
      </c>
      <c r="CN238" s="1038">
        <v>4900000</v>
      </c>
      <c r="CO238" s="1038">
        <v>4900000</v>
      </c>
      <c r="CP238" s="1038">
        <v>4900000</v>
      </c>
      <c r="CQ238" s="355">
        <f t="shared" si="109"/>
        <v>58800000</v>
      </c>
      <c r="CR238" s="356">
        <f>CQ238*1.17</f>
        <v>68796000</v>
      </c>
      <c r="CS238" s="357">
        <f>CR238*1.1</f>
        <v>75675600</v>
      </c>
      <c r="CT238" s="332">
        <f>CS238*1.15</f>
        <v>87026940</v>
      </c>
      <c r="CU238" s="358">
        <f>CT238*1.15</f>
        <v>100080980.99999999</v>
      </c>
      <c r="CV238" s="57" t="s">
        <v>38</v>
      </c>
    </row>
    <row r="239" spans="1:100" ht="15" customHeight="1" outlineLevel="2">
      <c r="B239" s="277" t="str">
        <f t="shared" si="105"/>
        <v>PACK MEDANPACKAGE</v>
      </c>
      <c r="C239" s="276" t="s">
        <v>36</v>
      </c>
      <c r="D239" s="276" t="s">
        <v>40</v>
      </c>
      <c r="E239" s="288"/>
      <c r="F239" s="303">
        <v>3000000753</v>
      </c>
      <c r="G239" s="93">
        <v>864516000</v>
      </c>
      <c r="H239" s="65">
        <v>44802000</v>
      </c>
      <c r="I239" s="65">
        <v>38951000</v>
      </c>
      <c r="J239" s="65">
        <v>47331500</v>
      </c>
      <c r="K239" s="65">
        <v>0</v>
      </c>
      <c r="L239" s="65">
        <v>0</v>
      </c>
      <c r="M239" s="65">
        <v>0</v>
      </c>
      <c r="N239" s="65">
        <v>0</v>
      </c>
      <c r="O239" s="65">
        <v>0</v>
      </c>
      <c r="P239" s="65">
        <v>0</v>
      </c>
      <c r="Q239" s="65"/>
      <c r="R239" s="65"/>
      <c r="S239" s="65"/>
      <c r="T239" s="65">
        <v>0</v>
      </c>
      <c r="U239" s="65">
        <v>0</v>
      </c>
      <c r="V239" s="65">
        <v>0</v>
      </c>
      <c r="W239" s="66">
        <f t="shared" si="106"/>
        <v>131084500</v>
      </c>
      <c r="X239" s="55"/>
      <c r="Y239" s="67">
        <v>0</v>
      </c>
      <c r="Z239" s="67">
        <v>0</v>
      </c>
      <c r="AA239" s="67">
        <v>0</v>
      </c>
      <c r="AB239" s="67">
        <v>0</v>
      </c>
      <c r="AC239" s="67">
        <v>0</v>
      </c>
      <c r="AD239" s="67">
        <v>0</v>
      </c>
      <c r="AE239" s="67">
        <v>0</v>
      </c>
      <c r="AF239" s="67">
        <v>0</v>
      </c>
      <c r="AG239" s="67">
        <v>0</v>
      </c>
      <c r="AH239" s="67">
        <v>0</v>
      </c>
      <c r="AI239" s="67">
        <v>0</v>
      </c>
      <c r="AJ239" s="67">
        <v>0</v>
      </c>
      <c r="AK239" s="61">
        <v>0</v>
      </c>
      <c r="AL239" s="55"/>
      <c r="AM239" s="67">
        <v>0</v>
      </c>
      <c r="AN239" s="67">
        <v>0</v>
      </c>
      <c r="AO239" s="67">
        <v>0</v>
      </c>
      <c r="AP239" s="67">
        <v>0</v>
      </c>
      <c r="AQ239" s="67">
        <v>0</v>
      </c>
      <c r="AR239" s="67">
        <v>0</v>
      </c>
      <c r="AS239" s="67">
        <v>0</v>
      </c>
      <c r="AT239" s="67">
        <v>0</v>
      </c>
      <c r="AU239" s="67">
        <v>0</v>
      </c>
      <c r="AV239" s="67">
        <v>0</v>
      </c>
      <c r="AW239" s="67">
        <v>0</v>
      </c>
      <c r="AX239" s="67">
        <v>0</v>
      </c>
      <c r="AY239" s="122">
        <v>0</v>
      </c>
      <c r="AZ239" s="55"/>
      <c r="BA239" s="639">
        <v>0</v>
      </c>
      <c r="BB239" s="639">
        <v>0</v>
      </c>
      <c r="BC239" s="86"/>
      <c r="BD239" s="639">
        <v>0</v>
      </c>
      <c r="BE239" s="86"/>
      <c r="BF239" s="639">
        <v>4752000</v>
      </c>
      <c r="BG239" s="86"/>
      <c r="BH239" s="639"/>
      <c r="BI239" s="86"/>
      <c r="BJ239" s="639">
        <v>0</v>
      </c>
      <c r="BK239" s="86"/>
      <c r="BL239" s="639"/>
      <c r="BM239" s="86"/>
      <c r="BN239" s="695">
        <v>0</v>
      </c>
      <c r="BO239" s="696"/>
      <c r="BP239" s="695"/>
      <c r="BQ239" s="696"/>
      <c r="BR239" s="729"/>
      <c r="BS239" s="695"/>
      <c r="BT239" s="696"/>
      <c r="BU239" s="729"/>
      <c r="BV239" s="695"/>
      <c r="BW239" s="696"/>
      <c r="BX239" s="729"/>
      <c r="BY239" s="695"/>
      <c r="BZ239" s="696"/>
      <c r="CA239" s="729"/>
      <c r="CB239" s="720">
        <f t="shared" si="107"/>
        <v>4752000</v>
      </c>
      <c r="CC239" s="721">
        <f t="shared" si="108"/>
        <v>4752000</v>
      </c>
      <c r="CD239" s="738"/>
      <c r="CE239" s="1037" t="s">
        <v>241</v>
      </c>
      <c r="CF239" s="1037" t="s">
        <v>241</v>
      </c>
      <c r="CG239" s="1037" t="s">
        <v>241</v>
      </c>
      <c r="CH239" s="1037" t="s">
        <v>241</v>
      </c>
      <c r="CI239" s="1037"/>
      <c r="CJ239" s="1037" t="s">
        <v>241</v>
      </c>
      <c r="CK239" s="1037"/>
      <c r="CL239" s="1037" t="s">
        <v>241</v>
      </c>
      <c r="CM239" s="1037"/>
      <c r="CN239" s="1037"/>
      <c r="CO239" s="1037"/>
      <c r="CP239" s="1037"/>
      <c r="CQ239" s="355">
        <f t="shared" si="109"/>
        <v>0</v>
      </c>
      <c r="CR239" s="356">
        <f>CQ239*1.07</f>
        <v>0</v>
      </c>
      <c r="CS239" s="357">
        <f>CR239*1.1</f>
        <v>0</v>
      </c>
      <c r="CT239" s="332">
        <f>CS239*1.07</f>
        <v>0</v>
      </c>
      <c r="CU239" s="358">
        <f>CT239*1.07</f>
        <v>0</v>
      </c>
      <c r="CV239" s="57" t="s">
        <v>38</v>
      </c>
    </row>
    <row r="240" spans="1:100" ht="15" customHeight="1" outlineLevel="2">
      <c r="A240" s="276" t="s">
        <v>242</v>
      </c>
      <c r="B240" s="277" t="str">
        <f t="shared" si="105"/>
        <v>PACK MEDANPACKAGEDUNIA KIMIA JAYA</v>
      </c>
      <c r="C240" s="276" t="s">
        <v>36</v>
      </c>
      <c r="D240" s="276" t="s">
        <v>40</v>
      </c>
      <c r="E240" s="288" t="s">
        <v>66</v>
      </c>
      <c r="F240" s="303">
        <v>8000000015</v>
      </c>
      <c r="G240" s="93">
        <v>242692211</v>
      </c>
      <c r="H240" s="65">
        <v>5032738</v>
      </c>
      <c r="I240" s="65">
        <v>113883398</v>
      </c>
      <c r="J240" s="65">
        <v>5730473</v>
      </c>
      <c r="K240" s="65">
        <v>3131473</v>
      </c>
      <c r="L240" s="65">
        <v>1307100</v>
      </c>
      <c r="M240" s="65">
        <v>1486440</v>
      </c>
      <c r="N240" s="65">
        <v>3357503</v>
      </c>
      <c r="O240" s="65">
        <v>17881828</v>
      </c>
      <c r="P240" s="65">
        <v>4046158</v>
      </c>
      <c r="Q240" s="65">
        <v>7698035</v>
      </c>
      <c r="R240" s="65">
        <v>17252468</v>
      </c>
      <c r="S240" s="65">
        <v>7676039</v>
      </c>
      <c r="T240" s="65">
        <v>3357503</v>
      </c>
      <c r="U240" s="65">
        <v>3357503</v>
      </c>
      <c r="V240" s="65">
        <v>3357503</v>
      </c>
      <c r="W240" s="66">
        <f t="shared" si="106"/>
        <v>188483653</v>
      </c>
      <c r="X240" s="55"/>
      <c r="Y240" s="67">
        <v>4000000</v>
      </c>
      <c r="Z240" s="67">
        <v>4000000</v>
      </c>
      <c r="AA240" s="67">
        <f>50000000</f>
        <v>50000000</v>
      </c>
      <c r="AB240" s="67">
        <f>50000000</f>
        <v>50000000</v>
      </c>
      <c r="AC240" s="67">
        <f>5000000</f>
        <v>5000000</v>
      </c>
      <c r="AD240" s="67">
        <f>50000000</f>
        <v>50000000</v>
      </c>
      <c r="AE240" s="67">
        <f>50000000</f>
        <v>50000000</v>
      </c>
      <c r="AF240" s="67">
        <f>50000000</f>
        <v>50000000</v>
      </c>
      <c r="AG240" s="67">
        <f>50000000</f>
        <v>50000000</v>
      </c>
      <c r="AH240" s="67">
        <f>5000000</f>
        <v>5000000</v>
      </c>
      <c r="AI240" s="67">
        <f>AH240</f>
        <v>5000000</v>
      </c>
      <c r="AJ240" s="67">
        <f>50000000</f>
        <v>50000000</v>
      </c>
      <c r="AK240" s="61">
        <v>373000000</v>
      </c>
      <c r="AL240" s="55"/>
      <c r="AM240" s="67">
        <v>4000000</v>
      </c>
      <c r="AN240" s="67">
        <v>4000000</v>
      </c>
      <c r="AO240" s="67">
        <v>50000000</v>
      </c>
      <c r="AP240" s="67">
        <v>50000000</v>
      </c>
      <c r="AQ240" s="67">
        <v>5000000</v>
      </c>
      <c r="AR240" s="67">
        <v>50000000</v>
      </c>
      <c r="AS240" s="67">
        <v>50000000</v>
      </c>
      <c r="AT240" s="67">
        <v>50000000</v>
      </c>
      <c r="AU240" s="67">
        <v>50000000</v>
      </c>
      <c r="AV240" s="67">
        <v>5000000</v>
      </c>
      <c r="AW240" s="67">
        <v>5000000</v>
      </c>
      <c r="AX240" s="67">
        <v>50000000</v>
      </c>
      <c r="AY240" s="122">
        <v>373000000</v>
      </c>
      <c r="AZ240" s="55"/>
      <c r="BA240" s="639">
        <v>62017598</v>
      </c>
      <c r="BB240" s="639">
        <v>13828343</v>
      </c>
      <c r="BC240" s="86">
        <v>13828343</v>
      </c>
      <c r="BD240" s="639">
        <v>10987170</v>
      </c>
      <c r="BE240" s="86">
        <v>13000000</v>
      </c>
      <c r="BF240" s="639">
        <v>20461305</v>
      </c>
      <c r="BG240" s="86">
        <v>16000000</v>
      </c>
      <c r="BH240" s="639">
        <v>5672240</v>
      </c>
      <c r="BI240" s="86">
        <v>13000000</v>
      </c>
      <c r="BJ240" s="639">
        <v>30383495</v>
      </c>
      <c r="BK240" s="86">
        <v>15000000</v>
      </c>
      <c r="BL240" s="639">
        <v>5927570</v>
      </c>
      <c r="BM240" s="86">
        <v>15000000</v>
      </c>
      <c r="BN240" s="695">
        <v>3586588</v>
      </c>
      <c r="BO240" s="696">
        <v>15000000</v>
      </c>
      <c r="BP240" s="695"/>
      <c r="BQ240" s="696">
        <v>15000000</v>
      </c>
      <c r="BR240" s="729">
        <v>15000000</v>
      </c>
      <c r="BS240" s="695"/>
      <c r="BT240" s="696">
        <v>15000000</v>
      </c>
      <c r="BU240" s="729">
        <v>15000000</v>
      </c>
      <c r="BV240" s="695"/>
      <c r="BW240" s="696">
        <v>15000000</v>
      </c>
      <c r="BX240" s="729">
        <v>15000000</v>
      </c>
      <c r="BY240" s="695"/>
      <c r="BZ240" s="696">
        <v>15000000</v>
      </c>
      <c r="CA240" s="729">
        <v>15000000</v>
      </c>
      <c r="CB240" s="720">
        <f t="shared" si="107"/>
        <v>212864309</v>
      </c>
      <c r="CC240" s="721">
        <f t="shared" si="108"/>
        <v>212864309</v>
      </c>
      <c r="CD240" s="738"/>
      <c r="CE240" s="1038">
        <v>21000000</v>
      </c>
      <c r="CF240" s="1038">
        <v>21000000</v>
      </c>
      <c r="CG240" s="1038">
        <v>21000000</v>
      </c>
      <c r="CH240" s="1038">
        <v>21000000</v>
      </c>
      <c r="CI240" s="1038">
        <v>21000000</v>
      </c>
      <c r="CJ240" s="1038">
        <v>21000000</v>
      </c>
      <c r="CK240" s="1038">
        <v>21000000</v>
      </c>
      <c r="CL240" s="1038">
        <v>21000000</v>
      </c>
      <c r="CM240" s="1038">
        <v>21000000</v>
      </c>
      <c r="CN240" s="1038">
        <v>21000000</v>
      </c>
      <c r="CO240" s="1038">
        <v>21000000</v>
      </c>
      <c r="CP240" s="1038">
        <v>21000000</v>
      </c>
      <c r="CQ240" s="355">
        <f t="shared" si="109"/>
        <v>252000000</v>
      </c>
      <c r="CR240" s="356">
        <f>CQ240*1.17</f>
        <v>294840000</v>
      </c>
      <c r="CS240" s="357">
        <f>CR240*1.1</f>
        <v>324324000</v>
      </c>
      <c r="CT240" s="332">
        <f t="shared" ref="CT240:CU242" si="110">CS240*1.12</f>
        <v>363242880.00000006</v>
      </c>
      <c r="CU240" s="358">
        <f t="shared" si="110"/>
        <v>406832025.60000008</v>
      </c>
      <c r="CV240" s="57" t="s">
        <v>42</v>
      </c>
    </row>
    <row r="241" spans="1:101" ht="15" customHeight="1" outlineLevel="2">
      <c r="B241" s="277" t="str">
        <f t="shared" si="105"/>
        <v>PACK MEDANPACKAGE</v>
      </c>
      <c r="C241" s="276" t="s">
        <v>36</v>
      </c>
      <c r="D241" s="276" t="s">
        <v>40</v>
      </c>
      <c r="E241" s="288"/>
      <c r="F241" s="303">
        <v>3000011390</v>
      </c>
      <c r="G241" s="93">
        <v>237515625</v>
      </c>
      <c r="H241" s="65">
        <v>13545250</v>
      </c>
      <c r="I241" s="65">
        <v>11913000</v>
      </c>
      <c r="J241" s="65">
        <v>13510375</v>
      </c>
      <c r="K241" s="65">
        <v>11624375</v>
      </c>
      <c r="L241" s="65">
        <v>13735875</v>
      </c>
      <c r="M241" s="65">
        <v>6593000</v>
      </c>
      <c r="N241" s="65">
        <v>1907475</v>
      </c>
      <c r="O241" s="65">
        <v>1368675</v>
      </c>
      <c r="P241" s="65">
        <v>2652175</v>
      </c>
      <c r="Q241" s="65">
        <v>2231400</v>
      </c>
      <c r="R241" s="65">
        <v>2231400</v>
      </c>
      <c r="S241" s="65">
        <v>5486900</v>
      </c>
      <c r="T241" s="83">
        <f>2600000</f>
        <v>2600000</v>
      </c>
      <c r="U241" s="83">
        <f>2600000</f>
        <v>2600000</v>
      </c>
      <c r="V241" s="83">
        <f>2600000</f>
        <v>2600000</v>
      </c>
      <c r="W241" s="66">
        <f t="shared" si="106"/>
        <v>86799900</v>
      </c>
      <c r="X241" s="55"/>
      <c r="Y241" s="67">
        <f>V241*1.05</f>
        <v>2730000</v>
      </c>
      <c r="Z241" s="67">
        <v>6922650</v>
      </c>
      <c r="AA241" s="67">
        <v>6922650</v>
      </c>
      <c r="AB241" s="67">
        <v>6922650</v>
      </c>
      <c r="AC241" s="67">
        <v>6922650</v>
      </c>
      <c r="AD241" s="67">
        <v>6922650</v>
      </c>
      <c r="AE241" s="67">
        <v>6922650</v>
      </c>
      <c r="AF241" s="67">
        <v>6922650</v>
      </c>
      <c r="AG241" s="67">
        <v>6922650</v>
      </c>
      <c r="AH241" s="67">
        <v>6922650</v>
      </c>
      <c r="AI241" s="67">
        <v>6922650</v>
      </c>
      <c r="AJ241" s="67">
        <v>6922650</v>
      </c>
      <c r="AK241" s="61">
        <v>78879150</v>
      </c>
      <c r="AL241" s="55"/>
      <c r="AM241" s="67">
        <v>2730000</v>
      </c>
      <c r="AN241" s="67">
        <v>6922650</v>
      </c>
      <c r="AO241" s="67">
        <v>6922650</v>
      </c>
      <c r="AP241" s="67">
        <v>6922650</v>
      </c>
      <c r="AQ241" s="67">
        <v>6922650</v>
      </c>
      <c r="AR241" s="67">
        <v>6922650</v>
      </c>
      <c r="AS241" s="67">
        <v>6922650</v>
      </c>
      <c r="AT241" s="67">
        <v>6922650</v>
      </c>
      <c r="AU241" s="67">
        <v>6922650</v>
      </c>
      <c r="AV241" s="67">
        <v>6922650</v>
      </c>
      <c r="AW241" s="67">
        <v>6922650</v>
      </c>
      <c r="AX241" s="67">
        <v>6922650</v>
      </c>
      <c r="AY241" s="122">
        <v>78879150</v>
      </c>
      <c r="AZ241" s="55"/>
      <c r="BA241" s="639">
        <v>1926400</v>
      </c>
      <c r="BB241" s="639">
        <v>8156150</v>
      </c>
      <c r="BC241" s="86">
        <v>8156150</v>
      </c>
      <c r="BD241" s="639">
        <v>0</v>
      </c>
      <c r="BE241" s="86">
        <v>8000000</v>
      </c>
      <c r="BF241" s="639"/>
      <c r="BG241" s="86">
        <v>8000000</v>
      </c>
      <c r="BH241" s="639"/>
      <c r="BI241" s="86">
        <v>5000000</v>
      </c>
      <c r="BJ241" s="639">
        <v>0</v>
      </c>
      <c r="BK241" s="86">
        <v>7000000</v>
      </c>
      <c r="BL241" s="639"/>
      <c r="BM241" s="86">
        <v>7000000</v>
      </c>
      <c r="BN241" s="695">
        <v>0</v>
      </c>
      <c r="BO241" s="696">
        <v>7000000</v>
      </c>
      <c r="BP241" s="695"/>
      <c r="BQ241" s="696">
        <v>7000000</v>
      </c>
      <c r="BR241" s="729">
        <v>7000000</v>
      </c>
      <c r="BS241" s="695"/>
      <c r="BT241" s="696">
        <v>7000000</v>
      </c>
      <c r="BU241" s="729">
        <v>7000000</v>
      </c>
      <c r="BV241" s="695"/>
      <c r="BW241" s="696">
        <v>7000000</v>
      </c>
      <c r="BX241" s="729">
        <v>7000000</v>
      </c>
      <c r="BY241" s="695"/>
      <c r="BZ241" s="696">
        <v>7000000</v>
      </c>
      <c r="CA241" s="729">
        <v>7000000</v>
      </c>
      <c r="CB241" s="720">
        <f t="shared" si="107"/>
        <v>38082550</v>
      </c>
      <c r="CC241" s="721">
        <f t="shared" si="108"/>
        <v>38082550</v>
      </c>
      <c r="CD241" s="738"/>
      <c r="CE241" s="1037"/>
      <c r="CF241" s="1037"/>
      <c r="CG241" s="1037"/>
      <c r="CH241" s="1037"/>
      <c r="CI241" s="1037"/>
      <c r="CJ241" s="1037"/>
      <c r="CK241" s="1037"/>
      <c r="CL241" s="1037"/>
      <c r="CM241" s="1037"/>
      <c r="CN241" s="1037"/>
      <c r="CO241" s="1037"/>
      <c r="CP241" s="1037"/>
      <c r="CQ241" s="355">
        <f t="shared" si="109"/>
        <v>0</v>
      </c>
      <c r="CR241" s="356">
        <f>CQ241*1.17</f>
        <v>0</v>
      </c>
      <c r="CS241" s="357">
        <f>CR241*1.1</f>
        <v>0</v>
      </c>
      <c r="CT241" s="332">
        <f t="shared" si="110"/>
        <v>0</v>
      </c>
      <c r="CU241" s="358">
        <f t="shared" si="110"/>
        <v>0</v>
      </c>
      <c r="CV241" s="57" t="s">
        <v>38</v>
      </c>
    </row>
    <row r="242" spans="1:101" ht="15" customHeight="1" outlineLevel="2">
      <c r="A242" s="276" t="s">
        <v>242</v>
      </c>
      <c r="B242" s="277" t="str">
        <f t="shared" si="105"/>
        <v>PACK MEDANPACKAGEJEBSEN JESSEN INGREDIENTS INDONESIA</v>
      </c>
      <c r="C242" s="276" t="s">
        <v>36</v>
      </c>
      <c r="D242" s="276" t="s">
        <v>40</v>
      </c>
      <c r="E242" s="288" t="s">
        <v>244</v>
      </c>
      <c r="F242" s="303">
        <v>3000012293</v>
      </c>
      <c r="G242" s="93">
        <v>215333000</v>
      </c>
      <c r="H242" s="65">
        <v>19031000</v>
      </c>
      <c r="I242" s="65">
        <v>15786000</v>
      </c>
      <c r="J242" s="65">
        <v>18653000</v>
      </c>
      <c r="K242" s="65">
        <v>16997500</v>
      </c>
      <c r="L242" s="65">
        <v>16131000</v>
      </c>
      <c r="M242" s="65">
        <v>19508000</v>
      </c>
      <c r="N242" s="65">
        <v>21431000</v>
      </c>
      <c r="O242" s="65">
        <v>20338000</v>
      </c>
      <c r="P242" s="65">
        <v>20591500</v>
      </c>
      <c r="Q242" s="65">
        <v>18520500</v>
      </c>
      <c r="R242" s="65">
        <v>20169500</v>
      </c>
      <c r="S242" s="65">
        <v>21619000</v>
      </c>
      <c r="T242" s="65">
        <v>20000000</v>
      </c>
      <c r="U242" s="65">
        <v>20000000</v>
      </c>
      <c r="V242" s="65">
        <v>20000000</v>
      </c>
      <c r="W242" s="66">
        <f t="shared" si="106"/>
        <v>228776000</v>
      </c>
      <c r="X242" s="55"/>
      <c r="Y242" s="67">
        <v>19000000</v>
      </c>
      <c r="Z242" s="67">
        <v>19000000</v>
      </c>
      <c r="AA242" s="67">
        <v>19000000</v>
      </c>
      <c r="AB242" s="67">
        <v>19000000</v>
      </c>
      <c r="AC242" s="67">
        <v>19000000</v>
      </c>
      <c r="AD242" s="67">
        <v>19000000</v>
      </c>
      <c r="AE242" s="67">
        <v>19000000</v>
      </c>
      <c r="AF242" s="67">
        <v>19000000</v>
      </c>
      <c r="AG242" s="67">
        <v>19000000</v>
      </c>
      <c r="AH242" s="67">
        <v>19000000</v>
      </c>
      <c r="AI242" s="67">
        <v>19000000</v>
      </c>
      <c r="AJ242" s="67">
        <v>19000000</v>
      </c>
      <c r="AK242" s="61">
        <v>228000000</v>
      </c>
      <c r="AL242" s="55"/>
      <c r="AM242" s="67">
        <v>19000000</v>
      </c>
      <c r="AN242" s="67">
        <v>19000000</v>
      </c>
      <c r="AO242" s="67">
        <v>19000000</v>
      </c>
      <c r="AP242" s="67">
        <v>19000000</v>
      </c>
      <c r="AQ242" s="67">
        <v>19000000</v>
      </c>
      <c r="AR242" s="67">
        <v>19000000</v>
      </c>
      <c r="AS242" s="67">
        <v>19000000</v>
      </c>
      <c r="AT242" s="67">
        <v>19000000</v>
      </c>
      <c r="AU242" s="67">
        <v>19000000</v>
      </c>
      <c r="AV242" s="67">
        <v>19000000</v>
      </c>
      <c r="AW242" s="67">
        <v>19000000</v>
      </c>
      <c r="AX242" s="67">
        <v>19000000</v>
      </c>
      <c r="AY242" s="122">
        <v>228000000</v>
      </c>
      <c r="AZ242" s="55"/>
      <c r="BA242" s="639">
        <v>16585500</v>
      </c>
      <c r="BB242" s="639">
        <v>21439500</v>
      </c>
      <c r="BC242" s="86">
        <v>21439500</v>
      </c>
      <c r="BD242" s="639">
        <v>20141500</v>
      </c>
      <c r="BE242" s="86">
        <v>20000000</v>
      </c>
      <c r="BF242" s="639">
        <v>15364000</v>
      </c>
      <c r="BG242" s="86">
        <v>20000000</v>
      </c>
      <c r="BH242" s="639">
        <v>23859500</v>
      </c>
      <c r="BI242" s="86">
        <v>15000000</v>
      </c>
      <c r="BJ242" s="639">
        <v>18093500</v>
      </c>
      <c r="BK242" s="86">
        <v>17000000</v>
      </c>
      <c r="BL242" s="639">
        <v>24984000</v>
      </c>
      <c r="BM242" s="86">
        <v>17000000</v>
      </c>
      <c r="BN242" s="695">
        <v>23666000</v>
      </c>
      <c r="BO242" s="696">
        <v>17000000</v>
      </c>
      <c r="BP242" s="695"/>
      <c r="BQ242" s="696">
        <v>17000000</v>
      </c>
      <c r="BR242" s="729">
        <v>25000000</v>
      </c>
      <c r="BS242" s="695"/>
      <c r="BT242" s="696">
        <v>17000000</v>
      </c>
      <c r="BU242" s="729">
        <v>27000000</v>
      </c>
      <c r="BV242" s="695"/>
      <c r="BW242" s="696">
        <v>17000000</v>
      </c>
      <c r="BX242" s="729">
        <v>29000000</v>
      </c>
      <c r="BY242" s="695"/>
      <c r="BZ242" s="696">
        <v>17000000</v>
      </c>
      <c r="CA242" s="729">
        <v>30000000</v>
      </c>
      <c r="CB242" s="720">
        <f t="shared" si="107"/>
        <v>275133500</v>
      </c>
      <c r="CC242" s="721">
        <f t="shared" si="108"/>
        <v>275133500</v>
      </c>
      <c r="CD242" s="738"/>
      <c r="CE242" s="1038">
        <v>16585500</v>
      </c>
      <c r="CF242" s="1038">
        <v>21439500</v>
      </c>
      <c r="CG242" s="1038">
        <v>20141500</v>
      </c>
      <c r="CH242" s="1038">
        <v>15364000</v>
      </c>
      <c r="CI242" s="1038">
        <v>23859500</v>
      </c>
      <c r="CJ242" s="1038">
        <v>18093500</v>
      </c>
      <c r="CK242" s="1038">
        <v>24984000</v>
      </c>
      <c r="CL242" s="1038">
        <v>23666000</v>
      </c>
      <c r="CM242" s="1038">
        <v>25000000</v>
      </c>
      <c r="CN242" s="1038">
        <v>27000000</v>
      </c>
      <c r="CO242" s="1038">
        <v>29000000</v>
      </c>
      <c r="CP242" s="1038">
        <v>30000000</v>
      </c>
      <c r="CQ242" s="355">
        <f t="shared" si="109"/>
        <v>275133500</v>
      </c>
      <c r="CR242" s="356">
        <f>CQ242*1.17</f>
        <v>321906195</v>
      </c>
      <c r="CS242" s="357">
        <f>CR242*1.1</f>
        <v>354096814.5</v>
      </c>
      <c r="CT242" s="332">
        <f t="shared" si="110"/>
        <v>396588432.24000001</v>
      </c>
      <c r="CU242" s="358">
        <f t="shared" si="110"/>
        <v>444179044.10880005</v>
      </c>
      <c r="CV242" s="57" t="s">
        <v>38</v>
      </c>
    </row>
    <row r="243" spans="1:101" ht="15" customHeight="1" outlineLevel="2">
      <c r="B243" s="277" t="str">
        <f t="shared" si="105"/>
        <v>PACK MEDANPACKAGE</v>
      </c>
      <c r="C243" s="276" t="s">
        <v>36</v>
      </c>
      <c r="E243" s="288"/>
      <c r="F243" s="303"/>
      <c r="G243" s="64">
        <v>5350000</v>
      </c>
      <c r="H243" s="81"/>
      <c r="I243" s="81"/>
      <c r="J243" s="81"/>
      <c r="K243" s="81"/>
      <c r="L243" s="81"/>
      <c r="M243" s="81"/>
      <c r="N243" s="81"/>
      <c r="O243" s="81"/>
      <c r="P243" s="65">
        <v>0</v>
      </c>
      <c r="Q243" s="65"/>
      <c r="R243" s="65"/>
      <c r="S243" s="65"/>
      <c r="T243" s="65">
        <v>0</v>
      </c>
      <c r="U243" s="65">
        <v>0</v>
      </c>
      <c r="V243" s="65">
        <v>0</v>
      </c>
      <c r="W243" s="66">
        <f t="shared" si="106"/>
        <v>0</v>
      </c>
      <c r="X243" s="78"/>
      <c r="Y243" s="82"/>
      <c r="Z243" s="82"/>
      <c r="AA243" s="82"/>
      <c r="AB243" s="82"/>
      <c r="AC243" s="82"/>
      <c r="AD243" s="82"/>
      <c r="AE243" s="82"/>
      <c r="AF243" s="82"/>
      <c r="AG243" s="82"/>
      <c r="AH243" s="82"/>
      <c r="AI243" s="82"/>
      <c r="AJ243" s="82"/>
      <c r="AK243" s="61">
        <v>0</v>
      </c>
      <c r="AL243" s="55"/>
      <c r="AM243" s="82"/>
      <c r="AN243" s="82"/>
      <c r="AO243" s="82"/>
      <c r="AP243" s="82"/>
      <c r="AQ243" s="82"/>
      <c r="AR243" s="82"/>
      <c r="AS243" s="82"/>
      <c r="AT243" s="82"/>
      <c r="AU243" s="82"/>
      <c r="AV243" s="82"/>
      <c r="AW243" s="82"/>
      <c r="AX243" s="82"/>
      <c r="AY243" s="122">
        <v>0</v>
      </c>
      <c r="AZ243" s="78"/>
      <c r="BA243" s="639">
        <v>0</v>
      </c>
      <c r="BB243" s="639">
        <v>0</v>
      </c>
      <c r="BC243" s="86"/>
      <c r="BD243" s="639">
        <v>0</v>
      </c>
      <c r="BE243" s="86"/>
      <c r="BF243" s="639">
        <v>0</v>
      </c>
      <c r="BG243" s="86"/>
      <c r="BH243" s="639"/>
      <c r="BI243" s="86"/>
      <c r="BJ243" s="639">
        <v>0</v>
      </c>
      <c r="BK243" s="86"/>
      <c r="BL243" s="639"/>
      <c r="BM243" s="86"/>
      <c r="BN243" s="695">
        <v>0</v>
      </c>
      <c r="BO243" s="696"/>
      <c r="BP243" s="695"/>
      <c r="BQ243" s="696"/>
      <c r="BR243" s="729"/>
      <c r="BS243" s="695"/>
      <c r="BT243" s="696"/>
      <c r="BU243" s="729"/>
      <c r="BV243" s="695"/>
      <c r="BW243" s="696"/>
      <c r="BX243" s="729"/>
      <c r="BY243" s="695"/>
      <c r="BZ243" s="696"/>
      <c r="CA243" s="729"/>
      <c r="CB243" s="720">
        <f t="shared" si="107"/>
        <v>0</v>
      </c>
      <c r="CC243" s="721">
        <f t="shared" si="108"/>
        <v>0</v>
      </c>
      <c r="CD243" s="738"/>
      <c r="CE243" s="1037" t="s">
        <v>241</v>
      </c>
      <c r="CF243" s="1037" t="s">
        <v>241</v>
      </c>
      <c r="CG243" s="1037" t="s">
        <v>241</v>
      </c>
      <c r="CH243" s="1037" t="s">
        <v>241</v>
      </c>
      <c r="CI243" s="1037"/>
      <c r="CJ243" s="1037" t="s">
        <v>241</v>
      </c>
      <c r="CK243" s="1037"/>
      <c r="CL243" s="1037" t="s">
        <v>241</v>
      </c>
      <c r="CM243" s="1037"/>
      <c r="CN243" s="1037"/>
      <c r="CO243" s="1037"/>
      <c r="CP243" s="1037"/>
      <c r="CQ243" s="355">
        <f t="shared" si="109"/>
        <v>0</v>
      </c>
      <c r="CR243" s="356"/>
      <c r="CS243" s="357"/>
      <c r="CT243" s="332"/>
      <c r="CU243" s="358"/>
      <c r="CV243" s="57" t="s">
        <v>38</v>
      </c>
    </row>
    <row r="244" spans="1:101" ht="15" customHeight="1" outlineLevel="2">
      <c r="B244" s="277" t="str">
        <f t="shared" si="105"/>
        <v>PACK MEDANPACKAGE</v>
      </c>
      <c r="C244" s="276" t="s">
        <v>36</v>
      </c>
      <c r="D244" s="276" t="s">
        <v>40</v>
      </c>
      <c r="E244" s="288"/>
      <c r="F244" s="303"/>
      <c r="G244" s="64">
        <v>448733050</v>
      </c>
      <c r="H244" s="65">
        <v>19700000</v>
      </c>
      <c r="I244" s="65">
        <v>0</v>
      </c>
      <c r="J244" s="65">
        <v>0</v>
      </c>
      <c r="K244" s="65">
        <v>0</v>
      </c>
      <c r="L244" s="65">
        <v>0</v>
      </c>
      <c r="M244" s="65">
        <v>0</v>
      </c>
      <c r="N244" s="65">
        <v>0</v>
      </c>
      <c r="O244" s="65">
        <v>0</v>
      </c>
      <c r="P244" s="65">
        <v>0</v>
      </c>
      <c r="Q244" s="65"/>
      <c r="R244" s="65"/>
      <c r="S244" s="65"/>
      <c r="T244" s="65">
        <v>0</v>
      </c>
      <c r="U244" s="65">
        <v>0</v>
      </c>
      <c r="V244" s="65">
        <v>0</v>
      </c>
      <c r="W244" s="66">
        <f t="shared" si="106"/>
        <v>19700000</v>
      </c>
      <c r="X244" s="55"/>
      <c r="Y244" s="67">
        <v>0</v>
      </c>
      <c r="Z244" s="67">
        <v>0</v>
      </c>
      <c r="AA244" s="67">
        <v>0</v>
      </c>
      <c r="AB244" s="67">
        <v>0</v>
      </c>
      <c r="AC244" s="67">
        <v>0</v>
      </c>
      <c r="AD244" s="67">
        <v>0</v>
      </c>
      <c r="AE244" s="67">
        <v>0</v>
      </c>
      <c r="AF244" s="67">
        <v>0</v>
      </c>
      <c r="AG244" s="67">
        <v>0</v>
      </c>
      <c r="AH244" s="67">
        <v>0</v>
      </c>
      <c r="AI244" s="67">
        <v>0</v>
      </c>
      <c r="AJ244" s="67">
        <v>0</v>
      </c>
      <c r="AK244" s="61">
        <v>0</v>
      </c>
      <c r="AL244" s="55"/>
      <c r="AM244" s="67">
        <v>0</v>
      </c>
      <c r="AN244" s="67">
        <v>0</v>
      </c>
      <c r="AO244" s="67">
        <v>0</v>
      </c>
      <c r="AP244" s="67">
        <v>0</v>
      </c>
      <c r="AQ244" s="67">
        <v>0</v>
      </c>
      <c r="AR244" s="67">
        <v>0</v>
      </c>
      <c r="AS244" s="67">
        <v>0</v>
      </c>
      <c r="AT244" s="67">
        <v>0</v>
      </c>
      <c r="AU244" s="67">
        <v>0</v>
      </c>
      <c r="AV244" s="67">
        <v>0</v>
      </c>
      <c r="AW244" s="67">
        <v>0</v>
      </c>
      <c r="AX244" s="67">
        <v>0</v>
      </c>
      <c r="AY244" s="122">
        <v>0</v>
      </c>
      <c r="AZ244" s="55"/>
      <c r="BA244" s="639">
        <v>0</v>
      </c>
      <c r="BB244" s="639">
        <v>0</v>
      </c>
      <c r="BC244" s="86"/>
      <c r="BD244" s="639">
        <v>0</v>
      </c>
      <c r="BE244" s="86"/>
      <c r="BF244" s="639">
        <v>0</v>
      </c>
      <c r="BG244" s="86"/>
      <c r="BH244" s="639"/>
      <c r="BI244" s="86"/>
      <c r="BJ244" s="639">
        <v>0</v>
      </c>
      <c r="BK244" s="86"/>
      <c r="BL244" s="639"/>
      <c r="BM244" s="86"/>
      <c r="BN244" s="695">
        <v>0</v>
      </c>
      <c r="BO244" s="696"/>
      <c r="BP244" s="695"/>
      <c r="BQ244" s="696"/>
      <c r="BR244" s="729"/>
      <c r="BS244" s="695"/>
      <c r="BT244" s="696"/>
      <c r="BU244" s="729"/>
      <c r="BV244" s="695"/>
      <c r="BW244" s="696"/>
      <c r="BX244" s="729"/>
      <c r="BY244" s="695"/>
      <c r="BZ244" s="696"/>
      <c r="CA244" s="729"/>
      <c r="CB244" s="720">
        <f t="shared" si="107"/>
        <v>0</v>
      </c>
      <c r="CC244" s="721">
        <f t="shared" si="108"/>
        <v>0</v>
      </c>
      <c r="CD244" s="738"/>
      <c r="CE244" s="1037" t="s">
        <v>241</v>
      </c>
      <c r="CF244" s="1037" t="s">
        <v>241</v>
      </c>
      <c r="CG244" s="1037" t="s">
        <v>241</v>
      </c>
      <c r="CH244" s="1037" t="s">
        <v>241</v>
      </c>
      <c r="CI244" s="1037"/>
      <c r="CJ244" s="1037" t="s">
        <v>241</v>
      </c>
      <c r="CK244" s="1037"/>
      <c r="CL244" s="1037" t="s">
        <v>241</v>
      </c>
      <c r="CM244" s="1037"/>
      <c r="CN244" s="1037"/>
      <c r="CO244" s="1037"/>
      <c r="CP244" s="1037"/>
      <c r="CQ244" s="355">
        <f t="shared" si="109"/>
        <v>0</v>
      </c>
      <c r="CR244" s="356">
        <f>CQ244*1.07</f>
        <v>0</v>
      </c>
      <c r="CS244" s="357">
        <f>CR244*1.07</f>
        <v>0</v>
      </c>
      <c r="CT244" s="332">
        <f>CS244*1.07</f>
        <v>0</v>
      </c>
      <c r="CU244" s="358">
        <f>CT244*1.07</f>
        <v>0</v>
      </c>
      <c r="CV244" s="57" t="s">
        <v>38</v>
      </c>
    </row>
    <row r="245" spans="1:101" ht="15" customHeight="1" outlineLevel="2">
      <c r="A245" s="276" t="s">
        <v>242</v>
      </c>
      <c r="B245" s="277" t="str">
        <f t="shared" si="105"/>
        <v>PACK MEDANPACKAGELAUTAN LUAS TBK</v>
      </c>
      <c r="C245" s="276" t="s">
        <v>36</v>
      </c>
      <c r="D245" s="276" t="s">
        <v>40</v>
      </c>
      <c r="E245" s="288" t="s">
        <v>83</v>
      </c>
      <c r="F245" s="303">
        <v>8000000010</v>
      </c>
      <c r="G245" s="64">
        <v>600000000</v>
      </c>
      <c r="H245" s="65">
        <v>50000000</v>
      </c>
      <c r="I245" s="65">
        <v>50000000</v>
      </c>
      <c r="J245" s="65">
        <v>50000000</v>
      </c>
      <c r="K245" s="65">
        <v>50000000</v>
      </c>
      <c r="L245" s="65">
        <v>50000000</v>
      </c>
      <c r="M245" s="65">
        <v>43000000</v>
      </c>
      <c r="N245" s="65">
        <v>43000000</v>
      </c>
      <c r="O245" s="65">
        <v>43000000</v>
      </c>
      <c r="P245" s="65">
        <v>43000000</v>
      </c>
      <c r="Q245" s="65">
        <v>43000000</v>
      </c>
      <c r="R245" s="65">
        <v>46500000</v>
      </c>
      <c r="S245" s="65">
        <v>46500000</v>
      </c>
      <c r="T245" s="65">
        <v>43000000</v>
      </c>
      <c r="U245" s="65">
        <v>43000000</v>
      </c>
      <c r="V245" s="65">
        <v>43000000</v>
      </c>
      <c r="W245" s="66">
        <f t="shared" si="106"/>
        <v>558000000</v>
      </c>
      <c r="X245" s="55"/>
      <c r="Y245" s="67">
        <v>43000000</v>
      </c>
      <c r="Z245" s="67">
        <v>43000000</v>
      </c>
      <c r="AA245" s="67">
        <v>43000000</v>
      </c>
      <c r="AB245" s="67">
        <v>43000000</v>
      </c>
      <c r="AC245" s="67">
        <v>43000000</v>
      </c>
      <c r="AD245" s="67">
        <v>43000000</v>
      </c>
      <c r="AE245" s="67">
        <v>43000000</v>
      </c>
      <c r="AF245" s="67">
        <v>43000000</v>
      </c>
      <c r="AG245" s="67">
        <v>43000000</v>
      </c>
      <c r="AH245" s="67">
        <v>43000000</v>
      </c>
      <c r="AI245" s="67">
        <v>43000000</v>
      </c>
      <c r="AJ245" s="67">
        <v>43000000</v>
      </c>
      <c r="AK245" s="61">
        <v>516000000</v>
      </c>
      <c r="AL245" s="55"/>
      <c r="AM245" s="67">
        <v>43000000</v>
      </c>
      <c r="AN245" s="67">
        <v>43000000</v>
      </c>
      <c r="AO245" s="67">
        <v>43000000</v>
      </c>
      <c r="AP245" s="67">
        <v>43000000</v>
      </c>
      <c r="AQ245" s="67">
        <v>43000000</v>
      </c>
      <c r="AR245" s="67">
        <v>43000000</v>
      </c>
      <c r="AS245" s="67">
        <v>43000000</v>
      </c>
      <c r="AT245" s="67">
        <v>43000000</v>
      </c>
      <c r="AU245" s="67">
        <v>43000000</v>
      </c>
      <c r="AV245" s="67">
        <v>43000000</v>
      </c>
      <c r="AW245" s="67">
        <v>43000000</v>
      </c>
      <c r="AX245" s="67">
        <v>43000000</v>
      </c>
      <c r="AY245" s="122">
        <v>516000000</v>
      </c>
      <c r="AZ245" s="55"/>
      <c r="BA245" s="639">
        <v>46500000</v>
      </c>
      <c r="BB245" s="639">
        <v>47070000</v>
      </c>
      <c r="BC245" s="86">
        <v>47070000</v>
      </c>
      <c r="BD245" s="639">
        <v>46500000</v>
      </c>
      <c r="BE245" s="86">
        <v>47070000</v>
      </c>
      <c r="BF245" s="639">
        <v>46500000</v>
      </c>
      <c r="BG245" s="86">
        <v>47070000</v>
      </c>
      <c r="BH245" s="639">
        <v>46500000</v>
      </c>
      <c r="BI245" s="86">
        <v>47070000</v>
      </c>
      <c r="BJ245" s="639">
        <v>46500000</v>
      </c>
      <c r="BK245" s="86">
        <v>47070000</v>
      </c>
      <c r="BL245" s="639">
        <v>46500000</v>
      </c>
      <c r="BM245" s="86">
        <v>47070000</v>
      </c>
      <c r="BN245" s="695">
        <v>46500000</v>
      </c>
      <c r="BO245" s="696">
        <v>47070000</v>
      </c>
      <c r="BP245" s="695"/>
      <c r="BQ245" s="696">
        <v>47070000</v>
      </c>
      <c r="BR245" s="729">
        <v>47000000</v>
      </c>
      <c r="BS245" s="695"/>
      <c r="BT245" s="696">
        <v>47070000</v>
      </c>
      <c r="BU245" s="729">
        <v>48000000</v>
      </c>
      <c r="BV245" s="695"/>
      <c r="BW245" s="696">
        <v>47070000</v>
      </c>
      <c r="BX245" s="729">
        <v>49000000</v>
      </c>
      <c r="BY245" s="695"/>
      <c r="BZ245" s="696">
        <v>47070000</v>
      </c>
      <c r="CA245" s="729">
        <v>50000000</v>
      </c>
      <c r="CB245" s="720">
        <f t="shared" si="107"/>
        <v>566570000</v>
      </c>
      <c r="CC245" s="721">
        <f t="shared" si="108"/>
        <v>566570000</v>
      </c>
      <c r="CD245" s="738"/>
      <c r="CE245" s="1038">
        <v>46500000</v>
      </c>
      <c r="CF245" s="1038">
        <v>46500000</v>
      </c>
      <c r="CG245" s="1038">
        <v>46500000</v>
      </c>
      <c r="CH245" s="1038">
        <v>46500000</v>
      </c>
      <c r="CI245" s="1038">
        <v>46500000</v>
      </c>
      <c r="CJ245" s="1038">
        <v>46500000</v>
      </c>
      <c r="CK245" s="1038">
        <v>46500000</v>
      </c>
      <c r="CL245" s="1038">
        <v>46500000</v>
      </c>
      <c r="CM245" s="1038">
        <v>46500000</v>
      </c>
      <c r="CN245" s="1038">
        <v>46500000</v>
      </c>
      <c r="CO245" s="1038">
        <v>46500000</v>
      </c>
      <c r="CP245" s="1038">
        <v>46500000</v>
      </c>
      <c r="CQ245" s="355">
        <f t="shared" si="109"/>
        <v>558000000</v>
      </c>
      <c r="CR245" s="356">
        <f>CQ245*1.17</f>
        <v>652860000</v>
      </c>
      <c r="CS245" s="357">
        <f>CR245*1.1</f>
        <v>718146000</v>
      </c>
      <c r="CT245" s="332">
        <f>CS245*1.12</f>
        <v>804323520.00000012</v>
      </c>
      <c r="CU245" s="358">
        <f>CT245*1.12</f>
        <v>900842342.40000021</v>
      </c>
      <c r="CV245" s="57" t="s">
        <v>42</v>
      </c>
    </row>
    <row r="246" spans="1:101" ht="15" customHeight="1" outlineLevel="2">
      <c r="B246" s="277" t="str">
        <f t="shared" si="105"/>
        <v>PACK MEDANPACKAGE</v>
      </c>
      <c r="C246" s="276" t="s">
        <v>36</v>
      </c>
      <c r="D246" s="276" t="s">
        <v>40</v>
      </c>
      <c r="E246" s="288"/>
      <c r="F246" s="303">
        <v>8000000018</v>
      </c>
      <c r="G246" s="64">
        <v>76608000</v>
      </c>
      <c r="H246" s="65">
        <v>2220000</v>
      </c>
      <c r="I246" s="65">
        <v>2190000</v>
      </c>
      <c r="J246" s="65">
        <v>4910000</v>
      </c>
      <c r="K246" s="65">
        <v>2010000</v>
      </c>
      <c r="L246" s="65">
        <v>1890000</v>
      </c>
      <c r="M246" s="65">
        <v>1950000</v>
      </c>
      <c r="N246" s="65">
        <v>945000</v>
      </c>
      <c r="O246" s="65">
        <v>945000</v>
      </c>
      <c r="P246" s="65">
        <v>945000</v>
      </c>
      <c r="Q246" s="65">
        <v>945000</v>
      </c>
      <c r="R246" s="65">
        <v>1305000</v>
      </c>
      <c r="S246" s="65">
        <v>945000</v>
      </c>
      <c r="T246" s="83">
        <f>945000</f>
        <v>945000</v>
      </c>
      <c r="U246" s="83">
        <f>945000</f>
        <v>945000</v>
      </c>
      <c r="V246" s="83">
        <f>945000</f>
        <v>945000</v>
      </c>
      <c r="W246" s="66">
        <f t="shared" si="106"/>
        <v>21200000</v>
      </c>
      <c r="X246" s="55"/>
      <c r="Y246" s="67">
        <f>V246*1.05</f>
        <v>992250</v>
      </c>
      <c r="Z246" s="67">
        <v>2100000</v>
      </c>
      <c r="AA246" s="67">
        <v>2100000</v>
      </c>
      <c r="AB246" s="67">
        <v>2100000</v>
      </c>
      <c r="AC246" s="67">
        <v>2100000</v>
      </c>
      <c r="AD246" s="67">
        <v>2100000</v>
      </c>
      <c r="AE246" s="67">
        <v>2100000</v>
      </c>
      <c r="AF246" s="67">
        <v>2100000</v>
      </c>
      <c r="AG246" s="67">
        <v>2100000</v>
      </c>
      <c r="AH246" s="67">
        <v>2100000</v>
      </c>
      <c r="AI246" s="67">
        <v>2100000</v>
      </c>
      <c r="AJ246" s="67">
        <v>2100000</v>
      </c>
      <c r="AK246" s="61">
        <v>24092250</v>
      </c>
      <c r="AL246" s="55"/>
      <c r="AM246" s="67">
        <v>992250</v>
      </c>
      <c r="AN246" s="67">
        <v>2100000</v>
      </c>
      <c r="AO246" s="67">
        <v>2100000</v>
      </c>
      <c r="AP246" s="67">
        <v>2100000</v>
      </c>
      <c r="AQ246" s="67">
        <v>2100000</v>
      </c>
      <c r="AR246" s="67">
        <v>2100000</v>
      </c>
      <c r="AS246" s="67">
        <v>2100000</v>
      </c>
      <c r="AT246" s="67">
        <v>2100000</v>
      </c>
      <c r="AU246" s="67">
        <v>2100000</v>
      </c>
      <c r="AV246" s="67">
        <v>2100000</v>
      </c>
      <c r="AW246" s="67">
        <v>2100000</v>
      </c>
      <c r="AX246" s="67">
        <v>2100000</v>
      </c>
      <c r="AY246" s="122">
        <v>24092250</v>
      </c>
      <c r="AZ246" s="55"/>
      <c r="BA246" s="639">
        <v>0</v>
      </c>
      <c r="BB246" s="639">
        <v>0</v>
      </c>
      <c r="BC246" s="86"/>
      <c r="BD246" s="639">
        <v>0</v>
      </c>
      <c r="BE246" s="86"/>
      <c r="BF246" s="639"/>
      <c r="BG246" s="86"/>
      <c r="BH246" s="639"/>
      <c r="BI246" s="86"/>
      <c r="BJ246" s="639">
        <v>0</v>
      </c>
      <c r="BK246" s="86"/>
      <c r="BL246" s="639"/>
      <c r="BM246" s="86"/>
      <c r="BN246" s="695">
        <v>0</v>
      </c>
      <c r="BO246" s="696"/>
      <c r="BP246" s="695"/>
      <c r="BQ246" s="696"/>
      <c r="BR246" s="729"/>
      <c r="BS246" s="695"/>
      <c r="BT246" s="696"/>
      <c r="BU246" s="729"/>
      <c r="BV246" s="695"/>
      <c r="BW246" s="696"/>
      <c r="BX246" s="729"/>
      <c r="BY246" s="695"/>
      <c r="BZ246" s="696"/>
      <c r="CA246" s="729"/>
      <c r="CB246" s="720">
        <f t="shared" si="107"/>
        <v>0</v>
      </c>
      <c r="CC246" s="721">
        <f t="shared" si="108"/>
        <v>0</v>
      </c>
      <c r="CD246" s="738"/>
      <c r="CE246" s="1037" t="s">
        <v>241</v>
      </c>
      <c r="CF246" s="1037" t="s">
        <v>241</v>
      </c>
      <c r="CG246" s="1037" t="s">
        <v>241</v>
      </c>
      <c r="CH246" s="1037"/>
      <c r="CI246" s="1037"/>
      <c r="CJ246" s="1037" t="s">
        <v>241</v>
      </c>
      <c r="CK246" s="1037"/>
      <c r="CL246" s="1037" t="s">
        <v>241</v>
      </c>
      <c r="CM246" s="1037"/>
      <c r="CN246" s="1037"/>
      <c r="CO246" s="1037"/>
      <c r="CP246" s="1037"/>
      <c r="CQ246" s="355">
        <f t="shared" si="109"/>
        <v>0</v>
      </c>
      <c r="CR246" s="356">
        <f>CQ246*1.17</f>
        <v>0</v>
      </c>
      <c r="CS246" s="357">
        <f>CR246*1.08</f>
        <v>0</v>
      </c>
      <c r="CT246" s="332">
        <f>CS246*1.09</f>
        <v>0</v>
      </c>
      <c r="CU246" s="358">
        <f>CT246*1.09</f>
        <v>0</v>
      </c>
      <c r="CV246" s="57" t="s">
        <v>42</v>
      </c>
    </row>
    <row r="247" spans="1:101" ht="15" customHeight="1" outlineLevel="2">
      <c r="A247" s="276" t="s">
        <v>242</v>
      </c>
      <c r="B247" s="277" t="str">
        <f t="shared" si="105"/>
        <v>PACK MEDANPACKAGEPERTAMINA PETROCHEMICAL TRADING</v>
      </c>
      <c r="C247" s="276" t="s">
        <v>36</v>
      </c>
      <c r="D247" s="276" t="s">
        <v>40</v>
      </c>
      <c r="E247" s="288" t="s">
        <v>171</v>
      </c>
      <c r="F247" s="303">
        <v>3000020764</v>
      </c>
      <c r="G247" s="64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83"/>
      <c r="U247" s="83"/>
      <c r="V247" s="83"/>
      <c r="W247" s="66"/>
      <c r="X247" s="55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1"/>
      <c r="AL247" s="55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122"/>
      <c r="AZ247" s="55"/>
      <c r="BA247" s="639"/>
      <c r="BB247" s="639"/>
      <c r="BC247" s="86"/>
      <c r="BD247" s="639">
        <v>14951463</v>
      </c>
      <c r="BE247" s="86"/>
      <c r="BF247" s="639">
        <v>15731175</v>
      </c>
      <c r="BG247" s="86"/>
      <c r="BH247" s="639">
        <v>23981425</v>
      </c>
      <c r="BI247" s="86"/>
      <c r="BJ247" s="639">
        <v>60488175</v>
      </c>
      <c r="BK247" s="86"/>
      <c r="BL247" s="639">
        <v>62097675</v>
      </c>
      <c r="BM247" s="86"/>
      <c r="BN247" s="695">
        <v>57387675</v>
      </c>
      <c r="BO247" s="696"/>
      <c r="BP247" s="695"/>
      <c r="BQ247" s="696"/>
      <c r="BR247" s="729">
        <v>50000000</v>
      </c>
      <c r="BS247" s="695"/>
      <c r="BT247" s="696"/>
      <c r="BU247" s="729">
        <v>60000000</v>
      </c>
      <c r="BV247" s="695"/>
      <c r="BW247" s="696"/>
      <c r="BX247" s="729">
        <v>70000000</v>
      </c>
      <c r="BY247" s="695"/>
      <c r="BZ247" s="696"/>
      <c r="CA247" s="729">
        <v>80000000</v>
      </c>
      <c r="CB247" s="720">
        <f t="shared" si="107"/>
        <v>494637588</v>
      </c>
      <c r="CC247" s="721">
        <f t="shared" si="108"/>
        <v>494637588</v>
      </c>
      <c r="CD247" s="738"/>
      <c r="CE247" s="1038">
        <v>50000000</v>
      </c>
      <c r="CF247" s="1038">
        <v>50000000</v>
      </c>
      <c r="CG247" s="1038">
        <v>50000000</v>
      </c>
      <c r="CH247" s="1038">
        <v>50000000</v>
      </c>
      <c r="CI247" s="1038">
        <v>50000000</v>
      </c>
      <c r="CJ247" s="1038">
        <v>50000000</v>
      </c>
      <c r="CK247" s="1038">
        <v>50000000</v>
      </c>
      <c r="CL247" s="1038">
        <v>50000000</v>
      </c>
      <c r="CM247" s="1038">
        <v>50000000</v>
      </c>
      <c r="CN247" s="1038">
        <v>50000000</v>
      </c>
      <c r="CO247" s="1038">
        <v>50000000</v>
      </c>
      <c r="CP247" s="1038">
        <v>50000000</v>
      </c>
      <c r="CQ247" s="355">
        <f t="shared" si="109"/>
        <v>600000000</v>
      </c>
      <c r="CR247" s="356"/>
      <c r="CS247" s="357"/>
      <c r="CT247" s="332"/>
      <c r="CU247" s="358"/>
      <c r="CV247" s="57" t="s">
        <v>38</v>
      </c>
    </row>
    <row r="248" spans="1:101" ht="15" customHeight="1" outlineLevel="2">
      <c r="A248" s="276" t="s">
        <v>242</v>
      </c>
      <c r="B248" s="277" t="str">
        <f t="shared" si="105"/>
        <v>PACK MEDANPACKAGEPPG COATINGS INDONESIA</v>
      </c>
      <c r="C248" s="276" t="s">
        <v>36</v>
      </c>
      <c r="D248" s="276" t="s">
        <v>40</v>
      </c>
      <c r="E248" s="288" t="s">
        <v>202</v>
      </c>
      <c r="F248" s="303">
        <v>3000004465</v>
      </c>
      <c r="G248" s="86"/>
      <c r="H248" s="65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5564000</v>
      </c>
      <c r="O248" s="65">
        <v>9710400</v>
      </c>
      <c r="P248" s="65">
        <v>5235000</v>
      </c>
      <c r="Q248" s="65">
        <v>6527000</v>
      </c>
      <c r="R248" s="65">
        <v>8422000</v>
      </c>
      <c r="S248" s="65">
        <v>4455000</v>
      </c>
      <c r="T248" s="65">
        <v>5564000</v>
      </c>
      <c r="U248" s="65">
        <v>5564000</v>
      </c>
      <c r="V248" s="65">
        <v>5564000</v>
      </c>
      <c r="W248" s="66">
        <f t="shared" si="106"/>
        <v>39913400</v>
      </c>
      <c r="X248" s="55"/>
      <c r="Y248" s="67">
        <f>V248*1.05</f>
        <v>5842200</v>
      </c>
      <c r="Z248" s="67">
        <v>5842200</v>
      </c>
      <c r="AA248" s="67">
        <v>5842200</v>
      </c>
      <c r="AB248" s="67">
        <v>5842200</v>
      </c>
      <c r="AC248" s="67">
        <v>5842200</v>
      </c>
      <c r="AD248" s="67">
        <v>5842200</v>
      </c>
      <c r="AE248" s="67">
        <v>5842200</v>
      </c>
      <c r="AF248" s="67">
        <v>5842200</v>
      </c>
      <c r="AG248" s="67">
        <v>5842200</v>
      </c>
      <c r="AH248" s="67">
        <v>5842200</v>
      </c>
      <c r="AI248" s="67">
        <v>5842200</v>
      </c>
      <c r="AJ248" s="67">
        <v>5842200</v>
      </c>
      <c r="AK248" s="61">
        <v>70106400</v>
      </c>
      <c r="AL248" s="55"/>
      <c r="AM248" s="67">
        <v>5842200</v>
      </c>
      <c r="AN248" s="67">
        <v>5842200</v>
      </c>
      <c r="AO248" s="67">
        <v>5842200</v>
      </c>
      <c r="AP248" s="67">
        <v>5842200</v>
      </c>
      <c r="AQ248" s="67">
        <v>5842200</v>
      </c>
      <c r="AR248" s="67">
        <v>5842200</v>
      </c>
      <c r="AS248" s="67">
        <v>5842200</v>
      </c>
      <c r="AT248" s="67">
        <v>5842200</v>
      </c>
      <c r="AU248" s="67">
        <v>5842200</v>
      </c>
      <c r="AV248" s="67">
        <v>5842200</v>
      </c>
      <c r="AW248" s="67">
        <v>5842200</v>
      </c>
      <c r="AX248" s="67">
        <v>5842200</v>
      </c>
      <c r="AY248" s="122">
        <v>70106400</v>
      </c>
      <c r="AZ248" s="55"/>
      <c r="BA248" s="639">
        <v>6165000</v>
      </c>
      <c r="BB248" s="639">
        <v>9624200</v>
      </c>
      <c r="BC248" s="86"/>
      <c r="BD248" s="639">
        <v>6544000</v>
      </c>
      <c r="BE248" s="86">
        <v>9000000</v>
      </c>
      <c r="BF248" s="639"/>
      <c r="BG248" s="86">
        <v>9000000</v>
      </c>
      <c r="BH248" s="639">
        <v>9579200</v>
      </c>
      <c r="BI248" s="86">
        <v>7000000</v>
      </c>
      <c r="BJ248" s="639">
        <v>7548600</v>
      </c>
      <c r="BK248" s="86">
        <v>8000000</v>
      </c>
      <c r="BL248" s="639">
        <v>6709320</v>
      </c>
      <c r="BM248" s="86">
        <v>8000000</v>
      </c>
      <c r="BN248" s="695">
        <v>12500400</v>
      </c>
      <c r="BO248" s="696">
        <v>8000000</v>
      </c>
      <c r="BP248" s="695"/>
      <c r="BQ248" s="696">
        <v>8000000</v>
      </c>
      <c r="BR248" s="729">
        <v>9000000</v>
      </c>
      <c r="BS248" s="695"/>
      <c r="BT248" s="696">
        <v>8000000</v>
      </c>
      <c r="BU248" s="729">
        <v>10000000</v>
      </c>
      <c r="BV248" s="695"/>
      <c r="BW248" s="696">
        <v>8000000</v>
      </c>
      <c r="BX248" s="729">
        <v>11000000</v>
      </c>
      <c r="BY248" s="695"/>
      <c r="BZ248" s="696">
        <v>8000000</v>
      </c>
      <c r="CA248" s="729">
        <v>12000000</v>
      </c>
      <c r="CB248" s="720">
        <f t="shared" si="107"/>
        <v>100670720</v>
      </c>
      <c r="CC248" s="721">
        <f t="shared" si="108"/>
        <v>100670720</v>
      </c>
      <c r="CD248" s="738"/>
      <c r="CE248" s="1038">
        <v>9900000</v>
      </c>
      <c r="CF248" s="1038">
        <v>9900000</v>
      </c>
      <c r="CG248" s="1038">
        <v>9900000</v>
      </c>
      <c r="CH248" s="1038">
        <v>9900000</v>
      </c>
      <c r="CI248" s="1038">
        <v>9900000</v>
      </c>
      <c r="CJ248" s="1038">
        <v>9900000</v>
      </c>
      <c r="CK248" s="1038">
        <v>9900000</v>
      </c>
      <c r="CL248" s="1038">
        <v>9900000</v>
      </c>
      <c r="CM248" s="1038">
        <v>9900000</v>
      </c>
      <c r="CN248" s="1038">
        <v>9900000</v>
      </c>
      <c r="CO248" s="1038">
        <v>9900000</v>
      </c>
      <c r="CP248" s="1038">
        <v>9900000</v>
      </c>
      <c r="CQ248" s="355">
        <f t="shared" si="109"/>
        <v>118800000</v>
      </c>
      <c r="CR248" s="356">
        <f>CQ248*1.17</f>
        <v>138996000</v>
      </c>
      <c r="CS248" s="357">
        <f>CR248*1.08</f>
        <v>150115680</v>
      </c>
      <c r="CT248" s="332">
        <f>CS248*1.09</f>
        <v>163626091.20000002</v>
      </c>
      <c r="CU248" s="358">
        <f>CT248*1.09</f>
        <v>178352439.40800002</v>
      </c>
      <c r="CV248" s="57" t="s">
        <v>38</v>
      </c>
    </row>
    <row r="249" spans="1:101" ht="15" customHeight="1" outlineLevel="2">
      <c r="A249" s="276" t="s">
        <v>242</v>
      </c>
      <c r="B249" s="277" t="str">
        <f t="shared" si="105"/>
        <v>PACK MEDANPACKAGETIRTA INVESTAMA</v>
      </c>
      <c r="C249" s="276" t="s">
        <v>36</v>
      </c>
      <c r="D249" s="276" t="s">
        <v>40</v>
      </c>
      <c r="E249" s="288" t="s">
        <v>103</v>
      </c>
      <c r="F249" s="303">
        <v>3000009257</v>
      </c>
      <c r="G249" s="64">
        <v>2378441000</v>
      </c>
      <c r="H249" s="65">
        <v>710000</v>
      </c>
      <c r="I249" s="65">
        <v>0</v>
      </c>
      <c r="J249" s="65">
        <v>202730000</v>
      </c>
      <c r="K249" s="65">
        <v>0</v>
      </c>
      <c r="L249" s="65">
        <v>910140000</v>
      </c>
      <c r="M249" s="65">
        <v>623199500</v>
      </c>
      <c r="N249" s="65">
        <v>0</v>
      </c>
      <c r="O249" s="65">
        <v>663542000</v>
      </c>
      <c r="P249" s="65">
        <v>211749000</v>
      </c>
      <c r="Q249" s="65">
        <v>194958000</v>
      </c>
      <c r="R249" s="65">
        <v>197879000</v>
      </c>
      <c r="S249" s="65">
        <v>209686000</v>
      </c>
      <c r="T249" s="83">
        <f>211000000</f>
        <v>211000000</v>
      </c>
      <c r="U249" s="83">
        <f>211000000</f>
        <v>211000000</v>
      </c>
      <c r="V249" s="83">
        <f>211000000</f>
        <v>211000000</v>
      </c>
      <c r="W249" s="66">
        <f t="shared" si="106"/>
        <v>3214593500</v>
      </c>
      <c r="X249" s="55"/>
      <c r="Y249" s="85">
        <v>318000000</v>
      </c>
      <c r="Z249" s="85">
        <v>318000000</v>
      </c>
      <c r="AA249" s="85">
        <v>318000000</v>
      </c>
      <c r="AB249" s="85">
        <v>318000000</v>
      </c>
      <c r="AC249" s="85">
        <v>318000000</v>
      </c>
      <c r="AD249" s="85">
        <v>318000000</v>
      </c>
      <c r="AE249" s="85">
        <v>368000000</v>
      </c>
      <c r="AF249" s="85">
        <v>368000000</v>
      </c>
      <c r="AG249" s="85">
        <v>368000000</v>
      </c>
      <c r="AH249" s="85">
        <v>368000000</v>
      </c>
      <c r="AI249" s="85">
        <v>368000000</v>
      </c>
      <c r="AJ249" s="85">
        <v>322000000</v>
      </c>
      <c r="AK249" s="61">
        <v>4070000000</v>
      </c>
      <c r="AL249" s="55"/>
      <c r="AM249" s="85">
        <v>318000000</v>
      </c>
      <c r="AN249" s="85">
        <v>318000000</v>
      </c>
      <c r="AO249" s="85">
        <v>318000000</v>
      </c>
      <c r="AP249" s="85">
        <v>318000000</v>
      </c>
      <c r="AQ249" s="85">
        <v>318000000</v>
      </c>
      <c r="AR249" s="85">
        <v>318000000</v>
      </c>
      <c r="AS249" s="85">
        <v>368000000</v>
      </c>
      <c r="AT249" s="85">
        <v>368000000</v>
      </c>
      <c r="AU249" s="85">
        <v>368000000</v>
      </c>
      <c r="AV249" s="85">
        <v>368000000</v>
      </c>
      <c r="AW249" s="85">
        <v>368000000</v>
      </c>
      <c r="AX249" s="85">
        <v>322000000</v>
      </c>
      <c r="AY249" s="122">
        <v>4070000000</v>
      </c>
      <c r="AZ249" s="55"/>
      <c r="BA249" s="639">
        <v>205428500</v>
      </c>
      <c r="BB249" s="639">
        <v>197116500</v>
      </c>
      <c r="BC249" s="86">
        <v>197116500</v>
      </c>
      <c r="BD249" s="639">
        <v>192820500</v>
      </c>
      <c r="BE249" s="86">
        <v>197000000</v>
      </c>
      <c r="BF249" s="639">
        <v>6995800</v>
      </c>
      <c r="BG249" s="86">
        <v>197000000</v>
      </c>
      <c r="BH249" s="639">
        <v>36432500</v>
      </c>
      <c r="BI249" s="86">
        <v>197000000</v>
      </c>
      <c r="BJ249" s="639">
        <v>21882500</v>
      </c>
      <c r="BK249" s="86">
        <v>197000000</v>
      </c>
      <c r="BL249" s="639">
        <v>20078000</v>
      </c>
      <c r="BM249" s="86">
        <v>197000000</v>
      </c>
      <c r="BN249" s="695">
        <v>19657500</v>
      </c>
      <c r="BO249" s="696">
        <v>197000000</v>
      </c>
      <c r="BP249" s="695"/>
      <c r="BQ249" s="696">
        <v>197000000</v>
      </c>
      <c r="BR249" s="729">
        <v>50000000</v>
      </c>
      <c r="BS249" s="695"/>
      <c r="BT249" s="696">
        <v>197000000</v>
      </c>
      <c r="BU249" s="729">
        <v>75000000</v>
      </c>
      <c r="BV249" s="695"/>
      <c r="BW249" s="696">
        <v>197000000</v>
      </c>
      <c r="BX249" s="729">
        <v>100000000</v>
      </c>
      <c r="BY249" s="695"/>
      <c r="BZ249" s="696">
        <v>197000000</v>
      </c>
      <c r="CA249" s="729">
        <v>125000000</v>
      </c>
      <c r="CB249" s="720">
        <f t="shared" si="107"/>
        <v>1050411800</v>
      </c>
      <c r="CC249" s="721">
        <f t="shared" si="108"/>
        <v>1050411800</v>
      </c>
      <c r="CD249" s="738"/>
      <c r="CE249" s="1038">
        <v>104000000</v>
      </c>
      <c r="CF249" s="1038">
        <v>104000000</v>
      </c>
      <c r="CG249" s="1038">
        <v>104000000</v>
      </c>
      <c r="CH249" s="1038">
        <v>104000000</v>
      </c>
      <c r="CI249" s="1038">
        <v>104000000</v>
      </c>
      <c r="CJ249" s="1038">
        <v>104000000</v>
      </c>
      <c r="CK249" s="1038">
        <v>104000000</v>
      </c>
      <c r="CL249" s="1038">
        <v>104000000</v>
      </c>
      <c r="CM249" s="1038">
        <v>104000000</v>
      </c>
      <c r="CN249" s="1038">
        <v>104000000</v>
      </c>
      <c r="CO249" s="1038">
        <v>104000000</v>
      </c>
      <c r="CP249" s="1038">
        <v>104000000</v>
      </c>
      <c r="CQ249" s="355">
        <f t="shared" si="109"/>
        <v>1248000000</v>
      </c>
      <c r="CR249" s="356">
        <f>(CQ249*1.17)-81680255.0321064</f>
        <v>1378479744.9678936</v>
      </c>
      <c r="CS249" s="357">
        <f>(CR249*1.2)-131315004.414785</f>
        <v>1522860689.5466874</v>
      </c>
      <c r="CT249" s="332">
        <f>(CS249*1.2)-179239931.13187</f>
        <v>1648192896.3241549</v>
      </c>
      <c r="CU249" s="358">
        <f>(CT249*1.2)-179239931.13187</f>
        <v>1798591544.4571157</v>
      </c>
      <c r="CV249" s="57" t="s">
        <v>38</v>
      </c>
      <c r="CW249" s="38">
        <v>1</v>
      </c>
    </row>
    <row r="250" spans="1:101" ht="15" customHeight="1" outlineLevel="2">
      <c r="A250" s="276" t="s">
        <v>242</v>
      </c>
      <c r="B250" s="277" t="str">
        <f t="shared" si="105"/>
        <v>PACK MEDANPACKAGE</v>
      </c>
      <c r="C250" s="276" t="s">
        <v>36</v>
      </c>
      <c r="D250" s="276" t="s">
        <v>40</v>
      </c>
      <c r="E250" s="288"/>
      <c r="F250" s="303"/>
      <c r="G250" s="64">
        <v>616374000</v>
      </c>
      <c r="H250" s="81"/>
      <c r="I250" s="81"/>
      <c r="J250" s="81"/>
      <c r="K250" s="81"/>
      <c r="L250" s="81"/>
      <c r="M250" s="81"/>
      <c r="N250" s="81"/>
      <c r="O250" s="81"/>
      <c r="P250" s="65">
        <v>0</v>
      </c>
      <c r="Q250" s="65"/>
      <c r="R250" s="65"/>
      <c r="S250" s="65"/>
      <c r="T250" s="65">
        <v>0</v>
      </c>
      <c r="U250" s="65">
        <v>0</v>
      </c>
      <c r="V250" s="65">
        <v>0</v>
      </c>
      <c r="W250" s="66">
        <f t="shared" si="106"/>
        <v>0</v>
      </c>
      <c r="X250" s="78"/>
      <c r="Y250" s="82"/>
      <c r="Z250" s="82"/>
      <c r="AA250" s="82"/>
      <c r="AB250" s="82"/>
      <c r="AC250" s="82"/>
      <c r="AD250" s="82"/>
      <c r="AE250" s="82"/>
      <c r="AF250" s="82"/>
      <c r="AG250" s="82"/>
      <c r="AH250" s="82"/>
      <c r="AI250" s="82"/>
      <c r="AJ250" s="82"/>
      <c r="AK250" s="61">
        <v>0</v>
      </c>
      <c r="AL250" s="55"/>
      <c r="AM250" s="82"/>
      <c r="AN250" s="82"/>
      <c r="AO250" s="82"/>
      <c r="AP250" s="82"/>
      <c r="AQ250" s="82"/>
      <c r="AR250" s="82"/>
      <c r="AS250" s="82"/>
      <c r="AT250" s="82"/>
      <c r="AU250" s="82"/>
      <c r="AV250" s="82"/>
      <c r="AW250" s="82"/>
      <c r="AX250" s="82"/>
      <c r="AY250" s="122">
        <v>0</v>
      </c>
      <c r="AZ250" s="78"/>
      <c r="BA250" s="639">
        <v>0</v>
      </c>
      <c r="BB250" s="639">
        <v>0</v>
      </c>
      <c r="BC250" s="86"/>
      <c r="BD250" s="639">
        <v>0</v>
      </c>
      <c r="BE250" s="86"/>
      <c r="BF250" s="639">
        <v>0</v>
      </c>
      <c r="BG250" s="86"/>
      <c r="BH250" s="639"/>
      <c r="BI250" s="86"/>
      <c r="BJ250" s="639">
        <v>0</v>
      </c>
      <c r="BK250" s="86"/>
      <c r="BL250" s="639"/>
      <c r="BM250" s="86"/>
      <c r="BN250" s="695">
        <v>0</v>
      </c>
      <c r="BO250" s="696"/>
      <c r="BP250" s="695"/>
      <c r="BQ250" s="696"/>
      <c r="BR250" s="729"/>
      <c r="BS250" s="695"/>
      <c r="BT250" s="696"/>
      <c r="BU250" s="729"/>
      <c r="BV250" s="695"/>
      <c r="BW250" s="696"/>
      <c r="BX250" s="729"/>
      <c r="BY250" s="695"/>
      <c r="BZ250" s="696"/>
      <c r="CA250" s="729"/>
      <c r="CB250" s="720">
        <f t="shared" si="107"/>
        <v>0</v>
      </c>
      <c r="CC250" s="721">
        <f t="shared" si="108"/>
        <v>0</v>
      </c>
      <c r="CD250" s="738"/>
      <c r="CE250" s="1037" t="s">
        <v>241</v>
      </c>
      <c r="CF250" s="1037" t="s">
        <v>241</v>
      </c>
      <c r="CG250" s="1037" t="s">
        <v>241</v>
      </c>
      <c r="CH250" s="1037" t="s">
        <v>241</v>
      </c>
      <c r="CI250" s="1037"/>
      <c r="CJ250" s="1037" t="s">
        <v>241</v>
      </c>
      <c r="CK250" s="1037"/>
      <c r="CL250" s="1037" t="s">
        <v>241</v>
      </c>
      <c r="CM250" s="1037"/>
      <c r="CN250" s="1037"/>
      <c r="CO250" s="1037"/>
      <c r="CP250" s="1037"/>
      <c r="CQ250" s="355">
        <f t="shared" si="109"/>
        <v>0</v>
      </c>
      <c r="CR250" s="356"/>
      <c r="CS250" s="357"/>
      <c r="CT250" s="332"/>
      <c r="CU250" s="358"/>
      <c r="CV250" s="57" t="s">
        <v>38</v>
      </c>
    </row>
    <row r="251" spans="1:101" ht="15" customHeight="1" outlineLevel="2">
      <c r="A251" s="276" t="s">
        <v>242</v>
      </c>
      <c r="B251" s="277" t="str">
        <f t="shared" si="105"/>
        <v>PACK MEDANPACKAGEYOKE FOOD  INDUSTRIES INDONESIA</v>
      </c>
      <c r="C251" s="276" t="s">
        <v>36</v>
      </c>
      <c r="D251" s="276" t="s">
        <v>40</v>
      </c>
      <c r="E251" s="288" t="s">
        <v>245</v>
      </c>
      <c r="F251" s="303">
        <v>3000017758</v>
      </c>
      <c r="G251" s="65"/>
      <c r="H251" s="65">
        <v>0</v>
      </c>
      <c r="I251" s="65">
        <v>0</v>
      </c>
      <c r="J251" s="65">
        <v>0</v>
      </c>
      <c r="K251" s="65">
        <v>0</v>
      </c>
      <c r="L251" s="65">
        <v>31896480</v>
      </c>
      <c r="M251" s="65">
        <v>0</v>
      </c>
      <c r="N251" s="65">
        <v>0</v>
      </c>
      <c r="O251" s="65">
        <v>0</v>
      </c>
      <c r="P251" s="65">
        <v>0</v>
      </c>
      <c r="Q251" s="65"/>
      <c r="R251" s="65"/>
      <c r="S251" s="65"/>
      <c r="T251" s="65">
        <v>0</v>
      </c>
      <c r="U251" s="65">
        <v>0</v>
      </c>
      <c r="V251" s="65">
        <v>0</v>
      </c>
      <c r="W251" s="66">
        <f t="shared" si="106"/>
        <v>31896480</v>
      </c>
      <c r="X251" s="55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1">
        <v>0</v>
      </c>
      <c r="AL251" s="55"/>
      <c r="AM251" s="67"/>
      <c r="AN251" s="67"/>
      <c r="AO251" s="67"/>
      <c r="AP251" s="67"/>
      <c r="AQ251" s="67"/>
      <c r="AR251" s="67"/>
      <c r="AS251" s="67"/>
      <c r="AT251" s="67"/>
      <c r="AU251" s="67"/>
      <c r="AV251" s="67"/>
      <c r="AW251" s="67"/>
      <c r="AX251" s="67"/>
      <c r="AY251" s="122">
        <v>0</v>
      </c>
      <c r="AZ251" s="55"/>
      <c r="BA251" s="639">
        <v>0</v>
      </c>
      <c r="BB251" s="639">
        <v>0</v>
      </c>
      <c r="BC251" s="86"/>
      <c r="BD251" s="639">
        <v>0</v>
      </c>
      <c r="BE251" s="86"/>
      <c r="BF251" s="639">
        <v>219409000</v>
      </c>
      <c r="BG251" s="86"/>
      <c r="BH251" s="639"/>
      <c r="BI251" s="86">
        <v>28000000</v>
      </c>
      <c r="BJ251" s="639">
        <v>0</v>
      </c>
      <c r="BK251" s="86">
        <v>0</v>
      </c>
      <c r="BL251" s="639"/>
      <c r="BM251" s="86">
        <v>0</v>
      </c>
      <c r="BN251" s="695">
        <v>0</v>
      </c>
      <c r="BO251" s="696">
        <v>0</v>
      </c>
      <c r="BP251" s="695"/>
      <c r="BQ251" s="696">
        <v>0</v>
      </c>
      <c r="BR251" s="729">
        <v>0</v>
      </c>
      <c r="BS251" s="695"/>
      <c r="BT251" s="696">
        <v>0</v>
      </c>
      <c r="BU251" s="729">
        <v>0</v>
      </c>
      <c r="BV251" s="695"/>
      <c r="BW251" s="696">
        <v>50000000</v>
      </c>
      <c r="BX251" s="729">
        <v>50000000</v>
      </c>
      <c r="BY251" s="695"/>
      <c r="BZ251" s="696">
        <v>150000000</v>
      </c>
      <c r="CA251" s="729">
        <v>100000000</v>
      </c>
      <c r="CB251" s="720">
        <f>SUM(BA251,BB251,BD251,BF251,BH251,BJ251,BL251,BN251,BP251,BR251,BU251,BX251,CA251)</f>
        <v>369409000</v>
      </c>
      <c r="CC251" s="721">
        <f t="shared" si="108"/>
        <v>369409000</v>
      </c>
      <c r="CD251" s="738"/>
      <c r="CE251" s="1038">
        <v>70000000</v>
      </c>
      <c r="CF251" s="1038">
        <v>70000000</v>
      </c>
      <c r="CG251" s="1038">
        <v>70000000</v>
      </c>
      <c r="CH251" s="1037" t="s">
        <v>241</v>
      </c>
      <c r="CI251" s="1037"/>
      <c r="CJ251" s="1037" t="s">
        <v>241</v>
      </c>
      <c r="CK251" s="1037"/>
      <c r="CL251" s="1037" t="s">
        <v>241</v>
      </c>
      <c r="CM251" s="1037" t="s">
        <v>241</v>
      </c>
      <c r="CN251" s="1037" t="s">
        <v>241</v>
      </c>
      <c r="CO251" s="1038">
        <v>50000000</v>
      </c>
      <c r="CP251" s="1038">
        <v>100000000</v>
      </c>
      <c r="CQ251" s="355">
        <f t="shared" si="109"/>
        <v>360000000</v>
      </c>
      <c r="CR251" s="356">
        <f>CQ251*1.07</f>
        <v>385200000</v>
      </c>
      <c r="CS251" s="357">
        <f>CR251*1.07</f>
        <v>412164000</v>
      </c>
      <c r="CT251" s="332">
        <f>CS251*1.07</f>
        <v>441015480</v>
      </c>
      <c r="CU251" s="358">
        <f>CT251*1.07</f>
        <v>471886563.60000002</v>
      </c>
      <c r="CV251" s="57" t="s">
        <v>38</v>
      </c>
    </row>
    <row r="252" spans="1:101" ht="15" customHeight="1" outlineLevel="2">
      <c r="A252" s="296"/>
      <c r="B252" s="309"/>
      <c r="C252" s="296"/>
      <c r="D252" s="296"/>
      <c r="E252" s="291" t="s">
        <v>107</v>
      </c>
      <c r="F252" s="305"/>
      <c r="G252" s="207"/>
      <c r="H252" s="69"/>
      <c r="I252" s="69"/>
      <c r="J252" s="69"/>
      <c r="K252" s="69"/>
      <c r="L252" s="69"/>
      <c r="M252" s="69"/>
      <c r="N252" s="69"/>
      <c r="O252" s="69"/>
      <c r="P252" s="69"/>
      <c r="Q252" s="44"/>
      <c r="R252" s="44"/>
      <c r="S252" s="44"/>
      <c r="T252" s="69"/>
      <c r="U252" s="69"/>
      <c r="V252" s="69"/>
      <c r="W252" s="231"/>
      <c r="X252" s="55"/>
      <c r="Y252" s="120">
        <f>Y253</f>
        <v>0</v>
      </c>
      <c r="Z252" s="120">
        <f t="shared" ref="Z252:AK252" si="111">Z253</f>
        <v>0</v>
      </c>
      <c r="AA252" s="120">
        <f t="shared" si="111"/>
        <v>0</v>
      </c>
      <c r="AB252" s="120">
        <f t="shared" si="111"/>
        <v>0</v>
      </c>
      <c r="AC252" s="120">
        <f t="shared" si="111"/>
        <v>0</v>
      </c>
      <c r="AD252" s="120">
        <f t="shared" si="111"/>
        <v>0</v>
      </c>
      <c r="AE252" s="120">
        <f t="shared" si="111"/>
        <v>0</v>
      </c>
      <c r="AF252" s="120">
        <f t="shared" si="111"/>
        <v>0</v>
      </c>
      <c r="AG252" s="120">
        <f t="shared" si="111"/>
        <v>0</v>
      </c>
      <c r="AH252" s="120">
        <f t="shared" si="111"/>
        <v>0</v>
      </c>
      <c r="AI252" s="120">
        <f t="shared" si="111"/>
        <v>0</v>
      </c>
      <c r="AJ252" s="120">
        <f t="shared" si="111"/>
        <v>0</v>
      </c>
      <c r="AK252" s="120">
        <f t="shared" si="111"/>
        <v>0</v>
      </c>
      <c r="AL252" s="55"/>
      <c r="AM252" s="120">
        <f t="shared" ref="AM252:AY252" si="112">AM253</f>
        <v>0</v>
      </c>
      <c r="AN252" s="120">
        <f t="shared" si="112"/>
        <v>0</v>
      </c>
      <c r="AO252" s="120">
        <f t="shared" si="112"/>
        <v>0</v>
      </c>
      <c r="AP252" s="120">
        <f t="shared" si="112"/>
        <v>0</v>
      </c>
      <c r="AQ252" s="120">
        <f t="shared" si="112"/>
        <v>0</v>
      </c>
      <c r="AR252" s="120">
        <f t="shared" si="112"/>
        <v>0</v>
      </c>
      <c r="AS252" s="120">
        <f t="shared" si="112"/>
        <v>0</v>
      </c>
      <c r="AT252" s="120">
        <f t="shared" si="112"/>
        <v>0</v>
      </c>
      <c r="AU252" s="120">
        <f t="shared" si="112"/>
        <v>0</v>
      </c>
      <c r="AV252" s="120">
        <f t="shared" si="112"/>
        <v>0</v>
      </c>
      <c r="AW252" s="120">
        <f t="shared" si="112"/>
        <v>0</v>
      </c>
      <c r="AX252" s="120">
        <f t="shared" si="112"/>
        <v>0</v>
      </c>
      <c r="AY252" s="120">
        <f t="shared" si="112"/>
        <v>0</v>
      </c>
      <c r="AZ252" s="55"/>
      <c r="BA252" s="120">
        <f t="shared" ref="BA252:CU252" si="113">BA253</f>
        <v>0</v>
      </c>
      <c r="BB252" s="120">
        <f t="shared" si="113"/>
        <v>0</v>
      </c>
      <c r="BC252" s="120">
        <f t="shared" si="113"/>
        <v>0</v>
      </c>
      <c r="BD252" s="120">
        <f t="shared" si="113"/>
        <v>0</v>
      </c>
      <c r="BE252" s="120">
        <f t="shared" si="113"/>
        <v>0</v>
      </c>
      <c r="BF252" s="120">
        <f t="shared" si="113"/>
        <v>0</v>
      </c>
      <c r="BG252" s="120">
        <f t="shared" si="113"/>
        <v>0</v>
      </c>
      <c r="BH252" s="120">
        <f t="shared" si="113"/>
        <v>0</v>
      </c>
      <c r="BI252" s="120">
        <f t="shared" si="113"/>
        <v>0</v>
      </c>
      <c r="BJ252" s="120">
        <f t="shared" si="113"/>
        <v>0</v>
      </c>
      <c r="BK252" s="120">
        <f t="shared" si="113"/>
        <v>0</v>
      </c>
      <c r="BL252" s="120">
        <f t="shared" si="113"/>
        <v>0</v>
      </c>
      <c r="BM252" s="120">
        <f t="shared" si="113"/>
        <v>0</v>
      </c>
      <c r="BN252" s="702">
        <f t="shared" si="113"/>
        <v>0</v>
      </c>
      <c r="BO252" s="702">
        <f t="shared" si="113"/>
        <v>0</v>
      </c>
      <c r="BP252" s="702">
        <f t="shared" si="113"/>
        <v>0</v>
      </c>
      <c r="BQ252" s="702">
        <f>BQ253</f>
        <v>0</v>
      </c>
      <c r="BR252" s="702">
        <f>BR253</f>
        <v>0</v>
      </c>
      <c r="BS252" s="702">
        <f t="shared" si="113"/>
        <v>0</v>
      </c>
      <c r="BT252" s="702">
        <f>BT253</f>
        <v>0</v>
      </c>
      <c r="BU252" s="702">
        <f t="shared" si="113"/>
        <v>0</v>
      </c>
      <c r="BV252" s="702">
        <f t="shared" si="113"/>
        <v>0</v>
      </c>
      <c r="BW252" s="702">
        <f>BW253</f>
        <v>0</v>
      </c>
      <c r="BX252" s="702">
        <f t="shared" si="113"/>
        <v>0</v>
      </c>
      <c r="BY252" s="702">
        <f t="shared" si="113"/>
        <v>0</v>
      </c>
      <c r="BZ252" s="702">
        <f>BZ253</f>
        <v>0</v>
      </c>
      <c r="CA252" s="702">
        <f t="shared" si="113"/>
        <v>0</v>
      </c>
      <c r="CB252" s="702">
        <f>CB253</f>
        <v>0</v>
      </c>
      <c r="CC252" s="702">
        <f t="shared" si="113"/>
        <v>0</v>
      </c>
      <c r="CD252" s="740"/>
      <c r="CE252" s="328">
        <f t="shared" si="113"/>
        <v>0</v>
      </c>
      <c r="CF252" s="328">
        <f t="shared" si="113"/>
        <v>0</v>
      </c>
      <c r="CG252" s="328">
        <f t="shared" si="113"/>
        <v>0</v>
      </c>
      <c r="CH252" s="328">
        <f t="shared" si="113"/>
        <v>0</v>
      </c>
      <c r="CI252" s="328">
        <f t="shared" si="113"/>
        <v>0</v>
      </c>
      <c r="CJ252" s="328">
        <f t="shared" si="113"/>
        <v>0</v>
      </c>
      <c r="CK252" s="328">
        <f t="shared" si="113"/>
        <v>0</v>
      </c>
      <c r="CL252" s="328">
        <f t="shared" si="113"/>
        <v>0</v>
      </c>
      <c r="CM252" s="328">
        <f t="shared" si="113"/>
        <v>0</v>
      </c>
      <c r="CN252" s="328">
        <f t="shared" si="113"/>
        <v>0</v>
      </c>
      <c r="CO252" s="328">
        <f t="shared" si="113"/>
        <v>0</v>
      </c>
      <c r="CP252" s="328">
        <f t="shared" si="113"/>
        <v>0</v>
      </c>
      <c r="CQ252" s="328">
        <f t="shared" si="113"/>
        <v>0</v>
      </c>
      <c r="CR252" s="328">
        <f t="shared" si="113"/>
        <v>0</v>
      </c>
      <c r="CS252" s="328">
        <f t="shared" si="113"/>
        <v>0</v>
      </c>
      <c r="CT252" s="328">
        <f t="shared" si="113"/>
        <v>0</v>
      </c>
      <c r="CU252" s="328">
        <f t="shared" si="113"/>
        <v>0</v>
      </c>
      <c r="CV252" s="57"/>
    </row>
    <row r="253" spans="1:101" ht="15" customHeight="1" outlineLevel="2">
      <c r="A253" s="296"/>
      <c r="B253" s="277" t="str">
        <f>$E$236&amp;$E$6&amp;E253</f>
        <v>PACK MEDANPACKAGE</v>
      </c>
      <c r="C253" s="276" t="s">
        <v>36</v>
      </c>
      <c r="E253" s="310"/>
      <c r="F253" s="311"/>
      <c r="G253" s="63"/>
      <c r="H253" s="74"/>
      <c r="I253" s="74"/>
      <c r="J253" s="74"/>
      <c r="K253" s="74"/>
      <c r="L253" s="74"/>
      <c r="M253" s="74"/>
      <c r="N253" s="74"/>
      <c r="O253" s="74"/>
      <c r="P253" s="74"/>
      <c r="T253" s="74"/>
      <c r="U253" s="74"/>
      <c r="V253" s="74"/>
      <c r="W253" s="66"/>
      <c r="X253" s="55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55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55"/>
      <c r="BA253" s="639"/>
      <c r="BB253" s="639"/>
      <c r="BC253" s="86"/>
      <c r="BD253" s="639"/>
      <c r="BE253" s="86"/>
      <c r="BF253" s="639"/>
      <c r="BG253" s="86"/>
      <c r="BH253" s="639"/>
      <c r="BI253" s="86"/>
      <c r="BJ253" s="639"/>
      <c r="BK253" s="86"/>
      <c r="BL253" s="639"/>
      <c r="BM253" s="86"/>
      <c r="BN253" s="695"/>
      <c r="BO253" s="696"/>
      <c r="BP253" s="695"/>
      <c r="BQ253" s="696"/>
      <c r="BR253" s="696"/>
      <c r="BS253" s="695"/>
      <c r="BT253" s="696"/>
      <c r="BU253" s="696"/>
      <c r="BV253" s="695"/>
      <c r="BW253" s="696"/>
      <c r="BX253" s="696"/>
      <c r="BY253" s="695"/>
      <c r="BZ253" s="696"/>
      <c r="CA253" s="696"/>
      <c r="CB253" s="696"/>
      <c r="CC253" s="696"/>
      <c r="CD253" s="740"/>
      <c r="CE253" s="323"/>
      <c r="CF253" s="323"/>
      <c r="CG253" s="323"/>
      <c r="CH253" s="323"/>
      <c r="CI253" s="323"/>
      <c r="CJ253" s="323"/>
      <c r="CK253" s="323"/>
      <c r="CL253" s="323"/>
      <c r="CM253" s="323"/>
      <c r="CN253" s="323"/>
      <c r="CO253" s="323"/>
      <c r="CP253" s="323"/>
      <c r="CQ253" s="323"/>
      <c r="CR253" s="323"/>
      <c r="CS253" s="323"/>
      <c r="CT253" s="323"/>
      <c r="CU253" s="323"/>
      <c r="CV253" s="57"/>
    </row>
    <row r="254" spans="1:101" ht="15" customHeight="1" outlineLevel="2">
      <c r="A254" s="307"/>
      <c r="B254" s="307"/>
      <c r="C254" s="307"/>
      <c r="D254" s="307"/>
      <c r="E254" s="295" t="s">
        <v>120</v>
      </c>
      <c r="F254" s="307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>
        <v>0</v>
      </c>
      <c r="V254" s="71">
        <v>0</v>
      </c>
      <c r="W254" s="232">
        <f t="shared" si="106"/>
        <v>0</v>
      </c>
      <c r="X254" s="55"/>
      <c r="Y254" s="107">
        <f t="shared" ref="Y254:AK254" si="114">SUM(Y255:Y260)</f>
        <v>121000000</v>
      </c>
      <c r="Z254" s="107">
        <f t="shared" si="114"/>
        <v>121000000</v>
      </c>
      <c r="AA254" s="107">
        <f t="shared" si="114"/>
        <v>121000000</v>
      </c>
      <c r="AB254" s="107">
        <f t="shared" si="114"/>
        <v>121000000</v>
      </c>
      <c r="AC254" s="107">
        <f t="shared" si="114"/>
        <v>113000000</v>
      </c>
      <c r="AD254" s="107">
        <f t="shared" si="114"/>
        <v>121000000</v>
      </c>
      <c r="AE254" s="107">
        <f t="shared" si="114"/>
        <v>121000000</v>
      </c>
      <c r="AF254" s="107">
        <f t="shared" si="114"/>
        <v>121000000</v>
      </c>
      <c r="AG254" s="107">
        <f t="shared" si="114"/>
        <v>121000000</v>
      </c>
      <c r="AH254" s="107">
        <f t="shared" si="114"/>
        <v>121000000</v>
      </c>
      <c r="AI254" s="107">
        <f t="shared" si="114"/>
        <v>121000000</v>
      </c>
      <c r="AJ254" s="107">
        <f t="shared" si="114"/>
        <v>121000000</v>
      </c>
      <c r="AK254" s="107">
        <f t="shared" si="114"/>
        <v>1444000000</v>
      </c>
      <c r="AL254" s="55"/>
      <c r="AM254" s="107">
        <f t="shared" ref="AM254:AY254" si="115">SUM(AM255:AM260)</f>
        <v>121000000</v>
      </c>
      <c r="AN254" s="107">
        <f t="shared" si="115"/>
        <v>121000000</v>
      </c>
      <c r="AO254" s="107">
        <f t="shared" si="115"/>
        <v>121000000</v>
      </c>
      <c r="AP254" s="107">
        <f t="shared" si="115"/>
        <v>121000000</v>
      </c>
      <c r="AQ254" s="107">
        <f t="shared" si="115"/>
        <v>113000000</v>
      </c>
      <c r="AR254" s="107">
        <f t="shared" si="115"/>
        <v>121000000</v>
      </c>
      <c r="AS254" s="107">
        <f t="shared" si="115"/>
        <v>121000000</v>
      </c>
      <c r="AT254" s="107">
        <f t="shared" si="115"/>
        <v>121000000</v>
      </c>
      <c r="AU254" s="107">
        <f t="shared" si="115"/>
        <v>121000000</v>
      </c>
      <c r="AV254" s="107">
        <f t="shared" si="115"/>
        <v>121000000</v>
      </c>
      <c r="AW254" s="107">
        <f t="shared" si="115"/>
        <v>121000000</v>
      </c>
      <c r="AX254" s="107">
        <f t="shared" si="115"/>
        <v>121000000</v>
      </c>
      <c r="AY254" s="107">
        <f t="shared" si="115"/>
        <v>1444000000</v>
      </c>
      <c r="AZ254" s="55"/>
      <c r="BA254" s="107">
        <f>SUM(BA255:BA260)</f>
        <v>0</v>
      </c>
      <c r="BB254" s="107">
        <f t="shared" ref="BB254:CT254" si="116">SUM(BB255:BB260)</f>
        <v>0</v>
      </c>
      <c r="BC254" s="107">
        <f t="shared" si="116"/>
        <v>0</v>
      </c>
      <c r="BD254" s="107">
        <f t="shared" si="116"/>
        <v>0</v>
      </c>
      <c r="BE254" s="107">
        <f t="shared" si="116"/>
        <v>0</v>
      </c>
      <c r="BF254" s="107">
        <f t="shared" si="116"/>
        <v>0</v>
      </c>
      <c r="BG254" s="107">
        <f t="shared" si="116"/>
        <v>0</v>
      </c>
      <c r="BH254" s="107">
        <f t="shared" si="116"/>
        <v>0</v>
      </c>
      <c r="BI254" s="107">
        <f t="shared" si="116"/>
        <v>0</v>
      </c>
      <c r="BJ254" s="107">
        <f t="shared" si="116"/>
        <v>0</v>
      </c>
      <c r="BK254" s="107">
        <f t="shared" si="116"/>
        <v>9200000</v>
      </c>
      <c r="BL254" s="107">
        <f t="shared" si="116"/>
        <v>0</v>
      </c>
      <c r="BM254" s="107">
        <f t="shared" si="116"/>
        <v>29200000</v>
      </c>
      <c r="BN254" s="698">
        <f t="shared" si="116"/>
        <v>0</v>
      </c>
      <c r="BO254" s="698">
        <f t="shared" si="116"/>
        <v>29200000</v>
      </c>
      <c r="BP254" s="698">
        <f t="shared" si="116"/>
        <v>0</v>
      </c>
      <c r="BQ254" s="698">
        <f>SUM(BQ255:BQ260)</f>
        <v>229200000</v>
      </c>
      <c r="BR254" s="698">
        <f>SUM(BR255:BR260)</f>
        <v>0</v>
      </c>
      <c r="BS254" s="698">
        <f t="shared" si="116"/>
        <v>0</v>
      </c>
      <c r="BT254" s="698">
        <f>SUM(BT255:BT260)</f>
        <v>229200000</v>
      </c>
      <c r="BU254" s="698">
        <f t="shared" si="116"/>
        <v>29200000</v>
      </c>
      <c r="BV254" s="698">
        <f t="shared" si="116"/>
        <v>0</v>
      </c>
      <c r="BW254" s="698">
        <f>SUM(BW255:BW260)</f>
        <v>229200000</v>
      </c>
      <c r="BX254" s="698">
        <f t="shared" si="116"/>
        <v>29200000</v>
      </c>
      <c r="BY254" s="698">
        <f t="shared" si="116"/>
        <v>0</v>
      </c>
      <c r="BZ254" s="698">
        <f>SUM(BZ255:BZ260)</f>
        <v>229200000</v>
      </c>
      <c r="CA254" s="698">
        <f t="shared" si="116"/>
        <v>29200000</v>
      </c>
      <c r="CB254" s="698">
        <f t="shared" si="116"/>
        <v>87600000</v>
      </c>
      <c r="CC254" s="698">
        <f t="shared" si="116"/>
        <v>87600000</v>
      </c>
      <c r="CD254" s="738"/>
      <c r="CE254" s="325">
        <f>SUM(CE255:CE260)</f>
        <v>37500000</v>
      </c>
      <c r="CF254" s="325">
        <f t="shared" ref="CF254:CP254" si="117">SUM(CF255:CF260)</f>
        <v>37500000</v>
      </c>
      <c r="CG254" s="325">
        <f t="shared" si="117"/>
        <v>37500000</v>
      </c>
      <c r="CH254" s="325">
        <f t="shared" si="117"/>
        <v>37500000</v>
      </c>
      <c r="CI254" s="325">
        <f t="shared" si="117"/>
        <v>37500000</v>
      </c>
      <c r="CJ254" s="325">
        <f t="shared" si="117"/>
        <v>37500000</v>
      </c>
      <c r="CK254" s="325">
        <f t="shared" si="117"/>
        <v>37500000</v>
      </c>
      <c r="CL254" s="325">
        <f t="shared" si="117"/>
        <v>37500000</v>
      </c>
      <c r="CM254" s="325">
        <f t="shared" si="117"/>
        <v>37500000</v>
      </c>
      <c r="CN254" s="325">
        <f t="shared" si="117"/>
        <v>37500000</v>
      </c>
      <c r="CO254" s="325">
        <f t="shared" si="117"/>
        <v>37500000</v>
      </c>
      <c r="CP254" s="325">
        <f t="shared" si="117"/>
        <v>37500000</v>
      </c>
      <c r="CQ254" s="325">
        <f t="shared" si="116"/>
        <v>450000000</v>
      </c>
      <c r="CR254" s="325">
        <f t="shared" si="116"/>
        <v>481500000</v>
      </c>
      <c r="CS254" s="325">
        <f t="shared" si="116"/>
        <v>3049650000</v>
      </c>
      <c r="CT254" s="325">
        <f t="shared" si="116"/>
        <v>3449505600.0000005</v>
      </c>
      <c r="CU254" s="325">
        <f>SUM(CU255:CU260)</f>
        <v>3904123392.000001</v>
      </c>
      <c r="CV254" s="57"/>
    </row>
    <row r="255" spans="1:101" ht="15" customHeight="1" outlineLevel="2">
      <c r="A255" s="276" t="s">
        <v>242</v>
      </c>
      <c r="B255" s="277" t="str">
        <f>$E$236&amp;$E$6&amp;E255</f>
        <v>PACK MEDANPACKAGEGCM Marketing Solution Indonesia</v>
      </c>
      <c r="C255" s="276" t="s">
        <v>36</v>
      </c>
      <c r="D255" s="297" t="s">
        <v>121</v>
      </c>
      <c r="E255" s="1037" t="s">
        <v>246</v>
      </c>
      <c r="F255" s="288"/>
      <c r="G255" s="93">
        <v>142004000</v>
      </c>
      <c r="H255" s="65">
        <v>10502000</v>
      </c>
      <c r="I255" s="65">
        <v>8430000</v>
      </c>
      <c r="J255" s="65">
        <v>7368000</v>
      </c>
      <c r="K255" s="65">
        <v>7404000</v>
      </c>
      <c r="L255" s="65">
        <v>7584000</v>
      </c>
      <c r="M255" s="65">
        <v>8016000</v>
      </c>
      <c r="N255" s="65">
        <v>7934000</v>
      </c>
      <c r="O255" s="65">
        <v>8196000</v>
      </c>
      <c r="P255" s="65">
        <v>8809000</v>
      </c>
      <c r="Q255" s="65">
        <v>6458000</v>
      </c>
      <c r="R255" s="65">
        <v>9839000</v>
      </c>
      <c r="S255" s="65">
        <v>0</v>
      </c>
      <c r="T255" s="65">
        <v>8000000</v>
      </c>
      <c r="U255" s="65">
        <v>8000000</v>
      </c>
      <c r="V255" s="65">
        <v>8000000</v>
      </c>
      <c r="W255" s="66">
        <f>SUM(H255:S255)</f>
        <v>90540000</v>
      </c>
      <c r="X255" s="55"/>
      <c r="Y255" s="85">
        <v>8000000</v>
      </c>
      <c r="Z255" s="85">
        <v>8000000</v>
      </c>
      <c r="AA255" s="85">
        <v>8000000</v>
      </c>
      <c r="AB255" s="85">
        <v>8000000</v>
      </c>
      <c r="AC255" s="85">
        <v>6000000</v>
      </c>
      <c r="AD255" s="85">
        <v>8000000</v>
      </c>
      <c r="AE255" s="85">
        <v>8000000</v>
      </c>
      <c r="AF255" s="85">
        <v>8000000</v>
      </c>
      <c r="AG255" s="85">
        <v>8000000</v>
      </c>
      <c r="AH255" s="85">
        <v>8000000</v>
      </c>
      <c r="AI255" s="85">
        <v>8000000</v>
      </c>
      <c r="AJ255" s="85">
        <v>8000000</v>
      </c>
      <c r="AK255" s="61">
        <v>94000000</v>
      </c>
      <c r="AL255" s="55"/>
      <c r="AM255" s="85">
        <v>8000000</v>
      </c>
      <c r="AN255" s="85">
        <v>8000000</v>
      </c>
      <c r="AO255" s="85">
        <v>8000000</v>
      </c>
      <c r="AP255" s="85">
        <v>8000000</v>
      </c>
      <c r="AQ255" s="85">
        <v>6000000</v>
      </c>
      <c r="AR255" s="85">
        <v>8000000</v>
      </c>
      <c r="AS255" s="85">
        <v>8000000</v>
      </c>
      <c r="AT255" s="85">
        <v>8000000</v>
      </c>
      <c r="AU255" s="85">
        <v>8000000</v>
      </c>
      <c r="AV255" s="85">
        <v>8000000</v>
      </c>
      <c r="AW255" s="85">
        <v>8000000</v>
      </c>
      <c r="AX255" s="85">
        <v>8000000</v>
      </c>
      <c r="AY255" s="122">
        <v>94000000</v>
      </c>
      <c r="AZ255" s="55"/>
      <c r="BA255" s="639">
        <v>0</v>
      </c>
      <c r="BB255" s="639">
        <v>0</v>
      </c>
      <c r="BC255" s="86"/>
      <c r="BD255" s="639">
        <v>0</v>
      </c>
      <c r="BE255" s="86"/>
      <c r="BF255" s="639">
        <v>0</v>
      </c>
      <c r="BG255" s="86"/>
      <c r="BH255" s="639"/>
      <c r="BI255" s="86"/>
      <c r="BJ255" s="639"/>
      <c r="BK255" s="86"/>
      <c r="BL255" s="639"/>
      <c r="BM255" s="86"/>
      <c r="BN255" s="695"/>
      <c r="BO255" s="696"/>
      <c r="BP255" s="695"/>
      <c r="BQ255" s="696"/>
      <c r="BR255" s="729"/>
      <c r="BS255" s="695"/>
      <c r="BT255" s="696"/>
      <c r="BU255" s="729"/>
      <c r="BV255" s="695"/>
      <c r="BW255" s="696"/>
      <c r="BX255" s="729"/>
      <c r="BY255" s="695"/>
      <c r="BZ255" s="696"/>
      <c r="CA255" s="729"/>
      <c r="CB255" s="720">
        <f t="shared" ref="CB255:CB264" si="118">SUM(BA255,BB255,BD255,BF255,BH255,BJ255,BL255,BN255,BP255,BR255,BU255,BX255,CA255)</f>
        <v>0</v>
      </c>
      <c r="CC255" s="721">
        <f t="shared" ref="CC255:CC264" si="119">SUM(BA255,BB255,BD255,BF255,BH255,BJ255,BL255,BN255,BR255,BU255,BX255,CA255)</f>
        <v>0</v>
      </c>
      <c r="CD255" s="738"/>
      <c r="CE255" s="1197">
        <v>7500000</v>
      </c>
      <c r="CF255" s="1197">
        <v>7500000</v>
      </c>
      <c r="CG255" s="1197">
        <v>7500000</v>
      </c>
      <c r="CH255" s="1197">
        <v>7500000</v>
      </c>
      <c r="CI255" s="1197">
        <v>7500000</v>
      </c>
      <c r="CJ255" s="1197">
        <v>7500000</v>
      </c>
      <c r="CK255" s="1197">
        <v>7500000</v>
      </c>
      <c r="CL255" s="1197">
        <v>7500000</v>
      </c>
      <c r="CM255" s="1197">
        <v>7500000</v>
      </c>
      <c r="CN255" s="1197">
        <v>7500000</v>
      </c>
      <c r="CO255" s="1197">
        <v>7500000</v>
      </c>
      <c r="CP255" s="1197">
        <v>7500000</v>
      </c>
      <c r="CQ255" s="1196">
        <f t="shared" ref="CQ255:CQ261" si="120">SUM(CE255,CF255,CG255,CH255,CI255,CJ255,CK255,CL255,CM255,CN255,CO255,CP255)</f>
        <v>90000000</v>
      </c>
      <c r="CR255" s="356">
        <f>CQ255*1.07</f>
        <v>96300000</v>
      </c>
      <c r="CS255" s="357">
        <f>CR255*1.1</f>
        <v>105930000.00000001</v>
      </c>
      <c r="CT255" s="332">
        <f>CS255*1.12</f>
        <v>118641600.00000003</v>
      </c>
      <c r="CU255" s="358">
        <f>CT255*1.12</f>
        <v>132878592.00000004</v>
      </c>
      <c r="CV255" s="57" t="s">
        <v>38</v>
      </c>
    </row>
    <row r="256" spans="1:101" ht="15" customHeight="1" outlineLevel="2">
      <c r="A256" s="276" t="s">
        <v>242</v>
      </c>
      <c r="B256" s="277" t="str">
        <f>$E$236&amp;$E$6&amp;E256</f>
        <v>PACK MEDANPACKAGETUMBAK MAS</v>
      </c>
      <c r="C256" s="276" t="s">
        <v>36</v>
      </c>
      <c r="D256" s="297" t="s">
        <v>121</v>
      </c>
      <c r="E256" s="1037" t="s">
        <v>247</v>
      </c>
      <c r="F256" s="288"/>
      <c r="G256" s="74"/>
      <c r="H256" s="65">
        <v>0</v>
      </c>
      <c r="I256" s="65">
        <v>0</v>
      </c>
      <c r="J256" s="65">
        <v>0</v>
      </c>
      <c r="K256" s="65">
        <v>0</v>
      </c>
      <c r="L256" s="65">
        <v>0</v>
      </c>
      <c r="M256" s="65">
        <v>0</v>
      </c>
      <c r="N256" s="65">
        <v>0</v>
      </c>
      <c r="O256" s="65"/>
      <c r="P256" s="65"/>
      <c r="Q256" s="65"/>
      <c r="R256" s="65"/>
      <c r="S256" s="65"/>
      <c r="T256" s="65">
        <v>0</v>
      </c>
      <c r="U256" s="65">
        <v>0</v>
      </c>
      <c r="V256" s="65">
        <v>0</v>
      </c>
      <c r="W256" s="66">
        <f t="shared" si="106"/>
        <v>0</v>
      </c>
      <c r="X256" s="55"/>
      <c r="Y256" s="85">
        <v>25000000</v>
      </c>
      <c r="Z256" s="85">
        <v>25000000</v>
      </c>
      <c r="AA256" s="85">
        <v>25000000</v>
      </c>
      <c r="AB256" s="85">
        <v>25000000</v>
      </c>
      <c r="AC256" s="85">
        <v>23000000</v>
      </c>
      <c r="AD256" s="85">
        <v>25000000</v>
      </c>
      <c r="AE256" s="85">
        <v>25000000</v>
      </c>
      <c r="AF256" s="85">
        <v>25000000</v>
      </c>
      <c r="AG256" s="85">
        <v>25000000</v>
      </c>
      <c r="AH256" s="85">
        <v>25000000</v>
      </c>
      <c r="AI256" s="85">
        <v>25000000</v>
      </c>
      <c r="AJ256" s="85">
        <v>25000000</v>
      </c>
      <c r="AK256" s="61">
        <v>298000000</v>
      </c>
      <c r="AL256" s="55"/>
      <c r="AM256" s="85">
        <v>25000000</v>
      </c>
      <c r="AN256" s="85">
        <v>25000000</v>
      </c>
      <c r="AO256" s="85">
        <v>25000000</v>
      </c>
      <c r="AP256" s="85">
        <v>25000000</v>
      </c>
      <c r="AQ256" s="85">
        <v>23000000</v>
      </c>
      <c r="AR256" s="85">
        <v>25000000</v>
      </c>
      <c r="AS256" s="85">
        <v>25000000</v>
      </c>
      <c r="AT256" s="85">
        <v>25000000</v>
      </c>
      <c r="AU256" s="85">
        <v>25000000</v>
      </c>
      <c r="AV256" s="85">
        <v>25000000</v>
      </c>
      <c r="AW256" s="85">
        <v>25000000</v>
      </c>
      <c r="AX256" s="85">
        <v>25000000</v>
      </c>
      <c r="AY256" s="122">
        <v>298000000</v>
      </c>
      <c r="AZ256" s="55"/>
      <c r="BA256" s="639">
        <v>0</v>
      </c>
      <c r="BB256" s="639">
        <v>0</v>
      </c>
      <c r="BC256" s="86"/>
      <c r="BD256" s="639">
        <v>0</v>
      </c>
      <c r="BE256" s="86"/>
      <c r="BF256" s="639">
        <v>0</v>
      </c>
      <c r="BG256" s="86"/>
      <c r="BH256" s="639"/>
      <c r="BI256" s="86"/>
      <c r="BJ256" s="639"/>
      <c r="BK256" s="86"/>
      <c r="BL256" s="639"/>
      <c r="BM256" s="86">
        <v>20000000</v>
      </c>
      <c r="BN256" s="695"/>
      <c r="BO256" s="696">
        <v>20000000</v>
      </c>
      <c r="BP256" s="695"/>
      <c r="BQ256" s="696">
        <v>20000000</v>
      </c>
      <c r="BR256" s="729"/>
      <c r="BS256" s="695"/>
      <c r="BT256" s="696">
        <v>20000000</v>
      </c>
      <c r="BU256" s="729">
        <v>20000000</v>
      </c>
      <c r="BV256" s="695"/>
      <c r="BW256" s="696">
        <v>20000000</v>
      </c>
      <c r="BX256" s="729">
        <v>20000000</v>
      </c>
      <c r="BY256" s="695"/>
      <c r="BZ256" s="696">
        <v>20000000</v>
      </c>
      <c r="CA256" s="729">
        <v>20000000</v>
      </c>
      <c r="CB256" s="720">
        <f t="shared" si="118"/>
        <v>60000000</v>
      </c>
      <c r="CC256" s="721">
        <f t="shared" si="119"/>
        <v>60000000</v>
      </c>
      <c r="CD256" s="738"/>
      <c r="CE256" s="1197">
        <v>30000000</v>
      </c>
      <c r="CF256" s="1197">
        <v>30000000</v>
      </c>
      <c r="CG256" s="1197">
        <v>30000000</v>
      </c>
      <c r="CH256" s="1197">
        <v>30000000</v>
      </c>
      <c r="CI256" s="1197">
        <v>30000000</v>
      </c>
      <c r="CJ256" s="1197">
        <v>30000000</v>
      </c>
      <c r="CK256" s="1197">
        <v>30000000</v>
      </c>
      <c r="CL256" s="1197">
        <v>30000000</v>
      </c>
      <c r="CM256" s="1197">
        <v>30000000</v>
      </c>
      <c r="CN256" s="1197">
        <v>30000000</v>
      </c>
      <c r="CO256" s="1197">
        <v>30000000</v>
      </c>
      <c r="CP256" s="1197">
        <v>30000000</v>
      </c>
      <c r="CQ256" s="1196">
        <f t="shared" si="120"/>
        <v>360000000</v>
      </c>
      <c r="CR256" s="356">
        <f>CQ256*1.07</f>
        <v>385200000</v>
      </c>
      <c r="CS256" s="357">
        <f>CR256*1.1</f>
        <v>423720000.00000006</v>
      </c>
      <c r="CT256" s="332">
        <f>CS256*1.2</f>
        <v>508464000.00000006</v>
      </c>
      <c r="CU256" s="358">
        <f>CT256*1.2</f>
        <v>610156800</v>
      </c>
      <c r="CV256" s="57" t="s">
        <v>38</v>
      </c>
    </row>
    <row r="257" spans="1:101" ht="15" customHeight="1" outlineLevel="2">
      <c r="A257" s="296"/>
      <c r="D257" s="297"/>
      <c r="E257" s="288"/>
      <c r="F257" s="288"/>
      <c r="G257" s="74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6">
        <f t="shared" si="106"/>
        <v>0</v>
      </c>
      <c r="X257" s="5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  <c r="AI257" s="85"/>
      <c r="AJ257" s="85"/>
      <c r="AK257" s="61">
        <v>0</v>
      </c>
      <c r="AL257" s="55"/>
      <c r="AM257" s="85"/>
      <c r="AN257" s="85"/>
      <c r="AO257" s="85"/>
      <c r="AP257" s="85"/>
      <c r="AQ257" s="85"/>
      <c r="AR257" s="85"/>
      <c r="AS257" s="85"/>
      <c r="AT257" s="85"/>
      <c r="AU257" s="85"/>
      <c r="AV257" s="85"/>
      <c r="AW257" s="85"/>
      <c r="AX257" s="85"/>
      <c r="AY257" s="122">
        <v>0</v>
      </c>
      <c r="AZ257" s="55"/>
      <c r="BA257" s="639">
        <v>0</v>
      </c>
      <c r="BB257" s="639">
        <v>0</v>
      </c>
      <c r="BC257" s="86"/>
      <c r="BD257" s="639">
        <v>0</v>
      </c>
      <c r="BE257" s="86"/>
      <c r="BF257" s="639">
        <v>0</v>
      </c>
      <c r="BG257" s="86"/>
      <c r="BH257" s="639"/>
      <c r="BI257" s="86"/>
      <c r="BJ257" s="639"/>
      <c r="BK257" s="86"/>
      <c r="BL257" s="639"/>
      <c r="BM257" s="86"/>
      <c r="BN257" s="695"/>
      <c r="BO257" s="696"/>
      <c r="BP257" s="695"/>
      <c r="BQ257" s="696">
        <v>200000000</v>
      </c>
      <c r="BR257" s="729"/>
      <c r="BS257" s="695"/>
      <c r="BT257" s="696">
        <v>200000000</v>
      </c>
      <c r="BU257" s="729"/>
      <c r="BV257" s="695"/>
      <c r="BW257" s="696">
        <v>200000000</v>
      </c>
      <c r="BX257" s="729"/>
      <c r="BY257" s="695"/>
      <c r="BZ257" s="696">
        <v>200000000</v>
      </c>
      <c r="CA257" s="729"/>
      <c r="CB257" s="720">
        <f t="shared" si="118"/>
        <v>0</v>
      </c>
      <c r="CC257" s="721">
        <f t="shared" si="119"/>
        <v>0</v>
      </c>
      <c r="CD257" s="738"/>
      <c r="CE257" s="322"/>
      <c r="CF257" s="322"/>
      <c r="CG257" s="322"/>
      <c r="CH257" s="322"/>
      <c r="CI257" s="322"/>
      <c r="CJ257" s="322"/>
      <c r="CK257" s="322"/>
      <c r="CL257" s="322"/>
      <c r="CM257" s="322"/>
      <c r="CN257" s="322"/>
      <c r="CO257" s="322"/>
      <c r="CP257" s="322"/>
      <c r="CQ257" s="355">
        <f t="shared" si="120"/>
        <v>0</v>
      </c>
      <c r="CR257" s="356"/>
      <c r="CS257" s="357">
        <f>210000000*12</f>
        <v>2520000000</v>
      </c>
      <c r="CT257" s="332">
        <f t="shared" ref="CT257:CU259" si="121">CS257*1.12</f>
        <v>2822400000.0000005</v>
      </c>
      <c r="CU257" s="358">
        <f t="shared" si="121"/>
        <v>3161088000.000001</v>
      </c>
      <c r="CV257" s="57" t="s">
        <v>38</v>
      </c>
    </row>
    <row r="258" spans="1:101" ht="15" customHeight="1" outlineLevel="2">
      <c r="D258" s="297"/>
      <c r="E258" s="288"/>
      <c r="F258" s="288"/>
      <c r="G258" s="74"/>
      <c r="H258" s="65">
        <v>0</v>
      </c>
      <c r="I258" s="65">
        <v>0</v>
      </c>
      <c r="J258" s="65">
        <v>0</v>
      </c>
      <c r="K258" s="65">
        <v>0</v>
      </c>
      <c r="L258" s="65">
        <v>0</v>
      </c>
      <c r="M258" s="65">
        <v>0</v>
      </c>
      <c r="N258" s="65">
        <v>0</v>
      </c>
      <c r="O258" s="65"/>
      <c r="P258" s="65"/>
      <c r="Q258" s="65"/>
      <c r="R258" s="65"/>
      <c r="S258" s="65"/>
      <c r="T258" s="65">
        <v>0</v>
      </c>
      <c r="U258" s="65">
        <v>0</v>
      </c>
      <c r="V258" s="65">
        <v>0</v>
      </c>
      <c r="W258" s="66">
        <f>SUM(H258:S258)</f>
        <v>0</v>
      </c>
      <c r="X258" s="55"/>
      <c r="Y258" s="85">
        <v>58000000</v>
      </c>
      <c r="Z258" s="85">
        <v>58000000</v>
      </c>
      <c r="AA258" s="85">
        <v>58000000</v>
      </c>
      <c r="AB258" s="85">
        <v>58000000</v>
      </c>
      <c r="AC258" s="85">
        <v>56000000</v>
      </c>
      <c r="AD258" s="85">
        <v>58000000</v>
      </c>
      <c r="AE258" s="85">
        <v>58000000</v>
      </c>
      <c r="AF258" s="85">
        <v>58000000</v>
      </c>
      <c r="AG258" s="85">
        <v>58000000</v>
      </c>
      <c r="AH258" s="85">
        <v>58000000</v>
      </c>
      <c r="AI258" s="85">
        <v>58000000</v>
      </c>
      <c r="AJ258" s="85">
        <v>58000000</v>
      </c>
      <c r="AK258" s="61">
        <v>694000000</v>
      </c>
      <c r="AL258" s="55"/>
      <c r="AM258" s="85">
        <v>58000000</v>
      </c>
      <c r="AN258" s="85">
        <v>58000000</v>
      </c>
      <c r="AO258" s="85">
        <v>58000000</v>
      </c>
      <c r="AP258" s="85">
        <v>58000000</v>
      </c>
      <c r="AQ258" s="85">
        <v>56000000</v>
      </c>
      <c r="AR258" s="85">
        <v>58000000</v>
      </c>
      <c r="AS258" s="85">
        <v>58000000</v>
      </c>
      <c r="AT258" s="85">
        <v>58000000</v>
      </c>
      <c r="AU258" s="85">
        <v>58000000</v>
      </c>
      <c r="AV258" s="85">
        <v>58000000</v>
      </c>
      <c r="AW258" s="85">
        <v>58000000</v>
      </c>
      <c r="AX258" s="85">
        <v>58000000</v>
      </c>
      <c r="AY258" s="122">
        <v>694000000</v>
      </c>
      <c r="AZ258" s="55"/>
      <c r="BA258" s="639">
        <v>0</v>
      </c>
      <c r="BB258" s="639">
        <v>0</v>
      </c>
      <c r="BC258" s="86"/>
      <c r="BD258" s="639">
        <v>0</v>
      </c>
      <c r="BE258" s="86"/>
      <c r="BF258" s="639">
        <v>0</v>
      </c>
      <c r="BG258" s="86"/>
      <c r="BH258" s="639"/>
      <c r="BI258" s="86"/>
      <c r="BJ258" s="639"/>
      <c r="BK258" s="86"/>
      <c r="BL258" s="639"/>
      <c r="BM258" s="86"/>
      <c r="BN258" s="695"/>
      <c r="BO258" s="696"/>
      <c r="BP258" s="695"/>
      <c r="BQ258" s="696"/>
      <c r="BR258" s="729"/>
      <c r="BS258" s="695"/>
      <c r="BT258" s="696"/>
      <c r="BU258" s="729"/>
      <c r="BV258" s="695"/>
      <c r="BW258" s="696"/>
      <c r="BX258" s="729"/>
      <c r="BY258" s="695"/>
      <c r="BZ258" s="696"/>
      <c r="CA258" s="729"/>
      <c r="CB258" s="720">
        <f t="shared" si="118"/>
        <v>0</v>
      </c>
      <c r="CC258" s="721">
        <f t="shared" si="119"/>
        <v>0</v>
      </c>
      <c r="CD258" s="738"/>
      <c r="CE258" s="322"/>
      <c r="CF258" s="322"/>
      <c r="CG258" s="322"/>
      <c r="CH258" s="322"/>
      <c r="CI258" s="322"/>
      <c r="CJ258" s="322"/>
      <c r="CK258" s="322"/>
      <c r="CL258" s="322"/>
      <c r="CM258" s="322"/>
      <c r="CN258" s="322"/>
      <c r="CO258" s="322"/>
      <c r="CP258" s="322"/>
      <c r="CQ258" s="355">
        <f t="shared" si="120"/>
        <v>0</v>
      </c>
      <c r="CR258" s="356">
        <f>CQ258*1.07</f>
        <v>0</v>
      </c>
      <c r="CS258" s="357">
        <f>CR258*1.1</f>
        <v>0</v>
      </c>
      <c r="CT258" s="332">
        <f t="shared" si="121"/>
        <v>0</v>
      </c>
      <c r="CU258" s="358">
        <f t="shared" si="121"/>
        <v>0</v>
      </c>
      <c r="CV258" s="57" t="s">
        <v>38</v>
      </c>
    </row>
    <row r="259" spans="1:101" ht="15" customHeight="1" outlineLevel="2">
      <c r="D259" s="297"/>
      <c r="E259" s="288"/>
      <c r="F259" s="288"/>
      <c r="G259" s="74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>
        <v>0</v>
      </c>
      <c r="U259" s="65">
        <v>0</v>
      </c>
      <c r="V259" s="65">
        <v>0</v>
      </c>
      <c r="W259" s="66">
        <f>SUM(H259:S259)</f>
        <v>0</v>
      </c>
      <c r="X259" s="55"/>
      <c r="Y259" s="85">
        <v>30000000</v>
      </c>
      <c r="Z259" s="85">
        <v>30000000</v>
      </c>
      <c r="AA259" s="85">
        <v>30000000</v>
      </c>
      <c r="AB259" s="85">
        <v>30000000</v>
      </c>
      <c r="AC259" s="85">
        <v>28000000</v>
      </c>
      <c r="AD259" s="85">
        <v>30000000</v>
      </c>
      <c r="AE259" s="85">
        <v>30000000</v>
      </c>
      <c r="AF259" s="85">
        <v>30000000</v>
      </c>
      <c r="AG259" s="85">
        <v>30000000</v>
      </c>
      <c r="AH259" s="85">
        <v>30000000</v>
      </c>
      <c r="AI259" s="85">
        <v>30000000</v>
      </c>
      <c r="AJ259" s="85">
        <v>30000000</v>
      </c>
      <c r="AK259" s="61">
        <v>358000000</v>
      </c>
      <c r="AL259" s="55"/>
      <c r="AM259" s="85">
        <v>30000000</v>
      </c>
      <c r="AN259" s="85">
        <v>30000000</v>
      </c>
      <c r="AO259" s="85">
        <v>30000000</v>
      </c>
      <c r="AP259" s="85">
        <v>30000000</v>
      </c>
      <c r="AQ259" s="85">
        <v>28000000</v>
      </c>
      <c r="AR259" s="85">
        <v>30000000</v>
      </c>
      <c r="AS259" s="85">
        <v>30000000</v>
      </c>
      <c r="AT259" s="85">
        <v>30000000</v>
      </c>
      <c r="AU259" s="85">
        <v>30000000</v>
      </c>
      <c r="AV259" s="85">
        <v>30000000</v>
      </c>
      <c r="AW259" s="85">
        <v>30000000</v>
      </c>
      <c r="AX259" s="85">
        <v>30000000</v>
      </c>
      <c r="AY259" s="122">
        <v>358000000</v>
      </c>
      <c r="AZ259" s="55"/>
      <c r="BA259" s="639">
        <v>0</v>
      </c>
      <c r="BB259" s="639">
        <v>0</v>
      </c>
      <c r="BC259" s="86"/>
      <c r="BD259" s="639">
        <v>0</v>
      </c>
      <c r="BE259" s="86"/>
      <c r="BF259" s="639">
        <v>0</v>
      </c>
      <c r="BG259" s="86"/>
      <c r="BH259" s="639"/>
      <c r="BI259" s="86"/>
      <c r="BJ259" s="639"/>
      <c r="BK259" s="86"/>
      <c r="BL259" s="639"/>
      <c r="BM259" s="86"/>
      <c r="BN259" s="695"/>
      <c r="BO259" s="696"/>
      <c r="BP259" s="695"/>
      <c r="BQ259" s="696"/>
      <c r="BR259" s="729"/>
      <c r="BS259" s="695"/>
      <c r="BT259" s="696"/>
      <c r="BU259" s="729"/>
      <c r="BV259" s="695"/>
      <c r="BW259" s="696"/>
      <c r="BX259" s="729"/>
      <c r="BY259" s="695"/>
      <c r="BZ259" s="696"/>
      <c r="CA259" s="729"/>
      <c r="CB259" s="720">
        <f t="shared" si="118"/>
        <v>0</v>
      </c>
      <c r="CC259" s="721">
        <f t="shared" si="119"/>
        <v>0</v>
      </c>
      <c r="CD259" s="738"/>
      <c r="CE259" s="322"/>
      <c r="CF259" s="322"/>
      <c r="CG259" s="322"/>
      <c r="CH259" s="322"/>
      <c r="CI259" s="322"/>
      <c r="CJ259" s="322"/>
      <c r="CK259" s="322"/>
      <c r="CL259" s="322"/>
      <c r="CM259" s="322"/>
      <c r="CN259" s="322"/>
      <c r="CO259" s="322"/>
      <c r="CP259" s="322"/>
      <c r="CQ259" s="355">
        <f t="shared" si="120"/>
        <v>0</v>
      </c>
      <c r="CR259" s="356">
        <f>CQ259*1.17</f>
        <v>0</v>
      </c>
      <c r="CS259" s="357">
        <f>CR259*1.1</f>
        <v>0</v>
      </c>
      <c r="CT259" s="332">
        <f t="shared" si="121"/>
        <v>0</v>
      </c>
      <c r="CU259" s="358">
        <f t="shared" si="121"/>
        <v>0</v>
      </c>
      <c r="CV259" s="57" t="s">
        <v>38</v>
      </c>
    </row>
    <row r="260" spans="1:101" ht="15" customHeight="1" outlineLevel="2">
      <c r="A260" s="296"/>
      <c r="D260" s="297"/>
      <c r="E260" s="288"/>
      <c r="F260" s="288"/>
      <c r="G260" s="64"/>
      <c r="H260" s="81"/>
      <c r="I260" s="81"/>
      <c r="J260" s="81"/>
      <c r="K260" s="81"/>
      <c r="L260" s="81"/>
      <c r="M260" s="81"/>
      <c r="N260" s="81"/>
      <c r="O260" s="81"/>
      <c r="P260" s="65"/>
      <c r="Q260" s="65"/>
      <c r="R260" s="65"/>
      <c r="S260" s="65"/>
      <c r="T260" s="65"/>
      <c r="U260" s="65"/>
      <c r="V260" s="65"/>
      <c r="W260" s="66"/>
      <c r="X260" s="78"/>
      <c r="Y260" s="82"/>
      <c r="Z260" s="82"/>
      <c r="AA260" s="82"/>
      <c r="AB260" s="82"/>
      <c r="AC260" s="82"/>
      <c r="AD260" s="82"/>
      <c r="AE260" s="82"/>
      <c r="AF260" s="82"/>
      <c r="AG260" s="82"/>
      <c r="AH260" s="82"/>
      <c r="AI260" s="82"/>
      <c r="AJ260" s="82"/>
      <c r="AK260" s="61"/>
      <c r="AL260" s="55"/>
      <c r="AM260" s="82"/>
      <c r="AN260" s="82"/>
      <c r="AO260" s="82"/>
      <c r="AP260" s="82"/>
      <c r="AQ260" s="82"/>
      <c r="AR260" s="82"/>
      <c r="AS260" s="82"/>
      <c r="AT260" s="82"/>
      <c r="AU260" s="82"/>
      <c r="AV260" s="82"/>
      <c r="AW260" s="82"/>
      <c r="AX260" s="82"/>
      <c r="AY260" s="122"/>
      <c r="AZ260" s="78"/>
      <c r="BA260" s="639"/>
      <c r="BB260" s="639"/>
      <c r="BC260" s="86"/>
      <c r="BD260" s="639"/>
      <c r="BE260" s="86"/>
      <c r="BF260" s="639"/>
      <c r="BG260" s="86"/>
      <c r="BH260" s="639"/>
      <c r="BI260" s="86"/>
      <c r="BJ260" s="639"/>
      <c r="BK260" s="86">
        <f>100*52000+100*40000</f>
        <v>9200000</v>
      </c>
      <c r="BL260" s="639"/>
      <c r="BM260" s="86">
        <f>100*52000+100*40000</f>
        <v>9200000</v>
      </c>
      <c r="BN260" s="695"/>
      <c r="BO260" s="696">
        <f>100*52000+100*40000</f>
        <v>9200000</v>
      </c>
      <c r="BP260" s="695"/>
      <c r="BQ260" s="696">
        <f>100*52000+100*40000</f>
        <v>9200000</v>
      </c>
      <c r="BR260" s="729"/>
      <c r="BS260" s="695"/>
      <c r="BT260" s="696">
        <f>100*52000+100*40000</f>
        <v>9200000</v>
      </c>
      <c r="BU260" s="729">
        <f>100*52000+100*40000</f>
        <v>9200000</v>
      </c>
      <c r="BV260" s="695"/>
      <c r="BW260" s="696">
        <f>100*52000+100*40000</f>
        <v>9200000</v>
      </c>
      <c r="BX260" s="729">
        <f>100*52000+100*40000</f>
        <v>9200000</v>
      </c>
      <c r="BY260" s="695"/>
      <c r="BZ260" s="696">
        <f>100*52000+100*40000</f>
        <v>9200000</v>
      </c>
      <c r="CA260" s="729">
        <f>100*52000+100*40000</f>
        <v>9200000</v>
      </c>
      <c r="CB260" s="720">
        <f t="shared" si="118"/>
        <v>27600000</v>
      </c>
      <c r="CC260" s="721">
        <f t="shared" si="119"/>
        <v>27600000</v>
      </c>
      <c r="CD260" s="738"/>
      <c r="CE260" s="322"/>
      <c r="CF260" s="322"/>
      <c r="CG260" s="322"/>
      <c r="CH260" s="322"/>
      <c r="CI260" s="322"/>
      <c r="CJ260" s="322"/>
      <c r="CK260" s="322"/>
      <c r="CL260" s="322"/>
      <c r="CM260" s="322"/>
      <c r="CN260" s="322"/>
      <c r="CO260" s="322"/>
      <c r="CP260" s="322"/>
      <c r="CQ260" s="355">
        <f t="shared" si="120"/>
        <v>0</v>
      </c>
      <c r="CR260" s="356"/>
      <c r="CS260" s="357"/>
      <c r="CT260" s="332"/>
      <c r="CU260" s="358"/>
      <c r="CV260" s="57" t="s">
        <v>38</v>
      </c>
    </row>
    <row r="261" spans="1:101" ht="15" customHeight="1" outlineLevel="2">
      <c r="A261" s="296"/>
      <c r="D261" s="297"/>
      <c r="E261" s="288"/>
      <c r="F261" s="288"/>
      <c r="G261" s="74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6">
        <f t="shared" si="106"/>
        <v>0</v>
      </c>
      <c r="X261" s="5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85"/>
      <c r="AJ261" s="85"/>
      <c r="AK261" s="61">
        <v>0</v>
      </c>
      <c r="AL261" s="55"/>
      <c r="AM261" s="85"/>
      <c r="AN261" s="85"/>
      <c r="AO261" s="85"/>
      <c r="AP261" s="85"/>
      <c r="AQ261" s="85"/>
      <c r="AR261" s="85"/>
      <c r="AS261" s="85"/>
      <c r="AT261" s="85"/>
      <c r="AU261" s="85"/>
      <c r="AV261" s="85"/>
      <c r="AW261" s="85"/>
      <c r="AX261" s="85"/>
      <c r="AY261" s="122">
        <v>0</v>
      </c>
      <c r="AZ261" s="55"/>
      <c r="BA261" s="639">
        <v>0</v>
      </c>
      <c r="BB261" s="639">
        <v>0</v>
      </c>
      <c r="BC261" s="86"/>
      <c r="BD261" s="639">
        <v>0</v>
      </c>
      <c r="BE261" s="86"/>
      <c r="BF261" s="639">
        <v>0</v>
      </c>
      <c r="BG261" s="86"/>
      <c r="BH261" s="639"/>
      <c r="BI261" s="86"/>
      <c r="BJ261" s="639"/>
      <c r="BK261" s="86"/>
      <c r="BL261" s="639"/>
      <c r="BM261" s="86"/>
      <c r="BN261" s="695"/>
      <c r="BO261" s="696"/>
      <c r="BP261" s="695"/>
      <c r="BQ261" s="696"/>
      <c r="BR261" s="702"/>
      <c r="BS261" s="695"/>
      <c r="BT261" s="696"/>
      <c r="BU261" s="702"/>
      <c r="BV261" s="695"/>
      <c r="BW261" s="696"/>
      <c r="BX261" s="702"/>
      <c r="BY261" s="695"/>
      <c r="BZ261" s="696"/>
      <c r="CA261" s="702"/>
      <c r="CB261" s="720">
        <f t="shared" si="118"/>
        <v>0</v>
      </c>
      <c r="CC261" s="721">
        <f t="shared" si="119"/>
        <v>0</v>
      </c>
      <c r="CD261" s="738"/>
      <c r="CE261" s="322"/>
      <c r="CF261" s="322"/>
      <c r="CG261" s="322"/>
      <c r="CH261" s="322"/>
      <c r="CI261" s="322"/>
      <c r="CJ261" s="322"/>
      <c r="CK261" s="322"/>
      <c r="CL261" s="322"/>
      <c r="CM261" s="322"/>
      <c r="CN261" s="322"/>
      <c r="CO261" s="322"/>
      <c r="CP261" s="322"/>
      <c r="CQ261" s="355">
        <f t="shared" si="120"/>
        <v>0</v>
      </c>
      <c r="CR261" s="356"/>
      <c r="CS261" s="357"/>
      <c r="CT261" s="332">
        <f>200000000*12</f>
        <v>2400000000</v>
      </c>
      <c r="CU261" s="358">
        <f>200000000*12</f>
        <v>2400000000</v>
      </c>
      <c r="CV261" s="57" t="s">
        <v>38</v>
      </c>
    </row>
    <row r="262" spans="1:101" ht="15" customHeight="1" outlineLevel="2">
      <c r="A262" s="296"/>
      <c r="C262" s="276" t="s">
        <v>36</v>
      </c>
      <c r="E262" s="288"/>
      <c r="F262" s="288"/>
      <c r="G262" s="74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6"/>
      <c r="X262" s="55"/>
      <c r="Y262" s="85"/>
      <c r="Z262" s="85"/>
      <c r="AA262" s="85"/>
      <c r="AB262" s="85"/>
      <c r="AC262" s="85"/>
      <c r="AD262" s="85"/>
      <c r="AE262" s="85"/>
      <c r="AF262" s="85"/>
      <c r="AG262" s="85"/>
      <c r="AH262" s="85"/>
      <c r="AI262" s="85"/>
      <c r="AJ262" s="85"/>
      <c r="AK262" s="61"/>
      <c r="AL262" s="55"/>
      <c r="AM262" s="85"/>
      <c r="AN262" s="85"/>
      <c r="AO262" s="85"/>
      <c r="AP262" s="85"/>
      <c r="AQ262" s="85"/>
      <c r="AR262" s="85"/>
      <c r="AS262" s="85"/>
      <c r="AT262" s="85"/>
      <c r="AU262" s="85"/>
      <c r="AV262" s="85"/>
      <c r="AW262" s="85"/>
      <c r="AX262" s="85"/>
      <c r="AY262" s="122"/>
      <c r="AZ262" s="55"/>
      <c r="BA262" s="639"/>
      <c r="BB262" s="639"/>
      <c r="BC262" s="86"/>
      <c r="BD262" s="639"/>
      <c r="BE262" s="86"/>
      <c r="BF262" s="639"/>
      <c r="BG262" s="86"/>
      <c r="BH262" s="639"/>
      <c r="BI262" s="86"/>
      <c r="BJ262" s="639"/>
      <c r="BK262" s="86"/>
      <c r="BL262" s="639"/>
      <c r="BM262" s="86"/>
      <c r="BN262" s="695"/>
      <c r="BO262" s="696"/>
      <c r="BP262" s="695"/>
      <c r="BQ262" s="696"/>
      <c r="BR262" s="702"/>
      <c r="BS262" s="695"/>
      <c r="BT262" s="696"/>
      <c r="BU262" s="702"/>
      <c r="BV262" s="695"/>
      <c r="BW262" s="696"/>
      <c r="BX262" s="702"/>
      <c r="BY262" s="695"/>
      <c r="BZ262" s="696"/>
      <c r="CA262" s="702"/>
      <c r="CB262" s="720">
        <f t="shared" si="118"/>
        <v>0</v>
      </c>
      <c r="CC262" s="721">
        <f t="shared" si="119"/>
        <v>0</v>
      </c>
      <c r="CD262" s="738"/>
      <c r="CE262" s="322"/>
      <c r="CF262" s="322"/>
      <c r="CG262" s="322"/>
      <c r="CH262" s="322"/>
      <c r="CI262" s="322"/>
      <c r="CJ262" s="322"/>
      <c r="CK262" s="322"/>
      <c r="CL262" s="322"/>
      <c r="CM262" s="322"/>
      <c r="CN262" s="322"/>
      <c r="CO262" s="322"/>
      <c r="CP262" s="322"/>
      <c r="CQ262" s="355"/>
      <c r="CR262" s="356"/>
      <c r="CS262" s="357"/>
      <c r="CT262" s="332"/>
      <c r="CU262" s="358"/>
      <c r="CV262" s="57"/>
    </row>
    <row r="263" spans="1:101" ht="15" customHeight="1" outlineLevel="2">
      <c r="A263" s="296"/>
      <c r="C263" s="276" t="s">
        <v>36</v>
      </c>
      <c r="E263" s="288"/>
      <c r="F263" s="288"/>
      <c r="G263" s="74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6"/>
      <c r="X263" s="55"/>
      <c r="Y263" s="85"/>
      <c r="Z263" s="85"/>
      <c r="AA263" s="85"/>
      <c r="AB263" s="85"/>
      <c r="AC263" s="85"/>
      <c r="AD263" s="85"/>
      <c r="AE263" s="85"/>
      <c r="AF263" s="85"/>
      <c r="AG263" s="85"/>
      <c r="AH263" s="85"/>
      <c r="AI263" s="85"/>
      <c r="AJ263" s="85"/>
      <c r="AK263" s="61"/>
      <c r="AL263" s="55"/>
      <c r="AM263" s="85"/>
      <c r="AN263" s="85"/>
      <c r="AO263" s="85"/>
      <c r="AP263" s="85"/>
      <c r="AQ263" s="85"/>
      <c r="AR263" s="85"/>
      <c r="AS263" s="85"/>
      <c r="AT263" s="85"/>
      <c r="AU263" s="85"/>
      <c r="AV263" s="85"/>
      <c r="AW263" s="85"/>
      <c r="AX263" s="85"/>
      <c r="AY263" s="122"/>
      <c r="AZ263" s="55"/>
      <c r="BA263" s="639"/>
      <c r="BB263" s="639"/>
      <c r="BC263" s="86"/>
      <c r="BD263" s="639"/>
      <c r="BE263" s="86"/>
      <c r="BF263" s="639"/>
      <c r="BG263" s="86"/>
      <c r="BH263" s="639"/>
      <c r="BI263" s="86"/>
      <c r="BJ263" s="639"/>
      <c r="BK263" s="86"/>
      <c r="BL263" s="639"/>
      <c r="BM263" s="86"/>
      <c r="BN263" s="695"/>
      <c r="BO263" s="696"/>
      <c r="BP263" s="695"/>
      <c r="BQ263" s="696"/>
      <c r="BR263" s="702"/>
      <c r="BS263" s="695"/>
      <c r="BT263" s="696"/>
      <c r="BU263" s="702"/>
      <c r="BV263" s="695"/>
      <c r="BW263" s="696"/>
      <c r="BX263" s="702"/>
      <c r="BY263" s="695"/>
      <c r="BZ263" s="696"/>
      <c r="CA263" s="702"/>
      <c r="CB263" s="720">
        <f t="shared" si="118"/>
        <v>0</v>
      </c>
      <c r="CC263" s="721">
        <f t="shared" si="119"/>
        <v>0</v>
      </c>
      <c r="CD263" s="738"/>
      <c r="CE263" s="322"/>
      <c r="CF263" s="322"/>
      <c r="CG263" s="322"/>
      <c r="CH263" s="322"/>
      <c r="CI263" s="322"/>
      <c r="CJ263" s="322"/>
      <c r="CK263" s="322"/>
      <c r="CL263" s="322"/>
      <c r="CM263" s="322"/>
      <c r="CN263" s="322"/>
      <c r="CO263" s="322"/>
      <c r="CP263" s="322"/>
      <c r="CQ263" s="355"/>
      <c r="CR263" s="356"/>
      <c r="CS263" s="357"/>
      <c r="CT263" s="332"/>
      <c r="CU263" s="358"/>
      <c r="CV263" s="57"/>
    </row>
    <row r="264" spans="1:101" ht="15" customHeight="1" outlineLevel="2">
      <c r="A264" s="296"/>
      <c r="C264" s="276" t="s">
        <v>36</v>
      </c>
      <c r="E264" s="300"/>
      <c r="F264" s="300"/>
      <c r="G264" s="74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92"/>
      <c r="X264" s="55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61"/>
      <c r="AL264" s="55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122"/>
      <c r="AZ264" s="55"/>
      <c r="BA264" s="639"/>
      <c r="BB264" s="639"/>
      <c r="BC264" s="86"/>
      <c r="BD264" s="639"/>
      <c r="BE264" s="86"/>
      <c r="BF264" s="639"/>
      <c r="BG264" s="86"/>
      <c r="BH264" s="639"/>
      <c r="BI264" s="86"/>
      <c r="BJ264" s="639"/>
      <c r="BK264" s="86"/>
      <c r="BL264" s="639"/>
      <c r="BM264" s="86"/>
      <c r="BN264" s="695"/>
      <c r="BO264" s="696"/>
      <c r="BP264" s="695"/>
      <c r="BQ264" s="696"/>
      <c r="BR264" s="702"/>
      <c r="BS264" s="695"/>
      <c r="BT264" s="696"/>
      <c r="BU264" s="702"/>
      <c r="BV264" s="695"/>
      <c r="BW264" s="696"/>
      <c r="BX264" s="702"/>
      <c r="BY264" s="695"/>
      <c r="BZ264" s="696"/>
      <c r="CA264" s="702"/>
      <c r="CB264" s="720">
        <f t="shared" si="118"/>
        <v>0</v>
      </c>
      <c r="CC264" s="721">
        <f t="shared" si="119"/>
        <v>0</v>
      </c>
      <c r="CD264" s="738"/>
      <c r="CE264" s="322"/>
      <c r="CF264" s="322"/>
      <c r="CG264" s="322"/>
      <c r="CH264" s="322"/>
      <c r="CI264" s="322"/>
      <c r="CJ264" s="322"/>
      <c r="CK264" s="322"/>
      <c r="CL264" s="322"/>
      <c r="CM264" s="322"/>
      <c r="CN264" s="322"/>
      <c r="CO264" s="322"/>
      <c r="CP264" s="322"/>
      <c r="CQ264" s="355"/>
      <c r="CR264" s="356"/>
      <c r="CS264" s="357"/>
      <c r="CT264" s="332"/>
      <c r="CU264" s="358"/>
      <c r="CV264" s="57"/>
    </row>
    <row r="265" spans="1:101" ht="15.5" outlineLevel="1">
      <c r="A265" s="301"/>
      <c r="B265" s="301"/>
      <c r="C265" s="301"/>
      <c r="D265" s="301"/>
      <c r="E265" s="301" t="s">
        <v>248</v>
      </c>
      <c r="F265" s="301"/>
      <c r="G265" s="76">
        <f t="shared" ref="G265:W265" si="122">SUM(G237:G264)</f>
        <v>5869644636</v>
      </c>
      <c r="H265" s="76">
        <f t="shared" si="122"/>
        <v>169266238</v>
      </c>
      <c r="I265" s="76">
        <f t="shared" si="122"/>
        <v>244656148</v>
      </c>
      <c r="J265" s="76">
        <f t="shared" si="122"/>
        <v>355567348</v>
      </c>
      <c r="K265" s="76">
        <f t="shared" si="122"/>
        <v>98045348</v>
      </c>
      <c r="L265" s="76">
        <f t="shared" si="122"/>
        <v>1041853455</v>
      </c>
      <c r="M265" s="76">
        <f t="shared" si="122"/>
        <v>712653940</v>
      </c>
      <c r="N265" s="76">
        <f t="shared" si="122"/>
        <v>89146978</v>
      </c>
      <c r="O265" s="77">
        <f t="shared" si="122"/>
        <v>769679903</v>
      </c>
      <c r="P265" s="76">
        <f t="shared" si="122"/>
        <v>301138833</v>
      </c>
      <c r="Q265" s="76">
        <f t="shared" si="122"/>
        <v>283679935</v>
      </c>
      <c r="R265" s="76">
        <f t="shared" si="122"/>
        <v>306712368</v>
      </c>
      <c r="S265" s="76">
        <f t="shared" si="122"/>
        <v>299124939</v>
      </c>
      <c r="T265" s="76">
        <f t="shared" si="122"/>
        <v>298966503</v>
      </c>
      <c r="U265" s="76">
        <f t="shared" si="122"/>
        <v>298966503</v>
      </c>
      <c r="V265" s="76">
        <f t="shared" si="122"/>
        <v>298966503</v>
      </c>
      <c r="W265" s="76">
        <f t="shared" si="122"/>
        <v>4671525433</v>
      </c>
      <c r="X265" s="55"/>
      <c r="Y265" s="76">
        <f>Y236+Y252+Y254</f>
        <v>519289450</v>
      </c>
      <c r="Z265" s="76">
        <f t="shared" ref="Z265:AK265" si="123">Z236+Z252+Z254</f>
        <v>525123250</v>
      </c>
      <c r="AA265" s="76">
        <f t="shared" si="123"/>
        <v>571123250</v>
      </c>
      <c r="AB265" s="76">
        <f t="shared" si="123"/>
        <v>571123250</v>
      </c>
      <c r="AC265" s="76">
        <f t="shared" si="123"/>
        <v>518123250</v>
      </c>
      <c r="AD265" s="76">
        <f t="shared" si="123"/>
        <v>571123250</v>
      </c>
      <c r="AE265" s="76">
        <f t="shared" si="123"/>
        <v>621123250</v>
      </c>
      <c r="AF265" s="76">
        <f t="shared" si="123"/>
        <v>621123250</v>
      </c>
      <c r="AG265" s="76">
        <f t="shared" si="123"/>
        <v>621123250</v>
      </c>
      <c r="AH265" s="76">
        <f t="shared" si="123"/>
        <v>576123250</v>
      </c>
      <c r="AI265" s="76">
        <f t="shared" si="123"/>
        <v>576123250</v>
      </c>
      <c r="AJ265" s="76">
        <f t="shared" si="123"/>
        <v>575123250</v>
      </c>
      <c r="AK265" s="76">
        <f t="shared" si="123"/>
        <v>6866645200</v>
      </c>
      <c r="AL265" s="55"/>
      <c r="AM265" s="76">
        <f t="shared" ref="AM265:AY265" si="124">AM236+AM252+AM254</f>
        <v>519289450</v>
      </c>
      <c r="AN265" s="76">
        <f t="shared" si="124"/>
        <v>525123250</v>
      </c>
      <c r="AO265" s="76">
        <f t="shared" si="124"/>
        <v>571123250</v>
      </c>
      <c r="AP265" s="76">
        <f t="shared" si="124"/>
        <v>571123250</v>
      </c>
      <c r="AQ265" s="76">
        <f t="shared" si="124"/>
        <v>518123250</v>
      </c>
      <c r="AR265" s="76">
        <f t="shared" si="124"/>
        <v>571123250</v>
      </c>
      <c r="AS265" s="76">
        <f t="shared" si="124"/>
        <v>621123250</v>
      </c>
      <c r="AT265" s="76">
        <f t="shared" si="124"/>
        <v>621123250</v>
      </c>
      <c r="AU265" s="76">
        <f t="shared" si="124"/>
        <v>621123250</v>
      </c>
      <c r="AV265" s="76">
        <f t="shared" si="124"/>
        <v>576123250</v>
      </c>
      <c r="AW265" s="76">
        <f t="shared" si="124"/>
        <v>576123250</v>
      </c>
      <c r="AX265" s="76">
        <f t="shared" si="124"/>
        <v>575123250</v>
      </c>
      <c r="AY265" s="76">
        <f t="shared" si="124"/>
        <v>6866645200</v>
      </c>
      <c r="AZ265" s="55"/>
      <c r="BA265" s="76">
        <f t="shared" ref="BA265:CT265" si="125">BA236+BA252+BA254</f>
        <v>341082998</v>
      </c>
      <c r="BB265" s="76">
        <f t="shared" si="125"/>
        <v>301888193</v>
      </c>
      <c r="BC265" s="76">
        <f t="shared" si="125"/>
        <v>292263993</v>
      </c>
      <c r="BD265" s="76">
        <f t="shared" si="125"/>
        <v>295795633</v>
      </c>
      <c r="BE265" s="76">
        <f t="shared" si="125"/>
        <v>298070000</v>
      </c>
      <c r="BF265" s="76">
        <f t="shared" si="125"/>
        <v>332959280</v>
      </c>
      <c r="BG265" s="76">
        <f t="shared" si="125"/>
        <v>301570000</v>
      </c>
      <c r="BH265" s="76">
        <f t="shared" si="125"/>
        <v>149167365</v>
      </c>
      <c r="BI265" s="76">
        <f t="shared" si="125"/>
        <v>315070000</v>
      </c>
      <c r="BJ265" s="76">
        <f t="shared" si="125"/>
        <v>189136270</v>
      </c>
      <c r="BK265" s="76">
        <f t="shared" si="125"/>
        <v>304770000</v>
      </c>
      <c r="BL265" s="76">
        <f t="shared" si="125"/>
        <v>169622565</v>
      </c>
      <c r="BM265" s="76">
        <f t="shared" si="125"/>
        <v>324770000</v>
      </c>
      <c r="BN265" s="703">
        <f t="shared" si="125"/>
        <v>169174163</v>
      </c>
      <c r="BO265" s="703">
        <f t="shared" si="125"/>
        <v>324770000</v>
      </c>
      <c r="BP265" s="703">
        <f t="shared" si="125"/>
        <v>0</v>
      </c>
      <c r="BQ265" s="703">
        <f>BQ236+BQ252+BQ254</f>
        <v>524770000</v>
      </c>
      <c r="BR265" s="703">
        <f>BR236+BR252+BR254</f>
        <v>207500000</v>
      </c>
      <c r="BS265" s="703">
        <f t="shared" si="125"/>
        <v>0</v>
      </c>
      <c r="BT265" s="703">
        <f>BT236+BT252+BT254</f>
        <v>524770000</v>
      </c>
      <c r="BU265" s="703">
        <f t="shared" si="125"/>
        <v>275700000</v>
      </c>
      <c r="BV265" s="703">
        <f t="shared" si="125"/>
        <v>0</v>
      </c>
      <c r="BW265" s="703">
        <f>BW236+BW252+BW254</f>
        <v>574770000</v>
      </c>
      <c r="BX265" s="703">
        <f t="shared" si="125"/>
        <v>364700000</v>
      </c>
      <c r="BY265" s="703">
        <f t="shared" si="125"/>
        <v>0</v>
      </c>
      <c r="BZ265" s="703">
        <f>BZ236+BZ252+BZ254</f>
        <v>674770000</v>
      </c>
      <c r="CA265" s="703">
        <f t="shared" si="125"/>
        <v>452700000</v>
      </c>
      <c r="CB265" s="703">
        <f t="shared" si="125"/>
        <v>3249426467</v>
      </c>
      <c r="CC265" s="703">
        <f t="shared" si="125"/>
        <v>3249426467</v>
      </c>
      <c r="CD265" s="741"/>
      <c r="CE265" s="301">
        <f t="shared" ref="CE265:CP265" si="126">CE236+CE252+CE254</f>
        <v>360385500</v>
      </c>
      <c r="CF265" s="301">
        <f t="shared" si="126"/>
        <v>365239500</v>
      </c>
      <c r="CG265" s="301">
        <f t="shared" si="126"/>
        <v>363941500</v>
      </c>
      <c r="CH265" s="301">
        <f t="shared" si="126"/>
        <v>289164000</v>
      </c>
      <c r="CI265" s="301">
        <f t="shared" si="126"/>
        <v>297659500</v>
      </c>
      <c r="CJ265" s="301">
        <f t="shared" si="126"/>
        <v>291893500</v>
      </c>
      <c r="CK265" s="301">
        <f t="shared" si="126"/>
        <v>298784000</v>
      </c>
      <c r="CL265" s="301">
        <f t="shared" si="126"/>
        <v>297466000</v>
      </c>
      <c r="CM265" s="301">
        <f t="shared" si="126"/>
        <v>298800000</v>
      </c>
      <c r="CN265" s="301">
        <f t="shared" si="126"/>
        <v>300800000</v>
      </c>
      <c r="CO265" s="301">
        <f t="shared" si="126"/>
        <v>352800000</v>
      </c>
      <c r="CP265" s="301">
        <f t="shared" si="126"/>
        <v>403800000</v>
      </c>
      <c r="CQ265" s="301">
        <f t="shared" si="125"/>
        <v>3920733500</v>
      </c>
      <c r="CR265" s="301">
        <f t="shared" si="125"/>
        <v>3722577939.9678936</v>
      </c>
      <c r="CS265" s="301">
        <f t="shared" si="125"/>
        <v>6607032784.0466871</v>
      </c>
      <c r="CT265" s="301">
        <f t="shared" si="125"/>
        <v>7353521839.7641563</v>
      </c>
      <c r="CU265" s="301">
        <f>CU236+CU252+CU254</f>
        <v>8204888332.5739174</v>
      </c>
      <c r="CV265" s="57"/>
    </row>
    <row r="266" spans="1:101" s="918" customFormat="1" ht="15.5" outlineLevel="1">
      <c r="A266" s="302"/>
      <c r="B266" s="302"/>
      <c r="C266" s="302"/>
      <c r="D266" s="302"/>
      <c r="E266" s="302"/>
      <c r="F266" s="302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22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>
        <v>0.46989357084380012</v>
      </c>
      <c r="AL266" s="55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>
        <v>0.46989357084380012</v>
      </c>
      <c r="AZ266" s="22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00"/>
      <c r="BO266" s="700"/>
      <c r="BP266" s="700"/>
      <c r="BQ266" s="700"/>
      <c r="BR266" s="700"/>
      <c r="BS266" s="700"/>
      <c r="BT266" s="700"/>
      <c r="BU266" s="700"/>
      <c r="BV266" s="700"/>
      <c r="BW266" s="700"/>
      <c r="BX266" s="700"/>
      <c r="BY266" s="700"/>
      <c r="BZ266" s="700"/>
      <c r="CA266" s="700"/>
      <c r="CB266" s="700">
        <f>CB265/AK265-1</f>
        <v>-0.52678107396607587</v>
      </c>
      <c r="CC266" s="700" t="e">
        <f>CC265/AL265-1</f>
        <v>#DIV/0!</v>
      </c>
      <c r="CD266" s="739"/>
      <c r="CE266" s="302"/>
      <c r="CF266" s="302"/>
      <c r="CG266" s="302"/>
      <c r="CH266" s="302"/>
      <c r="CI266" s="302"/>
      <c r="CJ266" s="302"/>
      <c r="CK266" s="302"/>
      <c r="CL266" s="302"/>
      <c r="CM266" s="302"/>
      <c r="CN266" s="302"/>
      <c r="CO266" s="302"/>
      <c r="CP266" s="302"/>
      <c r="CQ266" s="302"/>
      <c r="CR266" s="302"/>
      <c r="CS266" s="302"/>
      <c r="CT266" s="302"/>
      <c r="CU266" s="302"/>
      <c r="CV266" s="917"/>
    </row>
    <row r="267" spans="1:101" ht="15.5">
      <c r="A267" s="312"/>
      <c r="B267" s="312"/>
      <c r="C267" s="312"/>
      <c r="D267" s="312"/>
      <c r="E267" s="312" t="s">
        <v>249</v>
      </c>
      <c r="F267" s="312"/>
      <c r="G267" s="108">
        <f t="shared" ref="G267:W267" si="127">G119+G169+G234+G265</f>
        <v>161555930796</v>
      </c>
      <c r="H267" s="108">
        <f t="shared" si="127"/>
        <v>12015350724</v>
      </c>
      <c r="I267" s="108">
        <f t="shared" si="127"/>
        <v>10626976184</v>
      </c>
      <c r="J267" s="108">
        <f t="shared" si="127"/>
        <v>8662456996</v>
      </c>
      <c r="K267" s="108">
        <f t="shared" si="127"/>
        <v>9006723073</v>
      </c>
      <c r="L267" s="108">
        <f t="shared" si="127"/>
        <v>12055786124</v>
      </c>
      <c r="M267" s="108">
        <f t="shared" si="127"/>
        <v>10333116963</v>
      </c>
      <c r="N267" s="108">
        <f t="shared" si="127"/>
        <v>8920652104</v>
      </c>
      <c r="O267" s="108">
        <f t="shared" si="127"/>
        <v>9754087080</v>
      </c>
      <c r="P267" s="108">
        <f t="shared" si="127"/>
        <v>8803678394</v>
      </c>
      <c r="Q267" s="108">
        <f t="shared" si="127"/>
        <v>8133852571</v>
      </c>
      <c r="R267" s="108">
        <f t="shared" si="127"/>
        <v>9012978618</v>
      </c>
      <c r="S267" s="108">
        <f t="shared" si="127"/>
        <v>11571265068</v>
      </c>
      <c r="T267" s="108">
        <f t="shared" si="127"/>
        <v>9117872576</v>
      </c>
      <c r="U267" s="108">
        <f t="shared" si="127"/>
        <v>9135014276</v>
      </c>
      <c r="V267" s="108">
        <f t="shared" si="127"/>
        <v>9135014276</v>
      </c>
      <c r="W267" s="108">
        <f t="shared" si="127"/>
        <v>118896923899</v>
      </c>
      <c r="X267" s="55"/>
      <c r="Y267" s="108">
        <f t="shared" ref="Y267:AJ267" si="128">Y119+Y169+Y234+Y265</f>
        <v>10685065374.67742</v>
      </c>
      <c r="Z267" s="108">
        <f t="shared" si="128"/>
        <v>10707564943.227419</v>
      </c>
      <c r="AA267" s="108">
        <f t="shared" si="128"/>
        <v>11201964943.227419</v>
      </c>
      <c r="AB267" s="108">
        <f t="shared" si="128"/>
        <v>11511964943.227419</v>
      </c>
      <c r="AC267" s="108">
        <f t="shared" si="128"/>
        <v>11518964943.227419</v>
      </c>
      <c r="AD267" s="108">
        <f t="shared" si="128"/>
        <v>11841964943.227419</v>
      </c>
      <c r="AE267" s="108">
        <f t="shared" si="128"/>
        <v>12155830009.227419</v>
      </c>
      <c r="AF267" s="108">
        <f t="shared" si="128"/>
        <v>12150830009.227419</v>
      </c>
      <c r="AG267" s="108">
        <f t="shared" si="128"/>
        <v>12255830009.227419</v>
      </c>
      <c r="AH267" s="108">
        <f t="shared" si="128"/>
        <v>12305830009.227419</v>
      </c>
      <c r="AI267" s="108">
        <f t="shared" si="128"/>
        <v>12310830009.227419</v>
      </c>
      <c r="AJ267" s="108">
        <f t="shared" si="128"/>
        <v>12304830009.227419</v>
      </c>
      <c r="AK267" s="108">
        <v>140951470146.17902</v>
      </c>
      <c r="AL267" s="55"/>
      <c r="AM267" s="108">
        <v>10685065374.67742</v>
      </c>
      <c r="AN267" s="108">
        <v>10707564943.227419</v>
      </c>
      <c r="AO267" s="108">
        <v>11201964943.227419</v>
      </c>
      <c r="AP267" s="108">
        <v>11511964943.227419</v>
      </c>
      <c r="AQ267" s="108">
        <v>11518964943.227419</v>
      </c>
      <c r="AR267" s="108">
        <v>11841964943.227419</v>
      </c>
      <c r="AS267" s="108">
        <v>12155830009.227419</v>
      </c>
      <c r="AT267" s="108">
        <v>12150830009.227419</v>
      </c>
      <c r="AU267" s="108">
        <v>12255830009.227419</v>
      </c>
      <c r="AV267" s="108">
        <v>12305830009.227419</v>
      </c>
      <c r="AW267" s="108">
        <v>12310830009.227419</v>
      </c>
      <c r="AX267" s="108">
        <v>12304830009.227419</v>
      </c>
      <c r="AY267" s="108">
        <v>140951470146.17902</v>
      </c>
      <c r="AZ267" s="55"/>
      <c r="BA267" s="226">
        <f t="shared" ref="BA267:CC267" si="129">BA119+BA169+BA234+BA265</f>
        <v>7895253611</v>
      </c>
      <c r="BB267" s="226">
        <f t="shared" si="129"/>
        <v>7342564275</v>
      </c>
      <c r="BC267" s="226">
        <f t="shared" si="129"/>
        <v>7502461901</v>
      </c>
      <c r="BD267" s="226">
        <f t="shared" si="129"/>
        <v>7107802951</v>
      </c>
      <c r="BE267" s="226">
        <f t="shared" si="129"/>
        <v>7658268629</v>
      </c>
      <c r="BF267" s="226">
        <f t="shared" si="129"/>
        <v>7521730986</v>
      </c>
      <c r="BG267" s="226">
        <f t="shared" si="129"/>
        <v>8282621623</v>
      </c>
      <c r="BH267" s="226">
        <f t="shared" si="129"/>
        <v>6656808574</v>
      </c>
      <c r="BI267" s="226">
        <f t="shared" si="129"/>
        <v>8188841823</v>
      </c>
      <c r="BJ267" s="226">
        <f t="shared" si="129"/>
        <v>7934444463</v>
      </c>
      <c r="BK267" s="226">
        <f t="shared" si="129"/>
        <v>10429143823</v>
      </c>
      <c r="BL267" s="226">
        <f t="shared" si="129"/>
        <v>6406075055</v>
      </c>
      <c r="BM267" s="226">
        <f t="shared" si="129"/>
        <v>10786909145</v>
      </c>
      <c r="BN267" s="704">
        <f t="shared" si="129"/>
        <v>9501390118</v>
      </c>
      <c r="BO267" s="704">
        <f t="shared" si="129"/>
        <v>12131138770</v>
      </c>
      <c r="BP267" s="704">
        <f t="shared" si="129"/>
        <v>0</v>
      </c>
      <c r="BQ267" s="704">
        <f t="shared" si="129"/>
        <v>12473441416</v>
      </c>
      <c r="BR267" s="704">
        <f t="shared" si="129"/>
        <v>9067872162</v>
      </c>
      <c r="BS267" s="704">
        <f t="shared" si="129"/>
        <v>0</v>
      </c>
      <c r="BT267" s="704">
        <f t="shared" si="129"/>
        <v>13849111416</v>
      </c>
      <c r="BU267" s="704">
        <f t="shared" si="129"/>
        <v>10054072162</v>
      </c>
      <c r="BV267" s="704">
        <f t="shared" si="129"/>
        <v>0</v>
      </c>
      <c r="BW267" s="704">
        <f t="shared" si="129"/>
        <v>14195325416</v>
      </c>
      <c r="BX267" s="704">
        <f t="shared" si="129"/>
        <v>10709072162</v>
      </c>
      <c r="BY267" s="704">
        <f t="shared" si="129"/>
        <v>0</v>
      </c>
      <c r="BZ267" s="704">
        <f t="shared" si="129"/>
        <v>14287765416</v>
      </c>
      <c r="CA267" s="704">
        <f t="shared" si="129"/>
        <v>11371480162</v>
      </c>
      <c r="CB267" s="704">
        <f t="shared" si="129"/>
        <v>101568566681</v>
      </c>
      <c r="CC267" s="704">
        <f t="shared" si="129"/>
        <v>101568566681</v>
      </c>
      <c r="CD267" s="738"/>
      <c r="CE267" s="329">
        <f t="shared" ref="CE267:CU267" si="130">CE119+CE169+CE234+CE265</f>
        <v>7999493833</v>
      </c>
      <c r="CF267" s="329">
        <f t="shared" si="130"/>
        <v>7964791392</v>
      </c>
      <c r="CG267" s="329">
        <f t="shared" si="130"/>
        <v>9674524833</v>
      </c>
      <c r="CH267" s="329">
        <f t="shared" si="130"/>
        <v>10020772422</v>
      </c>
      <c r="CI267" s="329">
        <f t="shared" si="130"/>
        <v>10277242833</v>
      </c>
      <c r="CJ267" s="329">
        <f t="shared" si="130"/>
        <v>10612815316</v>
      </c>
      <c r="CK267" s="329">
        <f t="shared" si="130"/>
        <v>10638467333</v>
      </c>
      <c r="CL267" s="329">
        <f t="shared" si="130"/>
        <v>10688876832</v>
      </c>
      <c r="CM267" s="329">
        <f t="shared" si="130"/>
        <v>10769983333</v>
      </c>
      <c r="CN267" s="329">
        <f t="shared" si="130"/>
        <v>10762983333</v>
      </c>
      <c r="CO267" s="329">
        <f t="shared" si="130"/>
        <v>10981983333</v>
      </c>
      <c r="CP267" s="329">
        <f t="shared" si="130"/>
        <v>11121483333</v>
      </c>
      <c r="CQ267" s="329">
        <f t="shared" si="130"/>
        <v>121513418126</v>
      </c>
      <c r="CR267" s="329">
        <f t="shared" si="130"/>
        <v>122513088533.50909</v>
      </c>
      <c r="CS267" s="329">
        <f t="shared" si="130"/>
        <v>172541119248.34509</v>
      </c>
      <c r="CT267" s="329">
        <f t="shared" si="130"/>
        <v>240470024772.38327</v>
      </c>
      <c r="CU267" s="329">
        <f t="shared" si="130"/>
        <v>260810121975.92142</v>
      </c>
      <c r="CV267" s="57"/>
      <c r="CW267" s="57"/>
    </row>
    <row r="268" spans="1:101" s="918" customFormat="1" ht="15.5">
      <c r="A268" s="302"/>
      <c r="B268" s="302"/>
      <c r="C268" s="302"/>
      <c r="D268" s="302"/>
      <c r="E268" s="302"/>
      <c r="F268" s="302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22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55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22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00"/>
      <c r="BO268" s="700"/>
      <c r="BP268" s="700"/>
      <c r="BQ268" s="700"/>
      <c r="BR268" s="700"/>
      <c r="BS268" s="700"/>
      <c r="BT268" s="700"/>
      <c r="BU268" s="700"/>
      <c r="BV268" s="700"/>
      <c r="BW268" s="700"/>
      <c r="BX268" s="700"/>
      <c r="BY268" s="700"/>
      <c r="BZ268" s="700"/>
      <c r="CA268" s="700"/>
      <c r="CB268" s="700"/>
      <c r="CC268" s="700"/>
      <c r="CD268" s="739"/>
      <c r="CE268" s="302"/>
      <c r="CF268" s="302"/>
      <c r="CG268" s="302"/>
      <c r="CH268" s="302"/>
      <c r="CI268" s="302"/>
      <c r="CJ268" s="302"/>
      <c r="CK268" s="302"/>
      <c r="CL268" s="302"/>
      <c r="CM268" s="302"/>
      <c r="CN268" s="302"/>
      <c r="CO268" s="302"/>
      <c r="CP268" s="302"/>
      <c r="CQ268" s="302"/>
      <c r="CR268" s="302"/>
      <c r="CS268" s="302"/>
      <c r="CT268" s="302"/>
      <c r="CU268" s="302"/>
      <c r="CV268" s="917"/>
    </row>
    <row r="269" spans="1:101" ht="15.5">
      <c r="A269" s="284"/>
      <c r="B269" s="284"/>
      <c r="C269" s="284"/>
      <c r="D269" s="284"/>
      <c r="E269" s="284" t="s">
        <v>250</v>
      </c>
      <c r="F269" s="284"/>
      <c r="G269" s="53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5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6"/>
      <c r="AL269" s="55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6"/>
      <c r="AZ269" s="55"/>
      <c r="BA269" s="56"/>
      <c r="BB269" s="56"/>
      <c r="BC269" s="227"/>
      <c r="BD269" s="56"/>
      <c r="BE269" s="227"/>
      <c r="BF269" s="56"/>
      <c r="BG269" s="227"/>
      <c r="BH269" s="56"/>
      <c r="BI269" s="227"/>
      <c r="BJ269" s="56"/>
      <c r="BK269" s="227"/>
      <c r="BL269" s="56"/>
      <c r="BM269" s="227"/>
      <c r="BN269" s="693"/>
      <c r="BO269" s="705"/>
      <c r="BP269" s="693"/>
      <c r="BQ269" s="705"/>
      <c r="BR269" s="705"/>
      <c r="BS269" s="693"/>
      <c r="BT269" s="705"/>
      <c r="BU269" s="705"/>
      <c r="BV269" s="693"/>
      <c r="BW269" s="705"/>
      <c r="BX269" s="705"/>
      <c r="BY269" s="693"/>
      <c r="BZ269" s="705"/>
      <c r="CA269" s="705"/>
      <c r="CB269" s="693"/>
      <c r="CC269" s="705"/>
      <c r="CD269" s="737"/>
      <c r="CE269" s="321"/>
      <c r="CF269" s="321"/>
      <c r="CG269" s="321"/>
      <c r="CH269" s="321"/>
      <c r="CI269" s="321"/>
      <c r="CJ269" s="321"/>
      <c r="CK269" s="321"/>
      <c r="CL269" s="321"/>
      <c r="CM269" s="321"/>
      <c r="CN269" s="321"/>
      <c r="CO269" s="321"/>
      <c r="CP269" s="321"/>
      <c r="CQ269" s="321"/>
      <c r="CR269" s="321"/>
      <c r="CS269" s="321"/>
      <c r="CT269" s="321"/>
      <c r="CU269" s="321"/>
      <c r="CV269" s="57"/>
      <c r="CW269" s="57"/>
    </row>
    <row r="270" spans="1:101" ht="15.5" outlineLevel="1">
      <c r="A270" s="285"/>
      <c r="B270" s="285"/>
      <c r="C270" s="285"/>
      <c r="D270" s="285"/>
      <c r="E270" s="285" t="s">
        <v>251</v>
      </c>
      <c r="F270" s="285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5"/>
      <c r="Y270" s="225">
        <f t="shared" ref="Y270:AK270" si="131">SUM(Y272:Y279)</f>
        <v>3239631545.840641</v>
      </c>
      <c r="Z270" s="225">
        <f t="shared" si="131"/>
        <v>4839631545.840641</v>
      </c>
      <c r="AA270" s="225">
        <f t="shared" si="131"/>
        <v>3239631545.840641</v>
      </c>
      <c r="AB270" s="225">
        <f t="shared" si="131"/>
        <v>3239631545.840641</v>
      </c>
      <c r="AC270" s="225">
        <f t="shared" si="131"/>
        <v>4839631545.840641</v>
      </c>
      <c r="AD270" s="225">
        <f t="shared" si="131"/>
        <v>3419631545.840641</v>
      </c>
      <c r="AE270" s="225">
        <f t="shared" si="131"/>
        <v>3239631545.840641</v>
      </c>
      <c r="AF270" s="225">
        <f t="shared" si="131"/>
        <v>4839631545.840641</v>
      </c>
      <c r="AG270" s="225">
        <f t="shared" si="131"/>
        <v>3419631545.840641</v>
      </c>
      <c r="AH270" s="225">
        <f t="shared" si="131"/>
        <v>3239631545.840641</v>
      </c>
      <c r="AI270" s="225">
        <f t="shared" si="131"/>
        <v>3239631545.840641</v>
      </c>
      <c r="AJ270" s="225">
        <f t="shared" si="131"/>
        <v>5019631545.840641</v>
      </c>
      <c r="AK270" s="225">
        <f t="shared" si="131"/>
        <v>45815578550.087692</v>
      </c>
      <c r="AL270" s="55"/>
      <c r="AM270" s="225">
        <f t="shared" ref="AM270:AY270" si="132">SUM(AM272:AM279)</f>
        <v>3288833333.3333335</v>
      </c>
      <c r="AN270" s="225">
        <f t="shared" si="132"/>
        <v>4888833333.333334</v>
      </c>
      <c r="AO270" s="225">
        <f t="shared" si="132"/>
        <v>3288833333.3333335</v>
      </c>
      <c r="AP270" s="225">
        <f t="shared" si="132"/>
        <v>3288833333.3333335</v>
      </c>
      <c r="AQ270" s="225">
        <f t="shared" si="132"/>
        <v>4888833333.333334</v>
      </c>
      <c r="AR270" s="225">
        <f t="shared" si="132"/>
        <v>3468833333.3333335</v>
      </c>
      <c r="AS270" s="225">
        <f t="shared" si="132"/>
        <v>3288833333.3333335</v>
      </c>
      <c r="AT270" s="225">
        <f t="shared" si="132"/>
        <v>4888833333.333334</v>
      </c>
      <c r="AU270" s="225">
        <f t="shared" si="132"/>
        <v>3468833333.3333335</v>
      </c>
      <c r="AV270" s="225">
        <f t="shared" si="132"/>
        <v>3288833333.3333335</v>
      </c>
      <c r="AW270" s="225">
        <f t="shared" si="132"/>
        <v>3288833333.3333335</v>
      </c>
      <c r="AX270" s="225">
        <f t="shared" si="132"/>
        <v>5068833333.333334</v>
      </c>
      <c r="AY270" s="225">
        <f t="shared" si="132"/>
        <v>46406000000</v>
      </c>
      <c r="AZ270" s="55"/>
      <c r="BA270" s="225">
        <f t="shared" ref="BA270:CS270" si="133">SUM(BA272:BA279)</f>
        <v>2580822594</v>
      </c>
      <c r="BB270" s="225">
        <f t="shared" si="133"/>
        <v>3193484038</v>
      </c>
      <c r="BC270" s="225">
        <f t="shared" si="133"/>
        <v>2934000000</v>
      </c>
      <c r="BD270" s="225">
        <f t="shared" si="133"/>
        <v>5887190364</v>
      </c>
      <c r="BE270" s="225">
        <f t="shared" si="133"/>
        <v>3371000000</v>
      </c>
      <c r="BF270" s="225">
        <f t="shared" si="133"/>
        <v>4127815507</v>
      </c>
      <c r="BG270" s="225">
        <f t="shared" si="133"/>
        <v>3268800000</v>
      </c>
      <c r="BH270" s="225">
        <f t="shared" si="133"/>
        <v>2598940204</v>
      </c>
      <c r="BI270" s="225">
        <f t="shared" si="133"/>
        <v>4494000000</v>
      </c>
      <c r="BJ270" s="225">
        <f t="shared" si="133"/>
        <v>3048943347</v>
      </c>
      <c r="BK270" s="225">
        <f t="shared" si="133"/>
        <v>3493800000</v>
      </c>
      <c r="BL270" s="225">
        <f t="shared" si="133"/>
        <v>2671577345</v>
      </c>
      <c r="BM270" s="225">
        <f t="shared" si="133"/>
        <v>3243800000</v>
      </c>
      <c r="BN270" s="694">
        <f t="shared" si="133"/>
        <v>3393485689</v>
      </c>
      <c r="BO270" s="694">
        <f t="shared" si="133"/>
        <v>3243800000</v>
      </c>
      <c r="BP270" s="694">
        <f t="shared" si="133"/>
        <v>0</v>
      </c>
      <c r="BQ270" s="694">
        <f>SUM(BQ272:BQ279)</f>
        <v>3243800000</v>
      </c>
      <c r="BR270" s="694">
        <f>SUM(BR272:BR279)</f>
        <v>3520000000</v>
      </c>
      <c r="BS270" s="694">
        <f t="shared" si="133"/>
        <v>0</v>
      </c>
      <c r="BT270" s="694">
        <f>SUM(BT272:BT279)</f>
        <v>3243800000</v>
      </c>
      <c r="BU270" s="694">
        <f t="shared" si="133"/>
        <v>3695000000</v>
      </c>
      <c r="BV270" s="694">
        <f t="shared" si="133"/>
        <v>0</v>
      </c>
      <c r="BW270" s="694">
        <f>SUM(BW272:BW279)</f>
        <v>3143800000</v>
      </c>
      <c r="BX270" s="694">
        <f t="shared" si="133"/>
        <v>3870000000</v>
      </c>
      <c r="BY270" s="694">
        <f t="shared" si="133"/>
        <v>0</v>
      </c>
      <c r="BZ270" s="694">
        <f>SUM(BZ272:BZ279)</f>
        <v>3043800000</v>
      </c>
      <c r="CA270" s="694">
        <f t="shared" si="133"/>
        <v>4055400000</v>
      </c>
      <c r="CB270" s="694">
        <f t="shared" si="133"/>
        <v>42642659088</v>
      </c>
      <c r="CC270" s="694">
        <f t="shared" si="133"/>
        <v>42642659088</v>
      </c>
      <c r="CD270" s="737"/>
      <c r="CE270" s="308">
        <f>SUM(CE272:CE279)</f>
        <v>3693000000</v>
      </c>
      <c r="CF270" s="308">
        <f t="shared" ref="CF270:CP270" si="134">SUM(CF272:CF279)</f>
        <v>3703000000</v>
      </c>
      <c r="CG270" s="308">
        <f t="shared" si="134"/>
        <v>3703000000</v>
      </c>
      <c r="CH270" s="308">
        <f t="shared" si="134"/>
        <v>3683000000</v>
      </c>
      <c r="CI270" s="308">
        <f t="shared" si="134"/>
        <v>3623000000</v>
      </c>
      <c r="CJ270" s="308">
        <f t="shared" si="134"/>
        <v>3733000000</v>
      </c>
      <c r="CK270" s="308">
        <f t="shared" si="134"/>
        <v>3713000000</v>
      </c>
      <c r="CL270" s="308">
        <f t="shared" si="134"/>
        <v>3693000000</v>
      </c>
      <c r="CM270" s="308">
        <f t="shared" si="134"/>
        <v>3693000000</v>
      </c>
      <c r="CN270" s="308">
        <f t="shared" si="134"/>
        <v>3693000000</v>
      </c>
      <c r="CO270" s="308">
        <f t="shared" si="134"/>
        <v>3703000000</v>
      </c>
      <c r="CP270" s="308">
        <f t="shared" si="134"/>
        <v>3683000000</v>
      </c>
      <c r="CQ270" s="308">
        <f>SUM(CQ272:CQ279)</f>
        <v>44316000000</v>
      </c>
      <c r="CR270" s="308">
        <f>SUM(CR272:CR279)</f>
        <v>51025541159.937973</v>
      </c>
      <c r="CS270" s="308">
        <f t="shared" si="133"/>
        <v>55237923223.224907</v>
      </c>
      <c r="CT270" s="308">
        <f>SUM(CT272:CT279)</f>
        <v>63885065494.814987</v>
      </c>
      <c r="CU270" s="308">
        <f>SUM(CU272:CU279)</f>
        <v>74075163255.603088</v>
      </c>
      <c r="CV270" s="57"/>
    </row>
    <row r="271" spans="1:101" ht="15" customHeight="1" outlineLevel="2">
      <c r="A271" s="276" t="s">
        <v>39</v>
      </c>
      <c r="B271" s="277" t="str">
        <f>$E$270&amp;$E$269&amp;E271</f>
        <v>BULK JAKARTABULKILC LOGISTICS INDONESIA</v>
      </c>
      <c r="C271" s="276" t="s">
        <v>252</v>
      </c>
      <c r="E271" s="287" t="s">
        <v>200</v>
      </c>
      <c r="F271" s="287"/>
      <c r="G271" s="64">
        <v>3278800</v>
      </c>
      <c r="H271" s="94"/>
      <c r="I271" s="94"/>
      <c r="J271" s="94"/>
      <c r="K271" s="94"/>
      <c r="L271" s="94"/>
      <c r="M271" s="94"/>
      <c r="N271" s="94"/>
      <c r="O271" s="94"/>
      <c r="P271" s="95">
        <v>0</v>
      </c>
      <c r="Q271" s="95"/>
      <c r="R271" s="95"/>
      <c r="S271" s="95"/>
      <c r="T271" s="65">
        <v>0</v>
      </c>
      <c r="U271" s="65">
        <v>0</v>
      </c>
      <c r="V271" s="65">
        <v>0</v>
      </c>
      <c r="W271" s="66">
        <f t="shared" ref="W271:W287" si="135">SUM(H271:S271)</f>
        <v>0</v>
      </c>
      <c r="X271" s="55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61">
        <v>0</v>
      </c>
      <c r="AL271" s="55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122"/>
      <c r="AZ271" s="55"/>
      <c r="BA271" s="639">
        <v>0</v>
      </c>
      <c r="BB271" s="639">
        <v>0</v>
      </c>
      <c r="BC271" s="86"/>
      <c r="BD271" s="639">
        <v>0</v>
      </c>
      <c r="BE271" s="86"/>
      <c r="BF271" s="639">
        <v>0</v>
      </c>
      <c r="BG271" s="86"/>
      <c r="BH271" s="639"/>
      <c r="BI271" s="86"/>
      <c r="BJ271" s="639"/>
      <c r="BK271" s="86"/>
      <c r="BL271" s="639"/>
      <c r="BM271" s="86"/>
      <c r="BN271" s="695">
        <v>0</v>
      </c>
      <c r="BO271" s="696"/>
      <c r="BP271" s="695"/>
      <c r="BQ271" s="696"/>
      <c r="BR271" s="702"/>
      <c r="BS271" s="695"/>
      <c r="BT271" s="696"/>
      <c r="BU271" s="702"/>
      <c r="BV271" s="695"/>
      <c r="BW271" s="696"/>
      <c r="BX271" s="702"/>
      <c r="BY271" s="695"/>
      <c r="BZ271" s="696"/>
      <c r="CA271" s="702"/>
      <c r="CB271" s="720">
        <f t="shared" ref="CB271:CB279" si="136">SUM(BA271,BB271,BD271,BF271,BH271,BJ271,BL271,BN271,BP271,BR271,BU271,BX271,CA271)</f>
        <v>0</v>
      </c>
      <c r="CC271" s="721">
        <f t="shared" ref="CC271:CC279" si="137">SUM(BA271,BB271,BD271,BF271,BH271,BJ271,BL271,BN271,BR271,BU271,BX271,CA271)</f>
        <v>0</v>
      </c>
      <c r="CD271" s="738"/>
      <c r="CE271" s="322"/>
      <c r="CF271" s="322"/>
      <c r="CG271" s="322"/>
      <c r="CH271" s="322"/>
      <c r="CI271" s="322"/>
      <c r="CJ271" s="322"/>
      <c r="CK271" s="322"/>
      <c r="CL271" s="322"/>
      <c r="CM271" s="322"/>
      <c r="CN271" s="322"/>
      <c r="CO271" s="322"/>
      <c r="CP271" s="322"/>
      <c r="CQ271" s="355">
        <f t="shared" ref="CQ271:CQ279" si="138">SUM(CE271,CF271,CG271,CH271,CI271,CJ271,CK271,CL271,CM271,CN271,CO271,CP271)</f>
        <v>0</v>
      </c>
      <c r="CR271" s="356"/>
      <c r="CS271" s="357"/>
      <c r="CT271" s="332"/>
      <c r="CU271" s="358"/>
      <c r="CV271" s="57" t="s">
        <v>38</v>
      </c>
    </row>
    <row r="272" spans="1:101" ht="15" customHeight="1" outlineLevel="2">
      <c r="A272" s="276" t="s">
        <v>253</v>
      </c>
      <c r="B272" s="277" t="str">
        <f t="shared" ref="B272:B287" si="139">$E$270&amp;$E$269&amp;E272</f>
        <v>BULK JAKARTABULKINDOCEMENT TUNGGAL PRAKARSA TBK.</v>
      </c>
      <c r="C272" s="276" t="s">
        <v>252</v>
      </c>
      <c r="D272" s="276" t="s">
        <v>40</v>
      </c>
      <c r="E272" s="287" t="s">
        <v>254</v>
      </c>
      <c r="F272" s="287">
        <v>3000011671</v>
      </c>
      <c r="G272" s="64">
        <v>13039204914</v>
      </c>
      <c r="H272" s="65">
        <v>1205153647</v>
      </c>
      <c r="I272" s="65">
        <v>1286317932</v>
      </c>
      <c r="J272" s="65">
        <v>1132166040</v>
      </c>
      <c r="K272" s="65">
        <v>1176518248</v>
      </c>
      <c r="L272" s="65">
        <v>1185777636</v>
      </c>
      <c r="M272" s="65">
        <v>1240133316</v>
      </c>
      <c r="N272" s="65">
        <v>1375907113</v>
      </c>
      <c r="O272" s="65">
        <v>1387286123</v>
      </c>
      <c r="P272" s="95">
        <v>1452465879</v>
      </c>
      <c r="Q272" s="95">
        <v>1416915546</v>
      </c>
      <c r="R272" s="95">
        <v>1459941384</v>
      </c>
      <c r="S272" s="95">
        <v>1421848482</v>
      </c>
      <c r="T272" s="83">
        <v>1452465879</v>
      </c>
      <c r="U272" s="83">
        <v>1452465879</v>
      </c>
      <c r="V272" s="83">
        <v>1452465879</v>
      </c>
      <c r="W272" s="66">
        <f t="shared" si="135"/>
        <v>15740431346</v>
      </c>
      <c r="X272" s="55"/>
      <c r="Y272" s="96">
        <f t="shared" ref="Y272:AJ272" si="140">1500000000-368454.15935871</f>
        <v>1499631545.8406413</v>
      </c>
      <c r="Z272" s="96">
        <f t="shared" si="140"/>
        <v>1499631545.8406413</v>
      </c>
      <c r="AA272" s="96">
        <f t="shared" si="140"/>
        <v>1499631545.8406413</v>
      </c>
      <c r="AB272" s="96">
        <f t="shared" si="140"/>
        <v>1499631545.8406413</v>
      </c>
      <c r="AC272" s="96">
        <f t="shared" si="140"/>
        <v>1499631545.8406413</v>
      </c>
      <c r="AD272" s="96">
        <f t="shared" si="140"/>
        <v>1499631545.8406413</v>
      </c>
      <c r="AE272" s="96">
        <f t="shared" si="140"/>
        <v>1499631545.8406413</v>
      </c>
      <c r="AF272" s="96">
        <f t="shared" si="140"/>
        <v>1499631545.8406413</v>
      </c>
      <c r="AG272" s="96">
        <f t="shared" si="140"/>
        <v>1499631545.8406413</v>
      </c>
      <c r="AH272" s="96">
        <f t="shared" si="140"/>
        <v>1499631545.8406413</v>
      </c>
      <c r="AI272" s="96">
        <f t="shared" si="140"/>
        <v>1499631545.8406413</v>
      </c>
      <c r="AJ272" s="96">
        <f t="shared" si="140"/>
        <v>1499631545.8406413</v>
      </c>
      <c r="AK272" s="61">
        <v>17995578550.087696</v>
      </c>
      <c r="AL272" s="55"/>
      <c r="AM272" s="96">
        <v>1499631545.8406413</v>
      </c>
      <c r="AN272" s="96">
        <v>1499631545.8406413</v>
      </c>
      <c r="AO272" s="96">
        <v>1499631545.8406413</v>
      </c>
      <c r="AP272" s="96">
        <v>1499631545.8406413</v>
      </c>
      <c r="AQ272" s="96">
        <v>1499631545.8406413</v>
      </c>
      <c r="AR272" s="96">
        <v>1499631545.8406413</v>
      </c>
      <c r="AS272" s="96">
        <v>1499631545.8406413</v>
      </c>
      <c r="AT272" s="96">
        <v>1499631545.8406413</v>
      </c>
      <c r="AU272" s="96">
        <v>1499631545.8406413</v>
      </c>
      <c r="AV272" s="96">
        <v>1499631545.8406413</v>
      </c>
      <c r="AW272" s="96">
        <v>1499631545.8406413</v>
      </c>
      <c r="AX272" s="96">
        <v>1499631545.8406413</v>
      </c>
      <c r="AY272" s="122">
        <v>17995578550.087696</v>
      </c>
      <c r="AZ272" s="55"/>
      <c r="BA272" s="639">
        <v>1368834418</v>
      </c>
      <c r="BB272" s="639">
        <v>1253722570</v>
      </c>
      <c r="BC272" s="86">
        <v>1252000000</v>
      </c>
      <c r="BD272" s="639">
        <v>1379866963</v>
      </c>
      <c r="BE272" s="86">
        <v>1350000000</v>
      </c>
      <c r="BF272" s="639">
        <v>1297458042</v>
      </c>
      <c r="BG272" s="86">
        <f>1375000000</f>
        <v>1375000000</v>
      </c>
      <c r="BH272" s="639">
        <v>1169145408</v>
      </c>
      <c r="BI272" s="86">
        <f>1375000000</f>
        <v>1375000000</v>
      </c>
      <c r="BJ272" s="639">
        <v>1414653821</v>
      </c>
      <c r="BK272" s="86">
        <v>1400000000</v>
      </c>
      <c r="BL272" s="639">
        <v>1356410805</v>
      </c>
      <c r="BM272" s="86">
        <v>1400000000</v>
      </c>
      <c r="BN272" s="695">
        <v>1365584270</v>
      </c>
      <c r="BO272" s="696">
        <v>1400000000</v>
      </c>
      <c r="BP272" s="695"/>
      <c r="BQ272" s="696">
        <v>1400000000</v>
      </c>
      <c r="BR272" s="729">
        <v>1500000000</v>
      </c>
      <c r="BS272" s="695"/>
      <c r="BT272" s="696">
        <v>1400000000</v>
      </c>
      <c r="BU272" s="729">
        <v>1600000000</v>
      </c>
      <c r="BV272" s="695"/>
      <c r="BW272" s="696">
        <v>1300000000</v>
      </c>
      <c r="BX272" s="729">
        <v>1700000000</v>
      </c>
      <c r="BY272" s="695"/>
      <c r="BZ272" s="696">
        <v>1200000000</v>
      </c>
      <c r="CA272" s="729">
        <v>1800000000</v>
      </c>
      <c r="CB272" s="720">
        <f t="shared" si="136"/>
        <v>17205676297</v>
      </c>
      <c r="CC272" s="721">
        <f t="shared" si="137"/>
        <v>17205676297</v>
      </c>
      <c r="CD272" s="738"/>
      <c r="CE272" s="322">
        <v>1450000000</v>
      </c>
      <c r="CF272" s="322">
        <v>1450000000</v>
      </c>
      <c r="CG272" s="322">
        <v>1450000000</v>
      </c>
      <c r="CH272" s="322">
        <v>1450000000</v>
      </c>
      <c r="CI272" s="322">
        <v>1450000000</v>
      </c>
      <c r="CJ272" s="322">
        <v>1450000000</v>
      </c>
      <c r="CK272" s="322">
        <v>1450000000</v>
      </c>
      <c r="CL272" s="322">
        <v>1450000000</v>
      </c>
      <c r="CM272" s="322">
        <v>1450000000</v>
      </c>
      <c r="CN272" s="322">
        <v>1450000000</v>
      </c>
      <c r="CO272" s="322">
        <v>1450000000</v>
      </c>
      <c r="CP272" s="322">
        <v>1450000000</v>
      </c>
      <c r="CQ272" s="355">
        <f>SUM(CE272,CF272,CG272,CH272,CI272,CJ272,CK272,CL272,CM272,CN272,CO272,CP272)</f>
        <v>17400000000</v>
      </c>
      <c r="CR272" s="356">
        <f>(CQ272*1.17)-596178840.062026</f>
        <v>19761821159.937973</v>
      </c>
      <c r="CS272" s="357">
        <f>(CR272*1.15)-676289110.703762</f>
        <v>22049805223.224907</v>
      </c>
      <c r="CT272" s="332">
        <f>(CS272*1.2)-300787205.0549</f>
        <v>26158979062.814987</v>
      </c>
      <c r="CU272" s="358">
        <f>(CT272*1.2)-300787205.0549</f>
        <v>31089987670.323082</v>
      </c>
      <c r="CV272" s="57" t="s">
        <v>38</v>
      </c>
    </row>
    <row r="273" spans="1:101" ht="15" customHeight="1" outlineLevel="2">
      <c r="A273" s="276" t="s">
        <v>39</v>
      </c>
      <c r="B273" s="277" t="str">
        <f t="shared" si="139"/>
        <v>BULK JAKARTABULKLAUTAN LUAS TBK</v>
      </c>
      <c r="C273" s="276" t="s">
        <v>252</v>
      </c>
      <c r="D273" s="276" t="s">
        <v>40</v>
      </c>
      <c r="E273" s="287" t="s">
        <v>83</v>
      </c>
      <c r="F273" s="287">
        <v>8000000010</v>
      </c>
      <c r="G273" s="64">
        <v>12985815852</v>
      </c>
      <c r="H273" s="65">
        <v>1079312930</v>
      </c>
      <c r="I273" s="65">
        <v>671769396</v>
      </c>
      <c r="J273" s="65">
        <v>2547533121</v>
      </c>
      <c r="K273" s="65">
        <v>1008843668</v>
      </c>
      <c r="L273" s="65">
        <v>758368144</v>
      </c>
      <c r="M273" s="65">
        <v>608289098</v>
      </c>
      <c r="N273" s="65">
        <v>999973236</v>
      </c>
      <c r="O273" s="65">
        <v>544070677</v>
      </c>
      <c r="P273" s="95">
        <v>681709849</v>
      </c>
      <c r="Q273" s="95">
        <v>620755313</v>
      </c>
      <c r="R273" s="95">
        <v>606735330</v>
      </c>
      <c r="S273" s="95">
        <v>324590207</v>
      </c>
      <c r="T273" s="83">
        <f>800000000</f>
        <v>800000000</v>
      </c>
      <c r="U273" s="83">
        <f>800000000</f>
        <v>800000000</v>
      </c>
      <c r="V273" s="83">
        <f>800000000</f>
        <v>800000000</v>
      </c>
      <c r="W273" s="66">
        <f t="shared" si="135"/>
        <v>10451950969</v>
      </c>
      <c r="X273" s="55"/>
      <c r="Y273" s="67">
        <v>900000000</v>
      </c>
      <c r="Z273" s="67">
        <v>900000000</v>
      </c>
      <c r="AA273" s="67">
        <v>900000000</v>
      </c>
      <c r="AB273" s="67">
        <v>900000000</v>
      </c>
      <c r="AC273" s="67">
        <v>900000000</v>
      </c>
      <c r="AD273" s="67">
        <v>900000000</v>
      </c>
      <c r="AE273" s="67">
        <v>900000000</v>
      </c>
      <c r="AF273" s="67">
        <v>900000000</v>
      </c>
      <c r="AG273" s="67">
        <v>900000000</v>
      </c>
      <c r="AH273" s="67">
        <v>900000000</v>
      </c>
      <c r="AI273" s="67">
        <v>900000000</v>
      </c>
      <c r="AJ273" s="67">
        <v>900000000</v>
      </c>
      <c r="AK273" s="61">
        <v>10800000000</v>
      </c>
      <c r="AL273" s="55"/>
      <c r="AM273" s="119">
        <f>950000000-798212.507307688</f>
        <v>949201787.49269235</v>
      </c>
      <c r="AN273" s="119">
        <f t="shared" ref="AN273:AX273" si="141">950000000-798212.507307688</f>
        <v>949201787.49269235</v>
      </c>
      <c r="AO273" s="119">
        <f t="shared" si="141"/>
        <v>949201787.49269235</v>
      </c>
      <c r="AP273" s="119">
        <f t="shared" si="141"/>
        <v>949201787.49269235</v>
      </c>
      <c r="AQ273" s="119">
        <f t="shared" si="141"/>
        <v>949201787.49269235</v>
      </c>
      <c r="AR273" s="119">
        <f t="shared" si="141"/>
        <v>949201787.49269235</v>
      </c>
      <c r="AS273" s="119">
        <f t="shared" si="141"/>
        <v>949201787.49269235</v>
      </c>
      <c r="AT273" s="119">
        <f t="shared" si="141"/>
        <v>949201787.49269235</v>
      </c>
      <c r="AU273" s="119">
        <f t="shared" si="141"/>
        <v>949201787.49269235</v>
      </c>
      <c r="AV273" s="119">
        <f t="shared" si="141"/>
        <v>949201787.49269235</v>
      </c>
      <c r="AW273" s="119">
        <f t="shared" si="141"/>
        <v>949201787.49269235</v>
      </c>
      <c r="AX273" s="119">
        <f t="shared" si="141"/>
        <v>949201787.49269235</v>
      </c>
      <c r="AY273" s="120">
        <v>11390421449.912308</v>
      </c>
      <c r="AZ273" s="55"/>
      <c r="BA273" s="639">
        <v>334203876</v>
      </c>
      <c r="BB273" s="639">
        <v>769111194</v>
      </c>
      <c r="BC273" s="86">
        <v>773000000</v>
      </c>
      <c r="BD273" s="639">
        <v>3576504395</v>
      </c>
      <c r="BE273" s="86">
        <v>900000000</v>
      </c>
      <c r="BF273" s="639">
        <v>892849348</v>
      </c>
      <c r="BG273" s="86">
        <v>850000000</v>
      </c>
      <c r="BH273" s="639">
        <v>269589726</v>
      </c>
      <c r="BI273" s="86">
        <v>850000000</v>
      </c>
      <c r="BJ273" s="639">
        <v>995434141</v>
      </c>
      <c r="BK273" s="86">
        <v>850000000</v>
      </c>
      <c r="BL273" s="639">
        <v>712369900</v>
      </c>
      <c r="BM273" s="86">
        <v>850000000</v>
      </c>
      <c r="BN273" s="695">
        <v>764434564</v>
      </c>
      <c r="BO273" s="696">
        <v>850000000</v>
      </c>
      <c r="BP273" s="695"/>
      <c r="BQ273" s="696">
        <v>850000000</v>
      </c>
      <c r="BR273" s="729">
        <v>900000000</v>
      </c>
      <c r="BS273" s="695"/>
      <c r="BT273" s="696">
        <v>850000000</v>
      </c>
      <c r="BU273" s="729">
        <v>925000000</v>
      </c>
      <c r="BV273" s="695"/>
      <c r="BW273" s="696">
        <v>850000000</v>
      </c>
      <c r="BX273" s="729">
        <v>950000000</v>
      </c>
      <c r="BY273" s="695"/>
      <c r="BZ273" s="696">
        <v>850000000</v>
      </c>
      <c r="CA273" s="729">
        <v>985400000</v>
      </c>
      <c r="CB273" s="720">
        <f t="shared" si="136"/>
        <v>12074897144</v>
      </c>
      <c r="CC273" s="721">
        <f t="shared" si="137"/>
        <v>12074897144</v>
      </c>
      <c r="CD273" s="738"/>
      <c r="CE273" s="322">
        <v>869000000</v>
      </c>
      <c r="CF273" s="322">
        <v>869000000</v>
      </c>
      <c r="CG273" s="322">
        <v>869000000</v>
      </c>
      <c r="CH273" s="322">
        <v>869000000</v>
      </c>
      <c r="CI273" s="322">
        <v>869000000</v>
      </c>
      <c r="CJ273" s="322">
        <v>869000000</v>
      </c>
      <c r="CK273" s="322">
        <v>869000000</v>
      </c>
      <c r="CL273" s="322">
        <v>869000000</v>
      </c>
      <c r="CM273" s="322">
        <v>869000000</v>
      </c>
      <c r="CN273" s="322">
        <v>869000000</v>
      </c>
      <c r="CO273" s="322">
        <v>869000000</v>
      </c>
      <c r="CP273" s="322">
        <v>869000000</v>
      </c>
      <c r="CQ273" s="355">
        <f t="shared" si="138"/>
        <v>10428000000</v>
      </c>
      <c r="CR273" s="356">
        <f>CQ273*1.17</f>
        <v>12200760000</v>
      </c>
      <c r="CS273" s="357">
        <f>CR273*1.17</f>
        <v>14274889200</v>
      </c>
      <c r="CT273" s="332">
        <f>CS273*1.2</f>
        <v>17129867040</v>
      </c>
      <c r="CU273" s="358">
        <f>CT273*1.2</f>
        <v>20555840448</v>
      </c>
      <c r="CV273" s="57" t="s">
        <v>42</v>
      </c>
    </row>
    <row r="274" spans="1:101" ht="15" customHeight="1" outlineLevel="2">
      <c r="A274" s="276" t="s">
        <v>253</v>
      </c>
      <c r="B274" s="277" t="str">
        <f t="shared" si="139"/>
        <v>BULK JAKARTABULKND SAPUTRI</v>
      </c>
      <c r="C274" s="276" t="s">
        <v>252</v>
      </c>
      <c r="E274" s="287" t="s">
        <v>255</v>
      </c>
      <c r="F274" s="287"/>
      <c r="G274" s="64">
        <v>42687273</v>
      </c>
      <c r="H274" s="81"/>
      <c r="I274" s="81"/>
      <c r="J274" s="81"/>
      <c r="K274" s="81"/>
      <c r="L274" s="81"/>
      <c r="M274" s="81"/>
      <c r="N274" s="81"/>
      <c r="O274" s="81"/>
      <c r="P274" s="95">
        <v>0</v>
      </c>
      <c r="Q274" s="95"/>
      <c r="R274" s="95"/>
      <c r="S274" s="95"/>
      <c r="T274" s="65">
        <v>0</v>
      </c>
      <c r="U274" s="65">
        <v>0</v>
      </c>
      <c r="V274" s="65">
        <v>0</v>
      </c>
      <c r="W274" s="66">
        <f t="shared" si="135"/>
        <v>0</v>
      </c>
      <c r="X274" s="55"/>
      <c r="Y274" s="82"/>
      <c r="Z274" s="82"/>
      <c r="AA274" s="82"/>
      <c r="AB274" s="82"/>
      <c r="AC274" s="82"/>
      <c r="AD274" s="82"/>
      <c r="AE274" s="82"/>
      <c r="AF274" s="82"/>
      <c r="AG274" s="82"/>
      <c r="AH274" s="82"/>
      <c r="AI274" s="82"/>
      <c r="AJ274" s="82"/>
      <c r="AK274" s="61">
        <v>0</v>
      </c>
      <c r="AL274" s="55"/>
      <c r="AM274" s="82"/>
      <c r="AN274" s="82"/>
      <c r="AO274" s="82"/>
      <c r="AP274" s="82"/>
      <c r="AQ274" s="82"/>
      <c r="AR274" s="82"/>
      <c r="AS274" s="82"/>
      <c r="AT274" s="82"/>
      <c r="AU274" s="82"/>
      <c r="AV274" s="82"/>
      <c r="AW274" s="82"/>
      <c r="AX274" s="82"/>
      <c r="AY274" s="122">
        <v>0</v>
      </c>
      <c r="AZ274" s="55"/>
      <c r="BA274" s="639">
        <v>0</v>
      </c>
      <c r="BB274" s="639">
        <v>0</v>
      </c>
      <c r="BC274" s="86"/>
      <c r="BD274" s="639">
        <v>0</v>
      </c>
      <c r="BE274" s="86"/>
      <c r="BF274" s="639">
        <v>0</v>
      </c>
      <c r="BG274" s="86"/>
      <c r="BH274" s="639"/>
      <c r="BI274" s="86"/>
      <c r="BJ274" s="639">
        <v>0</v>
      </c>
      <c r="BK274" s="86"/>
      <c r="BL274" s="639"/>
      <c r="BM274" s="86"/>
      <c r="BN274" s="695">
        <v>0</v>
      </c>
      <c r="BO274" s="696"/>
      <c r="BP274" s="695"/>
      <c r="BQ274" s="696"/>
      <c r="BR274" s="729"/>
      <c r="BS274" s="695"/>
      <c r="BT274" s="696"/>
      <c r="BU274" s="729"/>
      <c r="BV274" s="695"/>
      <c r="BW274" s="696"/>
      <c r="BX274" s="729"/>
      <c r="BY274" s="695"/>
      <c r="BZ274" s="696"/>
      <c r="CA274" s="729"/>
      <c r="CB274" s="720">
        <f t="shared" si="136"/>
        <v>0</v>
      </c>
      <c r="CC274" s="721">
        <f t="shared" si="137"/>
        <v>0</v>
      </c>
      <c r="CD274" s="738"/>
      <c r="CE274" s="322"/>
      <c r="CF274" s="322"/>
      <c r="CG274" s="322"/>
      <c r="CH274" s="322"/>
      <c r="CI274" s="322"/>
      <c r="CJ274" s="322"/>
      <c r="CK274" s="322"/>
      <c r="CL274" s="322"/>
      <c r="CM274" s="322"/>
      <c r="CN274" s="322"/>
      <c r="CO274" s="322"/>
      <c r="CP274" s="322"/>
      <c r="CQ274" s="355">
        <f t="shared" si="138"/>
        <v>0</v>
      </c>
      <c r="CR274" s="356"/>
      <c r="CS274" s="357"/>
      <c r="CT274" s="332"/>
      <c r="CU274" s="358"/>
      <c r="CV274" s="57" t="s">
        <v>38</v>
      </c>
    </row>
    <row r="275" spans="1:101" ht="15" customHeight="1" outlineLevel="2">
      <c r="A275" s="276" t="s">
        <v>253</v>
      </c>
      <c r="B275" s="277" t="str">
        <f t="shared" si="139"/>
        <v>BULK JAKARTABULKPUPUK KALIMANTAN TIMUR</v>
      </c>
      <c r="C275" s="276" t="s">
        <v>252</v>
      </c>
      <c r="D275" s="276" t="s">
        <v>40</v>
      </c>
      <c r="E275" s="287" t="s">
        <v>256</v>
      </c>
      <c r="F275" s="287">
        <v>3000004560</v>
      </c>
      <c r="G275" s="64">
        <v>1805403358</v>
      </c>
      <c r="H275" s="65">
        <v>219095400</v>
      </c>
      <c r="I275" s="65">
        <v>192012091</v>
      </c>
      <c r="J275" s="65">
        <v>189982978</v>
      </c>
      <c r="K275" s="65">
        <v>287168610</v>
      </c>
      <c r="L275" s="65">
        <v>424865089</v>
      </c>
      <c r="M275" s="65">
        <v>400645090</v>
      </c>
      <c r="N275" s="65">
        <v>387076038</v>
      </c>
      <c r="O275" s="65">
        <v>409139462</v>
      </c>
      <c r="P275" s="95">
        <v>271155400</v>
      </c>
      <c r="Q275" s="95">
        <v>447009067</v>
      </c>
      <c r="R275" s="95">
        <v>51767402</v>
      </c>
      <c r="S275" s="95">
        <v>447215641</v>
      </c>
      <c r="T275" s="83">
        <v>271155400</v>
      </c>
      <c r="U275" s="83">
        <v>230000000</v>
      </c>
      <c r="V275" s="83">
        <v>230000000</v>
      </c>
      <c r="W275" s="66">
        <f t="shared" si="135"/>
        <v>3727132268</v>
      </c>
      <c r="X275" s="55"/>
      <c r="Y275" s="96">
        <v>220000000</v>
      </c>
      <c r="Z275" s="96">
        <v>220000000</v>
      </c>
      <c r="AA275" s="96">
        <v>220000000</v>
      </c>
      <c r="AB275" s="96">
        <v>220000000</v>
      </c>
      <c r="AC275" s="96">
        <v>220000000</v>
      </c>
      <c r="AD275" s="96">
        <v>220000000</v>
      </c>
      <c r="AE275" s="96">
        <v>220000000</v>
      </c>
      <c r="AF275" s="96">
        <v>220000000</v>
      </c>
      <c r="AG275" s="96">
        <v>220000000</v>
      </c>
      <c r="AH275" s="96">
        <v>220000000</v>
      </c>
      <c r="AI275" s="96">
        <v>220000000</v>
      </c>
      <c r="AJ275" s="96">
        <v>220000000</v>
      </c>
      <c r="AK275" s="61">
        <v>2640000000</v>
      </c>
      <c r="AL275" s="55"/>
      <c r="AM275" s="96">
        <v>220000000</v>
      </c>
      <c r="AN275" s="96">
        <v>220000000</v>
      </c>
      <c r="AO275" s="96">
        <v>220000000</v>
      </c>
      <c r="AP275" s="96">
        <v>220000000</v>
      </c>
      <c r="AQ275" s="96">
        <v>220000000</v>
      </c>
      <c r="AR275" s="96">
        <v>220000000</v>
      </c>
      <c r="AS275" s="96">
        <v>220000000</v>
      </c>
      <c r="AT275" s="96">
        <v>220000000</v>
      </c>
      <c r="AU275" s="96">
        <v>220000000</v>
      </c>
      <c r="AV275" s="96">
        <v>220000000</v>
      </c>
      <c r="AW275" s="96">
        <v>220000000</v>
      </c>
      <c r="AX275" s="96">
        <v>220000000</v>
      </c>
      <c r="AY275" s="122">
        <v>2640000000</v>
      </c>
      <c r="AZ275" s="55"/>
      <c r="BA275" s="639">
        <v>144000000</v>
      </c>
      <c r="BB275" s="639">
        <v>413075838</v>
      </c>
      <c r="BC275" s="86">
        <v>239000000</v>
      </c>
      <c r="BD275" s="639">
        <v>265884479</v>
      </c>
      <c r="BE275" s="86">
        <v>200000000</v>
      </c>
      <c r="BF275" s="639">
        <v>568103775</v>
      </c>
      <c r="BG275" s="86">
        <v>320000000</v>
      </c>
      <c r="BH275" s="639">
        <v>463506745</v>
      </c>
      <c r="BI275" s="86">
        <v>550000000</v>
      </c>
      <c r="BJ275" s="639">
        <v>62416035</v>
      </c>
      <c r="BK275" s="86">
        <v>570000000</v>
      </c>
      <c r="BL275" s="639">
        <v>81338260</v>
      </c>
      <c r="BM275" s="86">
        <v>320000000</v>
      </c>
      <c r="BN275" s="695">
        <v>144089100</v>
      </c>
      <c r="BO275" s="696">
        <v>320000000</v>
      </c>
      <c r="BP275" s="695"/>
      <c r="BQ275" s="696">
        <v>320000000</v>
      </c>
      <c r="BR275" s="729">
        <v>320000000</v>
      </c>
      <c r="BS275" s="695"/>
      <c r="BT275" s="696">
        <v>320000000</v>
      </c>
      <c r="BU275" s="729">
        <v>320000000</v>
      </c>
      <c r="BV275" s="695"/>
      <c r="BW275" s="696">
        <v>320000000</v>
      </c>
      <c r="BX275" s="729">
        <v>320000000</v>
      </c>
      <c r="BY275" s="695"/>
      <c r="BZ275" s="696">
        <v>320000000</v>
      </c>
      <c r="CA275" s="729">
        <v>320000000</v>
      </c>
      <c r="CB275" s="720">
        <f t="shared" si="136"/>
        <v>3422414232</v>
      </c>
      <c r="CC275" s="721">
        <f t="shared" si="137"/>
        <v>3422414232</v>
      </c>
      <c r="CD275" s="738"/>
      <c r="CE275" s="322">
        <v>210000000</v>
      </c>
      <c r="CF275" s="322">
        <v>210000000</v>
      </c>
      <c r="CG275" s="322">
        <v>210000000</v>
      </c>
      <c r="CH275" s="322">
        <v>210000000</v>
      </c>
      <c r="CI275" s="322">
        <v>210000000</v>
      </c>
      <c r="CJ275" s="322">
        <v>210000000</v>
      </c>
      <c r="CK275" s="322">
        <v>210000000</v>
      </c>
      <c r="CL275" s="322">
        <v>210000000</v>
      </c>
      <c r="CM275" s="322">
        <v>210000000</v>
      </c>
      <c r="CN275" s="322">
        <v>210000000</v>
      </c>
      <c r="CO275" s="322">
        <v>210000000</v>
      </c>
      <c r="CP275" s="322">
        <v>210000000</v>
      </c>
      <c r="CQ275" s="355">
        <f t="shared" si="138"/>
        <v>2520000000</v>
      </c>
      <c r="CR275" s="356">
        <f>CQ275*1.17</f>
        <v>2948400000</v>
      </c>
      <c r="CS275" s="357">
        <f>CR275*1.08</f>
        <v>3184272000</v>
      </c>
      <c r="CT275" s="332">
        <f t="shared" ref="CT275:CU277" si="142">CS275*1.09</f>
        <v>3470856480.0000005</v>
      </c>
      <c r="CU275" s="358">
        <f t="shared" si="142"/>
        <v>3783233563.2000008</v>
      </c>
      <c r="CV275" s="57" t="s">
        <v>38</v>
      </c>
    </row>
    <row r="276" spans="1:101" ht="15" customHeight="1" outlineLevel="2">
      <c r="A276" s="276" t="s">
        <v>253</v>
      </c>
      <c r="B276" s="277" t="str">
        <f t="shared" si="139"/>
        <v>BULK JAKARTABULKPUPUK KUJANG</v>
      </c>
      <c r="C276" s="276" t="s">
        <v>252</v>
      </c>
      <c r="D276" s="276" t="s">
        <v>40</v>
      </c>
      <c r="E276" s="287" t="s">
        <v>257</v>
      </c>
      <c r="F276" s="287">
        <v>3000004561</v>
      </c>
      <c r="G276" s="64">
        <v>5533130631</v>
      </c>
      <c r="H276" s="65">
        <v>184538074</v>
      </c>
      <c r="I276" s="65">
        <v>1867191023</v>
      </c>
      <c r="J276" s="65">
        <v>163031317</v>
      </c>
      <c r="K276" s="65">
        <v>120835340</v>
      </c>
      <c r="L276" s="65">
        <v>126554351</v>
      </c>
      <c r="M276" s="65">
        <v>145054725</v>
      </c>
      <c r="N276" s="65">
        <v>1814182693</v>
      </c>
      <c r="O276" s="65">
        <v>2020958358</v>
      </c>
      <c r="P276" s="95">
        <v>130944683</v>
      </c>
      <c r="Q276" s="95">
        <v>-114944683</v>
      </c>
      <c r="R276" s="95"/>
      <c r="S276" s="95"/>
      <c r="T276" s="65">
        <v>145054725</v>
      </c>
      <c r="U276" s="65">
        <v>145054725</v>
      </c>
      <c r="V276" s="83">
        <v>350000000</v>
      </c>
      <c r="W276" s="66">
        <f t="shared" si="135"/>
        <v>6458345881</v>
      </c>
      <c r="X276" s="55"/>
      <c r="Y276" s="67">
        <v>160000000</v>
      </c>
      <c r="Z276" s="67">
        <f>160000000+1600000000</f>
        <v>1760000000</v>
      </c>
      <c r="AA276" s="67">
        <v>160000000</v>
      </c>
      <c r="AB276" s="67">
        <v>160000000</v>
      </c>
      <c r="AC276" s="67">
        <f>160000000+1600000000</f>
        <v>1760000000</v>
      </c>
      <c r="AD276" s="67">
        <v>160000000</v>
      </c>
      <c r="AE276" s="67">
        <v>160000000</v>
      </c>
      <c r="AF276" s="67">
        <f>160000000+1600000000</f>
        <v>1760000000</v>
      </c>
      <c r="AG276" s="67">
        <v>160000000</v>
      </c>
      <c r="AH276" s="67">
        <v>160000000</v>
      </c>
      <c r="AI276" s="67">
        <v>160000000</v>
      </c>
      <c r="AJ276" s="67">
        <f>160000000+1600000000</f>
        <v>1760000000</v>
      </c>
      <c r="AK276" s="61">
        <v>8320000000</v>
      </c>
      <c r="AL276" s="55"/>
      <c r="AM276" s="67">
        <v>160000000</v>
      </c>
      <c r="AN276" s="67">
        <v>1760000000</v>
      </c>
      <c r="AO276" s="67">
        <v>160000000</v>
      </c>
      <c r="AP276" s="67">
        <v>160000000</v>
      </c>
      <c r="AQ276" s="67">
        <v>1760000000</v>
      </c>
      <c r="AR276" s="67">
        <v>160000000</v>
      </c>
      <c r="AS276" s="67">
        <v>160000000</v>
      </c>
      <c r="AT276" s="67">
        <v>1760000000</v>
      </c>
      <c r="AU276" s="67">
        <v>160000000</v>
      </c>
      <c r="AV276" s="67">
        <v>160000000</v>
      </c>
      <c r="AW276" s="67">
        <v>160000000</v>
      </c>
      <c r="AX276" s="67">
        <v>1760000000</v>
      </c>
      <c r="AY276" s="122">
        <v>8320000000</v>
      </c>
      <c r="AZ276" s="55"/>
      <c r="BA276" s="639">
        <v>0</v>
      </c>
      <c r="BB276" s="639">
        <v>278216086</v>
      </c>
      <c r="BC276" s="86">
        <v>185000000</v>
      </c>
      <c r="BD276" s="639">
        <v>311642398</v>
      </c>
      <c r="BE276" s="86">
        <f>160000000+108000000+13000000+90000000</f>
        <v>371000000</v>
      </c>
      <c r="BF276" s="639">
        <v>989380922</v>
      </c>
      <c r="BG276" s="86">
        <v>250000000</v>
      </c>
      <c r="BH276" s="639"/>
      <c r="BI276" s="86">
        <v>1150000000</v>
      </c>
      <c r="BJ276" s="639">
        <v>0</v>
      </c>
      <c r="BK276" s="86">
        <v>200000000</v>
      </c>
      <c r="BL276" s="639"/>
      <c r="BM276" s="86">
        <v>200000000</v>
      </c>
      <c r="BN276" s="695">
        <v>538601551</v>
      </c>
      <c r="BO276" s="696">
        <v>200000000</v>
      </c>
      <c r="BP276" s="695"/>
      <c r="BQ276" s="696">
        <v>200000000</v>
      </c>
      <c r="BR276" s="729">
        <v>200000000</v>
      </c>
      <c r="BS276" s="695"/>
      <c r="BT276" s="696">
        <v>200000000</v>
      </c>
      <c r="BU276" s="729">
        <v>200000000</v>
      </c>
      <c r="BV276" s="695"/>
      <c r="BW276" s="696">
        <v>200000000</v>
      </c>
      <c r="BX276" s="729">
        <v>200000000</v>
      </c>
      <c r="BY276" s="695"/>
      <c r="BZ276" s="696">
        <v>200000000</v>
      </c>
      <c r="CA276" s="729">
        <v>200000000</v>
      </c>
      <c r="CB276" s="720">
        <f t="shared" si="136"/>
        <v>2917840957</v>
      </c>
      <c r="CC276" s="721">
        <f t="shared" si="137"/>
        <v>2917840957</v>
      </c>
      <c r="CD276" s="738"/>
      <c r="CE276" s="322">
        <v>489000000</v>
      </c>
      <c r="CF276" s="322">
        <v>489000000</v>
      </c>
      <c r="CG276" s="322">
        <v>489000000</v>
      </c>
      <c r="CH276" s="322">
        <f>489000000-20000000</f>
        <v>469000000</v>
      </c>
      <c r="CI276" s="322">
        <f>489000000-40000000</f>
        <v>449000000</v>
      </c>
      <c r="CJ276" s="322">
        <f>489000000+40000000</f>
        <v>529000000</v>
      </c>
      <c r="CK276" s="322">
        <f>489000000+20000000</f>
        <v>509000000</v>
      </c>
      <c r="CL276" s="322">
        <v>489000000</v>
      </c>
      <c r="CM276" s="322">
        <v>489000000</v>
      </c>
      <c r="CN276" s="322">
        <v>489000000</v>
      </c>
      <c r="CO276" s="322">
        <f>489000000+10000000</f>
        <v>499000000</v>
      </c>
      <c r="CP276" s="322">
        <f>489000000-10000000</f>
        <v>479000000</v>
      </c>
      <c r="CQ276" s="355">
        <f t="shared" si="138"/>
        <v>5868000000</v>
      </c>
      <c r="CR276" s="356">
        <f>CQ276*1.17</f>
        <v>6865560000</v>
      </c>
      <c r="CS276" s="357">
        <f>CR276*1.08</f>
        <v>7414804800.000001</v>
      </c>
      <c r="CT276" s="332">
        <f t="shared" si="142"/>
        <v>8082137232.0000019</v>
      </c>
      <c r="CU276" s="358">
        <f t="shared" si="142"/>
        <v>8809529582.880003</v>
      </c>
      <c r="CV276" s="57" t="s">
        <v>38</v>
      </c>
    </row>
    <row r="277" spans="1:101" ht="15" customHeight="1" outlineLevel="2">
      <c r="A277" s="276" t="s">
        <v>253</v>
      </c>
      <c r="B277" s="277" t="str">
        <f t="shared" si="139"/>
        <v>BULK JAKARTABULKSEMEN JAWA</v>
      </c>
      <c r="C277" s="276" t="s">
        <v>252</v>
      </c>
      <c r="D277" s="276" t="s">
        <v>40</v>
      </c>
      <c r="E277" s="287" t="s">
        <v>258</v>
      </c>
      <c r="F277" s="287">
        <v>3000018696</v>
      </c>
      <c r="G277" s="86"/>
      <c r="H277" s="65">
        <v>162000000</v>
      </c>
      <c r="I277" s="65">
        <v>0</v>
      </c>
      <c r="J277" s="65">
        <v>0</v>
      </c>
      <c r="K277" s="65">
        <v>180000000</v>
      </c>
      <c r="L277" s="65">
        <v>0</v>
      </c>
      <c r="M277" s="65">
        <v>0</v>
      </c>
      <c r="N277" s="65">
        <v>0</v>
      </c>
      <c r="O277" s="65">
        <v>0</v>
      </c>
      <c r="P277" s="95">
        <v>0</v>
      </c>
      <c r="Q277" s="95"/>
      <c r="R277" s="95"/>
      <c r="S277" s="95"/>
      <c r="T277" s="65">
        <v>0</v>
      </c>
      <c r="U277" s="65">
        <v>0</v>
      </c>
      <c r="V277" s="65">
        <v>0</v>
      </c>
      <c r="W277" s="66">
        <f t="shared" si="135"/>
        <v>342000000</v>
      </c>
      <c r="X277" s="55"/>
      <c r="Y277" s="57"/>
      <c r="Z277" s="57"/>
      <c r="AA277" s="67"/>
      <c r="AB277" s="67"/>
      <c r="AC277" s="67"/>
      <c r="AD277" s="67">
        <v>180000000</v>
      </c>
      <c r="AE277" s="67"/>
      <c r="AF277" s="67"/>
      <c r="AG277" s="67">
        <v>180000000</v>
      </c>
      <c r="AH277" s="67"/>
      <c r="AI277" s="67"/>
      <c r="AJ277" s="67">
        <v>180000000</v>
      </c>
      <c r="AK277" s="61">
        <v>540000000</v>
      </c>
      <c r="AL277" s="55"/>
      <c r="AM277" s="57"/>
      <c r="AN277" s="57"/>
      <c r="AO277" s="67"/>
      <c r="AP277" s="67"/>
      <c r="AQ277" s="67"/>
      <c r="AR277" s="67">
        <v>180000000</v>
      </c>
      <c r="AS277" s="67"/>
      <c r="AT277" s="67"/>
      <c r="AU277" s="67">
        <v>180000000</v>
      </c>
      <c r="AV277" s="67"/>
      <c r="AW277" s="67"/>
      <c r="AX277" s="67">
        <v>180000000</v>
      </c>
      <c r="AY277" s="122">
        <v>540000000</v>
      </c>
      <c r="AZ277" s="55"/>
      <c r="BA277" s="639">
        <v>0</v>
      </c>
      <c r="BB277" s="639">
        <v>0</v>
      </c>
      <c r="BC277" s="86"/>
      <c r="BD277" s="639">
        <v>0</v>
      </c>
      <c r="BE277" s="86"/>
      <c r="BF277" s="639">
        <v>0</v>
      </c>
      <c r="BG277" s="86"/>
      <c r="BH277" s="639"/>
      <c r="BI277" s="86"/>
      <c r="BJ277" s="639">
        <v>0</v>
      </c>
      <c r="BK277" s="86"/>
      <c r="BL277" s="639"/>
      <c r="BM277" s="86"/>
      <c r="BN277" s="695">
        <v>0</v>
      </c>
      <c r="BO277" s="696"/>
      <c r="BP277" s="695"/>
      <c r="BQ277" s="696"/>
      <c r="BR277" s="729"/>
      <c r="BS277" s="695"/>
      <c r="BT277" s="696"/>
      <c r="BU277" s="729"/>
      <c r="BV277" s="695"/>
      <c r="BW277" s="696"/>
      <c r="BX277" s="729"/>
      <c r="BY277" s="695"/>
      <c r="BZ277" s="696"/>
      <c r="CA277" s="729"/>
      <c r="CB277" s="720">
        <f t="shared" si="136"/>
        <v>0</v>
      </c>
      <c r="CC277" s="721">
        <f t="shared" si="137"/>
        <v>0</v>
      </c>
      <c r="CD277" s="738"/>
      <c r="CE277" s="322"/>
      <c r="CF277" s="322"/>
      <c r="CG277" s="322"/>
      <c r="CH277" s="322"/>
      <c r="CI277" s="322"/>
      <c r="CJ277" s="322"/>
      <c r="CK277" s="322"/>
      <c r="CL277" s="322"/>
      <c r="CM277" s="322"/>
      <c r="CN277" s="322"/>
      <c r="CO277" s="322"/>
      <c r="CP277" s="322"/>
      <c r="CQ277" s="355">
        <f t="shared" si="138"/>
        <v>0</v>
      </c>
      <c r="CR277" s="356">
        <f>CQ277*1.17</f>
        <v>0</v>
      </c>
      <c r="CS277" s="357">
        <f>CR277*1.08</f>
        <v>0</v>
      </c>
      <c r="CT277" s="332">
        <f t="shared" si="142"/>
        <v>0</v>
      </c>
      <c r="CU277" s="358">
        <f t="shared" si="142"/>
        <v>0</v>
      </c>
      <c r="CV277" s="57" t="s">
        <v>38</v>
      </c>
    </row>
    <row r="278" spans="1:101" ht="15" customHeight="1" outlineLevel="2">
      <c r="A278" s="276" t="s">
        <v>253</v>
      </c>
      <c r="B278" s="277" t="str">
        <f t="shared" si="139"/>
        <v>BULK JAKARTABULKPUPUK KALIMANTAN TIMUR SULAWESI</v>
      </c>
      <c r="C278" s="276" t="s">
        <v>252</v>
      </c>
      <c r="D278" s="276" t="s">
        <v>40</v>
      </c>
      <c r="E278" s="287" t="s">
        <v>259</v>
      </c>
      <c r="F278" s="287"/>
      <c r="G278" s="64">
        <f>1774670731+4974289380</f>
        <v>6748960111</v>
      </c>
      <c r="H278" s="65">
        <v>248393961</v>
      </c>
      <c r="I278" s="65">
        <v>247322500</v>
      </c>
      <c r="J278" s="65">
        <v>243644150</v>
      </c>
      <c r="K278" s="65">
        <v>225038690</v>
      </c>
      <c r="L278" s="65">
        <v>176961500</v>
      </c>
      <c r="M278" s="65">
        <v>229057890</v>
      </c>
      <c r="N278" s="65">
        <v>0</v>
      </c>
      <c r="O278" s="65">
        <v>0</v>
      </c>
      <c r="P278" s="95">
        <v>0</v>
      </c>
      <c r="Q278" s="95"/>
      <c r="R278" s="95"/>
      <c r="S278" s="95"/>
      <c r="T278" s="65">
        <v>0</v>
      </c>
      <c r="U278" s="65">
        <v>0</v>
      </c>
      <c r="V278" s="65">
        <v>0</v>
      </c>
      <c r="W278" s="66">
        <f t="shared" si="135"/>
        <v>1370418691</v>
      </c>
      <c r="X278" s="55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61">
        <v>0</v>
      </c>
      <c r="AL278" s="55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122">
        <v>0</v>
      </c>
      <c r="AZ278" s="55"/>
      <c r="BA278" s="639">
        <v>0</v>
      </c>
      <c r="BB278" s="639">
        <v>0</v>
      </c>
      <c r="BC278" s="86"/>
      <c r="BD278" s="639">
        <v>0</v>
      </c>
      <c r="BE278" s="86"/>
      <c r="BF278" s="639">
        <v>0</v>
      </c>
      <c r="BG278" s="86"/>
      <c r="BH278" s="639"/>
      <c r="BI278" s="86"/>
      <c r="BJ278" s="639">
        <v>0</v>
      </c>
      <c r="BK278" s="86"/>
      <c r="BL278" s="639"/>
      <c r="BM278" s="86"/>
      <c r="BN278" s="695">
        <v>0</v>
      </c>
      <c r="BO278" s="696"/>
      <c r="BP278" s="695"/>
      <c r="BQ278" s="696"/>
      <c r="BR278" s="729"/>
      <c r="BS278" s="695"/>
      <c r="BT278" s="696"/>
      <c r="BU278" s="729"/>
      <c r="BV278" s="695"/>
      <c r="BW278" s="696"/>
      <c r="BX278" s="729"/>
      <c r="BY278" s="695"/>
      <c r="BZ278" s="696"/>
      <c r="CA278" s="729"/>
      <c r="CB278" s="720">
        <f t="shared" si="136"/>
        <v>0</v>
      </c>
      <c r="CC278" s="721">
        <f t="shared" si="137"/>
        <v>0</v>
      </c>
      <c r="CD278" s="738"/>
      <c r="CE278" s="322">
        <v>190000000</v>
      </c>
      <c r="CF278" s="322">
        <v>190000000</v>
      </c>
      <c r="CG278" s="322">
        <v>190000000</v>
      </c>
      <c r="CH278" s="322">
        <v>190000000</v>
      </c>
      <c r="CI278" s="322">
        <v>190000000</v>
      </c>
      <c r="CJ278" s="322">
        <v>190000000</v>
      </c>
      <c r="CK278" s="322">
        <v>190000000</v>
      </c>
      <c r="CL278" s="322">
        <v>190000000</v>
      </c>
      <c r="CM278" s="322">
        <v>190000000</v>
      </c>
      <c r="CN278" s="322">
        <v>190000000</v>
      </c>
      <c r="CO278" s="322">
        <v>190000000</v>
      </c>
      <c r="CP278" s="322">
        <v>190000000</v>
      </c>
      <c r="CQ278" s="355">
        <f t="shared" si="138"/>
        <v>2280000000</v>
      </c>
      <c r="CR278" s="356">
        <f>CQ278*1.07</f>
        <v>2439600000</v>
      </c>
      <c r="CS278" s="357">
        <f>80000000*12</f>
        <v>960000000</v>
      </c>
      <c r="CT278" s="332">
        <f>CS278*1.07</f>
        <v>1027200000.0000001</v>
      </c>
      <c r="CU278" s="358">
        <f>CT278*1.07</f>
        <v>1099104000.0000002</v>
      </c>
      <c r="CV278" s="57" t="s">
        <v>38</v>
      </c>
    </row>
    <row r="279" spans="1:101" ht="15" customHeight="1" outlineLevel="2">
      <c r="A279" s="276" t="s">
        <v>253</v>
      </c>
      <c r="B279" s="277" t="str">
        <f t="shared" si="139"/>
        <v>BULK JAKARTABULKYARA INDONESIA</v>
      </c>
      <c r="C279" s="276" t="s">
        <v>252</v>
      </c>
      <c r="D279" s="276" t="s">
        <v>40</v>
      </c>
      <c r="E279" s="287" t="s">
        <v>260</v>
      </c>
      <c r="F279" s="287">
        <v>3000008984</v>
      </c>
      <c r="G279" s="64">
        <v>5672400795</v>
      </c>
      <c r="H279" s="65">
        <v>511201225</v>
      </c>
      <c r="I279" s="65">
        <v>370567280</v>
      </c>
      <c r="J279" s="65">
        <v>390826190</v>
      </c>
      <c r="K279" s="65">
        <v>467332955</v>
      </c>
      <c r="L279" s="65">
        <v>403739315</v>
      </c>
      <c r="M279" s="65">
        <v>403382520</v>
      </c>
      <c r="N279" s="65">
        <v>520387800</v>
      </c>
      <c r="O279" s="65">
        <v>547372160</v>
      </c>
      <c r="P279" s="95">
        <v>371295910</v>
      </c>
      <c r="Q279" s="95">
        <v>589585405</v>
      </c>
      <c r="R279" s="95">
        <v>431871070</v>
      </c>
      <c r="S279" s="95">
        <v>485040341</v>
      </c>
      <c r="T279" s="83">
        <v>450000000</v>
      </c>
      <c r="U279" s="83">
        <v>450000000</v>
      </c>
      <c r="V279" s="83">
        <v>450000000</v>
      </c>
      <c r="W279" s="66">
        <f t="shared" si="135"/>
        <v>5492602171</v>
      </c>
      <c r="X279" s="55"/>
      <c r="Y279" s="96">
        <v>460000000</v>
      </c>
      <c r="Z279" s="96">
        <v>460000000</v>
      </c>
      <c r="AA279" s="96">
        <v>460000000</v>
      </c>
      <c r="AB279" s="96">
        <v>460000000</v>
      </c>
      <c r="AC279" s="96">
        <v>460000000</v>
      </c>
      <c r="AD279" s="96">
        <v>460000000</v>
      </c>
      <c r="AE279" s="96">
        <v>460000000</v>
      </c>
      <c r="AF279" s="96">
        <v>460000000</v>
      </c>
      <c r="AG279" s="96">
        <v>460000000</v>
      </c>
      <c r="AH279" s="96">
        <v>460000000</v>
      </c>
      <c r="AI279" s="96">
        <v>460000000</v>
      </c>
      <c r="AJ279" s="96">
        <v>460000000</v>
      </c>
      <c r="AK279" s="61">
        <v>5520000000</v>
      </c>
      <c r="AL279" s="55"/>
      <c r="AM279" s="96">
        <v>460000000</v>
      </c>
      <c r="AN279" s="96">
        <v>460000000</v>
      </c>
      <c r="AO279" s="96">
        <v>460000000</v>
      </c>
      <c r="AP279" s="96">
        <v>460000000</v>
      </c>
      <c r="AQ279" s="96">
        <v>460000000</v>
      </c>
      <c r="AR279" s="96">
        <v>460000000</v>
      </c>
      <c r="AS279" s="96">
        <v>460000000</v>
      </c>
      <c r="AT279" s="96">
        <v>460000000</v>
      </c>
      <c r="AU279" s="96">
        <v>460000000</v>
      </c>
      <c r="AV279" s="96">
        <v>460000000</v>
      </c>
      <c r="AW279" s="96">
        <v>460000000</v>
      </c>
      <c r="AX279" s="96">
        <v>460000000</v>
      </c>
      <c r="AY279" s="122">
        <v>5520000000</v>
      </c>
      <c r="AZ279" s="55"/>
      <c r="BA279" s="639">
        <v>733784300</v>
      </c>
      <c r="BB279" s="639">
        <v>479358350</v>
      </c>
      <c r="BC279" s="86">
        <v>485000000</v>
      </c>
      <c r="BD279" s="639">
        <v>353292129</v>
      </c>
      <c r="BE279" s="86">
        <v>550000000</v>
      </c>
      <c r="BF279" s="639">
        <v>380023420</v>
      </c>
      <c r="BG279" s="86">
        <f>252000000+39000000+19000*1200+(52000+28000)*2000</f>
        <v>473800000</v>
      </c>
      <c r="BH279" s="639">
        <v>696698325</v>
      </c>
      <c r="BI279" s="86">
        <f>252000000+39000000+19000*2000+(52000+28000)*3000</f>
        <v>569000000</v>
      </c>
      <c r="BJ279" s="639">
        <v>576439350</v>
      </c>
      <c r="BK279" s="86">
        <f>252000000+39000000+19000*1200+(52000+28000)*2000</f>
        <v>473800000</v>
      </c>
      <c r="BL279" s="639">
        <v>521458380</v>
      </c>
      <c r="BM279" s="86">
        <f>252000000+39000000+19000*1200+(52000+28000)*2000</f>
        <v>473800000</v>
      </c>
      <c r="BN279" s="695">
        <v>580776204</v>
      </c>
      <c r="BO279" s="696">
        <f>252000000+39000000+19000*1200+(52000+28000)*2000</f>
        <v>473800000</v>
      </c>
      <c r="BP279" s="695"/>
      <c r="BQ279" s="696">
        <f>252000000+39000000+19000*1200+(52000+28000)*2000</f>
        <v>473800000</v>
      </c>
      <c r="BR279" s="729">
        <v>600000000</v>
      </c>
      <c r="BS279" s="695"/>
      <c r="BT279" s="696">
        <f>252000000+39000000+19000*1200+(52000+28000)*2000</f>
        <v>473800000</v>
      </c>
      <c r="BU279" s="729">
        <v>650000000</v>
      </c>
      <c r="BV279" s="695"/>
      <c r="BW279" s="696">
        <f>252000000+39000000+19000*1200+(52000+28000)*2000</f>
        <v>473800000</v>
      </c>
      <c r="BX279" s="729">
        <v>700000000</v>
      </c>
      <c r="BY279" s="695"/>
      <c r="BZ279" s="696">
        <f>252000000+39000000+19000*1200+(52000+28000)*2000</f>
        <v>473800000</v>
      </c>
      <c r="CA279" s="729">
        <v>750000000</v>
      </c>
      <c r="CB279" s="720">
        <f t="shared" si="136"/>
        <v>7021830458</v>
      </c>
      <c r="CC279" s="721">
        <f t="shared" si="137"/>
        <v>7021830458</v>
      </c>
      <c r="CD279" s="738"/>
      <c r="CE279" s="322">
        <v>485000000</v>
      </c>
      <c r="CF279" s="322">
        <f>485000000+10000000</f>
        <v>495000000</v>
      </c>
      <c r="CG279" s="322">
        <f>485000000+10000000</f>
        <v>495000000</v>
      </c>
      <c r="CH279" s="322">
        <f>485000000+10000000</f>
        <v>495000000</v>
      </c>
      <c r="CI279" s="322">
        <f>485000000-30000000</f>
        <v>455000000</v>
      </c>
      <c r="CJ279" s="322">
        <f>485000000</f>
        <v>485000000</v>
      </c>
      <c r="CK279" s="322">
        <v>485000000</v>
      </c>
      <c r="CL279" s="322">
        <v>485000000</v>
      </c>
      <c r="CM279" s="322">
        <v>485000000</v>
      </c>
      <c r="CN279" s="322">
        <v>485000000</v>
      </c>
      <c r="CO279" s="322">
        <v>485000000</v>
      </c>
      <c r="CP279" s="322">
        <v>485000000</v>
      </c>
      <c r="CQ279" s="355">
        <f t="shared" si="138"/>
        <v>5820000000</v>
      </c>
      <c r="CR279" s="356">
        <f>CQ279*1.17</f>
        <v>6809400000</v>
      </c>
      <c r="CS279" s="357">
        <f>CR279*1.08</f>
        <v>7354152000.000001</v>
      </c>
      <c r="CT279" s="332">
        <f>CS279*1.09</f>
        <v>8016025680.0000019</v>
      </c>
      <c r="CU279" s="358">
        <f>CT279*1.09</f>
        <v>8737467991.2000027</v>
      </c>
      <c r="CV279" s="57" t="s">
        <v>38</v>
      </c>
    </row>
    <row r="280" spans="1:101" ht="15" customHeight="1" outlineLevel="2">
      <c r="A280" s="307"/>
      <c r="B280" s="307"/>
      <c r="C280" s="307"/>
      <c r="D280" s="307"/>
      <c r="E280" s="295" t="s">
        <v>120</v>
      </c>
      <c r="F280" s="307"/>
      <c r="G280" s="71"/>
      <c r="H280" s="71">
        <v>0</v>
      </c>
      <c r="I280" s="71">
        <v>0</v>
      </c>
      <c r="J280" s="71">
        <v>0</v>
      </c>
      <c r="K280" s="71">
        <v>0</v>
      </c>
      <c r="L280" s="71">
        <v>0</v>
      </c>
      <c r="M280" s="71">
        <v>0</v>
      </c>
      <c r="N280" s="71">
        <v>0</v>
      </c>
      <c r="O280" s="71"/>
      <c r="P280" s="71"/>
      <c r="Q280" s="71"/>
      <c r="R280" s="71"/>
      <c r="S280" s="71"/>
      <c r="T280" s="71"/>
      <c r="U280" s="71"/>
      <c r="V280" s="71">
        <v>0</v>
      </c>
      <c r="W280" s="232">
        <f t="shared" si="135"/>
        <v>0</v>
      </c>
      <c r="X280" s="233"/>
      <c r="Y280" s="232">
        <f>SUM(Y282:Y287)</f>
        <v>355000000</v>
      </c>
      <c r="Z280" s="232">
        <f t="shared" ref="Z280:AK280" si="143">SUM(Z282:Z287)</f>
        <v>355000000</v>
      </c>
      <c r="AA280" s="232">
        <f t="shared" si="143"/>
        <v>355000000</v>
      </c>
      <c r="AB280" s="232">
        <f t="shared" si="143"/>
        <v>355000000</v>
      </c>
      <c r="AC280" s="232">
        <f t="shared" si="143"/>
        <v>355000000</v>
      </c>
      <c r="AD280" s="232">
        <f t="shared" si="143"/>
        <v>355000000</v>
      </c>
      <c r="AE280" s="232">
        <f t="shared" si="143"/>
        <v>514000000</v>
      </c>
      <c r="AF280" s="232">
        <f t="shared" si="143"/>
        <v>514000000</v>
      </c>
      <c r="AG280" s="232">
        <f t="shared" si="143"/>
        <v>514000000</v>
      </c>
      <c r="AH280" s="232">
        <f t="shared" si="143"/>
        <v>514000000</v>
      </c>
      <c r="AI280" s="232">
        <f t="shared" si="143"/>
        <v>514000000</v>
      </c>
      <c r="AJ280" s="232">
        <f t="shared" si="143"/>
        <v>514000000</v>
      </c>
      <c r="AK280" s="232">
        <f t="shared" si="143"/>
        <v>5214000000</v>
      </c>
      <c r="AL280" s="55"/>
      <c r="AM280" s="232">
        <f t="shared" ref="AM280:AY280" si="144">SUM(AM282:AM287)</f>
        <v>355000000</v>
      </c>
      <c r="AN280" s="232">
        <f t="shared" si="144"/>
        <v>355000000</v>
      </c>
      <c r="AO280" s="232">
        <f t="shared" si="144"/>
        <v>355000000</v>
      </c>
      <c r="AP280" s="232">
        <f t="shared" si="144"/>
        <v>855000000</v>
      </c>
      <c r="AQ280" s="232">
        <f t="shared" si="144"/>
        <v>1075000000</v>
      </c>
      <c r="AR280" s="232">
        <f t="shared" si="144"/>
        <v>1075000000</v>
      </c>
      <c r="AS280" s="232">
        <f t="shared" si="144"/>
        <v>1234000000</v>
      </c>
      <c r="AT280" s="232">
        <f t="shared" si="144"/>
        <v>1234000000</v>
      </c>
      <c r="AU280" s="232">
        <f t="shared" si="144"/>
        <v>1234000000</v>
      </c>
      <c r="AV280" s="232">
        <f t="shared" si="144"/>
        <v>1234000000</v>
      </c>
      <c r="AW280" s="232">
        <f t="shared" si="144"/>
        <v>1234000000</v>
      </c>
      <c r="AX280" s="232">
        <f t="shared" si="144"/>
        <v>1234000000</v>
      </c>
      <c r="AY280" s="232">
        <f t="shared" si="144"/>
        <v>11474000000</v>
      </c>
      <c r="AZ280" s="55"/>
      <c r="BA280" s="232">
        <f t="shared" ref="BA280:CS280" si="145">SUM(BA282:BA287)</f>
        <v>0</v>
      </c>
      <c r="BB280" s="232">
        <f t="shared" si="145"/>
        <v>0</v>
      </c>
      <c r="BC280" s="232">
        <f t="shared" si="145"/>
        <v>0</v>
      </c>
      <c r="BD280" s="232">
        <f t="shared" si="145"/>
        <v>0</v>
      </c>
      <c r="BE280" s="232">
        <f t="shared" si="145"/>
        <v>0</v>
      </c>
      <c r="BF280" s="232">
        <f t="shared" si="145"/>
        <v>0</v>
      </c>
      <c r="BG280" s="232">
        <f t="shared" si="145"/>
        <v>0</v>
      </c>
      <c r="BH280" s="232">
        <f t="shared" si="145"/>
        <v>0</v>
      </c>
      <c r="BI280" s="232">
        <f t="shared" si="145"/>
        <v>0</v>
      </c>
      <c r="BJ280" s="232">
        <f t="shared" si="145"/>
        <v>0</v>
      </c>
      <c r="BK280" s="232">
        <f t="shared" si="145"/>
        <v>171000000</v>
      </c>
      <c r="BL280" s="232">
        <f t="shared" si="145"/>
        <v>0</v>
      </c>
      <c r="BM280" s="232">
        <f t="shared" si="145"/>
        <v>209333333.33333334</v>
      </c>
      <c r="BN280" s="232">
        <f t="shared" si="145"/>
        <v>0</v>
      </c>
      <c r="BO280" s="232">
        <f t="shared" si="145"/>
        <v>299500000</v>
      </c>
      <c r="BP280" s="232">
        <f t="shared" si="145"/>
        <v>0</v>
      </c>
      <c r="BQ280" s="232">
        <f>SUM(BQ282:BQ287)</f>
        <v>299500000</v>
      </c>
      <c r="BR280" s="232">
        <f>SUM(BR282:BR287)</f>
        <v>299500000</v>
      </c>
      <c r="BS280" s="232">
        <f t="shared" si="145"/>
        <v>0</v>
      </c>
      <c r="BT280" s="232">
        <f>SUM(BT282:BT287)</f>
        <v>299500000</v>
      </c>
      <c r="BU280" s="232">
        <f t="shared" si="145"/>
        <v>299500000</v>
      </c>
      <c r="BV280" s="232">
        <f t="shared" si="145"/>
        <v>0</v>
      </c>
      <c r="BW280" s="232">
        <f>SUM(BW282:BW287)</f>
        <v>299500000</v>
      </c>
      <c r="BX280" s="232">
        <f t="shared" si="145"/>
        <v>299500000</v>
      </c>
      <c r="BY280" s="232">
        <f t="shared" si="145"/>
        <v>0</v>
      </c>
      <c r="BZ280" s="232">
        <f>SUM(BZ282:BZ287)</f>
        <v>299500000</v>
      </c>
      <c r="CA280" s="232">
        <f t="shared" si="145"/>
        <v>299500000</v>
      </c>
      <c r="CB280" s="232">
        <f t="shared" si="145"/>
        <v>1198000000</v>
      </c>
      <c r="CC280" s="232">
        <f t="shared" si="145"/>
        <v>1198000000</v>
      </c>
      <c r="CD280" s="110"/>
      <c r="CE280" s="330">
        <f>SUM(CE281:CE287)</f>
        <v>424300000</v>
      </c>
      <c r="CF280" s="330">
        <f t="shared" ref="CF280:CP280" si="146">SUM(CF281:CF287)</f>
        <v>424300000</v>
      </c>
      <c r="CG280" s="330">
        <f t="shared" si="146"/>
        <v>424300000</v>
      </c>
      <c r="CH280" s="330">
        <f t="shared" si="146"/>
        <v>434300000</v>
      </c>
      <c r="CI280" s="330">
        <f t="shared" si="146"/>
        <v>589300000</v>
      </c>
      <c r="CJ280" s="330">
        <f t="shared" si="146"/>
        <v>609300000</v>
      </c>
      <c r="CK280" s="330">
        <f t="shared" si="146"/>
        <v>619300000</v>
      </c>
      <c r="CL280" s="330">
        <f t="shared" si="146"/>
        <v>609300000</v>
      </c>
      <c r="CM280" s="330">
        <f t="shared" si="146"/>
        <v>609300000</v>
      </c>
      <c r="CN280" s="330">
        <f t="shared" si="146"/>
        <v>609300000</v>
      </c>
      <c r="CO280" s="330">
        <f t="shared" si="146"/>
        <v>619300000</v>
      </c>
      <c r="CP280" s="330">
        <f t="shared" si="146"/>
        <v>599300000</v>
      </c>
      <c r="CQ280" s="330">
        <f>SUM(CQ281:CQ287)</f>
        <v>6571600000</v>
      </c>
      <c r="CR280" s="330">
        <f t="shared" si="145"/>
        <v>4048200000</v>
      </c>
      <c r="CS280" s="330">
        <f t="shared" si="145"/>
        <v>4372056000</v>
      </c>
      <c r="CT280" s="330">
        <f>SUM(CT282:CT287)</f>
        <v>4765541040</v>
      </c>
      <c r="CU280" s="330">
        <f>SUM(CU282:CU287)</f>
        <v>5194439733.6000004</v>
      </c>
      <c r="CV280" s="57"/>
    </row>
    <row r="281" spans="1:101" ht="15" customHeight="1" outlineLevel="2">
      <c r="A281" s="276" t="s">
        <v>253</v>
      </c>
      <c r="B281" s="277" t="str">
        <f>$E$270&amp;$E$269&amp;E281</f>
        <v>BULK JAKARTABULKSOLUSI BANGUN INDONESIA TBK</v>
      </c>
      <c r="C281" s="276" t="s">
        <v>252</v>
      </c>
      <c r="D281" s="297" t="s">
        <v>121</v>
      </c>
      <c r="E281" s="300" t="s">
        <v>261</v>
      </c>
      <c r="F281" s="300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6">
        <f>SUM(H281:S281)</f>
        <v>0</v>
      </c>
      <c r="X281" s="55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61">
        <v>0</v>
      </c>
      <c r="AL281" s="55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122">
        <v>0</v>
      </c>
      <c r="AZ281" s="55"/>
      <c r="BA281" s="639">
        <v>0</v>
      </c>
      <c r="BB281" s="639">
        <v>0</v>
      </c>
      <c r="BC281" s="86"/>
      <c r="BD281" s="639">
        <v>0</v>
      </c>
      <c r="BE281" s="86"/>
      <c r="BF281" s="639">
        <v>0</v>
      </c>
      <c r="BG281" s="86"/>
      <c r="BH281" s="639"/>
      <c r="BI281" s="86">
        <f>(152000*8000+4000*63000)*0</f>
        <v>0</v>
      </c>
      <c r="BJ281" s="639"/>
      <c r="BK281" s="86">
        <f>4000*63000*0</f>
        <v>0</v>
      </c>
      <c r="BL281" s="639"/>
      <c r="BM281" s="86"/>
      <c r="BN281" s="695"/>
      <c r="BO281" s="696"/>
      <c r="BP281" s="695"/>
      <c r="BQ281" s="696"/>
      <c r="BR281" s="729"/>
      <c r="BS281" s="695"/>
      <c r="BT281" s="696"/>
      <c r="BU281" s="729"/>
      <c r="BV281" s="695"/>
      <c r="BW281" s="696"/>
      <c r="BX281" s="729"/>
      <c r="BY281" s="695"/>
      <c r="BZ281" s="696"/>
      <c r="CA281" s="729"/>
      <c r="CB281" s="720">
        <f t="shared" ref="CB281:CB287" si="147">SUM(BA281,BB281,BD281,BF281,BH281,BJ281,BL281,BN281,BP281,BR281,BU281,BX281,CA281)</f>
        <v>0</v>
      </c>
      <c r="CC281" s="721">
        <f t="shared" ref="CC281:CC287" si="148">SUM(BA281,BB281,BD281,BF281,BH281,BJ281,BL281,BN281,BR281,BU281,BX281,CA281)</f>
        <v>0</v>
      </c>
      <c r="CD281" s="738"/>
      <c r="CE281" s="1195">
        <v>259300000</v>
      </c>
      <c r="CF281" s="1195">
        <v>259300000</v>
      </c>
      <c r="CG281" s="1195">
        <v>259300000</v>
      </c>
      <c r="CH281" s="1195">
        <v>259300000</v>
      </c>
      <c r="CI281" s="1195">
        <v>259300000</v>
      </c>
      <c r="CJ281" s="1195">
        <v>259300000</v>
      </c>
      <c r="CK281" s="1195">
        <v>259300000</v>
      </c>
      <c r="CL281" s="1195">
        <v>259300000</v>
      </c>
      <c r="CM281" s="1195">
        <v>259300000</v>
      </c>
      <c r="CN281" s="1195">
        <v>259300000</v>
      </c>
      <c r="CO281" s="1195">
        <v>259300000</v>
      </c>
      <c r="CP281" s="1195">
        <v>259300000</v>
      </c>
      <c r="CQ281" s="1196">
        <f t="shared" ref="CQ281:CQ287" si="149">SUM(CE281,CF281,CG281,CH281,CI281,CJ281,CK281,CL281,CM281,CN281,CO281,CP281)</f>
        <v>3111600000</v>
      </c>
      <c r="CR281" s="356"/>
      <c r="CS281" s="357">
        <f>1000000000*12</f>
        <v>12000000000</v>
      </c>
      <c r="CT281" s="332">
        <f>1000000000*12</f>
        <v>12000000000</v>
      </c>
      <c r="CU281" s="358">
        <f>1000000000*12</f>
        <v>12000000000</v>
      </c>
      <c r="CV281" s="57" t="s">
        <v>38</v>
      </c>
    </row>
    <row r="282" spans="1:101" ht="15" customHeight="1" outlineLevel="2">
      <c r="A282" s="276" t="s">
        <v>253</v>
      </c>
      <c r="B282" s="277" t="str">
        <f>$E$270&amp;$E$269&amp;E282</f>
        <v>BULK JAKARTABULK</v>
      </c>
      <c r="C282" s="276" t="s">
        <v>252</v>
      </c>
      <c r="D282" s="297" t="s">
        <v>121</v>
      </c>
      <c r="E282" s="300"/>
      <c r="F282" s="300"/>
      <c r="G282" s="65"/>
      <c r="H282" s="65">
        <v>0</v>
      </c>
      <c r="I282" s="65">
        <v>0</v>
      </c>
      <c r="J282" s="65">
        <v>0</v>
      </c>
      <c r="K282" s="65">
        <v>0</v>
      </c>
      <c r="L282" s="65">
        <v>0</v>
      </c>
      <c r="M282" s="65">
        <v>0</v>
      </c>
      <c r="N282" s="65">
        <v>0</v>
      </c>
      <c r="O282" s="65"/>
      <c r="P282" s="65"/>
      <c r="Q282" s="65"/>
      <c r="R282" s="65"/>
      <c r="S282" s="65"/>
      <c r="T282" s="65">
        <v>0</v>
      </c>
      <c r="U282" s="65">
        <v>0</v>
      </c>
      <c r="V282" s="65">
        <v>0</v>
      </c>
      <c r="W282" s="66">
        <f>SUM(H282:S282)</f>
        <v>0</v>
      </c>
      <c r="X282" s="55"/>
      <c r="Y282" s="67"/>
      <c r="Z282" s="57"/>
      <c r="AA282" s="57"/>
      <c r="AB282" s="67"/>
      <c r="AC282" s="67"/>
      <c r="AD282" s="67"/>
      <c r="AE282" s="85">
        <v>159000000</v>
      </c>
      <c r="AF282" s="85">
        <v>159000000</v>
      </c>
      <c r="AG282" s="85">
        <v>159000000</v>
      </c>
      <c r="AH282" s="85">
        <v>159000000</v>
      </c>
      <c r="AI282" s="85">
        <v>159000000</v>
      </c>
      <c r="AJ282" s="85">
        <v>159000000</v>
      </c>
      <c r="AK282" s="61">
        <v>954000000</v>
      </c>
      <c r="AL282" s="55"/>
      <c r="AM282" s="67"/>
      <c r="AN282" s="57"/>
      <c r="AO282" s="57"/>
      <c r="AP282" s="67"/>
      <c r="AQ282" s="67"/>
      <c r="AR282" s="67"/>
      <c r="AS282" s="85">
        <v>159000000</v>
      </c>
      <c r="AT282" s="85">
        <v>159000000</v>
      </c>
      <c r="AU282" s="85">
        <v>159000000</v>
      </c>
      <c r="AV282" s="85">
        <v>159000000</v>
      </c>
      <c r="AW282" s="85">
        <v>159000000</v>
      </c>
      <c r="AX282" s="85">
        <v>159000000</v>
      </c>
      <c r="AY282" s="122">
        <v>954000000</v>
      </c>
      <c r="AZ282" s="55"/>
      <c r="BA282" s="639">
        <v>0</v>
      </c>
      <c r="BB282" s="639">
        <v>0</v>
      </c>
      <c r="BC282" s="86"/>
      <c r="BD282" s="639">
        <v>0</v>
      </c>
      <c r="BE282" s="86"/>
      <c r="BF282" s="639"/>
      <c r="BG282" s="86"/>
      <c r="BH282" s="639"/>
      <c r="BI282" s="86"/>
      <c r="BJ282" s="639"/>
      <c r="BK282" s="86"/>
      <c r="BL282" s="639"/>
      <c r="BM282" s="86"/>
      <c r="BN282" s="695"/>
      <c r="BO282" s="696"/>
      <c r="BP282" s="695"/>
      <c r="BQ282" s="696"/>
      <c r="BR282" s="729"/>
      <c r="BS282" s="695"/>
      <c r="BT282" s="696"/>
      <c r="BU282" s="729"/>
      <c r="BV282" s="695"/>
      <c r="BW282" s="696"/>
      <c r="BX282" s="729"/>
      <c r="BY282" s="695"/>
      <c r="BZ282" s="696"/>
      <c r="CA282" s="729"/>
      <c r="CB282" s="720">
        <f t="shared" si="147"/>
        <v>0</v>
      </c>
      <c r="CC282" s="721">
        <f t="shared" si="148"/>
        <v>0</v>
      </c>
      <c r="CD282" s="738"/>
      <c r="CE282" s="322"/>
      <c r="CF282" s="322"/>
      <c r="CG282" s="322"/>
      <c r="CH282" s="322"/>
      <c r="CI282" s="322"/>
      <c r="CJ282" s="322"/>
      <c r="CK282" s="322"/>
      <c r="CL282" s="322"/>
      <c r="CM282" s="322"/>
      <c r="CN282" s="322"/>
      <c r="CO282" s="322"/>
      <c r="CP282" s="322"/>
      <c r="CQ282" s="355">
        <f t="shared" si="149"/>
        <v>0</v>
      </c>
      <c r="CR282" s="356">
        <f>CQ282*1.07</f>
        <v>0</v>
      </c>
      <c r="CS282" s="357">
        <f>CR282*1.07</f>
        <v>0</v>
      </c>
      <c r="CT282" s="332">
        <f>CS282*1.07</f>
        <v>0</v>
      </c>
      <c r="CU282" s="358">
        <f>CT282*1.07</f>
        <v>0</v>
      </c>
      <c r="CV282" s="57" t="s">
        <v>38</v>
      </c>
    </row>
    <row r="283" spans="1:101" ht="15" customHeight="1" outlineLevel="2">
      <c r="A283" s="296"/>
      <c r="B283" s="277" t="str">
        <f>$E$270&amp;$E$269&amp;E283</f>
        <v>BULK JAKARTABULKCARGIL</v>
      </c>
      <c r="C283" s="276" t="s">
        <v>252</v>
      </c>
      <c r="D283" s="297" t="s">
        <v>121</v>
      </c>
      <c r="E283" s="300" t="s">
        <v>262</v>
      </c>
      <c r="F283" s="300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6">
        <f>SUM(H283:S283)</f>
        <v>0</v>
      </c>
      <c r="X283" s="55"/>
      <c r="Y283" s="67"/>
      <c r="Z283" s="57"/>
      <c r="AA283" s="57"/>
      <c r="AB283" s="67"/>
      <c r="AC283" s="67"/>
      <c r="AD283" s="67"/>
      <c r="AE283" s="85"/>
      <c r="AF283" s="85"/>
      <c r="AG283" s="85"/>
      <c r="AH283" s="85"/>
      <c r="AI283" s="85"/>
      <c r="AJ283" s="85"/>
      <c r="AK283" s="61">
        <v>0</v>
      </c>
      <c r="AL283" s="55"/>
      <c r="AM283" s="67"/>
      <c r="AN283" s="57"/>
      <c r="AO283" s="57"/>
      <c r="AP283" s="67"/>
      <c r="AQ283" s="67"/>
      <c r="AR283" s="67"/>
      <c r="AS283" s="85"/>
      <c r="AT283" s="85"/>
      <c r="AU283" s="85"/>
      <c r="AV283" s="85"/>
      <c r="AW283" s="85"/>
      <c r="AX283" s="85"/>
      <c r="AY283" s="122">
        <v>0</v>
      </c>
      <c r="AZ283" s="55"/>
      <c r="BA283" s="639">
        <v>0</v>
      </c>
      <c r="BB283" s="639">
        <v>0</v>
      </c>
      <c r="BC283" s="86"/>
      <c r="BD283" s="639">
        <v>0</v>
      </c>
      <c r="BE283" s="86"/>
      <c r="BF283" s="639">
        <v>0</v>
      </c>
      <c r="BG283" s="86"/>
      <c r="BH283" s="639"/>
      <c r="BI283" s="86"/>
      <c r="BJ283" s="639"/>
      <c r="BK283" s="86"/>
      <c r="BL283" s="639"/>
      <c r="BM283" s="86"/>
      <c r="BN283" s="695"/>
      <c r="BO283" s="696"/>
      <c r="BP283" s="695"/>
      <c r="BQ283" s="696"/>
      <c r="BR283" s="729"/>
      <c r="BS283" s="695"/>
      <c r="BT283" s="696"/>
      <c r="BU283" s="729"/>
      <c r="BV283" s="695"/>
      <c r="BW283" s="696"/>
      <c r="BX283" s="729"/>
      <c r="BY283" s="695"/>
      <c r="BZ283" s="696"/>
      <c r="CA283" s="729"/>
      <c r="CB283" s="720">
        <f t="shared" si="147"/>
        <v>0</v>
      </c>
      <c r="CC283" s="721">
        <f t="shared" si="148"/>
        <v>0</v>
      </c>
      <c r="CD283" s="738"/>
      <c r="CE283" s="322"/>
      <c r="CF283" s="322"/>
      <c r="CG283" s="322"/>
      <c r="CH283" s="322"/>
      <c r="CI283" s="322"/>
      <c r="CJ283" s="322"/>
      <c r="CK283" s="322"/>
      <c r="CL283" s="322"/>
      <c r="CM283" s="322"/>
      <c r="CN283" s="322"/>
      <c r="CO283" s="322"/>
      <c r="CP283" s="322"/>
      <c r="CQ283" s="355">
        <f t="shared" si="149"/>
        <v>0</v>
      </c>
      <c r="CR283" s="356"/>
      <c r="CS283" s="357"/>
      <c r="CT283" s="332"/>
      <c r="CU283" s="358"/>
      <c r="CV283" s="57" t="s">
        <v>38</v>
      </c>
      <c r="CW283" s="38">
        <v>1</v>
      </c>
    </row>
    <row r="284" spans="1:101" ht="15" customHeight="1" outlineLevel="2">
      <c r="D284" s="297" t="s">
        <v>121</v>
      </c>
      <c r="E284" s="300" t="s">
        <v>263</v>
      </c>
      <c r="F284" s="300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6">
        <f>SUM(H284:S284)</f>
        <v>0</v>
      </c>
      <c r="X284" s="55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61">
        <v>0</v>
      </c>
      <c r="AL284" s="55"/>
      <c r="AM284" s="57"/>
      <c r="AN284" s="57"/>
      <c r="AO284" s="57"/>
      <c r="AP284" s="120">
        <v>500000000</v>
      </c>
      <c r="AQ284" s="120">
        <v>720000000</v>
      </c>
      <c r="AR284" s="120">
        <v>720000000</v>
      </c>
      <c r="AS284" s="120">
        <v>720000000</v>
      </c>
      <c r="AT284" s="120">
        <v>720000000</v>
      </c>
      <c r="AU284" s="120">
        <v>720000000</v>
      </c>
      <c r="AV284" s="120">
        <v>720000000</v>
      </c>
      <c r="AW284" s="120">
        <v>720000000</v>
      </c>
      <c r="AX284" s="120">
        <v>720000000</v>
      </c>
      <c r="AY284" s="120">
        <v>6260000000</v>
      </c>
      <c r="AZ284" s="55"/>
      <c r="BA284" s="639">
        <v>0</v>
      </c>
      <c r="BB284" s="639">
        <v>0</v>
      </c>
      <c r="BC284" s="86"/>
      <c r="BD284" s="639">
        <v>0</v>
      </c>
      <c r="BE284" s="86"/>
      <c r="BF284" s="639">
        <v>0</v>
      </c>
      <c r="BG284" s="86"/>
      <c r="BH284" s="639"/>
      <c r="BI284" s="86"/>
      <c r="BJ284" s="639"/>
      <c r="BK284" s="86"/>
      <c r="BL284" s="639"/>
      <c r="BM284" s="86"/>
      <c r="BN284" s="695"/>
      <c r="BO284" s="696"/>
      <c r="BP284" s="695"/>
      <c r="BQ284" s="696"/>
      <c r="BR284" s="729"/>
      <c r="BS284" s="695"/>
      <c r="BT284" s="696"/>
      <c r="BU284" s="729"/>
      <c r="BV284" s="695"/>
      <c r="BW284" s="696"/>
      <c r="BX284" s="729"/>
      <c r="BY284" s="695"/>
      <c r="BZ284" s="696"/>
      <c r="CA284" s="729"/>
      <c r="CB284" s="720">
        <f t="shared" si="147"/>
        <v>0</v>
      </c>
      <c r="CC284" s="721">
        <f t="shared" si="148"/>
        <v>0</v>
      </c>
      <c r="CD284" s="738"/>
      <c r="CE284" s="322"/>
      <c r="CF284" s="322"/>
      <c r="CG284" s="322"/>
      <c r="CH284" s="322"/>
      <c r="CI284" s="322"/>
      <c r="CJ284" s="322"/>
      <c r="CK284" s="322"/>
      <c r="CL284" s="322"/>
      <c r="CM284" s="322"/>
      <c r="CN284" s="322"/>
      <c r="CO284" s="322"/>
      <c r="CP284" s="322"/>
      <c r="CQ284" s="355">
        <f t="shared" si="149"/>
        <v>0</v>
      </c>
      <c r="CR284" s="356"/>
      <c r="CS284" s="357"/>
      <c r="CT284" s="332"/>
      <c r="CU284" s="358"/>
      <c r="CV284" s="57" t="s">
        <v>38</v>
      </c>
    </row>
    <row r="285" spans="1:101" ht="15" customHeight="1" outlineLevel="2">
      <c r="A285" s="276" t="s">
        <v>253</v>
      </c>
      <c r="B285" s="277" t="str">
        <f t="shared" si="139"/>
        <v>BULK JAKARTABULKITP PATI</v>
      </c>
      <c r="C285" s="276" t="s">
        <v>252</v>
      </c>
      <c r="D285" s="297" t="s">
        <v>121</v>
      </c>
      <c r="E285" s="300" t="s">
        <v>264</v>
      </c>
      <c r="F285" s="300"/>
      <c r="G285" s="65"/>
      <c r="H285" s="65">
        <v>0</v>
      </c>
      <c r="I285" s="65">
        <v>0</v>
      </c>
      <c r="J285" s="65">
        <v>0</v>
      </c>
      <c r="K285" s="65">
        <v>0</v>
      </c>
      <c r="L285" s="65">
        <v>0</v>
      </c>
      <c r="M285" s="65">
        <v>0</v>
      </c>
      <c r="N285" s="65">
        <v>0</v>
      </c>
      <c r="O285" s="65"/>
      <c r="P285" s="65"/>
      <c r="Q285" s="65"/>
      <c r="R285" s="65"/>
      <c r="S285" s="65"/>
      <c r="T285" s="65">
        <v>0</v>
      </c>
      <c r="U285" s="65">
        <v>0</v>
      </c>
      <c r="V285" s="65">
        <v>0</v>
      </c>
      <c r="W285" s="66">
        <f t="shared" si="135"/>
        <v>0</v>
      </c>
      <c r="X285" s="55"/>
      <c r="Y285" s="96">
        <v>175000000</v>
      </c>
      <c r="Z285" s="96">
        <v>175000000</v>
      </c>
      <c r="AA285" s="96">
        <v>175000000</v>
      </c>
      <c r="AB285" s="96">
        <v>175000000</v>
      </c>
      <c r="AC285" s="96">
        <v>175000000</v>
      </c>
      <c r="AD285" s="96">
        <v>175000000</v>
      </c>
      <c r="AE285" s="96">
        <v>175000000</v>
      </c>
      <c r="AF285" s="96">
        <v>175000000</v>
      </c>
      <c r="AG285" s="96">
        <v>175000000</v>
      </c>
      <c r="AH285" s="96">
        <v>175000000</v>
      </c>
      <c r="AI285" s="96">
        <v>175000000</v>
      </c>
      <c r="AJ285" s="96">
        <v>175000000</v>
      </c>
      <c r="AK285" s="61">
        <v>2100000000</v>
      </c>
      <c r="AL285" s="55"/>
      <c r="AM285" s="96">
        <v>175000000</v>
      </c>
      <c r="AN285" s="96">
        <v>175000000</v>
      </c>
      <c r="AO285" s="96">
        <v>175000000</v>
      </c>
      <c r="AP285" s="96">
        <v>175000000</v>
      </c>
      <c r="AQ285" s="96">
        <v>175000000</v>
      </c>
      <c r="AR285" s="96">
        <v>175000000</v>
      </c>
      <c r="AS285" s="96">
        <v>175000000</v>
      </c>
      <c r="AT285" s="96">
        <v>175000000</v>
      </c>
      <c r="AU285" s="96">
        <v>175000000</v>
      </c>
      <c r="AV285" s="96">
        <v>175000000</v>
      </c>
      <c r="AW285" s="96">
        <v>175000000</v>
      </c>
      <c r="AX285" s="96">
        <v>175000000</v>
      </c>
      <c r="AY285" s="122">
        <v>2100000000</v>
      </c>
      <c r="AZ285" s="55"/>
      <c r="BA285" s="639">
        <v>0</v>
      </c>
      <c r="BB285" s="639">
        <v>0</v>
      </c>
      <c r="BC285" s="86"/>
      <c r="BD285" s="639">
        <v>0</v>
      </c>
      <c r="BE285" s="86"/>
      <c r="BF285" s="639"/>
      <c r="BG285" s="86">
        <v>0</v>
      </c>
      <c r="BH285" s="639"/>
      <c r="BI285" s="86">
        <v>0</v>
      </c>
      <c r="BJ285" s="639"/>
      <c r="BK285" s="86">
        <f>45*3800000</f>
        <v>171000000</v>
      </c>
      <c r="BL285" s="639"/>
      <c r="BM285" s="86">
        <f>45*3800000</f>
        <v>171000000</v>
      </c>
      <c r="BN285" s="695"/>
      <c r="BO285" s="696">
        <f>45*4100000</f>
        <v>184500000</v>
      </c>
      <c r="BP285" s="695"/>
      <c r="BQ285" s="696">
        <f>45*4100000</f>
        <v>184500000</v>
      </c>
      <c r="BR285" s="729">
        <f>45*4100000</f>
        <v>184500000</v>
      </c>
      <c r="BS285" s="695"/>
      <c r="BT285" s="696">
        <f>45*4100000</f>
        <v>184500000</v>
      </c>
      <c r="BU285" s="729">
        <f>45*4100000</f>
        <v>184500000</v>
      </c>
      <c r="BV285" s="695"/>
      <c r="BW285" s="696">
        <f>45*4100000</f>
        <v>184500000</v>
      </c>
      <c r="BX285" s="729">
        <f>45*4100000</f>
        <v>184500000</v>
      </c>
      <c r="BY285" s="695"/>
      <c r="BZ285" s="696">
        <f>45*4100000</f>
        <v>184500000</v>
      </c>
      <c r="CA285" s="729">
        <f>45*4100000</f>
        <v>184500000</v>
      </c>
      <c r="CB285" s="720">
        <f t="shared" si="147"/>
        <v>738000000</v>
      </c>
      <c r="CC285" s="721">
        <f t="shared" si="148"/>
        <v>738000000</v>
      </c>
      <c r="CD285" s="738"/>
      <c r="CE285" s="322"/>
      <c r="CF285" s="322"/>
      <c r="CG285" s="322"/>
      <c r="CH285" s="322"/>
      <c r="CI285" s="322">
        <v>185000000</v>
      </c>
      <c r="CJ285" s="322">
        <v>185000000</v>
      </c>
      <c r="CK285" s="322">
        <v>185000000</v>
      </c>
      <c r="CL285" s="322">
        <v>185000000</v>
      </c>
      <c r="CM285" s="322">
        <v>185000000</v>
      </c>
      <c r="CN285" s="322">
        <v>185000000</v>
      </c>
      <c r="CO285" s="322">
        <v>185000000</v>
      </c>
      <c r="CP285" s="322">
        <v>185000000</v>
      </c>
      <c r="CQ285" s="355">
        <f t="shared" si="149"/>
        <v>1480000000</v>
      </c>
      <c r="CR285" s="356">
        <f>CQ285*1.17</f>
        <v>1731600000</v>
      </c>
      <c r="CS285" s="357">
        <f>CR285*1.08</f>
        <v>1870128000.0000002</v>
      </c>
      <c r="CT285" s="332">
        <f>CS285*1.09</f>
        <v>2038439520.0000005</v>
      </c>
      <c r="CU285" s="358">
        <f>CT285*1.09</f>
        <v>2221899076.8000007</v>
      </c>
      <c r="CV285" s="57" t="s">
        <v>38</v>
      </c>
    </row>
    <row r="286" spans="1:101" ht="15" customHeight="1" outlineLevel="2">
      <c r="A286" s="276" t="s">
        <v>253</v>
      </c>
      <c r="B286" s="277" t="str">
        <f t="shared" si="139"/>
        <v xml:space="preserve">BULK JAKARTABULKITP PANDEGLANG </v>
      </c>
      <c r="C286" s="276" t="s">
        <v>252</v>
      </c>
      <c r="D286" s="297" t="s">
        <v>121</v>
      </c>
      <c r="E286" s="300" t="s">
        <v>265</v>
      </c>
      <c r="F286" s="300"/>
      <c r="G286" s="65"/>
      <c r="H286" s="65">
        <v>0</v>
      </c>
      <c r="I286" s="65">
        <v>0</v>
      </c>
      <c r="J286" s="65">
        <v>0</v>
      </c>
      <c r="K286" s="65">
        <v>0</v>
      </c>
      <c r="L286" s="65">
        <v>0</v>
      </c>
      <c r="M286" s="65">
        <v>0</v>
      </c>
      <c r="N286" s="65">
        <v>0</v>
      </c>
      <c r="O286" s="65"/>
      <c r="P286" s="65"/>
      <c r="Q286" s="65"/>
      <c r="R286" s="65"/>
      <c r="S286" s="65"/>
      <c r="T286" s="65">
        <v>0</v>
      </c>
      <c r="U286" s="65">
        <v>0</v>
      </c>
      <c r="V286" s="65">
        <v>0</v>
      </c>
      <c r="W286" s="66">
        <f t="shared" si="135"/>
        <v>0</v>
      </c>
      <c r="X286" s="55"/>
      <c r="Y286" s="96">
        <v>180000000</v>
      </c>
      <c r="Z286" s="96">
        <v>180000000</v>
      </c>
      <c r="AA286" s="96">
        <v>180000000</v>
      </c>
      <c r="AB286" s="96">
        <v>180000000</v>
      </c>
      <c r="AC286" s="96">
        <v>180000000</v>
      </c>
      <c r="AD286" s="96">
        <v>180000000</v>
      </c>
      <c r="AE286" s="96">
        <v>180000000</v>
      </c>
      <c r="AF286" s="96">
        <v>180000000</v>
      </c>
      <c r="AG286" s="96">
        <v>180000000</v>
      </c>
      <c r="AH286" s="96">
        <v>180000000</v>
      </c>
      <c r="AI286" s="96">
        <v>180000000</v>
      </c>
      <c r="AJ286" s="96">
        <v>180000000</v>
      </c>
      <c r="AK286" s="61">
        <v>2160000000</v>
      </c>
      <c r="AL286" s="55"/>
      <c r="AM286" s="96">
        <v>180000000</v>
      </c>
      <c r="AN286" s="96">
        <v>180000000</v>
      </c>
      <c r="AO286" s="96">
        <v>180000000</v>
      </c>
      <c r="AP286" s="96">
        <v>180000000</v>
      </c>
      <c r="AQ286" s="96">
        <v>180000000</v>
      </c>
      <c r="AR286" s="96">
        <v>180000000</v>
      </c>
      <c r="AS286" s="96">
        <v>180000000</v>
      </c>
      <c r="AT286" s="96">
        <v>180000000</v>
      </c>
      <c r="AU286" s="96">
        <v>180000000</v>
      </c>
      <c r="AV286" s="96">
        <v>180000000</v>
      </c>
      <c r="AW286" s="96">
        <v>180000000</v>
      </c>
      <c r="AX286" s="96">
        <v>180000000</v>
      </c>
      <c r="AY286" s="122">
        <v>2160000000</v>
      </c>
      <c r="AZ286" s="55"/>
      <c r="BA286" s="639">
        <v>0</v>
      </c>
      <c r="BB286" s="639">
        <v>0</v>
      </c>
      <c r="BC286" s="86"/>
      <c r="BD286" s="639">
        <v>0</v>
      </c>
      <c r="BE286" s="86"/>
      <c r="BF286" s="639"/>
      <c r="BG286" s="86"/>
      <c r="BH286" s="639"/>
      <c r="BI286" s="86"/>
      <c r="BJ286" s="639"/>
      <c r="BK286" s="86"/>
      <c r="BL286" s="639"/>
      <c r="BM286" s="86"/>
      <c r="BN286" s="695"/>
      <c r="BO286" s="696"/>
      <c r="BP286" s="695"/>
      <c r="BQ286" s="696"/>
      <c r="BR286" s="729"/>
      <c r="BS286" s="695"/>
      <c r="BT286" s="696"/>
      <c r="BU286" s="729"/>
      <c r="BV286" s="695"/>
      <c r="BW286" s="696"/>
      <c r="BX286" s="729"/>
      <c r="BY286" s="695"/>
      <c r="BZ286" s="696"/>
      <c r="CA286" s="729"/>
      <c r="CB286" s="720">
        <f t="shared" si="147"/>
        <v>0</v>
      </c>
      <c r="CC286" s="721">
        <f t="shared" si="148"/>
        <v>0</v>
      </c>
      <c r="CD286" s="738"/>
      <c r="CE286" s="1195">
        <v>165000000</v>
      </c>
      <c r="CF286" s="1195">
        <v>165000000</v>
      </c>
      <c r="CG286" s="1195">
        <v>165000000</v>
      </c>
      <c r="CH286" s="1195">
        <f>165000000+10000000</f>
        <v>175000000</v>
      </c>
      <c r="CI286" s="1195">
        <f>165000000-20000000</f>
        <v>145000000</v>
      </c>
      <c r="CJ286" s="1195">
        <v>165000000</v>
      </c>
      <c r="CK286" s="1195">
        <f>165000000+10000000</f>
        <v>175000000</v>
      </c>
      <c r="CL286" s="1195">
        <v>165000000</v>
      </c>
      <c r="CM286" s="1195">
        <v>165000000</v>
      </c>
      <c r="CN286" s="1195">
        <v>165000000</v>
      </c>
      <c r="CO286" s="1195">
        <f>165000000+10000000</f>
        <v>175000000</v>
      </c>
      <c r="CP286" s="1195">
        <f>165000000-10000000</f>
        <v>155000000</v>
      </c>
      <c r="CQ286" s="1196">
        <f t="shared" si="149"/>
        <v>1980000000</v>
      </c>
      <c r="CR286" s="356">
        <f>CQ286*1.17</f>
        <v>2316600000</v>
      </c>
      <c r="CS286" s="357">
        <f>CR286*1.08</f>
        <v>2501928000</v>
      </c>
      <c r="CT286" s="332">
        <f>CS286*1.09</f>
        <v>2727101520</v>
      </c>
      <c r="CU286" s="358">
        <f>CT286*1.09</f>
        <v>2972540656.8000002</v>
      </c>
      <c r="CV286" s="57" t="s">
        <v>38</v>
      </c>
    </row>
    <row r="287" spans="1:101" ht="15" customHeight="1" outlineLevel="2">
      <c r="A287" s="296"/>
      <c r="B287" s="277" t="str">
        <f t="shared" si="139"/>
        <v>BULK JAKARTABULKPUPUK KALIMANTAN TIMUR SULAWESI</v>
      </c>
      <c r="C287" s="276" t="s">
        <v>252</v>
      </c>
      <c r="D287" s="297" t="s">
        <v>121</v>
      </c>
      <c r="E287" s="300" t="s">
        <v>259</v>
      </c>
      <c r="F287" s="300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6">
        <f t="shared" si="135"/>
        <v>0</v>
      </c>
      <c r="X287" s="55"/>
      <c r="Y287" s="67"/>
      <c r="Z287" s="57"/>
      <c r="AA287" s="57"/>
      <c r="AB287" s="67"/>
      <c r="AC287" s="67"/>
      <c r="AD287" s="67"/>
      <c r="AE287" s="85"/>
      <c r="AF287" s="85"/>
      <c r="AG287" s="85"/>
      <c r="AH287" s="85"/>
      <c r="AI287" s="85"/>
      <c r="AJ287" s="85"/>
      <c r="AK287" s="61">
        <v>0</v>
      </c>
      <c r="AL287" s="55"/>
      <c r="AM287" s="67"/>
      <c r="AN287" s="57"/>
      <c r="AO287" s="57"/>
      <c r="AP287" s="67"/>
      <c r="AQ287" s="67"/>
      <c r="AR287" s="67"/>
      <c r="AS287" s="85"/>
      <c r="AT287" s="85"/>
      <c r="AU287" s="85"/>
      <c r="AV287" s="85"/>
      <c r="AW287" s="85"/>
      <c r="AX287" s="85"/>
      <c r="AY287" s="122">
        <v>0</v>
      </c>
      <c r="AZ287" s="55"/>
      <c r="BA287" s="639">
        <v>0</v>
      </c>
      <c r="BB287" s="639">
        <v>0</v>
      </c>
      <c r="BC287" s="86"/>
      <c r="BD287" s="639">
        <v>0</v>
      </c>
      <c r="BE287" s="86"/>
      <c r="BF287" s="639">
        <v>0</v>
      </c>
      <c r="BG287" s="86"/>
      <c r="BH287" s="639"/>
      <c r="BI287" s="86"/>
      <c r="BJ287" s="639"/>
      <c r="BK287" s="86"/>
      <c r="BL287" s="639"/>
      <c r="BM287" s="86">
        <f>115000000/3</f>
        <v>38333333.333333336</v>
      </c>
      <c r="BN287" s="695"/>
      <c r="BO287" s="696">
        <v>115000000</v>
      </c>
      <c r="BP287" s="695"/>
      <c r="BQ287" s="696">
        <v>115000000</v>
      </c>
      <c r="BR287" s="729">
        <v>115000000</v>
      </c>
      <c r="BS287" s="695"/>
      <c r="BT287" s="696">
        <v>115000000</v>
      </c>
      <c r="BU287" s="729">
        <v>115000000</v>
      </c>
      <c r="BV287" s="695"/>
      <c r="BW287" s="696">
        <v>115000000</v>
      </c>
      <c r="BX287" s="729">
        <v>115000000</v>
      </c>
      <c r="BY287" s="695"/>
      <c r="BZ287" s="696">
        <v>115000000</v>
      </c>
      <c r="CA287" s="729">
        <v>115000000</v>
      </c>
      <c r="CB287" s="720">
        <f t="shared" si="147"/>
        <v>460000000</v>
      </c>
      <c r="CC287" s="721">
        <f t="shared" si="148"/>
        <v>460000000</v>
      </c>
      <c r="CD287" s="738"/>
      <c r="CE287" s="322"/>
      <c r="CF287" s="322"/>
      <c r="CG287" s="322"/>
      <c r="CH287" s="322"/>
      <c r="CI287" s="322"/>
      <c r="CJ287" s="322"/>
      <c r="CK287" s="322"/>
      <c r="CL287" s="322"/>
      <c r="CM287" s="322"/>
      <c r="CN287" s="322"/>
      <c r="CO287" s="322"/>
      <c r="CP287" s="322"/>
      <c r="CQ287" s="355">
        <f t="shared" si="149"/>
        <v>0</v>
      </c>
      <c r="CR287" s="356" t="s">
        <v>266</v>
      </c>
      <c r="CS287" s="357" t="s">
        <v>266</v>
      </c>
      <c r="CT287" s="332" t="s">
        <v>266</v>
      </c>
      <c r="CU287" s="358" t="s">
        <v>266</v>
      </c>
      <c r="CV287" s="57" t="s">
        <v>38</v>
      </c>
    </row>
    <row r="288" spans="1:101" ht="15.5" outlineLevel="1">
      <c r="A288" s="301"/>
      <c r="B288" s="301"/>
      <c r="C288" s="301"/>
      <c r="D288" s="301"/>
      <c r="E288" s="301" t="s">
        <v>267</v>
      </c>
      <c r="F288" s="301"/>
      <c r="G288" s="76">
        <f t="shared" ref="G288:W288" si="150">SUM(G271:G287)</f>
        <v>45830881734</v>
      </c>
      <c r="H288" s="76">
        <f t="shared" si="150"/>
        <v>3609695237</v>
      </c>
      <c r="I288" s="76">
        <f t="shared" si="150"/>
        <v>4635180222</v>
      </c>
      <c r="J288" s="76">
        <f t="shared" si="150"/>
        <v>4667183796</v>
      </c>
      <c r="K288" s="76">
        <f t="shared" si="150"/>
        <v>3465737511</v>
      </c>
      <c r="L288" s="76">
        <f t="shared" si="150"/>
        <v>3076266035</v>
      </c>
      <c r="M288" s="76">
        <f t="shared" si="150"/>
        <v>3026562639</v>
      </c>
      <c r="N288" s="76">
        <f t="shared" si="150"/>
        <v>5097526880</v>
      </c>
      <c r="O288" s="76">
        <f t="shared" si="150"/>
        <v>4908826780</v>
      </c>
      <c r="P288" s="76">
        <f t="shared" si="150"/>
        <v>2907571721</v>
      </c>
      <c r="Q288" s="76">
        <f t="shared" si="150"/>
        <v>2959320648</v>
      </c>
      <c r="R288" s="76">
        <f t="shared" si="150"/>
        <v>2550315186</v>
      </c>
      <c r="S288" s="76">
        <f t="shared" si="150"/>
        <v>2678694671</v>
      </c>
      <c r="T288" s="76">
        <f t="shared" si="150"/>
        <v>3118676004</v>
      </c>
      <c r="U288" s="76">
        <f t="shared" si="150"/>
        <v>3077520604</v>
      </c>
      <c r="V288" s="76">
        <f t="shared" si="150"/>
        <v>3282465879</v>
      </c>
      <c r="W288" s="76">
        <f t="shared" si="150"/>
        <v>43582881326</v>
      </c>
      <c r="X288" s="55"/>
      <c r="Y288" s="77">
        <f t="shared" ref="Y288:AK288" si="151">Y270+Y280</f>
        <v>3594631545.840641</v>
      </c>
      <c r="Z288" s="77">
        <f t="shared" si="151"/>
        <v>5194631545.840641</v>
      </c>
      <c r="AA288" s="77">
        <f t="shared" si="151"/>
        <v>3594631545.840641</v>
      </c>
      <c r="AB288" s="77">
        <f t="shared" si="151"/>
        <v>3594631545.840641</v>
      </c>
      <c r="AC288" s="77">
        <f t="shared" si="151"/>
        <v>5194631545.840641</v>
      </c>
      <c r="AD288" s="77">
        <f t="shared" si="151"/>
        <v>3774631545.840641</v>
      </c>
      <c r="AE288" s="77">
        <f t="shared" si="151"/>
        <v>3753631545.840641</v>
      </c>
      <c r="AF288" s="77">
        <f t="shared" si="151"/>
        <v>5353631545.840641</v>
      </c>
      <c r="AG288" s="77">
        <f t="shared" si="151"/>
        <v>3933631545.840641</v>
      </c>
      <c r="AH288" s="77">
        <f t="shared" si="151"/>
        <v>3753631545.840641</v>
      </c>
      <c r="AI288" s="77">
        <f t="shared" si="151"/>
        <v>3753631545.840641</v>
      </c>
      <c r="AJ288" s="77">
        <f t="shared" si="151"/>
        <v>5533631545.840641</v>
      </c>
      <c r="AK288" s="77">
        <f t="shared" si="151"/>
        <v>51029578550.087692</v>
      </c>
      <c r="AL288" s="55"/>
      <c r="AM288" s="77">
        <f t="shared" ref="AM288:AX288" si="152">AM270+AM280</f>
        <v>3643833333.3333335</v>
      </c>
      <c r="AN288" s="77">
        <f t="shared" si="152"/>
        <v>5243833333.333334</v>
      </c>
      <c r="AO288" s="77">
        <f t="shared" si="152"/>
        <v>3643833333.3333335</v>
      </c>
      <c r="AP288" s="77">
        <f t="shared" si="152"/>
        <v>4143833333.3333335</v>
      </c>
      <c r="AQ288" s="77">
        <f t="shared" si="152"/>
        <v>5963833333.333334</v>
      </c>
      <c r="AR288" s="77">
        <f t="shared" si="152"/>
        <v>4543833333.333334</v>
      </c>
      <c r="AS288" s="77">
        <f t="shared" si="152"/>
        <v>4522833333.333334</v>
      </c>
      <c r="AT288" s="77">
        <f t="shared" si="152"/>
        <v>6122833333.333334</v>
      </c>
      <c r="AU288" s="77">
        <f t="shared" si="152"/>
        <v>4702833333.333334</v>
      </c>
      <c r="AV288" s="77">
        <f t="shared" si="152"/>
        <v>4522833333.333334</v>
      </c>
      <c r="AW288" s="77">
        <f t="shared" si="152"/>
        <v>4522833333.333334</v>
      </c>
      <c r="AX288" s="77">
        <f t="shared" si="152"/>
        <v>6302833333.333334</v>
      </c>
      <c r="AY288" s="77">
        <f>AY270+AY280</f>
        <v>57880000000</v>
      </c>
      <c r="AZ288" s="55"/>
      <c r="BA288" s="77">
        <f>BA270+BA280</f>
        <v>2580822594</v>
      </c>
      <c r="BB288" s="77">
        <f t="shared" ref="BB288:CS288" si="153">BB270+BB280</f>
        <v>3193484038</v>
      </c>
      <c r="BC288" s="77">
        <f t="shared" si="153"/>
        <v>2934000000</v>
      </c>
      <c r="BD288" s="77">
        <f t="shared" si="153"/>
        <v>5887190364</v>
      </c>
      <c r="BE288" s="77">
        <f t="shared" si="153"/>
        <v>3371000000</v>
      </c>
      <c r="BF288" s="77">
        <f t="shared" si="153"/>
        <v>4127815507</v>
      </c>
      <c r="BG288" s="77">
        <f t="shared" si="153"/>
        <v>3268800000</v>
      </c>
      <c r="BH288" s="77">
        <f t="shared" si="153"/>
        <v>2598940204</v>
      </c>
      <c r="BI288" s="77">
        <f t="shared" si="153"/>
        <v>4494000000</v>
      </c>
      <c r="BJ288" s="77">
        <f t="shared" si="153"/>
        <v>3048943347</v>
      </c>
      <c r="BK288" s="77">
        <f t="shared" si="153"/>
        <v>3664800000</v>
      </c>
      <c r="BL288" s="77">
        <f t="shared" si="153"/>
        <v>2671577345</v>
      </c>
      <c r="BM288" s="77">
        <f t="shared" si="153"/>
        <v>3453133333.3333335</v>
      </c>
      <c r="BN288" s="699">
        <f t="shared" si="153"/>
        <v>3393485689</v>
      </c>
      <c r="BO288" s="699">
        <f t="shared" si="153"/>
        <v>3543300000</v>
      </c>
      <c r="BP288" s="699">
        <f t="shared" si="153"/>
        <v>0</v>
      </c>
      <c r="BQ288" s="699">
        <f>BQ270+BQ280</f>
        <v>3543300000</v>
      </c>
      <c r="BR288" s="699">
        <f>BR270+BR280</f>
        <v>3819500000</v>
      </c>
      <c r="BS288" s="699">
        <f t="shared" si="153"/>
        <v>0</v>
      </c>
      <c r="BT288" s="699">
        <f>BT270+BT280</f>
        <v>3543300000</v>
      </c>
      <c r="BU288" s="699">
        <f t="shared" si="153"/>
        <v>3994500000</v>
      </c>
      <c r="BV288" s="699">
        <f t="shared" si="153"/>
        <v>0</v>
      </c>
      <c r="BW288" s="699">
        <f>BW270+BW280</f>
        <v>3443300000</v>
      </c>
      <c r="BX288" s="699">
        <f t="shared" si="153"/>
        <v>4169500000</v>
      </c>
      <c r="BY288" s="699">
        <f t="shared" si="153"/>
        <v>0</v>
      </c>
      <c r="BZ288" s="699">
        <f>BZ270+BZ280</f>
        <v>3343300000</v>
      </c>
      <c r="CA288" s="699">
        <f t="shared" si="153"/>
        <v>4354900000</v>
      </c>
      <c r="CB288" s="699">
        <f t="shared" si="153"/>
        <v>43840659088</v>
      </c>
      <c r="CC288" s="699">
        <f t="shared" si="153"/>
        <v>43840659088</v>
      </c>
      <c r="CD288" s="738"/>
      <c r="CE288" s="326">
        <f>CE270+CE280</f>
        <v>4117300000</v>
      </c>
      <c r="CF288" s="326">
        <f t="shared" ref="CF288:CP288" si="154">CF270+CF280</f>
        <v>4127300000</v>
      </c>
      <c r="CG288" s="326">
        <f t="shared" si="154"/>
        <v>4127300000</v>
      </c>
      <c r="CH288" s="326">
        <f t="shared" si="154"/>
        <v>4117300000</v>
      </c>
      <c r="CI288" s="326">
        <f t="shared" si="154"/>
        <v>4212300000</v>
      </c>
      <c r="CJ288" s="326">
        <f t="shared" si="154"/>
        <v>4342300000</v>
      </c>
      <c r="CK288" s="326">
        <f t="shared" si="154"/>
        <v>4332300000</v>
      </c>
      <c r="CL288" s="326">
        <f t="shared" si="154"/>
        <v>4302300000</v>
      </c>
      <c r="CM288" s="326">
        <f t="shared" si="154"/>
        <v>4302300000</v>
      </c>
      <c r="CN288" s="326">
        <f t="shared" si="154"/>
        <v>4302300000</v>
      </c>
      <c r="CO288" s="326">
        <f t="shared" si="154"/>
        <v>4322300000</v>
      </c>
      <c r="CP288" s="326">
        <f t="shared" si="154"/>
        <v>4282300000</v>
      </c>
      <c r="CQ288" s="326">
        <f>CQ270+CQ280</f>
        <v>50887600000</v>
      </c>
      <c r="CR288" s="326">
        <f t="shared" si="153"/>
        <v>55073741159.937973</v>
      </c>
      <c r="CS288" s="326">
        <f t="shared" si="153"/>
        <v>59609979223.224907</v>
      </c>
      <c r="CT288" s="326">
        <f>CT270+CT280</f>
        <v>68650606534.814987</v>
      </c>
      <c r="CU288" s="326">
        <f>CU270+CU280</f>
        <v>79269602989.203094</v>
      </c>
      <c r="CV288" s="57"/>
    </row>
    <row r="289" spans="1:101" s="918" customFormat="1" ht="15.5" outlineLevel="1">
      <c r="A289" s="302"/>
      <c r="B289" s="302"/>
      <c r="C289" s="302"/>
      <c r="D289" s="302"/>
      <c r="E289" s="302"/>
      <c r="F289" s="302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22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>
        <v>0.17086289381343067</v>
      </c>
      <c r="AL289" s="55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>
        <v>0.32804436602200604</v>
      </c>
      <c r="AZ289" s="22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00"/>
      <c r="BO289" s="700"/>
      <c r="BP289" s="700"/>
      <c r="BQ289" s="700"/>
      <c r="BR289" s="700"/>
      <c r="BS289" s="700"/>
      <c r="BT289" s="700"/>
      <c r="BU289" s="700"/>
      <c r="BV289" s="700"/>
      <c r="BW289" s="700"/>
      <c r="BX289" s="700"/>
      <c r="BY289" s="700"/>
      <c r="BZ289" s="700"/>
      <c r="CA289" s="700"/>
      <c r="CB289" s="700">
        <f>CB288/AK288-1</f>
        <v>-0.14087750019396028</v>
      </c>
      <c r="CC289" s="700" t="e">
        <f>CC288/AL288-1</f>
        <v>#DIV/0!</v>
      </c>
      <c r="CD289" s="739"/>
      <c r="CE289" s="302"/>
      <c r="CF289" s="302"/>
      <c r="CG289" s="302"/>
      <c r="CH289" s="302"/>
      <c r="CI289" s="302"/>
      <c r="CJ289" s="302"/>
      <c r="CK289" s="302"/>
      <c r="CL289" s="302"/>
      <c r="CM289" s="302"/>
      <c r="CN289" s="302"/>
      <c r="CO289" s="302"/>
      <c r="CP289" s="302"/>
      <c r="CQ289" s="302"/>
      <c r="CR289" s="302"/>
      <c r="CS289" s="302"/>
      <c r="CT289" s="302"/>
      <c r="CU289" s="302"/>
      <c r="CV289" s="917"/>
    </row>
    <row r="290" spans="1:101" ht="15.5" outlineLevel="1">
      <c r="A290" s="285"/>
      <c r="B290" s="285"/>
      <c r="C290" s="285"/>
      <c r="D290" s="285"/>
      <c r="E290" s="285" t="s">
        <v>268</v>
      </c>
      <c r="F290" s="285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5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5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5"/>
      <c r="BA290" s="225"/>
      <c r="BB290" s="225"/>
      <c r="BC290" s="225"/>
      <c r="BD290" s="225"/>
      <c r="BE290" s="225"/>
      <c r="BF290" s="225"/>
      <c r="BG290" s="225"/>
      <c r="BH290" s="225"/>
      <c r="BI290" s="225"/>
      <c r="BJ290" s="225"/>
      <c r="BK290" s="225"/>
      <c r="BL290" s="225"/>
      <c r="BM290" s="225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701"/>
      <c r="CC290" s="694"/>
      <c r="CD290" s="737"/>
      <c r="CE290" s="308">
        <f>CE293</f>
        <v>177400000</v>
      </c>
      <c r="CF290" s="308">
        <f t="shared" ref="CF290:CU290" si="155">CF293</f>
        <v>177400000</v>
      </c>
      <c r="CG290" s="308">
        <f t="shared" si="155"/>
        <v>177400000</v>
      </c>
      <c r="CH290" s="308">
        <f t="shared" si="155"/>
        <v>177400000</v>
      </c>
      <c r="CI290" s="308">
        <f t="shared" si="155"/>
        <v>177400000</v>
      </c>
      <c r="CJ290" s="308">
        <f t="shared" si="155"/>
        <v>177400000</v>
      </c>
      <c r="CK290" s="308">
        <f t="shared" si="155"/>
        <v>177400000</v>
      </c>
      <c r="CL290" s="308">
        <f t="shared" si="155"/>
        <v>177400000</v>
      </c>
      <c r="CM290" s="308">
        <f t="shared" si="155"/>
        <v>177400000</v>
      </c>
      <c r="CN290" s="308">
        <f t="shared" si="155"/>
        <v>177400000</v>
      </c>
      <c r="CO290" s="308">
        <f t="shared" si="155"/>
        <v>177400000</v>
      </c>
      <c r="CP290" s="308">
        <f t="shared" si="155"/>
        <v>177400000</v>
      </c>
      <c r="CQ290" s="308">
        <f t="shared" si="155"/>
        <v>2128800000</v>
      </c>
      <c r="CR290" s="308">
        <f t="shared" si="155"/>
        <v>0</v>
      </c>
      <c r="CS290" s="308">
        <f t="shared" si="155"/>
        <v>0</v>
      </c>
      <c r="CT290" s="308">
        <f t="shared" si="155"/>
        <v>0</v>
      </c>
      <c r="CU290" s="308">
        <f t="shared" si="155"/>
        <v>0</v>
      </c>
      <c r="CV290" s="57"/>
    </row>
    <row r="291" spans="1:101" ht="15.5" outlineLevel="1">
      <c r="A291" s="285"/>
      <c r="B291" s="285"/>
      <c r="C291" s="285"/>
      <c r="D291" s="285"/>
      <c r="E291" s="285"/>
      <c r="F291" s="285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5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5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5"/>
      <c r="BA291" s="225"/>
      <c r="BB291" s="225"/>
      <c r="BC291" s="225"/>
      <c r="BD291" s="225"/>
      <c r="BE291" s="225"/>
      <c r="BF291" s="225"/>
      <c r="BG291" s="225"/>
      <c r="BH291" s="225"/>
      <c r="BI291" s="225"/>
      <c r="BJ291" s="225"/>
      <c r="BK291" s="225"/>
      <c r="BL291" s="225"/>
      <c r="BM291" s="225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701"/>
      <c r="CC291" s="694"/>
      <c r="CD291" s="737"/>
      <c r="CE291" s="308"/>
      <c r="CF291" s="308"/>
      <c r="CG291" s="308"/>
      <c r="CH291" s="308"/>
      <c r="CI291" s="308"/>
      <c r="CJ291" s="308"/>
      <c r="CK291" s="308"/>
      <c r="CL291" s="308"/>
      <c r="CM291" s="308"/>
      <c r="CN291" s="308"/>
      <c r="CO291" s="308"/>
      <c r="CP291" s="308"/>
      <c r="CQ291" s="327"/>
      <c r="CR291" s="327"/>
      <c r="CS291" s="327"/>
      <c r="CT291" s="327"/>
      <c r="CU291" s="327"/>
      <c r="CV291" s="57"/>
    </row>
    <row r="292" spans="1:101" ht="15.5" outlineLevel="1">
      <c r="A292" s="313" t="s">
        <v>269</v>
      </c>
      <c r="B292" s="313"/>
      <c r="C292" s="313" t="s">
        <v>252</v>
      </c>
      <c r="D292" s="313" t="s">
        <v>108</v>
      </c>
      <c r="E292" s="313" t="s">
        <v>270</v>
      </c>
      <c r="F292" s="313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55"/>
      <c r="Y292" s="208"/>
      <c r="Z292" s="208"/>
      <c r="AA292" s="208"/>
      <c r="AB292" s="208"/>
      <c r="AC292" s="208"/>
      <c r="AD292" s="208"/>
      <c r="AE292" s="208"/>
      <c r="AF292" s="208"/>
      <c r="AG292" s="208"/>
      <c r="AH292" s="208"/>
      <c r="AI292" s="208"/>
      <c r="AJ292" s="208"/>
      <c r="AK292" s="208"/>
      <c r="AL292" s="55"/>
      <c r="AM292" s="208"/>
      <c r="AN292" s="208"/>
      <c r="AO292" s="208"/>
      <c r="AP292" s="208"/>
      <c r="AQ292" s="208"/>
      <c r="AR292" s="208"/>
      <c r="AS292" s="208"/>
      <c r="AT292" s="208"/>
      <c r="AU292" s="208"/>
      <c r="AV292" s="208"/>
      <c r="AW292" s="208"/>
      <c r="AX292" s="208"/>
      <c r="AY292" s="208"/>
      <c r="AZ292" s="55"/>
      <c r="BA292" s="228"/>
      <c r="BB292" s="228"/>
      <c r="BC292" s="228"/>
      <c r="BD292" s="228"/>
      <c r="BE292" s="228"/>
      <c r="BF292" s="228"/>
      <c r="BG292" s="228"/>
      <c r="BH292" s="228"/>
      <c r="BI292" s="228"/>
      <c r="BJ292" s="228"/>
      <c r="BK292" s="228"/>
      <c r="BL292" s="228"/>
      <c r="BM292" s="228"/>
      <c r="BN292" s="706"/>
      <c r="BO292" s="706">
        <f>BM292</f>
        <v>0</v>
      </c>
      <c r="BP292" s="706"/>
      <c r="BQ292" s="706">
        <f>BP292</f>
        <v>0</v>
      </c>
      <c r="BR292" s="730">
        <f>BO292</f>
        <v>0</v>
      </c>
      <c r="BS292" s="706"/>
      <c r="BT292" s="706">
        <f>BS292</f>
        <v>0</v>
      </c>
      <c r="BU292" s="730">
        <f>BR292</f>
        <v>0</v>
      </c>
      <c r="BV292" s="706"/>
      <c r="BW292" s="706">
        <f>BV292</f>
        <v>0</v>
      </c>
      <c r="BX292" s="730">
        <f>BU292</f>
        <v>0</v>
      </c>
      <c r="BY292" s="706"/>
      <c r="BZ292" s="706">
        <f>BY292</f>
        <v>0</v>
      </c>
      <c r="CA292" s="730">
        <f>BX292</f>
        <v>0</v>
      </c>
      <c r="CB292" s="720">
        <f>SUM(BA292,BB292,BD292,BF292,BH292,BJ292,BL292,BN292,BP292,BR292,BU292,BX292,CA292)</f>
        <v>0</v>
      </c>
      <c r="CC292" s="721">
        <f>SUM(BA292,BB292,BD292,BF292,BH292,BJ292,BL292,BN292,BR292,BU292,BX292,CA292)</f>
        <v>0</v>
      </c>
      <c r="CD292" s="738"/>
      <c r="CE292" s="331">
        <f>4900*26000+50000000</f>
        <v>177400000</v>
      </c>
      <c r="CF292" s="331">
        <f t="shared" ref="CF292:CP292" si="156">4900*26000+50000000</f>
        <v>177400000</v>
      </c>
      <c r="CG292" s="331">
        <f t="shared" si="156"/>
        <v>177400000</v>
      </c>
      <c r="CH292" s="331">
        <f t="shared" si="156"/>
        <v>177400000</v>
      </c>
      <c r="CI292" s="331">
        <f t="shared" si="156"/>
        <v>177400000</v>
      </c>
      <c r="CJ292" s="331">
        <f t="shared" si="156"/>
        <v>177400000</v>
      </c>
      <c r="CK292" s="331">
        <f t="shared" si="156"/>
        <v>177400000</v>
      </c>
      <c r="CL292" s="331">
        <f t="shared" si="156"/>
        <v>177400000</v>
      </c>
      <c r="CM292" s="331">
        <f t="shared" si="156"/>
        <v>177400000</v>
      </c>
      <c r="CN292" s="331">
        <f t="shared" si="156"/>
        <v>177400000</v>
      </c>
      <c r="CO292" s="331">
        <f t="shared" si="156"/>
        <v>177400000</v>
      </c>
      <c r="CP292" s="331">
        <f t="shared" si="156"/>
        <v>177400000</v>
      </c>
      <c r="CQ292" s="355">
        <f>SUM(CE292,CF292,CG292,CH292,CI292,CJ292,CK292,CL292,CM292,CN292,CO292,CP292)</f>
        <v>2128800000</v>
      </c>
      <c r="CR292" s="359"/>
      <c r="CS292" s="359"/>
      <c r="CT292" s="359"/>
      <c r="CU292" s="359"/>
      <c r="CV292" s="57"/>
    </row>
    <row r="293" spans="1:101" ht="15.5" outlineLevel="1" collapsed="1">
      <c r="A293" s="301" t="s">
        <v>159</v>
      </c>
      <c r="B293" s="301" t="str">
        <f>$E$290&amp;$E$269&amp;E293</f>
        <v>BULK SEMARANGBULKSUBTOTAL BULK SEMARANG</v>
      </c>
      <c r="C293" s="301" t="s">
        <v>252</v>
      </c>
      <c r="D293" s="301" t="s">
        <v>40</v>
      </c>
      <c r="E293" s="301" t="s">
        <v>271</v>
      </c>
      <c r="F293" s="301"/>
      <c r="G293" s="76">
        <v>2005677478</v>
      </c>
      <c r="H293" s="76">
        <v>42984600</v>
      </c>
      <c r="I293" s="76">
        <v>0</v>
      </c>
      <c r="J293" s="76">
        <v>0</v>
      </c>
      <c r="K293" s="76">
        <v>16500000</v>
      </c>
      <c r="L293" s="76">
        <v>0</v>
      </c>
      <c r="M293" s="76">
        <v>0</v>
      </c>
      <c r="N293" s="76">
        <v>0</v>
      </c>
      <c r="O293" s="76">
        <v>0</v>
      </c>
      <c r="P293" s="76">
        <v>0</v>
      </c>
      <c r="Q293" s="76"/>
      <c r="R293" s="76"/>
      <c r="S293" s="76"/>
      <c r="T293" s="76">
        <v>0</v>
      </c>
      <c r="U293" s="76">
        <v>0</v>
      </c>
      <c r="V293" s="76">
        <v>0</v>
      </c>
      <c r="W293" s="76">
        <v>59484600</v>
      </c>
      <c r="X293" s="55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55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55"/>
      <c r="BA293" s="77"/>
      <c r="BB293" s="77"/>
      <c r="BC293" s="77"/>
      <c r="BD293" s="77"/>
      <c r="BE293" s="77"/>
      <c r="BF293" s="77"/>
      <c r="BG293" s="77"/>
      <c r="BH293" s="77"/>
      <c r="BI293" s="77"/>
      <c r="BJ293" s="77"/>
      <c r="BK293" s="77"/>
      <c r="BL293" s="77"/>
      <c r="BM293" s="77"/>
      <c r="BN293" s="699"/>
      <c r="BO293" s="699">
        <f>BO292</f>
        <v>0</v>
      </c>
      <c r="BP293" s="699"/>
      <c r="BQ293" s="699">
        <f>BQ292</f>
        <v>0</v>
      </c>
      <c r="BR293" s="699">
        <f>BR292</f>
        <v>0</v>
      </c>
      <c r="BS293" s="699"/>
      <c r="BT293" s="699">
        <f>BT292</f>
        <v>0</v>
      </c>
      <c r="BU293" s="699">
        <f>BU292</f>
        <v>0</v>
      </c>
      <c r="BV293" s="699"/>
      <c r="BW293" s="699">
        <f>BW292</f>
        <v>0</v>
      </c>
      <c r="BX293" s="699">
        <f>BX292</f>
        <v>0</v>
      </c>
      <c r="BY293" s="699"/>
      <c r="BZ293" s="699">
        <f>BZ292</f>
        <v>0</v>
      </c>
      <c r="CA293" s="699">
        <f>CA292</f>
        <v>0</v>
      </c>
      <c r="CB293" s="699"/>
      <c r="CC293" s="699"/>
      <c r="CD293" s="738"/>
      <c r="CE293" s="326">
        <f>CE292</f>
        <v>177400000</v>
      </c>
      <c r="CF293" s="326">
        <f t="shared" ref="CF293:CP293" si="157">CF292</f>
        <v>177400000</v>
      </c>
      <c r="CG293" s="326">
        <f t="shared" si="157"/>
        <v>177400000</v>
      </c>
      <c r="CH293" s="326">
        <f t="shared" si="157"/>
        <v>177400000</v>
      </c>
      <c r="CI293" s="326">
        <f t="shared" si="157"/>
        <v>177400000</v>
      </c>
      <c r="CJ293" s="326">
        <f t="shared" si="157"/>
        <v>177400000</v>
      </c>
      <c r="CK293" s="326">
        <f t="shared" si="157"/>
        <v>177400000</v>
      </c>
      <c r="CL293" s="326">
        <f t="shared" si="157"/>
        <v>177400000</v>
      </c>
      <c r="CM293" s="326">
        <f t="shared" si="157"/>
        <v>177400000</v>
      </c>
      <c r="CN293" s="326">
        <f t="shared" si="157"/>
        <v>177400000</v>
      </c>
      <c r="CO293" s="326">
        <f t="shared" si="157"/>
        <v>177400000</v>
      </c>
      <c r="CP293" s="326">
        <f t="shared" si="157"/>
        <v>177400000</v>
      </c>
      <c r="CQ293" s="326">
        <f>CQ292</f>
        <v>2128800000</v>
      </c>
      <c r="CR293" s="326"/>
      <c r="CS293" s="326"/>
      <c r="CT293" s="326"/>
      <c r="CU293" s="326"/>
      <c r="CV293" s="57"/>
    </row>
    <row r="294" spans="1:101" ht="15.5" outlineLevel="1">
      <c r="A294" s="301"/>
      <c r="B294" s="301"/>
      <c r="C294" s="301"/>
      <c r="D294" s="301"/>
      <c r="E294" s="301"/>
      <c r="F294" s="301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55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55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55"/>
      <c r="BA294" s="77"/>
      <c r="BB294" s="77"/>
      <c r="BC294" s="77"/>
      <c r="BD294" s="77"/>
      <c r="BE294" s="77"/>
      <c r="BF294" s="77"/>
      <c r="BG294" s="77"/>
      <c r="BH294" s="77"/>
      <c r="BI294" s="77"/>
      <c r="BJ294" s="77"/>
      <c r="BK294" s="77"/>
      <c r="BL294" s="77"/>
      <c r="BM294" s="77"/>
      <c r="BN294" s="699"/>
      <c r="BO294" s="699"/>
      <c r="BP294" s="699"/>
      <c r="BQ294" s="699"/>
      <c r="BR294" s="699"/>
      <c r="BS294" s="699"/>
      <c r="BT294" s="699"/>
      <c r="BU294" s="699"/>
      <c r="BV294" s="699"/>
      <c r="BW294" s="699"/>
      <c r="BX294" s="699"/>
      <c r="BY294" s="699"/>
      <c r="BZ294" s="699"/>
      <c r="CA294" s="699"/>
      <c r="CB294" s="699"/>
      <c r="CC294" s="699"/>
      <c r="CD294" s="738"/>
      <c r="CE294" s="326"/>
      <c r="CF294" s="326"/>
      <c r="CG294" s="326"/>
      <c r="CH294" s="326"/>
      <c r="CI294" s="326"/>
      <c r="CJ294" s="326"/>
      <c r="CK294" s="326"/>
      <c r="CL294" s="326"/>
      <c r="CM294" s="326"/>
      <c r="CN294" s="326"/>
      <c r="CO294" s="326"/>
      <c r="CP294" s="326"/>
      <c r="CQ294" s="326"/>
      <c r="CR294" s="326"/>
      <c r="CS294" s="326"/>
      <c r="CT294" s="326"/>
      <c r="CU294" s="326"/>
      <c r="CV294" s="57"/>
    </row>
    <row r="295" spans="1:101" ht="15.5" outlineLevel="1">
      <c r="A295" s="285"/>
      <c r="B295" s="285"/>
      <c r="C295" s="285"/>
      <c r="D295" s="285"/>
      <c r="E295" s="285" t="s">
        <v>272</v>
      </c>
      <c r="F295" s="285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5"/>
      <c r="Y295" s="225">
        <f t="shared" ref="Y295:AK295" si="158">SUM(Y297:Y299)</f>
        <v>495000000</v>
      </c>
      <c r="Z295" s="225">
        <f t="shared" si="158"/>
        <v>495000000</v>
      </c>
      <c r="AA295" s="225">
        <f t="shared" si="158"/>
        <v>495000000</v>
      </c>
      <c r="AB295" s="225">
        <f t="shared" si="158"/>
        <v>495000000</v>
      </c>
      <c r="AC295" s="225">
        <f t="shared" si="158"/>
        <v>495000000</v>
      </c>
      <c r="AD295" s="225">
        <f t="shared" si="158"/>
        <v>495000000</v>
      </c>
      <c r="AE295" s="225">
        <f t="shared" si="158"/>
        <v>430000000</v>
      </c>
      <c r="AF295" s="225">
        <f t="shared" si="158"/>
        <v>430000000</v>
      </c>
      <c r="AG295" s="225">
        <f t="shared" si="158"/>
        <v>430000000</v>
      </c>
      <c r="AH295" s="225">
        <f t="shared" si="158"/>
        <v>430000000</v>
      </c>
      <c r="AI295" s="225">
        <f t="shared" si="158"/>
        <v>430000000</v>
      </c>
      <c r="AJ295" s="225">
        <f t="shared" si="158"/>
        <v>430000000</v>
      </c>
      <c r="AK295" s="225">
        <f t="shared" si="158"/>
        <v>5550000000</v>
      </c>
      <c r="AL295" s="55"/>
      <c r="AM295" s="225">
        <f t="shared" ref="AM295:AY295" si="159">SUM(AM297:AM299)</f>
        <v>495000000</v>
      </c>
      <c r="AN295" s="225">
        <f t="shared" si="159"/>
        <v>495000000</v>
      </c>
      <c r="AO295" s="225">
        <f t="shared" si="159"/>
        <v>495000000</v>
      </c>
      <c r="AP295" s="225">
        <f t="shared" si="159"/>
        <v>495000000</v>
      </c>
      <c r="AQ295" s="225">
        <f t="shared" si="159"/>
        <v>495000000</v>
      </c>
      <c r="AR295" s="225">
        <f t="shared" si="159"/>
        <v>495000000</v>
      </c>
      <c r="AS295" s="225">
        <f t="shared" si="159"/>
        <v>430000000</v>
      </c>
      <c r="AT295" s="225">
        <f t="shared" si="159"/>
        <v>430000000</v>
      </c>
      <c r="AU295" s="225">
        <f t="shared" si="159"/>
        <v>430000000</v>
      </c>
      <c r="AV295" s="225">
        <f t="shared" si="159"/>
        <v>430000000</v>
      </c>
      <c r="AW295" s="225">
        <f t="shared" si="159"/>
        <v>430000000</v>
      </c>
      <c r="AX295" s="225">
        <f t="shared" si="159"/>
        <v>430000000</v>
      </c>
      <c r="AY295" s="225">
        <f t="shared" si="159"/>
        <v>5550000000</v>
      </c>
      <c r="AZ295" s="55"/>
      <c r="BA295" s="225">
        <f>SUM(BA297:BA299)</f>
        <v>169641025</v>
      </c>
      <c r="BB295" s="225">
        <f t="shared" ref="BB295:CT295" si="160">SUM(BB297:BB299)</f>
        <v>175925925</v>
      </c>
      <c r="BC295" s="225">
        <f t="shared" si="160"/>
        <v>175000000</v>
      </c>
      <c r="BD295" s="225">
        <f t="shared" si="160"/>
        <v>298579916</v>
      </c>
      <c r="BE295" s="225">
        <f t="shared" si="160"/>
        <v>305400000</v>
      </c>
      <c r="BF295" s="225">
        <f t="shared" si="160"/>
        <v>77233625</v>
      </c>
      <c r="BG295" s="225">
        <f t="shared" si="160"/>
        <v>225200000</v>
      </c>
      <c r="BH295" s="225">
        <f t="shared" si="160"/>
        <v>735732219</v>
      </c>
      <c r="BI295" s="225">
        <f t="shared" si="160"/>
        <v>225200000</v>
      </c>
      <c r="BJ295" s="225">
        <f t="shared" si="160"/>
        <v>427699164</v>
      </c>
      <c r="BK295" s="225">
        <f t="shared" si="160"/>
        <v>422000000</v>
      </c>
      <c r="BL295" s="225">
        <f t="shared" si="160"/>
        <v>347577008</v>
      </c>
      <c r="BM295" s="225">
        <f t="shared" si="160"/>
        <v>2741000000</v>
      </c>
      <c r="BN295" s="694">
        <f t="shared" si="160"/>
        <v>356110840</v>
      </c>
      <c r="BO295" s="694">
        <f t="shared" si="160"/>
        <v>1334000000</v>
      </c>
      <c r="BP295" s="694">
        <f t="shared" si="160"/>
        <v>0</v>
      </c>
      <c r="BQ295" s="694">
        <f>SUM(BQ297:BQ299)</f>
        <v>422000000</v>
      </c>
      <c r="BR295" s="694">
        <f>SUM(BR297:BR299)</f>
        <v>425000000</v>
      </c>
      <c r="BS295" s="694">
        <f t="shared" si="160"/>
        <v>0</v>
      </c>
      <c r="BT295" s="694">
        <f>SUM(BT297:BT299)</f>
        <v>422000000</v>
      </c>
      <c r="BU295" s="694">
        <f t="shared" si="160"/>
        <v>475000000</v>
      </c>
      <c r="BV295" s="694">
        <f t="shared" si="160"/>
        <v>0</v>
      </c>
      <c r="BW295" s="694">
        <f>SUM(BW297:BW299)</f>
        <v>422000000</v>
      </c>
      <c r="BX295" s="694">
        <f t="shared" si="160"/>
        <v>500000000</v>
      </c>
      <c r="BY295" s="694">
        <f t="shared" si="160"/>
        <v>0</v>
      </c>
      <c r="BZ295" s="694">
        <f>SUM(BZ297:BZ299)</f>
        <v>1922000000</v>
      </c>
      <c r="CA295" s="694">
        <f t="shared" si="160"/>
        <v>2025000000</v>
      </c>
      <c r="CB295" s="694">
        <f t="shared" si="160"/>
        <v>6013499722</v>
      </c>
      <c r="CC295" s="694">
        <f t="shared" si="160"/>
        <v>6013499722</v>
      </c>
      <c r="CD295" s="737"/>
      <c r="CE295" s="308">
        <f>SUM(CE297:CE299)</f>
        <v>380000000</v>
      </c>
      <c r="CF295" s="308">
        <f t="shared" ref="CF295:CP295" si="161">SUM(CF297:CF299)</f>
        <v>380000000</v>
      </c>
      <c r="CG295" s="308">
        <f t="shared" si="161"/>
        <v>380000000</v>
      </c>
      <c r="CH295" s="308">
        <f t="shared" si="161"/>
        <v>380000000</v>
      </c>
      <c r="CI295" s="308">
        <f t="shared" si="161"/>
        <v>380000000</v>
      </c>
      <c r="CJ295" s="308">
        <f t="shared" si="161"/>
        <v>380000000</v>
      </c>
      <c r="CK295" s="308">
        <f t="shared" si="161"/>
        <v>380000000</v>
      </c>
      <c r="CL295" s="308">
        <f t="shared" si="161"/>
        <v>380000000</v>
      </c>
      <c r="CM295" s="308">
        <f t="shared" si="161"/>
        <v>380000000</v>
      </c>
      <c r="CN295" s="308">
        <f t="shared" si="161"/>
        <v>380000000</v>
      </c>
      <c r="CO295" s="308">
        <f t="shared" si="161"/>
        <v>380000000</v>
      </c>
      <c r="CP295" s="308">
        <f t="shared" si="161"/>
        <v>380000000</v>
      </c>
      <c r="CQ295" s="308">
        <f t="shared" si="160"/>
        <v>4560000000</v>
      </c>
      <c r="CR295" s="308">
        <f t="shared" si="160"/>
        <v>5357483080.9623795</v>
      </c>
      <c r="CS295" s="308">
        <f t="shared" si="160"/>
        <v>5822566767.392127</v>
      </c>
      <c r="CT295" s="308">
        <f t="shared" si="160"/>
        <v>6386646176.1310225</v>
      </c>
      <c r="CU295" s="308">
        <f>SUM(CU297:CU299)</f>
        <v>7001492731.6564178</v>
      </c>
      <c r="CV295" s="57"/>
    </row>
    <row r="296" spans="1:101" ht="15" customHeight="1" outlineLevel="2">
      <c r="A296" s="276" t="s">
        <v>194</v>
      </c>
      <c r="B296" s="277" t="str">
        <f>$E$295&amp;$E$269&amp;E296</f>
        <v>BULK SURABAYABULKCLEMENTCORP TRADING PTE</v>
      </c>
      <c r="C296" s="276" t="s">
        <v>252</v>
      </c>
      <c r="D296" s="276" t="s">
        <v>40</v>
      </c>
      <c r="E296" s="288" t="s">
        <v>273</v>
      </c>
      <c r="F296" s="288"/>
      <c r="G296" s="97"/>
      <c r="H296" s="65">
        <v>0</v>
      </c>
      <c r="I296" s="65">
        <v>0</v>
      </c>
      <c r="J296" s="65">
        <v>0</v>
      </c>
      <c r="K296" s="65">
        <v>0</v>
      </c>
      <c r="L296" s="65">
        <v>0</v>
      </c>
      <c r="M296" s="65">
        <v>0</v>
      </c>
      <c r="N296" s="65">
        <v>115930276</v>
      </c>
      <c r="O296" s="65">
        <v>0</v>
      </c>
      <c r="P296" s="65">
        <v>0</v>
      </c>
      <c r="Q296" s="65"/>
      <c r="R296" s="65"/>
      <c r="S296" s="65"/>
      <c r="T296" s="65">
        <v>0</v>
      </c>
      <c r="U296" s="65">
        <v>0</v>
      </c>
      <c r="V296" s="65">
        <v>0</v>
      </c>
      <c r="W296" s="66">
        <f t="shared" ref="W296:W305" si="162">SUM(H296:S296)</f>
        <v>115930276</v>
      </c>
      <c r="X296" s="55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61">
        <v>0</v>
      </c>
      <c r="AL296" s="55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122">
        <v>0</v>
      </c>
      <c r="AZ296" s="55"/>
      <c r="BA296" s="639">
        <v>0</v>
      </c>
      <c r="BB296" s="639">
        <v>0</v>
      </c>
      <c r="BC296" s="86"/>
      <c r="BD296" s="639">
        <v>0</v>
      </c>
      <c r="BE296" s="86"/>
      <c r="BF296" s="639">
        <v>0</v>
      </c>
      <c r="BG296" s="86"/>
      <c r="BH296" s="639"/>
      <c r="BI296" s="86"/>
      <c r="BJ296" s="639"/>
      <c r="BK296" s="86"/>
      <c r="BL296" s="639"/>
      <c r="BM296" s="86"/>
      <c r="BN296" s="695">
        <v>0</v>
      </c>
      <c r="BO296" s="696"/>
      <c r="BP296" s="695"/>
      <c r="BQ296" s="696"/>
      <c r="BR296" s="702"/>
      <c r="BS296" s="695"/>
      <c r="BT296" s="696"/>
      <c r="BU296" s="702"/>
      <c r="BV296" s="695"/>
      <c r="BW296" s="696"/>
      <c r="BX296" s="702"/>
      <c r="BY296" s="695"/>
      <c r="BZ296" s="696"/>
      <c r="CA296" s="702"/>
      <c r="CB296" s="720">
        <f>SUM(BA296,BB296,BD296,BF296,BH296,BJ296,BL296,BN296,BP296,BR296,BU296,BX296,CA296)</f>
        <v>0</v>
      </c>
      <c r="CC296" s="721">
        <f>SUM(BA296,BB296,BD296,BF296,BH296,BJ296,BL296,BN296,BR296,BU296,BX296,CA296)</f>
        <v>0</v>
      </c>
      <c r="CD296" s="738"/>
      <c r="CE296" s="322"/>
      <c r="CF296" s="322"/>
      <c r="CG296" s="322"/>
      <c r="CH296" s="322"/>
      <c r="CI296" s="322"/>
      <c r="CJ296" s="322"/>
      <c r="CK296" s="322"/>
      <c r="CL296" s="322"/>
      <c r="CM296" s="322"/>
      <c r="CN296" s="322"/>
      <c r="CO296" s="322"/>
      <c r="CP296" s="322"/>
      <c r="CQ296" s="355">
        <f>SUM(CE296,CF296,CG296,CH296,CI296,CJ296,CK296,CL296,CM296,CN296,CO296,CP296)</f>
        <v>0</v>
      </c>
      <c r="CR296" s="356"/>
      <c r="CS296" s="357"/>
      <c r="CT296" s="332"/>
      <c r="CU296" s="358"/>
      <c r="CV296" s="57" t="s">
        <v>38</v>
      </c>
    </row>
    <row r="297" spans="1:101" ht="15" customHeight="1" outlineLevel="2">
      <c r="A297" s="276" t="s">
        <v>194</v>
      </c>
      <c r="B297" s="277" t="str">
        <f>$E$295&amp;$E$269&amp;E297</f>
        <v>BULK SURABAYABULKLAUTAN LUAS TBK</v>
      </c>
      <c r="C297" s="276" t="s">
        <v>252</v>
      </c>
      <c r="D297" s="276" t="s">
        <v>40</v>
      </c>
      <c r="E297" s="288" t="s">
        <v>83</v>
      </c>
      <c r="F297" s="303">
        <v>8000000010</v>
      </c>
      <c r="G297" s="93">
        <v>7235516306</v>
      </c>
      <c r="H297" s="65">
        <v>397109000</v>
      </c>
      <c r="I297" s="65">
        <v>386963750</v>
      </c>
      <c r="J297" s="65">
        <v>388726125</v>
      </c>
      <c r="K297" s="65">
        <v>224737500</v>
      </c>
      <c r="L297" s="65">
        <v>346877540</v>
      </c>
      <c r="M297" s="65">
        <v>484393469</v>
      </c>
      <c r="N297" s="65">
        <v>432824385</v>
      </c>
      <c r="O297" s="65">
        <v>435896735</v>
      </c>
      <c r="P297" s="65">
        <v>471130125</v>
      </c>
      <c r="Q297" s="65">
        <v>168124128</v>
      </c>
      <c r="R297" s="65">
        <v>352491375</v>
      </c>
      <c r="S297" s="65">
        <v>231230250</v>
      </c>
      <c r="T297" s="65">
        <v>432824385</v>
      </c>
      <c r="U297" s="65">
        <v>432824385</v>
      </c>
      <c r="V297" s="65">
        <v>432824385</v>
      </c>
      <c r="W297" s="66">
        <f t="shared" si="162"/>
        <v>4320504382</v>
      </c>
      <c r="X297" s="55"/>
      <c r="Y297" s="85">
        <v>495000000</v>
      </c>
      <c r="Z297" s="85">
        <v>495000000</v>
      </c>
      <c r="AA297" s="85">
        <v>495000000</v>
      </c>
      <c r="AB297" s="85">
        <v>495000000</v>
      </c>
      <c r="AC297" s="85">
        <v>495000000</v>
      </c>
      <c r="AD297" s="85">
        <v>495000000</v>
      </c>
      <c r="AE297" s="67">
        <v>430000000</v>
      </c>
      <c r="AF297" s="67">
        <v>430000000</v>
      </c>
      <c r="AG297" s="67">
        <v>430000000</v>
      </c>
      <c r="AH297" s="67">
        <v>430000000</v>
      </c>
      <c r="AI297" s="67">
        <v>430000000</v>
      </c>
      <c r="AJ297" s="67">
        <v>430000000</v>
      </c>
      <c r="AK297" s="61">
        <v>5550000000</v>
      </c>
      <c r="AL297" s="55"/>
      <c r="AM297" s="85">
        <v>495000000</v>
      </c>
      <c r="AN297" s="85">
        <v>495000000</v>
      </c>
      <c r="AO297" s="85">
        <v>495000000</v>
      </c>
      <c r="AP297" s="85">
        <v>495000000</v>
      </c>
      <c r="AQ297" s="85">
        <v>495000000</v>
      </c>
      <c r="AR297" s="85">
        <v>495000000</v>
      </c>
      <c r="AS297" s="67">
        <v>430000000</v>
      </c>
      <c r="AT297" s="67">
        <v>430000000</v>
      </c>
      <c r="AU297" s="67">
        <v>430000000</v>
      </c>
      <c r="AV297" s="67">
        <v>430000000</v>
      </c>
      <c r="AW297" s="67">
        <v>430000000</v>
      </c>
      <c r="AX297" s="67">
        <v>430000000</v>
      </c>
      <c r="AY297" s="122">
        <v>5550000000</v>
      </c>
      <c r="AZ297" s="55"/>
      <c r="BA297" s="639">
        <v>169641025</v>
      </c>
      <c r="BB297" s="639">
        <v>175925925</v>
      </c>
      <c r="BC297" s="86">
        <v>175000000</v>
      </c>
      <c r="BD297" s="639">
        <v>298579916</v>
      </c>
      <c r="BE297" s="86">
        <f>6108*50000</f>
        <v>305400000</v>
      </c>
      <c r="BF297" s="639">
        <v>77233625</v>
      </c>
      <c r="BG297" s="86">
        <v>225200000</v>
      </c>
      <c r="BH297" s="639">
        <v>735732219</v>
      </c>
      <c r="BI297" s="86">
        <v>225200000</v>
      </c>
      <c r="BJ297" s="639">
        <v>427699164</v>
      </c>
      <c r="BK297" s="86">
        <v>422000000</v>
      </c>
      <c r="BL297" s="639">
        <v>347577008</v>
      </c>
      <c r="BM297" s="86">
        <v>422000000</v>
      </c>
      <c r="BN297" s="695">
        <v>356110840</v>
      </c>
      <c r="BO297" s="696">
        <v>422000000</v>
      </c>
      <c r="BP297" s="695"/>
      <c r="BQ297" s="696">
        <v>422000000</v>
      </c>
      <c r="BR297" s="729">
        <v>425000000</v>
      </c>
      <c r="BS297" s="695"/>
      <c r="BT297" s="696">
        <v>422000000</v>
      </c>
      <c r="BU297" s="729">
        <v>475000000</v>
      </c>
      <c r="BV297" s="695"/>
      <c r="BW297" s="696">
        <v>422000000</v>
      </c>
      <c r="BX297" s="729">
        <v>500000000</v>
      </c>
      <c r="BY297" s="695"/>
      <c r="BZ297" s="696">
        <v>422000000</v>
      </c>
      <c r="CA297" s="729">
        <v>525000000</v>
      </c>
      <c r="CB297" s="720">
        <f>SUM(BA297,BB297,BD297,BF297,BH297,BJ297,BL297,BN297,BP297,BR297,BU297,BX297,CA297)</f>
        <v>4513499722</v>
      </c>
      <c r="CC297" s="721">
        <f>SUM(BA297,BB297,BD297,BF297,BH297,BJ297,BL297,BN297,BR297,BU297,BX297,CA297)</f>
        <v>4513499722</v>
      </c>
      <c r="CD297" s="738"/>
      <c r="CE297" s="322">
        <v>380000000</v>
      </c>
      <c r="CF297" s="322">
        <v>380000000</v>
      </c>
      <c r="CG297" s="322">
        <v>380000000</v>
      </c>
      <c r="CH297" s="322">
        <v>380000000</v>
      </c>
      <c r="CI297" s="322">
        <v>380000000</v>
      </c>
      <c r="CJ297" s="322">
        <v>380000000</v>
      </c>
      <c r="CK297" s="322">
        <v>380000000</v>
      </c>
      <c r="CL297" s="322">
        <v>380000000</v>
      </c>
      <c r="CM297" s="322">
        <v>380000000</v>
      </c>
      <c r="CN297" s="322">
        <v>380000000</v>
      </c>
      <c r="CO297" s="322">
        <v>380000000</v>
      </c>
      <c r="CP297" s="322">
        <v>380000000</v>
      </c>
      <c r="CQ297" s="355">
        <f>SUM(CE297,CF297,CG297,CH297,CI297,CJ297,CK297,CL297,CM297,CN297,CO297,CP297)</f>
        <v>4560000000</v>
      </c>
      <c r="CR297" s="356">
        <f>(CQ297*1.17)+22283080.9623795</f>
        <v>5357483080.9623795</v>
      </c>
      <c r="CS297" s="357">
        <f>(CR297*1.08)+36485039.9527567</f>
        <v>5822566767.392127</v>
      </c>
      <c r="CT297" s="332">
        <f>(CS297*1.09)+40048399.6736027</f>
        <v>6386646176.1310225</v>
      </c>
      <c r="CU297" s="358">
        <f>(CT297*1.09)+40048399.6736027</f>
        <v>7001492731.6564178</v>
      </c>
      <c r="CV297" s="57" t="s">
        <v>42</v>
      </c>
      <c r="CW297" s="38">
        <v>1</v>
      </c>
    </row>
    <row r="298" spans="1:101" ht="15" customHeight="1" outlineLevel="2">
      <c r="A298" s="276" t="s">
        <v>194</v>
      </c>
      <c r="B298" s="277" t="str">
        <f>$E$295&amp;$E$269&amp;E298</f>
        <v>BULK SURABAYABULKPUPUK KALIMANTAN TIMUR</v>
      </c>
      <c r="C298" s="276" t="s">
        <v>252</v>
      </c>
      <c r="D298" s="276" t="s">
        <v>40</v>
      </c>
      <c r="E298" s="288" t="s">
        <v>256</v>
      </c>
      <c r="F298" s="303"/>
      <c r="G298" s="93">
        <v>60240000</v>
      </c>
      <c r="H298" s="65">
        <v>311747311</v>
      </c>
      <c r="I298" s="65">
        <v>30970000</v>
      </c>
      <c r="J298" s="65">
        <v>200566680</v>
      </c>
      <c r="K298" s="65">
        <v>15921000</v>
      </c>
      <c r="L298" s="65">
        <v>156857350</v>
      </c>
      <c r="M298" s="65">
        <v>136475500</v>
      </c>
      <c r="N298" s="65">
        <v>262651258</v>
      </c>
      <c r="O298" s="65">
        <v>35257360</v>
      </c>
      <c r="P298" s="65">
        <v>23304000</v>
      </c>
      <c r="Q298" s="65">
        <v>67059104</v>
      </c>
      <c r="R298" s="65">
        <v>143673348</v>
      </c>
      <c r="S298" s="65">
        <v>556820694</v>
      </c>
      <c r="T298" s="83">
        <f>200000000*0</f>
        <v>0</v>
      </c>
      <c r="U298" s="83">
        <f>200000000*0</f>
        <v>0</v>
      </c>
      <c r="V298" s="83">
        <f>200000000*0</f>
        <v>0</v>
      </c>
      <c r="W298" s="66">
        <f t="shared" si="162"/>
        <v>1941303605</v>
      </c>
      <c r="X298" s="55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61">
        <v>0</v>
      </c>
      <c r="AL298" s="55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122">
        <v>0</v>
      </c>
      <c r="AZ298" s="55"/>
      <c r="BA298" s="639">
        <v>0</v>
      </c>
      <c r="BB298" s="639">
        <v>0</v>
      </c>
      <c r="BC298" s="86"/>
      <c r="BD298" s="639">
        <v>0</v>
      </c>
      <c r="BE298" s="86"/>
      <c r="BF298" s="639"/>
      <c r="BG298" s="86"/>
      <c r="BH298" s="639"/>
      <c r="BI298" s="86"/>
      <c r="BJ298" s="639"/>
      <c r="BK298" s="86"/>
      <c r="BL298" s="639"/>
      <c r="BM298" s="86"/>
      <c r="BN298" s="695">
        <v>0</v>
      </c>
      <c r="BO298" s="696"/>
      <c r="BP298" s="695"/>
      <c r="BQ298" s="696"/>
      <c r="BR298" s="729"/>
      <c r="BS298" s="695"/>
      <c r="BT298" s="696"/>
      <c r="BU298" s="729"/>
      <c r="BV298" s="695"/>
      <c r="BW298" s="696"/>
      <c r="BX298" s="729"/>
      <c r="BY298" s="695"/>
      <c r="BZ298" s="696"/>
      <c r="CA298" s="729"/>
      <c r="CB298" s="720">
        <f>SUM(BA298,BB298,BD298,BF298,BH298,BJ298,BL298,BN298,BP298,BR298,BU298,BX298,CA298)</f>
        <v>0</v>
      </c>
      <c r="CC298" s="721">
        <f>SUM(BA298,BB298,BD298,BF298,BH298,BJ298,BL298,BN298,BR298,BU298,BX298,CA298)</f>
        <v>0</v>
      </c>
      <c r="CD298" s="738"/>
      <c r="CE298" s="322"/>
      <c r="CF298" s="322"/>
      <c r="CG298" s="322"/>
      <c r="CH298" s="322"/>
      <c r="CI298" s="322"/>
      <c r="CJ298" s="322"/>
      <c r="CK298" s="322"/>
      <c r="CL298" s="322"/>
      <c r="CM298" s="322"/>
      <c r="CN298" s="322"/>
      <c r="CO298" s="322"/>
      <c r="CP298" s="322"/>
      <c r="CQ298" s="355">
        <f>SUM(CE298,CF298,CG298,CH298,CI298,CJ298,CK298,CL298,CM298,CN298,CO298,CP298)</f>
        <v>0</v>
      </c>
      <c r="CR298" s="356">
        <f t="shared" ref="CR298:CU299" si="163">CQ298*1.07</f>
        <v>0</v>
      </c>
      <c r="CS298" s="357">
        <f t="shared" si="163"/>
        <v>0</v>
      </c>
      <c r="CT298" s="332">
        <f t="shared" si="163"/>
        <v>0</v>
      </c>
      <c r="CU298" s="358">
        <f t="shared" si="163"/>
        <v>0</v>
      </c>
      <c r="CV298" s="57" t="s">
        <v>38</v>
      </c>
    </row>
    <row r="299" spans="1:101" ht="15" customHeight="1" outlineLevel="2">
      <c r="A299" s="276" t="s">
        <v>194</v>
      </c>
      <c r="B299" s="277" t="str">
        <f>$E$295&amp;$E$269&amp;E299</f>
        <v>BULK SURABAYABULKROLIMEX KIMIA NUSAMAS</v>
      </c>
      <c r="C299" s="276" t="s">
        <v>252</v>
      </c>
      <c r="D299" s="276" t="s">
        <v>40</v>
      </c>
      <c r="E299" s="288" t="s">
        <v>274</v>
      </c>
      <c r="F299" s="303">
        <v>3000011817</v>
      </c>
      <c r="G299" s="93">
        <v>5289623307</v>
      </c>
      <c r="H299" s="65">
        <v>333488450</v>
      </c>
      <c r="I299" s="65">
        <v>0</v>
      </c>
      <c r="J299" s="65">
        <v>0</v>
      </c>
      <c r="K299" s="65">
        <v>0</v>
      </c>
      <c r="L299" s="65">
        <v>0</v>
      </c>
      <c r="M299" s="65">
        <v>0</v>
      </c>
      <c r="N299" s="65">
        <v>0</v>
      </c>
      <c r="O299" s="65"/>
      <c r="P299" s="65">
        <v>0</v>
      </c>
      <c r="Q299" s="65"/>
      <c r="R299" s="65"/>
      <c r="S299" s="65"/>
      <c r="T299" s="65">
        <v>0</v>
      </c>
      <c r="U299" s="65">
        <v>0</v>
      </c>
      <c r="V299" s="65">
        <v>0</v>
      </c>
      <c r="W299" s="66">
        <f t="shared" si="162"/>
        <v>333488450</v>
      </c>
      <c r="X299" s="55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61">
        <v>0</v>
      </c>
      <c r="AL299" s="55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122">
        <v>0</v>
      </c>
      <c r="AZ299" s="55"/>
      <c r="BA299" s="639">
        <v>0</v>
      </c>
      <c r="BB299" s="639">
        <v>0</v>
      </c>
      <c r="BC299" s="86"/>
      <c r="BD299" s="639">
        <v>0</v>
      </c>
      <c r="BE299" s="86"/>
      <c r="BF299" s="639"/>
      <c r="BG299" s="86"/>
      <c r="BH299" s="639"/>
      <c r="BI299" s="86"/>
      <c r="BJ299" s="639"/>
      <c r="BK299" s="86"/>
      <c r="BL299" s="639"/>
      <c r="BM299" s="86">
        <v>2319000000</v>
      </c>
      <c r="BN299" s="695">
        <v>0</v>
      </c>
      <c r="BO299" s="696">
        <v>912000000</v>
      </c>
      <c r="BP299" s="695"/>
      <c r="BQ299" s="696">
        <v>0</v>
      </c>
      <c r="BR299" s="729">
        <v>0</v>
      </c>
      <c r="BS299" s="695"/>
      <c r="BT299" s="696">
        <v>0</v>
      </c>
      <c r="BU299" s="729">
        <v>0</v>
      </c>
      <c r="BV299" s="695"/>
      <c r="BW299" s="696">
        <v>0</v>
      </c>
      <c r="BX299" s="729">
        <v>0</v>
      </c>
      <c r="BY299" s="695"/>
      <c r="BZ299" s="696">
        <v>1500000000</v>
      </c>
      <c r="CA299" s="729">
        <v>1500000000</v>
      </c>
      <c r="CB299" s="720">
        <f>SUM(BA299,BB299,BD299,BF299,BH299,BJ299,BL299,BN299,BP299,BR299,BU299,BX299,CA299)</f>
        <v>1500000000</v>
      </c>
      <c r="CC299" s="721">
        <f>SUM(BA299,BB299,BD299,BF299,BH299,BJ299,BL299,BN299,BR299,BU299,BX299,CA299)</f>
        <v>1500000000</v>
      </c>
      <c r="CD299" s="738"/>
      <c r="CE299" s="322"/>
      <c r="CF299" s="322"/>
      <c r="CG299" s="322"/>
      <c r="CH299" s="322"/>
      <c r="CI299" s="322"/>
      <c r="CJ299" s="322"/>
      <c r="CK299" s="322"/>
      <c r="CL299" s="322"/>
      <c r="CM299" s="322"/>
      <c r="CN299" s="322"/>
      <c r="CO299" s="322"/>
      <c r="CP299" s="322"/>
      <c r="CQ299" s="355">
        <f>SUM(CE299,CF299,CG299,CH299,CI299,CJ299,CK299,CL299,CM299,CN299,CO299,CP299)</f>
        <v>0</v>
      </c>
      <c r="CR299" s="356">
        <f t="shared" si="163"/>
        <v>0</v>
      </c>
      <c r="CS299" s="357">
        <f t="shared" si="163"/>
        <v>0</v>
      </c>
      <c r="CT299" s="332">
        <f t="shared" si="163"/>
        <v>0</v>
      </c>
      <c r="CU299" s="358">
        <f t="shared" si="163"/>
        <v>0</v>
      </c>
      <c r="CV299" s="57" t="s">
        <v>38</v>
      </c>
    </row>
    <row r="300" spans="1:101" ht="15" customHeight="1" outlineLevel="2">
      <c r="A300" s="296"/>
      <c r="B300" s="309"/>
      <c r="C300" s="296"/>
      <c r="D300" s="296"/>
      <c r="E300" s="291" t="s">
        <v>107</v>
      </c>
      <c r="F300" s="305"/>
      <c r="G300" s="207"/>
      <c r="H300" s="69"/>
      <c r="I300" s="69"/>
      <c r="J300" s="69"/>
      <c r="K300" s="69"/>
      <c r="L300" s="69"/>
      <c r="M300" s="69"/>
      <c r="N300" s="69"/>
      <c r="O300" s="69"/>
      <c r="P300" s="69"/>
      <c r="Q300" s="44"/>
      <c r="R300" s="44"/>
      <c r="S300" s="44"/>
      <c r="T300" s="69"/>
      <c r="U300" s="69"/>
      <c r="V300" s="69"/>
      <c r="W300" s="231"/>
      <c r="X300" s="55"/>
      <c r="Y300" s="224">
        <f t="shared" ref="Y300:AK300" si="164">SUM(Y301:Y302)</f>
        <v>350000000</v>
      </c>
      <c r="Z300" s="224">
        <f t="shared" si="164"/>
        <v>350000000</v>
      </c>
      <c r="AA300" s="224">
        <f t="shared" si="164"/>
        <v>350000000</v>
      </c>
      <c r="AB300" s="224">
        <f t="shared" si="164"/>
        <v>350000000</v>
      </c>
      <c r="AC300" s="224">
        <f t="shared" si="164"/>
        <v>350000000</v>
      </c>
      <c r="AD300" s="224">
        <f t="shared" si="164"/>
        <v>350000000</v>
      </c>
      <c r="AE300" s="224">
        <f t="shared" si="164"/>
        <v>350000000</v>
      </c>
      <c r="AF300" s="224">
        <f t="shared" si="164"/>
        <v>350000000</v>
      </c>
      <c r="AG300" s="224">
        <f t="shared" si="164"/>
        <v>350000000</v>
      </c>
      <c r="AH300" s="224">
        <f t="shared" si="164"/>
        <v>350000000</v>
      </c>
      <c r="AI300" s="224">
        <f t="shared" si="164"/>
        <v>350000000</v>
      </c>
      <c r="AJ300" s="224">
        <f t="shared" si="164"/>
        <v>350000000</v>
      </c>
      <c r="AK300" s="224">
        <f t="shared" si="164"/>
        <v>4200000000</v>
      </c>
      <c r="AL300" s="55"/>
      <c r="AM300" s="224">
        <f t="shared" ref="AM300:AY300" si="165">SUM(AM301:AM302)</f>
        <v>390000000</v>
      </c>
      <c r="AN300" s="224">
        <f t="shared" si="165"/>
        <v>390000000</v>
      </c>
      <c r="AO300" s="224">
        <f t="shared" si="165"/>
        <v>390000000</v>
      </c>
      <c r="AP300" s="224">
        <f t="shared" si="165"/>
        <v>390000000</v>
      </c>
      <c r="AQ300" s="224">
        <f t="shared" si="165"/>
        <v>390000000</v>
      </c>
      <c r="AR300" s="224">
        <f t="shared" si="165"/>
        <v>390000000</v>
      </c>
      <c r="AS300" s="224">
        <f t="shared" si="165"/>
        <v>390000000</v>
      </c>
      <c r="AT300" s="224">
        <f t="shared" si="165"/>
        <v>390000000</v>
      </c>
      <c r="AU300" s="224">
        <f t="shared" si="165"/>
        <v>390000000</v>
      </c>
      <c r="AV300" s="224">
        <f t="shared" si="165"/>
        <v>390000000</v>
      </c>
      <c r="AW300" s="224">
        <f t="shared" si="165"/>
        <v>390000000</v>
      </c>
      <c r="AX300" s="224">
        <f t="shared" si="165"/>
        <v>390000000</v>
      </c>
      <c r="AY300" s="224">
        <f t="shared" si="165"/>
        <v>4680000000</v>
      </c>
      <c r="AZ300" s="55"/>
      <c r="BA300" s="224">
        <f>SUM(BA301:BA302)</f>
        <v>270000000</v>
      </c>
      <c r="BB300" s="224">
        <f t="shared" ref="BB300:CT300" si="166">SUM(BB301:BB302)</f>
        <v>483128580</v>
      </c>
      <c r="BC300" s="224">
        <f t="shared" si="166"/>
        <v>445000000</v>
      </c>
      <c r="BD300" s="224">
        <f t="shared" si="166"/>
        <v>332550900</v>
      </c>
      <c r="BE300" s="224">
        <f t="shared" si="166"/>
        <v>465000000</v>
      </c>
      <c r="BF300" s="224">
        <f t="shared" si="166"/>
        <v>270000000</v>
      </c>
      <c r="BG300" s="224">
        <f t="shared" si="166"/>
        <v>290000000</v>
      </c>
      <c r="BH300" s="224">
        <f t="shared" si="166"/>
        <v>270000000</v>
      </c>
      <c r="BI300" s="224">
        <f t="shared" si="166"/>
        <v>290000000</v>
      </c>
      <c r="BJ300" s="224">
        <f t="shared" si="166"/>
        <v>270000000</v>
      </c>
      <c r="BK300" s="224">
        <f t="shared" si="166"/>
        <v>290000000</v>
      </c>
      <c r="BL300" s="224">
        <f t="shared" si="166"/>
        <v>270000000</v>
      </c>
      <c r="BM300" s="224">
        <f t="shared" si="166"/>
        <v>290000000</v>
      </c>
      <c r="BN300" s="697">
        <f t="shared" si="166"/>
        <v>270000000</v>
      </c>
      <c r="BO300" s="697">
        <f t="shared" si="166"/>
        <v>290000000</v>
      </c>
      <c r="BP300" s="697">
        <f t="shared" si="166"/>
        <v>0</v>
      </c>
      <c r="BQ300" s="697">
        <f>SUM(BQ301:BQ302)</f>
        <v>290000000</v>
      </c>
      <c r="BR300" s="697">
        <f>SUM(BR301:BR302)</f>
        <v>290000000</v>
      </c>
      <c r="BS300" s="697">
        <f t="shared" si="166"/>
        <v>0</v>
      </c>
      <c r="BT300" s="697">
        <f>SUM(BT301:BT302)</f>
        <v>290000000</v>
      </c>
      <c r="BU300" s="697">
        <f t="shared" si="166"/>
        <v>290000000</v>
      </c>
      <c r="BV300" s="697">
        <f t="shared" si="166"/>
        <v>0</v>
      </c>
      <c r="BW300" s="697">
        <f>SUM(BW301:BW302)</f>
        <v>290000000</v>
      </c>
      <c r="BX300" s="697">
        <f t="shared" si="166"/>
        <v>290000000</v>
      </c>
      <c r="BY300" s="697">
        <f t="shared" si="166"/>
        <v>0</v>
      </c>
      <c r="BZ300" s="697">
        <f>SUM(BZ301:BZ302)</f>
        <v>290000000</v>
      </c>
      <c r="CA300" s="697">
        <f t="shared" si="166"/>
        <v>290000000</v>
      </c>
      <c r="CB300" s="697">
        <f t="shared" si="166"/>
        <v>3595679480</v>
      </c>
      <c r="CC300" s="697">
        <f t="shared" si="166"/>
        <v>3595679480</v>
      </c>
      <c r="CD300" s="738"/>
      <c r="CE300" s="324">
        <f>SUM(CE301:CE302)</f>
        <v>270000000</v>
      </c>
      <c r="CF300" s="324">
        <f t="shared" ref="CF300:CP300" si="167">SUM(CF301:CF302)</f>
        <v>270000000</v>
      </c>
      <c r="CG300" s="324">
        <f t="shared" si="167"/>
        <v>270000000</v>
      </c>
      <c r="CH300" s="324">
        <f t="shared" si="167"/>
        <v>270000000</v>
      </c>
      <c r="CI300" s="324">
        <f t="shared" si="167"/>
        <v>270000000</v>
      </c>
      <c r="CJ300" s="324">
        <f t="shared" si="167"/>
        <v>270000000</v>
      </c>
      <c r="CK300" s="324">
        <f t="shared" si="167"/>
        <v>270000000</v>
      </c>
      <c r="CL300" s="324">
        <f t="shared" si="167"/>
        <v>270000000</v>
      </c>
      <c r="CM300" s="324">
        <f t="shared" si="167"/>
        <v>270000000</v>
      </c>
      <c r="CN300" s="324">
        <f t="shared" si="167"/>
        <v>270000000</v>
      </c>
      <c r="CO300" s="324">
        <f t="shared" si="167"/>
        <v>270000000</v>
      </c>
      <c r="CP300" s="324">
        <f t="shared" si="167"/>
        <v>270000000</v>
      </c>
      <c r="CQ300" s="324">
        <f t="shared" si="166"/>
        <v>3240000000</v>
      </c>
      <c r="CR300" s="324">
        <f t="shared" si="166"/>
        <v>3790800000</v>
      </c>
      <c r="CS300" s="324">
        <f t="shared" si="166"/>
        <v>4094064000.0000005</v>
      </c>
      <c r="CT300" s="324">
        <f t="shared" si="166"/>
        <v>4503470400.000001</v>
      </c>
      <c r="CU300" s="324">
        <f>SUM(CU301:CU302)</f>
        <v>4953817440.0000019</v>
      </c>
      <c r="CV300" s="57"/>
    </row>
    <row r="301" spans="1:101" ht="15" customHeight="1" outlineLevel="2">
      <c r="A301" s="276" t="s">
        <v>196</v>
      </c>
      <c r="B301" s="277" t="str">
        <f>$E$295&amp;$E$269&amp;E301</f>
        <v>BULK SURABAYABULKINDOCEMENT TUNGGAL PRAKARSA TBK.</v>
      </c>
      <c r="C301" s="276" t="s">
        <v>252</v>
      </c>
      <c r="D301" s="276" t="s">
        <v>108</v>
      </c>
      <c r="E301" s="287" t="s">
        <v>254</v>
      </c>
      <c r="F301" s="303">
        <v>3000011671</v>
      </c>
      <c r="G301" s="93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6">
        <f t="shared" si="162"/>
        <v>0</v>
      </c>
      <c r="X301" s="55"/>
      <c r="Y301" s="82">
        <f t="shared" ref="Y301:AJ301" si="168">270000000</f>
        <v>270000000</v>
      </c>
      <c r="Z301" s="82">
        <f t="shared" si="168"/>
        <v>270000000</v>
      </c>
      <c r="AA301" s="82">
        <f t="shared" si="168"/>
        <v>270000000</v>
      </c>
      <c r="AB301" s="82">
        <f t="shared" si="168"/>
        <v>270000000</v>
      </c>
      <c r="AC301" s="82">
        <f t="shared" si="168"/>
        <v>270000000</v>
      </c>
      <c r="AD301" s="82">
        <f t="shared" si="168"/>
        <v>270000000</v>
      </c>
      <c r="AE301" s="82">
        <f t="shared" si="168"/>
        <v>270000000</v>
      </c>
      <c r="AF301" s="82">
        <f t="shared" si="168"/>
        <v>270000000</v>
      </c>
      <c r="AG301" s="82">
        <f t="shared" si="168"/>
        <v>270000000</v>
      </c>
      <c r="AH301" s="82">
        <f t="shared" si="168"/>
        <v>270000000</v>
      </c>
      <c r="AI301" s="82">
        <f t="shared" si="168"/>
        <v>270000000</v>
      </c>
      <c r="AJ301" s="82">
        <f t="shared" si="168"/>
        <v>270000000</v>
      </c>
      <c r="AK301" s="61">
        <v>3240000000</v>
      </c>
      <c r="AL301" s="55"/>
      <c r="AM301" s="120">
        <v>310000000</v>
      </c>
      <c r="AN301" s="120">
        <v>310000000</v>
      </c>
      <c r="AO301" s="120">
        <v>310000000</v>
      </c>
      <c r="AP301" s="120">
        <v>310000000</v>
      </c>
      <c r="AQ301" s="120">
        <v>310000000</v>
      </c>
      <c r="AR301" s="120">
        <v>310000000</v>
      </c>
      <c r="AS301" s="120">
        <v>310000000</v>
      </c>
      <c r="AT301" s="120">
        <v>310000000</v>
      </c>
      <c r="AU301" s="120">
        <v>310000000</v>
      </c>
      <c r="AV301" s="120">
        <v>310000000</v>
      </c>
      <c r="AW301" s="120">
        <v>310000000</v>
      </c>
      <c r="AX301" s="120">
        <v>310000000</v>
      </c>
      <c r="AY301" s="120">
        <v>3720000000</v>
      </c>
      <c r="AZ301" s="55"/>
      <c r="BA301" s="639">
        <v>270000000</v>
      </c>
      <c r="BB301" s="639">
        <v>270000000</v>
      </c>
      <c r="BC301" s="86">
        <v>270000000</v>
      </c>
      <c r="BD301" s="639">
        <v>270000000</v>
      </c>
      <c r="BE301" s="86">
        <v>290000000</v>
      </c>
      <c r="BF301" s="639">
        <v>270000000</v>
      </c>
      <c r="BG301" s="86">
        <v>290000000</v>
      </c>
      <c r="BH301" s="639">
        <v>270000000</v>
      </c>
      <c r="BI301" s="86">
        <v>290000000</v>
      </c>
      <c r="BJ301" s="639">
        <v>270000000</v>
      </c>
      <c r="BK301" s="86">
        <v>290000000</v>
      </c>
      <c r="BL301" s="639">
        <v>270000000</v>
      </c>
      <c r="BM301" s="86">
        <v>290000000</v>
      </c>
      <c r="BN301" s="695">
        <v>270000000</v>
      </c>
      <c r="BO301" s="696">
        <v>290000000</v>
      </c>
      <c r="BP301" s="695"/>
      <c r="BQ301" s="696">
        <v>290000000</v>
      </c>
      <c r="BR301" s="729">
        <v>290000000</v>
      </c>
      <c r="BS301" s="695"/>
      <c r="BT301" s="696">
        <v>290000000</v>
      </c>
      <c r="BU301" s="729">
        <v>290000000</v>
      </c>
      <c r="BV301" s="695"/>
      <c r="BW301" s="696">
        <v>290000000</v>
      </c>
      <c r="BX301" s="729">
        <v>290000000</v>
      </c>
      <c r="BY301" s="695"/>
      <c r="BZ301" s="696">
        <v>290000000</v>
      </c>
      <c r="CA301" s="729">
        <v>290000000</v>
      </c>
      <c r="CB301" s="720">
        <f>SUM(BA301,BB301,BD301,BF301,BH301,BJ301,BL301,BN301,BP301,BR301,BU301,BX301,CA301)</f>
        <v>3320000000</v>
      </c>
      <c r="CC301" s="721">
        <f>SUM(BA301,BB301,BD301,BF301,BH301,BJ301,BL301,BN301,BR301,BU301,BX301,CA301)</f>
        <v>3320000000</v>
      </c>
      <c r="CD301" s="738"/>
      <c r="CE301" s="322">
        <v>270000000</v>
      </c>
      <c r="CF301" s="322">
        <v>270000000</v>
      </c>
      <c r="CG301" s="322">
        <v>270000000</v>
      </c>
      <c r="CH301" s="322">
        <v>270000000</v>
      </c>
      <c r="CI301" s="322">
        <v>270000000</v>
      </c>
      <c r="CJ301" s="322">
        <v>270000000</v>
      </c>
      <c r="CK301" s="322">
        <v>270000000</v>
      </c>
      <c r="CL301" s="322">
        <v>270000000</v>
      </c>
      <c r="CM301" s="322">
        <v>270000000</v>
      </c>
      <c r="CN301" s="322">
        <v>270000000</v>
      </c>
      <c r="CO301" s="322">
        <v>270000000</v>
      </c>
      <c r="CP301" s="322">
        <v>270000000</v>
      </c>
      <c r="CQ301" s="355">
        <f>SUM(CE301,CF301,CG301,CH301,CI301,CJ301,CK301,CL301,CM301,CN301,CO301,CP301)</f>
        <v>3240000000</v>
      </c>
      <c r="CR301" s="356">
        <f>CQ301*1.17</f>
        <v>3790800000</v>
      </c>
      <c r="CS301" s="357">
        <f>CR301*1.08</f>
        <v>4094064000.0000005</v>
      </c>
      <c r="CT301" s="332">
        <f>CS301*1.1</f>
        <v>4503470400.000001</v>
      </c>
      <c r="CU301" s="358">
        <f>CT301*1.1</f>
        <v>4953817440.0000019</v>
      </c>
      <c r="CV301" s="57" t="s">
        <v>38</v>
      </c>
    </row>
    <row r="302" spans="1:101" ht="15" customHeight="1" outlineLevel="2">
      <c r="A302" s="276" t="s">
        <v>194</v>
      </c>
      <c r="B302" s="277" t="str">
        <f>$E$295&amp;$E$269&amp;E302</f>
        <v>BULK SURABAYABULKPERMATA AGRO PERSADA</v>
      </c>
      <c r="C302" s="276" t="s">
        <v>252</v>
      </c>
      <c r="D302" s="276" t="s">
        <v>108</v>
      </c>
      <c r="E302" s="288" t="s">
        <v>275</v>
      </c>
      <c r="F302" s="303">
        <v>3000019774</v>
      </c>
      <c r="G302" s="65"/>
      <c r="H302" s="65">
        <v>0</v>
      </c>
      <c r="I302" s="65">
        <v>0</v>
      </c>
      <c r="J302" s="65">
        <v>0</v>
      </c>
      <c r="K302" s="65">
        <v>0</v>
      </c>
      <c r="L302" s="65">
        <v>0</v>
      </c>
      <c r="M302" s="65">
        <v>35637051</v>
      </c>
      <c r="N302" s="65">
        <v>-35637051</v>
      </c>
      <c r="O302" s="65">
        <v>0</v>
      </c>
      <c r="P302" s="65">
        <v>0</v>
      </c>
      <c r="Q302" s="65"/>
      <c r="R302" s="65"/>
      <c r="S302" s="65"/>
      <c r="T302" s="65">
        <v>0</v>
      </c>
      <c r="U302" s="65">
        <v>0</v>
      </c>
      <c r="V302" s="65">
        <v>0</v>
      </c>
      <c r="W302" s="66">
        <f>SUM(H302:S302)</f>
        <v>0</v>
      </c>
      <c r="X302" s="55"/>
      <c r="Y302" s="98">
        <v>80000000</v>
      </c>
      <c r="Z302" s="85">
        <v>80000000</v>
      </c>
      <c r="AA302" s="99">
        <v>80000000</v>
      </c>
      <c r="AB302" s="85">
        <v>80000000</v>
      </c>
      <c r="AC302" s="85">
        <v>80000000</v>
      </c>
      <c r="AD302" s="85">
        <v>80000000</v>
      </c>
      <c r="AE302" s="85">
        <v>80000000</v>
      </c>
      <c r="AF302" s="85">
        <v>80000000</v>
      </c>
      <c r="AG302" s="85">
        <v>80000000</v>
      </c>
      <c r="AH302" s="85">
        <v>80000000</v>
      </c>
      <c r="AI302" s="85">
        <v>80000000</v>
      </c>
      <c r="AJ302" s="85">
        <v>80000000</v>
      </c>
      <c r="AK302" s="61">
        <v>960000000</v>
      </c>
      <c r="AL302" s="55"/>
      <c r="AM302" s="98">
        <v>80000000</v>
      </c>
      <c r="AN302" s="85">
        <v>80000000</v>
      </c>
      <c r="AO302" s="99">
        <v>80000000</v>
      </c>
      <c r="AP302" s="85">
        <v>80000000</v>
      </c>
      <c r="AQ302" s="85">
        <v>80000000</v>
      </c>
      <c r="AR302" s="85">
        <v>80000000</v>
      </c>
      <c r="AS302" s="85">
        <v>80000000</v>
      </c>
      <c r="AT302" s="85">
        <v>80000000</v>
      </c>
      <c r="AU302" s="85">
        <v>80000000</v>
      </c>
      <c r="AV302" s="85">
        <v>80000000</v>
      </c>
      <c r="AW302" s="85">
        <v>80000000</v>
      </c>
      <c r="AX302" s="85">
        <v>80000000</v>
      </c>
      <c r="AY302" s="122">
        <v>960000000</v>
      </c>
      <c r="AZ302" s="55"/>
      <c r="BA302" s="639">
        <v>0</v>
      </c>
      <c r="BB302" s="639">
        <v>213128580</v>
      </c>
      <c r="BC302" s="86">
        <v>175000000</v>
      </c>
      <c r="BD302" s="639">
        <v>62550900</v>
      </c>
      <c r="BE302" s="86">
        <v>175000000</v>
      </c>
      <c r="BF302" s="639"/>
      <c r="BG302" s="86"/>
      <c r="BH302" s="639"/>
      <c r="BI302" s="86"/>
      <c r="BJ302" s="639"/>
      <c r="BK302" s="86"/>
      <c r="BL302" s="639"/>
      <c r="BM302" s="86"/>
      <c r="BN302" s="695">
        <v>0</v>
      </c>
      <c r="BO302" s="696"/>
      <c r="BP302" s="695"/>
      <c r="BQ302" s="696"/>
      <c r="BR302" s="729"/>
      <c r="BS302" s="695"/>
      <c r="BT302" s="696"/>
      <c r="BU302" s="729"/>
      <c r="BV302" s="695"/>
      <c r="BW302" s="696"/>
      <c r="BX302" s="729"/>
      <c r="BY302" s="695"/>
      <c r="BZ302" s="696"/>
      <c r="CA302" s="729"/>
      <c r="CB302" s="720">
        <f>SUM(BA302,BB302,BD302,BF302,BH302,BJ302,BL302,BN302,BP302,BR302,BU302,BX302,CA302)</f>
        <v>275679480</v>
      </c>
      <c r="CC302" s="721">
        <f>SUM(BA302,BB302,BD302,BF302,BH302,BJ302,BL302,BN302,BR302,BU302,BX302,CA302)</f>
        <v>275679480</v>
      </c>
      <c r="CD302" s="738"/>
      <c r="CE302" s="322">
        <v>0</v>
      </c>
      <c r="CF302" s="322">
        <v>0</v>
      </c>
      <c r="CG302" s="322">
        <v>0</v>
      </c>
      <c r="CH302" s="322">
        <v>0</v>
      </c>
      <c r="CI302" s="322">
        <v>0</v>
      </c>
      <c r="CJ302" s="322">
        <v>0</v>
      </c>
      <c r="CK302" s="322">
        <v>0</v>
      </c>
      <c r="CL302" s="322">
        <v>0</v>
      </c>
      <c r="CM302" s="322">
        <v>0</v>
      </c>
      <c r="CN302" s="322">
        <v>0</v>
      </c>
      <c r="CO302" s="322">
        <v>0</v>
      </c>
      <c r="CP302" s="322">
        <v>0</v>
      </c>
      <c r="CQ302" s="355">
        <f>SUM(CE302,CF302,CG302,CH302,CI302,CJ302,CK302,CL302,CM302,CN302,CO302,CP302)</f>
        <v>0</v>
      </c>
      <c r="CR302" s="356">
        <f>CQ302*1.17</f>
        <v>0</v>
      </c>
      <c r="CS302" s="357">
        <f>CR302*1.08</f>
        <v>0</v>
      </c>
      <c r="CT302" s="332">
        <f>CS302*1.09</f>
        <v>0</v>
      </c>
      <c r="CU302" s="358">
        <f>CT302*1.09</f>
        <v>0</v>
      </c>
      <c r="CV302" s="57" t="s">
        <v>38</v>
      </c>
    </row>
    <row r="303" spans="1:101" ht="15" customHeight="1" outlineLevel="2">
      <c r="A303" s="276" t="s">
        <v>121</v>
      </c>
      <c r="B303" s="277" t="str">
        <f>$E$295&amp;$E$269&amp;E303</f>
        <v>BULK SURABAYABULK</v>
      </c>
      <c r="C303" s="276" t="s">
        <v>252</v>
      </c>
      <c r="E303" s="288"/>
      <c r="F303" s="288"/>
      <c r="G303" s="81"/>
      <c r="H303" s="65">
        <v>0</v>
      </c>
      <c r="I303" s="65">
        <v>0</v>
      </c>
      <c r="J303" s="65">
        <v>0</v>
      </c>
      <c r="K303" s="65">
        <v>0</v>
      </c>
      <c r="L303" s="65">
        <v>0</v>
      </c>
      <c r="M303" s="65">
        <v>0</v>
      </c>
      <c r="N303" s="65">
        <v>0</v>
      </c>
      <c r="O303" s="65"/>
      <c r="P303" s="65">
        <v>0</v>
      </c>
      <c r="Q303" s="65"/>
      <c r="R303" s="65"/>
      <c r="S303" s="65"/>
      <c r="T303" s="65">
        <v>0</v>
      </c>
      <c r="U303" s="65">
        <v>0</v>
      </c>
      <c r="V303" s="65">
        <v>0</v>
      </c>
      <c r="W303" s="66">
        <f>SUM(H303:S303)</f>
        <v>0</v>
      </c>
      <c r="X303" s="55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1">
        <v>0</v>
      </c>
      <c r="AL303" s="55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122">
        <v>0</v>
      </c>
      <c r="AZ303" s="55"/>
      <c r="BA303" s="639">
        <v>0</v>
      </c>
      <c r="BB303" s="639">
        <v>0</v>
      </c>
      <c r="BC303" s="86"/>
      <c r="BD303" s="639">
        <v>0</v>
      </c>
      <c r="BE303" s="86"/>
      <c r="BF303" s="639">
        <v>0</v>
      </c>
      <c r="BG303" s="86"/>
      <c r="BH303" s="639"/>
      <c r="BI303" s="86"/>
      <c r="BJ303" s="639"/>
      <c r="BK303" s="86"/>
      <c r="BL303" s="639"/>
      <c r="BM303" s="86"/>
      <c r="BN303" s="695">
        <v>0</v>
      </c>
      <c r="BO303" s="696"/>
      <c r="BP303" s="695"/>
      <c r="BQ303" s="696"/>
      <c r="BR303" s="729"/>
      <c r="BS303" s="695"/>
      <c r="BT303" s="696"/>
      <c r="BU303" s="729"/>
      <c r="BV303" s="695"/>
      <c r="BW303" s="696"/>
      <c r="BX303" s="729"/>
      <c r="BY303" s="695"/>
      <c r="BZ303" s="696"/>
      <c r="CA303" s="729"/>
      <c r="CB303" s="720">
        <f>SUM(BA303,BB303,BD303,BF303,BH303,BJ303,BL303,BN303,BP303,BR303,BU303,BX303,CA303)</f>
        <v>0</v>
      </c>
      <c r="CC303" s="721">
        <f>SUM(BA303,BB303,BD303,BF303,BH303,BJ303,BL303,BN303,BR303,BU303,BX303,CA303)</f>
        <v>0</v>
      </c>
      <c r="CD303" s="738"/>
      <c r="CE303" s="322"/>
      <c r="CF303" s="322"/>
      <c r="CG303" s="322"/>
      <c r="CH303" s="322"/>
      <c r="CI303" s="322"/>
      <c r="CJ303" s="322"/>
      <c r="CK303" s="322"/>
      <c r="CL303" s="322"/>
      <c r="CM303" s="322"/>
      <c r="CN303" s="322"/>
      <c r="CO303" s="322"/>
      <c r="CP303" s="322"/>
      <c r="CQ303" s="355">
        <f>SUM(CE303,CF303,CG303,CH303,CI303,CJ303,CK303,CL303,CM303,CN303,CO303,CP303)</f>
        <v>0</v>
      </c>
      <c r="CR303" s="356">
        <f>CQ303*1.07</f>
        <v>0</v>
      </c>
      <c r="CS303" s="357">
        <f>CR303*1.07</f>
        <v>0</v>
      </c>
      <c r="CT303" s="332">
        <f>500000000*12</f>
        <v>6000000000</v>
      </c>
      <c r="CU303" s="358">
        <f>500000000*12</f>
        <v>6000000000</v>
      </c>
      <c r="CV303" s="57" t="s">
        <v>38</v>
      </c>
    </row>
    <row r="304" spans="1:101" ht="15" customHeight="1" outlineLevel="2">
      <c r="A304" s="307"/>
      <c r="B304" s="307"/>
      <c r="C304" s="307"/>
      <c r="D304" s="307"/>
      <c r="E304" s="295" t="s">
        <v>120</v>
      </c>
      <c r="F304" s="307"/>
      <c r="G304" s="71"/>
      <c r="H304" s="71">
        <v>0</v>
      </c>
      <c r="I304" s="71">
        <v>0</v>
      </c>
      <c r="J304" s="71">
        <v>0</v>
      </c>
      <c r="K304" s="71">
        <v>0</v>
      </c>
      <c r="L304" s="71">
        <v>0</v>
      </c>
      <c r="M304" s="71">
        <v>0</v>
      </c>
      <c r="N304" s="71">
        <v>0</v>
      </c>
      <c r="O304" s="71"/>
      <c r="P304" s="71"/>
      <c r="Q304" s="71"/>
      <c r="R304" s="71"/>
      <c r="S304" s="71"/>
      <c r="T304" s="71"/>
      <c r="U304" s="71"/>
      <c r="V304" s="71">
        <v>0</v>
      </c>
      <c r="W304" s="232"/>
      <c r="X304" s="55"/>
      <c r="Y304" s="107">
        <f t="shared" ref="Y304:AK304" si="169">SUM(Y305:Y306)</f>
        <v>0</v>
      </c>
      <c r="Z304" s="107">
        <f t="shared" si="169"/>
        <v>0</v>
      </c>
      <c r="AA304" s="107">
        <f t="shared" si="169"/>
        <v>0</v>
      </c>
      <c r="AB304" s="107">
        <f t="shared" si="169"/>
        <v>0</v>
      </c>
      <c r="AC304" s="107">
        <f t="shared" si="169"/>
        <v>0</v>
      </c>
      <c r="AD304" s="107">
        <f t="shared" si="169"/>
        <v>0</v>
      </c>
      <c r="AE304" s="107">
        <f t="shared" si="169"/>
        <v>0</v>
      </c>
      <c r="AF304" s="107">
        <f t="shared" si="169"/>
        <v>0</v>
      </c>
      <c r="AG304" s="107">
        <f t="shared" si="169"/>
        <v>0</v>
      </c>
      <c r="AH304" s="107">
        <f t="shared" si="169"/>
        <v>0</v>
      </c>
      <c r="AI304" s="107">
        <f t="shared" si="169"/>
        <v>0</v>
      </c>
      <c r="AJ304" s="107">
        <f t="shared" si="169"/>
        <v>0</v>
      </c>
      <c r="AK304" s="107">
        <f t="shared" si="169"/>
        <v>0</v>
      </c>
      <c r="AL304" s="55"/>
      <c r="AM304" s="107">
        <f t="shared" ref="AM304:AY304" si="170">SUM(AM305:AM306)</f>
        <v>0</v>
      </c>
      <c r="AN304" s="107">
        <f t="shared" si="170"/>
        <v>0</v>
      </c>
      <c r="AO304" s="107">
        <f t="shared" si="170"/>
        <v>0</v>
      </c>
      <c r="AP304" s="107">
        <f t="shared" si="170"/>
        <v>0</v>
      </c>
      <c r="AQ304" s="107">
        <f t="shared" si="170"/>
        <v>0</v>
      </c>
      <c r="AR304" s="107">
        <f t="shared" si="170"/>
        <v>0</v>
      </c>
      <c r="AS304" s="107">
        <f t="shared" si="170"/>
        <v>0</v>
      </c>
      <c r="AT304" s="107">
        <f t="shared" si="170"/>
        <v>0</v>
      </c>
      <c r="AU304" s="107">
        <f t="shared" si="170"/>
        <v>0</v>
      </c>
      <c r="AV304" s="107">
        <f t="shared" si="170"/>
        <v>0</v>
      </c>
      <c r="AW304" s="107">
        <f t="shared" si="170"/>
        <v>0</v>
      </c>
      <c r="AX304" s="107">
        <f t="shared" si="170"/>
        <v>0</v>
      </c>
      <c r="AY304" s="107">
        <f t="shared" si="170"/>
        <v>0</v>
      </c>
      <c r="AZ304" s="55"/>
      <c r="BA304" s="107">
        <f>SUM(BA305:BA306)</f>
        <v>0</v>
      </c>
      <c r="BB304" s="107">
        <f t="shared" ref="BB304:CC304" si="171">SUM(BB305:BB306)</f>
        <v>0</v>
      </c>
      <c r="BC304" s="107">
        <f t="shared" si="171"/>
        <v>0</v>
      </c>
      <c r="BD304" s="107">
        <f t="shared" si="171"/>
        <v>0</v>
      </c>
      <c r="BE304" s="107">
        <f t="shared" si="171"/>
        <v>0</v>
      </c>
      <c r="BF304" s="107">
        <f t="shared" si="171"/>
        <v>0</v>
      </c>
      <c r="BG304" s="107">
        <f t="shared" si="171"/>
        <v>0</v>
      </c>
      <c r="BH304" s="107">
        <f t="shared" si="171"/>
        <v>0</v>
      </c>
      <c r="BI304" s="107">
        <f t="shared" si="171"/>
        <v>0</v>
      </c>
      <c r="BJ304" s="107">
        <f t="shared" si="171"/>
        <v>0</v>
      </c>
      <c r="BK304" s="107">
        <f t="shared" si="171"/>
        <v>0</v>
      </c>
      <c r="BL304" s="107">
        <f t="shared" si="171"/>
        <v>0</v>
      </c>
      <c r="BM304" s="107">
        <f t="shared" si="171"/>
        <v>0</v>
      </c>
      <c r="BN304" s="698">
        <f t="shared" si="171"/>
        <v>0</v>
      </c>
      <c r="BO304" s="698">
        <f t="shared" si="171"/>
        <v>0</v>
      </c>
      <c r="BP304" s="698">
        <f t="shared" si="171"/>
        <v>0</v>
      </c>
      <c r="BQ304" s="698">
        <f>SUM(BQ305:BQ306)</f>
        <v>0</v>
      </c>
      <c r="BR304" s="698">
        <f>SUM(BR305:BR306)</f>
        <v>0</v>
      </c>
      <c r="BS304" s="698">
        <f t="shared" si="171"/>
        <v>0</v>
      </c>
      <c r="BT304" s="698">
        <f>SUM(BT305:BT306)</f>
        <v>0</v>
      </c>
      <c r="BU304" s="698">
        <f t="shared" si="171"/>
        <v>0</v>
      </c>
      <c r="BV304" s="698">
        <f t="shared" si="171"/>
        <v>0</v>
      </c>
      <c r="BW304" s="698">
        <f>SUM(BW305:BW306)</f>
        <v>1336000000</v>
      </c>
      <c r="BX304" s="698">
        <f t="shared" si="171"/>
        <v>1336000000</v>
      </c>
      <c r="BY304" s="698">
        <f t="shared" si="171"/>
        <v>0</v>
      </c>
      <c r="BZ304" s="698">
        <f>SUM(BZ305:BZ306)</f>
        <v>574000000</v>
      </c>
      <c r="CA304" s="698">
        <f t="shared" si="171"/>
        <v>626500000</v>
      </c>
      <c r="CB304" s="698">
        <f t="shared" si="171"/>
        <v>1962500000</v>
      </c>
      <c r="CC304" s="698">
        <f t="shared" si="171"/>
        <v>1962500000</v>
      </c>
      <c r="CD304" s="738"/>
      <c r="CE304" s="325">
        <f>SUM(CE305:CE307)</f>
        <v>302000000</v>
      </c>
      <c r="CF304" s="325">
        <f t="shared" ref="CF304:CP304" si="172">SUM(CF305:CF307)</f>
        <v>302000000</v>
      </c>
      <c r="CG304" s="325">
        <f t="shared" si="172"/>
        <v>302000000</v>
      </c>
      <c r="CH304" s="325">
        <f t="shared" si="172"/>
        <v>302000000</v>
      </c>
      <c r="CI304" s="325">
        <f t="shared" si="172"/>
        <v>302000000</v>
      </c>
      <c r="CJ304" s="325">
        <f t="shared" si="172"/>
        <v>302000000</v>
      </c>
      <c r="CK304" s="325">
        <f t="shared" si="172"/>
        <v>302000000</v>
      </c>
      <c r="CL304" s="325">
        <f t="shared" si="172"/>
        <v>302000000</v>
      </c>
      <c r="CM304" s="325">
        <f t="shared" si="172"/>
        <v>302000000</v>
      </c>
      <c r="CN304" s="325">
        <f t="shared" si="172"/>
        <v>302000000</v>
      </c>
      <c r="CO304" s="325">
        <f t="shared" si="172"/>
        <v>302000000</v>
      </c>
      <c r="CP304" s="325">
        <f t="shared" si="172"/>
        <v>302000000</v>
      </c>
      <c r="CQ304" s="325">
        <f>SUM(CQ305:CQ307)</f>
        <v>3624000000</v>
      </c>
      <c r="CR304" s="325">
        <f>SUM(CR305:CR307)</f>
        <v>1309680000</v>
      </c>
      <c r="CS304" s="325">
        <f>SUM(CS305:CS307)</f>
        <v>1401357600</v>
      </c>
      <c r="CT304" s="325">
        <f>SUM(CT305:CT307)</f>
        <v>6000000000</v>
      </c>
      <c r="CU304" s="325">
        <f>SUM(CU305:CU307)</f>
        <v>6000000000</v>
      </c>
      <c r="CV304" s="57"/>
    </row>
    <row r="305" spans="1:100" ht="15" customHeight="1" outlineLevel="2">
      <c r="A305" s="276" t="s">
        <v>276</v>
      </c>
      <c r="B305" s="277" t="str">
        <f>$E$295&amp;$E$269&amp;E305</f>
        <v>BULK SURABAYABULKSUMITOMO</v>
      </c>
      <c r="C305" s="276" t="s">
        <v>252</v>
      </c>
      <c r="D305" s="297" t="s">
        <v>121</v>
      </c>
      <c r="E305" s="288" t="s">
        <v>277</v>
      </c>
      <c r="F305" s="288"/>
      <c r="G305" s="81"/>
      <c r="H305" s="65">
        <v>0</v>
      </c>
      <c r="I305" s="65">
        <v>0</v>
      </c>
      <c r="J305" s="65">
        <v>0</v>
      </c>
      <c r="K305" s="65">
        <v>0</v>
      </c>
      <c r="L305" s="65">
        <v>0</v>
      </c>
      <c r="M305" s="65">
        <v>0</v>
      </c>
      <c r="N305" s="65">
        <v>0</v>
      </c>
      <c r="O305" s="65"/>
      <c r="P305" s="65">
        <v>0</v>
      </c>
      <c r="Q305" s="65"/>
      <c r="R305" s="65"/>
      <c r="S305" s="65"/>
      <c r="T305" s="65">
        <v>0</v>
      </c>
      <c r="U305" s="65">
        <v>0</v>
      </c>
      <c r="V305" s="65">
        <v>0</v>
      </c>
      <c r="W305" s="66">
        <f t="shared" si="162"/>
        <v>0</v>
      </c>
      <c r="X305" s="55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1">
        <v>0</v>
      </c>
      <c r="AL305" s="55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122">
        <v>0</v>
      </c>
      <c r="AZ305" s="55"/>
      <c r="BA305" s="639">
        <v>0</v>
      </c>
      <c r="BB305" s="639">
        <v>0</v>
      </c>
      <c r="BC305" s="86"/>
      <c r="BD305" s="639">
        <v>0</v>
      </c>
      <c r="BE305" s="86"/>
      <c r="BF305" s="639">
        <v>0</v>
      </c>
      <c r="BG305" s="86"/>
      <c r="BH305" s="639"/>
      <c r="BI305" s="86"/>
      <c r="BJ305" s="639"/>
      <c r="BK305" s="86"/>
      <c r="BL305" s="639"/>
      <c r="BM305" s="86"/>
      <c r="BN305" s="695"/>
      <c r="BO305" s="696"/>
      <c r="BP305" s="695"/>
      <c r="BQ305" s="696"/>
      <c r="BR305" s="729"/>
      <c r="BS305" s="695"/>
      <c r="BT305" s="696"/>
      <c r="BU305" s="729"/>
      <c r="BV305" s="695"/>
      <c r="BW305" s="696">
        <v>1056000000</v>
      </c>
      <c r="BX305" s="729">
        <v>1056000000</v>
      </c>
      <c r="BY305" s="695"/>
      <c r="BZ305" s="696">
        <v>346500000</v>
      </c>
      <c r="CA305" s="729">
        <v>346500000</v>
      </c>
      <c r="CB305" s="720">
        <f>SUM(BA305,BB305,BD305,BF305,BH305,BJ305,BL305,BN305,BP305,BR305,BU305,BX305,CA305)</f>
        <v>1402500000</v>
      </c>
      <c r="CC305" s="721">
        <f>SUM(BA305,BB305,BD305,BF305,BH305,BJ305,BL305,BN305,BR305,BU305,BX305,CA305)</f>
        <v>1402500000</v>
      </c>
      <c r="CD305" s="738"/>
      <c r="CE305" s="1195">
        <v>102000000</v>
      </c>
      <c r="CF305" s="1195">
        <v>102000000</v>
      </c>
      <c r="CG305" s="1195">
        <v>102000000</v>
      </c>
      <c r="CH305" s="1195">
        <v>102000000</v>
      </c>
      <c r="CI305" s="1195">
        <v>102000000</v>
      </c>
      <c r="CJ305" s="1195">
        <v>102000000</v>
      </c>
      <c r="CK305" s="1195">
        <v>102000000</v>
      </c>
      <c r="CL305" s="1195">
        <v>102000000</v>
      </c>
      <c r="CM305" s="1195">
        <v>102000000</v>
      </c>
      <c r="CN305" s="1195">
        <v>102000000</v>
      </c>
      <c r="CO305" s="1195">
        <v>102000000</v>
      </c>
      <c r="CP305" s="1195">
        <v>102000000</v>
      </c>
      <c r="CQ305" s="1196">
        <f>SUM(CE305,CF305,CG305,CH305,CI305,CJ305,CK305,CL305,CM305,CN305,CO305,CP305)</f>
        <v>1224000000</v>
      </c>
      <c r="CR305" s="356">
        <f>CQ305*1.07</f>
        <v>1309680000</v>
      </c>
      <c r="CS305" s="357">
        <f>CR305*1.07</f>
        <v>1401357600</v>
      </c>
      <c r="CT305" s="332">
        <f>500000000*12</f>
        <v>6000000000</v>
      </c>
      <c r="CU305" s="358">
        <f>500000000*12</f>
        <v>6000000000</v>
      </c>
      <c r="CV305" s="57" t="s">
        <v>38</v>
      </c>
    </row>
    <row r="306" spans="1:100" ht="15" customHeight="1" outlineLevel="2">
      <c r="A306" s="296" t="s">
        <v>194</v>
      </c>
      <c r="C306" s="276" t="s">
        <v>252</v>
      </c>
      <c r="D306" s="297" t="s">
        <v>121</v>
      </c>
      <c r="E306" s="314" t="s">
        <v>278</v>
      </c>
      <c r="F306" s="288"/>
      <c r="G306" s="81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6"/>
      <c r="X306" s="55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1"/>
      <c r="AL306" s="55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122"/>
      <c r="AZ306" s="55"/>
      <c r="BA306" s="639"/>
      <c r="BB306" s="639"/>
      <c r="BC306" s="86"/>
      <c r="BD306" s="639"/>
      <c r="BE306" s="86"/>
      <c r="BF306" s="639"/>
      <c r="BG306" s="86"/>
      <c r="BH306" s="639"/>
      <c r="BI306" s="86"/>
      <c r="BJ306" s="639"/>
      <c r="BK306" s="86"/>
      <c r="BL306" s="639"/>
      <c r="BM306" s="86"/>
      <c r="BN306" s="695"/>
      <c r="BO306" s="696"/>
      <c r="BP306" s="695"/>
      <c r="BQ306" s="696"/>
      <c r="BR306" s="729"/>
      <c r="BS306" s="695"/>
      <c r="BT306" s="696"/>
      <c r="BU306" s="729"/>
      <c r="BV306" s="695"/>
      <c r="BW306" s="696">
        <f>8000*35000</f>
        <v>280000000</v>
      </c>
      <c r="BX306" s="729">
        <f>8000*35000</f>
        <v>280000000</v>
      </c>
      <c r="BY306" s="695"/>
      <c r="BZ306" s="696">
        <f>6500*35000</f>
        <v>227500000</v>
      </c>
      <c r="CA306" s="729">
        <f>8000*35000</f>
        <v>280000000</v>
      </c>
      <c r="CB306" s="720">
        <f>SUM(BA306,BB306,BD306,BF306,BH306,BJ306,BL306,BN306,BP306,BR306,BU306,BX306,CA306)</f>
        <v>560000000</v>
      </c>
      <c r="CC306" s="721">
        <f>SUM(BA306,BB306,BD306,BF306,BH306,BJ306,BL306,BN306,BR306,BU306,BX306,CA306)</f>
        <v>560000000</v>
      </c>
      <c r="CD306" s="738"/>
      <c r="CE306" s="1195">
        <v>200000000</v>
      </c>
      <c r="CF306" s="1195">
        <v>200000000</v>
      </c>
      <c r="CG306" s="1195">
        <v>200000000</v>
      </c>
      <c r="CH306" s="1195">
        <v>200000000</v>
      </c>
      <c r="CI306" s="1195">
        <v>200000000</v>
      </c>
      <c r="CJ306" s="1195">
        <v>200000000</v>
      </c>
      <c r="CK306" s="1195">
        <v>200000000</v>
      </c>
      <c r="CL306" s="1195">
        <v>200000000</v>
      </c>
      <c r="CM306" s="1195">
        <v>200000000</v>
      </c>
      <c r="CN306" s="1195">
        <v>200000000</v>
      </c>
      <c r="CO306" s="1195">
        <v>200000000</v>
      </c>
      <c r="CP306" s="1195">
        <v>200000000</v>
      </c>
      <c r="CQ306" s="1196">
        <f>SUM(CE306,CF306,CG306,CH306,CI306,CJ306,CK306,CL306,CM306,CN306,CO306,CP306)</f>
        <v>2400000000</v>
      </c>
      <c r="CR306" s="356"/>
      <c r="CS306" s="357"/>
      <c r="CT306" s="332"/>
      <c r="CU306" s="358"/>
      <c r="CV306" s="57"/>
    </row>
    <row r="307" spans="1:100" ht="15" customHeight="1" outlineLevel="2">
      <c r="A307" s="296"/>
      <c r="C307" s="276" t="s">
        <v>252</v>
      </c>
      <c r="E307" s="300"/>
      <c r="F307" s="300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6"/>
      <c r="X307" s="55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61"/>
      <c r="AL307" s="55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122"/>
      <c r="AZ307" s="55"/>
      <c r="BA307" s="639"/>
      <c r="BB307" s="639"/>
      <c r="BC307" s="86"/>
      <c r="BD307" s="639"/>
      <c r="BE307" s="86"/>
      <c r="BF307" s="639"/>
      <c r="BG307" s="86"/>
      <c r="BH307" s="639"/>
      <c r="BI307" s="86"/>
      <c r="BJ307" s="639"/>
      <c r="BK307" s="86"/>
      <c r="BL307" s="639"/>
      <c r="BM307" s="86"/>
      <c r="BN307" s="695"/>
      <c r="BO307" s="696"/>
      <c r="BP307" s="695"/>
      <c r="BQ307" s="696"/>
      <c r="BR307" s="702"/>
      <c r="BS307" s="695"/>
      <c r="BT307" s="696"/>
      <c r="BU307" s="702"/>
      <c r="BV307" s="695"/>
      <c r="BW307" s="696"/>
      <c r="BX307" s="702"/>
      <c r="BY307" s="695"/>
      <c r="BZ307" s="696"/>
      <c r="CA307" s="702"/>
      <c r="CB307" s="720">
        <f>SUM(BA307,BB307,BD307,BF307,BH307,BJ307,BL307,BN307,BP307,BR307,BU307,BX307,CA307)</f>
        <v>0</v>
      </c>
      <c r="CC307" s="721">
        <f>SUM(BA307,BB307,BD307,BF307,BH307,BJ307,BL307,BN307,BR307,BU307,BX307,CA307)</f>
        <v>0</v>
      </c>
      <c r="CD307" s="738"/>
      <c r="CE307" s="322"/>
      <c r="CF307" s="322"/>
      <c r="CG307" s="322"/>
      <c r="CH307" s="322"/>
      <c r="CI307" s="322"/>
      <c r="CJ307" s="322"/>
      <c r="CK307" s="322"/>
      <c r="CL307" s="322"/>
      <c r="CM307" s="322"/>
      <c r="CN307" s="322"/>
      <c r="CO307" s="322"/>
      <c r="CP307" s="322"/>
      <c r="CQ307" s="355">
        <f>SUM(CE307,CF307,CG307,CH307,CI307,CJ307,CK307,CL307,CM307,CN307,CO307,CP307)</f>
        <v>0</v>
      </c>
      <c r="CR307" s="356"/>
      <c r="CS307" s="357"/>
      <c r="CT307" s="332"/>
      <c r="CU307" s="358"/>
      <c r="CV307" s="57"/>
    </row>
    <row r="308" spans="1:100" ht="15.5" outlineLevel="1">
      <c r="A308" s="301"/>
      <c r="B308" s="301"/>
      <c r="C308" s="301"/>
      <c r="D308" s="301"/>
      <c r="E308" s="301" t="s">
        <v>279</v>
      </c>
      <c r="F308" s="301"/>
      <c r="G308" s="76">
        <f t="shared" ref="G308:W308" si="173">SUM(G296:G307)</f>
        <v>12585379613</v>
      </c>
      <c r="H308" s="76">
        <f t="shared" si="173"/>
        <v>1042344761</v>
      </c>
      <c r="I308" s="76">
        <f t="shared" si="173"/>
        <v>417933750</v>
      </c>
      <c r="J308" s="76">
        <f t="shared" si="173"/>
        <v>589292805</v>
      </c>
      <c r="K308" s="76">
        <f t="shared" si="173"/>
        <v>240658500</v>
      </c>
      <c r="L308" s="76">
        <f t="shared" si="173"/>
        <v>503734890</v>
      </c>
      <c r="M308" s="76">
        <f t="shared" si="173"/>
        <v>656506020</v>
      </c>
      <c r="N308" s="76">
        <f t="shared" si="173"/>
        <v>775768868</v>
      </c>
      <c r="O308" s="76">
        <f t="shared" si="173"/>
        <v>471154095</v>
      </c>
      <c r="P308" s="76">
        <f t="shared" si="173"/>
        <v>494434125</v>
      </c>
      <c r="Q308" s="76">
        <f t="shared" si="173"/>
        <v>235183232</v>
      </c>
      <c r="R308" s="76">
        <f t="shared" si="173"/>
        <v>496164723</v>
      </c>
      <c r="S308" s="76">
        <f t="shared" si="173"/>
        <v>788050944</v>
      </c>
      <c r="T308" s="76">
        <f t="shared" si="173"/>
        <v>432824385</v>
      </c>
      <c r="U308" s="76">
        <f t="shared" si="173"/>
        <v>432824385</v>
      </c>
      <c r="V308" s="76">
        <f t="shared" si="173"/>
        <v>432824385</v>
      </c>
      <c r="W308" s="76">
        <f t="shared" si="173"/>
        <v>6711226713</v>
      </c>
      <c r="X308" s="55"/>
      <c r="Y308" s="77">
        <f t="shared" ref="Y308:AK308" si="174">Y295+Y300+Y304</f>
        <v>845000000</v>
      </c>
      <c r="Z308" s="77">
        <f t="shared" si="174"/>
        <v>845000000</v>
      </c>
      <c r="AA308" s="77">
        <f t="shared" si="174"/>
        <v>845000000</v>
      </c>
      <c r="AB308" s="77">
        <f t="shared" si="174"/>
        <v>845000000</v>
      </c>
      <c r="AC308" s="77">
        <f t="shared" si="174"/>
        <v>845000000</v>
      </c>
      <c r="AD308" s="77">
        <f t="shared" si="174"/>
        <v>845000000</v>
      </c>
      <c r="AE308" s="77">
        <f t="shared" si="174"/>
        <v>780000000</v>
      </c>
      <c r="AF308" s="77">
        <f t="shared" si="174"/>
        <v>780000000</v>
      </c>
      <c r="AG308" s="77">
        <f t="shared" si="174"/>
        <v>780000000</v>
      </c>
      <c r="AH308" s="77">
        <f t="shared" si="174"/>
        <v>780000000</v>
      </c>
      <c r="AI308" s="77">
        <f t="shared" si="174"/>
        <v>780000000</v>
      </c>
      <c r="AJ308" s="77">
        <f t="shared" si="174"/>
        <v>780000000</v>
      </c>
      <c r="AK308" s="77">
        <f t="shared" si="174"/>
        <v>9750000000</v>
      </c>
      <c r="AL308" s="55"/>
      <c r="AM308" s="77">
        <f t="shared" ref="AM308:AY308" si="175">AM295+AM300+AM304</f>
        <v>885000000</v>
      </c>
      <c r="AN308" s="77">
        <f t="shared" si="175"/>
        <v>885000000</v>
      </c>
      <c r="AO308" s="77">
        <f t="shared" si="175"/>
        <v>885000000</v>
      </c>
      <c r="AP308" s="77">
        <f t="shared" si="175"/>
        <v>885000000</v>
      </c>
      <c r="AQ308" s="77">
        <f t="shared" si="175"/>
        <v>885000000</v>
      </c>
      <c r="AR308" s="77">
        <f t="shared" si="175"/>
        <v>885000000</v>
      </c>
      <c r="AS308" s="77">
        <f t="shared" si="175"/>
        <v>820000000</v>
      </c>
      <c r="AT308" s="77">
        <f t="shared" si="175"/>
        <v>820000000</v>
      </c>
      <c r="AU308" s="77">
        <f t="shared" si="175"/>
        <v>820000000</v>
      </c>
      <c r="AV308" s="77">
        <f t="shared" si="175"/>
        <v>820000000</v>
      </c>
      <c r="AW308" s="77">
        <f t="shared" si="175"/>
        <v>820000000</v>
      </c>
      <c r="AX308" s="77">
        <f t="shared" si="175"/>
        <v>820000000</v>
      </c>
      <c r="AY308" s="77">
        <f t="shared" si="175"/>
        <v>10230000000</v>
      </c>
      <c r="AZ308" s="55"/>
      <c r="BA308" s="77">
        <f>BA295+BA300+BA304</f>
        <v>439641025</v>
      </c>
      <c r="BB308" s="77">
        <f t="shared" ref="BB308:CT308" si="176">BB295+BB300+BB304</f>
        <v>659054505</v>
      </c>
      <c r="BC308" s="77">
        <f t="shared" si="176"/>
        <v>620000000</v>
      </c>
      <c r="BD308" s="77">
        <f t="shared" si="176"/>
        <v>631130816</v>
      </c>
      <c r="BE308" s="77">
        <f t="shared" si="176"/>
        <v>770400000</v>
      </c>
      <c r="BF308" s="77">
        <f t="shared" si="176"/>
        <v>347233625</v>
      </c>
      <c r="BG308" s="77">
        <f t="shared" si="176"/>
        <v>515200000</v>
      </c>
      <c r="BH308" s="77">
        <f t="shared" si="176"/>
        <v>1005732219</v>
      </c>
      <c r="BI308" s="77">
        <f t="shared" si="176"/>
        <v>515200000</v>
      </c>
      <c r="BJ308" s="77">
        <f t="shared" si="176"/>
        <v>697699164</v>
      </c>
      <c r="BK308" s="77">
        <f t="shared" si="176"/>
        <v>712000000</v>
      </c>
      <c r="BL308" s="77">
        <f t="shared" si="176"/>
        <v>617577008</v>
      </c>
      <c r="BM308" s="77">
        <f t="shared" si="176"/>
        <v>3031000000</v>
      </c>
      <c r="BN308" s="699">
        <f t="shared" si="176"/>
        <v>626110840</v>
      </c>
      <c r="BO308" s="699">
        <f t="shared" si="176"/>
        <v>1624000000</v>
      </c>
      <c r="BP308" s="699">
        <f t="shared" si="176"/>
        <v>0</v>
      </c>
      <c r="BQ308" s="699">
        <f>BQ295+BQ300+BQ304</f>
        <v>712000000</v>
      </c>
      <c r="BR308" s="699">
        <f>BR295+BR300+BR304</f>
        <v>715000000</v>
      </c>
      <c r="BS308" s="699">
        <f t="shared" si="176"/>
        <v>0</v>
      </c>
      <c r="BT308" s="699">
        <f>BT295+BT300+BT304</f>
        <v>712000000</v>
      </c>
      <c r="BU308" s="699">
        <f t="shared" si="176"/>
        <v>765000000</v>
      </c>
      <c r="BV308" s="699">
        <f t="shared" si="176"/>
        <v>0</v>
      </c>
      <c r="BW308" s="699">
        <f>BW295+BW300+BW304</f>
        <v>2048000000</v>
      </c>
      <c r="BX308" s="699">
        <f t="shared" si="176"/>
        <v>2126000000</v>
      </c>
      <c r="BY308" s="699">
        <f t="shared" si="176"/>
        <v>0</v>
      </c>
      <c r="BZ308" s="699">
        <f>BZ295+BZ300+BZ304</f>
        <v>2786000000</v>
      </c>
      <c r="CA308" s="699">
        <f t="shared" si="176"/>
        <v>2941500000</v>
      </c>
      <c r="CB308" s="699">
        <f t="shared" si="176"/>
        <v>11571679202</v>
      </c>
      <c r="CC308" s="699">
        <f t="shared" si="176"/>
        <v>11571679202</v>
      </c>
      <c r="CD308" s="738"/>
      <c r="CE308" s="326">
        <f t="shared" si="176"/>
        <v>952000000</v>
      </c>
      <c r="CF308" s="326">
        <f t="shared" si="176"/>
        <v>952000000</v>
      </c>
      <c r="CG308" s="326">
        <f t="shared" si="176"/>
        <v>952000000</v>
      </c>
      <c r="CH308" s="326">
        <f t="shared" si="176"/>
        <v>952000000</v>
      </c>
      <c r="CI308" s="326">
        <f t="shared" si="176"/>
        <v>952000000</v>
      </c>
      <c r="CJ308" s="326">
        <f t="shared" si="176"/>
        <v>952000000</v>
      </c>
      <c r="CK308" s="326">
        <f t="shared" si="176"/>
        <v>952000000</v>
      </c>
      <c r="CL308" s="326">
        <f t="shared" si="176"/>
        <v>952000000</v>
      </c>
      <c r="CM308" s="326">
        <f t="shared" si="176"/>
        <v>952000000</v>
      </c>
      <c r="CN308" s="326">
        <f t="shared" si="176"/>
        <v>952000000</v>
      </c>
      <c r="CO308" s="326">
        <f t="shared" si="176"/>
        <v>952000000</v>
      </c>
      <c r="CP308" s="326">
        <f t="shared" si="176"/>
        <v>952000000</v>
      </c>
      <c r="CQ308" s="326">
        <f t="shared" si="176"/>
        <v>11424000000</v>
      </c>
      <c r="CR308" s="326">
        <f t="shared" si="176"/>
        <v>10457963080.962379</v>
      </c>
      <c r="CS308" s="326">
        <f t="shared" si="176"/>
        <v>11317988367.392128</v>
      </c>
      <c r="CT308" s="326">
        <f t="shared" si="176"/>
        <v>16890116576.131023</v>
      </c>
      <c r="CU308" s="326">
        <f>CU295+CU300+CU304</f>
        <v>17955310171.656418</v>
      </c>
      <c r="CV308" s="57"/>
    </row>
    <row r="309" spans="1:100" ht="15.5" outlineLevel="1">
      <c r="A309" s="301"/>
      <c r="B309" s="301"/>
      <c r="C309" s="301"/>
      <c r="D309" s="301"/>
      <c r="E309" s="301"/>
      <c r="F309" s="301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55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55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234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699"/>
      <c r="BO309" s="699"/>
      <c r="BP309" s="699"/>
      <c r="BQ309" s="699"/>
      <c r="BR309" s="699"/>
      <c r="BS309" s="699"/>
      <c r="BT309" s="699"/>
      <c r="BU309" s="699"/>
      <c r="BV309" s="699"/>
      <c r="BW309" s="699"/>
      <c r="BX309" s="699"/>
      <c r="BY309" s="699"/>
      <c r="BZ309" s="699"/>
      <c r="CA309" s="699"/>
      <c r="CB309" s="699"/>
      <c r="CC309" s="699"/>
      <c r="CD309" s="738"/>
      <c r="CE309" s="326"/>
      <c r="CF309" s="326"/>
      <c r="CG309" s="326"/>
      <c r="CH309" s="326"/>
      <c r="CI309" s="326"/>
      <c r="CJ309" s="326"/>
      <c r="CK309" s="326"/>
      <c r="CL309" s="326"/>
      <c r="CM309" s="326"/>
      <c r="CN309" s="326"/>
      <c r="CO309" s="326"/>
      <c r="CP309" s="326"/>
      <c r="CQ309" s="326"/>
      <c r="CR309" s="326"/>
      <c r="CS309" s="326"/>
      <c r="CT309" s="326"/>
      <c r="CU309" s="326"/>
      <c r="CV309" s="57"/>
    </row>
    <row r="310" spans="1:100" ht="15.5" outlineLevel="1">
      <c r="A310" s="285"/>
      <c r="B310" s="285"/>
      <c r="C310" s="285"/>
      <c r="D310" s="285"/>
      <c r="E310" s="285" t="s">
        <v>280</v>
      </c>
      <c r="F310" s="285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5"/>
      <c r="Y310" s="225">
        <f t="shared" ref="Y310:AK310" si="177">SUM(Y327)</f>
        <v>520000000</v>
      </c>
      <c r="Z310" s="225">
        <f t="shared" si="177"/>
        <v>520000000</v>
      </c>
      <c r="AA310" s="225">
        <f t="shared" si="177"/>
        <v>540000000</v>
      </c>
      <c r="AB310" s="225">
        <f t="shared" si="177"/>
        <v>520000000</v>
      </c>
      <c r="AC310" s="225">
        <f t="shared" si="177"/>
        <v>520000000</v>
      </c>
      <c r="AD310" s="225">
        <f t="shared" si="177"/>
        <v>520000000</v>
      </c>
      <c r="AE310" s="225">
        <f t="shared" si="177"/>
        <v>520000000</v>
      </c>
      <c r="AF310" s="225">
        <f t="shared" si="177"/>
        <v>520000000</v>
      </c>
      <c r="AG310" s="225">
        <f t="shared" si="177"/>
        <v>540000000</v>
      </c>
      <c r="AH310" s="225">
        <f t="shared" si="177"/>
        <v>520000000</v>
      </c>
      <c r="AI310" s="225">
        <f t="shared" si="177"/>
        <v>520000000</v>
      </c>
      <c r="AJ310" s="225">
        <f t="shared" si="177"/>
        <v>520000000</v>
      </c>
      <c r="AK310" s="225">
        <f t="shared" si="177"/>
        <v>6280000000</v>
      </c>
      <c r="AL310" s="55"/>
      <c r="AM310" s="225">
        <f t="shared" ref="AM310:AY310" si="178">SUM(AM327)</f>
        <v>520000000</v>
      </c>
      <c r="AN310" s="225">
        <f t="shared" si="178"/>
        <v>520000000</v>
      </c>
      <c r="AO310" s="225">
        <f t="shared" si="178"/>
        <v>540000000</v>
      </c>
      <c r="AP310" s="225">
        <f t="shared" si="178"/>
        <v>520000000</v>
      </c>
      <c r="AQ310" s="225">
        <f t="shared" si="178"/>
        <v>520000000</v>
      </c>
      <c r="AR310" s="225">
        <f t="shared" si="178"/>
        <v>520000000</v>
      </c>
      <c r="AS310" s="225">
        <f t="shared" si="178"/>
        <v>520000000</v>
      </c>
      <c r="AT310" s="225">
        <f t="shared" si="178"/>
        <v>520000000</v>
      </c>
      <c r="AU310" s="225">
        <f t="shared" si="178"/>
        <v>540000000</v>
      </c>
      <c r="AV310" s="225">
        <f t="shared" si="178"/>
        <v>520000000</v>
      </c>
      <c r="AW310" s="225">
        <f t="shared" si="178"/>
        <v>520000000</v>
      </c>
      <c r="AX310" s="225">
        <f t="shared" si="178"/>
        <v>520000000</v>
      </c>
      <c r="AY310" s="225">
        <f t="shared" si="178"/>
        <v>6280000000</v>
      </c>
      <c r="AZ310" s="235"/>
      <c r="BA310" s="225">
        <f>SUM(BA327)</f>
        <v>427067000</v>
      </c>
      <c r="BB310" s="225">
        <f t="shared" ref="BB310:CT310" si="179">SUM(BB327)</f>
        <v>430794050</v>
      </c>
      <c r="BC310" s="225">
        <f t="shared" si="179"/>
        <v>430794050</v>
      </c>
      <c r="BD310" s="225">
        <f t="shared" si="179"/>
        <v>423212930</v>
      </c>
      <c r="BE310" s="225">
        <f t="shared" si="179"/>
        <v>363500000</v>
      </c>
      <c r="BF310" s="225">
        <f t="shared" si="179"/>
        <v>408159300</v>
      </c>
      <c r="BG310" s="225">
        <f t="shared" si="179"/>
        <v>348800000</v>
      </c>
      <c r="BH310" s="225">
        <f t="shared" si="179"/>
        <v>456695350</v>
      </c>
      <c r="BI310" s="225">
        <f t="shared" si="179"/>
        <v>423400000</v>
      </c>
      <c r="BJ310" s="225">
        <f t="shared" si="179"/>
        <v>440573850</v>
      </c>
      <c r="BK310" s="225">
        <f t="shared" si="179"/>
        <v>423400000</v>
      </c>
      <c r="BL310" s="225">
        <f t="shared" si="179"/>
        <v>386954607</v>
      </c>
      <c r="BM310" s="225">
        <f t="shared" si="179"/>
        <v>423400000</v>
      </c>
      <c r="BN310" s="694">
        <f t="shared" si="179"/>
        <v>370510247</v>
      </c>
      <c r="BO310" s="694">
        <f t="shared" si="179"/>
        <v>423400000</v>
      </c>
      <c r="BP310" s="694">
        <f t="shared" si="179"/>
        <v>0</v>
      </c>
      <c r="BQ310" s="694">
        <f>SUM(BQ327)</f>
        <v>423400000</v>
      </c>
      <c r="BR310" s="694">
        <f>SUM(BR327)</f>
        <v>423400000</v>
      </c>
      <c r="BS310" s="694">
        <f t="shared" si="179"/>
        <v>0</v>
      </c>
      <c r="BT310" s="694">
        <f>SUM(BT327)</f>
        <v>423400000</v>
      </c>
      <c r="BU310" s="694">
        <f t="shared" si="179"/>
        <v>423400000</v>
      </c>
      <c r="BV310" s="694">
        <f t="shared" si="179"/>
        <v>0</v>
      </c>
      <c r="BW310" s="694">
        <f>SUM(BW327)</f>
        <v>423400000</v>
      </c>
      <c r="BX310" s="694">
        <f t="shared" si="179"/>
        <v>423400000</v>
      </c>
      <c r="BY310" s="694">
        <f t="shared" si="179"/>
        <v>0</v>
      </c>
      <c r="BZ310" s="694">
        <f>SUM(BZ327)</f>
        <v>423400000</v>
      </c>
      <c r="CA310" s="694">
        <f t="shared" si="179"/>
        <v>423400000</v>
      </c>
      <c r="CB310" s="694">
        <f t="shared" si="179"/>
        <v>5037567334</v>
      </c>
      <c r="CC310" s="694">
        <f t="shared" si="179"/>
        <v>5037567334</v>
      </c>
      <c r="CD310" s="737"/>
      <c r="CE310" s="308">
        <f>SUM(CE327)</f>
        <v>450000000</v>
      </c>
      <c r="CF310" s="308">
        <f t="shared" ref="CF310:CP310" si="180">SUM(CF327)</f>
        <v>450000000</v>
      </c>
      <c r="CG310" s="308">
        <f t="shared" si="180"/>
        <v>450000000</v>
      </c>
      <c r="CH310" s="308">
        <f t="shared" si="180"/>
        <v>450000000</v>
      </c>
      <c r="CI310" s="308">
        <f t="shared" si="180"/>
        <v>450000000</v>
      </c>
      <c r="CJ310" s="308">
        <f t="shared" si="180"/>
        <v>450000000</v>
      </c>
      <c r="CK310" s="308">
        <f t="shared" si="180"/>
        <v>450000000</v>
      </c>
      <c r="CL310" s="308">
        <f t="shared" si="180"/>
        <v>450000000</v>
      </c>
      <c r="CM310" s="308">
        <f t="shared" si="180"/>
        <v>450000000</v>
      </c>
      <c r="CN310" s="308">
        <f t="shared" si="180"/>
        <v>450000000</v>
      </c>
      <c r="CO310" s="308">
        <f t="shared" si="180"/>
        <v>450000000</v>
      </c>
      <c r="CP310" s="308">
        <f t="shared" si="180"/>
        <v>450000000</v>
      </c>
      <c r="CQ310" s="308">
        <f t="shared" si="179"/>
        <v>5400000000</v>
      </c>
      <c r="CR310" s="308">
        <f t="shared" si="179"/>
        <v>6333746710.5467482</v>
      </c>
      <c r="CS310" s="308">
        <f t="shared" si="179"/>
        <v>6866229208.9571037</v>
      </c>
      <c r="CT310" s="308">
        <f t="shared" si="179"/>
        <v>7520781452.9550867</v>
      </c>
      <c r="CU310" s="308">
        <f>SUM(CU327)</f>
        <v>8234243398.9128885</v>
      </c>
      <c r="CV310" s="57"/>
    </row>
    <row r="311" spans="1:100" ht="15" customHeight="1" outlineLevel="2">
      <c r="A311" s="276" t="s">
        <v>281</v>
      </c>
      <c r="B311" s="277" t="str">
        <f t="shared" ref="B311:B327" si="181">$E$310&amp;$E$269&amp;E311</f>
        <v>BULK MEDANBULK</v>
      </c>
      <c r="C311" s="276" t="s">
        <v>252</v>
      </c>
      <c r="D311" s="276" t="s">
        <v>40</v>
      </c>
      <c r="E311" s="288"/>
      <c r="F311" s="288"/>
      <c r="G311" s="93">
        <v>4797623020</v>
      </c>
      <c r="H311" s="65">
        <v>1727349550</v>
      </c>
      <c r="I311" s="65">
        <v>2420911005</v>
      </c>
      <c r="J311" s="65">
        <v>2596590350</v>
      </c>
      <c r="K311" s="65">
        <v>0</v>
      </c>
      <c r="L311" s="65">
        <v>0</v>
      </c>
      <c r="M311" s="65">
        <v>263930850</v>
      </c>
      <c r="N311" s="65">
        <v>0</v>
      </c>
      <c r="O311" s="65">
        <v>0</v>
      </c>
      <c r="P311" s="65">
        <v>0</v>
      </c>
      <c r="Q311" s="65"/>
      <c r="R311" s="65"/>
      <c r="S311" s="65"/>
      <c r="T311" s="65">
        <v>0</v>
      </c>
      <c r="U311" s="65">
        <v>0</v>
      </c>
      <c r="V311" s="65">
        <v>0</v>
      </c>
      <c r="W311" s="66">
        <f t="shared" ref="W311:W331" si="182">SUM(H311:S311)</f>
        <v>7008781755</v>
      </c>
      <c r="X311" s="55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61">
        <v>0</v>
      </c>
      <c r="AL311" s="55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122">
        <v>0</v>
      </c>
      <c r="AZ311" s="55"/>
      <c r="BA311" s="639">
        <v>0</v>
      </c>
      <c r="BB311" s="639">
        <v>0</v>
      </c>
      <c r="BC311" s="86"/>
      <c r="BD311" s="639">
        <v>0</v>
      </c>
      <c r="BE311" s="86"/>
      <c r="BF311" s="639">
        <v>0</v>
      </c>
      <c r="BG311" s="86"/>
      <c r="BH311" s="639"/>
      <c r="BI311" s="86"/>
      <c r="BJ311" s="639"/>
      <c r="BK311" s="86"/>
      <c r="BL311" s="639"/>
      <c r="BM311" s="86"/>
      <c r="BN311" s="695">
        <v>0</v>
      </c>
      <c r="BO311" s="696"/>
      <c r="BP311" s="695"/>
      <c r="BQ311" s="696"/>
      <c r="BR311" s="702"/>
      <c r="BS311" s="695"/>
      <c r="BT311" s="696"/>
      <c r="BU311" s="702"/>
      <c r="BV311" s="695"/>
      <c r="BW311" s="696"/>
      <c r="BX311" s="702"/>
      <c r="BY311" s="695"/>
      <c r="BZ311" s="696"/>
      <c r="CA311" s="702"/>
      <c r="CB311" s="720">
        <f t="shared" ref="CB311:CB327" si="183">SUM(BA311,BB311,BD311,BF311,BH311,BJ311,BL311,BN311,BP311,BR311,BU311,BX311,CA311)</f>
        <v>0</v>
      </c>
      <c r="CC311" s="721">
        <f t="shared" ref="CC311:CC327" si="184">SUM(BA311,BB311,BD311,BF311,BH311,BJ311,BL311,BN311,BR311,BU311,BX311,CA311)</f>
        <v>0</v>
      </c>
      <c r="CD311" s="738"/>
      <c r="CE311" s="322"/>
      <c r="CF311" s="322"/>
      <c r="CG311" s="322"/>
      <c r="CH311" s="322"/>
      <c r="CI311" s="322"/>
      <c r="CJ311" s="322"/>
      <c r="CK311" s="322"/>
      <c r="CL311" s="322"/>
      <c r="CM311" s="322"/>
      <c r="CN311" s="322"/>
      <c r="CO311" s="322"/>
      <c r="CP311" s="322"/>
      <c r="CQ311" s="355">
        <f t="shared" ref="CQ311:CQ327" si="185">SUM(CE311,CF311,CG311,CH311,CI311,CJ311,CK311,CL311,CM311,CN311,CO311,CP311)</f>
        <v>0</v>
      </c>
      <c r="CR311" s="356"/>
      <c r="CS311" s="357"/>
      <c r="CT311" s="332"/>
      <c r="CU311" s="358"/>
      <c r="CV311" s="57" t="s">
        <v>38</v>
      </c>
    </row>
    <row r="312" spans="1:100" ht="15" customHeight="1" outlineLevel="2">
      <c r="A312" s="276" t="s">
        <v>281</v>
      </c>
      <c r="B312" s="277" t="str">
        <f t="shared" si="181"/>
        <v>BULK MEDANBULK</v>
      </c>
      <c r="C312" s="276" t="s">
        <v>252</v>
      </c>
      <c r="D312" s="276" t="s">
        <v>40</v>
      </c>
      <c r="E312" s="288"/>
      <c r="F312" s="288"/>
      <c r="G312" s="93">
        <v>1921790591</v>
      </c>
      <c r="H312" s="65">
        <v>306329980</v>
      </c>
      <c r="I312" s="65">
        <v>0</v>
      </c>
      <c r="J312" s="65">
        <v>0</v>
      </c>
      <c r="K312" s="65">
        <v>0</v>
      </c>
      <c r="L312" s="65">
        <v>0</v>
      </c>
      <c r="M312" s="65">
        <v>0</v>
      </c>
      <c r="N312" s="65">
        <v>0</v>
      </c>
      <c r="O312" s="65">
        <v>0</v>
      </c>
      <c r="P312" s="65">
        <v>0</v>
      </c>
      <c r="Q312" s="65"/>
      <c r="R312" s="65"/>
      <c r="S312" s="65"/>
      <c r="T312" s="65">
        <v>0</v>
      </c>
      <c r="U312" s="65">
        <v>0</v>
      </c>
      <c r="V312" s="65">
        <v>0</v>
      </c>
      <c r="W312" s="66">
        <f t="shared" si="182"/>
        <v>306329980</v>
      </c>
      <c r="X312" s="55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61">
        <v>0</v>
      </c>
      <c r="AL312" s="55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122">
        <v>0</v>
      </c>
      <c r="AZ312" s="55"/>
      <c r="BA312" s="639">
        <v>0</v>
      </c>
      <c r="BB312" s="639">
        <v>0</v>
      </c>
      <c r="BC312" s="86"/>
      <c r="BD312" s="639">
        <v>0</v>
      </c>
      <c r="BE312" s="86"/>
      <c r="BF312" s="639">
        <v>0</v>
      </c>
      <c r="BG312" s="86"/>
      <c r="BH312" s="639"/>
      <c r="BI312" s="86"/>
      <c r="BJ312" s="639"/>
      <c r="BK312" s="86"/>
      <c r="BL312" s="639"/>
      <c r="BM312" s="86"/>
      <c r="BN312" s="695">
        <v>0</v>
      </c>
      <c r="BO312" s="696"/>
      <c r="BP312" s="695"/>
      <c r="BQ312" s="696"/>
      <c r="BR312" s="702"/>
      <c r="BS312" s="695"/>
      <c r="BT312" s="696"/>
      <c r="BU312" s="702"/>
      <c r="BV312" s="695"/>
      <c r="BW312" s="696"/>
      <c r="BX312" s="702"/>
      <c r="BY312" s="695"/>
      <c r="BZ312" s="696"/>
      <c r="CA312" s="702"/>
      <c r="CB312" s="720">
        <f t="shared" si="183"/>
        <v>0</v>
      </c>
      <c r="CC312" s="721">
        <f t="shared" si="184"/>
        <v>0</v>
      </c>
      <c r="CD312" s="738"/>
      <c r="CE312" s="322"/>
      <c r="CF312" s="322"/>
      <c r="CG312" s="322"/>
      <c r="CH312" s="322"/>
      <c r="CI312" s="322"/>
      <c r="CJ312" s="322"/>
      <c r="CK312" s="322"/>
      <c r="CL312" s="322"/>
      <c r="CM312" s="322"/>
      <c r="CN312" s="322"/>
      <c r="CO312" s="322"/>
      <c r="CP312" s="322"/>
      <c r="CQ312" s="355">
        <f t="shared" si="185"/>
        <v>0</v>
      </c>
      <c r="CR312" s="356"/>
      <c r="CS312" s="357"/>
      <c r="CT312" s="332"/>
      <c r="CU312" s="358"/>
      <c r="CV312" s="57" t="s">
        <v>38</v>
      </c>
    </row>
    <row r="313" spans="1:100" ht="15" customHeight="1" outlineLevel="2">
      <c r="A313" s="276" t="s">
        <v>281</v>
      </c>
      <c r="B313" s="277" t="str">
        <f t="shared" si="181"/>
        <v>BULK MEDANBULK</v>
      </c>
      <c r="C313" s="276" t="s">
        <v>252</v>
      </c>
      <c r="E313" s="288"/>
      <c r="F313" s="288"/>
      <c r="G313" s="64">
        <v>64885950</v>
      </c>
      <c r="H313" s="81"/>
      <c r="I313" s="81"/>
      <c r="J313" s="81"/>
      <c r="K313" s="81"/>
      <c r="L313" s="81"/>
      <c r="M313" s="81"/>
      <c r="N313" s="81"/>
      <c r="O313" s="81"/>
      <c r="P313" s="65">
        <v>0</v>
      </c>
      <c r="Q313" s="65"/>
      <c r="R313" s="65"/>
      <c r="S313" s="65"/>
      <c r="T313" s="65">
        <v>0</v>
      </c>
      <c r="U313" s="65">
        <v>0</v>
      </c>
      <c r="V313" s="65">
        <v>0</v>
      </c>
      <c r="W313" s="66">
        <f t="shared" si="182"/>
        <v>0</v>
      </c>
      <c r="X313" s="55"/>
      <c r="Y313" s="82"/>
      <c r="Z313" s="82"/>
      <c r="AA313" s="82"/>
      <c r="AB313" s="82"/>
      <c r="AC313" s="82"/>
      <c r="AD313" s="82"/>
      <c r="AE313" s="82"/>
      <c r="AF313" s="82"/>
      <c r="AG313" s="82"/>
      <c r="AH313" s="82"/>
      <c r="AI313" s="82"/>
      <c r="AJ313" s="82"/>
      <c r="AK313" s="61">
        <v>0</v>
      </c>
      <c r="AL313" s="55"/>
      <c r="AM313" s="82"/>
      <c r="AN313" s="82"/>
      <c r="AO313" s="82"/>
      <c r="AP313" s="82"/>
      <c r="AQ313" s="82"/>
      <c r="AR313" s="82"/>
      <c r="AS313" s="82"/>
      <c r="AT313" s="82"/>
      <c r="AU313" s="82"/>
      <c r="AV313" s="82"/>
      <c r="AW313" s="82"/>
      <c r="AX313" s="82"/>
      <c r="AY313" s="122">
        <v>0</v>
      </c>
      <c r="AZ313" s="78"/>
      <c r="BA313" s="639">
        <v>0</v>
      </c>
      <c r="BB313" s="639">
        <v>0</v>
      </c>
      <c r="BC313" s="86"/>
      <c r="BD313" s="639">
        <v>0</v>
      </c>
      <c r="BE313" s="86"/>
      <c r="BF313" s="639">
        <v>0</v>
      </c>
      <c r="BG313" s="86"/>
      <c r="BH313" s="639"/>
      <c r="BI313" s="86"/>
      <c r="BJ313" s="639"/>
      <c r="BK313" s="86"/>
      <c r="BL313" s="639"/>
      <c r="BM313" s="86"/>
      <c r="BN313" s="695">
        <v>0</v>
      </c>
      <c r="BO313" s="696"/>
      <c r="BP313" s="695"/>
      <c r="BQ313" s="696"/>
      <c r="BR313" s="702"/>
      <c r="BS313" s="695"/>
      <c r="BT313" s="696"/>
      <c r="BU313" s="702"/>
      <c r="BV313" s="695"/>
      <c r="BW313" s="696"/>
      <c r="BX313" s="702"/>
      <c r="BY313" s="695"/>
      <c r="BZ313" s="696"/>
      <c r="CA313" s="702"/>
      <c r="CB313" s="720">
        <f t="shared" si="183"/>
        <v>0</v>
      </c>
      <c r="CC313" s="721">
        <f t="shared" si="184"/>
        <v>0</v>
      </c>
      <c r="CD313" s="738"/>
      <c r="CE313" s="322"/>
      <c r="CF313" s="322"/>
      <c r="CG313" s="322"/>
      <c r="CH313" s="322"/>
      <c r="CI313" s="322"/>
      <c r="CJ313" s="322"/>
      <c r="CK313" s="322"/>
      <c r="CL313" s="322"/>
      <c r="CM313" s="322"/>
      <c r="CN313" s="322"/>
      <c r="CO313" s="322"/>
      <c r="CP313" s="322"/>
      <c r="CQ313" s="355">
        <f t="shared" si="185"/>
        <v>0</v>
      </c>
      <c r="CR313" s="356"/>
      <c r="CS313" s="357"/>
      <c r="CT313" s="332"/>
      <c r="CU313" s="358"/>
      <c r="CV313" s="57" t="s">
        <v>38</v>
      </c>
    </row>
    <row r="314" spans="1:100" ht="15" customHeight="1" outlineLevel="2">
      <c r="A314" s="276" t="s">
        <v>281</v>
      </c>
      <c r="B314" s="277" t="str">
        <f t="shared" si="181"/>
        <v>BULK MEDANBULK</v>
      </c>
      <c r="C314" s="276" t="s">
        <v>252</v>
      </c>
      <c r="E314" s="288"/>
      <c r="F314" s="288"/>
      <c r="G314" s="64">
        <v>176383500</v>
      </c>
      <c r="H314" s="81"/>
      <c r="I314" s="81"/>
      <c r="J314" s="81"/>
      <c r="K314" s="81"/>
      <c r="L314" s="81"/>
      <c r="M314" s="81"/>
      <c r="N314" s="81"/>
      <c r="O314" s="81"/>
      <c r="P314" s="65">
        <v>0</v>
      </c>
      <c r="Q314" s="65"/>
      <c r="R314" s="65"/>
      <c r="S314" s="65"/>
      <c r="T314" s="65">
        <v>0</v>
      </c>
      <c r="U314" s="65">
        <v>0</v>
      </c>
      <c r="V314" s="65">
        <v>0</v>
      </c>
      <c r="W314" s="66">
        <f t="shared" si="182"/>
        <v>0</v>
      </c>
      <c r="X314" s="55"/>
      <c r="Y314" s="82"/>
      <c r="Z314" s="82"/>
      <c r="AA314" s="82"/>
      <c r="AB314" s="82"/>
      <c r="AC314" s="82"/>
      <c r="AD314" s="82"/>
      <c r="AE314" s="82"/>
      <c r="AF314" s="82"/>
      <c r="AG314" s="82"/>
      <c r="AH314" s="82"/>
      <c r="AI314" s="82"/>
      <c r="AJ314" s="82"/>
      <c r="AK314" s="61">
        <v>0</v>
      </c>
      <c r="AL314" s="55"/>
      <c r="AM314" s="82"/>
      <c r="AN314" s="82"/>
      <c r="AO314" s="82"/>
      <c r="AP314" s="82"/>
      <c r="AQ314" s="82"/>
      <c r="AR314" s="82"/>
      <c r="AS314" s="82"/>
      <c r="AT314" s="82"/>
      <c r="AU314" s="82"/>
      <c r="AV314" s="82"/>
      <c r="AW314" s="82"/>
      <c r="AX314" s="82"/>
      <c r="AY314" s="122">
        <v>0</v>
      </c>
      <c r="AZ314" s="78"/>
      <c r="BA314" s="639">
        <v>0</v>
      </c>
      <c r="BB314" s="639">
        <v>0</v>
      </c>
      <c r="BC314" s="86"/>
      <c r="BD314" s="639">
        <v>0</v>
      </c>
      <c r="BE314" s="86"/>
      <c r="BF314" s="639">
        <v>0</v>
      </c>
      <c r="BG314" s="86"/>
      <c r="BH314" s="639"/>
      <c r="BI314" s="86"/>
      <c r="BJ314" s="639"/>
      <c r="BK314" s="86"/>
      <c r="BL314" s="639"/>
      <c r="BM314" s="86"/>
      <c r="BN314" s="695">
        <v>0</v>
      </c>
      <c r="BO314" s="696"/>
      <c r="BP314" s="695"/>
      <c r="BQ314" s="696"/>
      <c r="BR314" s="702"/>
      <c r="BS314" s="695"/>
      <c r="BT314" s="696"/>
      <c r="BU314" s="702"/>
      <c r="BV314" s="695"/>
      <c r="BW314" s="696"/>
      <c r="BX314" s="702"/>
      <c r="BY314" s="695"/>
      <c r="BZ314" s="696"/>
      <c r="CA314" s="702"/>
      <c r="CB314" s="720">
        <f t="shared" si="183"/>
        <v>0</v>
      </c>
      <c r="CC314" s="721">
        <f t="shared" si="184"/>
        <v>0</v>
      </c>
      <c r="CD314" s="738"/>
      <c r="CE314" s="322"/>
      <c r="CF314" s="322"/>
      <c r="CG314" s="322"/>
      <c r="CH314" s="322"/>
      <c r="CI314" s="322"/>
      <c r="CJ314" s="322"/>
      <c r="CK314" s="322"/>
      <c r="CL314" s="322"/>
      <c r="CM314" s="322"/>
      <c r="CN314" s="322"/>
      <c r="CO314" s="322"/>
      <c r="CP314" s="322"/>
      <c r="CQ314" s="355">
        <f t="shared" si="185"/>
        <v>0</v>
      </c>
      <c r="CR314" s="356"/>
      <c r="CS314" s="357"/>
      <c r="CT314" s="332"/>
      <c r="CU314" s="358"/>
      <c r="CV314" s="57" t="s">
        <v>38</v>
      </c>
    </row>
    <row r="315" spans="1:100" ht="15" customHeight="1" outlineLevel="2">
      <c r="A315" s="276" t="s">
        <v>281</v>
      </c>
      <c r="B315" s="277" t="str">
        <f t="shared" si="181"/>
        <v>BULK MEDANBULK</v>
      </c>
      <c r="C315" s="276" t="s">
        <v>252</v>
      </c>
      <c r="E315" s="288"/>
      <c r="F315" s="288"/>
      <c r="G315" s="64">
        <v>70125600</v>
      </c>
      <c r="H315" s="81"/>
      <c r="I315" s="81"/>
      <c r="J315" s="81"/>
      <c r="K315" s="81"/>
      <c r="L315" s="81"/>
      <c r="M315" s="81"/>
      <c r="N315" s="81"/>
      <c r="O315" s="81"/>
      <c r="P315" s="65">
        <v>0</v>
      </c>
      <c r="Q315" s="65"/>
      <c r="R315" s="65"/>
      <c r="S315" s="65"/>
      <c r="T315" s="65">
        <v>0</v>
      </c>
      <c r="U315" s="65">
        <v>0</v>
      </c>
      <c r="V315" s="65">
        <v>0</v>
      </c>
      <c r="W315" s="66">
        <f t="shared" si="182"/>
        <v>0</v>
      </c>
      <c r="X315" s="55"/>
      <c r="Y315" s="82"/>
      <c r="Z315" s="82"/>
      <c r="AA315" s="82"/>
      <c r="AB315" s="82"/>
      <c r="AC315" s="82"/>
      <c r="AD315" s="82"/>
      <c r="AE315" s="82"/>
      <c r="AF315" s="82"/>
      <c r="AG315" s="82"/>
      <c r="AH315" s="82"/>
      <c r="AI315" s="82"/>
      <c r="AJ315" s="82"/>
      <c r="AK315" s="61">
        <v>0</v>
      </c>
      <c r="AL315" s="55"/>
      <c r="AM315" s="82"/>
      <c r="AN315" s="82"/>
      <c r="AO315" s="82"/>
      <c r="AP315" s="82"/>
      <c r="AQ315" s="82"/>
      <c r="AR315" s="82"/>
      <c r="AS315" s="82"/>
      <c r="AT315" s="82"/>
      <c r="AU315" s="82"/>
      <c r="AV315" s="82"/>
      <c r="AW315" s="82"/>
      <c r="AX315" s="82"/>
      <c r="AY315" s="122">
        <v>0</v>
      </c>
      <c r="AZ315" s="78"/>
      <c r="BA315" s="639">
        <v>0</v>
      </c>
      <c r="BB315" s="639">
        <v>0</v>
      </c>
      <c r="BC315" s="86"/>
      <c r="BD315" s="639">
        <v>0</v>
      </c>
      <c r="BE315" s="86"/>
      <c r="BF315" s="639">
        <v>0</v>
      </c>
      <c r="BG315" s="86"/>
      <c r="BH315" s="639"/>
      <c r="BI315" s="86"/>
      <c r="BJ315" s="639"/>
      <c r="BK315" s="86"/>
      <c r="BL315" s="639"/>
      <c r="BM315" s="86"/>
      <c r="BN315" s="695">
        <v>0</v>
      </c>
      <c r="BO315" s="696"/>
      <c r="BP315" s="695"/>
      <c r="BQ315" s="696"/>
      <c r="BR315" s="702"/>
      <c r="BS315" s="695"/>
      <c r="BT315" s="696"/>
      <c r="BU315" s="702"/>
      <c r="BV315" s="695"/>
      <c r="BW315" s="696"/>
      <c r="BX315" s="702"/>
      <c r="BY315" s="695"/>
      <c r="BZ315" s="696"/>
      <c r="CA315" s="702"/>
      <c r="CB315" s="720">
        <f t="shared" si="183"/>
        <v>0</v>
      </c>
      <c r="CC315" s="721">
        <f t="shared" si="184"/>
        <v>0</v>
      </c>
      <c r="CD315" s="738"/>
      <c r="CE315" s="322"/>
      <c r="CF315" s="322"/>
      <c r="CG315" s="322"/>
      <c r="CH315" s="322"/>
      <c r="CI315" s="322"/>
      <c r="CJ315" s="322"/>
      <c r="CK315" s="322"/>
      <c r="CL315" s="322"/>
      <c r="CM315" s="322"/>
      <c r="CN315" s="322"/>
      <c r="CO315" s="322"/>
      <c r="CP315" s="322"/>
      <c r="CQ315" s="355">
        <f t="shared" si="185"/>
        <v>0</v>
      </c>
      <c r="CR315" s="356"/>
      <c r="CS315" s="357"/>
      <c r="CT315" s="332"/>
      <c r="CU315" s="358"/>
      <c r="CV315" s="57" t="s">
        <v>38</v>
      </c>
    </row>
    <row r="316" spans="1:100" ht="15" customHeight="1" outlineLevel="2">
      <c r="A316" s="276" t="s">
        <v>281</v>
      </c>
      <c r="B316" s="277" t="str">
        <f t="shared" si="181"/>
        <v>BULK MEDANBULKLAUTAN LUAS TBK</v>
      </c>
      <c r="C316" s="276" t="s">
        <v>252</v>
      </c>
      <c r="E316" s="288" t="s">
        <v>83</v>
      </c>
      <c r="F316" s="288"/>
      <c r="G316" s="64">
        <v>1907040000</v>
      </c>
      <c r="H316" s="81"/>
      <c r="I316" s="81"/>
      <c r="J316" s="81"/>
      <c r="K316" s="81"/>
      <c r="L316" s="81"/>
      <c r="M316" s="81"/>
      <c r="N316" s="81"/>
      <c r="O316" s="81"/>
      <c r="P316" s="65">
        <v>0</v>
      </c>
      <c r="Q316" s="65"/>
      <c r="R316" s="65"/>
      <c r="S316" s="65"/>
      <c r="T316" s="65">
        <v>0</v>
      </c>
      <c r="U316" s="65">
        <v>0</v>
      </c>
      <c r="V316" s="65">
        <v>0</v>
      </c>
      <c r="W316" s="66">
        <f t="shared" si="182"/>
        <v>0</v>
      </c>
      <c r="X316" s="55"/>
      <c r="Y316" s="82"/>
      <c r="Z316" s="82"/>
      <c r="AA316" s="82"/>
      <c r="AB316" s="82"/>
      <c r="AC316" s="82"/>
      <c r="AD316" s="82"/>
      <c r="AE316" s="82"/>
      <c r="AF316" s="82"/>
      <c r="AG316" s="82"/>
      <c r="AH316" s="82"/>
      <c r="AI316" s="82"/>
      <c r="AJ316" s="82"/>
      <c r="AK316" s="61">
        <v>0</v>
      </c>
      <c r="AL316" s="55"/>
      <c r="AM316" s="82"/>
      <c r="AN316" s="82"/>
      <c r="AO316" s="82"/>
      <c r="AP316" s="82"/>
      <c r="AQ316" s="82"/>
      <c r="AR316" s="82"/>
      <c r="AS316" s="82"/>
      <c r="AT316" s="82"/>
      <c r="AU316" s="82"/>
      <c r="AV316" s="82"/>
      <c r="AW316" s="82"/>
      <c r="AX316" s="82"/>
      <c r="AY316" s="122">
        <v>0</v>
      </c>
      <c r="AZ316" s="78"/>
      <c r="BA316" s="639">
        <v>0</v>
      </c>
      <c r="BB316" s="639">
        <v>0</v>
      </c>
      <c r="BC316" s="86"/>
      <c r="BD316" s="639">
        <v>0</v>
      </c>
      <c r="BE316" s="86"/>
      <c r="BF316" s="639">
        <v>0</v>
      </c>
      <c r="BG316" s="86"/>
      <c r="BH316" s="639"/>
      <c r="BI316" s="86"/>
      <c r="BJ316" s="639"/>
      <c r="BK316" s="86"/>
      <c r="BL316" s="639"/>
      <c r="BM316" s="86"/>
      <c r="BN316" s="695">
        <v>0</v>
      </c>
      <c r="BO316" s="696"/>
      <c r="BP316" s="695"/>
      <c r="BQ316" s="696"/>
      <c r="BR316" s="702"/>
      <c r="BS316" s="695"/>
      <c r="BT316" s="696"/>
      <c r="BU316" s="702"/>
      <c r="BV316" s="695"/>
      <c r="BW316" s="696"/>
      <c r="BX316" s="702"/>
      <c r="BY316" s="695"/>
      <c r="BZ316" s="696"/>
      <c r="CA316" s="702"/>
      <c r="CB316" s="720">
        <f t="shared" si="183"/>
        <v>0</v>
      </c>
      <c r="CC316" s="721">
        <f t="shared" si="184"/>
        <v>0</v>
      </c>
      <c r="CD316" s="738"/>
      <c r="CE316" s="322"/>
      <c r="CF316" s="322"/>
      <c r="CG316" s="322"/>
      <c r="CH316" s="322"/>
      <c r="CI316" s="322"/>
      <c r="CJ316" s="322"/>
      <c r="CK316" s="322"/>
      <c r="CL316" s="322"/>
      <c r="CM316" s="322"/>
      <c r="CN316" s="322"/>
      <c r="CO316" s="322"/>
      <c r="CP316" s="322"/>
      <c r="CQ316" s="355">
        <f t="shared" si="185"/>
        <v>0</v>
      </c>
      <c r="CR316" s="356"/>
      <c r="CS316" s="357"/>
      <c r="CT316" s="332"/>
      <c r="CU316" s="358"/>
      <c r="CV316" s="57" t="s">
        <v>42</v>
      </c>
    </row>
    <row r="317" spans="1:100" ht="15" customHeight="1" outlineLevel="2">
      <c r="A317" s="276" t="s">
        <v>281</v>
      </c>
      <c r="B317" s="277" t="str">
        <f t="shared" si="181"/>
        <v>BULK MEDANBULK</v>
      </c>
      <c r="C317" s="276" t="s">
        <v>252</v>
      </c>
      <c r="E317" s="288"/>
      <c r="F317" s="288"/>
      <c r="G317" s="64">
        <v>1838252960</v>
      </c>
      <c r="H317" s="81"/>
      <c r="I317" s="81"/>
      <c r="J317" s="81"/>
      <c r="K317" s="81"/>
      <c r="L317" s="81"/>
      <c r="M317" s="81"/>
      <c r="N317" s="81"/>
      <c r="O317" s="81"/>
      <c r="P317" s="65">
        <v>0</v>
      </c>
      <c r="Q317" s="65"/>
      <c r="R317" s="65"/>
      <c r="S317" s="65"/>
      <c r="T317" s="65">
        <v>0</v>
      </c>
      <c r="U317" s="65">
        <v>0</v>
      </c>
      <c r="V317" s="65">
        <v>0</v>
      </c>
      <c r="W317" s="66">
        <f t="shared" si="182"/>
        <v>0</v>
      </c>
      <c r="X317" s="55"/>
      <c r="Y317" s="82"/>
      <c r="Z317" s="82"/>
      <c r="AA317" s="82"/>
      <c r="AB317" s="82"/>
      <c r="AC317" s="82"/>
      <c r="AD317" s="82"/>
      <c r="AE317" s="82"/>
      <c r="AF317" s="82"/>
      <c r="AG317" s="82"/>
      <c r="AH317" s="82"/>
      <c r="AI317" s="82"/>
      <c r="AJ317" s="82"/>
      <c r="AK317" s="61">
        <v>0</v>
      </c>
      <c r="AL317" s="55"/>
      <c r="AM317" s="82"/>
      <c r="AN317" s="82"/>
      <c r="AO317" s="82"/>
      <c r="AP317" s="82"/>
      <c r="AQ317" s="82"/>
      <c r="AR317" s="82"/>
      <c r="AS317" s="82"/>
      <c r="AT317" s="82"/>
      <c r="AU317" s="82"/>
      <c r="AV317" s="82"/>
      <c r="AW317" s="82"/>
      <c r="AX317" s="82"/>
      <c r="AY317" s="122">
        <v>0</v>
      </c>
      <c r="AZ317" s="78"/>
      <c r="BA317" s="639">
        <v>0</v>
      </c>
      <c r="BB317" s="639">
        <v>0</v>
      </c>
      <c r="BC317" s="86"/>
      <c r="BD317" s="639">
        <v>0</v>
      </c>
      <c r="BE317" s="86"/>
      <c r="BF317" s="639">
        <v>0</v>
      </c>
      <c r="BG317" s="86"/>
      <c r="BH317" s="639"/>
      <c r="BI317" s="86"/>
      <c r="BJ317" s="639"/>
      <c r="BK317" s="86"/>
      <c r="BL317" s="639"/>
      <c r="BM317" s="86"/>
      <c r="BN317" s="695">
        <v>0</v>
      </c>
      <c r="BO317" s="696"/>
      <c r="BP317" s="695"/>
      <c r="BQ317" s="696"/>
      <c r="BR317" s="702"/>
      <c r="BS317" s="695"/>
      <c r="BT317" s="696"/>
      <c r="BU317" s="702"/>
      <c r="BV317" s="695"/>
      <c r="BW317" s="696"/>
      <c r="BX317" s="702"/>
      <c r="BY317" s="695"/>
      <c r="BZ317" s="696"/>
      <c r="CA317" s="702"/>
      <c r="CB317" s="720">
        <f t="shared" si="183"/>
        <v>0</v>
      </c>
      <c r="CC317" s="721">
        <f t="shared" si="184"/>
        <v>0</v>
      </c>
      <c r="CD317" s="738"/>
      <c r="CE317" s="322"/>
      <c r="CF317" s="322"/>
      <c r="CG317" s="322"/>
      <c r="CH317" s="322"/>
      <c r="CI317" s="322"/>
      <c r="CJ317" s="322"/>
      <c r="CK317" s="322"/>
      <c r="CL317" s="322"/>
      <c r="CM317" s="322"/>
      <c r="CN317" s="322"/>
      <c r="CO317" s="322"/>
      <c r="CP317" s="322"/>
      <c r="CQ317" s="355">
        <f t="shared" si="185"/>
        <v>0</v>
      </c>
      <c r="CR317" s="356"/>
      <c r="CS317" s="357"/>
      <c r="CT317" s="332"/>
      <c r="CU317" s="358"/>
      <c r="CV317" s="57" t="s">
        <v>38</v>
      </c>
    </row>
    <row r="318" spans="1:100" ht="15" customHeight="1" outlineLevel="2">
      <c r="A318" s="276" t="s">
        <v>281</v>
      </c>
      <c r="B318" s="277" t="str">
        <f t="shared" si="181"/>
        <v>BULK MEDANBULK</v>
      </c>
      <c r="C318" s="276" t="s">
        <v>252</v>
      </c>
      <c r="D318" s="276" t="s">
        <v>40</v>
      </c>
      <c r="E318" s="288"/>
      <c r="F318" s="288"/>
      <c r="G318" s="64">
        <v>4020046050</v>
      </c>
      <c r="H318" s="65">
        <v>461495110</v>
      </c>
      <c r="I318" s="65">
        <v>0</v>
      </c>
      <c r="J318" s="65">
        <v>0</v>
      </c>
      <c r="K318" s="65">
        <v>0</v>
      </c>
      <c r="L318" s="65">
        <v>0</v>
      </c>
      <c r="M318" s="65">
        <v>0</v>
      </c>
      <c r="N318" s="65">
        <v>0</v>
      </c>
      <c r="O318" s="65">
        <v>0</v>
      </c>
      <c r="P318" s="65">
        <v>0</v>
      </c>
      <c r="Q318" s="65"/>
      <c r="R318" s="65"/>
      <c r="S318" s="65"/>
      <c r="T318" s="65">
        <v>0</v>
      </c>
      <c r="U318" s="65">
        <v>0</v>
      </c>
      <c r="V318" s="65">
        <v>0</v>
      </c>
      <c r="W318" s="66">
        <f t="shared" si="182"/>
        <v>461495110</v>
      </c>
      <c r="X318" s="55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61">
        <v>0</v>
      </c>
      <c r="AL318" s="55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122">
        <v>0</v>
      </c>
      <c r="AZ318" s="55"/>
      <c r="BA318" s="639">
        <v>0</v>
      </c>
      <c r="BB318" s="639">
        <v>0</v>
      </c>
      <c r="BC318" s="86"/>
      <c r="BD318" s="639">
        <v>0</v>
      </c>
      <c r="BE318" s="86"/>
      <c r="BF318" s="639">
        <v>0</v>
      </c>
      <c r="BG318" s="86"/>
      <c r="BH318" s="639"/>
      <c r="BI318" s="86"/>
      <c r="BJ318" s="639"/>
      <c r="BK318" s="86"/>
      <c r="BL318" s="639"/>
      <c r="BM318" s="86"/>
      <c r="BN318" s="695">
        <v>0</v>
      </c>
      <c r="BO318" s="696"/>
      <c r="BP318" s="695"/>
      <c r="BQ318" s="696"/>
      <c r="BR318" s="702"/>
      <c r="BS318" s="695"/>
      <c r="BT318" s="696"/>
      <c r="BU318" s="702"/>
      <c r="BV318" s="695"/>
      <c r="BW318" s="696"/>
      <c r="BX318" s="702"/>
      <c r="BY318" s="695"/>
      <c r="BZ318" s="696"/>
      <c r="CA318" s="702"/>
      <c r="CB318" s="720">
        <f t="shared" si="183"/>
        <v>0</v>
      </c>
      <c r="CC318" s="721">
        <f t="shared" si="184"/>
        <v>0</v>
      </c>
      <c r="CD318" s="738"/>
      <c r="CE318" s="322"/>
      <c r="CF318" s="322"/>
      <c r="CG318" s="322"/>
      <c r="CH318" s="322"/>
      <c r="CI318" s="322"/>
      <c r="CJ318" s="322"/>
      <c r="CK318" s="322"/>
      <c r="CL318" s="322"/>
      <c r="CM318" s="322"/>
      <c r="CN318" s="322"/>
      <c r="CO318" s="322"/>
      <c r="CP318" s="322"/>
      <c r="CQ318" s="355">
        <f t="shared" si="185"/>
        <v>0</v>
      </c>
      <c r="CR318" s="356"/>
      <c r="CS318" s="357"/>
      <c r="CT318" s="332"/>
      <c r="CU318" s="358"/>
      <c r="CV318" s="57" t="s">
        <v>38</v>
      </c>
    </row>
    <row r="319" spans="1:100" ht="15" customHeight="1" outlineLevel="2">
      <c r="A319" s="276" t="s">
        <v>281</v>
      </c>
      <c r="B319" s="277" t="str">
        <f t="shared" si="181"/>
        <v>BULK MEDANBULK</v>
      </c>
      <c r="C319" s="276" t="s">
        <v>252</v>
      </c>
      <c r="E319" s="288"/>
      <c r="F319" s="288"/>
      <c r="G319" s="64">
        <v>734959740</v>
      </c>
      <c r="H319" s="81"/>
      <c r="I319" s="81"/>
      <c r="J319" s="81"/>
      <c r="K319" s="81"/>
      <c r="L319" s="81"/>
      <c r="M319" s="81"/>
      <c r="N319" s="81"/>
      <c r="O319" s="81"/>
      <c r="P319" s="65">
        <v>0</v>
      </c>
      <c r="Q319" s="65"/>
      <c r="R319" s="65"/>
      <c r="S319" s="65"/>
      <c r="T319" s="65">
        <v>0</v>
      </c>
      <c r="U319" s="65">
        <v>0</v>
      </c>
      <c r="V319" s="65">
        <v>0</v>
      </c>
      <c r="W319" s="66">
        <f t="shared" si="182"/>
        <v>0</v>
      </c>
      <c r="X319" s="55"/>
      <c r="Y319" s="82"/>
      <c r="Z319" s="82"/>
      <c r="AA319" s="82"/>
      <c r="AB319" s="82"/>
      <c r="AC319" s="82"/>
      <c r="AD319" s="82"/>
      <c r="AE319" s="82"/>
      <c r="AF319" s="82"/>
      <c r="AG319" s="82"/>
      <c r="AH319" s="82"/>
      <c r="AI319" s="82"/>
      <c r="AJ319" s="82"/>
      <c r="AK319" s="61">
        <v>0</v>
      </c>
      <c r="AL319" s="55"/>
      <c r="AM319" s="82"/>
      <c r="AN319" s="82"/>
      <c r="AO319" s="82"/>
      <c r="AP319" s="82"/>
      <c r="AQ319" s="82"/>
      <c r="AR319" s="82"/>
      <c r="AS319" s="82"/>
      <c r="AT319" s="82"/>
      <c r="AU319" s="82"/>
      <c r="AV319" s="82"/>
      <c r="AW319" s="82"/>
      <c r="AX319" s="82"/>
      <c r="AY319" s="122">
        <v>0</v>
      </c>
      <c r="AZ319" s="78"/>
      <c r="BA319" s="639">
        <v>0</v>
      </c>
      <c r="BB319" s="639">
        <v>0</v>
      </c>
      <c r="BC319" s="86"/>
      <c r="BD319" s="639">
        <v>0</v>
      </c>
      <c r="BE319" s="86"/>
      <c r="BF319" s="639">
        <v>0</v>
      </c>
      <c r="BG319" s="86"/>
      <c r="BH319" s="639"/>
      <c r="BI319" s="86"/>
      <c r="BJ319" s="639"/>
      <c r="BK319" s="86"/>
      <c r="BL319" s="639"/>
      <c r="BM319" s="86"/>
      <c r="BN319" s="695">
        <v>0</v>
      </c>
      <c r="BO319" s="696"/>
      <c r="BP319" s="695"/>
      <c r="BQ319" s="696"/>
      <c r="BR319" s="702"/>
      <c r="BS319" s="695"/>
      <c r="BT319" s="696"/>
      <c r="BU319" s="702"/>
      <c r="BV319" s="695"/>
      <c r="BW319" s="696"/>
      <c r="BX319" s="702"/>
      <c r="BY319" s="695"/>
      <c r="BZ319" s="696"/>
      <c r="CA319" s="702"/>
      <c r="CB319" s="720">
        <f t="shared" si="183"/>
        <v>0</v>
      </c>
      <c r="CC319" s="721">
        <f t="shared" si="184"/>
        <v>0</v>
      </c>
      <c r="CD319" s="738"/>
      <c r="CE319" s="322"/>
      <c r="CF319" s="322"/>
      <c r="CG319" s="322"/>
      <c r="CH319" s="322"/>
      <c r="CI319" s="322"/>
      <c r="CJ319" s="322"/>
      <c r="CK319" s="322"/>
      <c r="CL319" s="322"/>
      <c r="CM319" s="322"/>
      <c r="CN319" s="322"/>
      <c r="CO319" s="322"/>
      <c r="CP319" s="322"/>
      <c r="CQ319" s="355">
        <f t="shared" si="185"/>
        <v>0</v>
      </c>
      <c r="CR319" s="356"/>
      <c r="CS319" s="357"/>
      <c r="CT319" s="332"/>
      <c r="CU319" s="358"/>
      <c r="CV319" s="57" t="s">
        <v>38</v>
      </c>
    </row>
    <row r="320" spans="1:100" ht="15" customHeight="1" outlineLevel="2">
      <c r="A320" s="276" t="s">
        <v>281</v>
      </c>
      <c r="B320" s="277" t="str">
        <f t="shared" si="181"/>
        <v>BULK MEDANBULK</v>
      </c>
      <c r="C320" s="276" t="s">
        <v>252</v>
      </c>
      <c r="E320" s="288"/>
      <c r="F320" s="288"/>
      <c r="G320" s="64">
        <v>453490550</v>
      </c>
      <c r="H320" s="81"/>
      <c r="I320" s="81"/>
      <c r="J320" s="81"/>
      <c r="K320" s="81"/>
      <c r="L320" s="81"/>
      <c r="M320" s="81"/>
      <c r="N320" s="81"/>
      <c r="O320" s="81"/>
      <c r="P320" s="65">
        <v>0</v>
      </c>
      <c r="Q320" s="65"/>
      <c r="R320" s="65"/>
      <c r="S320" s="65"/>
      <c r="T320" s="65">
        <v>0</v>
      </c>
      <c r="U320" s="65">
        <v>0</v>
      </c>
      <c r="V320" s="65">
        <v>0</v>
      </c>
      <c r="W320" s="66">
        <f t="shared" si="182"/>
        <v>0</v>
      </c>
      <c r="X320" s="55"/>
      <c r="Y320" s="82"/>
      <c r="Z320" s="82"/>
      <c r="AA320" s="82"/>
      <c r="AB320" s="82"/>
      <c r="AC320" s="82"/>
      <c r="AD320" s="82"/>
      <c r="AE320" s="82"/>
      <c r="AF320" s="82"/>
      <c r="AG320" s="82"/>
      <c r="AH320" s="82"/>
      <c r="AI320" s="82"/>
      <c r="AJ320" s="82"/>
      <c r="AK320" s="61">
        <v>0</v>
      </c>
      <c r="AL320" s="55"/>
      <c r="AM320" s="82"/>
      <c r="AN320" s="82"/>
      <c r="AO320" s="82"/>
      <c r="AP320" s="82"/>
      <c r="AQ320" s="82"/>
      <c r="AR320" s="82"/>
      <c r="AS320" s="82"/>
      <c r="AT320" s="82"/>
      <c r="AU320" s="82"/>
      <c r="AV320" s="82"/>
      <c r="AW320" s="82"/>
      <c r="AX320" s="82"/>
      <c r="AY320" s="122">
        <v>0</v>
      </c>
      <c r="AZ320" s="78"/>
      <c r="BA320" s="639">
        <v>0</v>
      </c>
      <c r="BB320" s="639">
        <v>0</v>
      </c>
      <c r="BC320" s="86"/>
      <c r="BD320" s="639">
        <v>0</v>
      </c>
      <c r="BE320" s="86"/>
      <c r="BF320" s="639">
        <v>0</v>
      </c>
      <c r="BG320" s="86"/>
      <c r="BH320" s="639"/>
      <c r="BI320" s="86"/>
      <c r="BJ320" s="639"/>
      <c r="BK320" s="86"/>
      <c r="BL320" s="639"/>
      <c r="BM320" s="86"/>
      <c r="BN320" s="695">
        <v>0</v>
      </c>
      <c r="BO320" s="696"/>
      <c r="BP320" s="695"/>
      <c r="BQ320" s="696"/>
      <c r="BR320" s="702"/>
      <c r="BS320" s="695"/>
      <c r="BT320" s="696"/>
      <c r="BU320" s="702"/>
      <c r="BV320" s="695"/>
      <c r="BW320" s="696"/>
      <c r="BX320" s="702"/>
      <c r="BY320" s="695"/>
      <c r="BZ320" s="696"/>
      <c r="CA320" s="702"/>
      <c r="CB320" s="720">
        <f t="shared" si="183"/>
        <v>0</v>
      </c>
      <c r="CC320" s="721">
        <f t="shared" si="184"/>
        <v>0</v>
      </c>
      <c r="CD320" s="738"/>
      <c r="CE320" s="322"/>
      <c r="CF320" s="322"/>
      <c r="CG320" s="322"/>
      <c r="CH320" s="322"/>
      <c r="CI320" s="322"/>
      <c r="CJ320" s="322"/>
      <c r="CK320" s="322"/>
      <c r="CL320" s="322"/>
      <c r="CM320" s="322"/>
      <c r="CN320" s="322"/>
      <c r="CO320" s="322"/>
      <c r="CP320" s="322"/>
      <c r="CQ320" s="355">
        <f t="shared" si="185"/>
        <v>0</v>
      </c>
      <c r="CR320" s="356"/>
      <c r="CS320" s="357"/>
      <c r="CT320" s="332"/>
      <c r="CU320" s="358"/>
      <c r="CV320" s="57" t="s">
        <v>38</v>
      </c>
    </row>
    <row r="321" spans="1:101" ht="15" customHeight="1" outlineLevel="2">
      <c r="A321" s="276" t="s">
        <v>281</v>
      </c>
      <c r="B321" s="277" t="str">
        <f t="shared" si="181"/>
        <v>BULK MEDANBULK</v>
      </c>
      <c r="C321" s="276" t="s">
        <v>252</v>
      </c>
      <c r="D321" s="276" t="s">
        <v>40</v>
      </c>
      <c r="E321" s="288"/>
      <c r="F321" s="288"/>
      <c r="G321" s="64">
        <v>3878015200</v>
      </c>
      <c r="H321" s="65">
        <v>472500000</v>
      </c>
      <c r="I321" s="65">
        <v>139738500</v>
      </c>
      <c r="J321" s="65">
        <v>336359250</v>
      </c>
      <c r="K321" s="65">
        <v>0</v>
      </c>
      <c r="L321" s="65">
        <v>0</v>
      </c>
      <c r="M321" s="65">
        <v>0</v>
      </c>
      <c r="N321" s="65">
        <v>0</v>
      </c>
      <c r="O321" s="65">
        <v>0</v>
      </c>
      <c r="P321" s="65">
        <v>0</v>
      </c>
      <c r="Q321" s="65"/>
      <c r="R321" s="65"/>
      <c r="S321" s="65"/>
      <c r="T321" s="65">
        <v>0</v>
      </c>
      <c r="U321" s="65">
        <v>0</v>
      </c>
      <c r="V321" s="65">
        <v>0</v>
      </c>
      <c r="W321" s="66">
        <f t="shared" si="182"/>
        <v>948597750</v>
      </c>
      <c r="X321" s="55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61">
        <v>0</v>
      </c>
      <c r="AL321" s="55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122">
        <v>0</v>
      </c>
      <c r="AZ321" s="55"/>
      <c r="BA321" s="639">
        <v>0</v>
      </c>
      <c r="BB321" s="639">
        <v>0</v>
      </c>
      <c r="BC321" s="86"/>
      <c r="BD321" s="639">
        <v>0</v>
      </c>
      <c r="BE321" s="86"/>
      <c r="BF321" s="639">
        <v>0</v>
      </c>
      <c r="BG321" s="86"/>
      <c r="BH321" s="639"/>
      <c r="BI321" s="86"/>
      <c r="BJ321" s="639"/>
      <c r="BK321" s="86"/>
      <c r="BL321" s="639"/>
      <c r="BM321" s="86"/>
      <c r="BN321" s="695">
        <v>0</v>
      </c>
      <c r="BO321" s="696"/>
      <c r="BP321" s="695"/>
      <c r="BQ321" s="696"/>
      <c r="BR321" s="702"/>
      <c r="BS321" s="695"/>
      <c r="BT321" s="696"/>
      <c r="BU321" s="702"/>
      <c r="BV321" s="695"/>
      <c r="BW321" s="696"/>
      <c r="BX321" s="702"/>
      <c r="BY321" s="695"/>
      <c r="BZ321" s="696"/>
      <c r="CA321" s="702"/>
      <c r="CB321" s="720">
        <f t="shared" si="183"/>
        <v>0</v>
      </c>
      <c r="CC321" s="721">
        <f t="shared" si="184"/>
        <v>0</v>
      </c>
      <c r="CD321" s="738"/>
      <c r="CE321" s="322"/>
      <c r="CF321" s="322"/>
      <c r="CG321" s="322"/>
      <c r="CH321" s="322"/>
      <c r="CI321" s="322"/>
      <c r="CJ321" s="322"/>
      <c r="CK321" s="322"/>
      <c r="CL321" s="322"/>
      <c r="CM321" s="322"/>
      <c r="CN321" s="322"/>
      <c r="CO321" s="322"/>
      <c r="CP321" s="322"/>
      <c r="CQ321" s="355">
        <f t="shared" si="185"/>
        <v>0</v>
      </c>
      <c r="CR321" s="356"/>
      <c r="CS321" s="357"/>
      <c r="CT321" s="332"/>
      <c r="CU321" s="358"/>
      <c r="CV321" s="57" t="s">
        <v>38</v>
      </c>
    </row>
    <row r="322" spans="1:101" ht="15" customHeight="1" outlineLevel="2">
      <c r="A322" s="276" t="s">
        <v>281</v>
      </c>
      <c r="B322" s="277" t="str">
        <f t="shared" si="181"/>
        <v>BULK MEDANBULK</v>
      </c>
      <c r="C322" s="276" t="s">
        <v>252</v>
      </c>
      <c r="E322" s="288"/>
      <c r="F322" s="288"/>
      <c r="G322" s="64">
        <v>1532337720</v>
      </c>
      <c r="H322" s="81"/>
      <c r="I322" s="81"/>
      <c r="J322" s="81"/>
      <c r="K322" s="81"/>
      <c r="L322" s="81"/>
      <c r="M322" s="81"/>
      <c r="N322" s="81"/>
      <c r="O322" s="81"/>
      <c r="P322" s="65">
        <v>0</v>
      </c>
      <c r="Q322" s="65"/>
      <c r="R322" s="65"/>
      <c r="S322" s="65"/>
      <c r="T322" s="65">
        <v>0</v>
      </c>
      <c r="U322" s="65">
        <v>0</v>
      </c>
      <c r="V322" s="65">
        <v>0</v>
      </c>
      <c r="W322" s="66">
        <f t="shared" si="182"/>
        <v>0</v>
      </c>
      <c r="X322" s="55"/>
      <c r="Y322" s="82"/>
      <c r="Z322" s="82"/>
      <c r="AA322" s="82"/>
      <c r="AB322" s="82"/>
      <c r="AC322" s="82"/>
      <c r="AD322" s="82"/>
      <c r="AE322" s="82"/>
      <c r="AF322" s="82"/>
      <c r="AG322" s="82"/>
      <c r="AH322" s="82"/>
      <c r="AI322" s="82"/>
      <c r="AJ322" s="82"/>
      <c r="AK322" s="61">
        <v>0</v>
      </c>
      <c r="AL322" s="55"/>
      <c r="AM322" s="82"/>
      <c r="AN322" s="82"/>
      <c r="AO322" s="82"/>
      <c r="AP322" s="82"/>
      <c r="AQ322" s="82"/>
      <c r="AR322" s="82"/>
      <c r="AS322" s="82"/>
      <c r="AT322" s="82"/>
      <c r="AU322" s="82"/>
      <c r="AV322" s="82"/>
      <c r="AW322" s="82"/>
      <c r="AX322" s="82"/>
      <c r="AY322" s="122">
        <v>0</v>
      </c>
      <c r="AZ322" s="78"/>
      <c r="BA322" s="639">
        <v>0</v>
      </c>
      <c r="BB322" s="639">
        <v>0</v>
      </c>
      <c r="BC322" s="86"/>
      <c r="BD322" s="639">
        <v>0</v>
      </c>
      <c r="BE322" s="86"/>
      <c r="BF322" s="639">
        <v>0</v>
      </c>
      <c r="BG322" s="86"/>
      <c r="BH322" s="639"/>
      <c r="BI322" s="86"/>
      <c r="BJ322" s="639"/>
      <c r="BK322" s="86"/>
      <c r="BL322" s="639"/>
      <c r="BM322" s="86"/>
      <c r="BN322" s="695">
        <v>0</v>
      </c>
      <c r="BO322" s="696"/>
      <c r="BP322" s="695"/>
      <c r="BQ322" s="696"/>
      <c r="BR322" s="702"/>
      <c r="BS322" s="695"/>
      <c r="BT322" s="696"/>
      <c r="BU322" s="702"/>
      <c r="BV322" s="695"/>
      <c r="BW322" s="696"/>
      <c r="BX322" s="702"/>
      <c r="BY322" s="695"/>
      <c r="BZ322" s="696"/>
      <c r="CA322" s="702"/>
      <c r="CB322" s="720">
        <f t="shared" si="183"/>
        <v>0</v>
      </c>
      <c r="CC322" s="721">
        <f t="shared" si="184"/>
        <v>0</v>
      </c>
      <c r="CD322" s="738"/>
      <c r="CE322" s="322"/>
      <c r="CF322" s="322"/>
      <c r="CG322" s="322"/>
      <c r="CH322" s="322"/>
      <c r="CI322" s="322"/>
      <c r="CJ322" s="322"/>
      <c r="CK322" s="322"/>
      <c r="CL322" s="322"/>
      <c r="CM322" s="322"/>
      <c r="CN322" s="322"/>
      <c r="CO322" s="322"/>
      <c r="CP322" s="322"/>
      <c r="CQ322" s="355">
        <f t="shared" si="185"/>
        <v>0</v>
      </c>
      <c r="CR322" s="356"/>
      <c r="CS322" s="357"/>
      <c r="CT322" s="332"/>
      <c r="CU322" s="358"/>
      <c r="CV322" s="57" t="s">
        <v>38</v>
      </c>
    </row>
    <row r="323" spans="1:101" ht="15" customHeight="1" outlineLevel="2">
      <c r="A323" s="276" t="s">
        <v>281</v>
      </c>
      <c r="B323" s="277" t="str">
        <f t="shared" si="181"/>
        <v>BULK MEDANBULKROLIMEX KIMIA NUSAMA</v>
      </c>
      <c r="C323" s="276" t="s">
        <v>252</v>
      </c>
      <c r="E323" s="288" t="s">
        <v>282</v>
      </c>
      <c r="F323" s="288"/>
      <c r="G323" s="64">
        <v>13076242350</v>
      </c>
      <c r="H323" s="81"/>
      <c r="I323" s="81"/>
      <c r="J323" s="81"/>
      <c r="K323" s="81"/>
      <c r="L323" s="81"/>
      <c r="M323" s="81"/>
      <c r="N323" s="81"/>
      <c r="O323" s="81"/>
      <c r="P323" s="65">
        <v>0</v>
      </c>
      <c r="Q323" s="65"/>
      <c r="R323" s="65"/>
      <c r="S323" s="65"/>
      <c r="T323" s="65">
        <v>0</v>
      </c>
      <c r="U323" s="65">
        <v>0</v>
      </c>
      <c r="V323" s="65">
        <v>0</v>
      </c>
      <c r="W323" s="66">
        <f t="shared" si="182"/>
        <v>0</v>
      </c>
      <c r="X323" s="55"/>
      <c r="Y323" s="82"/>
      <c r="Z323" s="82"/>
      <c r="AA323" s="82"/>
      <c r="AB323" s="82"/>
      <c r="AC323" s="82"/>
      <c r="AD323" s="82"/>
      <c r="AE323" s="82"/>
      <c r="AF323" s="82"/>
      <c r="AG323" s="82"/>
      <c r="AH323" s="82"/>
      <c r="AI323" s="82"/>
      <c r="AJ323" s="82"/>
      <c r="AK323" s="61">
        <v>0</v>
      </c>
      <c r="AL323" s="55"/>
      <c r="AM323" s="82"/>
      <c r="AN323" s="82"/>
      <c r="AO323" s="82"/>
      <c r="AP323" s="82"/>
      <c r="AQ323" s="82"/>
      <c r="AR323" s="82"/>
      <c r="AS323" s="82"/>
      <c r="AT323" s="82"/>
      <c r="AU323" s="82"/>
      <c r="AV323" s="82"/>
      <c r="AW323" s="82"/>
      <c r="AX323" s="82"/>
      <c r="AY323" s="122">
        <v>0</v>
      </c>
      <c r="AZ323" s="78"/>
      <c r="BA323" s="639">
        <v>0</v>
      </c>
      <c r="BB323" s="639">
        <v>0</v>
      </c>
      <c r="BC323" s="86"/>
      <c r="BD323" s="639">
        <v>0</v>
      </c>
      <c r="BE323" s="86"/>
      <c r="BF323" s="639">
        <v>0</v>
      </c>
      <c r="BG323" s="86"/>
      <c r="BH323" s="639"/>
      <c r="BI323" s="86"/>
      <c r="BJ323" s="639"/>
      <c r="BK323" s="86"/>
      <c r="BL323" s="639"/>
      <c r="BM323" s="86"/>
      <c r="BN323" s="695">
        <v>0</v>
      </c>
      <c r="BO323" s="696"/>
      <c r="BP323" s="695"/>
      <c r="BQ323" s="696"/>
      <c r="BR323" s="702"/>
      <c r="BS323" s="695"/>
      <c r="BT323" s="696"/>
      <c r="BU323" s="702"/>
      <c r="BV323" s="695"/>
      <c r="BW323" s="696"/>
      <c r="BX323" s="702"/>
      <c r="BY323" s="695"/>
      <c r="BZ323" s="696"/>
      <c r="CA323" s="702"/>
      <c r="CB323" s="720">
        <f t="shared" si="183"/>
        <v>0</v>
      </c>
      <c r="CC323" s="721">
        <f t="shared" si="184"/>
        <v>0</v>
      </c>
      <c r="CD323" s="738"/>
      <c r="CE323" s="322"/>
      <c r="CF323" s="322"/>
      <c r="CG323" s="322"/>
      <c r="CH323" s="322"/>
      <c r="CI323" s="322"/>
      <c r="CJ323" s="322"/>
      <c r="CK323" s="322"/>
      <c r="CL323" s="322"/>
      <c r="CM323" s="322"/>
      <c r="CN323" s="322"/>
      <c r="CO323" s="322"/>
      <c r="CP323" s="322"/>
      <c r="CQ323" s="355">
        <f t="shared" si="185"/>
        <v>0</v>
      </c>
      <c r="CR323" s="356"/>
      <c r="CS323" s="357"/>
      <c r="CT323" s="332"/>
      <c r="CU323" s="358"/>
      <c r="CV323" s="57" t="s">
        <v>38</v>
      </c>
    </row>
    <row r="324" spans="1:101" ht="15" customHeight="1" outlineLevel="2">
      <c r="A324" s="276" t="s">
        <v>281</v>
      </c>
      <c r="B324" s="277" t="str">
        <f t="shared" si="181"/>
        <v>BULK MEDANBULK</v>
      </c>
      <c r="C324" s="276" t="s">
        <v>252</v>
      </c>
      <c r="E324" s="288"/>
      <c r="F324" s="288"/>
      <c r="G324" s="64">
        <v>863161750</v>
      </c>
      <c r="H324" s="81"/>
      <c r="I324" s="81"/>
      <c r="J324" s="81"/>
      <c r="K324" s="81"/>
      <c r="L324" s="81"/>
      <c r="M324" s="81"/>
      <c r="N324" s="81"/>
      <c r="O324" s="81"/>
      <c r="P324" s="65">
        <v>0</v>
      </c>
      <c r="Q324" s="65"/>
      <c r="R324" s="65"/>
      <c r="S324" s="65"/>
      <c r="T324" s="65">
        <v>0</v>
      </c>
      <c r="U324" s="65">
        <v>0</v>
      </c>
      <c r="V324" s="65">
        <v>0</v>
      </c>
      <c r="W324" s="66">
        <f t="shared" si="182"/>
        <v>0</v>
      </c>
      <c r="X324" s="55"/>
      <c r="Y324" s="82"/>
      <c r="Z324" s="82"/>
      <c r="AA324" s="82"/>
      <c r="AB324" s="82"/>
      <c r="AC324" s="82"/>
      <c r="AD324" s="82"/>
      <c r="AE324" s="82"/>
      <c r="AF324" s="82"/>
      <c r="AG324" s="82"/>
      <c r="AH324" s="82"/>
      <c r="AI324" s="82"/>
      <c r="AJ324" s="82"/>
      <c r="AK324" s="61">
        <v>0</v>
      </c>
      <c r="AL324" s="55"/>
      <c r="AM324" s="82"/>
      <c r="AN324" s="82"/>
      <c r="AO324" s="82"/>
      <c r="AP324" s="82"/>
      <c r="AQ324" s="82"/>
      <c r="AR324" s="82"/>
      <c r="AS324" s="82"/>
      <c r="AT324" s="82"/>
      <c r="AU324" s="82"/>
      <c r="AV324" s="82"/>
      <c r="AW324" s="82"/>
      <c r="AX324" s="82"/>
      <c r="AY324" s="122">
        <v>0</v>
      </c>
      <c r="AZ324" s="78"/>
      <c r="BA324" s="639">
        <v>0</v>
      </c>
      <c r="BB324" s="639">
        <v>0</v>
      </c>
      <c r="BC324" s="86"/>
      <c r="BD324" s="639">
        <v>0</v>
      </c>
      <c r="BE324" s="86"/>
      <c r="BF324" s="639">
        <v>0</v>
      </c>
      <c r="BG324" s="86"/>
      <c r="BH324" s="639"/>
      <c r="BI324" s="86"/>
      <c r="BJ324" s="639"/>
      <c r="BK324" s="86"/>
      <c r="BL324" s="639"/>
      <c r="BM324" s="86"/>
      <c r="BN324" s="695">
        <v>0</v>
      </c>
      <c r="BO324" s="696"/>
      <c r="BP324" s="695"/>
      <c r="BQ324" s="696"/>
      <c r="BR324" s="702"/>
      <c r="BS324" s="695"/>
      <c r="BT324" s="696"/>
      <c r="BU324" s="702"/>
      <c r="BV324" s="695"/>
      <c r="BW324" s="696"/>
      <c r="BX324" s="702"/>
      <c r="BY324" s="695"/>
      <c r="BZ324" s="696"/>
      <c r="CA324" s="702"/>
      <c r="CB324" s="720">
        <f t="shared" si="183"/>
        <v>0</v>
      </c>
      <c r="CC324" s="721">
        <f t="shared" si="184"/>
        <v>0</v>
      </c>
      <c r="CD324" s="738"/>
      <c r="CE324" s="322"/>
      <c r="CF324" s="322"/>
      <c r="CG324" s="322"/>
      <c r="CH324" s="322"/>
      <c r="CI324" s="322"/>
      <c r="CJ324" s="322"/>
      <c r="CK324" s="322"/>
      <c r="CL324" s="322"/>
      <c r="CM324" s="322"/>
      <c r="CN324" s="322"/>
      <c r="CO324" s="322"/>
      <c r="CP324" s="322"/>
      <c r="CQ324" s="355">
        <f t="shared" si="185"/>
        <v>0</v>
      </c>
      <c r="CR324" s="356"/>
      <c r="CS324" s="357"/>
      <c r="CT324" s="332"/>
      <c r="CU324" s="358"/>
      <c r="CV324" s="57" t="s">
        <v>38</v>
      </c>
    </row>
    <row r="325" spans="1:101" ht="15" customHeight="1" outlineLevel="2">
      <c r="A325" s="276" t="s">
        <v>281</v>
      </c>
      <c r="B325" s="277" t="str">
        <f t="shared" si="181"/>
        <v>BULK MEDANBULK</v>
      </c>
      <c r="C325" s="276" t="s">
        <v>252</v>
      </c>
      <c r="D325" s="276" t="s">
        <v>40</v>
      </c>
      <c r="E325" s="288"/>
      <c r="F325" s="288"/>
      <c r="G325" s="93">
        <v>8320664046</v>
      </c>
      <c r="H325" s="65">
        <v>1186346040</v>
      </c>
      <c r="I325" s="65">
        <v>106655600</v>
      </c>
      <c r="J325" s="65">
        <v>0</v>
      </c>
      <c r="K325" s="65">
        <v>0</v>
      </c>
      <c r="L325" s="65">
        <v>0</v>
      </c>
      <c r="M325" s="65">
        <v>0</v>
      </c>
      <c r="N325" s="65">
        <v>0</v>
      </c>
      <c r="O325" s="65">
        <v>0</v>
      </c>
      <c r="P325" s="65">
        <v>0</v>
      </c>
      <c r="Q325" s="65"/>
      <c r="R325" s="65"/>
      <c r="S325" s="65"/>
      <c r="T325" s="65">
        <v>0</v>
      </c>
      <c r="U325" s="65">
        <v>0</v>
      </c>
      <c r="V325" s="65">
        <v>0</v>
      </c>
      <c r="W325" s="66">
        <f t="shared" si="182"/>
        <v>1293001640</v>
      </c>
      <c r="X325" s="55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61">
        <v>0</v>
      </c>
      <c r="AL325" s="55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122">
        <v>0</v>
      </c>
      <c r="AZ325" s="55"/>
      <c r="BA325" s="639">
        <v>0</v>
      </c>
      <c r="BB325" s="639">
        <v>0</v>
      </c>
      <c r="BC325" s="86"/>
      <c r="BD325" s="639">
        <v>0</v>
      </c>
      <c r="BE325" s="86"/>
      <c r="BF325" s="639">
        <v>0</v>
      </c>
      <c r="BG325" s="86"/>
      <c r="BH325" s="639"/>
      <c r="BI325" s="86"/>
      <c r="BJ325" s="639"/>
      <c r="BK325" s="86"/>
      <c r="BL325" s="639"/>
      <c r="BM325" s="86"/>
      <c r="BN325" s="695">
        <v>0</v>
      </c>
      <c r="BO325" s="696"/>
      <c r="BP325" s="695"/>
      <c r="BQ325" s="696"/>
      <c r="BR325" s="702"/>
      <c r="BS325" s="695"/>
      <c r="BT325" s="696"/>
      <c r="BU325" s="702"/>
      <c r="BV325" s="695"/>
      <c r="BW325" s="696"/>
      <c r="BX325" s="702"/>
      <c r="BY325" s="695"/>
      <c r="BZ325" s="696"/>
      <c r="CA325" s="702"/>
      <c r="CB325" s="720">
        <f t="shared" si="183"/>
        <v>0</v>
      </c>
      <c r="CC325" s="721">
        <f t="shared" si="184"/>
        <v>0</v>
      </c>
      <c r="CD325" s="738"/>
      <c r="CE325" s="322"/>
      <c r="CF325" s="322"/>
      <c r="CG325" s="322"/>
      <c r="CH325" s="322"/>
      <c r="CI325" s="322"/>
      <c r="CJ325" s="322"/>
      <c r="CK325" s="322"/>
      <c r="CL325" s="322"/>
      <c r="CM325" s="322"/>
      <c r="CN325" s="322"/>
      <c r="CO325" s="322"/>
      <c r="CP325" s="322"/>
      <c r="CQ325" s="355">
        <f t="shared" si="185"/>
        <v>0</v>
      </c>
      <c r="CR325" s="356"/>
      <c r="CS325" s="357"/>
      <c r="CT325" s="332"/>
      <c r="CU325" s="358"/>
      <c r="CV325" s="57" t="s">
        <v>38</v>
      </c>
    </row>
    <row r="326" spans="1:101" ht="15" customHeight="1" outlineLevel="2">
      <c r="A326" s="276" t="s">
        <v>281</v>
      </c>
      <c r="B326" s="277" t="str">
        <f t="shared" si="181"/>
        <v>BULK MEDANBULK</v>
      </c>
      <c r="C326" s="276" t="s">
        <v>252</v>
      </c>
      <c r="D326" s="276" t="s">
        <v>40</v>
      </c>
      <c r="E326" s="288"/>
      <c r="F326" s="288"/>
      <c r="G326" s="93">
        <v>1910774620</v>
      </c>
      <c r="H326" s="65">
        <v>33213150</v>
      </c>
      <c r="I326" s="65">
        <v>0</v>
      </c>
      <c r="J326" s="65">
        <v>0</v>
      </c>
      <c r="K326" s="65">
        <v>0</v>
      </c>
      <c r="L326" s="65">
        <v>0</v>
      </c>
      <c r="M326" s="65">
        <v>0</v>
      </c>
      <c r="N326" s="65">
        <v>0</v>
      </c>
      <c r="O326" s="65">
        <v>0</v>
      </c>
      <c r="P326" s="65">
        <v>0</v>
      </c>
      <c r="Q326" s="65"/>
      <c r="R326" s="65"/>
      <c r="S326" s="65"/>
      <c r="T326" s="65">
        <v>0</v>
      </c>
      <c r="U326" s="65">
        <v>0</v>
      </c>
      <c r="V326" s="65">
        <v>0</v>
      </c>
      <c r="W326" s="66">
        <f t="shared" si="182"/>
        <v>33213150</v>
      </c>
      <c r="X326" s="55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61">
        <v>0</v>
      </c>
      <c r="AL326" s="55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122">
        <v>0</v>
      </c>
      <c r="AZ326" s="55"/>
      <c r="BA326" s="639">
        <v>0</v>
      </c>
      <c r="BB326" s="639">
        <v>0</v>
      </c>
      <c r="BC326" s="86"/>
      <c r="BD326" s="639">
        <v>0</v>
      </c>
      <c r="BE326" s="86"/>
      <c r="BF326" s="639">
        <v>0</v>
      </c>
      <c r="BG326" s="86"/>
      <c r="BH326" s="639"/>
      <c r="BI326" s="86"/>
      <c r="BJ326" s="639"/>
      <c r="BK326" s="86"/>
      <c r="BL326" s="639"/>
      <c r="BM326" s="86"/>
      <c r="BN326" s="695">
        <v>0</v>
      </c>
      <c r="BO326" s="696"/>
      <c r="BP326" s="695"/>
      <c r="BQ326" s="696"/>
      <c r="BR326" s="702"/>
      <c r="BS326" s="695"/>
      <c r="BT326" s="696"/>
      <c r="BU326" s="702"/>
      <c r="BV326" s="695"/>
      <c r="BW326" s="696"/>
      <c r="BX326" s="702"/>
      <c r="BY326" s="695"/>
      <c r="BZ326" s="696"/>
      <c r="CA326" s="702"/>
      <c r="CB326" s="720">
        <f t="shared" si="183"/>
        <v>0</v>
      </c>
      <c r="CC326" s="721">
        <f t="shared" si="184"/>
        <v>0</v>
      </c>
      <c r="CD326" s="738"/>
      <c r="CE326" s="322"/>
      <c r="CF326" s="322"/>
      <c r="CG326" s="322"/>
      <c r="CH326" s="322"/>
      <c r="CI326" s="322"/>
      <c r="CJ326" s="322"/>
      <c r="CK326" s="322"/>
      <c r="CL326" s="322"/>
      <c r="CM326" s="322"/>
      <c r="CN326" s="322"/>
      <c r="CO326" s="322"/>
      <c r="CP326" s="322"/>
      <c r="CQ326" s="355">
        <f t="shared" si="185"/>
        <v>0</v>
      </c>
      <c r="CR326" s="356"/>
      <c r="CS326" s="357"/>
      <c r="CT326" s="332"/>
      <c r="CU326" s="358"/>
      <c r="CV326" s="57" t="s">
        <v>38</v>
      </c>
    </row>
    <row r="327" spans="1:101" ht="15" customHeight="1" outlineLevel="2">
      <c r="A327" s="276" t="s">
        <v>242</v>
      </c>
      <c r="B327" s="277" t="str">
        <f t="shared" si="181"/>
        <v>BULK MEDANBULKYARA INDONESIA</v>
      </c>
      <c r="C327" s="276" t="s">
        <v>252</v>
      </c>
      <c r="D327" s="276" t="s">
        <v>40</v>
      </c>
      <c r="E327" s="288" t="s">
        <v>260</v>
      </c>
      <c r="F327" s="288" t="s">
        <v>283</v>
      </c>
      <c r="G327" s="93">
        <v>6087806825</v>
      </c>
      <c r="H327" s="65">
        <v>389807450</v>
      </c>
      <c r="I327" s="65">
        <v>524989200</v>
      </c>
      <c r="J327" s="65">
        <v>437229430</v>
      </c>
      <c r="K327" s="65">
        <v>429982189</v>
      </c>
      <c r="L327" s="65">
        <v>442398385</v>
      </c>
      <c r="M327" s="65">
        <v>475263075</v>
      </c>
      <c r="N327" s="65">
        <v>442402932</v>
      </c>
      <c r="O327" s="65">
        <v>407241646</v>
      </c>
      <c r="P327" s="65">
        <v>451372850</v>
      </c>
      <c r="Q327" s="65">
        <v>368762230</v>
      </c>
      <c r="R327" s="65">
        <v>460869083</v>
      </c>
      <c r="S327" s="65">
        <v>377720442</v>
      </c>
      <c r="T327" s="83">
        <f>450000000</f>
        <v>450000000</v>
      </c>
      <c r="U327" s="83">
        <f>450000000</f>
        <v>450000000</v>
      </c>
      <c r="V327" s="83">
        <f>450000000</f>
        <v>450000000</v>
      </c>
      <c r="W327" s="66">
        <f t="shared" si="182"/>
        <v>5208038912</v>
      </c>
      <c r="X327" s="55"/>
      <c r="Y327" s="85">
        <v>520000000</v>
      </c>
      <c r="Z327" s="85">
        <v>520000000</v>
      </c>
      <c r="AA327" s="85">
        <v>540000000</v>
      </c>
      <c r="AB327" s="85">
        <v>520000000</v>
      </c>
      <c r="AC327" s="85">
        <v>520000000</v>
      </c>
      <c r="AD327" s="85">
        <v>520000000</v>
      </c>
      <c r="AE327" s="85">
        <v>520000000</v>
      </c>
      <c r="AF327" s="85">
        <v>520000000</v>
      </c>
      <c r="AG327" s="85">
        <v>540000000</v>
      </c>
      <c r="AH327" s="85">
        <v>520000000</v>
      </c>
      <c r="AI327" s="85">
        <v>520000000</v>
      </c>
      <c r="AJ327" s="85">
        <v>520000000</v>
      </c>
      <c r="AK327" s="61">
        <v>6280000000</v>
      </c>
      <c r="AL327" s="55"/>
      <c r="AM327" s="85">
        <v>520000000</v>
      </c>
      <c r="AN327" s="85">
        <v>520000000</v>
      </c>
      <c r="AO327" s="85">
        <v>540000000</v>
      </c>
      <c r="AP327" s="85">
        <v>520000000</v>
      </c>
      <c r="AQ327" s="85">
        <v>520000000</v>
      </c>
      <c r="AR327" s="85">
        <v>520000000</v>
      </c>
      <c r="AS327" s="85">
        <v>520000000</v>
      </c>
      <c r="AT327" s="85">
        <v>520000000</v>
      </c>
      <c r="AU327" s="85">
        <v>540000000</v>
      </c>
      <c r="AV327" s="85">
        <v>520000000</v>
      </c>
      <c r="AW327" s="85">
        <v>520000000</v>
      </c>
      <c r="AX327" s="85">
        <v>520000000</v>
      </c>
      <c r="AY327" s="122">
        <v>6280000000</v>
      </c>
      <c r="AZ327" s="55"/>
      <c r="BA327" s="82">
        <v>427067000</v>
      </c>
      <c r="BB327" s="82">
        <v>430794050</v>
      </c>
      <c r="BC327" s="86">
        <v>430794050</v>
      </c>
      <c r="BD327" s="82">
        <v>423212930</v>
      </c>
      <c r="BE327" s="86">
        <f>180000000+33000000+1500*19000+44000*1500+56000000</f>
        <v>363500000</v>
      </c>
      <c r="BF327" s="82">
        <v>408159300</v>
      </c>
      <c r="BG327" s="86">
        <f>180000000+33000000+800*19000+(44000+23000)*1800</f>
        <v>348800000</v>
      </c>
      <c r="BH327" s="82">
        <v>456695350</v>
      </c>
      <c r="BI327" s="86">
        <f>246000000+33000000+900*19000+(44000+23000)*1900</f>
        <v>423400000</v>
      </c>
      <c r="BJ327" s="82">
        <v>440573850</v>
      </c>
      <c r="BK327" s="86">
        <f>246000000+33000000+900*19000+(44000+23000)*1900</f>
        <v>423400000</v>
      </c>
      <c r="BL327" s="82">
        <v>386954607</v>
      </c>
      <c r="BM327" s="86">
        <f>246000000+33000000+900*19000+(44000+23000)*1900</f>
        <v>423400000</v>
      </c>
      <c r="BN327" s="707">
        <v>370510247</v>
      </c>
      <c r="BO327" s="696">
        <f>246000000+33000000+900*19000+(44000+23000)*1900</f>
        <v>423400000</v>
      </c>
      <c r="BP327" s="707"/>
      <c r="BQ327" s="696">
        <f>246000000+33000000+900*19000+(44000+23000)*1900</f>
        <v>423400000</v>
      </c>
      <c r="BR327" s="729">
        <f>246000000+33000000+900*19000+(44000+23000)*1900</f>
        <v>423400000</v>
      </c>
      <c r="BS327" s="707"/>
      <c r="BT327" s="696">
        <f>246000000+33000000+900*19000+(44000+23000)*1900</f>
        <v>423400000</v>
      </c>
      <c r="BU327" s="729">
        <f>246000000+33000000+900*19000+(44000+23000)*1900</f>
        <v>423400000</v>
      </c>
      <c r="BV327" s="707"/>
      <c r="BW327" s="696">
        <f>246000000+33000000+900*19000+(44000+23000)*1900</f>
        <v>423400000</v>
      </c>
      <c r="BX327" s="729">
        <f>246000000+33000000+900*19000+(44000+23000)*1900</f>
        <v>423400000</v>
      </c>
      <c r="BY327" s="707"/>
      <c r="BZ327" s="696">
        <f>246000000+33000000+900*19000+(44000+23000)*1900</f>
        <v>423400000</v>
      </c>
      <c r="CA327" s="729">
        <f>246000000+33000000+900*19000+(44000+23000)*1900</f>
        <v>423400000</v>
      </c>
      <c r="CB327" s="720">
        <f t="shared" si="183"/>
        <v>5037567334</v>
      </c>
      <c r="CC327" s="721">
        <f t="shared" si="184"/>
        <v>5037567334</v>
      </c>
      <c r="CD327" s="738"/>
      <c r="CE327" s="322">
        <v>450000000</v>
      </c>
      <c r="CF327" s="322">
        <v>450000000</v>
      </c>
      <c r="CG327" s="322">
        <v>450000000</v>
      </c>
      <c r="CH327" s="322">
        <v>450000000</v>
      </c>
      <c r="CI327" s="322">
        <v>450000000</v>
      </c>
      <c r="CJ327" s="322">
        <v>450000000</v>
      </c>
      <c r="CK327" s="322">
        <v>450000000</v>
      </c>
      <c r="CL327" s="322">
        <v>450000000</v>
      </c>
      <c r="CM327" s="322">
        <v>450000000</v>
      </c>
      <c r="CN327" s="322">
        <v>450000000</v>
      </c>
      <c r="CO327" s="322">
        <v>450000000</v>
      </c>
      <c r="CP327" s="322">
        <v>450000000</v>
      </c>
      <c r="CQ327" s="355">
        <f t="shared" si="185"/>
        <v>5400000000</v>
      </c>
      <c r="CR327" s="356">
        <f>(CQ327*1.17)+15746710.5467482</f>
        <v>6333746710.5467482</v>
      </c>
      <c r="CS327" s="357">
        <f>(CR327*1.08)+25782761.5666148</f>
        <v>6866229208.9571037</v>
      </c>
      <c r="CT327" s="332">
        <f>(CS327*1.09)+36591615.1918426</f>
        <v>7520781452.9550867</v>
      </c>
      <c r="CU327" s="358">
        <f>(CT327*1.09)+36591615.1918426</f>
        <v>8234243398.9128885</v>
      </c>
      <c r="CV327" s="57" t="s">
        <v>38</v>
      </c>
      <c r="CW327" s="38">
        <v>1</v>
      </c>
    </row>
    <row r="328" spans="1:101" ht="15" customHeight="1" outlineLevel="2">
      <c r="A328" s="307"/>
      <c r="B328" s="307"/>
      <c r="C328" s="307"/>
      <c r="D328" s="307"/>
      <c r="E328" s="295" t="s">
        <v>120</v>
      </c>
      <c r="F328" s="307"/>
      <c r="G328" s="71"/>
      <c r="H328" s="71">
        <v>0</v>
      </c>
      <c r="I328" s="71">
        <v>0</v>
      </c>
      <c r="J328" s="71">
        <v>0</v>
      </c>
      <c r="K328" s="71">
        <v>0</v>
      </c>
      <c r="L328" s="71">
        <v>0</v>
      </c>
      <c r="M328" s="71">
        <v>0</v>
      </c>
      <c r="N328" s="71">
        <v>0</v>
      </c>
      <c r="O328" s="71"/>
      <c r="P328" s="71"/>
      <c r="Q328" s="71"/>
      <c r="R328" s="71"/>
      <c r="S328" s="71"/>
      <c r="T328" s="71"/>
      <c r="U328" s="71"/>
      <c r="V328" s="71">
        <v>0</v>
      </c>
      <c r="W328" s="232"/>
      <c r="X328" s="55"/>
      <c r="Y328" s="62">
        <f t="shared" ref="Y328:AK328" si="186">SUM(Y330)</f>
        <v>0</v>
      </c>
      <c r="Z328" s="62">
        <f t="shared" si="186"/>
        <v>0</v>
      </c>
      <c r="AA328" s="62">
        <f t="shared" si="186"/>
        <v>59000000</v>
      </c>
      <c r="AB328" s="62">
        <f t="shared" si="186"/>
        <v>59000000</v>
      </c>
      <c r="AC328" s="62">
        <f t="shared" si="186"/>
        <v>59000000</v>
      </c>
      <c r="AD328" s="62">
        <f t="shared" si="186"/>
        <v>59000000</v>
      </c>
      <c r="AE328" s="62">
        <f t="shared" si="186"/>
        <v>59000000</v>
      </c>
      <c r="AF328" s="62">
        <f t="shared" si="186"/>
        <v>59000000</v>
      </c>
      <c r="AG328" s="62">
        <f t="shared" si="186"/>
        <v>69000000</v>
      </c>
      <c r="AH328" s="62">
        <f t="shared" si="186"/>
        <v>69000000</v>
      </c>
      <c r="AI328" s="62">
        <f t="shared" si="186"/>
        <v>59000000</v>
      </c>
      <c r="AJ328" s="62">
        <f t="shared" si="186"/>
        <v>59000000</v>
      </c>
      <c r="AK328" s="62">
        <f t="shared" si="186"/>
        <v>610000000</v>
      </c>
      <c r="AL328" s="55"/>
      <c r="AM328" s="62">
        <f t="shared" ref="AM328:AY328" si="187">SUM(AM330)</f>
        <v>0</v>
      </c>
      <c r="AN328" s="62">
        <f t="shared" si="187"/>
        <v>0</v>
      </c>
      <c r="AO328" s="62">
        <f t="shared" si="187"/>
        <v>59000000</v>
      </c>
      <c r="AP328" s="62">
        <f t="shared" si="187"/>
        <v>59000000</v>
      </c>
      <c r="AQ328" s="62">
        <f t="shared" si="187"/>
        <v>59000000</v>
      </c>
      <c r="AR328" s="62">
        <f t="shared" si="187"/>
        <v>59000000</v>
      </c>
      <c r="AS328" s="62">
        <f t="shared" si="187"/>
        <v>59000000</v>
      </c>
      <c r="AT328" s="62">
        <f t="shared" si="187"/>
        <v>59000000</v>
      </c>
      <c r="AU328" s="62">
        <f t="shared" si="187"/>
        <v>69000000</v>
      </c>
      <c r="AV328" s="62">
        <f t="shared" si="187"/>
        <v>69000000</v>
      </c>
      <c r="AW328" s="62">
        <f t="shared" si="187"/>
        <v>59000000</v>
      </c>
      <c r="AX328" s="62">
        <f t="shared" si="187"/>
        <v>59000000</v>
      </c>
      <c r="AY328" s="62">
        <f t="shared" si="187"/>
        <v>610000000</v>
      </c>
      <c r="AZ328" s="55"/>
      <c r="BA328" s="62">
        <f>SUM(BA330)</f>
        <v>0</v>
      </c>
      <c r="BB328" s="62">
        <f t="shared" ref="BB328:CC328" si="188">SUM(BB330)</f>
        <v>0</v>
      </c>
      <c r="BC328" s="62">
        <f t="shared" si="188"/>
        <v>0</v>
      </c>
      <c r="BD328" s="62">
        <f t="shared" si="188"/>
        <v>0</v>
      </c>
      <c r="BE328" s="62">
        <f t="shared" si="188"/>
        <v>0</v>
      </c>
      <c r="BF328" s="62">
        <f t="shared" si="188"/>
        <v>0</v>
      </c>
      <c r="BG328" s="62">
        <f t="shared" si="188"/>
        <v>0</v>
      </c>
      <c r="BH328" s="62">
        <f t="shared" si="188"/>
        <v>0</v>
      </c>
      <c r="BI328" s="62">
        <f t="shared" si="188"/>
        <v>0</v>
      </c>
      <c r="BJ328" s="62">
        <f t="shared" si="188"/>
        <v>0</v>
      </c>
      <c r="BK328" s="62">
        <f t="shared" si="188"/>
        <v>0</v>
      </c>
      <c r="BL328" s="62">
        <f t="shared" si="188"/>
        <v>0</v>
      </c>
      <c r="BM328" s="62">
        <f t="shared" si="188"/>
        <v>0</v>
      </c>
      <c r="BN328" s="708">
        <f t="shared" si="188"/>
        <v>0</v>
      </c>
      <c r="BO328" s="708">
        <f t="shared" si="188"/>
        <v>0</v>
      </c>
      <c r="BP328" s="708">
        <f t="shared" si="188"/>
        <v>0</v>
      </c>
      <c r="BQ328" s="708">
        <f>SUM(BQ330)</f>
        <v>0</v>
      </c>
      <c r="BR328" s="708">
        <f>SUM(BR330)</f>
        <v>0</v>
      </c>
      <c r="BS328" s="708">
        <f t="shared" si="188"/>
        <v>0</v>
      </c>
      <c r="BT328" s="708">
        <f>SUM(BT330)</f>
        <v>0</v>
      </c>
      <c r="BU328" s="708">
        <f t="shared" si="188"/>
        <v>0</v>
      </c>
      <c r="BV328" s="708">
        <f t="shared" si="188"/>
        <v>0</v>
      </c>
      <c r="BW328" s="708">
        <f>SUM(BW330)</f>
        <v>0</v>
      </c>
      <c r="BX328" s="708">
        <f t="shared" si="188"/>
        <v>0</v>
      </c>
      <c r="BY328" s="708">
        <f t="shared" si="188"/>
        <v>0</v>
      </c>
      <c r="BZ328" s="708">
        <f>SUM(BZ330)</f>
        <v>0</v>
      </c>
      <c r="CA328" s="708">
        <f t="shared" si="188"/>
        <v>0</v>
      </c>
      <c r="CB328" s="708">
        <f t="shared" si="188"/>
        <v>0</v>
      </c>
      <c r="CC328" s="708">
        <f t="shared" si="188"/>
        <v>0</v>
      </c>
      <c r="CD328" s="740"/>
      <c r="CE328" s="330">
        <f t="shared" ref="CE328:CP328" si="189">SUM(CE329:CE333)</f>
        <v>0</v>
      </c>
      <c r="CF328" s="330">
        <f t="shared" si="189"/>
        <v>0</v>
      </c>
      <c r="CG328" s="330">
        <f t="shared" si="189"/>
        <v>0</v>
      </c>
      <c r="CH328" s="330">
        <f t="shared" si="189"/>
        <v>0</v>
      </c>
      <c r="CI328" s="330">
        <f t="shared" si="189"/>
        <v>0</v>
      </c>
      <c r="CJ328" s="330">
        <f t="shared" si="189"/>
        <v>0</v>
      </c>
      <c r="CK328" s="330">
        <f t="shared" si="189"/>
        <v>0</v>
      </c>
      <c r="CL328" s="330">
        <f t="shared" si="189"/>
        <v>0</v>
      </c>
      <c r="CM328" s="330">
        <f t="shared" si="189"/>
        <v>0</v>
      </c>
      <c r="CN328" s="330">
        <f t="shared" si="189"/>
        <v>0</v>
      </c>
      <c r="CO328" s="330">
        <f t="shared" si="189"/>
        <v>0</v>
      </c>
      <c r="CP328" s="330">
        <f t="shared" si="189"/>
        <v>0</v>
      </c>
      <c r="CQ328" s="330">
        <f>SUM(CQ329:CQ333)</f>
        <v>0</v>
      </c>
      <c r="CR328" s="330">
        <f>SUM(CR329:CR333)</f>
        <v>0</v>
      </c>
      <c r="CS328" s="330">
        <f>SUM(CS329:CS333)</f>
        <v>0</v>
      </c>
      <c r="CT328" s="330">
        <f>SUM(CT329:CT333)</f>
        <v>9900000000</v>
      </c>
      <c r="CU328" s="330">
        <f>SUM(CU329:CU333)</f>
        <v>9900000000</v>
      </c>
      <c r="CV328" s="57"/>
    </row>
    <row r="329" spans="1:101" ht="15" customHeight="1" outlineLevel="2">
      <c r="A329" s="276" t="s">
        <v>242</v>
      </c>
      <c r="B329" s="277" t="str">
        <f>$E$310&amp;$E$269&amp;E329</f>
        <v>BULK MEDANBULK</v>
      </c>
      <c r="C329" s="276" t="s">
        <v>252</v>
      </c>
      <c r="E329" s="315"/>
      <c r="F329" s="315"/>
      <c r="G329" s="93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6">
        <f>SUM(H329:S329)</f>
        <v>0</v>
      </c>
      <c r="X329" s="55"/>
      <c r="Y329" s="57"/>
      <c r="Z329" s="57"/>
      <c r="AA329" s="82"/>
      <c r="AB329" s="82"/>
      <c r="AC329" s="82"/>
      <c r="AD329" s="82"/>
      <c r="AE329" s="82"/>
      <c r="AF329" s="82"/>
      <c r="AG329" s="82"/>
      <c r="AH329" s="82"/>
      <c r="AI329" s="82"/>
      <c r="AJ329" s="82"/>
      <c r="AK329" s="61">
        <v>0</v>
      </c>
      <c r="AL329" s="55"/>
      <c r="AM329" s="57"/>
      <c r="AN329" s="57"/>
      <c r="AO329" s="82"/>
      <c r="AP329" s="82"/>
      <c r="AQ329" s="82"/>
      <c r="AR329" s="82"/>
      <c r="AS329" s="82"/>
      <c r="AT329" s="82"/>
      <c r="AU329" s="82"/>
      <c r="AV329" s="82"/>
      <c r="AW329" s="82"/>
      <c r="AX329" s="82"/>
      <c r="AY329" s="122">
        <v>0</v>
      </c>
      <c r="AZ329" s="55"/>
      <c r="BA329" s="639">
        <v>0</v>
      </c>
      <c r="BB329" s="639">
        <v>0</v>
      </c>
      <c r="BC329" s="86"/>
      <c r="BD329" s="639">
        <v>0</v>
      </c>
      <c r="BE329" s="86"/>
      <c r="BF329" s="639">
        <v>0</v>
      </c>
      <c r="BG329" s="86"/>
      <c r="BH329" s="639"/>
      <c r="BI329" s="86"/>
      <c r="BJ329" s="639"/>
      <c r="BK329" s="86"/>
      <c r="BL329" s="639"/>
      <c r="BM329" s="86"/>
      <c r="BN329" s="695"/>
      <c r="BO329" s="696"/>
      <c r="BP329" s="695"/>
      <c r="BQ329" s="696"/>
      <c r="BR329" s="729"/>
      <c r="BS329" s="695"/>
      <c r="BT329" s="696"/>
      <c r="BU329" s="729"/>
      <c r="BV329" s="695"/>
      <c r="BW329" s="696"/>
      <c r="BX329" s="729"/>
      <c r="BY329" s="695"/>
      <c r="BZ329" s="696"/>
      <c r="CA329" s="729"/>
      <c r="CB329" s="720">
        <f>SUM(BA329,BB329,BD329,BF329,BH329,BJ329,BL329,BN329,BP329,BR329,BU329,BX329,CA329)</f>
        <v>0</v>
      </c>
      <c r="CC329" s="721">
        <f>SUM(BA329,BB329,BD329,BF329,BH329,BJ329,BL329,BN329,BR329,BU329,BX329,CA329)</f>
        <v>0</v>
      </c>
      <c r="CD329" s="738"/>
      <c r="CE329" s="322"/>
      <c r="CF329" s="322"/>
      <c r="CG329" s="322"/>
      <c r="CH329" s="322"/>
      <c r="CI329" s="322"/>
      <c r="CJ329" s="322"/>
      <c r="CK329" s="322"/>
      <c r="CL329" s="322"/>
      <c r="CM329" s="322"/>
      <c r="CN329" s="322"/>
      <c r="CO329" s="322"/>
      <c r="CP329" s="322"/>
      <c r="CQ329" s="355">
        <f>SUM(CE329,CF329,CG329,CH329,CI329,CJ329,CK329,CL329,CM329,CN329,CO329,CP329)</f>
        <v>0</v>
      </c>
      <c r="CR329" s="356">
        <f>CQ329*1.07</f>
        <v>0</v>
      </c>
      <c r="CS329" s="357">
        <f>CR329*1.07</f>
        <v>0</v>
      </c>
      <c r="CT329" s="332">
        <f>CS329*1.07</f>
        <v>0</v>
      </c>
      <c r="CU329" s="358">
        <f>CT329*1.07</f>
        <v>0</v>
      </c>
      <c r="CV329" s="57" t="s">
        <v>38</v>
      </c>
    </row>
    <row r="330" spans="1:101" ht="15" customHeight="1" outlineLevel="2">
      <c r="A330" s="276" t="s">
        <v>281</v>
      </c>
      <c r="B330" s="277" t="str">
        <f>$E$310&amp;$E$269&amp;E330</f>
        <v>BULK MEDANBULKHEXTAR</v>
      </c>
      <c r="C330" s="276" t="s">
        <v>252</v>
      </c>
      <c r="D330" s="297" t="s">
        <v>121</v>
      </c>
      <c r="E330" s="288" t="s">
        <v>284</v>
      </c>
      <c r="F330" s="288"/>
      <c r="G330" s="93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6">
        <f>SUM(H330:S330)</f>
        <v>0</v>
      </c>
      <c r="X330" s="55"/>
      <c r="Y330" s="98"/>
      <c r="Z330" s="99"/>
      <c r="AA330" s="98">
        <v>59000000</v>
      </c>
      <c r="AB330" s="98">
        <v>59000000</v>
      </c>
      <c r="AC330" s="98">
        <v>59000000</v>
      </c>
      <c r="AD330" s="98">
        <v>59000000</v>
      </c>
      <c r="AE330" s="98">
        <v>59000000</v>
      </c>
      <c r="AF330" s="98">
        <v>59000000</v>
      </c>
      <c r="AG330" s="98">
        <v>69000000</v>
      </c>
      <c r="AH330" s="98">
        <v>69000000</v>
      </c>
      <c r="AI330" s="98">
        <v>59000000</v>
      </c>
      <c r="AJ330" s="98">
        <v>59000000</v>
      </c>
      <c r="AK330" s="61">
        <v>610000000</v>
      </c>
      <c r="AL330" s="55"/>
      <c r="AM330" s="98"/>
      <c r="AN330" s="99"/>
      <c r="AO330" s="98">
        <v>59000000</v>
      </c>
      <c r="AP330" s="98">
        <v>59000000</v>
      </c>
      <c r="AQ330" s="98">
        <v>59000000</v>
      </c>
      <c r="AR330" s="98">
        <v>59000000</v>
      </c>
      <c r="AS330" s="98">
        <v>59000000</v>
      </c>
      <c r="AT330" s="98">
        <v>59000000</v>
      </c>
      <c r="AU330" s="98">
        <v>69000000</v>
      </c>
      <c r="AV330" s="98">
        <v>69000000</v>
      </c>
      <c r="AW330" s="98">
        <v>59000000</v>
      </c>
      <c r="AX330" s="98">
        <v>59000000</v>
      </c>
      <c r="AY330" s="122">
        <v>610000000</v>
      </c>
      <c r="AZ330" s="55"/>
      <c r="BA330" s="639">
        <v>0</v>
      </c>
      <c r="BB330" s="639">
        <v>0</v>
      </c>
      <c r="BC330" s="86"/>
      <c r="BD330" s="639">
        <v>0</v>
      </c>
      <c r="BE330" s="86"/>
      <c r="BF330" s="639">
        <v>0</v>
      </c>
      <c r="BG330" s="86"/>
      <c r="BH330" s="639"/>
      <c r="BI330" s="86"/>
      <c r="BJ330" s="639"/>
      <c r="BK330" s="86"/>
      <c r="BL330" s="639"/>
      <c r="BM330" s="86"/>
      <c r="BN330" s="695"/>
      <c r="BO330" s="696"/>
      <c r="BP330" s="695"/>
      <c r="BQ330" s="696"/>
      <c r="BR330" s="729"/>
      <c r="BS330" s="695"/>
      <c r="BT330" s="696"/>
      <c r="BU330" s="729"/>
      <c r="BV330" s="695"/>
      <c r="BW330" s="696"/>
      <c r="BX330" s="729"/>
      <c r="BY330" s="695"/>
      <c r="BZ330" s="696"/>
      <c r="CA330" s="729"/>
      <c r="CB330" s="720">
        <f>SUM(BA330,BB330,BD330,BF330,BH330,BJ330,BL330,BN330,BP330,BR330,BU330,BX330,CA330)</f>
        <v>0</v>
      </c>
      <c r="CC330" s="721">
        <f>SUM(BA330,BB330,BD330,BF330,BH330,BJ330,BL330,BN330,BR330,BU330,BX330,CA330)</f>
        <v>0</v>
      </c>
      <c r="CD330" s="738"/>
      <c r="CE330" s="322"/>
      <c r="CF330" s="322"/>
      <c r="CG330" s="322"/>
      <c r="CH330" s="322"/>
      <c r="CI330" s="322"/>
      <c r="CJ330" s="322"/>
      <c r="CK330" s="322"/>
      <c r="CL330" s="322"/>
      <c r="CM330" s="322"/>
      <c r="CN330" s="322"/>
      <c r="CO330" s="322"/>
      <c r="CP330" s="322"/>
      <c r="CQ330" s="355">
        <f>SUM(CE330,CF330,CG330,CH330,CI330,CJ330,CK330,CL330,CM330,CN330,CO330,CP330)</f>
        <v>0</v>
      </c>
      <c r="CR330" s="356">
        <f>CQ330*1.17</f>
        <v>0</v>
      </c>
      <c r="CS330" s="357">
        <f>CR330*1.08</f>
        <v>0</v>
      </c>
      <c r="CT330" s="332">
        <f>400000000*12</f>
        <v>4800000000</v>
      </c>
      <c r="CU330" s="358">
        <f>400000000*12</f>
        <v>4800000000</v>
      </c>
      <c r="CV330" s="57" t="s">
        <v>38</v>
      </c>
    </row>
    <row r="331" spans="1:101" ht="15" customHeight="1" outlineLevel="2">
      <c r="A331" s="276" t="s">
        <v>121</v>
      </c>
      <c r="B331" s="277" t="str">
        <f>$E$310&amp;$E$269&amp;E331</f>
        <v>BULK MEDANBULK</v>
      </c>
      <c r="C331" s="276" t="s">
        <v>252</v>
      </c>
      <c r="E331" s="288"/>
      <c r="F331" s="288"/>
      <c r="G331" s="93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83"/>
      <c r="U331" s="83"/>
      <c r="V331" s="83"/>
      <c r="W331" s="66">
        <f t="shared" si="182"/>
        <v>0</v>
      </c>
      <c r="X331" s="55"/>
      <c r="Y331" s="85"/>
      <c r="Z331" s="85"/>
      <c r="AA331" s="85"/>
      <c r="AB331" s="85"/>
      <c r="AC331" s="85"/>
      <c r="AD331" s="85"/>
      <c r="AE331" s="85"/>
      <c r="AF331" s="85"/>
      <c r="AG331" s="85"/>
      <c r="AH331" s="85"/>
      <c r="AI331" s="85"/>
      <c r="AJ331" s="85"/>
      <c r="AK331" s="61">
        <v>0</v>
      </c>
      <c r="AL331" s="5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122">
        <v>0</v>
      </c>
      <c r="AZ331" s="55"/>
      <c r="BA331" s="639">
        <v>0</v>
      </c>
      <c r="BB331" s="639">
        <v>0</v>
      </c>
      <c r="BC331" s="86"/>
      <c r="BD331" s="639">
        <v>0</v>
      </c>
      <c r="BE331" s="86"/>
      <c r="BF331" s="639">
        <v>0</v>
      </c>
      <c r="BG331" s="86"/>
      <c r="BH331" s="639"/>
      <c r="BI331" s="86"/>
      <c r="BJ331" s="639"/>
      <c r="BK331" s="86"/>
      <c r="BL331" s="639"/>
      <c r="BM331" s="86"/>
      <c r="BN331" s="695"/>
      <c r="BO331" s="696"/>
      <c r="BP331" s="695"/>
      <c r="BQ331" s="696"/>
      <c r="BR331" s="702"/>
      <c r="BS331" s="695"/>
      <c r="BT331" s="696"/>
      <c r="BU331" s="702"/>
      <c r="BV331" s="695"/>
      <c r="BW331" s="696"/>
      <c r="BX331" s="702"/>
      <c r="BY331" s="695"/>
      <c r="BZ331" s="696"/>
      <c r="CA331" s="702"/>
      <c r="CB331" s="720">
        <f>SUM(BA331,BB331,BD331,BF331,BH331,BJ331,BL331,BN331,BP331,BR331,BU331,BX331,CA331)</f>
        <v>0</v>
      </c>
      <c r="CC331" s="721">
        <f>SUM(BA331,BB331,BD331,BF331,BH331,BJ331,BL331,BN331,BR331,BU331,BX331,CA331)</f>
        <v>0</v>
      </c>
      <c r="CD331" s="738"/>
      <c r="CE331" s="322"/>
      <c r="CF331" s="322"/>
      <c r="CG331" s="322"/>
      <c r="CH331" s="322"/>
      <c r="CI331" s="322"/>
      <c r="CJ331" s="322"/>
      <c r="CK331" s="322"/>
      <c r="CL331" s="322"/>
      <c r="CM331" s="322"/>
      <c r="CN331" s="322"/>
      <c r="CO331" s="322"/>
      <c r="CP331" s="322"/>
      <c r="CQ331" s="355">
        <f>SUM(CE331,CF331,CG331,CH331,CI331,CJ331,CK331,CL331,CM331,CN331,CO331,CP331)</f>
        <v>0</v>
      </c>
      <c r="CR331" s="356"/>
      <c r="CS331" s="357"/>
      <c r="CT331" s="332">
        <f>510000000*10</f>
        <v>5100000000</v>
      </c>
      <c r="CU331" s="358">
        <f>510000000*10</f>
        <v>5100000000</v>
      </c>
      <c r="CV331" s="57" t="s">
        <v>38</v>
      </c>
    </row>
    <row r="332" spans="1:101" ht="15" customHeight="1" outlineLevel="2">
      <c r="A332" s="296"/>
      <c r="C332" s="276" t="s">
        <v>252</v>
      </c>
      <c r="D332" s="297" t="s">
        <v>121</v>
      </c>
      <c r="E332" s="288" t="s">
        <v>285</v>
      </c>
      <c r="F332" s="288"/>
      <c r="G332" s="73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6"/>
      <c r="X332" s="55"/>
      <c r="Y332" s="57"/>
      <c r="Z332" s="57"/>
      <c r="AA332" s="100"/>
      <c r="AB332" s="57"/>
      <c r="AC332" s="57"/>
      <c r="AD332" s="57"/>
      <c r="AE332" s="57"/>
      <c r="AF332" s="57"/>
      <c r="AG332" s="57"/>
      <c r="AH332" s="57"/>
      <c r="AI332" s="57"/>
      <c r="AJ332" s="57"/>
      <c r="AK332" s="61">
        <v>0</v>
      </c>
      <c r="AL332" s="55"/>
      <c r="AM332" s="57"/>
      <c r="AN332" s="57"/>
      <c r="AO332" s="100"/>
      <c r="AP332" s="57"/>
      <c r="AQ332" s="57"/>
      <c r="AR332" s="57"/>
      <c r="AS332" s="57"/>
      <c r="AT332" s="57"/>
      <c r="AU332" s="57"/>
      <c r="AV332" s="57"/>
      <c r="AW332" s="57"/>
      <c r="AX332" s="57"/>
      <c r="AY332" s="122">
        <v>0</v>
      </c>
      <c r="AZ332" s="55"/>
      <c r="BA332" s="639"/>
      <c r="BB332" s="639"/>
      <c r="BC332" s="86"/>
      <c r="BD332" s="639"/>
      <c r="BE332" s="86"/>
      <c r="BF332" s="639"/>
      <c r="BG332" s="86"/>
      <c r="BH332" s="639"/>
      <c r="BI332" s="86"/>
      <c r="BJ332" s="639"/>
      <c r="BK332" s="86"/>
      <c r="BL332" s="639"/>
      <c r="BM332" s="86"/>
      <c r="BN332" s="695"/>
      <c r="BO332" s="696"/>
      <c r="BP332" s="695"/>
      <c r="BQ332" s="696"/>
      <c r="BR332" s="702"/>
      <c r="BS332" s="695"/>
      <c r="BT332" s="696"/>
      <c r="BU332" s="702"/>
      <c r="BV332" s="695"/>
      <c r="BW332" s="696"/>
      <c r="BX332" s="702"/>
      <c r="BY332" s="695"/>
      <c r="BZ332" s="696"/>
      <c r="CA332" s="702"/>
      <c r="CB332" s="720">
        <f>SUM(BA332,BB332,BD332,BF332,BH332,BJ332,BL332,BN332,BP332,BR332,BU332,BX332,CA332)</f>
        <v>0</v>
      </c>
      <c r="CC332" s="721">
        <f>SUM(BA332,BB332,BD332,BF332,BH332,BJ332,BL332,BN332,BR332,BU332,BX332,CA332)</f>
        <v>0</v>
      </c>
      <c r="CD332" s="738"/>
      <c r="CE332" s="322"/>
      <c r="CF332" s="322"/>
      <c r="CG332" s="322"/>
      <c r="CH332" s="322"/>
      <c r="CI332" s="322"/>
      <c r="CJ332" s="322"/>
      <c r="CK332" s="322"/>
      <c r="CL332" s="322"/>
      <c r="CM332" s="322"/>
      <c r="CN332" s="322"/>
      <c r="CO332" s="322"/>
      <c r="CP332" s="322"/>
      <c r="CQ332" s="355">
        <f>SUM(CE332,CF332,CG332,CH332,CI332,CJ332,CK332,CL332,CM332,CN332,CO332,CP332)</f>
        <v>0</v>
      </c>
      <c r="CR332" s="356"/>
      <c r="CS332" s="357"/>
      <c r="CT332" s="332"/>
      <c r="CU332" s="358"/>
      <c r="CV332" s="57"/>
    </row>
    <row r="333" spans="1:101" ht="15" customHeight="1" outlineLevel="2">
      <c r="A333" s="296"/>
      <c r="C333" s="276" t="s">
        <v>252</v>
      </c>
      <c r="D333" s="297" t="s">
        <v>121</v>
      </c>
      <c r="E333" s="288" t="s">
        <v>286</v>
      </c>
      <c r="F333" s="288"/>
      <c r="G333" s="73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6"/>
      <c r="X333" s="55"/>
      <c r="Y333" s="57"/>
      <c r="Z333" s="57"/>
      <c r="AA333" s="100"/>
      <c r="AB333" s="57"/>
      <c r="AC333" s="57"/>
      <c r="AD333" s="57"/>
      <c r="AE333" s="57"/>
      <c r="AF333" s="57"/>
      <c r="AG333" s="57"/>
      <c r="AH333" s="57"/>
      <c r="AI333" s="57"/>
      <c r="AJ333" s="57"/>
      <c r="AK333" s="61"/>
      <c r="AL333" s="55"/>
      <c r="AM333" s="57"/>
      <c r="AN333" s="57"/>
      <c r="AO333" s="100"/>
      <c r="AP333" s="57"/>
      <c r="AQ333" s="57"/>
      <c r="AR333" s="57"/>
      <c r="AS333" s="57"/>
      <c r="AT333" s="57"/>
      <c r="AU333" s="57"/>
      <c r="AV333" s="57"/>
      <c r="AW333" s="57"/>
      <c r="AX333" s="57"/>
      <c r="AY333" s="122"/>
      <c r="AZ333" s="55"/>
      <c r="BA333" s="639"/>
      <c r="BB333" s="639"/>
      <c r="BC333" s="86"/>
      <c r="BD333" s="639"/>
      <c r="BE333" s="86"/>
      <c r="BF333" s="639"/>
      <c r="BG333" s="86"/>
      <c r="BH333" s="639"/>
      <c r="BI333" s="86"/>
      <c r="BJ333" s="639"/>
      <c r="BK333" s="86"/>
      <c r="BL333" s="639"/>
      <c r="BM333" s="86"/>
      <c r="BN333" s="695"/>
      <c r="BO333" s="696"/>
      <c r="BP333" s="695"/>
      <c r="BQ333" s="696"/>
      <c r="BR333" s="702"/>
      <c r="BS333" s="695"/>
      <c r="BT333" s="696"/>
      <c r="BU333" s="702"/>
      <c r="BV333" s="695"/>
      <c r="BW333" s="696"/>
      <c r="BX333" s="702"/>
      <c r="BY333" s="695"/>
      <c r="BZ333" s="696"/>
      <c r="CA333" s="702"/>
      <c r="CB333" s="720"/>
      <c r="CC333" s="721"/>
      <c r="CD333" s="738"/>
      <c r="CE333" s="322"/>
      <c r="CF333" s="322"/>
      <c r="CG333" s="322"/>
      <c r="CH333" s="322"/>
      <c r="CI333" s="322"/>
      <c r="CJ333" s="322"/>
      <c r="CK333" s="322"/>
      <c r="CL333" s="322"/>
      <c r="CM333" s="322"/>
      <c r="CN333" s="322"/>
      <c r="CO333" s="322"/>
      <c r="CP333" s="322"/>
      <c r="CQ333" s="355">
        <f>SUM(CE333,CF333,CG333,CH333,CI333,CJ333,CK333,CL333,CM333,CN333,CO333,CP333)</f>
        <v>0</v>
      </c>
      <c r="CR333" s="356"/>
      <c r="CS333" s="357"/>
      <c r="CT333" s="332"/>
      <c r="CU333" s="358"/>
      <c r="CV333" s="57"/>
    </row>
    <row r="334" spans="1:101" ht="15.5" outlineLevel="1">
      <c r="A334" s="301"/>
      <c r="B334" s="301"/>
      <c r="C334" s="301"/>
      <c r="D334" s="301"/>
      <c r="E334" s="301" t="s">
        <v>287</v>
      </c>
      <c r="F334" s="301"/>
      <c r="G334" s="76">
        <f t="shared" ref="G334:W334" si="190">SUM(G311:G332)</f>
        <v>51653600472</v>
      </c>
      <c r="H334" s="76">
        <f t="shared" si="190"/>
        <v>4577041280</v>
      </c>
      <c r="I334" s="76">
        <f t="shared" si="190"/>
        <v>3192294305</v>
      </c>
      <c r="J334" s="76">
        <f t="shared" si="190"/>
        <v>3370179030</v>
      </c>
      <c r="K334" s="76">
        <f t="shared" si="190"/>
        <v>429982189</v>
      </c>
      <c r="L334" s="76">
        <f t="shared" si="190"/>
        <v>442398385</v>
      </c>
      <c r="M334" s="76">
        <f t="shared" si="190"/>
        <v>739193925</v>
      </c>
      <c r="N334" s="76">
        <f t="shared" si="190"/>
        <v>442402932</v>
      </c>
      <c r="O334" s="77">
        <f t="shared" si="190"/>
        <v>407241646</v>
      </c>
      <c r="P334" s="76">
        <f t="shared" si="190"/>
        <v>451372850</v>
      </c>
      <c r="Q334" s="76">
        <f t="shared" si="190"/>
        <v>368762230</v>
      </c>
      <c r="R334" s="76">
        <f t="shared" si="190"/>
        <v>460869083</v>
      </c>
      <c r="S334" s="76">
        <f t="shared" si="190"/>
        <v>377720442</v>
      </c>
      <c r="T334" s="76">
        <f t="shared" si="190"/>
        <v>450000000</v>
      </c>
      <c r="U334" s="76">
        <f t="shared" si="190"/>
        <v>450000000</v>
      </c>
      <c r="V334" s="76">
        <f t="shared" si="190"/>
        <v>450000000</v>
      </c>
      <c r="W334" s="76">
        <f t="shared" si="190"/>
        <v>15259458297</v>
      </c>
      <c r="X334" s="55"/>
      <c r="Y334" s="77">
        <f t="shared" ref="Y334:AK334" si="191">Y310+Y328</f>
        <v>520000000</v>
      </c>
      <c r="Z334" s="77">
        <f t="shared" si="191"/>
        <v>520000000</v>
      </c>
      <c r="AA334" s="77">
        <f t="shared" si="191"/>
        <v>599000000</v>
      </c>
      <c r="AB334" s="77">
        <f t="shared" si="191"/>
        <v>579000000</v>
      </c>
      <c r="AC334" s="77">
        <f t="shared" si="191"/>
        <v>579000000</v>
      </c>
      <c r="AD334" s="77">
        <f t="shared" si="191"/>
        <v>579000000</v>
      </c>
      <c r="AE334" s="77">
        <f t="shared" si="191"/>
        <v>579000000</v>
      </c>
      <c r="AF334" s="77">
        <f t="shared" si="191"/>
        <v>579000000</v>
      </c>
      <c r="AG334" s="77">
        <f t="shared" si="191"/>
        <v>609000000</v>
      </c>
      <c r="AH334" s="77">
        <f t="shared" si="191"/>
        <v>589000000</v>
      </c>
      <c r="AI334" s="77">
        <f t="shared" si="191"/>
        <v>579000000</v>
      </c>
      <c r="AJ334" s="77">
        <f t="shared" si="191"/>
        <v>579000000</v>
      </c>
      <c r="AK334" s="77">
        <f t="shared" si="191"/>
        <v>6890000000</v>
      </c>
      <c r="AL334" s="55"/>
      <c r="AM334" s="77">
        <f t="shared" ref="AM334:AY334" si="192">AM310+AM328</f>
        <v>520000000</v>
      </c>
      <c r="AN334" s="77">
        <f t="shared" si="192"/>
        <v>520000000</v>
      </c>
      <c r="AO334" s="77">
        <f t="shared" si="192"/>
        <v>599000000</v>
      </c>
      <c r="AP334" s="77">
        <f t="shared" si="192"/>
        <v>579000000</v>
      </c>
      <c r="AQ334" s="77">
        <f t="shared" si="192"/>
        <v>579000000</v>
      </c>
      <c r="AR334" s="77">
        <f t="shared" si="192"/>
        <v>579000000</v>
      </c>
      <c r="AS334" s="77">
        <f t="shared" si="192"/>
        <v>579000000</v>
      </c>
      <c r="AT334" s="77">
        <f t="shared" si="192"/>
        <v>579000000</v>
      </c>
      <c r="AU334" s="77">
        <f t="shared" si="192"/>
        <v>609000000</v>
      </c>
      <c r="AV334" s="77">
        <f t="shared" si="192"/>
        <v>589000000</v>
      </c>
      <c r="AW334" s="77">
        <f t="shared" si="192"/>
        <v>579000000</v>
      </c>
      <c r="AX334" s="77">
        <f t="shared" si="192"/>
        <v>579000000</v>
      </c>
      <c r="AY334" s="77">
        <f t="shared" si="192"/>
        <v>6890000000</v>
      </c>
      <c r="AZ334" s="55"/>
      <c r="BA334" s="77">
        <f>BA310+BA328</f>
        <v>427067000</v>
      </c>
      <c r="BB334" s="77">
        <f t="shared" ref="BB334:CT334" si="193">BB310+BB328</f>
        <v>430794050</v>
      </c>
      <c r="BC334" s="77">
        <f t="shared" si="193"/>
        <v>430794050</v>
      </c>
      <c r="BD334" s="77">
        <f t="shared" si="193"/>
        <v>423212930</v>
      </c>
      <c r="BE334" s="77">
        <f t="shared" si="193"/>
        <v>363500000</v>
      </c>
      <c r="BF334" s="77">
        <f t="shared" si="193"/>
        <v>408159300</v>
      </c>
      <c r="BG334" s="77">
        <f t="shared" si="193"/>
        <v>348800000</v>
      </c>
      <c r="BH334" s="77">
        <f t="shared" si="193"/>
        <v>456695350</v>
      </c>
      <c r="BI334" s="77">
        <f t="shared" si="193"/>
        <v>423400000</v>
      </c>
      <c r="BJ334" s="77">
        <f t="shared" si="193"/>
        <v>440573850</v>
      </c>
      <c r="BK334" s="77">
        <f t="shared" si="193"/>
        <v>423400000</v>
      </c>
      <c r="BL334" s="77">
        <f t="shared" si="193"/>
        <v>386954607</v>
      </c>
      <c r="BM334" s="77">
        <f t="shared" si="193"/>
        <v>423400000</v>
      </c>
      <c r="BN334" s="699">
        <f t="shared" si="193"/>
        <v>370510247</v>
      </c>
      <c r="BO334" s="699">
        <f t="shared" si="193"/>
        <v>423400000</v>
      </c>
      <c r="BP334" s="699">
        <f t="shared" si="193"/>
        <v>0</v>
      </c>
      <c r="BQ334" s="699">
        <f>BQ310+BQ328</f>
        <v>423400000</v>
      </c>
      <c r="BR334" s="699">
        <f>BR310+BR328</f>
        <v>423400000</v>
      </c>
      <c r="BS334" s="699">
        <f t="shared" si="193"/>
        <v>0</v>
      </c>
      <c r="BT334" s="699">
        <f>BT310+BT328</f>
        <v>423400000</v>
      </c>
      <c r="BU334" s="699">
        <f t="shared" si="193"/>
        <v>423400000</v>
      </c>
      <c r="BV334" s="699">
        <f t="shared" si="193"/>
        <v>0</v>
      </c>
      <c r="BW334" s="699">
        <f>BW310+BW328</f>
        <v>423400000</v>
      </c>
      <c r="BX334" s="699">
        <f t="shared" si="193"/>
        <v>423400000</v>
      </c>
      <c r="BY334" s="699">
        <f t="shared" si="193"/>
        <v>0</v>
      </c>
      <c r="BZ334" s="699">
        <f>BZ310+BZ328</f>
        <v>423400000</v>
      </c>
      <c r="CA334" s="699">
        <f t="shared" si="193"/>
        <v>423400000</v>
      </c>
      <c r="CB334" s="699">
        <f t="shared" si="193"/>
        <v>5037567334</v>
      </c>
      <c r="CC334" s="699">
        <f t="shared" si="193"/>
        <v>5037567334</v>
      </c>
      <c r="CD334" s="738"/>
      <c r="CE334" s="326">
        <f t="shared" ref="CE334:CO334" si="194">CE310+CE328</f>
        <v>450000000</v>
      </c>
      <c r="CF334" s="326">
        <f t="shared" si="194"/>
        <v>450000000</v>
      </c>
      <c r="CG334" s="326">
        <f t="shared" si="194"/>
        <v>450000000</v>
      </c>
      <c r="CH334" s="326">
        <f t="shared" si="194"/>
        <v>450000000</v>
      </c>
      <c r="CI334" s="326">
        <f t="shared" si="194"/>
        <v>450000000</v>
      </c>
      <c r="CJ334" s="326">
        <f t="shared" si="194"/>
        <v>450000000</v>
      </c>
      <c r="CK334" s="326">
        <f t="shared" si="194"/>
        <v>450000000</v>
      </c>
      <c r="CL334" s="326">
        <f t="shared" si="194"/>
        <v>450000000</v>
      </c>
      <c r="CM334" s="326">
        <f t="shared" si="194"/>
        <v>450000000</v>
      </c>
      <c r="CN334" s="326">
        <f t="shared" si="194"/>
        <v>450000000</v>
      </c>
      <c r="CO334" s="326">
        <f t="shared" si="194"/>
        <v>450000000</v>
      </c>
      <c r="CP334" s="326">
        <f>CP310+CP328</f>
        <v>450000000</v>
      </c>
      <c r="CQ334" s="326">
        <f>CQ310+CQ328</f>
        <v>5400000000</v>
      </c>
      <c r="CR334" s="326">
        <f t="shared" si="193"/>
        <v>6333746710.5467482</v>
      </c>
      <c r="CS334" s="326">
        <f t="shared" si="193"/>
        <v>6866229208.9571037</v>
      </c>
      <c r="CT334" s="326">
        <f t="shared" si="193"/>
        <v>17420781452.955086</v>
      </c>
      <c r="CU334" s="326">
        <f>CU310+CU328</f>
        <v>18134243398.912888</v>
      </c>
      <c r="CV334" s="57"/>
    </row>
    <row r="335" spans="1:101" s="918" customFormat="1" ht="15.5" outlineLevel="1">
      <c r="A335" s="302"/>
      <c r="B335" s="302"/>
      <c r="C335" s="302"/>
      <c r="D335" s="302"/>
      <c r="E335" s="302"/>
      <c r="F335" s="302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55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>
        <v>-0.54847676333605044</v>
      </c>
      <c r="AL335" s="55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>
        <v>-0.54847676333605044</v>
      </c>
      <c r="AZ335" s="22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00"/>
      <c r="BO335" s="700"/>
      <c r="BP335" s="700"/>
      <c r="BQ335" s="700"/>
      <c r="BR335" s="700"/>
      <c r="BS335" s="700"/>
      <c r="BT335" s="700"/>
      <c r="BU335" s="700"/>
      <c r="BV335" s="700"/>
      <c r="BW335" s="700"/>
      <c r="BX335" s="700"/>
      <c r="BY335" s="700"/>
      <c r="BZ335" s="700"/>
      <c r="CA335" s="700"/>
      <c r="CB335" s="700">
        <f>CB334/AK334-1</f>
        <v>-0.26885815181422357</v>
      </c>
      <c r="CC335" s="700" t="e">
        <f>CC334/AL334-1</f>
        <v>#DIV/0!</v>
      </c>
      <c r="CD335" s="739"/>
      <c r="CE335" s="302"/>
      <c r="CF335" s="302"/>
      <c r="CG335" s="302"/>
      <c r="CH335" s="302"/>
      <c r="CI335" s="302"/>
      <c r="CJ335" s="302"/>
      <c r="CK335" s="302"/>
      <c r="CL335" s="302"/>
      <c r="CM335" s="302"/>
      <c r="CN335" s="302"/>
      <c r="CO335" s="302"/>
      <c r="CP335" s="302"/>
      <c r="CQ335" s="302"/>
      <c r="CR335" s="302"/>
      <c r="CS335" s="302"/>
      <c r="CT335" s="302"/>
      <c r="CU335" s="302"/>
      <c r="CV335" s="917"/>
    </row>
    <row r="336" spans="1:101" ht="15.5">
      <c r="A336" s="312"/>
      <c r="B336" s="312"/>
      <c r="C336" s="312"/>
      <c r="D336" s="312"/>
      <c r="E336" s="312" t="s">
        <v>288</v>
      </c>
      <c r="F336" s="312"/>
      <c r="G336" s="108">
        <f t="shared" ref="G336:W336" si="195">G288+G293+G308+G334</f>
        <v>112075539297</v>
      </c>
      <c r="H336" s="108">
        <f t="shared" si="195"/>
        <v>9272065878</v>
      </c>
      <c r="I336" s="108">
        <f t="shared" si="195"/>
        <v>8245408277</v>
      </c>
      <c r="J336" s="108">
        <f t="shared" si="195"/>
        <v>8626655631</v>
      </c>
      <c r="K336" s="108">
        <f t="shared" si="195"/>
        <v>4152878200</v>
      </c>
      <c r="L336" s="108">
        <f t="shared" si="195"/>
        <v>4022399310</v>
      </c>
      <c r="M336" s="108">
        <f t="shared" si="195"/>
        <v>4422262584</v>
      </c>
      <c r="N336" s="108">
        <f t="shared" si="195"/>
        <v>6315698680</v>
      </c>
      <c r="O336" s="108">
        <f t="shared" si="195"/>
        <v>5787222521</v>
      </c>
      <c r="P336" s="108">
        <f t="shared" si="195"/>
        <v>3853378696</v>
      </c>
      <c r="Q336" s="108">
        <f t="shared" si="195"/>
        <v>3563266110</v>
      </c>
      <c r="R336" s="108">
        <f t="shared" si="195"/>
        <v>3507348992</v>
      </c>
      <c r="S336" s="108">
        <f t="shared" si="195"/>
        <v>3844466057</v>
      </c>
      <c r="T336" s="108">
        <f t="shared" si="195"/>
        <v>4001500389</v>
      </c>
      <c r="U336" s="108">
        <f t="shared" si="195"/>
        <v>3960344989</v>
      </c>
      <c r="V336" s="108">
        <f t="shared" si="195"/>
        <v>4165290264</v>
      </c>
      <c r="W336" s="108">
        <f t="shared" si="195"/>
        <v>65613050936</v>
      </c>
      <c r="X336" s="55"/>
      <c r="Y336" s="108">
        <f t="shared" ref="Y336:AJ336" si="196">Y288+Y293+Y308+Y334</f>
        <v>4959631545.840641</v>
      </c>
      <c r="Z336" s="108">
        <f t="shared" si="196"/>
        <v>6559631545.840641</v>
      </c>
      <c r="AA336" s="108">
        <f t="shared" si="196"/>
        <v>5038631545.840641</v>
      </c>
      <c r="AB336" s="108">
        <f t="shared" si="196"/>
        <v>5018631545.840641</v>
      </c>
      <c r="AC336" s="108">
        <f t="shared" si="196"/>
        <v>6618631545.840641</v>
      </c>
      <c r="AD336" s="108">
        <f t="shared" si="196"/>
        <v>5198631545.840641</v>
      </c>
      <c r="AE336" s="108">
        <f t="shared" si="196"/>
        <v>5112631545.840641</v>
      </c>
      <c r="AF336" s="108">
        <f t="shared" si="196"/>
        <v>6712631545.840641</v>
      </c>
      <c r="AG336" s="108">
        <f t="shared" si="196"/>
        <v>5322631545.840641</v>
      </c>
      <c r="AH336" s="108">
        <f t="shared" si="196"/>
        <v>5122631545.840641</v>
      </c>
      <c r="AI336" s="108">
        <f t="shared" si="196"/>
        <v>5112631545.840641</v>
      </c>
      <c r="AJ336" s="108">
        <f t="shared" si="196"/>
        <v>6892631545.840641</v>
      </c>
      <c r="AK336" s="108">
        <v>67669578550.0877</v>
      </c>
      <c r="AL336" s="55"/>
      <c r="AM336" s="108">
        <f t="shared" ref="AM336:AY336" si="197">AM288+AM293+AM308+AM334</f>
        <v>5048833333.333334</v>
      </c>
      <c r="AN336" s="108">
        <f t="shared" si="197"/>
        <v>6648833333.333334</v>
      </c>
      <c r="AO336" s="108">
        <f t="shared" si="197"/>
        <v>5127833333.333334</v>
      </c>
      <c r="AP336" s="108">
        <f t="shared" si="197"/>
        <v>5607833333.333334</v>
      </c>
      <c r="AQ336" s="108">
        <f t="shared" si="197"/>
        <v>7427833333.333334</v>
      </c>
      <c r="AR336" s="108">
        <f t="shared" si="197"/>
        <v>6007833333.333334</v>
      </c>
      <c r="AS336" s="108">
        <f t="shared" si="197"/>
        <v>5921833333.333334</v>
      </c>
      <c r="AT336" s="108">
        <f t="shared" si="197"/>
        <v>7521833333.333334</v>
      </c>
      <c r="AU336" s="108">
        <f t="shared" si="197"/>
        <v>6131833333.333334</v>
      </c>
      <c r="AV336" s="108">
        <f t="shared" si="197"/>
        <v>5931833333.333334</v>
      </c>
      <c r="AW336" s="108">
        <f t="shared" si="197"/>
        <v>5921833333.333334</v>
      </c>
      <c r="AX336" s="108">
        <f t="shared" si="197"/>
        <v>7701833333.333334</v>
      </c>
      <c r="AY336" s="114">
        <f t="shared" si="197"/>
        <v>75000000000</v>
      </c>
      <c r="AZ336" s="55"/>
      <c r="BA336" s="226">
        <f t="shared" ref="BA336:CT336" si="198">BA288+BA293+BA308+BA334</f>
        <v>3447530619</v>
      </c>
      <c r="BB336" s="226">
        <f t="shared" si="198"/>
        <v>4283332593</v>
      </c>
      <c r="BC336" s="226">
        <f t="shared" si="198"/>
        <v>3984794050</v>
      </c>
      <c r="BD336" s="226">
        <f t="shared" si="198"/>
        <v>6941534110</v>
      </c>
      <c r="BE336" s="226">
        <f t="shared" si="198"/>
        <v>4504900000</v>
      </c>
      <c r="BF336" s="226">
        <f t="shared" si="198"/>
        <v>4883208432</v>
      </c>
      <c r="BG336" s="226">
        <f t="shared" si="198"/>
        <v>4132800000</v>
      </c>
      <c r="BH336" s="226">
        <f t="shared" si="198"/>
        <v>4061367773</v>
      </c>
      <c r="BI336" s="226">
        <f t="shared" si="198"/>
        <v>5432600000</v>
      </c>
      <c r="BJ336" s="226">
        <f t="shared" si="198"/>
        <v>4187216361</v>
      </c>
      <c r="BK336" s="226">
        <f t="shared" si="198"/>
        <v>4800200000</v>
      </c>
      <c r="BL336" s="226">
        <f t="shared" si="198"/>
        <v>3676108960</v>
      </c>
      <c r="BM336" s="226">
        <f t="shared" si="198"/>
        <v>6907533333.333334</v>
      </c>
      <c r="BN336" s="704">
        <f t="shared" si="198"/>
        <v>4390106776</v>
      </c>
      <c r="BO336" s="704">
        <f t="shared" si="198"/>
        <v>5590700000</v>
      </c>
      <c r="BP336" s="704">
        <f t="shared" si="198"/>
        <v>0</v>
      </c>
      <c r="BQ336" s="704">
        <f>BQ288+BQ293+BQ308+BQ334</f>
        <v>4678700000</v>
      </c>
      <c r="BR336" s="704">
        <f>BR288+BR293+BR308+BR334</f>
        <v>4957900000</v>
      </c>
      <c r="BS336" s="704">
        <f t="shared" si="198"/>
        <v>0</v>
      </c>
      <c r="BT336" s="704">
        <f>BT288+BT293+BT308+BT334</f>
        <v>4678700000</v>
      </c>
      <c r="BU336" s="704">
        <f t="shared" si="198"/>
        <v>5182900000</v>
      </c>
      <c r="BV336" s="704">
        <f t="shared" si="198"/>
        <v>0</v>
      </c>
      <c r="BW336" s="704">
        <f>BW288+BW293+BW308+BW334</f>
        <v>5914700000</v>
      </c>
      <c r="BX336" s="704">
        <f t="shared" si="198"/>
        <v>6718900000</v>
      </c>
      <c r="BY336" s="704">
        <f t="shared" si="198"/>
        <v>0</v>
      </c>
      <c r="BZ336" s="704">
        <f>BZ288+BZ293+BZ308+BZ334</f>
        <v>6552700000</v>
      </c>
      <c r="CA336" s="704">
        <f t="shared" si="198"/>
        <v>7719800000</v>
      </c>
      <c r="CB336" s="697">
        <f t="shared" si="198"/>
        <v>60449905624</v>
      </c>
      <c r="CC336" s="704">
        <f t="shared" si="198"/>
        <v>60449905624</v>
      </c>
      <c r="CD336" s="738"/>
      <c r="CE336" s="329">
        <f>CE288+CE293+CE308+CE334</f>
        <v>5696700000</v>
      </c>
      <c r="CF336" s="329">
        <f t="shared" ref="CF336:CQ336" si="199">CF288+CF293+CF308+CF334</f>
        <v>5706700000</v>
      </c>
      <c r="CG336" s="329">
        <f t="shared" si="199"/>
        <v>5706700000</v>
      </c>
      <c r="CH336" s="329">
        <f t="shared" si="199"/>
        <v>5696700000</v>
      </c>
      <c r="CI336" s="329">
        <f t="shared" si="199"/>
        <v>5791700000</v>
      </c>
      <c r="CJ336" s="329">
        <f t="shared" si="199"/>
        <v>5921700000</v>
      </c>
      <c r="CK336" s="329">
        <f t="shared" si="199"/>
        <v>5911700000</v>
      </c>
      <c r="CL336" s="329">
        <f t="shared" si="199"/>
        <v>5881700000</v>
      </c>
      <c r="CM336" s="329">
        <f t="shared" si="199"/>
        <v>5881700000</v>
      </c>
      <c r="CN336" s="329">
        <f t="shared" si="199"/>
        <v>5881700000</v>
      </c>
      <c r="CO336" s="329">
        <f t="shared" si="199"/>
        <v>5901700000</v>
      </c>
      <c r="CP336" s="329">
        <f t="shared" si="199"/>
        <v>5861700000</v>
      </c>
      <c r="CQ336" s="329">
        <f t="shared" si="199"/>
        <v>69840400000</v>
      </c>
      <c r="CR336" s="329">
        <f>CR288+CR293+CR308+CR334</f>
        <v>71865450951.447098</v>
      </c>
      <c r="CS336" s="329">
        <f t="shared" si="198"/>
        <v>77794196799.574142</v>
      </c>
      <c r="CT336" s="329">
        <f t="shared" si="198"/>
        <v>102961504563.90109</v>
      </c>
      <c r="CU336" s="329">
        <f>CU288+CU293+CU308+CU334</f>
        <v>115359156559.7724</v>
      </c>
      <c r="CV336" s="57"/>
    </row>
    <row r="337" spans="1:101" ht="15.5">
      <c r="A337" s="301"/>
      <c r="B337" s="301"/>
      <c r="C337" s="301"/>
      <c r="D337" s="301"/>
      <c r="E337" s="301"/>
      <c r="F337" s="301"/>
      <c r="G337" s="76"/>
      <c r="H337" s="76"/>
      <c r="I337" s="76"/>
      <c r="J337" s="76"/>
      <c r="K337" s="76"/>
      <c r="L337" s="76"/>
      <c r="M337" s="76"/>
      <c r="N337" s="76"/>
      <c r="O337" s="77"/>
      <c r="P337" s="76"/>
      <c r="Q337" s="76"/>
      <c r="R337" s="76"/>
      <c r="S337" s="76"/>
      <c r="T337" s="76"/>
      <c r="U337" s="76"/>
      <c r="V337" s="76"/>
      <c r="W337" s="76"/>
      <c r="X337" s="55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7"/>
      <c r="AL337" s="55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7"/>
      <c r="AZ337" s="55"/>
      <c r="BA337" s="77"/>
      <c r="BB337" s="77"/>
      <c r="BC337" s="77"/>
      <c r="BD337" s="77"/>
      <c r="BE337" s="77"/>
      <c r="BF337" s="77"/>
      <c r="BG337" s="77"/>
      <c r="BH337" s="77"/>
      <c r="BI337" s="77"/>
      <c r="BJ337" s="77"/>
      <c r="BK337" s="77"/>
      <c r="BL337" s="77"/>
      <c r="BM337" s="77"/>
      <c r="BN337" s="699"/>
      <c r="BO337" s="699"/>
      <c r="BP337" s="699"/>
      <c r="BQ337" s="699"/>
      <c r="BR337" s="699"/>
      <c r="BS337" s="699"/>
      <c r="BT337" s="699"/>
      <c r="BU337" s="699"/>
      <c r="BV337" s="699"/>
      <c r="BW337" s="699"/>
      <c r="BX337" s="699"/>
      <c r="BY337" s="699"/>
      <c r="BZ337" s="699"/>
      <c r="CA337" s="699"/>
      <c r="CB337" s="699"/>
      <c r="CC337" s="699"/>
      <c r="CD337" s="738"/>
      <c r="CE337" s="326"/>
      <c r="CF337" s="326"/>
      <c r="CG337" s="326"/>
      <c r="CH337" s="326"/>
      <c r="CI337" s="326"/>
      <c r="CJ337" s="326"/>
      <c r="CK337" s="326"/>
      <c r="CL337" s="326"/>
      <c r="CM337" s="326"/>
      <c r="CN337" s="326"/>
      <c r="CO337" s="326"/>
      <c r="CP337" s="326"/>
      <c r="CQ337" s="326"/>
      <c r="CR337" s="326"/>
      <c r="CS337" s="326"/>
      <c r="CT337" s="326"/>
      <c r="CU337" s="326"/>
      <c r="CV337" s="57"/>
    </row>
    <row r="338" spans="1:101" ht="18.5">
      <c r="A338" s="301"/>
      <c r="B338" s="301"/>
      <c r="C338" s="301"/>
      <c r="D338" s="301"/>
      <c r="E338" s="301"/>
      <c r="F338" s="301"/>
      <c r="G338" s="76"/>
      <c r="H338" s="76"/>
      <c r="I338" s="76"/>
      <c r="J338" s="76"/>
      <c r="K338" s="76"/>
      <c r="L338" s="76"/>
      <c r="M338" s="76"/>
      <c r="N338" s="76"/>
      <c r="O338" s="77"/>
      <c r="P338" s="76"/>
      <c r="Q338" s="76"/>
      <c r="R338" s="76"/>
      <c r="S338" s="76"/>
      <c r="T338" s="76"/>
      <c r="U338" s="76"/>
      <c r="V338" s="76"/>
      <c r="W338" s="76"/>
      <c r="X338" s="55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7"/>
      <c r="AL338" s="55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118">
        <v>75000000000</v>
      </c>
      <c r="AZ338" s="55"/>
      <c r="BA338" s="77"/>
      <c r="BB338" s="77"/>
      <c r="BC338" s="77"/>
      <c r="BD338" s="77"/>
      <c r="BE338" s="77"/>
      <c r="BF338" s="77"/>
      <c r="BG338" s="77"/>
      <c r="BH338" s="77"/>
      <c r="BI338" s="77"/>
      <c r="BJ338" s="77"/>
      <c r="BK338" s="77"/>
      <c r="BL338" s="77"/>
      <c r="BM338" s="77"/>
      <c r="BN338" s="699"/>
      <c r="BO338" s="699"/>
      <c r="BP338" s="699"/>
      <c r="BQ338" s="699"/>
      <c r="BR338" s="699"/>
      <c r="BS338" s="699"/>
      <c r="BT338" s="699"/>
      <c r="BU338" s="699"/>
      <c r="BV338" s="699"/>
      <c r="BW338" s="699"/>
      <c r="BX338" s="699"/>
      <c r="BY338" s="699"/>
      <c r="BZ338" s="699"/>
      <c r="CA338" s="699"/>
      <c r="CB338" s="699"/>
      <c r="CC338" s="699"/>
      <c r="CD338" s="738"/>
      <c r="CE338" s="326"/>
      <c r="CF338" s="326"/>
      <c r="CG338" s="326"/>
      <c r="CH338" s="326"/>
      <c r="CI338" s="326"/>
      <c r="CJ338" s="326"/>
      <c r="CK338" s="326"/>
      <c r="CL338" s="326"/>
      <c r="CM338" s="326"/>
      <c r="CN338" s="326"/>
      <c r="CO338" s="326"/>
      <c r="CP338" s="326"/>
      <c r="CQ338" s="326"/>
      <c r="CR338" s="326"/>
      <c r="CS338" s="326"/>
      <c r="CT338" s="326"/>
      <c r="CU338" s="326"/>
      <c r="CV338" s="57"/>
    </row>
    <row r="339" spans="1:101" ht="15.5">
      <c r="A339" s="301"/>
      <c r="B339" s="301"/>
      <c r="C339" s="301"/>
      <c r="D339" s="301"/>
      <c r="E339" s="301"/>
      <c r="F339" s="301"/>
      <c r="G339" s="76"/>
      <c r="H339" s="76"/>
      <c r="I339" s="76"/>
      <c r="J339" s="76"/>
      <c r="K339" s="76"/>
      <c r="L339" s="76"/>
      <c r="M339" s="76"/>
      <c r="N339" s="76"/>
      <c r="O339" s="77"/>
      <c r="P339" s="76"/>
      <c r="Q339" s="76"/>
      <c r="R339" s="76"/>
      <c r="S339" s="76"/>
      <c r="T339" s="76"/>
      <c r="U339" s="76"/>
      <c r="V339" s="76"/>
      <c r="W339" s="76"/>
      <c r="X339" s="55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7"/>
      <c r="AL339" s="55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7"/>
      <c r="AZ339" s="55"/>
      <c r="BA339" s="77"/>
      <c r="BB339" s="77"/>
      <c r="BC339" s="77"/>
      <c r="BD339" s="77"/>
      <c r="BE339" s="77"/>
      <c r="BF339" s="77"/>
      <c r="BG339" s="77"/>
      <c r="BH339" s="77"/>
      <c r="BI339" s="77"/>
      <c r="BJ339" s="77"/>
      <c r="BK339" s="77"/>
      <c r="BL339" s="77"/>
      <c r="BM339" s="77"/>
      <c r="BN339" s="699"/>
      <c r="BO339" s="699"/>
      <c r="BP339" s="699"/>
      <c r="BQ339" s="699"/>
      <c r="BR339" s="699"/>
      <c r="BS339" s="699"/>
      <c r="BT339" s="699"/>
      <c r="BU339" s="699"/>
      <c r="BV339" s="699"/>
      <c r="BW339" s="699"/>
      <c r="BX339" s="699"/>
      <c r="BY339" s="699"/>
      <c r="BZ339" s="699"/>
      <c r="CA339" s="699"/>
      <c r="CB339" s="699"/>
      <c r="CC339" s="699"/>
      <c r="CD339" s="738"/>
      <c r="CE339" s="326"/>
      <c r="CF339" s="326"/>
      <c r="CG339" s="326"/>
      <c r="CH339" s="326"/>
      <c r="CI339" s="326"/>
      <c r="CJ339" s="326"/>
      <c r="CK339" s="326"/>
      <c r="CL339" s="326"/>
      <c r="CM339" s="326"/>
      <c r="CN339" s="326"/>
      <c r="CO339" s="326"/>
      <c r="CP339" s="326"/>
      <c r="CQ339" s="326"/>
      <c r="CR339" s="326"/>
      <c r="CS339" s="326"/>
      <c r="CT339" s="326"/>
      <c r="CU339" s="326"/>
      <c r="CV339" s="57"/>
    </row>
    <row r="340" spans="1:101" ht="15.5">
      <c r="A340" s="284"/>
      <c r="B340" s="284"/>
      <c r="C340" s="284"/>
      <c r="D340" s="284"/>
      <c r="E340" s="284" t="s">
        <v>289</v>
      </c>
      <c r="F340" s="284"/>
      <c r="G340" s="53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5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6"/>
      <c r="AL340" s="55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6"/>
      <c r="AZ340" s="55"/>
      <c r="BA340" s="56"/>
      <c r="BB340" s="56"/>
      <c r="BC340" s="227"/>
      <c r="BD340" s="56"/>
      <c r="BE340" s="227"/>
      <c r="BF340" s="56"/>
      <c r="BG340" s="227"/>
      <c r="BH340" s="56"/>
      <c r="BI340" s="227"/>
      <c r="BJ340" s="56"/>
      <c r="BK340" s="227"/>
      <c r="BL340" s="56"/>
      <c r="BM340" s="227"/>
      <c r="BN340" s="693"/>
      <c r="BO340" s="705"/>
      <c r="BP340" s="693"/>
      <c r="BQ340" s="705"/>
      <c r="BR340" s="705"/>
      <c r="BS340" s="693"/>
      <c r="BT340" s="705"/>
      <c r="BU340" s="705"/>
      <c r="BV340" s="693"/>
      <c r="BW340" s="705"/>
      <c r="BX340" s="705"/>
      <c r="BY340" s="693"/>
      <c r="BZ340" s="705"/>
      <c r="CA340" s="705"/>
      <c r="CB340" s="693"/>
      <c r="CC340" s="705"/>
      <c r="CD340" s="737"/>
      <c r="CE340" s="321"/>
      <c r="CF340" s="321"/>
      <c r="CG340" s="321"/>
      <c r="CH340" s="321"/>
      <c r="CI340" s="321"/>
      <c r="CJ340" s="321"/>
      <c r="CK340" s="321"/>
      <c r="CL340" s="321"/>
      <c r="CM340" s="321"/>
      <c r="CN340" s="321"/>
      <c r="CO340" s="321"/>
      <c r="CP340" s="321"/>
      <c r="CQ340" s="321"/>
      <c r="CR340" s="321"/>
      <c r="CS340" s="321"/>
      <c r="CT340" s="321"/>
      <c r="CU340" s="321"/>
      <c r="CV340" s="57"/>
      <c r="CW340" s="57"/>
    </row>
    <row r="341" spans="1:101" ht="15.5" outlineLevel="1">
      <c r="A341" s="285"/>
      <c r="B341" s="285"/>
      <c r="C341" s="285"/>
      <c r="D341" s="285"/>
      <c r="E341" s="285" t="s">
        <v>290</v>
      </c>
      <c r="F341" s="285"/>
      <c r="G341" s="58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5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80"/>
      <c r="AL341" s="55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80"/>
      <c r="AZ341" s="55"/>
      <c r="BA341" s="80"/>
      <c r="BB341" s="80"/>
      <c r="BC341" s="225"/>
      <c r="BD341" s="80"/>
      <c r="BE341" s="225"/>
      <c r="BF341" s="80"/>
      <c r="BG341" s="225"/>
      <c r="BH341" s="80"/>
      <c r="BI341" s="225"/>
      <c r="BJ341" s="80"/>
      <c r="BK341" s="225"/>
      <c r="BL341" s="80"/>
      <c r="BM341" s="225"/>
      <c r="BN341" s="701"/>
      <c r="BO341" s="694"/>
      <c r="BP341" s="701"/>
      <c r="BQ341" s="694"/>
      <c r="BR341" s="694"/>
      <c r="BS341" s="701"/>
      <c r="BT341" s="694"/>
      <c r="BU341" s="694"/>
      <c r="BV341" s="701"/>
      <c r="BW341" s="694"/>
      <c r="BX341" s="694"/>
      <c r="BY341" s="701"/>
      <c r="BZ341" s="694"/>
      <c r="CA341" s="694"/>
      <c r="CB341" s="701"/>
      <c r="CC341" s="694"/>
      <c r="CD341" s="737"/>
      <c r="CE341" s="327"/>
      <c r="CF341" s="327"/>
      <c r="CG341" s="327"/>
      <c r="CH341" s="327"/>
      <c r="CI341" s="327"/>
      <c r="CJ341" s="327"/>
      <c r="CK341" s="327"/>
      <c r="CL341" s="327"/>
      <c r="CM341" s="327"/>
      <c r="CN341" s="327"/>
      <c r="CO341" s="327"/>
      <c r="CP341" s="327"/>
      <c r="CQ341" s="327"/>
      <c r="CR341" s="327"/>
      <c r="CS341" s="327"/>
      <c r="CT341" s="327"/>
      <c r="CU341" s="327"/>
      <c r="CV341" s="57"/>
    </row>
    <row r="342" spans="1:101" ht="15.5" outlineLevel="1">
      <c r="A342" s="301" t="s">
        <v>291</v>
      </c>
      <c r="B342" s="301" t="str">
        <f>$E$340&amp;$E$341&amp;E342</f>
        <v>EXIM (2021 move to BP)EXIM JAKARTASUBTOTAL EXIM JAKARTA</v>
      </c>
      <c r="C342" s="301" t="s">
        <v>292</v>
      </c>
      <c r="D342" s="301" t="s">
        <v>40</v>
      </c>
      <c r="E342" s="301" t="s">
        <v>293</v>
      </c>
      <c r="F342" s="301"/>
      <c r="G342" s="76">
        <v>29869969976</v>
      </c>
      <c r="H342" s="76">
        <v>908076429</v>
      </c>
      <c r="I342" s="76">
        <v>618094516</v>
      </c>
      <c r="J342" s="76">
        <v>471045325</v>
      </c>
      <c r="K342" s="76">
        <v>755874722</v>
      </c>
      <c r="L342" s="76">
        <v>2182963962</v>
      </c>
      <c r="M342" s="76">
        <v>2510406841</v>
      </c>
      <c r="N342" s="76">
        <v>2256527619</v>
      </c>
      <c r="O342" s="77">
        <v>1030049048</v>
      </c>
      <c r="P342" s="76">
        <v>961089398</v>
      </c>
      <c r="Q342" s="76">
        <v>425037096</v>
      </c>
      <c r="R342" s="76">
        <v>171450373</v>
      </c>
      <c r="S342" s="76">
        <v>9423607997</v>
      </c>
      <c r="T342" s="76">
        <v>1856000000</v>
      </c>
      <c r="U342" s="76">
        <v>1856000000</v>
      </c>
      <c r="V342" s="76">
        <v>1856000000</v>
      </c>
      <c r="W342" s="76">
        <f>SUM(H342:S342)</f>
        <v>21714223326</v>
      </c>
      <c r="X342" s="55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>
        <v>0</v>
      </c>
      <c r="AL342" s="55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>
        <v>0</v>
      </c>
      <c r="AZ342" s="55"/>
      <c r="BA342" s="77">
        <v>342593037</v>
      </c>
      <c r="BB342" s="77">
        <v>20855420</v>
      </c>
      <c r="BC342" s="77">
        <v>20855420</v>
      </c>
      <c r="BD342" s="77">
        <v>0</v>
      </c>
      <c r="BE342" s="77">
        <v>20855420</v>
      </c>
      <c r="BF342" s="77">
        <v>-3520000</v>
      </c>
      <c r="BG342" s="77"/>
      <c r="BH342" s="77"/>
      <c r="BI342" s="77"/>
      <c r="BJ342" s="77"/>
      <c r="BK342" s="77"/>
      <c r="BL342" s="77"/>
      <c r="BM342" s="77"/>
      <c r="BN342" s="699"/>
      <c r="BO342" s="699"/>
      <c r="BP342" s="699"/>
      <c r="BQ342" s="699"/>
      <c r="BR342" s="699"/>
      <c r="BS342" s="699"/>
      <c r="BT342" s="699"/>
      <c r="BU342" s="699"/>
      <c r="BV342" s="699"/>
      <c r="BW342" s="699"/>
      <c r="BX342" s="699"/>
      <c r="BY342" s="699"/>
      <c r="BZ342" s="699"/>
      <c r="CA342" s="699"/>
      <c r="CB342" s="720">
        <f>SUM(BA342,BB342,BD342,BF342,BH342,BJ342,BL342,BN342,BP342,BR342,BU342,BX342,CA342)</f>
        <v>359928457</v>
      </c>
      <c r="CC342" s="721">
        <f>SUM(BA342,BB342,BD342,BF342,BH342,BJ342,BL342,BN342,BR342,BU342,BX342,CA342)</f>
        <v>359928457</v>
      </c>
      <c r="CD342" s="738"/>
      <c r="CE342" s="326"/>
      <c r="CF342" s="326"/>
      <c r="CG342" s="326"/>
      <c r="CH342" s="326"/>
      <c r="CI342" s="326"/>
      <c r="CJ342" s="326"/>
      <c r="CK342" s="326"/>
      <c r="CL342" s="326"/>
      <c r="CM342" s="326"/>
      <c r="CN342" s="326"/>
      <c r="CO342" s="326"/>
      <c r="CP342" s="326"/>
      <c r="CQ342" s="326"/>
      <c r="CR342" s="326"/>
      <c r="CS342" s="326"/>
      <c r="CT342" s="326"/>
      <c r="CU342" s="326"/>
      <c r="CV342" s="57"/>
    </row>
    <row r="343" spans="1:101" ht="15.5" outlineLevel="1">
      <c r="A343" s="285"/>
      <c r="B343" s="285"/>
      <c r="C343" s="285"/>
      <c r="D343" s="285"/>
      <c r="E343" s="285" t="s">
        <v>294</v>
      </c>
      <c r="F343" s="285"/>
      <c r="G343" s="58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5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80"/>
      <c r="AL343" s="55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80"/>
      <c r="AZ343" s="55"/>
      <c r="BA343" s="80"/>
      <c r="BB343" s="80"/>
      <c r="BC343" s="225"/>
      <c r="BD343" s="80"/>
      <c r="BE343" s="225"/>
      <c r="BF343" s="80"/>
      <c r="BG343" s="225"/>
      <c r="BH343" s="80"/>
      <c r="BI343" s="225"/>
      <c r="BJ343" s="80"/>
      <c r="BK343" s="225"/>
      <c r="BL343" s="80"/>
      <c r="BM343" s="225"/>
      <c r="BN343" s="701"/>
      <c r="BO343" s="694"/>
      <c r="BP343" s="701"/>
      <c r="BQ343" s="694"/>
      <c r="BR343" s="694"/>
      <c r="BS343" s="701"/>
      <c r="BT343" s="694"/>
      <c r="BU343" s="694"/>
      <c r="BV343" s="701"/>
      <c r="BW343" s="694"/>
      <c r="BX343" s="694"/>
      <c r="BY343" s="701"/>
      <c r="BZ343" s="694"/>
      <c r="CA343" s="694"/>
      <c r="CB343" s="701"/>
      <c r="CC343" s="694"/>
      <c r="CD343" s="737"/>
      <c r="CE343" s="327"/>
      <c r="CF343" s="327"/>
      <c r="CG343" s="327"/>
      <c r="CH343" s="327"/>
      <c r="CI343" s="327"/>
      <c r="CJ343" s="327"/>
      <c r="CK343" s="327"/>
      <c r="CL343" s="327"/>
      <c r="CM343" s="327"/>
      <c r="CN343" s="327"/>
      <c r="CO343" s="327"/>
      <c r="CP343" s="327"/>
      <c r="CQ343" s="327"/>
      <c r="CR343" s="327"/>
      <c r="CS343" s="327"/>
      <c r="CT343" s="327"/>
      <c r="CU343" s="327"/>
      <c r="CV343" s="57"/>
    </row>
    <row r="344" spans="1:101" ht="15.5" outlineLevel="1">
      <c r="A344" s="301" t="s">
        <v>159</v>
      </c>
      <c r="B344" s="301" t="str">
        <f>$E$340&amp;$E$343&amp;E344</f>
        <v>EXIM (2021 move to BP)EXIM SEMARANGSUBTOTAL EXIM SEMARANG</v>
      </c>
      <c r="C344" s="301" t="s">
        <v>292</v>
      </c>
      <c r="D344" s="301" t="s">
        <v>40</v>
      </c>
      <c r="E344" s="301" t="s">
        <v>295</v>
      </c>
      <c r="F344" s="301"/>
      <c r="G344" s="76">
        <v>2103870360</v>
      </c>
      <c r="H344" s="76">
        <v>3374000</v>
      </c>
      <c r="I344" s="76">
        <v>19309130</v>
      </c>
      <c r="J344" s="76">
        <v>81483174</v>
      </c>
      <c r="K344" s="76">
        <v>0</v>
      </c>
      <c r="L344" s="76">
        <v>0</v>
      </c>
      <c r="M344" s="76">
        <v>22907343</v>
      </c>
      <c r="N344" s="76">
        <v>36322144</v>
      </c>
      <c r="O344" s="77">
        <v>0</v>
      </c>
      <c r="P344" s="76">
        <v>0</v>
      </c>
      <c r="Q344" s="76"/>
      <c r="R344" s="76"/>
      <c r="S344" s="76"/>
      <c r="T344" s="76">
        <v>0</v>
      </c>
      <c r="U344" s="76">
        <v>0</v>
      </c>
      <c r="V344" s="76">
        <v>0</v>
      </c>
      <c r="W344" s="76">
        <f>SUM(H344:S344)</f>
        <v>163395791</v>
      </c>
      <c r="X344" s="55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>
        <v>0</v>
      </c>
      <c r="AL344" s="55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>
        <v>0</v>
      </c>
      <c r="AZ344" s="55"/>
      <c r="BA344" s="77">
        <v>0</v>
      </c>
      <c r="BB344" s="77">
        <v>0</v>
      </c>
      <c r="BC344" s="77">
        <v>0</v>
      </c>
      <c r="BD344" s="77">
        <v>0</v>
      </c>
      <c r="BE344" s="77">
        <v>0</v>
      </c>
      <c r="BF344" s="77">
        <v>0</v>
      </c>
      <c r="BG344" s="77"/>
      <c r="BH344" s="77"/>
      <c r="BI344" s="77"/>
      <c r="BJ344" s="77"/>
      <c r="BK344" s="77"/>
      <c r="BL344" s="77"/>
      <c r="BM344" s="77"/>
      <c r="BN344" s="699"/>
      <c r="BO344" s="699"/>
      <c r="BP344" s="699"/>
      <c r="BQ344" s="699"/>
      <c r="BR344" s="699"/>
      <c r="BS344" s="699"/>
      <c r="BT344" s="699"/>
      <c r="BU344" s="699"/>
      <c r="BV344" s="699"/>
      <c r="BW344" s="699"/>
      <c r="BX344" s="699"/>
      <c r="BY344" s="699"/>
      <c r="BZ344" s="699"/>
      <c r="CA344" s="699"/>
      <c r="CB344" s="720">
        <f>SUM(BA344,BB344,BD344,BF344,BH344,BJ344,BL344,BN344,BP344,BR344,BU344,BX344,CA344)</f>
        <v>0</v>
      </c>
      <c r="CC344" s="721">
        <f>SUM(BA344,BB344,BD344,BF344,BH344,BJ344,BL344,BN344,BR344,BU344,BX344,CA344)</f>
        <v>0</v>
      </c>
      <c r="CD344" s="738"/>
      <c r="CE344" s="326"/>
      <c r="CF344" s="326"/>
      <c r="CG344" s="326"/>
      <c r="CH344" s="326"/>
      <c r="CI344" s="326"/>
      <c r="CJ344" s="326"/>
      <c r="CK344" s="326"/>
      <c r="CL344" s="326"/>
      <c r="CM344" s="326"/>
      <c r="CN344" s="326"/>
      <c r="CO344" s="326"/>
      <c r="CP344" s="326"/>
      <c r="CQ344" s="326"/>
      <c r="CR344" s="326"/>
      <c r="CS344" s="326"/>
      <c r="CT344" s="326"/>
      <c r="CU344" s="326"/>
      <c r="CV344" s="57"/>
    </row>
    <row r="345" spans="1:101" ht="15.5" outlineLevel="1">
      <c r="A345" s="285"/>
      <c r="B345" s="285"/>
      <c r="C345" s="285"/>
      <c r="D345" s="285"/>
      <c r="E345" s="285" t="s">
        <v>296</v>
      </c>
      <c r="F345" s="285"/>
      <c r="G345" s="58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5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80"/>
      <c r="AL345" s="55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80"/>
      <c r="AZ345" s="55"/>
      <c r="BA345" s="80"/>
      <c r="BB345" s="80"/>
      <c r="BC345" s="225"/>
      <c r="BD345" s="80"/>
      <c r="BE345" s="225"/>
      <c r="BF345" s="80"/>
      <c r="BG345" s="225"/>
      <c r="BH345" s="80"/>
      <c r="BI345" s="225"/>
      <c r="BJ345" s="80"/>
      <c r="BK345" s="225"/>
      <c r="BL345" s="80"/>
      <c r="BM345" s="225"/>
      <c r="BN345" s="701"/>
      <c r="BO345" s="694"/>
      <c r="BP345" s="701"/>
      <c r="BQ345" s="694"/>
      <c r="BR345" s="694"/>
      <c r="BS345" s="701"/>
      <c r="BT345" s="694"/>
      <c r="BU345" s="694"/>
      <c r="BV345" s="701"/>
      <c r="BW345" s="694"/>
      <c r="BX345" s="694"/>
      <c r="BY345" s="701"/>
      <c r="BZ345" s="694"/>
      <c r="CA345" s="694"/>
      <c r="CB345" s="701"/>
      <c r="CC345" s="694"/>
      <c r="CD345" s="737"/>
      <c r="CE345" s="327"/>
      <c r="CF345" s="327"/>
      <c r="CG345" s="327"/>
      <c r="CH345" s="327"/>
      <c r="CI345" s="327"/>
      <c r="CJ345" s="327"/>
      <c r="CK345" s="327"/>
      <c r="CL345" s="327"/>
      <c r="CM345" s="327"/>
      <c r="CN345" s="327"/>
      <c r="CO345" s="327"/>
      <c r="CP345" s="327"/>
      <c r="CQ345" s="327"/>
      <c r="CR345" s="327"/>
      <c r="CS345" s="327"/>
      <c r="CT345" s="327"/>
      <c r="CU345" s="327"/>
      <c r="CV345" s="57"/>
    </row>
    <row r="346" spans="1:101" ht="15.5" outlineLevel="1">
      <c r="A346" s="301" t="s">
        <v>194</v>
      </c>
      <c r="B346" s="301" t="str">
        <f>$E$340&amp;$E$345&amp;E346</f>
        <v>EXIM (2021 move to BP)EXIM SURABAYASUBTOTAL EXIM SURABAYA</v>
      </c>
      <c r="C346" s="301" t="s">
        <v>292</v>
      </c>
      <c r="D346" s="301" t="s">
        <v>40</v>
      </c>
      <c r="E346" s="301" t="s">
        <v>297</v>
      </c>
      <c r="F346" s="301"/>
      <c r="G346" s="76">
        <v>20964770030</v>
      </c>
      <c r="H346" s="76">
        <v>1076974659</v>
      </c>
      <c r="I346" s="76">
        <v>336765710</v>
      </c>
      <c r="J346" s="76">
        <v>609820894</v>
      </c>
      <c r="K346" s="76">
        <v>124364020</v>
      </c>
      <c r="L346" s="76">
        <v>4259538120</v>
      </c>
      <c r="M346" s="76">
        <v>4665840277</v>
      </c>
      <c r="N346" s="76">
        <v>637900842</v>
      </c>
      <c r="O346" s="77">
        <v>1214916444</v>
      </c>
      <c r="P346" s="76">
        <v>497416869</v>
      </c>
      <c r="Q346" s="76">
        <v>615442410</v>
      </c>
      <c r="R346" s="76">
        <v>316275000</v>
      </c>
      <c r="S346" s="76">
        <v>177026460</v>
      </c>
      <c r="T346" s="76">
        <v>455000000</v>
      </c>
      <c r="U346" s="76">
        <v>455000000</v>
      </c>
      <c r="V346" s="76">
        <v>455000000</v>
      </c>
      <c r="W346" s="76">
        <f>SUM(H346:S346)</f>
        <v>14532281705</v>
      </c>
      <c r="X346" s="55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>
        <v>0</v>
      </c>
      <c r="AL346" s="55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>
        <v>0</v>
      </c>
      <c r="AZ346" s="55"/>
      <c r="BA346" s="77">
        <v>41923000</v>
      </c>
      <c r="BB346" s="77">
        <v>0</v>
      </c>
      <c r="BC346" s="77">
        <v>0</v>
      </c>
      <c r="BD346" s="77">
        <v>0</v>
      </c>
      <c r="BE346" s="77">
        <v>0</v>
      </c>
      <c r="BF346" s="77">
        <v>0</v>
      </c>
      <c r="BG346" s="77"/>
      <c r="BH346" s="77"/>
      <c r="BI346" s="77"/>
      <c r="BJ346" s="77"/>
      <c r="BK346" s="77"/>
      <c r="BL346" s="77"/>
      <c r="BM346" s="77"/>
      <c r="BN346" s="699"/>
      <c r="BO346" s="699"/>
      <c r="BP346" s="699"/>
      <c r="BQ346" s="699"/>
      <c r="BR346" s="699"/>
      <c r="BS346" s="699"/>
      <c r="BT346" s="699"/>
      <c r="BU346" s="699"/>
      <c r="BV346" s="699"/>
      <c r="BW346" s="699"/>
      <c r="BX346" s="699"/>
      <c r="BY346" s="699"/>
      <c r="BZ346" s="699"/>
      <c r="CA346" s="699"/>
      <c r="CB346" s="720">
        <f>SUM(BA346,BB346,BD346,BF346,BH346,BJ346,BL346,BN346,BP346,BR346,BU346,BX346,CA346)</f>
        <v>41923000</v>
      </c>
      <c r="CC346" s="721">
        <f>SUM(BA346,BB346,BD346,BF346,BH346,BJ346,BL346,BN346,BR346,BU346,BX346,CA346)</f>
        <v>41923000</v>
      </c>
      <c r="CD346" s="738"/>
      <c r="CE346" s="326"/>
      <c r="CF346" s="326"/>
      <c r="CG346" s="326"/>
      <c r="CH346" s="326"/>
      <c r="CI346" s="326"/>
      <c r="CJ346" s="326"/>
      <c r="CK346" s="326"/>
      <c r="CL346" s="326"/>
      <c r="CM346" s="326"/>
      <c r="CN346" s="326"/>
      <c r="CO346" s="326"/>
      <c r="CP346" s="326"/>
      <c r="CQ346" s="326"/>
      <c r="CR346" s="326"/>
      <c r="CS346" s="326"/>
      <c r="CT346" s="326"/>
      <c r="CU346" s="326"/>
      <c r="CV346" s="57"/>
    </row>
    <row r="347" spans="1:101" ht="15.5" outlineLevel="1">
      <c r="A347" s="285"/>
      <c r="B347" s="285"/>
      <c r="C347" s="285"/>
      <c r="D347" s="285"/>
      <c r="E347" s="285" t="s">
        <v>298</v>
      </c>
      <c r="F347" s="285"/>
      <c r="G347" s="58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5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80"/>
      <c r="AL347" s="55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80"/>
      <c r="AZ347" s="55"/>
      <c r="BA347" s="80"/>
      <c r="BB347" s="80"/>
      <c r="BC347" s="225"/>
      <c r="BD347" s="80"/>
      <c r="BE347" s="225"/>
      <c r="BF347" s="80"/>
      <c r="BG347" s="225"/>
      <c r="BH347" s="80"/>
      <c r="BI347" s="225"/>
      <c r="BJ347" s="80"/>
      <c r="BK347" s="225"/>
      <c r="BL347" s="80"/>
      <c r="BM347" s="225"/>
      <c r="BN347" s="701"/>
      <c r="BO347" s="694"/>
      <c r="BP347" s="701"/>
      <c r="BQ347" s="694"/>
      <c r="BR347" s="694"/>
      <c r="BS347" s="701"/>
      <c r="BT347" s="694"/>
      <c r="BU347" s="694"/>
      <c r="BV347" s="701"/>
      <c r="BW347" s="694"/>
      <c r="BX347" s="694"/>
      <c r="BY347" s="701"/>
      <c r="BZ347" s="694"/>
      <c r="CA347" s="694"/>
      <c r="CB347" s="701"/>
      <c r="CC347" s="694"/>
      <c r="CD347" s="737"/>
      <c r="CE347" s="327"/>
      <c r="CF347" s="327"/>
      <c r="CG347" s="327"/>
      <c r="CH347" s="327"/>
      <c r="CI347" s="327"/>
      <c r="CJ347" s="327"/>
      <c r="CK347" s="327"/>
      <c r="CL347" s="327"/>
      <c r="CM347" s="327"/>
      <c r="CN347" s="327"/>
      <c r="CO347" s="327"/>
      <c r="CP347" s="327"/>
      <c r="CQ347" s="327"/>
      <c r="CR347" s="327"/>
      <c r="CS347" s="327"/>
      <c r="CT347" s="327"/>
      <c r="CU347" s="327"/>
      <c r="CV347" s="57"/>
    </row>
    <row r="348" spans="1:101" ht="15.5" outlineLevel="1">
      <c r="A348" s="301" t="s">
        <v>291</v>
      </c>
      <c r="B348" s="301" t="str">
        <f>$E$340&amp;$E$347&amp;E348</f>
        <v>EXIM (2021 move to BP)EXIM MEDANSUBTOTAL EXIM MEDAN</v>
      </c>
      <c r="C348" s="301" t="s">
        <v>292</v>
      </c>
      <c r="D348" s="301" t="s">
        <v>40</v>
      </c>
      <c r="E348" s="301" t="s">
        <v>299</v>
      </c>
      <c r="F348" s="301"/>
      <c r="G348" s="76">
        <v>5830561099</v>
      </c>
      <c r="H348" s="76">
        <v>206712860</v>
      </c>
      <c r="I348" s="76">
        <v>65249984</v>
      </c>
      <c r="J348" s="76">
        <v>86400000</v>
      </c>
      <c r="K348" s="76">
        <v>203609100</v>
      </c>
      <c r="L348" s="76">
        <v>2432719470</v>
      </c>
      <c r="M348" s="76">
        <v>345572516</v>
      </c>
      <c r="N348" s="76">
        <v>1917554</v>
      </c>
      <c r="O348" s="77">
        <v>118518930</v>
      </c>
      <c r="P348" s="76">
        <v>16400000</v>
      </c>
      <c r="Q348" s="76">
        <v>140000000</v>
      </c>
      <c r="R348" s="76">
        <v>28000000</v>
      </c>
      <c r="S348" s="76">
        <v>112000000</v>
      </c>
      <c r="T348" s="76">
        <v>553000000</v>
      </c>
      <c r="U348" s="76">
        <v>553000000</v>
      </c>
      <c r="V348" s="76">
        <v>553000000</v>
      </c>
      <c r="W348" s="76">
        <f>SUM(H348:S348)</f>
        <v>3757100414</v>
      </c>
      <c r="X348" s="55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>
        <v>0</v>
      </c>
      <c r="AL348" s="55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>
        <v>0</v>
      </c>
      <c r="AZ348" s="55"/>
      <c r="BA348" s="77">
        <v>98000000</v>
      </c>
      <c r="BB348" s="77">
        <v>0</v>
      </c>
      <c r="BC348" s="77">
        <v>0</v>
      </c>
      <c r="BD348" s="77">
        <v>0</v>
      </c>
      <c r="BE348" s="77">
        <v>0</v>
      </c>
      <c r="BF348" s="77">
        <v>0</v>
      </c>
      <c r="BG348" s="77"/>
      <c r="BH348" s="77"/>
      <c r="BI348" s="77"/>
      <c r="BJ348" s="77"/>
      <c r="BK348" s="77"/>
      <c r="BL348" s="77"/>
      <c r="BM348" s="77"/>
      <c r="BN348" s="699"/>
      <c r="BO348" s="699"/>
      <c r="BP348" s="699"/>
      <c r="BQ348" s="699"/>
      <c r="BR348" s="699"/>
      <c r="BS348" s="699"/>
      <c r="BT348" s="699"/>
      <c r="BU348" s="699"/>
      <c r="BV348" s="699"/>
      <c r="BW348" s="699"/>
      <c r="BX348" s="699"/>
      <c r="BY348" s="699"/>
      <c r="BZ348" s="699"/>
      <c r="CA348" s="699"/>
      <c r="CB348" s="720">
        <f>SUM(BA348,BB348,BD348,BF348,BH348,BJ348,BL348,BN348,BP348,BR348,BU348,BX348,CA348)</f>
        <v>98000000</v>
      </c>
      <c r="CC348" s="721">
        <f>SUM(BA348,BB348,BD348,BF348,BH348,BJ348,BL348,BN348,BR348,BU348,BX348,CA348)</f>
        <v>98000000</v>
      </c>
      <c r="CD348" s="738"/>
      <c r="CE348" s="326"/>
      <c r="CF348" s="326"/>
      <c r="CG348" s="326"/>
      <c r="CH348" s="326"/>
      <c r="CI348" s="326"/>
      <c r="CJ348" s="326"/>
      <c r="CK348" s="326"/>
      <c r="CL348" s="326"/>
      <c r="CM348" s="326"/>
      <c r="CN348" s="326"/>
      <c r="CO348" s="326"/>
      <c r="CP348" s="326"/>
      <c r="CQ348" s="326"/>
      <c r="CR348" s="326"/>
      <c r="CS348" s="326"/>
      <c r="CT348" s="326"/>
      <c r="CU348" s="326"/>
      <c r="CV348" s="57"/>
    </row>
    <row r="349" spans="1:101" ht="15.5">
      <c r="A349" s="312"/>
      <c r="B349" s="312"/>
      <c r="C349" s="312"/>
      <c r="D349" s="312"/>
      <c r="E349" s="312" t="s">
        <v>300</v>
      </c>
      <c r="F349" s="312"/>
      <c r="G349" s="108">
        <f t="shared" ref="G349:W349" si="200">G342+G344+G346+G348</f>
        <v>58769171465</v>
      </c>
      <c r="H349" s="108">
        <f t="shared" si="200"/>
        <v>2195137948</v>
      </c>
      <c r="I349" s="108">
        <f t="shared" si="200"/>
        <v>1039419340</v>
      </c>
      <c r="J349" s="108">
        <f t="shared" si="200"/>
        <v>1248749393</v>
      </c>
      <c r="K349" s="108">
        <f t="shared" si="200"/>
        <v>1083847842</v>
      </c>
      <c r="L349" s="108">
        <f t="shared" si="200"/>
        <v>8875221552</v>
      </c>
      <c r="M349" s="108">
        <f t="shared" si="200"/>
        <v>7544726977</v>
      </c>
      <c r="N349" s="108">
        <f t="shared" si="200"/>
        <v>2932668159</v>
      </c>
      <c r="O349" s="108">
        <f t="shared" si="200"/>
        <v>2363484422</v>
      </c>
      <c r="P349" s="108">
        <f t="shared" si="200"/>
        <v>1474906267</v>
      </c>
      <c r="Q349" s="108">
        <f t="shared" si="200"/>
        <v>1180479506</v>
      </c>
      <c r="R349" s="108">
        <f t="shared" si="200"/>
        <v>515725373</v>
      </c>
      <c r="S349" s="108">
        <f t="shared" si="200"/>
        <v>9712634457</v>
      </c>
      <c r="T349" s="108">
        <f t="shared" si="200"/>
        <v>2864000000</v>
      </c>
      <c r="U349" s="108">
        <f t="shared" si="200"/>
        <v>2864000000</v>
      </c>
      <c r="V349" s="108">
        <f t="shared" si="200"/>
        <v>2864000000</v>
      </c>
      <c r="W349" s="108">
        <f t="shared" si="200"/>
        <v>40167001236</v>
      </c>
      <c r="X349" s="55"/>
      <c r="Y349" s="108">
        <f t="shared" ref="Y349:AJ349" si="201">Y342+Y344+Y346+Y348</f>
        <v>0</v>
      </c>
      <c r="Z349" s="108">
        <f t="shared" si="201"/>
        <v>0</v>
      </c>
      <c r="AA349" s="108">
        <f t="shared" si="201"/>
        <v>0</v>
      </c>
      <c r="AB349" s="108">
        <f t="shared" si="201"/>
        <v>0</v>
      </c>
      <c r="AC349" s="108">
        <f t="shared" si="201"/>
        <v>0</v>
      </c>
      <c r="AD349" s="108">
        <f t="shared" si="201"/>
        <v>0</v>
      </c>
      <c r="AE349" s="108">
        <f t="shared" si="201"/>
        <v>0</v>
      </c>
      <c r="AF349" s="108">
        <f t="shared" si="201"/>
        <v>0</v>
      </c>
      <c r="AG349" s="108">
        <f t="shared" si="201"/>
        <v>0</v>
      </c>
      <c r="AH349" s="108">
        <f t="shared" si="201"/>
        <v>0</v>
      </c>
      <c r="AI349" s="108">
        <f t="shared" si="201"/>
        <v>0</v>
      </c>
      <c r="AJ349" s="108">
        <f t="shared" si="201"/>
        <v>0</v>
      </c>
      <c r="AK349" s="108">
        <v>0</v>
      </c>
      <c r="AL349" s="55"/>
      <c r="AM349" s="108">
        <v>0</v>
      </c>
      <c r="AN349" s="108">
        <v>0</v>
      </c>
      <c r="AO349" s="108">
        <v>0</v>
      </c>
      <c r="AP349" s="108">
        <v>0</v>
      </c>
      <c r="AQ349" s="108">
        <v>0</v>
      </c>
      <c r="AR349" s="108">
        <v>0</v>
      </c>
      <c r="AS349" s="108">
        <v>0</v>
      </c>
      <c r="AT349" s="108">
        <v>0</v>
      </c>
      <c r="AU349" s="108">
        <v>0</v>
      </c>
      <c r="AV349" s="108">
        <v>0</v>
      </c>
      <c r="AW349" s="108">
        <v>0</v>
      </c>
      <c r="AX349" s="108">
        <v>0</v>
      </c>
      <c r="AY349" s="108">
        <v>0</v>
      </c>
      <c r="AZ349" s="55"/>
      <c r="BA349" s="226">
        <f t="shared" ref="BA349:BF349" si="202">BA342+BA344+BA346+BA348</f>
        <v>482516037</v>
      </c>
      <c r="BB349" s="226">
        <f t="shared" si="202"/>
        <v>20855420</v>
      </c>
      <c r="BC349" s="226">
        <f t="shared" si="202"/>
        <v>20855420</v>
      </c>
      <c r="BD349" s="226">
        <f t="shared" si="202"/>
        <v>0</v>
      </c>
      <c r="BE349" s="226">
        <f t="shared" si="202"/>
        <v>20855420</v>
      </c>
      <c r="BF349" s="226">
        <f t="shared" si="202"/>
        <v>-3520000</v>
      </c>
      <c r="BG349" s="226">
        <f t="shared" ref="BG349:BL349" si="203">BG342+BG344+BG346+BG348</f>
        <v>0</v>
      </c>
      <c r="BH349" s="226">
        <f t="shared" si="203"/>
        <v>0</v>
      </c>
      <c r="BI349" s="226">
        <f t="shared" si="203"/>
        <v>0</v>
      </c>
      <c r="BJ349" s="226">
        <f t="shared" si="203"/>
        <v>0</v>
      </c>
      <c r="BK349" s="226">
        <f t="shared" si="203"/>
        <v>0</v>
      </c>
      <c r="BL349" s="226">
        <f t="shared" si="203"/>
        <v>0</v>
      </c>
      <c r="BM349" s="226">
        <f t="shared" ref="BM349:CC349" si="204">BM342+BM344+BM346+BM348</f>
        <v>0</v>
      </c>
      <c r="BN349" s="704">
        <f t="shared" si="204"/>
        <v>0</v>
      </c>
      <c r="BO349" s="704">
        <f t="shared" si="204"/>
        <v>0</v>
      </c>
      <c r="BP349" s="704">
        <f t="shared" si="204"/>
        <v>0</v>
      </c>
      <c r="BQ349" s="704">
        <f>BQ342+BQ344+BQ346+BQ348</f>
        <v>0</v>
      </c>
      <c r="BR349" s="704">
        <f>BR342+BR344+BR346+BR348</f>
        <v>0</v>
      </c>
      <c r="BS349" s="704">
        <f t="shared" si="204"/>
        <v>0</v>
      </c>
      <c r="BT349" s="704">
        <f>BT342+BT344+BT346+BT348</f>
        <v>0</v>
      </c>
      <c r="BU349" s="704">
        <f t="shared" si="204"/>
        <v>0</v>
      </c>
      <c r="BV349" s="704">
        <f t="shared" si="204"/>
        <v>0</v>
      </c>
      <c r="BW349" s="704">
        <f>BW342+BW344+BW346+BW348</f>
        <v>0</v>
      </c>
      <c r="BX349" s="704">
        <f t="shared" si="204"/>
        <v>0</v>
      </c>
      <c r="BY349" s="704">
        <f t="shared" si="204"/>
        <v>0</v>
      </c>
      <c r="BZ349" s="704">
        <f>BZ342+BZ344+BZ346+BZ348</f>
        <v>0</v>
      </c>
      <c r="CA349" s="704">
        <f t="shared" si="204"/>
        <v>0</v>
      </c>
      <c r="CB349" s="704">
        <f t="shared" si="204"/>
        <v>499851457</v>
      </c>
      <c r="CC349" s="704">
        <f t="shared" si="204"/>
        <v>499851457</v>
      </c>
      <c r="CD349" s="738"/>
      <c r="CE349" s="329">
        <f t="shared" ref="CE349:CP349" si="205">CE342+CE344+CE346+CE348</f>
        <v>0</v>
      </c>
      <c r="CF349" s="329">
        <f t="shared" si="205"/>
        <v>0</v>
      </c>
      <c r="CG349" s="329">
        <f t="shared" si="205"/>
        <v>0</v>
      </c>
      <c r="CH349" s="329">
        <f t="shared" si="205"/>
        <v>0</v>
      </c>
      <c r="CI349" s="329">
        <f t="shared" si="205"/>
        <v>0</v>
      </c>
      <c r="CJ349" s="329">
        <f t="shared" si="205"/>
        <v>0</v>
      </c>
      <c r="CK349" s="329">
        <f t="shared" si="205"/>
        <v>0</v>
      </c>
      <c r="CL349" s="329">
        <f t="shared" si="205"/>
        <v>0</v>
      </c>
      <c r="CM349" s="329">
        <f t="shared" si="205"/>
        <v>0</v>
      </c>
      <c r="CN349" s="329">
        <f t="shared" si="205"/>
        <v>0</v>
      </c>
      <c r="CO349" s="329">
        <f t="shared" si="205"/>
        <v>0</v>
      </c>
      <c r="CP349" s="329">
        <f t="shared" si="205"/>
        <v>0</v>
      </c>
      <c r="CQ349" s="329">
        <f>CQ342+CQ344+CQ346+CQ348</f>
        <v>0</v>
      </c>
      <c r="CR349" s="329">
        <f>CR342+CR344+CR346+CR348</f>
        <v>0</v>
      </c>
      <c r="CS349" s="329">
        <f>CS342+CS344+CS346+CS348</f>
        <v>0</v>
      </c>
      <c r="CT349" s="329">
        <f>CT342+CT344+CT346+CT348</f>
        <v>0</v>
      </c>
      <c r="CU349" s="329">
        <f>CU342+CU344+CU346+CU348</f>
        <v>0</v>
      </c>
      <c r="CV349" s="57"/>
    </row>
    <row r="350" spans="1:101" s="922" customFormat="1" ht="15.5">
      <c r="A350" s="316"/>
      <c r="B350" s="316"/>
      <c r="C350" s="316"/>
      <c r="D350" s="316"/>
      <c r="E350" s="316" t="s">
        <v>301</v>
      </c>
      <c r="F350" s="316"/>
      <c r="G350" s="109">
        <f t="shared" ref="G350:W350" si="206">G267+G336+G349</f>
        <v>332400641558</v>
      </c>
      <c r="H350" s="109">
        <f t="shared" si="206"/>
        <v>23482554550</v>
      </c>
      <c r="I350" s="109">
        <f t="shared" si="206"/>
        <v>19911803801</v>
      </c>
      <c r="J350" s="109">
        <f t="shared" si="206"/>
        <v>18537862020</v>
      </c>
      <c r="K350" s="109">
        <f t="shared" si="206"/>
        <v>14243449115</v>
      </c>
      <c r="L350" s="109">
        <f t="shared" si="206"/>
        <v>24953406986</v>
      </c>
      <c r="M350" s="109">
        <f t="shared" si="206"/>
        <v>22300106524</v>
      </c>
      <c r="N350" s="109">
        <f t="shared" si="206"/>
        <v>18169018943</v>
      </c>
      <c r="O350" s="109">
        <f t="shared" si="206"/>
        <v>17904794023</v>
      </c>
      <c r="P350" s="109">
        <f t="shared" si="206"/>
        <v>14131963357</v>
      </c>
      <c r="Q350" s="109">
        <f t="shared" si="206"/>
        <v>12877598187</v>
      </c>
      <c r="R350" s="109">
        <f t="shared" si="206"/>
        <v>13036052983</v>
      </c>
      <c r="S350" s="109">
        <f t="shared" si="206"/>
        <v>25128365582</v>
      </c>
      <c r="T350" s="109">
        <f t="shared" si="206"/>
        <v>15983372965</v>
      </c>
      <c r="U350" s="109">
        <f t="shared" si="206"/>
        <v>15959359265</v>
      </c>
      <c r="V350" s="109">
        <f t="shared" si="206"/>
        <v>16164304540</v>
      </c>
      <c r="W350" s="109">
        <f t="shared" si="206"/>
        <v>224676976071</v>
      </c>
      <c r="X350" s="55"/>
      <c r="Y350" s="109">
        <f t="shared" ref="Y350:AJ350" si="207">Y267+Y336+Y349</f>
        <v>15644696920.518061</v>
      </c>
      <c r="Z350" s="109">
        <f t="shared" si="207"/>
        <v>17267196489.068062</v>
      </c>
      <c r="AA350" s="109">
        <f t="shared" si="207"/>
        <v>16240596489.06806</v>
      </c>
      <c r="AB350" s="109">
        <f t="shared" si="207"/>
        <v>16530596489.06806</v>
      </c>
      <c r="AC350" s="109">
        <f t="shared" si="207"/>
        <v>18137596489.068062</v>
      </c>
      <c r="AD350" s="109">
        <f t="shared" si="207"/>
        <v>17040596489.06806</v>
      </c>
      <c r="AE350" s="109">
        <f t="shared" si="207"/>
        <v>17268461555.068062</v>
      </c>
      <c r="AF350" s="109">
        <f t="shared" si="207"/>
        <v>18863461555.068062</v>
      </c>
      <c r="AG350" s="109">
        <f t="shared" si="207"/>
        <v>17578461555.068062</v>
      </c>
      <c r="AH350" s="109">
        <f t="shared" si="207"/>
        <v>17428461555.068062</v>
      </c>
      <c r="AI350" s="109">
        <f t="shared" si="207"/>
        <v>17423461555.068062</v>
      </c>
      <c r="AJ350" s="109">
        <f t="shared" si="207"/>
        <v>19197461555.068062</v>
      </c>
      <c r="AK350" s="109">
        <v>208621048696.26672</v>
      </c>
      <c r="AL350" s="55"/>
      <c r="AM350" s="109">
        <f t="shared" ref="AM350:AX350" si="208">AM267+AM336+AM349</f>
        <v>15733898708.010754</v>
      </c>
      <c r="AN350" s="109">
        <f t="shared" si="208"/>
        <v>17356398276.560753</v>
      </c>
      <c r="AO350" s="109">
        <f t="shared" si="208"/>
        <v>16329798276.560753</v>
      </c>
      <c r="AP350" s="109">
        <f t="shared" si="208"/>
        <v>17119798276.560753</v>
      </c>
      <c r="AQ350" s="109">
        <f t="shared" si="208"/>
        <v>18946798276.560753</v>
      </c>
      <c r="AR350" s="109">
        <f t="shared" si="208"/>
        <v>17849798276.560753</v>
      </c>
      <c r="AS350" s="109">
        <f t="shared" si="208"/>
        <v>18077663342.560753</v>
      </c>
      <c r="AT350" s="109">
        <f t="shared" si="208"/>
        <v>19672663342.560753</v>
      </c>
      <c r="AU350" s="109">
        <f t="shared" si="208"/>
        <v>18387663342.560753</v>
      </c>
      <c r="AV350" s="109">
        <f t="shared" si="208"/>
        <v>18237663342.560753</v>
      </c>
      <c r="AW350" s="109">
        <f t="shared" si="208"/>
        <v>18232663342.560753</v>
      </c>
      <c r="AX350" s="109">
        <f t="shared" si="208"/>
        <v>20006663342.560753</v>
      </c>
      <c r="AY350" s="109">
        <v>215951470146.17902</v>
      </c>
      <c r="AZ350" s="55"/>
      <c r="BA350" s="109">
        <f t="shared" ref="BA350:CT350" si="209">BA267+BA336+BA349</f>
        <v>11825300267</v>
      </c>
      <c r="BB350" s="109">
        <f t="shared" si="209"/>
        <v>11646752288</v>
      </c>
      <c r="BC350" s="109">
        <f t="shared" si="209"/>
        <v>11508111371</v>
      </c>
      <c r="BD350" s="109">
        <f t="shared" si="209"/>
        <v>14049337061</v>
      </c>
      <c r="BE350" s="109">
        <f t="shared" si="209"/>
        <v>12184024049</v>
      </c>
      <c r="BF350" s="109">
        <f t="shared" si="209"/>
        <v>12401419418</v>
      </c>
      <c r="BG350" s="109">
        <f t="shared" si="209"/>
        <v>12415421623</v>
      </c>
      <c r="BH350" s="109">
        <f t="shared" si="209"/>
        <v>10718176347</v>
      </c>
      <c r="BI350" s="109">
        <f t="shared" si="209"/>
        <v>13621441823</v>
      </c>
      <c r="BJ350" s="109">
        <f t="shared" si="209"/>
        <v>12121660824</v>
      </c>
      <c r="BK350" s="109">
        <f t="shared" si="209"/>
        <v>15229343823</v>
      </c>
      <c r="BL350" s="109">
        <f t="shared" si="209"/>
        <v>10082184015</v>
      </c>
      <c r="BM350" s="109">
        <f t="shared" si="209"/>
        <v>17694442478.333336</v>
      </c>
      <c r="BN350" s="709">
        <f t="shared" si="209"/>
        <v>13891496894</v>
      </c>
      <c r="BO350" s="709">
        <f t="shared" si="209"/>
        <v>17721838770</v>
      </c>
      <c r="BP350" s="709">
        <f t="shared" si="209"/>
        <v>0</v>
      </c>
      <c r="BQ350" s="709">
        <f>BQ267+BQ336+BQ349</f>
        <v>17152141416</v>
      </c>
      <c r="BR350" s="709">
        <f>BR267+BR336+BR349</f>
        <v>14025772162</v>
      </c>
      <c r="BS350" s="709">
        <f t="shared" si="209"/>
        <v>0</v>
      </c>
      <c r="BT350" s="709">
        <f>BT267+BT336+BT349</f>
        <v>18527811416</v>
      </c>
      <c r="BU350" s="709">
        <f t="shared" si="209"/>
        <v>15236972162</v>
      </c>
      <c r="BV350" s="709">
        <f t="shared" si="209"/>
        <v>0</v>
      </c>
      <c r="BW350" s="709">
        <f>BW267+BW336+BW349</f>
        <v>20110025416</v>
      </c>
      <c r="BX350" s="709">
        <f t="shared" si="209"/>
        <v>17427972162</v>
      </c>
      <c r="BY350" s="709">
        <f t="shared" si="209"/>
        <v>0</v>
      </c>
      <c r="BZ350" s="709">
        <f>BZ267+BZ336+BZ349</f>
        <v>20840465416</v>
      </c>
      <c r="CA350" s="709">
        <f t="shared" si="209"/>
        <v>19091280162</v>
      </c>
      <c r="CB350" s="709">
        <f t="shared" si="209"/>
        <v>162518323762</v>
      </c>
      <c r="CC350" s="709">
        <f>CC267+CC336+CC349</f>
        <v>162518323762</v>
      </c>
      <c r="CD350" s="742"/>
      <c r="CE350" s="333">
        <f t="shared" ref="CE350:CP350" si="210">CE267+CE336+CE349</f>
        <v>13696193833</v>
      </c>
      <c r="CF350" s="333">
        <f t="shared" si="210"/>
        <v>13671491392</v>
      </c>
      <c r="CG350" s="333">
        <f t="shared" si="210"/>
        <v>15381224833</v>
      </c>
      <c r="CH350" s="333">
        <f t="shared" si="210"/>
        <v>15717472422</v>
      </c>
      <c r="CI350" s="333">
        <f t="shared" si="210"/>
        <v>16068942833</v>
      </c>
      <c r="CJ350" s="333">
        <f t="shared" si="210"/>
        <v>16534515316</v>
      </c>
      <c r="CK350" s="333">
        <f t="shared" si="210"/>
        <v>16550167333</v>
      </c>
      <c r="CL350" s="333">
        <f t="shared" si="210"/>
        <v>16570576832</v>
      </c>
      <c r="CM350" s="333">
        <f t="shared" si="210"/>
        <v>16651683333</v>
      </c>
      <c r="CN350" s="333">
        <f t="shared" si="210"/>
        <v>16644683333</v>
      </c>
      <c r="CO350" s="333">
        <f t="shared" si="210"/>
        <v>16883683333</v>
      </c>
      <c r="CP350" s="333">
        <f t="shared" si="210"/>
        <v>16983183333</v>
      </c>
      <c r="CQ350" s="333">
        <f t="shared" si="209"/>
        <v>191353818126</v>
      </c>
      <c r="CR350" s="333">
        <f t="shared" si="209"/>
        <v>194378539484.95618</v>
      </c>
      <c r="CS350" s="333">
        <f t="shared" si="209"/>
        <v>250335316047.91925</v>
      </c>
      <c r="CT350" s="333">
        <f t="shared" si="209"/>
        <v>343431529336.28436</v>
      </c>
      <c r="CU350" s="333">
        <f>CU267+CU336+CU349</f>
        <v>376169278535.69385</v>
      </c>
      <c r="CV350" s="921"/>
    </row>
    <row r="351" spans="1:101" ht="15.5">
      <c r="A351" s="317"/>
      <c r="B351" s="317"/>
      <c r="C351" s="317"/>
      <c r="D351" s="317"/>
      <c r="E351" s="317" t="s">
        <v>302</v>
      </c>
      <c r="F351" s="317"/>
      <c r="G351" s="101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55"/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  <c r="AI351" s="69"/>
      <c r="AJ351" s="69"/>
      <c r="AK351" s="89"/>
      <c r="AL351" s="55"/>
      <c r="AM351" s="69"/>
      <c r="AN351" s="69"/>
      <c r="AO351" s="69"/>
      <c r="AP351" s="69"/>
      <c r="AQ351" s="69"/>
      <c r="AR351" s="69"/>
      <c r="AS351" s="69"/>
      <c r="AT351" s="69"/>
      <c r="AU351" s="69"/>
      <c r="AV351" s="69"/>
      <c r="AW351" s="69"/>
      <c r="AX351" s="69"/>
      <c r="AY351" s="89"/>
      <c r="AZ351" s="55"/>
      <c r="BA351" s="69"/>
      <c r="BB351" s="69"/>
      <c r="BC351" s="101"/>
      <c r="BD351" s="69"/>
      <c r="BE351" s="101"/>
      <c r="BF351" s="69"/>
      <c r="BG351" s="101"/>
      <c r="BH351" s="69"/>
      <c r="BI351" s="101"/>
      <c r="BJ351" s="69"/>
      <c r="BK351" s="101"/>
      <c r="BL351" s="69"/>
      <c r="BM351" s="101"/>
      <c r="BN351" s="710"/>
      <c r="BO351" s="711"/>
      <c r="BP351" s="710"/>
      <c r="BQ351" s="711"/>
      <c r="BR351" s="711"/>
      <c r="BS351" s="710"/>
      <c r="BT351" s="711"/>
      <c r="BU351" s="711"/>
      <c r="BV351" s="710"/>
      <c r="BW351" s="711"/>
      <c r="BX351" s="711"/>
      <c r="BY351" s="710"/>
      <c r="BZ351" s="711"/>
      <c r="CA351" s="711"/>
      <c r="CB351" s="722"/>
      <c r="CC351" s="711"/>
      <c r="CD351" s="743"/>
      <c r="CE351" s="334"/>
      <c r="CF351" s="334"/>
      <c r="CG351" s="334"/>
      <c r="CH351" s="334"/>
      <c r="CI351" s="334"/>
      <c r="CJ351" s="334"/>
      <c r="CK351" s="334"/>
      <c r="CL351" s="334"/>
      <c r="CM351" s="334"/>
      <c r="CN351" s="334"/>
      <c r="CO351" s="334"/>
      <c r="CP351" s="334"/>
      <c r="CQ351" s="360"/>
      <c r="CR351" s="360"/>
      <c r="CS351" s="360"/>
      <c r="CT351" s="360"/>
      <c r="CU351" s="360"/>
      <c r="CV351" s="57"/>
    </row>
    <row r="352" spans="1:101" ht="15.5">
      <c r="E352" s="300"/>
      <c r="F352" s="300"/>
      <c r="G352" s="65"/>
      <c r="H352" s="65"/>
      <c r="I352" s="65"/>
      <c r="J352" s="65"/>
      <c r="K352" s="65"/>
      <c r="L352" s="65"/>
      <c r="M352" s="57"/>
      <c r="N352" s="88"/>
      <c r="O352" s="57"/>
      <c r="P352" s="57"/>
      <c r="Q352" s="57"/>
      <c r="R352" s="57"/>
      <c r="S352" s="57"/>
      <c r="T352" s="88"/>
      <c r="U352" s="88"/>
      <c r="V352" s="102"/>
      <c r="W352" s="92"/>
      <c r="X352" s="55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103">
        <v>-3.8794710995630033E-2</v>
      </c>
      <c r="AL352" s="55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123"/>
      <c r="AZ352" s="55"/>
      <c r="BA352" s="640"/>
      <c r="BB352" s="640"/>
      <c r="BC352" s="57"/>
      <c r="BD352" s="640"/>
      <c r="BE352" s="57"/>
      <c r="BF352" s="640"/>
      <c r="BG352" s="57"/>
      <c r="BH352" s="640"/>
      <c r="BI352" s="57"/>
      <c r="BJ352" s="640"/>
      <c r="BK352" s="57"/>
      <c r="BL352" s="640"/>
      <c r="BM352" s="57"/>
      <c r="BN352" s="640"/>
      <c r="BO352" s="57"/>
      <c r="BP352" s="640"/>
      <c r="BQ352" s="57"/>
      <c r="BR352" s="731"/>
      <c r="BS352" s="640"/>
      <c r="BT352" s="57"/>
      <c r="BU352" s="731"/>
      <c r="BV352" s="640"/>
      <c r="BW352" s="57"/>
      <c r="BX352" s="731"/>
      <c r="BY352" s="640"/>
      <c r="BZ352" s="57"/>
      <c r="CA352" s="731"/>
      <c r="CB352" s="723"/>
      <c r="CC352" s="724"/>
      <c r="CD352" s="111"/>
      <c r="CE352" s="335"/>
      <c r="CF352" s="335"/>
      <c r="CG352" s="335"/>
      <c r="CH352" s="335"/>
      <c r="CI352" s="335"/>
      <c r="CJ352" s="335"/>
      <c r="CK352" s="335"/>
      <c r="CL352" s="335"/>
      <c r="CM352" s="335"/>
      <c r="CN352" s="335"/>
      <c r="CO352" s="335"/>
      <c r="CP352" s="335"/>
      <c r="CQ352" s="361">
        <f>CQ350/AY350-1</f>
        <v>-0.11390360993388327</v>
      </c>
      <c r="CR352" s="361">
        <f>CR350/CQ350-1</f>
        <v>1.580695587147618E-2</v>
      </c>
      <c r="CS352" s="361">
        <f>CS350/CR350-1</f>
        <v>0.28787528042566568</v>
      </c>
      <c r="CT352" s="361">
        <f>CT350/CS350-1</f>
        <v>0.37188605570356126</v>
      </c>
      <c r="CU352" s="361">
        <f>CU350/CT350-1</f>
        <v>9.5325403764408234E-2</v>
      </c>
      <c r="CV352" s="57"/>
    </row>
    <row r="353" spans="1:101" ht="15.5">
      <c r="E353" s="300"/>
      <c r="F353" s="300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55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61"/>
      <c r="AL353" s="55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122"/>
      <c r="AZ353" s="55"/>
      <c r="BA353" s="640"/>
      <c r="BB353" s="640"/>
      <c r="BC353" s="57"/>
      <c r="BD353" s="640"/>
      <c r="BE353" s="57"/>
      <c r="BF353" s="640"/>
      <c r="BG353" s="57"/>
      <c r="BH353" s="640"/>
      <c r="BI353" s="57"/>
      <c r="BJ353" s="640"/>
      <c r="BK353" s="57"/>
      <c r="BL353" s="640"/>
      <c r="BM353" s="57"/>
      <c r="BN353" s="640"/>
      <c r="BO353" s="57"/>
      <c r="BP353" s="640"/>
      <c r="BQ353" s="57"/>
      <c r="BR353" s="731"/>
      <c r="BS353" s="640"/>
      <c r="BT353" s="57"/>
      <c r="BU353" s="731"/>
      <c r="BV353" s="640"/>
      <c r="BW353" s="57"/>
      <c r="BX353" s="731"/>
      <c r="BY353" s="640"/>
      <c r="BZ353" s="57"/>
      <c r="CA353" s="731"/>
      <c r="CB353" s="720"/>
      <c r="CC353" s="724"/>
      <c r="CD353" s="111"/>
      <c r="CE353" s="335"/>
      <c r="CF353" s="335"/>
      <c r="CG353" s="335"/>
      <c r="CH353" s="335"/>
      <c r="CI353" s="335"/>
      <c r="CJ353" s="335"/>
      <c r="CK353" s="335"/>
      <c r="CL353" s="335"/>
      <c r="CM353" s="335"/>
      <c r="CN353" s="335"/>
      <c r="CO353" s="335"/>
      <c r="CP353" s="335"/>
      <c r="CQ353" s="362"/>
      <c r="CR353" s="356"/>
      <c r="CS353" s="357"/>
      <c r="CT353" s="332"/>
      <c r="CU353" s="358"/>
      <c r="CV353" s="57"/>
    </row>
    <row r="354" spans="1:101" ht="15.5">
      <c r="E354" s="300"/>
      <c r="F354" s="300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55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61"/>
      <c r="AL354" s="55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122"/>
      <c r="AZ354" s="55"/>
      <c r="BA354" s="640"/>
      <c r="BB354" s="640"/>
      <c r="BC354" s="57"/>
      <c r="BD354" s="640"/>
      <c r="BE354" s="57"/>
      <c r="BF354" s="640"/>
      <c r="BG354" s="57"/>
      <c r="BH354" s="640"/>
      <c r="BI354" s="57"/>
      <c r="BJ354" s="640"/>
      <c r="BK354" s="57"/>
      <c r="BL354" s="640"/>
      <c r="BM354" s="57"/>
      <c r="BN354" s="640"/>
      <c r="BO354" s="57"/>
      <c r="BP354" s="640"/>
      <c r="BQ354" s="57"/>
      <c r="BR354" s="731"/>
      <c r="BS354" s="640"/>
      <c r="BT354" s="57"/>
      <c r="BU354" s="731"/>
      <c r="BV354" s="640"/>
      <c r="BW354" s="57"/>
      <c r="BX354" s="731"/>
      <c r="BY354" s="640"/>
      <c r="BZ354" s="57"/>
      <c r="CA354" s="731"/>
      <c r="CB354" s="720"/>
      <c r="CC354" s="724"/>
      <c r="CD354" s="111"/>
      <c r="CE354" s="335"/>
      <c r="CF354" s="335"/>
      <c r="CG354" s="335"/>
      <c r="CH354" s="335"/>
      <c r="CI354" s="335"/>
      <c r="CJ354" s="335"/>
      <c r="CK354" s="335"/>
      <c r="CL354" s="335"/>
      <c r="CM354" s="335"/>
      <c r="CN354" s="335"/>
      <c r="CO354" s="335"/>
      <c r="CP354" s="335"/>
      <c r="CQ354" s="362"/>
      <c r="CR354" s="356"/>
      <c r="CS354" s="357"/>
      <c r="CT354" s="332"/>
      <c r="CU354" s="358"/>
      <c r="CV354" s="57"/>
    </row>
    <row r="355" spans="1:101" ht="15.5">
      <c r="E355" s="318" t="s">
        <v>303</v>
      </c>
      <c r="F355" s="318"/>
      <c r="G355" s="65"/>
      <c r="H355" s="65"/>
      <c r="I355" s="65"/>
      <c r="J355" s="65"/>
      <c r="K355" s="65"/>
      <c r="L355" s="65"/>
      <c r="M355" s="57"/>
      <c r="N355" s="57"/>
      <c r="O355" s="57"/>
      <c r="P355" s="57"/>
      <c r="Q355" s="57"/>
      <c r="R355" s="57"/>
      <c r="S355" s="57"/>
      <c r="T355" s="104"/>
      <c r="U355" s="57"/>
      <c r="V355" s="57"/>
      <c r="W355" s="92"/>
      <c r="X355" s="55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61"/>
      <c r="AL355" s="55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122"/>
      <c r="AZ355" s="55"/>
      <c r="BA355" s="640"/>
      <c r="BB355" s="640"/>
      <c r="BC355" s="57"/>
      <c r="BD355" s="640"/>
      <c r="BE355" s="57"/>
      <c r="BF355" s="640"/>
      <c r="BG355" s="57"/>
      <c r="BH355" s="640"/>
      <c r="BI355" s="57"/>
      <c r="BJ355" s="640"/>
      <c r="BK355" s="57"/>
      <c r="BL355" s="640"/>
      <c r="BM355" s="57"/>
      <c r="BN355" s="640"/>
      <c r="BO355" s="57"/>
      <c r="BP355" s="640"/>
      <c r="BQ355" s="57"/>
      <c r="BR355" s="731"/>
      <c r="BS355" s="640"/>
      <c r="BT355" s="57"/>
      <c r="BU355" s="731"/>
      <c r="BV355" s="640"/>
      <c r="BW355" s="57"/>
      <c r="BX355" s="731"/>
      <c r="BY355" s="640"/>
      <c r="BZ355" s="57"/>
      <c r="CA355" s="731"/>
      <c r="CB355" s="720"/>
      <c r="CC355" s="724"/>
      <c r="CD355" s="111"/>
      <c r="CE355" s="335"/>
      <c r="CF355" s="335"/>
      <c r="CG355" s="335"/>
      <c r="CH355" s="335"/>
      <c r="CI355" s="335"/>
      <c r="CJ355" s="335"/>
      <c r="CK355" s="335"/>
      <c r="CL355" s="335"/>
      <c r="CM355" s="335"/>
      <c r="CN355" s="335"/>
      <c r="CO355" s="335"/>
      <c r="CP355" s="335"/>
      <c r="CQ355" s="355"/>
      <c r="CR355" s="356"/>
      <c r="CS355" s="357"/>
      <c r="CT355" s="332"/>
      <c r="CU355" s="358"/>
      <c r="CV355" s="57"/>
    </row>
    <row r="356" spans="1:101" ht="15.5">
      <c r="E356" s="300" t="s">
        <v>304</v>
      </c>
      <c r="F356" s="300"/>
      <c r="G356" s="105">
        <f t="shared" ref="G356:W356" si="211">G119/1000000</f>
        <v>86624.087205999997</v>
      </c>
      <c r="H356" s="105">
        <f t="shared" si="211"/>
        <v>5439.7791399999996</v>
      </c>
      <c r="I356" s="105">
        <f t="shared" si="211"/>
        <v>5025.5687420000004</v>
      </c>
      <c r="J356" s="105">
        <f t="shared" si="211"/>
        <v>3834.5512239999998</v>
      </c>
      <c r="K356" s="105">
        <f t="shared" si="211"/>
        <v>4468.823042</v>
      </c>
      <c r="L356" s="105">
        <f t="shared" si="211"/>
        <v>4926.6981889999997</v>
      </c>
      <c r="M356" s="105">
        <f t="shared" si="211"/>
        <v>3692.9150549999999</v>
      </c>
      <c r="N356" s="105">
        <f t="shared" si="211"/>
        <v>4027.4163079999998</v>
      </c>
      <c r="O356" s="105">
        <f t="shared" si="211"/>
        <v>3661.1964419999999</v>
      </c>
      <c r="P356" s="105">
        <f t="shared" si="211"/>
        <v>3576.4961709999998</v>
      </c>
      <c r="Q356" s="105">
        <f t="shared" si="211"/>
        <v>3315.8886590000002</v>
      </c>
      <c r="R356" s="105">
        <f t="shared" si="211"/>
        <v>3743.6339779999998</v>
      </c>
      <c r="S356" s="105">
        <f t="shared" si="211"/>
        <v>6743.4549950000001</v>
      </c>
      <c r="T356" s="105">
        <f t="shared" si="211"/>
        <v>4020.560829</v>
      </c>
      <c r="U356" s="105">
        <f t="shared" si="211"/>
        <v>4136.1245289999997</v>
      </c>
      <c r="V356" s="105">
        <f t="shared" si="211"/>
        <v>4136.1245289999997</v>
      </c>
      <c r="W356" s="105">
        <f t="shared" si="211"/>
        <v>52456.421945000002</v>
      </c>
      <c r="X356" s="55"/>
      <c r="Y356" s="105">
        <f t="shared" ref="Y356:AJ356" si="212">Y119/1000000</f>
        <v>4585.1697891774193</v>
      </c>
      <c r="Z356" s="105">
        <f t="shared" si="212"/>
        <v>4591.8355577274187</v>
      </c>
      <c r="AA356" s="105">
        <f t="shared" si="212"/>
        <v>4891.8355577274187</v>
      </c>
      <c r="AB356" s="105">
        <f t="shared" si="212"/>
        <v>5121.8355577274187</v>
      </c>
      <c r="AC356" s="105">
        <f t="shared" si="212"/>
        <v>5121.8355577274187</v>
      </c>
      <c r="AD356" s="105">
        <f t="shared" si="212"/>
        <v>5121.8355577274187</v>
      </c>
      <c r="AE356" s="105">
        <f t="shared" si="212"/>
        <v>5121.8355577274187</v>
      </c>
      <c r="AF356" s="105">
        <f t="shared" si="212"/>
        <v>5121.8355577274187</v>
      </c>
      <c r="AG356" s="105">
        <f t="shared" si="212"/>
        <v>5121.8355577274187</v>
      </c>
      <c r="AH356" s="105">
        <f t="shared" si="212"/>
        <v>5121.8355577274187</v>
      </c>
      <c r="AI356" s="105">
        <f t="shared" si="212"/>
        <v>5121.8355577274187</v>
      </c>
      <c r="AJ356" s="105">
        <f t="shared" si="212"/>
        <v>5121.8355577274187</v>
      </c>
      <c r="AK356" s="61">
        <v>60165.360924179033</v>
      </c>
      <c r="AL356" s="55"/>
      <c r="AM356" s="105">
        <f t="shared" ref="AM356:AX356" si="213">AM119/1000000</f>
        <v>4585.1697891774193</v>
      </c>
      <c r="AN356" s="105">
        <f t="shared" si="213"/>
        <v>4591.8355577274187</v>
      </c>
      <c r="AO356" s="105">
        <f t="shared" si="213"/>
        <v>4891.8355577274187</v>
      </c>
      <c r="AP356" s="105">
        <f t="shared" si="213"/>
        <v>5121.8355577274187</v>
      </c>
      <c r="AQ356" s="105">
        <f t="shared" si="213"/>
        <v>5121.8355577274187</v>
      </c>
      <c r="AR356" s="105">
        <f t="shared" si="213"/>
        <v>5121.8355577274187</v>
      </c>
      <c r="AS356" s="105">
        <f t="shared" si="213"/>
        <v>5121.8355577274187</v>
      </c>
      <c r="AT356" s="105">
        <f t="shared" si="213"/>
        <v>5121.8355577274187</v>
      </c>
      <c r="AU356" s="105">
        <f t="shared" si="213"/>
        <v>5121.8355577274187</v>
      </c>
      <c r="AV356" s="105">
        <f t="shared" si="213"/>
        <v>5121.8355577274187</v>
      </c>
      <c r="AW356" s="105">
        <f t="shared" si="213"/>
        <v>5121.8355577274187</v>
      </c>
      <c r="AX356" s="105">
        <f t="shared" si="213"/>
        <v>5121.8355577274187</v>
      </c>
      <c r="AY356" s="122">
        <v>60165.360924179033</v>
      </c>
      <c r="AZ356" s="55"/>
      <c r="BA356" s="641">
        <f t="shared" ref="BA356:CU356" si="214">BA119/1000000</f>
        <v>3472.2784329999999</v>
      </c>
      <c r="BB356" s="641">
        <f t="shared" si="214"/>
        <v>3402.5741720000001</v>
      </c>
      <c r="BC356" s="604">
        <f t="shared" si="214"/>
        <v>3471.1169249999998</v>
      </c>
      <c r="BD356" s="641">
        <f t="shared" si="214"/>
        <v>3188.802064</v>
      </c>
      <c r="BE356" s="604">
        <f t="shared" si="214"/>
        <v>3564.401879</v>
      </c>
      <c r="BF356" s="641">
        <f t="shared" si="214"/>
        <v>3181.0978970000001</v>
      </c>
      <c r="BG356" s="604">
        <f t="shared" si="214"/>
        <v>3233.3563680000002</v>
      </c>
      <c r="BH356" s="641">
        <f t="shared" si="214"/>
        <v>2983.135683</v>
      </c>
      <c r="BI356" s="604">
        <f t="shared" si="214"/>
        <v>3236.7425680000001</v>
      </c>
      <c r="BJ356" s="641">
        <f t="shared" si="214"/>
        <v>3464.7192580000001</v>
      </c>
      <c r="BK356" s="604">
        <f t="shared" si="214"/>
        <v>4948.9425680000004</v>
      </c>
      <c r="BL356" s="641">
        <f t="shared" si="214"/>
        <v>3020.2773510000002</v>
      </c>
      <c r="BM356" s="604">
        <f t="shared" si="214"/>
        <v>5047.9771449999998</v>
      </c>
      <c r="BN356" s="712">
        <f t="shared" si="214"/>
        <v>4727.0161770000004</v>
      </c>
      <c r="BO356" s="713">
        <f t="shared" si="214"/>
        <v>5309.7887700000001</v>
      </c>
      <c r="BP356" s="712">
        <f t="shared" si="214"/>
        <v>0</v>
      </c>
      <c r="BQ356" s="713">
        <f>BQ119/1000000</f>
        <v>5424.005416</v>
      </c>
      <c r="BR356" s="732">
        <f>BR119/1000000</f>
        <v>4525.3281619999998</v>
      </c>
      <c r="BS356" s="712">
        <f t="shared" si="214"/>
        <v>0</v>
      </c>
      <c r="BT356" s="713">
        <f>BT119/1000000</f>
        <v>6244.005416</v>
      </c>
      <c r="BU356" s="732">
        <f t="shared" si="214"/>
        <v>4731.3281619999998</v>
      </c>
      <c r="BV356" s="712">
        <f t="shared" si="214"/>
        <v>0</v>
      </c>
      <c r="BW356" s="713">
        <f>BW119/1000000</f>
        <v>6244.005416</v>
      </c>
      <c r="BX356" s="732">
        <f t="shared" si="214"/>
        <v>5116.3281619999998</v>
      </c>
      <c r="BY356" s="712">
        <f t="shared" si="214"/>
        <v>0</v>
      </c>
      <c r="BZ356" s="713">
        <f>BZ119/1000000</f>
        <v>6236.4454159999996</v>
      </c>
      <c r="CA356" s="732">
        <f t="shared" si="214"/>
        <v>5320.7361620000001</v>
      </c>
      <c r="CB356" s="720">
        <f t="shared" si="214"/>
        <v>47133.621682999998</v>
      </c>
      <c r="CC356" s="725">
        <f t="shared" si="214"/>
        <v>47133.621682999998</v>
      </c>
      <c r="CD356" s="744"/>
      <c r="CE356" s="336">
        <f>CE119/1000000</f>
        <v>3238.7249999999999</v>
      </c>
      <c r="CF356" s="336">
        <f t="shared" si="214"/>
        <v>3229.1685590000002</v>
      </c>
      <c r="CG356" s="336">
        <f t="shared" si="214"/>
        <v>4493.3</v>
      </c>
      <c r="CH356" s="336">
        <f t="shared" si="214"/>
        <v>4506.3250889999999</v>
      </c>
      <c r="CI356" s="336">
        <f t="shared" si="214"/>
        <v>4881.2</v>
      </c>
      <c r="CJ356" s="336">
        <f t="shared" si="214"/>
        <v>5092.5384830000003</v>
      </c>
      <c r="CK356" s="336">
        <f t="shared" si="214"/>
        <v>5111.3</v>
      </c>
      <c r="CL356" s="336">
        <f t="shared" si="214"/>
        <v>5163.0274989999998</v>
      </c>
      <c r="CM356" s="336">
        <f t="shared" si="214"/>
        <v>5192.8</v>
      </c>
      <c r="CN356" s="336">
        <f t="shared" si="214"/>
        <v>5183.8</v>
      </c>
      <c r="CO356" s="336">
        <f t="shared" si="214"/>
        <v>5223.8</v>
      </c>
      <c r="CP356" s="336">
        <f t="shared" si="214"/>
        <v>5212.3</v>
      </c>
      <c r="CQ356" s="355">
        <f t="shared" si="214"/>
        <v>56528.284630000002</v>
      </c>
      <c r="CR356" s="356">
        <f t="shared" si="214"/>
        <v>65285.616789381958</v>
      </c>
      <c r="CS356" s="357">
        <f t="shared" si="214"/>
        <v>96131.216412029462</v>
      </c>
      <c r="CT356" s="332">
        <f t="shared" si="214"/>
        <v>138318.72057253958</v>
      </c>
      <c r="CU356" s="358">
        <f t="shared" si="214"/>
        <v>149935.31943898182</v>
      </c>
    </row>
    <row r="357" spans="1:101" ht="15.5">
      <c r="E357" s="300" t="s">
        <v>305</v>
      </c>
      <c r="F357" s="300"/>
      <c r="G357" s="105">
        <f t="shared" ref="G357:W357" si="215">G288/1000000</f>
        <v>45830.881734000002</v>
      </c>
      <c r="H357" s="105">
        <f t="shared" si="215"/>
        <v>3609.6952369999999</v>
      </c>
      <c r="I357" s="105">
        <f t="shared" si="215"/>
        <v>4635.180222</v>
      </c>
      <c r="J357" s="105">
        <f t="shared" si="215"/>
        <v>4667.1837960000003</v>
      </c>
      <c r="K357" s="105">
        <f t="shared" si="215"/>
        <v>3465.7375109999998</v>
      </c>
      <c r="L357" s="105">
        <f t="shared" si="215"/>
        <v>3076.2660350000001</v>
      </c>
      <c r="M357" s="105">
        <f t="shared" si="215"/>
        <v>3026.5626390000002</v>
      </c>
      <c r="N357" s="105">
        <f t="shared" si="215"/>
        <v>5097.5268800000003</v>
      </c>
      <c r="O357" s="105">
        <f t="shared" si="215"/>
        <v>4908.8267800000003</v>
      </c>
      <c r="P357" s="105">
        <f t="shared" si="215"/>
        <v>2907.5717209999998</v>
      </c>
      <c r="Q357" s="105">
        <f t="shared" si="215"/>
        <v>2959.3206479999999</v>
      </c>
      <c r="R357" s="105">
        <f t="shared" si="215"/>
        <v>2550.3151859999998</v>
      </c>
      <c r="S357" s="105">
        <f t="shared" si="215"/>
        <v>2678.6946710000002</v>
      </c>
      <c r="T357" s="105">
        <f t="shared" si="215"/>
        <v>3118.6760039999999</v>
      </c>
      <c r="U357" s="105">
        <f t="shared" si="215"/>
        <v>3077.5206039999998</v>
      </c>
      <c r="V357" s="105">
        <f t="shared" si="215"/>
        <v>3282.4658789999999</v>
      </c>
      <c r="W357" s="105">
        <f t="shared" si="215"/>
        <v>43582.881326000002</v>
      </c>
      <c r="X357" s="55"/>
      <c r="Y357" s="105">
        <f t="shared" ref="Y357:AJ357" si="216">Y288/1000000</f>
        <v>3594.6315458406411</v>
      </c>
      <c r="Z357" s="105">
        <f t="shared" si="216"/>
        <v>5194.6315458406407</v>
      </c>
      <c r="AA357" s="105">
        <f t="shared" si="216"/>
        <v>3594.6315458406411</v>
      </c>
      <c r="AB357" s="105">
        <f t="shared" si="216"/>
        <v>3594.6315458406411</v>
      </c>
      <c r="AC357" s="105">
        <f t="shared" si="216"/>
        <v>5194.6315458406407</v>
      </c>
      <c r="AD357" s="105">
        <f t="shared" si="216"/>
        <v>3774.6315458406411</v>
      </c>
      <c r="AE357" s="105">
        <f t="shared" si="216"/>
        <v>3753.6315458406411</v>
      </c>
      <c r="AF357" s="105">
        <f t="shared" si="216"/>
        <v>5353.6315458406407</v>
      </c>
      <c r="AG357" s="105">
        <f t="shared" si="216"/>
        <v>3933.6315458406411</v>
      </c>
      <c r="AH357" s="105">
        <f t="shared" si="216"/>
        <v>3753.6315458406411</v>
      </c>
      <c r="AI357" s="105">
        <f t="shared" si="216"/>
        <v>3753.6315458406411</v>
      </c>
      <c r="AJ357" s="105">
        <f t="shared" si="216"/>
        <v>5533.6315458406407</v>
      </c>
      <c r="AK357" s="61">
        <v>51029.578550087695</v>
      </c>
      <c r="AL357" s="55"/>
      <c r="AM357" s="105">
        <f t="shared" ref="AM357:AX357" si="217">AM288/1000000</f>
        <v>3643.8333333333335</v>
      </c>
      <c r="AN357" s="105">
        <f t="shared" si="217"/>
        <v>5243.8333333333339</v>
      </c>
      <c r="AO357" s="105">
        <f t="shared" si="217"/>
        <v>3643.8333333333335</v>
      </c>
      <c r="AP357" s="105">
        <f t="shared" si="217"/>
        <v>4143.8333333333339</v>
      </c>
      <c r="AQ357" s="105">
        <f t="shared" si="217"/>
        <v>5963.8333333333339</v>
      </c>
      <c r="AR357" s="105">
        <f t="shared" si="217"/>
        <v>4543.8333333333339</v>
      </c>
      <c r="AS357" s="105">
        <f t="shared" si="217"/>
        <v>4522.8333333333339</v>
      </c>
      <c r="AT357" s="105">
        <f t="shared" si="217"/>
        <v>6122.8333333333339</v>
      </c>
      <c r="AU357" s="105">
        <f t="shared" si="217"/>
        <v>4702.8333333333339</v>
      </c>
      <c r="AV357" s="105">
        <f t="shared" si="217"/>
        <v>4522.8333333333339</v>
      </c>
      <c r="AW357" s="105">
        <f t="shared" si="217"/>
        <v>4522.8333333333339</v>
      </c>
      <c r="AX357" s="105">
        <f t="shared" si="217"/>
        <v>6302.8333333333339</v>
      </c>
      <c r="AY357" s="122">
        <v>57880</v>
      </c>
      <c r="AZ357" s="55"/>
      <c r="BA357" s="641">
        <f t="shared" ref="BA357:CT357" si="218">BA288/1000000</f>
        <v>2580.8225940000002</v>
      </c>
      <c r="BB357" s="641">
        <f t="shared" si="218"/>
        <v>3193.4840380000001</v>
      </c>
      <c r="BC357" s="604">
        <f t="shared" si="218"/>
        <v>2934</v>
      </c>
      <c r="BD357" s="641">
        <f t="shared" si="218"/>
        <v>5887.190364</v>
      </c>
      <c r="BE357" s="604">
        <f t="shared" si="218"/>
        <v>3371</v>
      </c>
      <c r="BF357" s="641">
        <f t="shared" si="218"/>
        <v>4127.8155070000003</v>
      </c>
      <c r="BG357" s="604">
        <f t="shared" si="218"/>
        <v>3268.8</v>
      </c>
      <c r="BH357" s="641">
        <f t="shared" si="218"/>
        <v>2598.940204</v>
      </c>
      <c r="BI357" s="604">
        <f t="shared" si="218"/>
        <v>4494</v>
      </c>
      <c r="BJ357" s="641">
        <f t="shared" si="218"/>
        <v>3048.9433469999999</v>
      </c>
      <c r="BK357" s="604">
        <f t="shared" si="218"/>
        <v>3664.8</v>
      </c>
      <c r="BL357" s="641">
        <f t="shared" si="218"/>
        <v>2671.5773450000002</v>
      </c>
      <c r="BM357" s="604">
        <f t="shared" si="218"/>
        <v>3453.1333333333337</v>
      </c>
      <c r="BN357" s="712">
        <f t="shared" si="218"/>
        <v>3393.4856890000001</v>
      </c>
      <c r="BO357" s="713">
        <f t="shared" si="218"/>
        <v>3543.3</v>
      </c>
      <c r="BP357" s="712">
        <f t="shared" si="218"/>
        <v>0</v>
      </c>
      <c r="BQ357" s="713">
        <f>BQ288/1000000</f>
        <v>3543.3</v>
      </c>
      <c r="BR357" s="732">
        <f>BR288/1000000</f>
        <v>3819.5</v>
      </c>
      <c r="BS357" s="712">
        <f t="shared" si="218"/>
        <v>0</v>
      </c>
      <c r="BT357" s="713">
        <f>BT288/1000000</f>
        <v>3543.3</v>
      </c>
      <c r="BU357" s="732">
        <f t="shared" si="218"/>
        <v>3994.5</v>
      </c>
      <c r="BV357" s="712">
        <f t="shared" si="218"/>
        <v>0</v>
      </c>
      <c r="BW357" s="713">
        <f>BW288/1000000</f>
        <v>3443.3</v>
      </c>
      <c r="BX357" s="732">
        <f t="shared" si="218"/>
        <v>4169.5</v>
      </c>
      <c r="BY357" s="712">
        <f t="shared" si="218"/>
        <v>0</v>
      </c>
      <c r="BZ357" s="713">
        <f>BZ288/1000000</f>
        <v>3343.3</v>
      </c>
      <c r="CA357" s="732">
        <f t="shared" si="218"/>
        <v>4354.8999999999996</v>
      </c>
      <c r="CB357" s="720">
        <f t="shared" si="218"/>
        <v>43840.659088</v>
      </c>
      <c r="CC357" s="725">
        <f t="shared" si="218"/>
        <v>43840.659088</v>
      </c>
      <c r="CD357" s="744"/>
      <c r="CE357" s="336">
        <f t="shared" ref="CE357:CP357" si="219">CE288/1000000</f>
        <v>4117.3</v>
      </c>
      <c r="CF357" s="336">
        <f t="shared" si="219"/>
        <v>4127.3</v>
      </c>
      <c r="CG357" s="336">
        <f t="shared" si="219"/>
        <v>4127.3</v>
      </c>
      <c r="CH357" s="336">
        <f t="shared" si="219"/>
        <v>4117.3</v>
      </c>
      <c r="CI357" s="336">
        <f t="shared" si="219"/>
        <v>4212.3</v>
      </c>
      <c r="CJ357" s="336">
        <f t="shared" si="219"/>
        <v>4342.3</v>
      </c>
      <c r="CK357" s="336">
        <f t="shared" si="219"/>
        <v>4332.3</v>
      </c>
      <c r="CL357" s="336">
        <f t="shared" si="219"/>
        <v>4302.3</v>
      </c>
      <c r="CM357" s="336">
        <f t="shared" si="219"/>
        <v>4302.3</v>
      </c>
      <c r="CN357" s="336">
        <f t="shared" si="219"/>
        <v>4302.3</v>
      </c>
      <c r="CO357" s="336">
        <f t="shared" si="219"/>
        <v>4322.3</v>
      </c>
      <c r="CP357" s="336">
        <f t="shared" si="219"/>
        <v>4282.3</v>
      </c>
      <c r="CQ357" s="355">
        <f t="shared" si="218"/>
        <v>50887.6</v>
      </c>
      <c r="CR357" s="356">
        <f t="shared" si="218"/>
        <v>55073.74115993797</v>
      </c>
      <c r="CS357" s="357">
        <f t="shared" si="218"/>
        <v>59609.979223224909</v>
      </c>
      <c r="CT357" s="332">
        <f t="shared" si="218"/>
        <v>68650.606534814986</v>
      </c>
      <c r="CU357" s="358">
        <f>CU288/1000000</f>
        <v>79269.602989203093</v>
      </c>
      <c r="CV357" s="917"/>
      <c r="CW357" s="920"/>
    </row>
    <row r="358" spans="1:101" ht="15.5">
      <c r="E358" s="300" t="s">
        <v>306</v>
      </c>
      <c r="F358" s="300"/>
      <c r="G358" s="105">
        <f t="shared" ref="G358:W358" si="220">G342/1000000</f>
        <v>29869.969976</v>
      </c>
      <c r="H358" s="105">
        <f t="shared" si="220"/>
        <v>908.07642899999996</v>
      </c>
      <c r="I358" s="105">
        <f t="shared" si="220"/>
        <v>618.094516</v>
      </c>
      <c r="J358" s="105">
        <f t="shared" si="220"/>
        <v>471.04532499999999</v>
      </c>
      <c r="K358" s="105">
        <f t="shared" si="220"/>
        <v>755.87472200000002</v>
      </c>
      <c r="L358" s="105">
        <f t="shared" si="220"/>
        <v>2182.9639619999998</v>
      </c>
      <c r="M358" s="105">
        <f t="shared" si="220"/>
        <v>2510.406841</v>
      </c>
      <c r="N358" s="105">
        <f t="shared" si="220"/>
        <v>2256.527619</v>
      </c>
      <c r="O358" s="105">
        <f t="shared" si="220"/>
        <v>1030.0490480000001</v>
      </c>
      <c r="P358" s="105">
        <f t="shared" si="220"/>
        <v>961.08939799999996</v>
      </c>
      <c r="Q358" s="105">
        <f t="shared" si="220"/>
        <v>425.03709600000002</v>
      </c>
      <c r="R358" s="105">
        <f t="shared" si="220"/>
        <v>171.45037300000001</v>
      </c>
      <c r="S358" s="105">
        <f t="shared" si="220"/>
        <v>9423.6079969999992</v>
      </c>
      <c r="T358" s="105">
        <f t="shared" si="220"/>
        <v>1856</v>
      </c>
      <c r="U358" s="105">
        <f t="shared" si="220"/>
        <v>1856</v>
      </c>
      <c r="V358" s="105">
        <f t="shared" si="220"/>
        <v>1856</v>
      </c>
      <c r="W358" s="105">
        <f t="shared" si="220"/>
        <v>21714.223325999999</v>
      </c>
      <c r="X358" s="55"/>
      <c r="Y358" s="105">
        <f t="shared" ref="Y358:AJ358" si="221">Y342/1000000</f>
        <v>0</v>
      </c>
      <c r="Z358" s="105">
        <f t="shared" si="221"/>
        <v>0</v>
      </c>
      <c r="AA358" s="105">
        <f t="shared" si="221"/>
        <v>0</v>
      </c>
      <c r="AB358" s="105">
        <f t="shared" si="221"/>
        <v>0</v>
      </c>
      <c r="AC358" s="105">
        <f t="shared" si="221"/>
        <v>0</v>
      </c>
      <c r="AD358" s="105">
        <f t="shared" si="221"/>
        <v>0</v>
      </c>
      <c r="AE358" s="105">
        <f t="shared" si="221"/>
        <v>0</v>
      </c>
      <c r="AF358" s="105">
        <f t="shared" si="221"/>
        <v>0</v>
      </c>
      <c r="AG358" s="105">
        <f t="shared" si="221"/>
        <v>0</v>
      </c>
      <c r="AH358" s="105">
        <f t="shared" si="221"/>
        <v>0</v>
      </c>
      <c r="AI358" s="105">
        <f t="shared" si="221"/>
        <v>0</v>
      </c>
      <c r="AJ358" s="105">
        <f t="shared" si="221"/>
        <v>0</v>
      </c>
      <c r="AK358" s="61">
        <v>0</v>
      </c>
      <c r="AL358" s="55"/>
      <c r="AM358" s="105">
        <f t="shared" ref="AM358:AX358" si="222">AM342/1000000</f>
        <v>0</v>
      </c>
      <c r="AN358" s="105">
        <f t="shared" si="222"/>
        <v>0</v>
      </c>
      <c r="AO358" s="105">
        <f t="shared" si="222"/>
        <v>0</v>
      </c>
      <c r="AP358" s="105">
        <f t="shared" si="222"/>
        <v>0</v>
      </c>
      <c r="AQ358" s="105">
        <f t="shared" si="222"/>
        <v>0</v>
      </c>
      <c r="AR358" s="105">
        <f t="shared" si="222"/>
        <v>0</v>
      </c>
      <c r="AS358" s="105">
        <f t="shared" si="222"/>
        <v>0</v>
      </c>
      <c r="AT358" s="105">
        <f t="shared" si="222"/>
        <v>0</v>
      </c>
      <c r="AU358" s="105">
        <f t="shared" si="222"/>
        <v>0</v>
      </c>
      <c r="AV358" s="105">
        <f t="shared" si="222"/>
        <v>0</v>
      </c>
      <c r="AW358" s="105">
        <f t="shared" si="222"/>
        <v>0</v>
      </c>
      <c r="AX358" s="105">
        <f t="shared" si="222"/>
        <v>0</v>
      </c>
      <c r="AY358" s="122">
        <v>0</v>
      </c>
      <c r="AZ358" s="55"/>
      <c r="BA358" s="641">
        <f>BA342/1000000</f>
        <v>342.59303699999998</v>
      </c>
      <c r="BB358" s="641">
        <f>BB342/1000000</f>
        <v>20.855419999999999</v>
      </c>
      <c r="BC358" s="604">
        <f t="shared" ref="BC358:BK358" si="223">BC342/1000000</f>
        <v>20.855419999999999</v>
      </c>
      <c r="BD358" s="641">
        <f t="shared" si="223"/>
        <v>0</v>
      </c>
      <c r="BE358" s="604">
        <f t="shared" si="223"/>
        <v>20.855419999999999</v>
      </c>
      <c r="BF358" s="641">
        <f>BF342/1000000</f>
        <v>-3.52</v>
      </c>
      <c r="BG358" s="604">
        <f t="shared" si="223"/>
        <v>0</v>
      </c>
      <c r="BH358" s="641">
        <f t="shared" si="223"/>
        <v>0</v>
      </c>
      <c r="BI358" s="604">
        <f t="shared" si="223"/>
        <v>0</v>
      </c>
      <c r="BJ358" s="641">
        <f t="shared" si="223"/>
        <v>0</v>
      </c>
      <c r="BK358" s="604">
        <f t="shared" si="223"/>
        <v>0</v>
      </c>
      <c r="BL358" s="641">
        <f t="shared" ref="BL358:CB358" si="224">BL342/1000000</f>
        <v>0</v>
      </c>
      <c r="BM358" s="604">
        <f t="shared" si="224"/>
        <v>0</v>
      </c>
      <c r="BN358" s="712">
        <f t="shared" si="224"/>
        <v>0</v>
      </c>
      <c r="BO358" s="713">
        <f t="shared" si="224"/>
        <v>0</v>
      </c>
      <c r="BP358" s="712">
        <f t="shared" si="224"/>
        <v>0</v>
      </c>
      <c r="BQ358" s="713">
        <f>BQ342/1000000</f>
        <v>0</v>
      </c>
      <c r="BR358" s="732">
        <f>BR342/1000000</f>
        <v>0</v>
      </c>
      <c r="BS358" s="712">
        <f t="shared" si="224"/>
        <v>0</v>
      </c>
      <c r="BT358" s="713">
        <f>BT342/1000000</f>
        <v>0</v>
      </c>
      <c r="BU358" s="732">
        <f t="shared" si="224"/>
        <v>0</v>
      </c>
      <c r="BV358" s="712">
        <f t="shared" si="224"/>
        <v>0</v>
      </c>
      <c r="BW358" s="713">
        <f>BW342/1000000</f>
        <v>0</v>
      </c>
      <c r="BX358" s="732">
        <f t="shared" si="224"/>
        <v>0</v>
      </c>
      <c r="BY358" s="712">
        <f t="shared" si="224"/>
        <v>0</v>
      </c>
      <c r="BZ358" s="713">
        <f>BZ342/1000000</f>
        <v>0</v>
      </c>
      <c r="CA358" s="732">
        <f t="shared" si="224"/>
        <v>0</v>
      </c>
      <c r="CB358" s="720">
        <f t="shared" si="224"/>
        <v>359.92845699999998</v>
      </c>
      <c r="CC358" s="725">
        <f t="shared" ref="CC358:CP358" si="225">CC342/1000000</f>
        <v>359.92845699999998</v>
      </c>
      <c r="CD358" s="744"/>
      <c r="CE358" s="336">
        <f t="shared" si="225"/>
        <v>0</v>
      </c>
      <c r="CF358" s="336">
        <f t="shared" si="225"/>
        <v>0</v>
      </c>
      <c r="CG358" s="336">
        <f t="shared" si="225"/>
        <v>0</v>
      </c>
      <c r="CH358" s="336">
        <f t="shared" si="225"/>
        <v>0</v>
      </c>
      <c r="CI358" s="336">
        <f t="shared" si="225"/>
        <v>0</v>
      </c>
      <c r="CJ358" s="336">
        <f t="shared" si="225"/>
        <v>0</v>
      </c>
      <c r="CK358" s="336">
        <f t="shared" si="225"/>
        <v>0</v>
      </c>
      <c r="CL358" s="336">
        <f t="shared" si="225"/>
        <v>0</v>
      </c>
      <c r="CM358" s="336">
        <f t="shared" si="225"/>
        <v>0</v>
      </c>
      <c r="CN358" s="336">
        <f t="shared" si="225"/>
        <v>0</v>
      </c>
      <c r="CO358" s="336">
        <f t="shared" si="225"/>
        <v>0</v>
      </c>
      <c r="CP358" s="336">
        <f t="shared" si="225"/>
        <v>0</v>
      </c>
      <c r="CQ358" s="355">
        <f>CQ342/1000000</f>
        <v>0</v>
      </c>
      <c r="CR358" s="356">
        <f>CR342/1000000</f>
        <v>0</v>
      </c>
      <c r="CS358" s="357">
        <f>CS342/1000000</f>
        <v>0</v>
      </c>
      <c r="CT358" s="332">
        <f>CT342/1000000</f>
        <v>0</v>
      </c>
      <c r="CU358" s="358">
        <f>CU342/1000000</f>
        <v>0</v>
      </c>
      <c r="CV358" s="917"/>
      <c r="CW358" s="923"/>
    </row>
    <row r="359" spans="1:101" s="41" customFormat="1" ht="15.5">
      <c r="A359" s="319"/>
      <c r="B359" s="320"/>
      <c r="C359" s="319"/>
      <c r="D359" s="319"/>
      <c r="E359" s="318" t="s">
        <v>307</v>
      </c>
      <c r="F359" s="318"/>
      <c r="G359" s="106">
        <f>SUM(G356:G358)</f>
        <v>162324.93891599998</v>
      </c>
      <c r="H359" s="106">
        <f t="shared" ref="H359:W359" si="226">SUM(H356:H358)</f>
        <v>9957.5508059999993</v>
      </c>
      <c r="I359" s="106">
        <f t="shared" si="226"/>
        <v>10278.84348</v>
      </c>
      <c r="J359" s="106">
        <f t="shared" si="226"/>
        <v>8972.7803449999992</v>
      </c>
      <c r="K359" s="106">
        <f t="shared" si="226"/>
        <v>8690.4352749999998</v>
      </c>
      <c r="L359" s="106">
        <f t="shared" si="226"/>
        <v>10185.928185999999</v>
      </c>
      <c r="M359" s="106">
        <f t="shared" si="226"/>
        <v>9229.8845350000011</v>
      </c>
      <c r="N359" s="106">
        <f t="shared" si="226"/>
        <v>11381.470807000002</v>
      </c>
      <c r="O359" s="106">
        <f t="shared" si="226"/>
        <v>9600.0722700000006</v>
      </c>
      <c r="P359" s="106">
        <f t="shared" si="226"/>
        <v>7445.1572899999992</v>
      </c>
      <c r="Q359" s="106">
        <f>SUM(Q356:Q358)</f>
        <v>6700.2464030000001</v>
      </c>
      <c r="R359" s="106">
        <f>SUM(R356:R358)</f>
        <v>6465.3995369999993</v>
      </c>
      <c r="S359" s="106">
        <f>SUM(S356:S358)</f>
        <v>18845.757663</v>
      </c>
      <c r="T359" s="106">
        <f t="shared" si="226"/>
        <v>8995.236832999999</v>
      </c>
      <c r="U359" s="106">
        <f t="shared" si="226"/>
        <v>9069.645133</v>
      </c>
      <c r="V359" s="106">
        <f t="shared" si="226"/>
        <v>9274.590408</v>
      </c>
      <c r="W359" s="106">
        <f t="shared" si="226"/>
        <v>117753.52659700002</v>
      </c>
      <c r="X359" s="110"/>
      <c r="Y359" s="106">
        <f t="shared" ref="Y359:AJ359" si="227">SUM(Y356:Y358)</f>
        <v>8179.8013350180609</v>
      </c>
      <c r="Z359" s="106">
        <f t="shared" si="227"/>
        <v>9786.4671035680585</v>
      </c>
      <c r="AA359" s="106">
        <f t="shared" si="227"/>
        <v>8486.4671035680603</v>
      </c>
      <c r="AB359" s="106">
        <f t="shared" si="227"/>
        <v>8716.4671035680603</v>
      </c>
      <c r="AC359" s="106">
        <f t="shared" si="227"/>
        <v>10316.467103568059</v>
      </c>
      <c r="AD359" s="106">
        <f t="shared" si="227"/>
        <v>8896.4671035680603</v>
      </c>
      <c r="AE359" s="106">
        <f t="shared" si="227"/>
        <v>8875.4671035680603</v>
      </c>
      <c r="AF359" s="106">
        <f t="shared" si="227"/>
        <v>10475.467103568059</v>
      </c>
      <c r="AG359" s="106">
        <f t="shared" si="227"/>
        <v>9055.4671035680603</v>
      </c>
      <c r="AH359" s="106">
        <f t="shared" si="227"/>
        <v>8875.4671035680603</v>
      </c>
      <c r="AI359" s="106">
        <f t="shared" si="227"/>
        <v>8875.4671035680603</v>
      </c>
      <c r="AJ359" s="106">
        <f t="shared" si="227"/>
        <v>10655.467103568059</v>
      </c>
      <c r="AK359" s="87">
        <v>111194.93947426672</v>
      </c>
      <c r="AL359" s="55"/>
      <c r="AM359" s="106">
        <f t="shared" ref="AM359:AX359" si="228">SUM(AM356:AM358)</f>
        <v>8229.0031225107523</v>
      </c>
      <c r="AN359" s="106">
        <f t="shared" si="228"/>
        <v>9835.6688910607518</v>
      </c>
      <c r="AO359" s="106">
        <f t="shared" si="228"/>
        <v>8535.6688910607518</v>
      </c>
      <c r="AP359" s="106">
        <f t="shared" si="228"/>
        <v>9265.6688910607518</v>
      </c>
      <c r="AQ359" s="106">
        <f t="shared" si="228"/>
        <v>11085.668891060752</v>
      </c>
      <c r="AR359" s="106">
        <f t="shared" si="228"/>
        <v>9665.6688910607518</v>
      </c>
      <c r="AS359" s="106">
        <f t="shared" si="228"/>
        <v>9644.6688910607518</v>
      </c>
      <c r="AT359" s="106">
        <f t="shared" si="228"/>
        <v>11244.668891060752</v>
      </c>
      <c r="AU359" s="106">
        <f t="shared" si="228"/>
        <v>9824.6688910607518</v>
      </c>
      <c r="AV359" s="106">
        <f t="shared" si="228"/>
        <v>9644.6688910607518</v>
      </c>
      <c r="AW359" s="106">
        <f t="shared" si="228"/>
        <v>9644.6688910607518</v>
      </c>
      <c r="AX359" s="106">
        <f t="shared" si="228"/>
        <v>11424.668891060752</v>
      </c>
      <c r="AY359" s="124">
        <v>118045.36092417903</v>
      </c>
      <c r="AZ359" s="110"/>
      <c r="BA359" s="642">
        <f>SUM(BA356:BA358)</f>
        <v>6395.6940640000003</v>
      </c>
      <c r="BB359" s="642">
        <f>SUM(BB356:BB358)</f>
        <v>6616.91363</v>
      </c>
      <c r="BC359" s="605">
        <f t="shared" ref="BC359:BK359" si="229">SUM(BC356:BC358)</f>
        <v>6425.9723450000001</v>
      </c>
      <c r="BD359" s="642">
        <f t="shared" si="229"/>
        <v>9075.9924279999996</v>
      </c>
      <c r="BE359" s="605">
        <f t="shared" si="229"/>
        <v>6956.2572989999999</v>
      </c>
      <c r="BF359" s="642">
        <f>SUM(BF356:BF358)</f>
        <v>7305.3934040000004</v>
      </c>
      <c r="BG359" s="605">
        <f t="shared" si="229"/>
        <v>6502.1563679999999</v>
      </c>
      <c r="BH359" s="642">
        <f t="shared" si="229"/>
        <v>5582.075887</v>
      </c>
      <c r="BI359" s="605">
        <f t="shared" si="229"/>
        <v>7730.7425679999997</v>
      </c>
      <c r="BJ359" s="642">
        <f t="shared" si="229"/>
        <v>6513.6626049999995</v>
      </c>
      <c r="BK359" s="605">
        <f t="shared" si="229"/>
        <v>8613.7425680000015</v>
      </c>
      <c r="BL359" s="642">
        <f t="shared" ref="BL359:CA359" si="230">SUM(BL356:BL358)</f>
        <v>5691.8546960000003</v>
      </c>
      <c r="BM359" s="605">
        <f t="shared" si="230"/>
        <v>8501.110478333334</v>
      </c>
      <c r="BN359" s="714">
        <f t="shared" si="230"/>
        <v>8120.5018660000005</v>
      </c>
      <c r="BO359" s="715">
        <f t="shared" si="230"/>
        <v>8853.0887700000003</v>
      </c>
      <c r="BP359" s="714">
        <f t="shared" si="230"/>
        <v>0</v>
      </c>
      <c r="BQ359" s="715">
        <f t="shared" si="230"/>
        <v>8967.3054159999992</v>
      </c>
      <c r="BR359" s="725">
        <f t="shared" si="230"/>
        <v>8344.8281619999998</v>
      </c>
      <c r="BS359" s="714">
        <f t="shared" si="230"/>
        <v>0</v>
      </c>
      <c r="BT359" s="715">
        <f t="shared" si="230"/>
        <v>9787.3054159999992</v>
      </c>
      <c r="BU359" s="725">
        <f t="shared" si="230"/>
        <v>8725.8281619999998</v>
      </c>
      <c r="BV359" s="714">
        <f t="shared" si="230"/>
        <v>0</v>
      </c>
      <c r="BW359" s="715">
        <f t="shared" si="230"/>
        <v>9687.3054159999992</v>
      </c>
      <c r="BX359" s="725">
        <f t="shared" si="230"/>
        <v>9285.8281619999998</v>
      </c>
      <c r="BY359" s="714">
        <f t="shared" si="230"/>
        <v>0</v>
      </c>
      <c r="BZ359" s="715">
        <f t="shared" si="230"/>
        <v>9579.7454159999998</v>
      </c>
      <c r="CA359" s="725">
        <f t="shared" si="230"/>
        <v>9675.6361619999989</v>
      </c>
      <c r="CB359" s="720">
        <f t="shared" ref="CB359:CT359" si="231">SUM(CB356:CB358)</f>
        <v>91334.209227999992</v>
      </c>
      <c r="CC359" s="725">
        <f t="shared" si="231"/>
        <v>91334.209227999992</v>
      </c>
      <c r="CD359" s="744"/>
      <c r="CE359" s="337">
        <f t="shared" si="231"/>
        <v>7356.0249999999996</v>
      </c>
      <c r="CF359" s="337">
        <f t="shared" si="231"/>
        <v>7356.4685590000008</v>
      </c>
      <c r="CG359" s="337">
        <f t="shared" si="231"/>
        <v>8620.6</v>
      </c>
      <c r="CH359" s="337">
        <f t="shared" si="231"/>
        <v>8623.625089000001</v>
      </c>
      <c r="CI359" s="337">
        <f t="shared" si="231"/>
        <v>9093.5</v>
      </c>
      <c r="CJ359" s="337">
        <f t="shared" si="231"/>
        <v>9434.8384829999995</v>
      </c>
      <c r="CK359" s="337">
        <f t="shared" si="231"/>
        <v>9443.6</v>
      </c>
      <c r="CL359" s="337">
        <f t="shared" si="231"/>
        <v>9465.3274989999991</v>
      </c>
      <c r="CM359" s="337">
        <f t="shared" si="231"/>
        <v>9495.1</v>
      </c>
      <c r="CN359" s="337">
        <f t="shared" si="231"/>
        <v>9486.1</v>
      </c>
      <c r="CO359" s="337">
        <f t="shared" si="231"/>
        <v>9546.1</v>
      </c>
      <c r="CP359" s="337">
        <f t="shared" si="231"/>
        <v>9494.6</v>
      </c>
      <c r="CQ359" s="363">
        <f t="shared" si="231"/>
        <v>107415.88463</v>
      </c>
      <c r="CR359" s="364">
        <f t="shared" si="231"/>
        <v>120359.35794931994</v>
      </c>
      <c r="CS359" s="365">
        <f t="shared" si="231"/>
        <v>155741.19563525438</v>
      </c>
      <c r="CT359" s="325">
        <f t="shared" si="231"/>
        <v>206969.32710735456</v>
      </c>
      <c r="CU359" s="366">
        <f>SUM(CU356:CU358)</f>
        <v>229204.92242818492</v>
      </c>
      <c r="CV359" s="917"/>
    </row>
    <row r="360" spans="1:101" ht="15.5">
      <c r="E360" s="300"/>
      <c r="F360" s="300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92"/>
      <c r="X360" s="55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61"/>
      <c r="AL360" s="55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122"/>
      <c r="AZ360" s="55"/>
      <c r="BA360" s="643"/>
      <c r="BB360" s="643"/>
      <c r="BC360" s="92"/>
      <c r="BD360" s="643"/>
      <c r="BE360" s="92"/>
      <c r="BF360" s="643"/>
      <c r="BG360" s="92"/>
      <c r="BH360" s="643"/>
      <c r="BI360" s="92"/>
      <c r="BJ360" s="643"/>
      <c r="BK360" s="92"/>
      <c r="BL360" s="643"/>
      <c r="BM360" s="92"/>
      <c r="BN360" s="643"/>
      <c r="BO360" s="92"/>
      <c r="BP360" s="643"/>
      <c r="BQ360" s="92"/>
      <c r="BR360" s="724"/>
      <c r="BS360" s="643"/>
      <c r="BT360" s="92"/>
      <c r="BU360" s="724"/>
      <c r="BV360" s="643"/>
      <c r="BW360" s="92"/>
      <c r="BX360" s="724"/>
      <c r="BY360" s="643"/>
      <c r="BZ360" s="92"/>
      <c r="CA360" s="724"/>
      <c r="CB360" s="720"/>
      <c r="CC360" s="724"/>
      <c r="CD360" s="111"/>
      <c r="CE360" s="338"/>
      <c r="CF360" s="338"/>
      <c r="CG360" s="338"/>
      <c r="CH360" s="338"/>
      <c r="CI360" s="338"/>
      <c r="CJ360" s="338"/>
      <c r="CK360" s="338"/>
      <c r="CL360" s="338"/>
      <c r="CM360" s="338"/>
      <c r="CN360" s="338"/>
      <c r="CO360" s="338"/>
      <c r="CP360" s="338"/>
      <c r="CQ360" s="355"/>
      <c r="CR360" s="356"/>
      <c r="CS360" s="357"/>
      <c r="CT360" s="332"/>
      <c r="CU360" s="358"/>
      <c r="CV360" s="917"/>
    </row>
    <row r="361" spans="1:101" ht="15.5">
      <c r="E361" s="318" t="s">
        <v>308</v>
      </c>
      <c r="F361" s="318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92"/>
      <c r="X361" s="55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61"/>
      <c r="AL361" s="55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122"/>
      <c r="AZ361" s="55"/>
      <c r="BA361" s="643"/>
      <c r="BB361" s="643"/>
      <c r="BC361" s="92"/>
      <c r="BD361" s="643"/>
      <c r="BE361" s="92"/>
      <c r="BF361" s="643"/>
      <c r="BG361" s="92"/>
      <c r="BH361" s="643"/>
      <c r="BI361" s="92"/>
      <c r="BJ361" s="643"/>
      <c r="BK361" s="92"/>
      <c r="BL361" s="643"/>
      <c r="BM361" s="92"/>
      <c r="BN361" s="643"/>
      <c r="BO361" s="92"/>
      <c r="BP361" s="643"/>
      <c r="BQ361" s="92"/>
      <c r="BR361" s="724"/>
      <c r="BS361" s="643"/>
      <c r="BT361" s="92"/>
      <c r="BU361" s="724"/>
      <c r="BV361" s="643"/>
      <c r="BW361" s="92"/>
      <c r="BX361" s="724"/>
      <c r="BY361" s="643"/>
      <c r="BZ361" s="92"/>
      <c r="CA361" s="724"/>
      <c r="CB361" s="720"/>
      <c r="CC361" s="724"/>
      <c r="CD361" s="111"/>
      <c r="CE361" s="338"/>
      <c r="CF361" s="338"/>
      <c r="CG361" s="338"/>
      <c r="CH361" s="338"/>
      <c r="CI361" s="338"/>
      <c r="CJ361" s="338"/>
      <c r="CK361" s="338"/>
      <c r="CL361" s="338"/>
      <c r="CM361" s="338"/>
      <c r="CN361" s="338"/>
      <c r="CO361" s="338"/>
      <c r="CP361" s="338"/>
      <c r="CQ361" s="355"/>
      <c r="CR361" s="356"/>
      <c r="CS361" s="357"/>
      <c r="CT361" s="332"/>
      <c r="CU361" s="358"/>
      <c r="CV361" s="917"/>
    </row>
    <row r="362" spans="1:101" ht="15.5">
      <c r="E362" s="300" t="s">
        <v>304</v>
      </c>
      <c r="F362" s="300"/>
      <c r="G362" s="105">
        <f t="shared" ref="G362:W362" si="232">G169/1000000</f>
        <v>20170.065898000001</v>
      </c>
      <c r="H362" s="105">
        <f t="shared" si="232"/>
        <v>1798.8321309999999</v>
      </c>
      <c r="I362" s="105">
        <f t="shared" si="232"/>
        <v>1136.890453</v>
      </c>
      <c r="J362" s="105">
        <f t="shared" si="232"/>
        <v>1008.30107</v>
      </c>
      <c r="K362" s="105">
        <f t="shared" si="232"/>
        <v>939.89016600000002</v>
      </c>
      <c r="L362" s="105">
        <f t="shared" si="232"/>
        <v>1082.406029</v>
      </c>
      <c r="M362" s="105">
        <f t="shared" si="232"/>
        <v>1009.153216</v>
      </c>
      <c r="N362" s="105">
        <f t="shared" si="232"/>
        <v>1044.712389</v>
      </c>
      <c r="O362" s="105">
        <f t="shared" si="232"/>
        <v>1059.9785400000001</v>
      </c>
      <c r="P362" s="105">
        <f t="shared" si="232"/>
        <v>1117.606984</v>
      </c>
      <c r="Q362" s="105">
        <f t="shared" si="232"/>
        <v>951.44496000000004</v>
      </c>
      <c r="R362" s="105">
        <f t="shared" si="232"/>
        <v>961.58335799999998</v>
      </c>
      <c r="S362" s="105">
        <f t="shared" si="232"/>
        <v>957.10614999999996</v>
      </c>
      <c r="T362" s="105">
        <f t="shared" si="232"/>
        <v>954.49440300000003</v>
      </c>
      <c r="U362" s="105">
        <f t="shared" si="232"/>
        <v>856.07240300000001</v>
      </c>
      <c r="V362" s="105">
        <f t="shared" si="232"/>
        <v>856.07240300000001</v>
      </c>
      <c r="W362" s="105">
        <f t="shared" si="232"/>
        <v>13067.905446000001</v>
      </c>
      <c r="X362" s="55"/>
      <c r="Y362" s="105">
        <f t="shared" ref="Y362:AJ362" si="233">Y169/1000000</f>
        <v>1205.36422315</v>
      </c>
      <c r="Z362" s="105">
        <f t="shared" si="233"/>
        <v>1205.36422315</v>
      </c>
      <c r="AA362" s="105">
        <f t="shared" si="233"/>
        <v>1353.7642231500001</v>
      </c>
      <c r="AB362" s="105">
        <f t="shared" si="233"/>
        <v>1353.7642231500001</v>
      </c>
      <c r="AC362" s="105">
        <f t="shared" si="233"/>
        <v>1353.7642231500001</v>
      </c>
      <c r="AD362" s="105">
        <f t="shared" si="233"/>
        <v>1353.7642231500001</v>
      </c>
      <c r="AE362" s="105">
        <f t="shared" si="233"/>
        <v>1353.7642231500001</v>
      </c>
      <c r="AF362" s="105">
        <f t="shared" si="233"/>
        <v>1353.7642231500001</v>
      </c>
      <c r="AG362" s="105">
        <f t="shared" si="233"/>
        <v>1353.7642231500001</v>
      </c>
      <c r="AH362" s="105">
        <f t="shared" si="233"/>
        <v>1448.7642231500001</v>
      </c>
      <c r="AI362" s="105">
        <f t="shared" si="233"/>
        <v>1448.7642231500001</v>
      </c>
      <c r="AJ362" s="105">
        <f t="shared" si="233"/>
        <v>1448.7642231500001</v>
      </c>
      <c r="AK362" s="61">
        <v>16233.3706778</v>
      </c>
      <c r="AL362" s="55"/>
      <c r="AM362" s="105">
        <f t="shared" ref="AM362:AX362" si="234">AM169/1000000</f>
        <v>1205.36422315</v>
      </c>
      <c r="AN362" s="105">
        <f t="shared" si="234"/>
        <v>1205.36422315</v>
      </c>
      <c r="AO362" s="105">
        <f t="shared" si="234"/>
        <v>1353.7642231500001</v>
      </c>
      <c r="AP362" s="105">
        <f t="shared" si="234"/>
        <v>1353.7642231500001</v>
      </c>
      <c r="AQ362" s="105">
        <f t="shared" si="234"/>
        <v>1353.7642231500001</v>
      </c>
      <c r="AR362" s="105">
        <f t="shared" si="234"/>
        <v>1353.7642231500001</v>
      </c>
      <c r="AS362" s="105">
        <f t="shared" si="234"/>
        <v>1353.7642231500001</v>
      </c>
      <c r="AT362" s="105">
        <f t="shared" si="234"/>
        <v>1353.7642231500001</v>
      </c>
      <c r="AU362" s="105">
        <f t="shared" si="234"/>
        <v>1353.7642231500001</v>
      </c>
      <c r="AV362" s="105">
        <f t="shared" si="234"/>
        <v>1448.7642231500001</v>
      </c>
      <c r="AW362" s="105">
        <f t="shared" si="234"/>
        <v>1448.7642231500001</v>
      </c>
      <c r="AX362" s="105">
        <f t="shared" si="234"/>
        <v>1448.7642231500001</v>
      </c>
      <c r="AY362" s="122">
        <v>16233.3706778</v>
      </c>
      <c r="AZ362" s="55"/>
      <c r="BA362" s="641">
        <f t="shared" ref="BA362:CC362" si="235">BA169/1000000</f>
        <v>879.65052300000002</v>
      </c>
      <c r="BB362" s="641">
        <f t="shared" si="235"/>
        <v>986.75852499999996</v>
      </c>
      <c r="BC362" s="604">
        <f t="shared" si="235"/>
        <v>881.86172799999997</v>
      </c>
      <c r="BD362" s="641">
        <f t="shared" si="235"/>
        <v>957.99112200000002</v>
      </c>
      <c r="BE362" s="604">
        <f t="shared" si="235"/>
        <v>926.53749500000004</v>
      </c>
      <c r="BF362" s="641">
        <f t="shared" si="235"/>
        <v>922.71155199999998</v>
      </c>
      <c r="BG362" s="604">
        <f t="shared" si="235"/>
        <v>1029.758</v>
      </c>
      <c r="BH362" s="641">
        <f t="shared" si="235"/>
        <v>913.58542799999998</v>
      </c>
      <c r="BI362" s="604">
        <f t="shared" si="235"/>
        <v>1133.8779999999999</v>
      </c>
      <c r="BJ362" s="641">
        <f t="shared" si="235"/>
        <v>1012.531575</v>
      </c>
      <c r="BK362" s="604">
        <f t="shared" si="235"/>
        <v>1372.8779999999999</v>
      </c>
      <c r="BL362" s="641">
        <f t="shared" si="235"/>
        <v>864.33399099999997</v>
      </c>
      <c r="BM362" s="604">
        <f t="shared" si="235"/>
        <v>1427.8779999999999</v>
      </c>
      <c r="BN362" s="712">
        <f t="shared" si="235"/>
        <v>753.43856200000005</v>
      </c>
      <c r="BO362" s="713">
        <f t="shared" si="235"/>
        <v>1427.8779999999999</v>
      </c>
      <c r="BP362" s="712">
        <f t="shared" si="235"/>
        <v>0</v>
      </c>
      <c r="BQ362" s="713">
        <f>BQ169/1000000</f>
        <v>100</v>
      </c>
      <c r="BR362" s="732">
        <f>BR169/1000000</f>
        <v>1179.8440000000001</v>
      </c>
      <c r="BS362" s="712">
        <f t="shared" si="235"/>
        <v>0</v>
      </c>
      <c r="BT362" s="713">
        <f>BT169/1000000</f>
        <v>340</v>
      </c>
      <c r="BU362" s="732">
        <f t="shared" si="235"/>
        <v>1365.8440000000001</v>
      </c>
      <c r="BV362" s="712">
        <f t="shared" si="235"/>
        <v>0</v>
      </c>
      <c r="BW362" s="713">
        <f>BW169/1000000</f>
        <v>190</v>
      </c>
      <c r="BX362" s="732">
        <f t="shared" si="235"/>
        <v>1391.8440000000001</v>
      </c>
      <c r="BY362" s="712">
        <f t="shared" si="235"/>
        <v>0</v>
      </c>
      <c r="BZ362" s="713">
        <f>BZ169/1000000</f>
        <v>190</v>
      </c>
      <c r="CA362" s="732">
        <f t="shared" si="235"/>
        <v>1411.8440000000001</v>
      </c>
      <c r="CB362" s="720">
        <f t="shared" si="235"/>
        <v>12640.377278</v>
      </c>
      <c r="CC362" s="725">
        <f t="shared" si="235"/>
        <v>12640.377278</v>
      </c>
      <c r="CD362" s="744"/>
      <c r="CE362" s="336">
        <f t="shared" ref="CE362:CP362" si="236">CE169/1000000</f>
        <v>861</v>
      </c>
      <c r="CF362" s="336">
        <f t="shared" si="236"/>
        <v>861</v>
      </c>
      <c r="CG362" s="336">
        <f t="shared" si="236"/>
        <v>861</v>
      </c>
      <c r="CH362" s="336">
        <f t="shared" si="236"/>
        <v>1411</v>
      </c>
      <c r="CI362" s="336">
        <f t="shared" si="236"/>
        <v>1411</v>
      </c>
      <c r="CJ362" s="336">
        <f t="shared" si="236"/>
        <v>1441</v>
      </c>
      <c r="CK362" s="336">
        <f t="shared" si="236"/>
        <v>1441</v>
      </c>
      <c r="CL362" s="336">
        <f t="shared" si="236"/>
        <v>1441</v>
      </c>
      <c r="CM362" s="336">
        <f t="shared" si="236"/>
        <v>1441</v>
      </c>
      <c r="CN362" s="336">
        <f t="shared" si="236"/>
        <v>1441</v>
      </c>
      <c r="CO362" s="336">
        <f t="shared" si="236"/>
        <v>1441</v>
      </c>
      <c r="CP362" s="336">
        <f t="shared" si="236"/>
        <v>1441</v>
      </c>
      <c r="CQ362" s="355">
        <f>CQ169/1000000</f>
        <v>15492</v>
      </c>
      <c r="CR362" s="356">
        <f>CR169/1000000</f>
        <v>16047.698854938166</v>
      </c>
      <c r="CS362" s="357">
        <f>CS169/1000000</f>
        <v>22535.622811073634</v>
      </c>
      <c r="CT362" s="332">
        <f>CT169/1000000</f>
        <v>24645.144148461946</v>
      </c>
      <c r="CU362" s="358">
        <f>CU169/1000000</f>
        <v>26981.922163578507</v>
      </c>
      <c r="CV362" s="917"/>
      <c r="CW362" s="920"/>
    </row>
    <row r="363" spans="1:101" ht="15.5">
      <c r="E363" s="300" t="s">
        <v>305</v>
      </c>
      <c r="F363" s="300"/>
      <c r="G363" s="105">
        <f t="shared" ref="G363:W363" si="237">G293/1000000</f>
        <v>2005.6774780000001</v>
      </c>
      <c r="H363" s="105">
        <f t="shared" si="237"/>
        <v>42.9846</v>
      </c>
      <c r="I363" s="105">
        <f t="shared" si="237"/>
        <v>0</v>
      </c>
      <c r="J363" s="105">
        <f t="shared" si="237"/>
        <v>0</v>
      </c>
      <c r="K363" s="105">
        <f t="shared" si="237"/>
        <v>16.5</v>
      </c>
      <c r="L363" s="105">
        <f t="shared" si="237"/>
        <v>0</v>
      </c>
      <c r="M363" s="105">
        <f t="shared" si="237"/>
        <v>0</v>
      </c>
      <c r="N363" s="105">
        <f t="shared" si="237"/>
        <v>0</v>
      </c>
      <c r="O363" s="105">
        <f t="shared" si="237"/>
        <v>0</v>
      </c>
      <c r="P363" s="105">
        <f t="shared" si="237"/>
        <v>0</v>
      </c>
      <c r="Q363" s="105">
        <f t="shared" si="237"/>
        <v>0</v>
      </c>
      <c r="R363" s="105">
        <f t="shared" si="237"/>
        <v>0</v>
      </c>
      <c r="S363" s="105">
        <f t="shared" si="237"/>
        <v>0</v>
      </c>
      <c r="T363" s="105">
        <f t="shared" si="237"/>
        <v>0</v>
      </c>
      <c r="U363" s="105">
        <f t="shared" si="237"/>
        <v>0</v>
      </c>
      <c r="V363" s="105">
        <f t="shared" si="237"/>
        <v>0</v>
      </c>
      <c r="W363" s="105">
        <f t="shared" si="237"/>
        <v>59.4846</v>
      </c>
      <c r="X363" s="55"/>
      <c r="Y363" s="105">
        <f t="shared" ref="Y363:AJ363" si="238">Y293/1000000</f>
        <v>0</v>
      </c>
      <c r="Z363" s="105">
        <f t="shared" si="238"/>
        <v>0</v>
      </c>
      <c r="AA363" s="105">
        <f t="shared" si="238"/>
        <v>0</v>
      </c>
      <c r="AB363" s="105">
        <f t="shared" si="238"/>
        <v>0</v>
      </c>
      <c r="AC363" s="105">
        <f t="shared" si="238"/>
        <v>0</v>
      </c>
      <c r="AD363" s="105">
        <f t="shared" si="238"/>
        <v>0</v>
      </c>
      <c r="AE363" s="105">
        <f t="shared" si="238"/>
        <v>0</v>
      </c>
      <c r="AF363" s="105">
        <f t="shared" si="238"/>
        <v>0</v>
      </c>
      <c r="AG363" s="105">
        <f t="shared" si="238"/>
        <v>0</v>
      </c>
      <c r="AH363" s="105">
        <f t="shared" si="238"/>
        <v>0</v>
      </c>
      <c r="AI363" s="105">
        <f t="shared" si="238"/>
        <v>0</v>
      </c>
      <c r="AJ363" s="105">
        <f t="shared" si="238"/>
        <v>0</v>
      </c>
      <c r="AK363" s="61">
        <v>0</v>
      </c>
      <c r="AL363" s="55"/>
      <c r="AM363" s="105">
        <f t="shared" ref="AM363:AX363" si="239">AM293/1000000</f>
        <v>0</v>
      </c>
      <c r="AN363" s="105">
        <f t="shared" si="239"/>
        <v>0</v>
      </c>
      <c r="AO363" s="105">
        <f t="shared" si="239"/>
        <v>0</v>
      </c>
      <c r="AP363" s="105">
        <f t="shared" si="239"/>
        <v>0</v>
      </c>
      <c r="AQ363" s="105">
        <f t="shared" si="239"/>
        <v>0</v>
      </c>
      <c r="AR363" s="105">
        <f t="shared" si="239"/>
        <v>0</v>
      </c>
      <c r="AS363" s="105">
        <f t="shared" si="239"/>
        <v>0</v>
      </c>
      <c r="AT363" s="105">
        <f t="shared" si="239"/>
        <v>0</v>
      </c>
      <c r="AU363" s="105">
        <f t="shared" si="239"/>
        <v>0</v>
      </c>
      <c r="AV363" s="105">
        <f t="shared" si="239"/>
        <v>0</v>
      </c>
      <c r="AW363" s="105">
        <f t="shared" si="239"/>
        <v>0</v>
      </c>
      <c r="AX363" s="105">
        <f t="shared" si="239"/>
        <v>0</v>
      </c>
      <c r="AY363" s="122">
        <v>0</v>
      </c>
      <c r="AZ363" s="55"/>
      <c r="BA363" s="641">
        <f t="shared" ref="BA363:CT363" si="240">BA293/1000000</f>
        <v>0</v>
      </c>
      <c r="BB363" s="641">
        <f t="shared" si="240"/>
        <v>0</v>
      </c>
      <c r="BC363" s="604">
        <f t="shared" si="240"/>
        <v>0</v>
      </c>
      <c r="BD363" s="641">
        <f t="shared" si="240"/>
        <v>0</v>
      </c>
      <c r="BE363" s="604">
        <f t="shared" si="240"/>
        <v>0</v>
      </c>
      <c r="BF363" s="641">
        <f t="shared" si="240"/>
        <v>0</v>
      </c>
      <c r="BG363" s="604">
        <f t="shared" si="240"/>
        <v>0</v>
      </c>
      <c r="BH363" s="641">
        <f t="shared" si="240"/>
        <v>0</v>
      </c>
      <c r="BI363" s="604">
        <f t="shared" si="240"/>
        <v>0</v>
      </c>
      <c r="BJ363" s="641">
        <f t="shared" si="240"/>
        <v>0</v>
      </c>
      <c r="BK363" s="604">
        <f t="shared" si="240"/>
        <v>0</v>
      </c>
      <c r="BL363" s="641">
        <f t="shared" si="240"/>
        <v>0</v>
      </c>
      <c r="BM363" s="604">
        <f t="shared" si="240"/>
        <v>0</v>
      </c>
      <c r="BN363" s="712">
        <f t="shared" si="240"/>
        <v>0</v>
      </c>
      <c r="BO363" s="713">
        <f t="shared" si="240"/>
        <v>0</v>
      </c>
      <c r="BP363" s="712">
        <f t="shared" si="240"/>
        <v>0</v>
      </c>
      <c r="BQ363" s="713">
        <f>BQ293/1000000</f>
        <v>0</v>
      </c>
      <c r="BR363" s="732">
        <f>BR293/1000000</f>
        <v>0</v>
      </c>
      <c r="BS363" s="712">
        <f t="shared" si="240"/>
        <v>0</v>
      </c>
      <c r="BT363" s="713">
        <f>BT293/1000000</f>
        <v>0</v>
      </c>
      <c r="BU363" s="732">
        <f t="shared" si="240"/>
        <v>0</v>
      </c>
      <c r="BV363" s="712">
        <f t="shared" si="240"/>
        <v>0</v>
      </c>
      <c r="BW363" s="713">
        <f>BW293/1000000</f>
        <v>0</v>
      </c>
      <c r="BX363" s="732">
        <f t="shared" si="240"/>
        <v>0</v>
      </c>
      <c r="BY363" s="712">
        <f t="shared" si="240"/>
        <v>0</v>
      </c>
      <c r="BZ363" s="713">
        <f>BZ293/1000000</f>
        <v>0</v>
      </c>
      <c r="CA363" s="732">
        <f t="shared" si="240"/>
        <v>0</v>
      </c>
      <c r="CB363" s="720">
        <f t="shared" si="240"/>
        <v>0</v>
      </c>
      <c r="CC363" s="725">
        <f t="shared" si="240"/>
        <v>0</v>
      </c>
      <c r="CD363" s="744"/>
      <c r="CE363" s="336">
        <f>CE293/1000000</f>
        <v>177.4</v>
      </c>
      <c r="CF363" s="336">
        <f t="shared" ref="CF363:CP363" si="241">CF293/1000000</f>
        <v>177.4</v>
      </c>
      <c r="CG363" s="336">
        <f t="shared" si="241"/>
        <v>177.4</v>
      </c>
      <c r="CH363" s="336">
        <f t="shared" si="241"/>
        <v>177.4</v>
      </c>
      <c r="CI363" s="336">
        <f t="shared" si="241"/>
        <v>177.4</v>
      </c>
      <c r="CJ363" s="336">
        <f t="shared" si="241"/>
        <v>177.4</v>
      </c>
      <c r="CK363" s="336">
        <f t="shared" si="241"/>
        <v>177.4</v>
      </c>
      <c r="CL363" s="336">
        <f t="shared" si="241"/>
        <v>177.4</v>
      </c>
      <c r="CM363" s="336">
        <f t="shared" si="241"/>
        <v>177.4</v>
      </c>
      <c r="CN363" s="336">
        <f t="shared" si="241"/>
        <v>177.4</v>
      </c>
      <c r="CO363" s="336">
        <f t="shared" si="241"/>
        <v>177.4</v>
      </c>
      <c r="CP363" s="336">
        <f t="shared" si="241"/>
        <v>177.4</v>
      </c>
      <c r="CQ363" s="355">
        <f>CQ293/1000000</f>
        <v>2128.8000000000002</v>
      </c>
      <c r="CR363" s="356">
        <f t="shared" si="240"/>
        <v>0</v>
      </c>
      <c r="CS363" s="357">
        <f t="shared" si="240"/>
        <v>0</v>
      </c>
      <c r="CT363" s="332">
        <f t="shared" si="240"/>
        <v>0</v>
      </c>
      <c r="CU363" s="358">
        <f>CU293/1000000</f>
        <v>0</v>
      </c>
      <c r="CV363" s="917"/>
      <c r="CW363" s="923"/>
    </row>
    <row r="364" spans="1:101" ht="15.5">
      <c r="E364" s="300" t="s">
        <v>306</v>
      </c>
      <c r="F364" s="300"/>
      <c r="G364" s="105">
        <f t="shared" ref="G364:W364" si="242">G344/1000000</f>
        <v>2103.8703599999999</v>
      </c>
      <c r="H364" s="105">
        <f t="shared" si="242"/>
        <v>3.3740000000000001</v>
      </c>
      <c r="I364" s="105">
        <f t="shared" si="242"/>
        <v>19.30913</v>
      </c>
      <c r="J364" s="105">
        <f t="shared" si="242"/>
        <v>81.483174000000005</v>
      </c>
      <c r="K364" s="105">
        <f t="shared" si="242"/>
        <v>0</v>
      </c>
      <c r="L364" s="105">
        <f t="shared" si="242"/>
        <v>0</v>
      </c>
      <c r="M364" s="105">
        <f t="shared" si="242"/>
        <v>22.907343000000001</v>
      </c>
      <c r="N364" s="105">
        <f t="shared" si="242"/>
        <v>36.322144000000002</v>
      </c>
      <c r="O364" s="105">
        <f t="shared" si="242"/>
        <v>0</v>
      </c>
      <c r="P364" s="105">
        <f t="shared" si="242"/>
        <v>0</v>
      </c>
      <c r="Q364" s="105">
        <f t="shared" si="242"/>
        <v>0</v>
      </c>
      <c r="R364" s="105">
        <f t="shared" si="242"/>
        <v>0</v>
      </c>
      <c r="S364" s="105">
        <f t="shared" si="242"/>
        <v>0</v>
      </c>
      <c r="T364" s="105">
        <f t="shared" si="242"/>
        <v>0</v>
      </c>
      <c r="U364" s="105">
        <f t="shared" si="242"/>
        <v>0</v>
      </c>
      <c r="V364" s="105">
        <f t="shared" si="242"/>
        <v>0</v>
      </c>
      <c r="W364" s="105">
        <f t="shared" si="242"/>
        <v>163.395791</v>
      </c>
      <c r="X364" s="55"/>
      <c r="Y364" s="105">
        <f t="shared" ref="Y364:AJ364" si="243">Y344/1000000</f>
        <v>0</v>
      </c>
      <c r="Z364" s="105">
        <f t="shared" si="243"/>
        <v>0</v>
      </c>
      <c r="AA364" s="105">
        <f t="shared" si="243"/>
        <v>0</v>
      </c>
      <c r="AB364" s="105">
        <f t="shared" si="243"/>
        <v>0</v>
      </c>
      <c r="AC364" s="105">
        <f t="shared" si="243"/>
        <v>0</v>
      </c>
      <c r="AD364" s="105">
        <f t="shared" si="243"/>
        <v>0</v>
      </c>
      <c r="AE364" s="105">
        <f t="shared" si="243"/>
        <v>0</v>
      </c>
      <c r="AF364" s="105">
        <f t="shared" si="243"/>
        <v>0</v>
      </c>
      <c r="AG364" s="105">
        <f t="shared" si="243"/>
        <v>0</v>
      </c>
      <c r="AH364" s="105">
        <f t="shared" si="243"/>
        <v>0</v>
      </c>
      <c r="AI364" s="105">
        <f t="shared" si="243"/>
        <v>0</v>
      </c>
      <c r="AJ364" s="105">
        <f t="shared" si="243"/>
        <v>0</v>
      </c>
      <c r="AK364" s="61">
        <v>0</v>
      </c>
      <c r="AL364" s="55"/>
      <c r="AM364" s="105">
        <f t="shared" ref="AM364:AX364" si="244">AM344/1000000</f>
        <v>0</v>
      </c>
      <c r="AN364" s="105">
        <f t="shared" si="244"/>
        <v>0</v>
      </c>
      <c r="AO364" s="105">
        <f t="shared" si="244"/>
        <v>0</v>
      </c>
      <c r="AP364" s="105">
        <f t="shared" si="244"/>
        <v>0</v>
      </c>
      <c r="AQ364" s="105">
        <f t="shared" si="244"/>
        <v>0</v>
      </c>
      <c r="AR364" s="105">
        <f t="shared" si="244"/>
        <v>0</v>
      </c>
      <c r="AS364" s="105">
        <f t="shared" si="244"/>
        <v>0</v>
      </c>
      <c r="AT364" s="105">
        <f t="shared" si="244"/>
        <v>0</v>
      </c>
      <c r="AU364" s="105">
        <f t="shared" si="244"/>
        <v>0</v>
      </c>
      <c r="AV364" s="105">
        <f t="shared" si="244"/>
        <v>0</v>
      </c>
      <c r="AW364" s="105">
        <f t="shared" si="244"/>
        <v>0</v>
      </c>
      <c r="AX364" s="105">
        <f t="shared" si="244"/>
        <v>0</v>
      </c>
      <c r="AY364" s="122">
        <v>0</v>
      </c>
      <c r="AZ364" s="55"/>
      <c r="BA364" s="641">
        <f>BA344/1000000</f>
        <v>0</v>
      </c>
      <c r="BB364" s="641">
        <f>BB344/1000000</f>
        <v>0</v>
      </c>
      <c r="BC364" s="604">
        <f t="shared" ref="BC364:BK364" si="245">BC344/1000000</f>
        <v>0</v>
      </c>
      <c r="BD364" s="641">
        <f t="shared" si="245"/>
        <v>0</v>
      </c>
      <c r="BE364" s="604">
        <f t="shared" si="245"/>
        <v>0</v>
      </c>
      <c r="BF364" s="641">
        <f>BF344/1000000</f>
        <v>0</v>
      </c>
      <c r="BG364" s="604">
        <f t="shared" si="245"/>
        <v>0</v>
      </c>
      <c r="BH364" s="641">
        <f t="shared" si="245"/>
        <v>0</v>
      </c>
      <c r="BI364" s="604">
        <f t="shared" si="245"/>
        <v>0</v>
      </c>
      <c r="BJ364" s="641">
        <f t="shared" si="245"/>
        <v>0</v>
      </c>
      <c r="BK364" s="604">
        <f t="shared" si="245"/>
        <v>0</v>
      </c>
      <c r="BL364" s="641">
        <f t="shared" ref="BL364:CB364" si="246">BL344/1000000</f>
        <v>0</v>
      </c>
      <c r="BM364" s="604">
        <f t="shared" si="246"/>
        <v>0</v>
      </c>
      <c r="BN364" s="712">
        <f t="shared" si="246"/>
        <v>0</v>
      </c>
      <c r="BO364" s="713">
        <f t="shared" si="246"/>
        <v>0</v>
      </c>
      <c r="BP364" s="712">
        <f t="shared" si="246"/>
        <v>0</v>
      </c>
      <c r="BQ364" s="713">
        <f>BQ344/1000000</f>
        <v>0</v>
      </c>
      <c r="BR364" s="732">
        <f>BR344/1000000</f>
        <v>0</v>
      </c>
      <c r="BS364" s="712">
        <f t="shared" si="246"/>
        <v>0</v>
      </c>
      <c r="BT364" s="713">
        <f>BT344/1000000</f>
        <v>0</v>
      </c>
      <c r="BU364" s="732">
        <f t="shared" si="246"/>
        <v>0</v>
      </c>
      <c r="BV364" s="712">
        <f t="shared" si="246"/>
        <v>0</v>
      </c>
      <c r="BW364" s="713">
        <f>BW344/1000000</f>
        <v>0</v>
      </c>
      <c r="BX364" s="732">
        <f t="shared" si="246"/>
        <v>0</v>
      </c>
      <c r="BY364" s="712">
        <f t="shared" si="246"/>
        <v>0</v>
      </c>
      <c r="BZ364" s="713">
        <f>BZ344/1000000</f>
        <v>0</v>
      </c>
      <c r="CA364" s="732">
        <f t="shared" si="246"/>
        <v>0</v>
      </c>
      <c r="CB364" s="720">
        <f t="shared" si="246"/>
        <v>0</v>
      </c>
      <c r="CC364" s="725">
        <f t="shared" ref="CC364:CP364" si="247">CC344/1000000</f>
        <v>0</v>
      </c>
      <c r="CD364" s="744"/>
      <c r="CE364" s="336">
        <f t="shared" si="247"/>
        <v>0</v>
      </c>
      <c r="CF364" s="336">
        <f t="shared" si="247"/>
        <v>0</v>
      </c>
      <c r="CG364" s="336">
        <f t="shared" si="247"/>
        <v>0</v>
      </c>
      <c r="CH364" s="336">
        <f t="shared" si="247"/>
        <v>0</v>
      </c>
      <c r="CI364" s="336">
        <f t="shared" si="247"/>
        <v>0</v>
      </c>
      <c r="CJ364" s="336">
        <f t="shared" si="247"/>
        <v>0</v>
      </c>
      <c r="CK364" s="336">
        <f t="shared" si="247"/>
        <v>0</v>
      </c>
      <c r="CL364" s="336">
        <f t="shared" si="247"/>
        <v>0</v>
      </c>
      <c r="CM364" s="336">
        <f t="shared" si="247"/>
        <v>0</v>
      </c>
      <c r="CN364" s="336">
        <f t="shared" si="247"/>
        <v>0</v>
      </c>
      <c r="CO364" s="336">
        <f t="shared" si="247"/>
        <v>0</v>
      </c>
      <c r="CP364" s="336">
        <f t="shared" si="247"/>
        <v>0</v>
      </c>
      <c r="CQ364" s="355">
        <f>CQ344/1000000</f>
        <v>0</v>
      </c>
      <c r="CR364" s="356">
        <f>CR344/1000000</f>
        <v>0</v>
      </c>
      <c r="CS364" s="357">
        <f>CS344/1000000</f>
        <v>0</v>
      </c>
      <c r="CT364" s="332">
        <f>CT344/1000000</f>
        <v>0</v>
      </c>
      <c r="CU364" s="358">
        <f>CU344/1000000</f>
        <v>0</v>
      </c>
      <c r="CV364" s="917"/>
      <c r="CW364" s="923"/>
    </row>
    <row r="365" spans="1:101" s="41" customFormat="1" ht="15.5">
      <c r="A365" s="319"/>
      <c r="B365" s="320"/>
      <c r="C365" s="319"/>
      <c r="D365" s="319"/>
      <c r="E365" s="318" t="s">
        <v>309</v>
      </c>
      <c r="F365" s="318"/>
      <c r="G365" s="106">
        <f>SUM(G362:G364)</f>
        <v>24279.613736000003</v>
      </c>
      <c r="H365" s="106">
        <f t="shared" ref="H365:W365" si="248">SUM(H362:H364)</f>
        <v>1845.1907309999999</v>
      </c>
      <c r="I365" s="106">
        <f t="shared" si="248"/>
        <v>1156.1995830000001</v>
      </c>
      <c r="J365" s="106">
        <f t="shared" si="248"/>
        <v>1089.7842439999999</v>
      </c>
      <c r="K365" s="106">
        <f t="shared" si="248"/>
        <v>956.39016600000002</v>
      </c>
      <c r="L365" s="106">
        <f t="shared" si="248"/>
        <v>1082.406029</v>
      </c>
      <c r="M365" s="106">
        <f t="shared" si="248"/>
        <v>1032.060559</v>
      </c>
      <c r="N365" s="106">
        <f t="shared" si="248"/>
        <v>1081.034533</v>
      </c>
      <c r="O365" s="106">
        <f t="shared" si="248"/>
        <v>1059.9785400000001</v>
      </c>
      <c r="P365" s="106">
        <f t="shared" si="248"/>
        <v>1117.606984</v>
      </c>
      <c r="Q365" s="106">
        <f>SUM(Q362:Q364)</f>
        <v>951.44496000000004</v>
      </c>
      <c r="R365" s="106">
        <f>SUM(R362:R364)</f>
        <v>961.58335799999998</v>
      </c>
      <c r="S365" s="106">
        <f>SUM(S362:S364)</f>
        <v>957.10614999999996</v>
      </c>
      <c r="T365" s="106">
        <f t="shared" si="248"/>
        <v>954.49440300000003</v>
      </c>
      <c r="U365" s="106">
        <f t="shared" si="248"/>
        <v>856.07240300000001</v>
      </c>
      <c r="V365" s="106">
        <f t="shared" si="248"/>
        <v>856.07240300000001</v>
      </c>
      <c r="W365" s="106">
        <f t="shared" si="248"/>
        <v>13290.785837000001</v>
      </c>
      <c r="X365" s="110"/>
      <c r="Y365" s="106">
        <f t="shared" ref="Y365:AJ365" si="249">SUM(Y362:Y364)</f>
        <v>1205.36422315</v>
      </c>
      <c r="Z365" s="106">
        <f t="shared" si="249"/>
        <v>1205.36422315</v>
      </c>
      <c r="AA365" s="106">
        <f t="shared" si="249"/>
        <v>1353.7642231500001</v>
      </c>
      <c r="AB365" s="106">
        <f t="shared" si="249"/>
        <v>1353.7642231500001</v>
      </c>
      <c r="AC365" s="106">
        <f t="shared" si="249"/>
        <v>1353.7642231500001</v>
      </c>
      <c r="AD365" s="106">
        <f t="shared" si="249"/>
        <v>1353.7642231500001</v>
      </c>
      <c r="AE365" s="106">
        <f t="shared" si="249"/>
        <v>1353.7642231500001</v>
      </c>
      <c r="AF365" s="106">
        <f t="shared" si="249"/>
        <v>1353.7642231500001</v>
      </c>
      <c r="AG365" s="106">
        <f t="shared" si="249"/>
        <v>1353.7642231500001</v>
      </c>
      <c r="AH365" s="106">
        <f t="shared" si="249"/>
        <v>1448.7642231500001</v>
      </c>
      <c r="AI365" s="106">
        <f t="shared" si="249"/>
        <v>1448.7642231500001</v>
      </c>
      <c r="AJ365" s="106">
        <f t="shared" si="249"/>
        <v>1448.7642231500001</v>
      </c>
      <c r="AK365" s="87">
        <v>16233.3706778</v>
      </c>
      <c r="AL365" s="55"/>
      <c r="AM365" s="106">
        <f t="shared" ref="AM365:AX365" si="250">SUM(AM362:AM364)</f>
        <v>1205.36422315</v>
      </c>
      <c r="AN365" s="106">
        <f t="shared" si="250"/>
        <v>1205.36422315</v>
      </c>
      <c r="AO365" s="106">
        <f t="shared" si="250"/>
        <v>1353.7642231500001</v>
      </c>
      <c r="AP365" s="106">
        <f t="shared" si="250"/>
        <v>1353.7642231500001</v>
      </c>
      <c r="AQ365" s="106">
        <f t="shared" si="250"/>
        <v>1353.7642231500001</v>
      </c>
      <c r="AR365" s="106">
        <f t="shared" si="250"/>
        <v>1353.7642231500001</v>
      </c>
      <c r="AS365" s="106">
        <f t="shared" si="250"/>
        <v>1353.7642231500001</v>
      </c>
      <c r="AT365" s="106">
        <f t="shared" si="250"/>
        <v>1353.7642231500001</v>
      </c>
      <c r="AU365" s="106">
        <f t="shared" si="250"/>
        <v>1353.7642231500001</v>
      </c>
      <c r="AV365" s="106">
        <f t="shared" si="250"/>
        <v>1448.7642231500001</v>
      </c>
      <c r="AW365" s="106">
        <f t="shared" si="250"/>
        <v>1448.7642231500001</v>
      </c>
      <c r="AX365" s="106">
        <f t="shared" si="250"/>
        <v>1448.7642231500001</v>
      </c>
      <c r="AY365" s="124">
        <v>16233.3706778</v>
      </c>
      <c r="AZ365" s="110"/>
      <c r="BA365" s="642">
        <f>SUM(BA362:BA364)</f>
        <v>879.65052300000002</v>
      </c>
      <c r="BB365" s="642">
        <f>SUM(BB362:BB364)</f>
        <v>986.75852499999996</v>
      </c>
      <c r="BC365" s="605">
        <f t="shared" ref="BC365:BK365" si="251">SUM(BC362:BC364)</f>
        <v>881.86172799999997</v>
      </c>
      <c r="BD365" s="642">
        <f t="shared" si="251"/>
        <v>957.99112200000002</v>
      </c>
      <c r="BE365" s="605">
        <f t="shared" si="251"/>
        <v>926.53749500000004</v>
      </c>
      <c r="BF365" s="642">
        <f>SUM(BF362:BF364)</f>
        <v>922.71155199999998</v>
      </c>
      <c r="BG365" s="605">
        <f t="shared" si="251"/>
        <v>1029.758</v>
      </c>
      <c r="BH365" s="642">
        <f t="shared" si="251"/>
        <v>913.58542799999998</v>
      </c>
      <c r="BI365" s="605">
        <f t="shared" si="251"/>
        <v>1133.8779999999999</v>
      </c>
      <c r="BJ365" s="642">
        <f t="shared" si="251"/>
        <v>1012.531575</v>
      </c>
      <c r="BK365" s="605">
        <f t="shared" si="251"/>
        <v>1372.8779999999999</v>
      </c>
      <c r="BL365" s="642">
        <f t="shared" ref="BL365:CA365" si="252">SUM(BL362:BL364)</f>
        <v>864.33399099999997</v>
      </c>
      <c r="BM365" s="605">
        <f t="shared" si="252"/>
        <v>1427.8779999999999</v>
      </c>
      <c r="BN365" s="714">
        <f t="shared" si="252"/>
        <v>753.43856200000005</v>
      </c>
      <c r="BO365" s="715">
        <f t="shared" si="252"/>
        <v>1427.8779999999999</v>
      </c>
      <c r="BP365" s="714">
        <f t="shared" si="252"/>
        <v>0</v>
      </c>
      <c r="BQ365" s="715">
        <f t="shared" si="252"/>
        <v>100</v>
      </c>
      <c r="BR365" s="725">
        <f t="shared" si="252"/>
        <v>1179.8440000000001</v>
      </c>
      <c r="BS365" s="714">
        <f t="shared" si="252"/>
        <v>0</v>
      </c>
      <c r="BT365" s="715">
        <f t="shared" si="252"/>
        <v>340</v>
      </c>
      <c r="BU365" s="725">
        <f t="shared" si="252"/>
        <v>1365.8440000000001</v>
      </c>
      <c r="BV365" s="714">
        <f t="shared" si="252"/>
        <v>0</v>
      </c>
      <c r="BW365" s="715">
        <f t="shared" si="252"/>
        <v>190</v>
      </c>
      <c r="BX365" s="725">
        <f t="shared" si="252"/>
        <v>1391.8440000000001</v>
      </c>
      <c r="BY365" s="714">
        <f t="shared" si="252"/>
        <v>0</v>
      </c>
      <c r="BZ365" s="715">
        <f t="shared" si="252"/>
        <v>190</v>
      </c>
      <c r="CA365" s="725">
        <f t="shared" si="252"/>
        <v>1411.8440000000001</v>
      </c>
      <c r="CB365" s="720">
        <f t="shared" ref="CB365:CT365" si="253">SUM(CB362:CB364)</f>
        <v>12640.377278</v>
      </c>
      <c r="CC365" s="725">
        <f t="shared" si="253"/>
        <v>12640.377278</v>
      </c>
      <c r="CD365" s="744"/>
      <c r="CE365" s="337">
        <f t="shared" si="253"/>
        <v>1038.4000000000001</v>
      </c>
      <c r="CF365" s="337">
        <f t="shared" si="253"/>
        <v>1038.4000000000001</v>
      </c>
      <c r="CG365" s="337">
        <f t="shared" si="253"/>
        <v>1038.4000000000001</v>
      </c>
      <c r="CH365" s="337">
        <f t="shared" si="253"/>
        <v>1588.4</v>
      </c>
      <c r="CI365" s="337">
        <f t="shared" si="253"/>
        <v>1588.4</v>
      </c>
      <c r="CJ365" s="337">
        <f t="shared" si="253"/>
        <v>1618.4</v>
      </c>
      <c r="CK365" s="337">
        <f t="shared" si="253"/>
        <v>1618.4</v>
      </c>
      <c r="CL365" s="337">
        <f t="shared" si="253"/>
        <v>1618.4</v>
      </c>
      <c r="CM365" s="337">
        <f t="shared" si="253"/>
        <v>1618.4</v>
      </c>
      <c r="CN365" s="337">
        <f t="shared" si="253"/>
        <v>1618.4</v>
      </c>
      <c r="CO365" s="337">
        <f t="shared" si="253"/>
        <v>1618.4</v>
      </c>
      <c r="CP365" s="337">
        <f t="shared" si="253"/>
        <v>1618.4</v>
      </c>
      <c r="CQ365" s="363">
        <f t="shared" si="253"/>
        <v>17620.8</v>
      </c>
      <c r="CR365" s="364">
        <f t="shared" si="253"/>
        <v>16047.698854938166</v>
      </c>
      <c r="CS365" s="365">
        <f t="shared" si="253"/>
        <v>22535.622811073634</v>
      </c>
      <c r="CT365" s="325">
        <f t="shared" si="253"/>
        <v>24645.144148461946</v>
      </c>
      <c r="CU365" s="366">
        <f>SUM(CU362:CU364)</f>
        <v>26981.922163578507</v>
      </c>
      <c r="CV365" s="917"/>
    </row>
    <row r="366" spans="1:101" ht="15.5">
      <c r="E366" s="300"/>
      <c r="F366" s="300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92"/>
      <c r="X366" s="55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61"/>
      <c r="AL366" s="55"/>
      <c r="AM366" s="92"/>
      <c r="AN366" s="92"/>
      <c r="AO366" s="92"/>
      <c r="AP366" s="92"/>
      <c r="AQ366" s="92"/>
      <c r="AR366" s="92"/>
      <c r="AS366" s="92"/>
      <c r="AT366" s="92"/>
      <c r="AU366" s="92"/>
      <c r="AV366" s="92"/>
      <c r="AW366" s="92"/>
      <c r="AX366" s="92"/>
      <c r="AY366" s="122"/>
      <c r="AZ366" s="55"/>
      <c r="BA366" s="643"/>
      <c r="BB366" s="643"/>
      <c r="BC366" s="92"/>
      <c r="BD366" s="643"/>
      <c r="BE366" s="92"/>
      <c r="BF366" s="643"/>
      <c r="BG366" s="92"/>
      <c r="BH366" s="643"/>
      <c r="BI366" s="92"/>
      <c r="BJ366" s="643"/>
      <c r="BK366" s="92"/>
      <c r="BL366" s="643"/>
      <c r="BM366" s="92"/>
      <c r="BN366" s="643"/>
      <c r="BO366" s="92"/>
      <c r="BP366" s="643"/>
      <c r="BQ366" s="92"/>
      <c r="BR366" s="724"/>
      <c r="BS366" s="643"/>
      <c r="BT366" s="92"/>
      <c r="BU366" s="724"/>
      <c r="BV366" s="643"/>
      <c r="BW366" s="92"/>
      <c r="BX366" s="724"/>
      <c r="BY366" s="643"/>
      <c r="BZ366" s="92"/>
      <c r="CA366" s="724"/>
      <c r="CB366" s="720"/>
      <c r="CC366" s="724"/>
      <c r="CD366" s="111"/>
      <c r="CE366" s="338"/>
      <c r="CF366" s="338"/>
      <c r="CG366" s="338"/>
      <c r="CH366" s="338"/>
      <c r="CI366" s="338"/>
      <c r="CJ366" s="338"/>
      <c r="CK366" s="338"/>
      <c r="CL366" s="338"/>
      <c r="CM366" s="338"/>
      <c r="CN366" s="338"/>
      <c r="CO366" s="338"/>
      <c r="CP366" s="338"/>
      <c r="CQ366" s="355"/>
      <c r="CR366" s="356"/>
      <c r="CS366" s="357"/>
      <c r="CT366" s="332"/>
      <c r="CU366" s="358"/>
      <c r="CV366" s="917"/>
    </row>
    <row r="367" spans="1:101" ht="15.5">
      <c r="E367" s="318" t="s">
        <v>310</v>
      </c>
      <c r="F367" s="318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92"/>
      <c r="X367" s="55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61"/>
      <c r="AL367" s="55"/>
      <c r="AM367" s="92"/>
      <c r="AN367" s="92"/>
      <c r="AO367" s="92"/>
      <c r="AP367" s="92"/>
      <c r="AQ367" s="92"/>
      <c r="AR367" s="92"/>
      <c r="AS367" s="92"/>
      <c r="AT367" s="92"/>
      <c r="AU367" s="92"/>
      <c r="AV367" s="92"/>
      <c r="AW367" s="92"/>
      <c r="AX367" s="92"/>
      <c r="AY367" s="122"/>
      <c r="AZ367" s="55"/>
      <c r="BA367" s="643"/>
      <c r="BB367" s="643"/>
      <c r="BC367" s="92"/>
      <c r="BD367" s="643"/>
      <c r="BE367" s="92"/>
      <c r="BF367" s="643"/>
      <c r="BG367" s="92"/>
      <c r="BH367" s="643"/>
      <c r="BI367" s="92"/>
      <c r="BJ367" s="643"/>
      <c r="BK367" s="92"/>
      <c r="BL367" s="643"/>
      <c r="BM367" s="92"/>
      <c r="BN367" s="643"/>
      <c r="BO367" s="92"/>
      <c r="BP367" s="643"/>
      <c r="BQ367" s="92"/>
      <c r="BR367" s="724"/>
      <c r="BS367" s="643"/>
      <c r="BT367" s="92"/>
      <c r="BU367" s="724"/>
      <c r="BV367" s="643"/>
      <c r="BW367" s="92"/>
      <c r="BX367" s="724"/>
      <c r="BY367" s="643"/>
      <c r="BZ367" s="92"/>
      <c r="CA367" s="724"/>
      <c r="CB367" s="720"/>
      <c r="CC367" s="724"/>
      <c r="CD367" s="111"/>
      <c r="CE367" s="338"/>
      <c r="CF367" s="338"/>
      <c r="CG367" s="338"/>
      <c r="CH367" s="338"/>
      <c r="CI367" s="338"/>
      <c r="CJ367" s="338"/>
      <c r="CK367" s="338"/>
      <c r="CL367" s="338"/>
      <c r="CM367" s="338"/>
      <c r="CN367" s="338"/>
      <c r="CO367" s="338"/>
      <c r="CP367" s="338"/>
      <c r="CQ367" s="355"/>
      <c r="CR367" s="356"/>
      <c r="CS367" s="357"/>
      <c r="CT367" s="332"/>
      <c r="CU367" s="358"/>
      <c r="CV367" s="917"/>
    </row>
    <row r="368" spans="1:101" ht="15.5">
      <c r="E368" s="300" t="s">
        <v>304</v>
      </c>
      <c r="F368" s="300"/>
      <c r="G368" s="105">
        <f t="shared" ref="G368:W368" si="254">G234/1000000</f>
        <v>48892.133055999999</v>
      </c>
      <c r="H368" s="105">
        <f t="shared" si="254"/>
        <v>4607.473215</v>
      </c>
      <c r="I368" s="105">
        <f t="shared" si="254"/>
        <v>4219.8608409999997</v>
      </c>
      <c r="J368" s="105">
        <f t="shared" si="254"/>
        <v>3464.0373540000001</v>
      </c>
      <c r="K368" s="105">
        <f t="shared" si="254"/>
        <v>3499.9645169999999</v>
      </c>
      <c r="L368" s="105">
        <f t="shared" si="254"/>
        <v>5004.8284510000003</v>
      </c>
      <c r="M368" s="105">
        <f t="shared" si="254"/>
        <v>4918.3947520000002</v>
      </c>
      <c r="N368" s="105">
        <f t="shared" si="254"/>
        <v>3759.3764289999999</v>
      </c>
      <c r="O368" s="105">
        <f t="shared" si="254"/>
        <v>4263.2321949999996</v>
      </c>
      <c r="P368" s="105">
        <f t="shared" si="254"/>
        <v>3808.4364059999998</v>
      </c>
      <c r="Q368" s="105">
        <f t="shared" si="254"/>
        <v>3582.8390169999998</v>
      </c>
      <c r="R368" s="105">
        <f t="shared" si="254"/>
        <v>4001.048914</v>
      </c>
      <c r="S368" s="105">
        <f t="shared" si="254"/>
        <v>3571.5789840000002</v>
      </c>
      <c r="T368" s="105">
        <f t="shared" si="254"/>
        <v>3843.8508409999999</v>
      </c>
      <c r="U368" s="105">
        <f t="shared" si="254"/>
        <v>3843.8508409999999</v>
      </c>
      <c r="V368" s="105">
        <f t="shared" si="254"/>
        <v>3843.8508409999999</v>
      </c>
      <c r="W368" s="105">
        <f t="shared" si="254"/>
        <v>48701.071075</v>
      </c>
      <c r="X368" s="55"/>
      <c r="Y368" s="105">
        <f t="shared" ref="Y368:AJ368" si="255">Y234/1000000</f>
        <v>4375.2419123500003</v>
      </c>
      <c r="Z368" s="105">
        <f t="shared" si="255"/>
        <v>4385.2419123500003</v>
      </c>
      <c r="AA368" s="105">
        <f t="shared" si="255"/>
        <v>4385.2419123500003</v>
      </c>
      <c r="AB368" s="105">
        <f t="shared" si="255"/>
        <v>4465.2419123500003</v>
      </c>
      <c r="AC368" s="105">
        <f t="shared" si="255"/>
        <v>4525.2419123500003</v>
      </c>
      <c r="AD368" s="105">
        <f t="shared" si="255"/>
        <v>4795.2419123500003</v>
      </c>
      <c r="AE368" s="105">
        <f t="shared" si="255"/>
        <v>5059.1069783500006</v>
      </c>
      <c r="AF368" s="105">
        <f t="shared" si="255"/>
        <v>5054.1069783500006</v>
      </c>
      <c r="AG368" s="105">
        <f t="shared" si="255"/>
        <v>5159.1069783500006</v>
      </c>
      <c r="AH368" s="105">
        <f t="shared" si="255"/>
        <v>5159.1069783500006</v>
      </c>
      <c r="AI368" s="105">
        <f t="shared" si="255"/>
        <v>5164.1069783500006</v>
      </c>
      <c r="AJ368" s="105">
        <f t="shared" si="255"/>
        <v>5159.1069783500006</v>
      </c>
      <c r="AK368" s="61">
        <v>57686.093344199995</v>
      </c>
      <c r="AL368" s="55"/>
      <c r="AM368" s="105">
        <f t="shared" ref="AM368:AX368" si="256">AM234/1000000</f>
        <v>4375.2419123500003</v>
      </c>
      <c r="AN368" s="105">
        <f t="shared" si="256"/>
        <v>4385.2419123500003</v>
      </c>
      <c r="AO368" s="105">
        <f t="shared" si="256"/>
        <v>4385.2419123500003</v>
      </c>
      <c r="AP368" s="105">
        <f t="shared" si="256"/>
        <v>4465.2419123500003</v>
      </c>
      <c r="AQ368" s="105">
        <f t="shared" si="256"/>
        <v>4525.2419123500003</v>
      </c>
      <c r="AR368" s="105">
        <f t="shared" si="256"/>
        <v>4795.2419123500003</v>
      </c>
      <c r="AS368" s="105">
        <f t="shared" si="256"/>
        <v>5059.1069783500006</v>
      </c>
      <c r="AT368" s="105">
        <f t="shared" si="256"/>
        <v>5054.1069783500006</v>
      </c>
      <c r="AU368" s="105">
        <f t="shared" si="256"/>
        <v>5159.1069783500006</v>
      </c>
      <c r="AV368" s="105">
        <f t="shared" si="256"/>
        <v>5159.1069783500006</v>
      </c>
      <c r="AW368" s="105">
        <f t="shared" si="256"/>
        <v>5164.1069783500006</v>
      </c>
      <c r="AX368" s="105">
        <f t="shared" si="256"/>
        <v>5159.1069783500006</v>
      </c>
      <c r="AY368" s="122">
        <v>57686.093344199995</v>
      </c>
      <c r="AZ368" s="55"/>
      <c r="BA368" s="641">
        <f t="shared" ref="BA368:CT368" si="257">BA234/1000000</f>
        <v>3202.241657</v>
      </c>
      <c r="BB368" s="641">
        <f t="shared" si="257"/>
        <v>2651.3433850000001</v>
      </c>
      <c r="BC368" s="604">
        <f t="shared" si="257"/>
        <v>2857.219255</v>
      </c>
      <c r="BD368" s="641">
        <f t="shared" si="257"/>
        <v>2665.2141320000001</v>
      </c>
      <c r="BE368" s="604">
        <f t="shared" si="257"/>
        <v>2869.2592549999999</v>
      </c>
      <c r="BF368" s="641">
        <f t="shared" si="257"/>
        <v>3084.9622570000001</v>
      </c>
      <c r="BG368" s="604">
        <f t="shared" si="257"/>
        <v>3717.9372549999998</v>
      </c>
      <c r="BH368" s="641">
        <f t="shared" si="257"/>
        <v>2610.9200980000001</v>
      </c>
      <c r="BI368" s="604">
        <f t="shared" si="257"/>
        <v>3503.1512550000002</v>
      </c>
      <c r="BJ368" s="641">
        <f t="shared" si="257"/>
        <v>3268.0573599999998</v>
      </c>
      <c r="BK368" s="604">
        <f t="shared" si="257"/>
        <v>3802.5532549999998</v>
      </c>
      <c r="BL368" s="641">
        <f t="shared" si="257"/>
        <v>2351.841148</v>
      </c>
      <c r="BM368" s="604">
        <f t="shared" si="257"/>
        <v>3986.2839999999992</v>
      </c>
      <c r="BN368" s="712">
        <f t="shared" si="257"/>
        <v>3851.7612159999999</v>
      </c>
      <c r="BO368" s="713">
        <f t="shared" si="257"/>
        <v>5068.7019999999993</v>
      </c>
      <c r="BP368" s="712">
        <f t="shared" si="257"/>
        <v>0</v>
      </c>
      <c r="BQ368" s="713">
        <f>BQ234/1000000</f>
        <v>6424.6659999999993</v>
      </c>
      <c r="BR368" s="732">
        <f>BR234/1000000</f>
        <v>3155.2</v>
      </c>
      <c r="BS368" s="712">
        <f t="shared" si="257"/>
        <v>0</v>
      </c>
      <c r="BT368" s="713">
        <f>BT234/1000000</f>
        <v>6740.3359999999993</v>
      </c>
      <c r="BU368" s="732">
        <f t="shared" si="257"/>
        <v>3681.2</v>
      </c>
      <c r="BV368" s="712">
        <f t="shared" si="257"/>
        <v>0</v>
      </c>
      <c r="BW368" s="713">
        <f>BW234/1000000</f>
        <v>7186.55</v>
      </c>
      <c r="BX368" s="732">
        <f t="shared" si="257"/>
        <v>3836.2</v>
      </c>
      <c r="BY368" s="712">
        <f t="shared" si="257"/>
        <v>0</v>
      </c>
      <c r="BZ368" s="713">
        <f>BZ234/1000000</f>
        <v>7186.55</v>
      </c>
      <c r="CA368" s="732">
        <f t="shared" si="257"/>
        <v>4186.2</v>
      </c>
      <c r="CB368" s="720">
        <f t="shared" si="257"/>
        <v>38545.141253000002</v>
      </c>
      <c r="CC368" s="725">
        <f t="shared" si="257"/>
        <v>38545.141253000002</v>
      </c>
      <c r="CD368" s="744"/>
      <c r="CE368" s="336">
        <f t="shared" ref="CE368:CP368" si="258">CE234/1000000</f>
        <v>3539.3833330000002</v>
      </c>
      <c r="CF368" s="336">
        <f t="shared" si="258"/>
        <v>3509.3833330000002</v>
      </c>
      <c r="CG368" s="336">
        <f t="shared" si="258"/>
        <v>3956.2833329999999</v>
      </c>
      <c r="CH368" s="336">
        <f t="shared" si="258"/>
        <v>3814.2833329999999</v>
      </c>
      <c r="CI368" s="336">
        <f t="shared" si="258"/>
        <v>3687.3833330000002</v>
      </c>
      <c r="CJ368" s="336">
        <f t="shared" si="258"/>
        <v>3787.3833330000002</v>
      </c>
      <c r="CK368" s="336">
        <f t="shared" si="258"/>
        <v>3787.3833330000002</v>
      </c>
      <c r="CL368" s="336">
        <f t="shared" si="258"/>
        <v>3787.3833330000002</v>
      </c>
      <c r="CM368" s="336">
        <f t="shared" si="258"/>
        <v>3837.3833330000002</v>
      </c>
      <c r="CN368" s="336">
        <f t="shared" si="258"/>
        <v>3837.3833330000002</v>
      </c>
      <c r="CO368" s="336">
        <f t="shared" si="258"/>
        <v>3964.3833330000002</v>
      </c>
      <c r="CP368" s="336">
        <f t="shared" si="258"/>
        <v>4064.3833330000002</v>
      </c>
      <c r="CQ368" s="355">
        <f t="shared" si="257"/>
        <v>45572.399996</v>
      </c>
      <c r="CR368" s="356">
        <f t="shared" si="257"/>
        <v>37457.19494922107</v>
      </c>
      <c r="CS368" s="357">
        <f t="shared" si="257"/>
        <v>47267.247241195291</v>
      </c>
      <c r="CT368" s="332">
        <f t="shared" si="257"/>
        <v>70152.638211617581</v>
      </c>
      <c r="CU368" s="358">
        <f>CU234/1000000</f>
        <v>75687.992040787198</v>
      </c>
    </row>
    <row r="369" spans="1:101" ht="15.5">
      <c r="E369" s="300" t="s">
        <v>305</v>
      </c>
      <c r="F369" s="300"/>
      <c r="G369" s="105">
        <f t="shared" ref="G369:W369" si="259">G308/1000000</f>
        <v>12585.379612999999</v>
      </c>
      <c r="H369" s="105">
        <f t="shared" si="259"/>
        <v>1042.3447610000001</v>
      </c>
      <c r="I369" s="105">
        <f t="shared" si="259"/>
        <v>417.93374999999997</v>
      </c>
      <c r="J369" s="105">
        <f t="shared" si="259"/>
        <v>589.29280500000004</v>
      </c>
      <c r="K369" s="105">
        <f t="shared" si="259"/>
        <v>240.6585</v>
      </c>
      <c r="L369" s="105">
        <f t="shared" si="259"/>
        <v>503.73489000000001</v>
      </c>
      <c r="M369" s="105">
        <f t="shared" si="259"/>
        <v>656.50602000000003</v>
      </c>
      <c r="N369" s="105">
        <f t="shared" si="259"/>
        <v>775.768868</v>
      </c>
      <c r="O369" s="105">
        <f t="shared" si="259"/>
        <v>471.15409499999998</v>
      </c>
      <c r="P369" s="105">
        <f t="shared" si="259"/>
        <v>494.43412499999999</v>
      </c>
      <c r="Q369" s="105">
        <f t="shared" si="259"/>
        <v>235.183232</v>
      </c>
      <c r="R369" s="105">
        <f t="shared" si="259"/>
        <v>496.16472299999998</v>
      </c>
      <c r="S369" s="105">
        <f t="shared" si="259"/>
        <v>788.05094399999996</v>
      </c>
      <c r="T369" s="105">
        <f t="shared" si="259"/>
        <v>432.82438500000001</v>
      </c>
      <c r="U369" s="105">
        <f t="shared" si="259"/>
        <v>432.82438500000001</v>
      </c>
      <c r="V369" s="105">
        <f t="shared" si="259"/>
        <v>432.82438500000001</v>
      </c>
      <c r="W369" s="105">
        <f t="shared" si="259"/>
        <v>6711.226713</v>
      </c>
      <c r="X369" s="55"/>
      <c r="Y369" s="105">
        <f t="shared" ref="Y369:AJ369" si="260">Y308/1000000</f>
        <v>845</v>
      </c>
      <c r="Z369" s="105">
        <f t="shared" si="260"/>
        <v>845</v>
      </c>
      <c r="AA369" s="105">
        <f t="shared" si="260"/>
        <v>845</v>
      </c>
      <c r="AB369" s="105">
        <f t="shared" si="260"/>
        <v>845</v>
      </c>
      <c r="AC369" s="105">
        <f t="shared" si="260"/>
        <v>845</v>
      </c>
      <c r="AD369" s="105">
        <f t="shared" si="260"/>
        <v>845</v>
      </c>
      <c r="AE369" s="105">
        <f t="shared" si="260"/>
        <v>780</v>
      </c>
      <c r="AF369" s="105">
        <f t="shared" si="260"/>
        <v>780</v>
      </c>
      <c r="AG369" s="105">
        <f t="shared" si="260"/>
        <v>780</v>
      </c>
      <c r="AH369" s="105">
        <f t="shared" si="260"/>
        <v>780</v>
      </c>
      <c r="AI369" s="105">
        <f t="shared" si="260"/>
        <v>780</v>
      </c>
      <c r="AJ369" s="105">
        <f t="shared" si="260"/>
        <v>780</v>
      </c>
      <c r="AK369" s="61">
        <v>9750</v>
      </c>
      <c r="AL369" s="55"/>
      <c r="AM369" s="105">
        <f t="shared" ref="AM369:AX369" si="261">AM308/1000000</f>
        <v>885</v>
      </c>
      <c r="AN369" s="105">
        <f t="shared" si="261"/>
        <v>885</v>
      </c>
      <c r="AO369" s="105">
        <f t="shared" si="261"/>
        <v>885</v>
      </c>
      <c r="AP369" s="105">
        <f t="shared" si="261"/>
        <v>885</v>
      </c>
      <c r="AQ369" s="105">
        <f t="shared" si="261"/>
        <v>885</v>
      </c>
      <c r="AR369" s="105">
        <f t="shared" si="261"/>
        <v>885</v>
      </c>
      <c r="AS369" s="105">
        <f t="shared" si="261"/>
        <v>820</v>
      </c>
      <c r="AT369" s="105">
        <f t="shared" si="261"/>
        <v>820</v>
      </c>
      <c r="AU369" s="105">
        <f t="shared" si="261"/>
        <v>820</v>
      </c>
      <c r="AV369" s="105">
        <f t="shared" si="261"/>
        <v>820</v>
      </c>
      <c r="AW369" s="105">
        <f t="shared" si="261"/>
        <v>820</v>
      </c>
      <c r="AX369" s="105">
        <f t="shared" si="261"/>
        <v>820</v>
      </c>
      <c r="AY369" s="122">
        <v>10230</v>
      </c>
      <c r="AZ369" s="55"/>
      <c r="BA369" s="641">
        <f t="shared" ref="BA369:CT369" si="262">BA308/1000000</f>
        <v>439.64102500000001</v>
      </c>
      <c r="BB369" s="641">
        <f t="shared" si="262"/>
        <v>659.05450499999995</v>
      </c>
      <c r="BC369" s="604">
        <f t="shared" si="262"/>
        <v>620</v>
      </c>
      <c r="BD369" s="641">
        <f t="shared" si="262"/>
        <v>631.13081599999998</v>
      </c>
      <c r="BE369" s="604">
        <f t="shared" si="262"/>
        <v>770.4</v>
      </c>
      <c r="BF369" s="641">
        <f t="shared" si="262"/>
        <v>347.23362500000002</v>
      </c>
      <c r="BG369" s="604">
        <f t="shared" si="262"/>
        <v>515.20000000000005</v>
      </c>
      <c r="BH369" s="641">
        <f t="shared" si="262"/>
        <v>1005.732219</v>
      </c>
      <c r="BI369" s="604">
        <f t="shared" si="262"/>
        <v>515.20000000000005</v>
      </c>
      <c r="BJ369" s="641">
        <f t="shared" si="262"/>
        <v>697.699164</v>
      </c>
      <c r="BK369" s="604">
        <f t="shared" si="262"/>
        <v>712</v>
      </c>
      <c r="BL369" s="641">
        <f t="shared" si="262"/>
        <v>617.57700799999998</v>
      </c>
      <c r="BM369" s="604">
        <f t="shared" si="262"/>
        <v>3031</v>
      </c>
      <c r="BN369" s="712">
        <f t="shared" si="262"/>
        <v>626.11084000000005</v>
      </c>
      <c r="BO369" s="713">
        <f t="shared" si="262"/>
        <v>1624</v>
      </c>
      <c r="BP369" s="712">
        <f t="shared" si="262"/>
        <v>0</v>
      </c>
      <c r="BQ369" s="713">
        <f>BQ308/1000000</f>
        <v>712</v>
      </c>
      <c r="BR369" s="732">
        <f>BR308/1000000</f>
        <v>715</v>
      </c>
      <c r="BS369" s="712">
        <f t="shared" si="262"/>
        <v>0</v>
      </c>
      <c r="BT369" s="713">
        <f>BT308/1000000</f>
        <v>712</v>
      </c>
      <c r="BU369" s="732">
        <f t="shared" si="262"/>
        <v>765</v>
      </c>
      <c r="BV369" s="712">
        <f t="shared" si="262"/>
        <v>0</v>
      </c>
      <c r="BW369" s="713">
        <f>BW308/1000000</f>
        <v>2048</v>
      </c>
      <c r="BX369" s="732">
        <f t="shared" si="262"/>
        <v>2126</v>
      </c>
      <c r="BY369" s="712">
        <f t="shared" si="262"/>
        <v>0</v>
      </c>
      <c r="BZ369" s="713">
        <f>BZ308/1000000</f>
        <v>2786</v>
      </c>
      <c r="CA369" s="732">
        <f t="shared" si="262"/>
        <v>2941.5</v>
      </c>
      <c r="CB369" s="720">
        <f t="shared" si="262"/>
        <v>11571.679201999999</v>
      </c>
      <c r="CC369" s="725">
        <f t="shared" si="262"/>
        <v>11571.679201999999</v>
      </c>
      <c r="CD369" s="744"/>
      <c r="CE369" s="336">
        <f t="shared" ref="CE369:CP369" si="263">CE308/1000000</f>
        <v>952</v>
      </c>
      <c r="CF369" s="336">
        <f t="shared" si="263"/>
        <v>952</v>
      </c>
      <c r="CG369" s="336">
        <f t="shared" si="263"/>
        <v>952</v>
      </c>
      <c r="CH369" s="336">
        <f t="shared" si="263"/>
        <v>952</v>
      </c>
      <c r="CI369" s="336">
        <f t="shared" si="263"/>
        <v>952</v>
      </c>
      <c r="CJ369" s="336">
        <f t="shared" si="263"/>
        <v>952</v>
      </c>
      <c r="CK369" s="336">
        <f t="shared" si="263"/>
        <v>952</v>
      </c>
      <c r="CL369" s="336">
        <f t="shared" si="263"/>
        <v>952</v>
      </c>
      <c r="CM369" s="336">
        <f t="shared" si="263"/>
        <v>952</v>
      </c>
      <c r="CN369" s="336">
        <f t="shared" si="263"/>
        <v>952</v>
      </c>
      <c r="CO369" s="336">
        <f t="shared" si="263"/>
        <v>952</v>
      </c>
      <c r="CP369" s="336">
        <f t="shared" si="263"/>
        <v>952</v>
      </c>
      <c r="CQ369" s="355">
        <f t="shared" si="262"/>
        <v>11424</v>
      </c>
      <c r="CR369" s="356">
        <f t="shared" si="262"/>
        <v>10457.96308096238</v>
      </c>
      <c r="CS369" s="357">
        <f t="shared" si="262"/>
        <v>11317.988367392129</v>
      </c>
      <c r="CT369" s="332">
        <f t="shared" si="262"/>
        <v>16890.116576131022</v>
      </c>
      <c r="CU369" s="358">
        <f>CU308/1000000</f>
        <v>17955.310171656416</v>
      </c>
      <c r="CV369" s="917"/>
      <c r="CW369" s="920"/>
    </row>
    <row r="370" spans="1:101" ht="15.5">
      <c r="E370" s="300" t="s">
        <v>306</v>
      </c>
      <c r="F370" s="300"/>
      <c r="G370" s="105">
        <f t="shared" ref="G370:W370" si="264">G346/1000000</f>
        <v>20964.77003</v>
      </c>
      <c r="H370" s="105">
        <f t="shared" si="264"/>
        <v>1076.974659</v>
      </c>
      <c r="I370" s="105">
        <f t="shared" si="264"/>
        <v>336.76571000000001</v>
      </c>
      <c r="J370" s="105">
        <f t="shared" si="264"/>
        <v>609.82089399999995</v>
      </c>
      <c r="K370" s="105">
        <f t="shared" si="264"/>
        <v>124.36402</v>
      </c>
      <c r="L370" s="105">
        <f t="shared" si="264"/>
        <v>4259.5381200000002</v>
      </c>
      <c r="M370" s="105">
        <f t="shared" si="264"/>
        <v>4665.8402770000002</v>
      </c>
      <c r="N370" s="105">
        <f t="shared" si="264"/>
        <v>637.90084200000001</v>
      </c>
      <c r="O370" s="105">
        <f t="shared" si="264"/>
        <v>1214.916444</v>
      </c>
      <c r="P370" s="105">
        <f t="shared" si="264"/>
        <v>497.41686900000002</v>
      </c>
      <c r="Q370" s="105">
        <f t="shared" si="264"/>
        <v>615.44241</v>
      </c>
      <c r="R370" s="105">
        <f t="shared" si="264"/>
        <v>316.27499999999998</v>
      </c>
      <c r="S370" s="105">
        <f t="shared" si="264"/>
        <v>177.02645999999999</v>
      </c>
      <c r="T370" s="105">
        <f t="shared" si="264"/>
        <v>455</v>
      </c>
      <c r="U370" s="105">
        <f t="shared" si="264"/>
        <v>455</v>
      </c>
      <c r="V370" s="105">
        <f t="shared" si="264"/>
        <v>455</v>
      </c>
      <c r="W370" s="105">
        <f t="shared" si="264"/>
        <v>14532.281704999999</v>
      </c>
      <c r="X370" s="55"/>
      <c r="Y370" s="105">
        <f t="shared" ref="Y370:AJ370" si="265">Y346/1000000</f>
        <v>0</v>
      </c>
      <c r="Z370" s="105">
        <f t="shared" si="265"/>
        <v>0</v>
      </c>
      <c r="AA370" s="105">
        <f t="shared" si="265"/>
        <v>0</v>
      </c>
      <c r="AB370" s="105">
        <f t="shared" si="265"/>
        <v>0</v>
      </c>
      <c r="AC370" s="105">
        <f t="shared" si="265"/>
        <v>0</v>
      </c>
      <c r="AD370" s="105">
        <f t="shared" si="265"/>
        <v>0</v>
      </c>
      <c r="AE370" s="105">
        <f t="shared" si="265"/>
        <v>0</v>
      </c>
      <c r="AF370" s="105">
        <f t="shared" si="265"/>
        <v>0</v>
      </c>
      <c r="AG370" s="105">
        <f t="shared" si="265"/>
        <v>0</v>
      </c>
      <c r="AH370" s="105">
        <f t="shared" si="265"/>
        <v>0</v>
      </c>
      <c r="AI370" s="105">
        <f t="shared" si="265"/>
        <v>0</v>
      </c>
      <c r="AJ370" s="105">
        <f t="shared" si="265"/>
        <v>0</v>
      </c>
      <c r="AK370" s="61">
        <v>0</v>
      </c>
      <c r="AL370" s="55"/>
      <c r="AM370" s="105">
        <f t="shared" ref="AM370:AX370" si="266">AM346/1000000</f>
        <v>0</v>
      </c>
      <c r="AN370" s="105">
        <f t="shared" si="266"/>
        <v>0</v>
      </c>
      <c r="AO370" s="105">
        <f t="shared" si="266"/>
        <v>0</v>
      </c>
      <c r="AP370" s="105">
        <f t="shared" si="266"/>
        <v>0</v>
      </c>
      <c r="AQ370" s="105">
        <f t="shared" si="266"/>
        <v>0</v>
      </c>
      <c r="AR370" s="105">
        <f t="shared" si="266"/>
        <v>0</v>
      </c>
      <c r="AS370" s="105">
        <f t="shared" si="266"/>
        <v>0</v>
      </c>
      <c r="AT370" s="105">
        <f t="shared" si="266"/>
        <v>0</v>
      </c>
      <c r="AU370" s="105">
        <f t="shared" si="266"/>
        <v>0</v>
      </c>
      <c r="AV370" s="105">
        <f t="shared" si="266"/>
        <v>0</v>
      </c>
      <c r="AW370" s="105">
        <f t="shared" si="266"/>
        <v>0</v>
      </c>
      <c r="AX370" s="105">
        <f t="shared" si="266"/>
        <v>0</v>
      </c>
      <c r="AY370" s="122">
        <v>0</v>
      </c>
      <c r="AZ370" s="55"/>
      <c r="BA370" s="641">
        <f>BA346/1000000</f>
        <v>41.923000000000002</v>
      </c>
      <c r="BB370" s="641">
        <f>BB346/1000000</f>
        <v>0</v>
      </c>
      <c r="BC370" s="604">
        <f t="shared" ref="BC370:BK370" si="267">BC346/1000000</f>
        <v>0</v>
      </c>
      <c r="BD370" s="641">
        <f t="shared" si="267"/>
        <v>0</v>
      </c>
      <c r="BE370" s="604">
        <f t="shared" si="267"/>
        <v>0</v>
      </c>
      <c r="BF370" s="641">
        <f>BF346/1000000</f>
        <v>0</v>
      </c>
      <c r="BG370" s="604">
        <f t="shared" si="267"/>
        <v>0</v>
      </c>
      <c r="BH370" s="641">
        <f t="shared" si="267"/>
        <v>0</v>
      </c>
      <c r="BI370" s="604">
        <f t="shared" si="267"/>
        <v>0</v>
      </c>
      <c r="BJ370" s="641">
        <f t="shared" si="267"/>
        <v>0</v>
      </c>
      <c r="BK370" s="604">
        <f t="shared" si="267"/>
        <v>0</v>
      </c>
      <c r="BL370" s="641">
        <f t="shared" ref="BL370:CB370" si="268">BL346/1000000</f>
        <v>0</v>
      </c>
      <c r="BM370" s="604">
        <f t="shared" si="268"/>
        <v>0</v>
      </c>
      <c r="BN370" s="712">
        <f t="shared" si="268"/>
        <v>0</v>
      </c>
      <c r="BO370" s="713">
        <f t="shared" si="268"/>
        <v>0</v>
      </c>
      <c r="BP370" s="712">
        <f t="shared" si="268"/>
        <v>0</v>
      </c>
      <c r="BQ370" s="713">
        <f>BQ346/1000000</f>
        <v>0</v>
      </c>
      <c r="BR370" s="732">
        <f>BR346/1000000</f>
        <v>0</v>
      </c>
      <c r="BS370" s="712">
        <f t="shared" si="268"/>
        <v>0</v>
      </c>
      <c r="BT370" s="713">
        <f>BT346/1000000</f>
        <v>0</v>
      </c>
      <c r="BU370" s="732">
        <f t="shared" si="268"/>
        <v>0</v>
      </c>
      <c r="BV370" s="712">
        <f t="shared" si="268"/>
        <v>0</v>
      </c>
      <c r="BW370" s="713">
        <f>BW346/1000000</f>
        <v>0</v>
      </c>
      <c r="BX370" s="732">
        <f t="shared" si="268"/>
        <v>0</v>
      </c>
      <c r="BY370" s="712">
        <f t="shared" si="268"/>
        <v>0</v>
      </c>
      <c r="BZ370" s="713">
        <f>BZ346/1000000</f>
        <v>0</v>
      </c>
      <c r="CA370" s="732">
        <f t="shared" si="268"/>
        <v>0</v>
      </c>
      <c r="CB370" s="720">
        <f t="shared" si="268"/>
        <v>41.923000000000002</v>
      </c>
      <c r="CC370" s="725">
        <f t="shared" ref="CC370:CP370" si="269">CC346/1000000</f>
        <v>41.923000000000002</v>
      </c>
      <c r="CD370" s="744"/>
      <c r="CE370" s="336">
        <f t="shared" si="269"/>
        <v>0</v>
      </c>
      <c r="CF370" s="336">
        <f t="shared" si="269"/>
        <v>0</v>
      </c>
      <c r="CG370" s="336">
        <f t="shared" si="269"/>
        <v>0</v>
      </c>
      <c r="CH370" s="336">
        <f t="shared" si="269"/>
        <v>0</v>
      </c>
      <c r="CI370" s="336">
        <f t="shared" si="269"/>
        <v>0</v>
      </c>
      <c r="CJ370" s="336">
        <f t="shared" si="269"/>
        <v>0</v>
      </c>
      <c r="CK370" s="336">
        <f t="shared" si="269"/>
        <v>0</v>
      </c>
      <c r="CL370" s="336">
        <f t="shared" si="269"/>
        <v>0</v>
      </c>
      <c r="CM370" s="336">
        <f t="shared" si="269"/>
        <v>0</v>
      </c>
      <c r="CN370" s="336">
        <f t="shared" si="269"/>
        <v>0</v>
      </c>
      <c r="CO370" s="336">
        <f t="shared" si="269"/>
        <v>0</v>
      </c>
      <c r="CP370" s="336">
        <f t="shared" si="269"/>
        <v>0</v>
      </c>
      <c r="CQ370" s="355">
        <f>CQ346/1000000</f>
        <v>0</v>
      </c>
      <c r="CR370" s="356">
        <f>CR346/1000000</f>
        <v>0</v>
      </c>
      <c r="CS370" s="357">
        <f>CS346/1000000</f>
        <v>0</v>
      </c>
      <c r="CT370" s="332">
        <f>CT346/1000000</f>
        <v>0</v>
      </c>
      <c r="CU370" s="358">
        <f>CU346/1000000</f>
        <v>0</v>
      </c>
      <c r="CV370" s="917"/>
      <c r="CW370" s="923"/>
    </row>
    <row r="371" spans="1:101" s="41" customFormat="1" ht="15.5">
      <c r="A371" s="319"/>
      <c r="B371" s="320"/>
      <c r="C371" s="319"/>
      <c r="D371" s="319"/>
      <c r="E371" s="318" t="s">
        <v>311</v>
      </c>
      <c r="F371" s="318"/>
      <c r="G371" s="106">
        <f>SUM(G368:G370)</f>
        <v>82442.282699000003</v>
      </c>
      <c r="H371" s="106">
        <f t="shared" ref="H371:W371" si="270">SUM(H368:H370)</f>
        <v>6726.7926349999998</v>
      </c>
      <c r="I371" s="106">
        <f t="shared" si="270"/>
        <v>4974.5603009999995</v>
      </c>
      <c r="J371" s="106">
        <f t="shared" si="270"/>
        <v>4663.1510529999996</v>
      </c>
      <c r="K371" s="106">
        <f t="shared" si="270"/>
        <v>3864.9870369999999</v>
      </c>
      <c r="L371" s="106">
        <f t="shared" si="270"/>
        <v>9768.1014610000002</v>
      </c>
      <c r="M371" s="106">
        <f t="shared" si="270"/>
        <v>10240.741049</v>
      </c>
      <c r="N371" s="106">
        <f t="shared" si="270"/>
        <v>5173.046139</v>
      </c>
      <c r="O371" s="106">
        <f t="shared" si="270"/>
        <v>5949.302733999999</v>
      </c>
      <c r="P371" s="106">
        <f t="shared" si="270"/>
        <v>4800.2873999999993</v>
      </c>
      <c r="Q371" s="106">
        <f>SUM(Q368:Q370)</f>
        <v>4433.4646589999993</v>
      </c>
      <c r="R371" s="106">
        <f>SUM(R368:R370)</f>
        <v>4813.4886369999995</v>
      </c>
      <c r="S371" s="106">
        <f>SUM(S368:S370)</f>
        <v>4536.6563880000003</v>
      </c>
      <c r="T371" s="106">
        <f t="shared" si="270"/>
        <v>4731.6752260000003</v>
      </c>
      <c r="U371" s="106">
        <f t="shared" si="270"/>
        <v>4731.6752260000003</v>
      </c>
      <c r="V371" s="106">
        <f t="shared" si="270"/>
        <v>4731.6752260000003</v>
      </c>
      <c r="W371" s="106">
        <f t="shared" si="270"/>
        <v>69944.579492999997</v>
      </c>
      <c r="X371" s="110"/>
      <c r="Y371" s="106">
        <f t="shared" ref="Y371:AJ371" si="271">SUM(Y368:Y370)</f>
        <v>5220.2419123500003</v>
      </c>
      <c r="Z371" s="106">
        <f t="shared" si="271"/>
        <v>5230.2419123500003</v>
      </c>
      <c r="AA371" s="106">
        <f t="shared" si="271"/>
        <v>5230.2419123500003</v>
      </c>
      <c r="AB371" s="106">
        <f t="shared" si="271"/>
        <v>5310.2419123500003</v>
      </c>
      <c r="AC371" s="106">
        <f t="shared" si="271"/>
        <v>5370.2419123500003</v>
      </c>
      <c r="AD371" s="106">
        <f t="shared" si="271"/>
        <v>5640.2419123500003</v>
      </c>
      <c r="AE371" s="106">
        <f t="shared" si="271"/>
        <v>5839.1069783500006</v>
      </c>
      <c r="AF371" s="106">
        <f t="shared" si="271"/>
        <v>5834.1069783500006</v>
      </c>
      <c r="AG371" s="106">
        <f t="shared" si="271"/>
        <v>5939.1069783500006</v>
      </c>
      <c r="AH371" s="106">
        <f t="shared" si="271"/>
        <v>5939.1069783500006</v>
      </c>
      <c r="AI371" s="106">
        <f t="shared" si="271"/>
        <v>5944.1069783500006</v>
      </c>
      <c r="AJ371" s="106">
        <f t="shared" si="271"/>
        <v>5939.1069783500006</v>
      </c>
      <c r="AK371" s="87">
        <v>67436.093344199995</v>
      </c>
      <c r="AL371" s="55"/>
      <c r="AM371" s="106">
        <f t="shared" ref="AM371:AX371" si="272">SUM(AM368:AM370)</f>
        <v>5260.2419123500003</v>
      </c>
      <c r="AN371" s="106">
        <f t="shared" si="272"/>
        <v>5270.2419123500003</v>
      </c>
      <c r="AO371" s="106">
        <f t="shared" si="272"/>
        <v>5270.2419123500003</v>
      </c>
      <c r="AP371" s="106">
        <f t="shared" si="272"/>
        <v>5350.2419123500003</v>
      </c>
      <c r="AQ371" s="106">
        <f t="shared" si="272"/>
        <v>5410.2419123500003</v>
      </c>
      <c r="AR371" s="106">
        <f t="shared" si="272"/>
        <v>5680.2419123500003</v>
      </c>
      <c r="AS371" s="106">
        <f t="shared" si="272"/>
        <v>5879.1069783500006</v>
      </c>
      <c r="AT371" s="106">
        <f t="shared" si="272"/>
        <v>5874.1069783500006</v>
      </c>
      <c r="AU371" s="106">
        <f t="shared" si="272"/>
        <v>5979.1069783500006</v>
      </c>
      <c r="AV371" s="106">
        <f t="shared" si="272"/>
        <v>5979.1069783500006</v>
      </c>
      <c r="AW371" s="106">
        <f t="shared" si="272"/>
        <v>5984.1069783500006</v>
      </c>
      <c r="AX371" s="106">
        <f t="shared" si="272"/>
        <v>5979.1069783500006</v>
      </c>
      <c r="AY371" s="124">
        <v>67916.093344199995</v>
      </c>
      <c r="AZ371" s="110"/>
      <c r="BA371" s="642">
        <f>SUM(BA368:BA370)</f>
        <v>3683.8056820000002</v>
      </c>
      <c r="BB371" s="642">
        <f>SUM(BB368:BB370)</f>
        <v>3310.3978900000002</v>
      </c>
      <c r="BC371" s="605">
        <f t="shared" ref="BC371:BK371" si="273">SUM(BC368:BC370)</f>
        <v>3477.219255</v>
      </c>
      <c r="BD371" s="642">
        <f t="shared" si="273"/>
        <v>3296.3449479999999</v>
      </c>
      <c r="BE371" s="605">
        <f t="shared" si="273"/>
        <v>3639.659255</v>
      </c>
      <c r="BF371" s="642">
        <f>SUM(BF368:BF370)</f>
        <v>3432.195882</v>
      </c>
      <c r="BG371" s="605">
        <f t="shared" si="273"/>
        <v>4233.1372549999996</v>
      </c>
      <c r="BH371" s="642">
        <f t="shared" si="273"/>
        <v>3616.652317</v>
      </c>
      <c r="BI371" s="605">
        <f t="shared" si="273"/>
        <v>4018.3512550000005</v>
      </c>
      <c r="BJ371" s="642">
        <f t="shared" si="273"/>
        <v>3965.7565239999999</v>
      </c>
      <c r="BK371" s="605">
        <f t="shared" si="273"/>
        <v>4514.5532549999998</v>
      </c>
      <c r="BL371" s="642">
        <f t="shared" ref="BL371:CA371" si="274">SUM(BL368:BL370)</f>
        <v>2969.4181559999997</v>
      </c>
      <c r="BM371" s="605">
        <f t="shared" si="274"/>
        <v>7017.2839999999997</v>
      </c>
      <c r="BN371" s="714">
        <f t="shared" si="274"/>
        <v>4477.8720560000002</v>
      </c>
      <c r="BO371" s="715">
        <f t="shared" si="274"/>
        <v>6692.7019999999993</v>
      </c>
      <c r="BP371" s="714">
        <f t="shared" si="274"/>
        <v>0</v>
      </c>
      <c r="BQ371" s="715">
        <f t="shared" si="274"/>
        <v>7136.6659999999993</v>
      </c>
      <c r="BR371" s="725">
        <f t="shared" si="274"/>
        <v>3870.2</v>
      </c>
      <c r="BS371" s="714">
        <f t="shared" si="274"/>
        <v>0</v>
      </c>
      <c r="BT371" s="715">
        <f t="shared" si="274"/>
        <v>7452.3359999999993</v>
      </c>
      <c r="BU371" s="725">
        <f t="shared" si="274"/>
        <v>4446.2</v>
      </c>
      <c r="BV371" s="714">
        <f t="shared" si="274"/>
        <v>0</v>
      </c>
      <c r="BW371" s="715">
        <f t="shared" si="274"/>
        <v>9234.5499999999993</v>
      </c>
      <c r="BX371" s="725">
        <f t="shared" si="274"/>
        <v>5962.2</v>
      </c>
      <c r="BY371" s="714">
        <f t="shared" si="274"/>
        <v>0</v>
      </c>
      <c r="BZ371" s="715">
        <f t="shared" si="274"/>
        <v>9972.5499999999993</v>
      </c>
      <c r="CA371" s="725">
        <f t="shared" si="274"/>
        <v>7127.7</v>
      </c>
      <c r="CB371" s="720">
        <f t="shared" ref="CB371:CT371" si="275">SUM(CB368:CB370)</f>
        <v>50158.743455000003</v>
      </c>
      <c r="CC371" s="725">
        <f t="shared" si="275"/>
        <v>50158.743455000003</v>
      </c>
      <c r="CD371" s="744"/>
      <c r="CE371" s="337">
        <f t="shared" si="275"/>
        <v>4491.3833329999998</v>
      </c>
      <c r="CF371" s="337">
        <f t="shared" si="275"/>
        <v>4461.3833329999998</v>
      </c>
      <c r="CG371" s="337">
        <f t="shared" si="275"/>
        <v>4908.2833329999994</v>
      </c>
      <c r="CH371" s="337">
        <f t="shared" si="275"/>
        <v>4766.2833329999994</v>
      </c>
      <c r="CI371" s="337">
        <f t="shared" si="275"/>
        <v>4639.3833329999998</v>
      </c>
      <c r="CJ371" s="337">
        <f t="shared" si="275"/>
        <v>4739.3833329999998</v>
      </c>
      <c r="CK371" s="337">
        <f t="shared" si="275"/>
        <v>4739.3833329999998</v>
      </c>
      <c r="CL371" s="337">
        <f t="shared" si="275"/>
        <v>4739.3833329999998</v>
      </c>
      <c r="CM371" s="337">
        <f t="shared" si="275"/>
        <v>4789.3833329999998</v>
      </c>
      <c r="CN371" s="337">
        <f t="shared" si="275"/>
        <v>4789.3833329999998</v>
      </c>
      <c r="CO371" s="337">
        <f t="shared" si="275"/>
        <v>4916.3833329999998</v>
      </c>
      <c r="CP371" s="337">
        <f t="shared" si="275"/>
        <v>5016.3833329999998</v>
      </c>
      <c r="CQ371" s="363">
        <f t="shared" si="275"/>
        <v>56996.399996</v>
      </c>
      <c r="CR371" s="364">
        <f t="shared" si="275"/>
        <v>47915.158030183447</v>
      </c>
      <c r="CS371" s="365">
        <f t="shared" si="275"/>
        <v>58585.23560858742</v>
      </c>
      <c r="CT371" s="325">
        <f t="shared" si="275"/>
        <v>87042.754787748607</v>
      </c>
      <c r="CU371" s="366">
        <f>SUM(CU368:CU370)</f>
        <v>93643.30221244361</v>
      </c>
      <c r="CV371" s="917"/>
    </row>
    <row r="372" spans="1:101" ht="15.5">
      <c r="E372" s="300"/>
      <c r="F372" s="300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92"/>
      <c r="X372" s="55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61"/>
      <c r="AL372" s="55"/>
      <c r="AM372" s="92"/>
      <c r="AN372" s="92"/>
      <c r="AO372" s="92"/>
      <c r="AP372" s="92"/>
      <c r="AQ372" s="92"/>
      <c r="AR372" s="92"/>
      <c r="AS372" s="92"/>
      <c r="AT372" s="92"/>
      <c r="AU372" s="92"/>
      <c r="AV372" s="92"/>
      <c r="AW372" s="92"/>
      <c r="AX372" s="92"/>
      <c r="AY372" s="122"/>
      <c r="AZ372" s="55"/>
      <c r="BA372" s="643"/>
      <c r="BB372" s="643"/>
      <c r="BC372" s="92"/>
      <c r="BD372" s="643"/>
      <c r="BE372" s="92"/>
      <c r="BF372" s="643"/>
      <c r="BG372" s="92"/>
      <c r="BH372" s="643"/>
      <c r="BI372" s="92"/>
      <c r="BJ372" s="643"/>
      <c r="BK372" s="92"/>
      <c r="BL372" s="643"/>
      <c r="BM372" s="92"/>
      <c r="BN372" s="643"/>
      <c r="BO372" s="92"/>
      <c r="BP372" s="643"/>
      <c r="BQ372" s="92"/>
      <c r="BR372" s="724"/>
      <c r="BS372" s="643"/>
      <c r="BT372" s="92"/>
      <c r="BU372" s="724"/>
      <c r="BV372" s="643"/>
      <c r="BW372" s="92"/>
      <c r="BX372" s="724"/>
      <c r="BY372" s="643"/>
      <c r="BZ372" s="92"/>
      <c r="CA372" s="724"/>
      <c r="CB372" s="720"/>
      <c r="CC372" s="724"/>
      <c r="CD372" s="111"/>
      <c r="CE372" s="338"/>
      <c r="CF372" s="338"/>
      <c r="CG372" s="338"/>
      <c r="CH372" s="338"/>
      <c r="CI372" s="338"/>
      <c r="CJ372" s="338"/>
      <c r="CK372" s="338"/>
      <c r="CL372" s="338"/>
      <c r="CM372" s="338"/>
      <c r="CN372" s="338"/>
      <c r="CO372" s="338"/>
      <c r="CP372" s="338"/>
      <c r="CQ372" s="355"/>
      <c r="CR372" s="356"/>
      <c r="CS372" s="357"/>
      <c r="CT372" s="332"/>
      <c r="CU372" s="358"/>
      <c r="CV372" s="917"/>
    </row>
    <row r="373" spans="1:101" ht="15.5">
      <c r="E373" s="318" t="s">
        <v>312</v>
      </c>
      <c r="F373" s="318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92"/>
      <c r="X373" s="55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61"/>
      <c r="AL373" s="55"/>
      <c r="AM373" s="92"/>
      <c r="AN373" s="92"/>
      <c r="AO373" s="92"/>
      <c r="AP373" s="92"/>
      <c r="AQ373" s="92"/>
      <c r="AR373" s="92"/>
      <c r="AS373" s="92"/>
      <c r="AT373" s="92"/>
      <c r="AU373" s="92"/>
      <c r="AV373" s="92"/>
      <c r="AW373" s="92"/>
      <c r="AX373" s="92"/>
      <c r="AY373" s="122"/>
      <c r="AZ373" s="55"/>
      <c r="BA373" s="643"/>
      <c r="BB373" s="643"/>
      <c r="BC373" s="92"/>
      <c r="BD373" s="643"/>
      <c r="BE373" s="92"/>
      <c r="BF373" s="643"/>
      <c r="BG373" s="92"/>
      <c r="BH373" s="643"/>
      <c r="BI373" s="92"/>
      <c r="BJ373" s="643"/>
      <c r="BK373" s="92"/>
      <c r="BL373" s="643"/>
      <c r="BM373" s="92"/>
      <c r="BN373" s="643"/>
      <c r="BO373" s="92"/>
      <c r="BP373" s="643"/>
      <c r="BQ373" s="92"/>
      <c r="BR373" s="724"/>
      <c r="BS373" s="643"/>
      <c r="BT373" s="92"/>
      <c r="BU373" s="724"/>
      <c r="BV373" s="643"/>
      <c r="BW373" s="92"/>
      <c r="BX373" s="724"/>
      <c r="BY373" s="643"/>
      <c r="BZ373" s="92"/>
      <c r="CA373" s="724"/>
      <c r="CB373" s="720"/>
      <c r="CC373" s="724"/>
      <c r="CD373" s="111"/>
      <c r="CE373" s="338"/>
      <c r="CF373" s="338"/>
      <c r="CG373" s="338"/>
      <c r="CH373" s="338"/>
      <c r="CI373" s="338"/>
      <c r="CJ373" s="338"/>
      <c r="CK373" s="338"/>
      <c r="CL373" s="338"/>
      <c r="CM373" s="338"/>
      <c r="CN373" s="338"/>
      <c r="CO373" s="338"/>
      <c r="CP373" s="338"/>
      <c r="CQ373" s="355"/>
      <c r="CR373" s="356"/>
      <c r="CS373" s="357"/>
      <c r="CT373" s="332"/>
      <c r="CU373" s="358"/>
      <c r="CV373" s="917"/>
    </row>
    <row r="374" spans="1:101" ht="15.5">
      <c r="E374" s="300" t="s">
        <v>304</v>
      </c>
      <c r="F374" s="300"/>
      <c r="G374" s="105">
        <f t="shared" ref="G374:W374" si="276">G265/1000000</f>
        <v>5869.644636</v>
      </c>
      <c r="H374" s="105">
        <f t="shared" si="276"/>
        <v>169.26623799999999</v>
      </c>
      <c r="I374" s="105">
        <f t="shared" si="276"/>
        <v>244.656148</v>
      </c>
      <c r="J374" s="105">
        <f t="shared" si="276"/>
        <v>355.56734799999998</v>
      </c>
      <c r="K374" s="105">
        <f t="shared" si="276"/>
        <v>98.045348000000004</v>
      </c>
      <c r="L374" s="105">
        <f t="shared" si="276"/>
        <v>1041.8534549999999</v>
      </c>
      <c r="M374" s="105">
        <f t="shared" si="276"/>
        <v>712.65394000000003</v>
      </c>
      <c r="N374" s="105">
        <f t="shared" si="276"/>
        <v>89.146978000000004</v>
      </c>
      <c r="O374" s="105">
        <f t="shared" si="276"/>
        <v>769.67990299999997</v>
      </c>
      <c r="P374" s="105">
        <f t="shared" si="276"/>
        <v>301.13883299999998</v>
      </c>
      <c r="Q374" s="105">
        <f t="shared" si="276"/>
        <v>283.679935</v>
      </c>
      <c r="R374" s="105">
        <f t="shared" si="276"/>
        <v>306.71236800000003</v>
      </c>
      <c r="S374" s="105">
        <f t="shared" si="276"/>
        <v>299.12493899999998</v>
      </c>
      <c r="T374" s="105">
        <f t="shared" si="276"/>
        <v>298.96650299999999</v>
      </c>
      <c r="U374" s="105">
        <f t="shared" si="276"/>
        <v>298.96650299999999</v>
      </c>
      <c r="V374" s="105">
        <f t="shared" si="276"/>
        <v>298.96650299999999</v>
      </c>
      <c r="W374" s="106">
        <f t="shared" si="276"/>
        <v>4671.5254329999998</v>
      </c>
      <c r="X374" s="55"/>
      <c r="Y374" s="106">
        <f t="shared" ref="Y374:AJ374" si="277">Y265/1000000</f>
        <v>519.28944999999999</v>
      </c>
      <c r="Z374" s="106">
        <f t="shared" si="277"/>
        <v>525.12324999999998</v>
      </c>
      <c r="AA374" s="106">
        <f t="shared" si="277"/>
        <v>571.12324999999998</v>
      </c>
      <c r="AB374" s="106">
        <f t="shared" si="277"/>
        <v>571.12324999999998</v>
      </c>
      <c r="AC374" s="106">
        <f t="shared" si="277"/>
        <v>518.12324999999998</v>
      </c>
      <c r="AD374" s="106">
        <f t="shared" si="277"/>
        <v>571.12324999999998</v>
      </c>
      <c r="AE374" s="106">
        <f t="shared" si="277"/>
        <v>621.12324999999998</v>
      </c>
      <c r="AF374" s="106">
        <f t="shared" si="277"/>
        <v>621.12324999999998</v>
      </c>
      <c r="AG374" s="106">
        <f t="shared" si="277"/>
        <v>621.12324999999998</v>
      </c>
      <c r="AH374" s="106">
        <f t="shared" si="277"/>
        <v>576.12324999999998</v>
      </c>
      <c r="AI374" s="106">
        <f t="shared" si="277"/>
        <v>576.12324999999998</v>
      </c>
      <c r="AJ374" s="106">
        <f t="shared" si="277"/>
        <v>575.12324999999998</v>
      </c>
      <c r="AK374" s="61">
        <v>6866.6451999999999</v>
      </c>
      <c r="AL374" s="55"/>
      <c r="AM374" s="106">
        <f t="shared" ref="AM374:AX374" si="278">AM265/1000000</f>
        <v>519.28944999999999</v>
      </c>
      <c r="AN374" s="106">
        <f t="shared" si="278"/>
        <v>525.12324999999998</v>
      </c>
      <c r="AO374" s="106">
        <f t="shared" si="278"/>
        <v>571.12324999999998</v>
      </c>
      <c r="AP374" s="106">
        <f t="shared" si="278"/>
        <v>571.12324999999998</v>
      </c>
      <c r="AQ374" s="106">
        <f t="shared" si="278"/>
        <v>518.12324999999998</v>
      </c>
      <c r="AR374" s="106">
        <f t="shared" si="278"/>
        <v>571.12324999999998</v>
      </c>
      <c r="AS374" s="106">
        <f t="shared" si="278"/>
        <v>621.12324999999998</v>
      </c>
      <c r="AT374" s="106">
        <f t="shared" si="278"/>
        <v>621.12324999999998</v>
      </c>
      <c r="AU374" s="106">
        <f t="shared" si="278"/>
        <v>621.12324999999998</v>
      </c>
      <c r="AV374" s="106">
        <f t="shared" si="278"/>
        <v>576.12324999999998</v>
      </c>
      <c r="AW374" s="106">
        <f t="shared" si="278"/>
        <v>576.12324999999998</v>
      </c>
      <c r="AX374" s="106">
        <f t="shared" si="278"/>
        <v>575.12324999999998</v>
      </c>
      <c r="AY374" s="122">
        <v>6866.6451999999999</v>
      </c>
      <c r="AZ374" s="55"/>
      <c r="BA374" s="641">
        <f t="shared" ref="BA374:CT374" si="279">BA265/1000000</f>
        <v>341.08299799999998</v>
      </c>
      <c r="BB374" s="641">
        <f t="shared" si="279"/>
        <v>301.888193</v>
      </c>
      <c r="BC374" s="604">
        <f t="shared" si="279"/>
        <v>292.26399300000003</v>
      </c>
      <c r="BD374" s="641">
        <f t="shared" si="279"/>
        <v>295.79563300000001</v>
      </c>
      <c r="BE374" s="604">
        <f t="shared" si="279"/>
        <v>298.07</v>
      </c>
      <c r="BF374" s="641">
        <f t="shared" si="279"/>
        <v>332.95927999999998</v>
      </c>
      <c r="BG374" s="604">
        <f t="shared" si="279"/>
        <v>301.57</v>
      </c>
      <c r="BH374" s="641">
        <f t="shared" si="279"/>
        <v>149.16736499999999</v>
      </c>
      <c r="BI374" s="604">
        <f t="shared" si="279"/>
        <v>315.07</v>
      </c>
      <c r="BJ374" s="641">
        <f t="shared" si="279"/>
        <v>189.13627</v>
      </c>
      <c r="BK374" s="604">
        <f t="shared" si="279"/>
        <v>304.77</v>
      </c>
      <c r="BL374" s="641">
        <f t="shared" si="279"/>
        <v>169.62256500000001</v>
      </c>
      <c r="BM374" s="604">
        <f t="shared" si="279"/>
        <v>324.77</v>
      </c>
      <c r="BN374" s="712">
        <f t="shared" si="279"/>
        <v>169.17416299999999</v>
      </c>
      <c r="BO374" s="713">
        <f t="shared" si="279"/>
        <v>324.77</v>
      </c>
      <c r="BP374" s="712">
        <f t="shared" si="279"/>
        <v>0</v>
      </c>
      <c r="BQ374" s="713">
        <f>BQ265/1000000</f>
        <v>524.77</v>
      </c>
      <c r="BR374" s="732">
        <f>BR265/1000000</f>
        <v>207.5</v>
      </c>
      <c r="BS374" s="712">
        <f t="shared" si="279"/>
        <v>0</v>
      </c>
      <c r="BT374" s="713">
        <f>BT265/1000000</f>
        <v>524.77</v>
      </c>
      <c r="BU374" s="732">
        <f t="shared" si="279"/>
        <v>275.7</v>
      </c>
      <c r="BV374" s="712">
        <f t="shared" si="279"/>
        <v>0</v>
      </c>
      <c r="BW374" s="713">
        <f>BW265/1000000</f>
        <v>574.77</v>
      </c>
      <c r="BX374" s="732">
        <f t="shared" si="279"/>
        <v>364.7</v>
      </c>
      <c r="BY374" s="712">
        <f t="shared" si="279"/>
        <v>0</v>
      </c>
      <c r="BZ374" s="713">
        <f>BZ265/1000000</f>
        <v>674.77</v>
      </c>
      <c r="CA374" s="732">
        <f t="shared" si="279"/>
        <v>452.7</v>
      </c>
      <c r="CB374" s="720">
        <f t="shared" si="279"/>
        <v>3249.4264669999998</v>
      </c>
      <c r="CC374" s="725">
        <f t="shared" si="279"/>
        <v>3249.4264669999998</v>
      </c>
      <c r="CD374" s="744"/>
      <c r="CE374" s="336">
        <f t="shared" ref="CE374:CP374" si="280">CE265/1000000</f>
        <v>360.38549999999998</v>
      </c>
      <c r="CF374" s="336">
        <f t="shared" si="280"/>
        <v>365.23950000000002</v>
      </c>
      <c r="CG374" s="336">
        <f t="shared" si="280"/>
        <v>363.94150000000002</v>
      </c>
      <c r="CH374" s="336">
        <f t="shared" si="280"/>
        <v>289.16399999999999</v>
      </c>
      <c r="CI374" s="336">
        <f t="shared" si="280"/>
        <v>297.65949999999998</v>
      </c>
      <c r="CJ374" s="336">
        <f t="shared" si="280"/>
        <v>291.89350000000002</v>
      </c>
      <c r="CK374" s="336">
        <f t="shared" si="280"/>
        <v>298.78399999999999</v>
      </c>
      <c r="CL374" s="336">
        <f t="shared" si="280"/>
        <v>297.46600000000001</v>
      </c>
      <c r="CM374" s="336">
        <f t="shared" si="280"/>
        <v>298.8</v>
      </c>
      <c r="CN374" s="336">
        <f t="shared" si="280"/>
        <v>300.8</v>
      </c>
      <c r="CO374" s="336">
        <f t="shared" si="280"/>
        <v>352.8</v>
      </c>
      <c r="CP374" s="336">
        <f t="shared" si="280"/>
        <v>403.8</v>
      </c>
      <c r="CQ374" s="355">
        <f t="shared" si="279"/>
        <v>3920.7334999999998</v>
      </c>
      <c r="CR374" s="356">
        <f t="shared" si="279"/>
        <v>3722.5779399678936</v>
      </c>
      <c r="CS374" s="357">
        <f t="shared" si="279"/>
        <v>6607.0327840466871</v>
      </c>
      <c r="CT374" s="332">
        <f t="shared" si="279"/>
        <v>7353.5218397641565</v>
      </c>
      <c r="CU374" s="358">
        <f>CU265/1000000</f>
        <v>8204.8883325739171</v>
      </c>
    </row>
    <row r="375" spans="1:101" ht="15.5">
      <c r="E375" s="300" t="s">
        <v>305</v>
      </c>
      <c r="F375" s="300"/>
      <c r="G375" s="105">
        <f t="shared" ref="G375:W375" si="281">G334/1000000</f>
        <v>51653.600471999998</v>
      </c>
      <c r="H375" s="105">
        <f t="shared" si="281"/>
        <v>4577.0412800000004</v>
      </c>
      <c r="I375" s="105">
        <f t="shared" si="281"/>
        <v>3192.2943049999999</v>
      </c>
      <c r="J375" s="105">
        <f t="shared" si="281"/>
        <v>3370.1790299999998</v>
      </c>
      <c r="K375" s="105">
        <f t="shared" si="281"/>
        <v>429.98218900000001</v>
      </c>
      <c r="L375" s="105">
        <f t="shared" si="281"/>
        <v>442.39838500000002</v>
      </c>
      <c r="M375" s="105">
        <f t="shared" si="281"/>
        <v>739.19392500000004</v>
      </c>
      <c r="N375" s="105">
        <f t="shared" si="281"/>
        <v>442.40293200000002</v>
      </c>
      <c r="O375" s="105">
        <f t="shared" si="281"/>
        <v>407.241646</v>
      </c>
      <c r="P375" s="105">
        <f t="shared" si="281"/>
        <v>451.37285000000003</v>
      </c>
      <c r="Q375" s="105">
        <f t="shared" si="281"/>
        <v>368.76222999999999</v>
      </c>
      <c r="R375" s="105">
        <f t="shared" si="281"/>
        <v>460.86908299999999</v>
      </c>
      <c r="S375" s="105">
        <f t="shared" si="281"/>
        <v>377.72044199999999</v>
      </c>
      <c r="T375" s="105">
        <f t="shared" si="281"/>
        <v>450</v>
      </c>
      <c r="U375" s="105">
        <f t="shared" si="281"/>
        <v>450</v>
      </c>
      <c r="V375" s="105">
        <f t="shared" si="281"/>
        <v>450</v>
      </c>
      <c r="W375" s="106">
        <f t="shared" si="281"/>
        <v>15259.458296999999</v>
      </c>
      <c r="X375" s="55"/>
      <c r="Y375" s="106">
        <f t="shared" ref="Y375:AJ375" si="282">Y334/1000000</f>
        <v>520</v>
      </c>
      <c r="Z375" s="106">
        <f t="shared" si="282"/>
        <v>520</v>
      </c>
      <c r="AA375" s="106">
        <f t="shared" si="282"/>
        <v>599</v>
      </c>
      <c r="AB375" s="106">
        <f t="shared" si="282"/>
        <v>579</v>
      </c>
      <c r="AC375" s="106">
        <f t="shared" si="282"/>
        <v>579</v>
      </c>
      <c r="AD375" s="106">
        <f t="shared" si="282"/>
        <v>579</v>
      </c>
      <c r="AE375" s="106">
        <f t="shared" si="282"/>
        <v>579</v>
      </c>
      <c r="AF375" s="106">
        <f t="shared" si="282"/>
        <v>579</v>
      </c>
      <c r="AG375" s="106">
        <f t="shared" si="282"/>
        <v>609</v>
      </c>
      <c r="AH375" s="106">
        <f t="shared" si="282"/>
        <v>589</v>
      </c>
      <c r="AI375" s="106">
        <f t="shared" si="282"/>
        <v>579</v>
      </c>
      <c r="AJ375" s="106">
        <f t="shared" si="282"/>
        <v>579</v>
      </c>
      <c r="AK375" s="61">
        <v>6890</v>
      </c>
      <c r="AL375" s="55"/>
      <c r="AM375" s="106">
        <f t="shared" ref="AM375:AX375" si="283">AM334/1000000</f>
        <v>520</v>
      </c>
      <c r="AN375" s="106">
        <f t="shared" si="283"/>
        <v>520</v>
      </c>
      <c r="AO375" s="106">
        <f t="shared" si="283"/>
        <v>599</v>
      </c>
      <c r="AP375" s="106">
        <f t="shared" si="283"/>
        <v>579</v>
      </c>
      <c r="AQ375" s="106">
        <f t="shared" si="283"/>
        <v>579</v>
      </c>
      <c r="AR375" s="106">
        <f t="shared" si="283"/>
        <v>579</v>
      </c>
      <c r="AS375" s="106">
        <f t="shared" si="283"/>
        <v>579</v>
      </c>
      <c r="AT375" s="106">
        <f t="shared" si="283"/>
        <v>579</v>
      </c>
      <c r="AU375" s="106">
        <f t="shared" si="283"/>
        <v>609</v>
      </c>
      <c r="AV375" s="106">
        <f t="shared" si="283"/>
        <v>589</v>
      </c>
      <c r="AW375" s="106">
        <f t="shared" si="283"/>
        <v>579</v>
      </c>
      <c r="AX375" s="106">
        <f t="shared" si="283"/>
        <v>579</v>
      </c>
      <c r="AY375" s="122">
        <v>6890</v>
      </c>
      <c r="AZ375" s="55"/>
      <c r="BA375" s="641">
        <f>BA334/1000000</f>
        <v>427.06700000000001</v>
      </c>
      <c r="BB375" s="641">
        <f>BB334/1000000</f>
        <v>430.79405000000003</v>
      </c>
      <c r="BC375" s="604">
        <f t="shared" ref="BC375:BK375" si="284">BC334/1000000</f>
        <v>430.79405000000003</v>
      </c>
      <c r="BD375" s="641">
        <f t="shared" si="284"/>
        <v>423.21292999999997</v>
      </c>
      <c r="BE375" s="604">
        <f t="shared" si="284"/>
        <v>363.5</v>
      </c>
      <c r="BF375" s="641">
        <f>BF334/1000000</f>
        <v>408.15929999999997</v>
      </c>
      <c r="BG375" s="604">
        <f t="shared" si="284"/>
        <v>348.8</v>
      </c>
      <c r="BH375" s="641">
        <f t="shared" si="284"/>
        <v>456.69535000000002</v>
      </c>
      <c r="BI375" s="604">
        <f t="shared" si="284"/>
        <v>423.4</v>
      </c>
      <c r="BJ375" s="641">
        <f t="shared" si="284"/>
        <v>440.57384999999999</v>
      </c>
      <c r="BK375" s="604">
        <f t="shared" si="284"/>
        <v>423.4</v>
      </c>
      <c r="BL375" s="641">
        <f t="shared" ref="BL375:CB375" si="285">BL334/1000000</f>
        <v>386.95460700000001</v>
      </c>
      <c r="BM375" s="604">
        <f t="shared" si="285"/>
        <v>423.4</v>
      </c>
      <c r="BN375" s="712">
        <f t="shared" si="285"/>
        <v>370.51024699999999</v>
      </c>
      <c r="BO375" s="713">
        <f t="shared" si="285"/>
        <v>423.4</v>
      </c>
      <c r="BP375" s="712">
        <f t="shared" si="285"/>
        <v>0</v>
      </c>
      <c r="BQ375" s="713">
        <f>BQ334/1000000</f>
        <v>423.4</v>
      </c>
      <c r="BR375" s="732">
        <f>BR334/1000000</f>
        <v>423.4</v>
      </c>
      <c r="BS375" s="712">
        <f t="shared" si="285"/>
        <v>0</v>
      </c>
      <c r="BT375" s="713">
        <f>BT334/1000000</f>
        <v>423.4</v>
      </c>
      <c r="BU375" s="732">
        <f t="shared" si="285"/>
        <v>423.4</v>
      </c>
      <c r="BV375" s="712">
        <f t="shared" si="285"/>
        <v>0</v>
      </c>
      <c r="BW375" s="713">
        <f>BW334/1000000</f>
        <v>423.4</v>
      </c>
      <c r="BX375" s="732">
        <f t="shared" si="285"/>
        <v>423.4</v>
      </c>
      <c r="BY375" s="712">
        <f t="shared" si="285"/>
        <v>0</v>
      </c>
      <c r="BZ375" s="713">
        <f>BZ334/1000000</f>
        <v>423.4</v>
      </c>
      <c r="CA375" s="732">
        <f t="shared" si="285"/>
        <v>423.4</v>
      </c>
      <c r="CB375" s="720">
        <f t="shared" si="285"/>
        <v>5037.5673340000003</v>
      </c>
      <c r="CC375" s="725">
        <f t="shared" ref="CC375:CP375" si="286">CC334/1000000</f>
        <v>5037.5673340000003</v>
      </c>
      <c r="CD375" s="744"/>
      <c r="CE375" s="336">
        <f t="shared" si="286"/>
        <v>450</v>
      </c>
      <c r="CF375" s="336">
        <f t="shared" si="286"/>
        <v>450</v>
      </c>
      <c r="CG375" s="336">
        <f t="shared" si="286"/>
        <v>450</v>
      </c>
      <c r="CH375" s="336">
        <f t="shared" si="286"/>
        <v>450</v>
      </c>
      <c r="CI375" s="336">
        <f t="shared" si="286"/>
        <v>450</v>
      </c>
      <c r="CJ375" s="336">
        <f t="shared" si="286"/>
        <v>450</v>
      </c>
      <c r="CK375" s="336">
        <f t="shared" si="286"/>
        <v>450</v>
      </c>
      <c r="CL375" s="336">
        <f t="shared" si="286"/>
        <v>450</v>
      </c>
      <c r="CM375" s="336">
        <f t="shared" si="286"/>
        <v>450</v>
      </c>
      <c r="CN375" s="336">
        <f t="shared" si="286"/>
        <v>450</v>
      </c>
      <c r="CO375" s="336">
        <f t="shared" si="286"/>
        <v>450</v>
      </c>
      <c r="CP375" s="336">
        <f t="shared" si="286"/>
        <v>450</v>
      </c>
      <c r="CQ375" s="355">
        <f>CQ334/1000000</f>
        <v>5400</v>
      </c>
      <c r="CR375" s="356">
        <f>CR334/1000000</f>
        <v>6333.7467105467485</v>
      </c>
      <c r="CS375" s="357">
        <f>CS334/1000000</f>
        <v>6866.2292089571038</v>
      </c>
      <c r="CT375" s="332">
        <f>CT334/1000000</f>
        <v>17420.781452955085</v>
      </c>
      <c r="CU375" s="358">
        <f>CU334/1000000</f>
        <v>18134.243398912888</v>
      </c>
      <c r="CV375" s="917"/>
      <c r="CW375" s="920"/>
    </row>
    <row r="376" spans="1:101" ht="15.5">
      <c r="E376" s="300" t="s">
        <v>306</v>
      </c>
      <c r="F376" s="300"/>
      <c r="G376" s="105">
        <f t="shared" ref="G376:W376" si="287">G348/1000000</f>
        <v>5830.5610989999996</v>
      </c>
      <c r="H376" s="105">
        <f t="shared" si="287"/>
        <v>206.71286000000001</v>
      </c>
      <c r="I376" s="105">
        <f t="shared" si="287"/>
        <v>65.249983999999998</v>
      </c>
      <c r="J376" s="105">
        <f t="shared" si="287"/>
        <v>86.4</v>
      </c>
      <c r="K376" s="105">
        <f t="shared" si="287"/>
        <v>203.60910000000001</v>
      </c>
      <c r="L376" s="105">
        <f t="shared" si="287"/>
        <v>2432.71947</v>
      </c>
      <c r="M376" s="105">
        <f t="shared" si="287"/>
        <v>345.57251600000001</v>
      </c>
      <c r="N376" s="105">
        <f t="shared" si="287"/>
        <v>1.917554</v>
      </c>
      <c r="O376" s="105">
        <f t="shared" si="287"/>
        <v>118.51893</v>
      </c>
      <c r="P376" s="105">
        <f t="shared" si="287"/>
        <v>16.399999999999999</v>
      </c>
      <c r="Q376" s="105">
        <f>Q348/1000000</f>
        <v>140</v>
      </c>
      <c r="R376" s="105">
        <f>R348/1000000</f>
        <v>28</v>
      </c>
      <c r="S376" s="105">
        <f>S348/1000000</f>
        <v>112</v>
      </c>
      <c r="T376" s="105">
        <f t="shared" si="287"/>
        <v>553</v>
      </c>
      <c r="U376" s="105">
        <f t="shared" si="287"/>
        <v>553</v>
      </c>
      <c r="V376" s="105">
        <f t="shared" si="287"/>
        <v>553</v>
      </c>
      <c r="W376" s="105">
        <f t="shared" si="287"/>
        <v>3757.100414</v>
      </c>
      <c r="X376" s="55"/>
      <c r="Y376" s="105">
        <f t="shared" ref="Y376:AJ376" si="288">Y348/1000000</f>
        <v>0</v>
      </c>
      <c r="Z376" s="105">
        <f t="shared" si="288"/>
        <v>0</v>
      </c>
      <c r="AA376" s="105">
        <f t="shared" si="288"/>
        <v>0</v>
      </c>
      <c r="AB376" s="105">
        <f t="shared" si="288"/>
        <v>0</v>
      </c>
      <c r="AC376" s="105">
        <f t="shared" si="288"/>
        <v>0</v>
      </c>
      <c r="AD376" s="105">
        <f t="shared" si="288"/>
        <v>0</v>
      </c>
      <c r="AE376" s="105">
        <f t="shared" si="288"/>
        <v>0</v>
      </c>
      <c r="AF376" s="105">
        <f t="shared" si="288"/>
        <v>0</v>
      </c>
      <c r="AG376" s="105">
        <f t="shared" si="288"/>
        <v>0</v>
      </c>
      <c r="AH376" s="105">
        <f t="shared" si="288"/>
        <v>0</v>
      </c>
      <c r="AI376" s="105">
        <f t="shared" si="288"/>
        <v>0</v>
      </c>
      <c r="AJ376" s="105">
        <f t="shared" si="288"/>
        <v>0</v>
      </c>
      <c r="AK376" s="61">
        <v>0</v>
      </c>
      <c r="AL376" s="55"/>
      <c r="AM376" s="105">
        <f t="shared" ref="AM376:AX376" si="289">AM348/1000000</f>
        <v>0</v>
      </c>
      <c r="AN376" s="105">
        <f t="shared" si="289"/>
        <v>0</v>
      </c>
      <c r="AO376" s="105">
        <f t="shared" si="289"/>
        <v>0</v>
      </c>
      <c r="AP376" s="105">
        <f t="shared" si="289"/>
        <v>0</v>
      </c>
      <c r="AQ376" s="105">
        <f t="shared" si="289"/>
        <v>0</v>
      </c>
      <c r="AR376" s="105">
        <f t="shared" si="289"/>
        <v>0</v>
      </c>
      <c r="AS376" s="105">
        <f t="shared" si="289"/>
        <v>0</v>
      </c>
      <c r="AT376" s="105">
        <f t="shared" si="289"/>
        <v>0</v>
      </c>
      <c r="AU376" s="105">
        <f t="shared" si="289"/>
        <v>0</v>
      </c>
      <c r="AV376" s="105">
        <f t="shared" si="289"/>
        <v>0</v>
      </c>
      <c r="AW376" s="105">
        <f t="shared" si="289"/>
        <v>0</v>
      </c>
      <c r="AX376" s="105">
        <f t="shared" si="289"/>
        <v>0</v>
      </c>
      <c r="AY376" s="122">
        <v>0</v>
      </c>
      <c r="AZ376" s="55"/>
      <c r="BA376" s="641">
        <f>BA348/1000000</f>
        <v>98</v>
      </c>
      <c r="BB376" s="641">
        <f>BB348/1000000</f>
        <v>0</v>
      </c>
      <c r="BC376" s="604">
        <f>BC348/1000000</f>
        <v>0</v>
      </c>
      <c r="BD376" s="641">
        <f t="shared" ref="BD376:BK376" si="290">BD348/1000000</f>
        <v>0</v>
      </c>
      <c r="BE376" s="604">
        <f t="shared" si="290"/>
        <v>0</v>
      </c>
      <c r="BF376" s="641">
        <f>BF348/1000000</f>
        <v>0</v>
      </c>
      <c r="BG376" s="604">
        <f t="shared" si="290"/>
        <v>0</v>
      </c>
      <c r="BH376" s="641">
        <f t="shared" si="290"/>
        <v>0</v>
      </c>
      <c r="BI376" s="604">
        <f t="shared" si="290"/>
        <v>0</v>
      </c>
      <c r="BJ376" s="641">
        <f t="shared" si="290"/>
        <v>0</v>
      </c>
      <c r="BK376" s="604">
        <f t="shared" si="290"/>
        <v>0</v>
      </c>
      <c r="BL376" s="641">
        <f t="shared" ref="BL376:BY376" si="291">BL348/1000000</f>
        <v>0</v>
      </c>
      <c r="BM376" s="604">
        <f t="shared" si="291"/>
        <v>0</v>
      </c>
      <c r="BN376" s="712">
        <f t="shared" si="291"/>
        <v>0</v>
      </c>
      <c r="BO376" s="713">
        <f t="shared" si="291"/>
        <v>0</v>
      </c>
      <c r="BP376" s="712">
        <f t="shared" si="291"/>
        <v>0</v>
      </c>
      <c r="BQ376" s="713">
        <f>BQ348/1000000</f>
        <v>0</v>
      </c>
      <c r="BR376" s="732">
        <f>BR348/1000000</f>
        <v>0</v>
      </c>
      <c r="BS376" s="712">
        <f t="shared" si="291"/>
        <v>0</v>
      </c>
      <c r="BT376" s="713">
        <f>BT348/1000000</f>
        <v>0</v>
      </c>
      <c r="BU376" s="732">
        <f t="shared" si="291"/>
        <v>0</v>
      </c>
      <c r="BV376" s="712">
        <f t="shared" si="291"/>
        <v>0</v>
      </c>
      <c r="BW376" s="713">
        <f>BW348/1000000</f>
        <v>0</v>
      </c>
      <c r="BX376" s="732">
        <f t="shared" si="291"/>
        <v>0</v>
      </c>
      <c r="BY376" s="712">
        <f t="shared" si="291"/>
        <v>0</v>
      </c>
      <c r="BZ376" s="713">
        <f>BZ348/1000000</f>
        <v>0</v>
      </c>
      <c r="CA376" s="732">
        <f>CA348/1000000</f>
        <v>0</v>
      </c>
      <c r="CB376" s="720">
        <f t="shared" ref="CB376:CT376" si="292">CB348/1000000</f>
        <v>98</v>
      </c>
      <c r="CC376" s="725">
        <f t="shared" si="292"/>
        <v>98</v>
      </c>
      <c r="CD376" s="744"/>
      <c r="CE376" s="336">
        <f t="shared" si="292"/>
        <v>0</v>
      </c>
      <c r="CF376" s="336">
        <f t="shared" si="292"/>
        <v>0</v>
      </c>
      <c r="CG376" s="336">
        <f t="shared" si="292"/>
        <v>0</v>
      </c>
      <c r="CH376" s="336">
        <f t="shared" si="292"/>
        <v>0</v>
      </c>
      <c r="CI376" s="336">
        <f t="shared" si="292"/>
        <v>0</v>
      </c>
      <c r="CJ376" s="336">
        <f t="shared" si="292"/>
        <v>0</v>
      </c>
      <c r="CK376" s="336">
        <f t="shared" si="292"/>
        <v>0</v>
      </c>
      <c r="CL376" s="336">
        <f t="shared" si="292"/>
        <v>0</v>
      </c>
      <c r="CM376" s="336">
        <f t="shared" si="292"/>
        <v>0</v>
      </c>
      <c r="CN376" s="336">
        <f t="shared" si="292"/>
        <v>0</v>
      </c>
      <c r="CO376" s="336">
        <f t="shared" si="292"/>
        <v>0</v>
      </c>
      <c r="CP376" s="336">
        <f t="shared" si="292"/>
        <v>0</v>
      </c>
      <c r="CQ376" s="355">
        <f t="shared" si="292"/>
        <v>0</v>
      </c>
      <c r="CR376" s="356">
        <f t="shared" si="292"/>
        <v>0</v>
      </c>
      <c r="CS376" s="357">
        <f t="shared" si="292"/>
        <v>0</v>
      </c>
      <c r="CT376" s="332">
        <f t="shared" si="292"/>
        <v>0</v>
      </c>
      <c r="CU376" s="358">
        <f>CU348/1000000</f>
        <v>0</v>
      </c>
      <c r="CV376" s="917"/>
      <c r="CW376" s="923"/>
    </row>
    <row r="377" spans="1:101" s="41" customFormat="1" ht="15.5">
      <c r="A377" s="319"/>
      <c r="B377" s="320"/>
      <c r="C377" s="319"/>
      <c r="D377" s="319"/>
      <c r="E377" s="318" t="s">
        <v>313</v>
      </c>
      <c r="F377" s="318"/>
      <c r="G377" s="106">
        <f>SUM(G374:G376)</f>
        <v>63353.806206999994</v>
      </c>
      <c r="H377" s="106">
        <f t="shared" ref="H377:W377" si="293">SUM(H374:H376)</f>
        <v>4953.0203780000002</v>
      </c>
      <c r="I377" s="106">
        <f t="shared" si="293"/>
        <v>3502.200437</v>
      </c>
      <c r="J377" s="106">
        <f t="shared" si="293"/>
        <v>3812.1463779999999</v>
      </c>
      <c r="K377" s="106">
        <f t="shared" si="293"/>
        <v>731.63663700000006</v>
      </c>
      <c r="L377" s="106">
        <f t="shared" si="293"/>
        <v>3916.9713099999999</v>
      </c>
      <c r="M377" s="106">
        <f t="shared" si="293"/>
        <v>1797.4203810000001</v>
      </c>
      <c r="N377" s="106">
        <f t="shared" si="293"/>
        <v>533.46746400000006</v>
      </c>
      <c r="O377" s="106">
        <f t="shared" si="293"/>
        <v>1295.4404789999999</v>
      </c>
      <c r="P377" s="106">
        <f t="shared" si="293"/>
        <v>768.91168299999993</v>
      </c>
      <c r="Q377" s="106">
        <f>SUM(Q374:Q376)</f>
        <v>792.44216499999993</v>
      </c>
      <c r="R377" s="106">
        <f>SUM(R374:R376)</f>
        <v>795.58145100000002</v>
      </c>
      <c r="S377" s="106">
        <f>SUM(S374:S376)</f>
        <v>788.84538099999997</v>
      </c>
      <c r="T377" s="106">
        <f t="shared" si="293"/>
        <v>1301.9665030000001</v>
      </c>
      <c r="U377" s="106">
        <f t="shared" si="293"/>
        <v>1301.9665030000001</v>
      </c>
      <c r="V377" s="106">
        <f t="shared" si="293"/>
        <v>1301.9665030000001</v>
      </c>
      <c r="W377" s="106">
        <f t="shared" si="293"/>
        <v>23688.084144</v>
      </c>
      <c r="X377" s="110"/>
      <c r="Y377" s="106">
        <f t="shared" ref="Y377:AJ377" si="294">SUM(Y374:Y376)</f>
        <v>1039.28945</v>
      </c>
      <c r="Z377" s="106">
        <f t="shared" si="294"/>
        <v>1045.1232500000001</v>
      </c>
      <c r="AA377" s="106">
        <f t="shared" si="294"/>
        <v>1170.1232500000001</v>
      </c>
      <c r="AB377" s="106">
        <f t="shared" si="294"/>
        <v>1150.1232500000001</v>
      </c>
      <c r="AC377" s="106">
        <f t="shared" si="294"/>
        <v>1097.1232500000001</v>
      </c>
      <c r="AD377" s="106">
        <f t="shared" si="294"/>
        <v>1150.1232500000001</v>
      </c>
      <c r="AE377" s="106">
        <f t="shared" si="294"/>
        <v>1200.1232500000001</v>
      </c>
      <c r="AF377" s="106">
        <f t="shared" si="294"/>
        <v>1200.1232500000001</v>
      </c>
      <c r="AG377" s="106">
        <f t="shared" si="294"/>
        <v>1230.1232500000001</v>
      </c>
      <c r="AH377" s="106">
        <f t="shared" si="294"/>
        <v>1165.1232500000001</v>
      </c>
      <c r="AI377" s="106">
        <f t="shared" si="294"/>
        <v>1155.1232500000001</v>
      </c>
      <c r="AJ377" s="106">
        <f t="shared" si="294"/>
        <v>1154.1232500000001</v>
      </c>
      <c r="AK377" s="87">
        <v>13756.645199999999</v>
      </c>
      <c r="AL377" s="55"/>
      <c r="AM377" s="106">
        <f t="shared" ref="AM377:AX377" si="295">SUM(AM374:AM376)</f>
        <v>1039.28945</v>
      </c>
      <c r="AN377" s="106">
        <f t="shared" si="295"/>
        <v>1045.1232500000001</v>
      </c>
      <c r="AO377" s="106">
        <f t="shared" si="295"/>
        <v>1170.1232500000001</v>
      </c>
      <c r="AP377" s="106">
        <f t="shared" si="295"/>
        <v>1150.1232500000001</v>
      </c>
      <c r="AQ377" s="106">
        <f t="shared" si="295"/>
        <v>1097.1232500000001</v>
      </c>
      <c r="AR377" s="106">
        <f t="shared" si="295"/>
        <v>1150.1232500000001</v>
      </c>
      <c r="AS377" s="106">
        <f t="shared" si="295"/>
        <v>1200.1232500000001</v>
      </c>
      <c r="AT377" s="106">
        <f t="shared" si="295"/>
        <v>1200.1232500000001</v>
      </c>
      <c r="AU377" s="106">
        <f t="shared" si="295"/>
        <v>1230.1232500000001</v>
      </c>
      <c r="AV377" s="106">
        <f t="shared" si="295"/>
        <v>1165.1232500000001</v>
      </c>
      <c r="AW377" s="106">
        <f t="shared" si="295"/>
        <v>1155.1232500000001</v>
      </c>
      <c r="AX377" s="106">
        <f t="shared" si="295"/>
        <v>1154.1232500000001</v>
      </c>
      <c r="AY377" s="124">
        <v>13756.645199999999</v>
      </c>
      <c r="AZ377" s="110"/>
      <c r="BA377" s="642">
        <f>SUM(BA374:BA376)</f>
        <v>866.14999799999998</v>
      </c>
      <c r="BB377" s="642">
        <f>SUM(BB374:BB376)</f>
        <v>732.68224299999997</v>
      </c>
      <c r="BC377" s="605">
        <f t="shared" ref="BC377:BK377" si="296">SUM(BC374:BC376)</f>
        <v>723.058043</v>
      </c>
      <c r="BD377" s="642">
        <f t="shared" si="296"/>
        <v>719.00856299999998</v>
      </c>
      <c r="BE377" s="605">
        <f t="shared" si="296"/>
        <v>661.56999999999994</v>
      </c>
      <c r="BF377" s="642">
        <f>SUM(BF374:BF376)</f>
        <v>741.11857999999995</v>
      </c>
      <c r="BG377" s="605">
        <f t="shared" si="296"/>
        <v>650.37</v>
      </c>
      <c r="BH377" s="642">
        <f t="shared" si="296"/>
        <v>605.86271499999998</v>
      </c>
      <c r="BI377" s="605">
        <f t="shared" si="296"/>
        <v>738.47</v>
      </c>
      <c r="BJ377" s="642">
        <f t="shared" si="296"/>
        <v>629.71011999999996</v>
      </c>
      <c r="BK377" s="605">
        <f t="shared" si="296"/>
        <v>728.17</v>
      </c>
      <c r="BL377" s="642">
        <f t="shared" ref="BL377:CA377" si="297">SUM(BL374:BL376)</f>
        <v>556.57717200000002</v>
      </c>
      <c r="BM377" s="605">
        <f t="shared" si="297"/>
        <v>748.17</v>
      </c>
      <c r="BN377" s="714">
        <f t="shared" si="297"/>
        <v>539.68440999999996</v>
      </c>
      <c r="BO377" s="715">
        <f t="shared" si="297"/>
        <v>748.17</v>
      </c>
      <c r="BP377" s="714">
        <f t="shared" si="297"/>
        <v>0</v>
      </c>
      <c r="BQ377" s="715">
        <f t="shared" si="297"/>
        <v>948.17</v>
      </c>
      <c r="BR377" s="725">
        <f t="shared" si="297"/>
        <v>630.9</v>
      </c>
      <c r="BS377" s="714">
        <f t="shared" si="297"/>
        <v>0</v>
      </c>
      <c r="BT377" s="715">
        <f t="shared" si="297"/>
        <v>948.17</v>
      </c>
      <c r="BU377" s="725">
        <f t="shared" si="297"/>
        <v>699.09999999999991</v>
      </c>
      <c r="BV377" s="714">
        <f t="shared" si="297"/>
        <v>0</v>
      </c>
      <c r="BW377" s="715">
        <f t="shared" si="297"/>
        <v>998.17</v>
      </c>
      <c r="BX377" s="725">
        <f t="shared" si="297"/>
        <v>788.09999999999991</v>
      </c>
      <c r="BY377" s="714">
        <f t="shared" si="297"/>
        <v>0</v>
      </c>
      <c r="BZ377" s="715">
        <f t="shared" si="297"/>
        <v>1098.17</v>
      </c>
      <c r="CA377" s="725">
        <f t="shared" si="297"/>
        <v>876.09999999999991</v>
      </c>
      <c r="CB377" s="720">
        <f t="shared" ref="CB377:CT377" si="298">SUM(CB374:CB376)</f>
        <v>8384.9938010000005</v>
      </c>
      <c r="CC377" s="725">
        <f t="shared" si="298"/>
        <v>8384.9938010000005</v>
      </c>
      <c r="CD377" s="744"/>
      <c r="CE377" s="337">
        <f t="shared" si="298"/>
        <v>810.38549999999998</v>
      </c>
      <c r="CF377" s="337">
        <f t="shared" si="298"/>
        <v>815.23950000000002</v>
      </c>
      <c r="CG377" s="337">
        <f t="shared" si="298"/>
        <v>813.94150000000002</v>
      </c>
      <c r="CH377" s="337">
        <f t="shared" si="298"/>
        <v>739.16399999999999</v>
      </c>
      <c r="CI377" s="337">
        <f t="shared" si="298"/>
        <v>747.65949999999998</v>
      </c>
      <c r="CJ377" s="337">
        <f t="shared" si="298"/>
        <v>741.89350000000002</v>
      </c>
      <c r="CK377" s="337">
        <f t="shared" si="298"/>
        <v>748.78399999999999</v>
      </c>
      <c r="CL377" s="337">
        <f t="shared" si="298"/>
        <v>747.46600000000001</v>
      </c>
      <c r="CM377" s="337">
        <f t="shared" si="298"/>
        <v>748.8</v>
      </c>
      <c r="CN377" s="337">
        <f t="shared" si="298"/>
        <v>750.8</v>
      </c>
      <c r="CO377" s="337">
        <f t="shared" si="298"/>
        <v>802.8</v>
      </c>
      <c r="CP377" s="337">
        <f t="shared" si="298"/>
        <v>853.8</v>
      </c>
      <c r="CQ377" s="363">
        <f>SUM(CQ374:CQ376)</f>
        <v>9320.7335000000003</v>
      </c>
      <c r="CR377" s="364">
        <f t="shared" si="298"/>
        <v>10056.324650514642</v>
      </c>
      <c r="CS377" s="365">
        <f t="shared" si="298"/>
        <v>13473.261993003791</v>
      </c>
      <c r="CT377" s="325">
        <f t="shared" si="298"/>
        <v>24774.30329271924</v>
      </c>
      <c r="CU377" s="366">
        <f>SUM(CU374:CU376)</f>
        <v>26339.131731486807</v>
      </c>
      <c r="CV377" s="92"/>
    </row>
    <row r="378" spans="1:101" ht="15.5">
      <c r="E378" s="300"/>
      <c r="F378" s="300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92"/>
      <c r="X378" s="55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61"/>
      <c r="AL378" s="55"/>
      <c r="AM378" s="92"/>
      <c r="AN378" s="92"/>
      <c r="AO378" s="92"/>
      <c r="AP378" s="92"/>
      <c r="AQ378" s="92"/>
      <c r="AR378" s="92"/>
      <c r="AS378" s="92"/>
      <c r="AT378" s="92"/>
      <c r="AU378" s="92"/>
      <c r="AV378" s="92"/>
      <c r="AW378" s="92"/>
      <c r="AX378" s="92"/>
      <c r="AY378" s="122"/>
      <c r="AZ378" s="55"/>
      <c r="BA378" s="643"/>
      <c r="BB378" s="643"/>
      <c r="BC378" s="92"/>
      <c r="BD378" s="643"/>
      <c r="BE378" s="92"/>
      <c r="BF378" s="643"/>
      <c r="BG378" s="92"/>
      <c r="BH378" s="643"/>
      <c r="BI378" s="92"/>
      <c r="BJ378" s="643"/>
      <c r="BK378" s="92"/>
      <c r="BL378" s="643"/>
      <c r="BM378" s="92"/>
      <c r="BN378" s="643"/>
      <c r="BO378" s="92"/>
      <c r="BP378" s="643"/>
      <c r="BQ378" s="92"/>
      <c r="BR378" s="724"/>
      <c r="BS378" s="643"/>
      <c r="BT378" s="92"/>
      <c r="BU378" s="724"/>
      <c r="BV378" s="643"/>
      <c r="BW378" s="92"/>
      <c r="BX378" s="724"/>
      <c r="BY378" s="643"/>
      <c r="BZ378" s="92"/>
      <c r="CA378" s="724"/>
      <c r="CB378" s="720"/>
      <c r="CC378" s="724"/>
      <c r="CD378" s="111"/>
      <c r="CE378" s="338"/>
      <c r="CF378" s="338"/>
      <c r="CG378" s="338"/>
      <c r="CH378" s="338"/>
      <c r="CI378" s="338"/>
      <c r="CJ378" s="338"/>
      <c r="CK378" s="338"/>
      <c r="CL378" s="338"/>
      <c r="CM378" s="338"/>
      <c r="CN378" s="338"/>
      <c r="CO378" s="338"/>
      <c r="CP378" s="338"/>
      <c r="CQ378" s="355"/>
      <c r="CR378" s="356"/>
      <c r="CS378" s="357"/>
      <c r="CT378" s="332"/>
      <c r="CU378" s="358"/>
      <c r="CV378" s="57"/>
    </row>
    <row r="379" spans="1:101" ht="15.5">
      <c r="E379" s="318" t="s">
        <v>314</v>
      </c>
      <c r="F379" s="318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92"/>
      <c r="X379" s="55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61"/>
      <c r="AL379" s="55"/>
      <c r="AM379" s="92"/>
      <c r="AN379" s="92"/>
      <c r="AO379" s="92"/>
      <c r="AP379" s="92"/>
      <c r="AQ379" s="92"/>
      <c r="AR379" s="92"/>
      <c r="AS379" s="92"/>
      <c r="AT379" s="92"/>
      <c r="AU379" s="92"/>
      <c r="AV379" s="92"/>
      <c r="AW379" s="92"/>
      <c r="AX379" s="92"/>
      <c r="AY379" s="122"/>
      <c r="AZ379" s="55"/>
      <c r="BA379" s="643"/>
      <c r="BB379" s="643"/>
      <c r="BC379" s="92"/>
      <c r="BD379" s="643"/>
      <c r="BE379" s="92"/>
      <c r="BF379" s="643"/>
      <c r="BG379" s="92"/>
      <c r="BH379" s="643"/>
      <c r="BI379" s="92"/>
      <c r="BJ379" s="643"/>
      <c r="BK379" s="92"/>
      <c r="BL379" s="643"/>
      <c r="BM379" s="92"/>
      <c r="BN379" s="643"/>
      <c r="BO379" s="92"/>
      <c r="BP379" s="643"/>
      <c r="BQ379" s="92"/>
      <c r="BR379" s="724"/>
      <c r="BS379" s="643"/>
      <c r="BT379" s="92"/>
      <c r="BU379" s="724"/>
      <c r="BV379" s="643"/>
      <c r="BW379" s="92"/>
      <c r="BX379" s="724"/>
      <c r="BY379" s="643"/>
      <c r="BZ379" s="92"/>
      <c r="CA379" s="724"/>
      <c r="CB379" s="720"/>
      <c r="CC379" s="724"/>
      <c r="CD379" s="111"/>
      <c r="CE379" s="338"/>
      <c r="CF379" s="338"/>
      <c r="CG379" s="338"/>
      <c r="CH379" s="338"/>
      <c r="CI379" s="338"/>
      <c r="CJ379" s="338"/>
      <c r="CK379" s="338"/>
      <c r="CL379" s="338"/>
      <c r="CM379" s="338"/>
      <c r="CN379" s="338"/>
      <c r="CO379" s="338"/>
      <c r="CP379" s="338"/>
      <c r="CQ379" s="355"/>
      <c r="CR379" s="356"/>
      <c r="CS379" s="357"/>
      <c r="CT379" s="332"/>
      <c r="CU379" s="358"/>
      <c r="CV379" s="57"/>
    </row>
    <row r="380" spans="1:101" ht="15.5">
      <c r="E380" s="300" t="s">
        <v>304</v>
      </c>
      <c r="F380" s="300"/>
      <c r="G380" s="105">
        <f>G356+G362+G368+G374</f>
        <v>161555.930796</v>
      </c>
      <c r="H380" s="105">
        <f t="shared" ref="H380:W380" si="299">H356+H362+H368+H374</f>
        <v>12015.350724</v>
      </c>
      <c r="I380" s="105">
        <f t="shared" si="299"/>
        <v>10626.976184000001</v>
      </c>
      <c r="J380" s="105">
        <f t="shared" si="299"/>
        <v>8662.4569960000008</v>
      </c>
      <c r="K380" s="105">
        <f t="shared" si="299"/>
        <v>9006.7230729999992</v>
      </c>
      <c r="L380" s="105">
        <f t="shared" si="299"/>
        <v>12055.786124</v>
      </c>
      <c r="M380" s="105">
        <f t="shared" si="299"/>
        <v>10333.116963</v>
      </c>
      <c r="N380" s="105">
        <f t="shared" si="299"/>
        <v>8920.6521040000007</v>
      </c>
      <c r="O380" s="105">
        <f t="shared" si="299"/>
        <v>9754.0870800000012</v>
      </c>
      <c r="P380" s="105">
        <f t="shared" si="299"/>
        <v>8803.6783939999987</v>
      </c>
      <c r="Q380" s="105">
        <f t="shared" ref="Q380:S382" si="300">Q356+Q362+Q368+Q374</f>
        <v>8133.8525709999994</v>
      </c>
      <c r="R380" s="105">
        <f t="shared" si="300"/>
        <v>9012.978618000001</v>
      </c>
      <c r="S380" s="105">
        <f t="shared" si="300"/>
        <v>11571.265067999999</v>
      </c>
      <c r="T380" s="105">
        <f t="shared" si="299"/>
        <v>9117.8725759999998</v>
      </c>
      <c r="U380" s="105">
        <f t="shared" si="299"/>
        <v>9135.0142759999999</v>
      </c>
      <c r="V380" s="105">
        <f t="shared" si="299"/>
        <v>9135.0142759999999</v>
      </c>
      <c r="W380" s="105">
        <f t="shared" si="299"/>
        <v>118896.923899</v>
      </c>
      <c r="X380" s="55"/>
      <c r="Y380" s="105">
        <f t="shared" ref="Y380:AJ380" si="301">Y356+Y362+Y368+Y374</f>
        <v>10685.065374677419</v>
      </c>
      <c r="Z380" s="105">
        <f t="shared" si="301"/>
        <v>10707.564943227419</v>
      </c>
      <c r="AA380" s="105">
        <f t="shared" si="301"/>
        <v>11201.96494322742</v>
      </c>
      <c r="AB380" s="105">
        <f t="shared" si="301"/>
        <v>11511.96494322742</v>
      </c>
      <c r="AC380" s="105">
        <f t="shared" si="301"/>
        <v>11518.96494322742</v>
      </c>
      <c r="AD380" s="105">
        <f t="shared" si="301"/>
        <v>11841.96494322742</v>
      </c>
      <c r="AE380" s="105">
        <f t="shared" si="301"/>
        <v>12155.83000922742</v>
      </c>
      <c r="AF380" s="105">
        <f t="shared" si="301"/>
        <v>12150.83000922742</v>
      </c>
      <c r="AG380" s="105">
        <f t="shared" si="301"/>
        <v>12255.83000922742</v>
      </c>
      <c r="AH380" s="105">
        <f t="shared" si="301"/>
        <v>12305.83000922742</v>
      </c>
      <c r="AI380" s="105">
        <f t="shared" si="301"/>
        <v>12310.83000922742</v>
      </c>
      <c r="AJ380" s="105">
        <f t="shared" si="301"/>
        <v>12304.83000922742</v>
      </c>
      <c r="AK380" s="61">
        <v>140951.47014617902</v>
      </c>
      <c r="AL380" s="55"/>
      <c r="AM380" s="105">
        <f t="shared" ref="AM380:AX380" si="302">AM356+AM362+AM368+AM374</f>
        <v>10685.065374677419</v>
      </c>
      <c r="AN380" s="105">
        <f t="shared" si="302"/>
        <v>10707.564943227419</v>
      </c>
      <c r="AO380" s="105">
        <f t="shared" si="302"/>
        <v>11201.96494322742</v>
      </c>
      <c r="AP380" s="105">
        <f t="shared" si="302"/>
        <v>11511.96494322742</v>
      </c>
      <c r="AQ380" s="105">
        <f t="shared" si="302"/>
        <v>11518.96494322742</v>
      </c>
      <c r="AR380" s="105">
        <f t="shared" si="302"/>
        <v>11841.96494322742</v>
      </c>
      <c r="AS380" s="105">
        <f t="shared" si="302"/>
        <v>12155.83000922742</v>
      </c>
      <c r="AT380" s="105">
        <f t="shared" si="302"/>
        <v>12150.83000922742</v>
      </c>
      <c r="AU380" s="105">
        <f t="shared" si="302"/>
        <v>12255.83000922742</v>
      </c>
      <c r="AV380" s="105">
        <f t="shared" si="302"/>
        <v>12305.83000922742</v>
      </c>
      <c r="AW380" s="105">
        <f t="shared" si="302"/>
        <v>12310.83000922742</v>
      </c>
      <c r="AX380" s="105">
        <f t="shared" si="302"/>
        <v>12304.83000922742</v>
      </c>
      <c r="AY380" s="122">
        <v>140951.47014617902</v>
      </c>
      <c r="AZ380" s="55"/>
      <c r="BA380" s="641">
        <f t="shared" ref="BA380:BB382" si="303">BA356+BA362+BA368+BA374</f>
        <v>7895.2536110000001</v>
      </c>
      <c r="BB380" s="641">
        <f t="shared" si="303"/>
        <v>7342.5642749999997</v>
      </c>
      <c r="BC380" s="604">
        <f t="shared" ref="BC380:BK380" si="304">BC356+BC362+BC368+BC374</f>
        <v>7502.4619010000006</v>
      </c>
      <c r="BD380" s="641">
        <f t="shared" si="304"/>
        <v>7107.8029509999997</v>
      </c>
      <c r="BE380" s="604">
        <f t="shared" si="304"/>
        <v>7658.2686289999992</v>
      </c>
      <c r="BF380" s="641">
        <f>BF356+BF362+BF368+BF374</f>
        <v>7521.7309860000005</v>
      </c>
      <c r="BG380" s="604">
        <f t="shared" si="304"/>
        <v>8282.6216230000009</v>
      </c>
      <c r="BH380" s="641">
        <f t="shared" si="304"/>
        <v>6656.8085739999997</v>
      </c>
      <c r="BI380" s="604">
        <f t="shared" si="304"/>
        <v>8188.8418230000007</v>
      </c>
      <c r="BJ380" s="641">
        <f t="shared" si="304"/>
        <v>7934.4444629999998</v>
      </c>
      <c r="BK380" s="604">
        <f t="shared" si="304"/>
        <v>10429.143823</v>
      </c>
      <c r="BL380" s="641">
        <f t="shared" ref="BL380:BP382" si="305">BL356+BL362+BL368+BL374</f>
        <v>6406.0750549999993</v>
      </c>
      <c r="BM380" s="604">
        <f t="shared" si="305"/>
        <v>10786.909145</v>
      </c>
      <c r="BN380" s="712">
        <f t="shared" si="305"/>
        <v>9501.3901179999993</v>
      </c>
      <c r="BO380" s="713">
        <f t="shared" si="305"/>
        <v>12131.13877</v>
      </c>
      <c r="BP380" s="712">
        <f t="shared" si="305"/>
        <v>0</v>
      </c>
      <c r="BQ380" s="713">
        <f t="shared" ref="BQ380:BR382" si="306">BQ356+BQ362+BQ368+BQ374</f>
        <v>12473.441416</v>
      </c>
      <c r="BR380" s="732">
        <f t="shared" si="306"/>
        <v>9067.8721619999997</v>
      </c>
      <c r="BS380" s="712">
        <f t="shared" ref="BS380:BY382" si="307">BS356+BS362+BS368+BS374</f>
        <v>0</v>
      </c>
      <c r="BT380" s="713">
        <f t="shared" si="307"/>
        <v>13849.111416</v>
      </c>
      <c r="BU380" s="732">
        <f t="shared" si="307"/>
        <v>10054.072162</v>
      </c>
      <c r="BV380" s="712">
        <f t="shared" si="307"/>
        <v>0</v>
      </c>
      <c r="BW380" s="713">
        <f t="shared" si="307"/>
        <v>14195.325416</v>
      </c>
      <c r="BX380" s="732">
        <f t="shared" si="307"/>
        <v>10709.072162</v>
      </c>
      <c r="BY380" s="712">
        <f t="shared" si="307"/>
        <v>0</v>
      </c>
      <c r="BZ380" s="713">
        <f t="shared" ref="BZ380:CA382" si="308">BZ356+BZ362+BZ368+BZ374</f>
        <v>14287.765416</v>
      </c>
      <c r="CA380" s="732">
        <f t="shared" si="308"/>
        <v>11371.480162</v>
      </c>
      <c r="CB380" s="720">
        <f t="shared" ref="CB380:CT380" si="309">CB356+CB362+CB368+CB374</f>
        <v>101568.566681</v>
      </c>
      <c r="CC380" s="725">
        <f t="shared" si="309"/>
        <v>101568.566681</v>
      </c>
      <c r="CD380" s="744"/>
      <c r="CE380" s="336">
        <f t="shared" si="309"/>
        <v>7999.4938330000004</v>
      </c>
      <c r="CF380" s="336">
        <f t="shared" si="309"/>
        <v>7964.7913920000001</v>
      </c>
      <c r="CG380" s="336">
        <f t="shared" si="309"/>
        <v>9674.5248330000013</v>
      </c>
      <c r="CH380" s="336">
        <f t="shared" si="309"/>
        <v>10020.772422</v>
      </c>
      <c r="CI380" s="336">
        <f t="shared" si="309"/>
        <v>10277.242833</v>
      </c>
      <c r="CJ380" s="336">
        <f t="shared" si="309"/>
        <v>10612.815316</v>
      </c>
      <c r="CK380" s="336">
        <f t="shared" si="309"/>
        <v>10638.467333000001</v>
      </c>
      <c r="CL380" s="336">
        <f t="shared" si="309"/>
        <v>10688.876832</v>
      </c>
      <c r="CM380" s="336">
        <f t="shared" si="309"/>
        <v>10769.983333</v>
      </c>
      <c r="CN380" s="336">
        <f t="shared" si="309"/>
        <v>10762.983333</v>
      </c>
      <c r="CO380" s="336">
        <f t="shared" si="309"/>
        <v>10981.983333</v>
      </c>
      <c r="CP380" s="336">
        <f t="shared" si="309"/>
        <v>11121.483333</v>
      </c>
      <c r="CQ380" s="355">
        <f>CQ356+CQ362+CQ368+CQ374</f>
        <v>121513.418126</v>
      </c>
      <c r="CR380" s="356">
        <f t="shared" si="309"/>
        <v>122513.08853350909</v>
      </c>
      <c r="CS380" s="357">
        <f t="shared" si="309"/>
        <v>172541.11924834509</v>
      </c>
      <c r="CT380" s="332">
        <f t="shared" si="309"/>
        <v>240470.02477238327</v>
      </c>
      <c r="CU380" s="358">
        <f>CU356+CU362+CU368+CU374</f>
        <v>260810.12197592144</v>
      </c>
      <c r="CV380" s="920"/>
      <c r="CW380" s="176"/>
    </row>
    <row r="381" spans="1:101" ht="15.5">
      <c r="E381" s="300" t="s">
        <v>305</v>
      </c>
      <c r="F381" s="300"/>
      <c r="G381" s="105">
        <f>G357+G363+G369+G375</f>
        <v>112075.539297</v>
      </c>
      <c r="H381" s="105">
        <f t="shared" ref="H381:W381" si="310">H357+H363+H369+H375</f>
        <v>9272.0658780000012</v>
      </c>
      <c r="I381" s="105">
        <f t="shared" si="310"/>
        <v>8245.4082770000005</v>
      </c>
      <c r="J381" s="105">
        <f t="shared" si="310"/>
        <v>8626.6556309999996</v>
      </c>
      <c r="K381" s="105">
        <f t="shared" si="310"/>
        <v>4152.8782000000001</v>
      </c>
      <c r="L381" s="105">
        <f t="shared" si="310"/>
        <v>4022.3993100000002</v>
      </c>
      <c r="M381" s="105">
        <f t="shared" si="310"/>
        <v>4422.2625840000001</v>
      </c>
      <c r="N381" s="105">
        <f t="shared" si="310"/>
        <v>6315.6986800000004</v>
      </c>
      <c r="O381" s="105">
        <f t="shared" si="310"/>
        <v>5787.2225210000006</v>
      </c>
      <c r="P381" s="105">
        <f t="shared" si="310"/>
        <v>3853.3786960000002</v>
      </c>
      <c r="Q381" s="105">
        <f t="shared" si="300"/>
        <v>3563.2661099999996</v>
      </c>
      <c r="R381" s="105">
        <f t="shared" si="300"/>
        <v>3507.3489919999997</v>
      </c>
      <c r="S381" s="105">
        <f t="shared" si="300"/>
        <v>3844.4660570000001</v>
      </c>
      <c r="T381" s="105">
        <f t="shared" si="310"/>
        <v>4001.5003889999998</v>
      </c>
      <c r="U381" s="105">
        <f t="shared" si="310"/>
        <v>3960.3449889999997</v>
      </c>
      <c r="V381" s="105">
        <f t="shared" si="310"/>
        <v>4165.2902639999993</v>
      </c>
      <c r="W381" s="105">
        <f t="shared" si="310"/>
        <v>65613.050936000014</v>
      </c>
      <c r="X381" s="60"/>
      <c r="Y381" s="105">
        <f t="shared" ref="Y381:AJ381" si="311">Y357+Y363+Y369+Y375</f>
        <v>4959.6315458406407</v>
      </c>
      <c r="Z381" s="105">
        <f t="shared" si="311"/>
        <v>6559.6315458406407</v>
      </c>
      <c r="AA381" s="105">
        <f t="shared" si="311"/>
        <v>5038.6315458406407</v>
      </c>
      <c r="AB381" s="105">
        <f t="shared" si="311"/>
        <v>5018.6315458406407</v>
      </c>
      <c r="AC381" s="105">
        <f t="shared" si="311"/>
        <v>6618.6315458406407</v>
      </c>
      <c r="AD381" s="105">
        <f t="shared" si="311"/>
        <v>5198.6315458406407</v>
      </c>
      <c r="AE381" s="105">
        <f t="shared" si="311"/>
        <v>5112.6315458406407</v>
      </c>
      <c r="AF381" s="105">
        <f t="shared" si="311"/>
        <v>6712.6315458406407</v>
      </c>
      <c r="AG381" s="105">
        <f t="shared" si="311"/>
        <v>5322.6315458406407</v>
      </c>
      <c r="AH381" s="105">
        <f t="shared" si="311"/>
        <v>5122.6315458406407</v>
      </c>
      <c r="AI381" s="105">
        <f t="shared" si="311"/>
        <v>5112.6315458406407</v>
      </c>
      <c r="AJ381" s="105">
        <f t="shared" si="311"/>
        <v>6892.6315458406407</v>
      </c>
      <c r="AK381" s="61">
        <v>67669.578550087695</v>
      </c>
      <c r="AL381" s="55"/>
      <c r="AM381" s="105">
        <f t="shared" ref="AM381:AX381" si="312">AM357+AM363+AM369+AM375</f>
        <v>5048.8333333333339</v>
      </c>
      <c r="AN381" s="105">
        <f t="shared" si="312"/>
        <v>6648.8333333333339</v>
      </c>
      <c r="AO381" s="105">
        <f t="shared" si="312"/>
        <v>5127.8333333333339</v>
      </c>
      <c r="AP381" s="105">
        <f t="shared" si="312"/>
        <v>5607.8333333333339</v>
      </c>
      <c r="AQ381" s="105">
        <f t="shared" si="312"/>
        <v>7427.8333333333339</v>
      </c>
      <c r="AR381" s="105">
        <f t="shared" si="312"/>
        <v>6007.8333333333339</v>
      </c>
      <c r="AS381" s="105">
        <f t="shared" si="312"/>
        <v>5921.8333333333339</v>
      </c>
      <c r="AT381" s="105">
        <f t="shared" si="312"/>
        <v>7521.8333333333339</v>
      </c>
      <c r="AU381" s="105">
        <f t="shared" si="312"/>
        <v>6131.8333333333339</v>
      </c>
      <c r="AV381" s="105">
        <f t="shared" si="312"/>
        <v>5931.8333333333339</v>
      </c>
      <c r="AW381" s="105">
        <f t="shared" si="312"/>
        <v>5921.8333333333339</v>
      </c>
      <c r="AX381" s="105">
        <f t="shared" si="312"/>
        <v>7701.8333333333339</v>
      </c>
      <c r="AY381" s="122">
        <v>75000</v>
      </c>
      <c r="AZ381" s="60"/>
      <c r="BA381" s="641">
        <f t="shared" si="303"/>
        <v>3447.5306190000001</v>
      </c>
      <c r="BB381" s="641">
        <f t="shared" si="303"/>
        <v>4283.3325930000001</v>
      </c>
      <c r="BC381" s="604">
        <f t="shared" ref="BC381:BK381" si="313">BC357+BC363+BC369+BC375</f>
        <v>3984.79405</v>
      </c>
      <c r="BD381" s="641">
        <f t="shared" si="313"/>
        <v>6941.5341099999996</v>
      </c>
      <c r="BE381" s="604">
        <f t="shared" si="313"/>
        <v>4504.8999999999996</v>
      </c>
      <c r="BF381" s="641">
        <f>BF357+BF363+BF369+BF375</f>
        <v>4883.2084320000004</v>
      </c>
      <c r="BG381" s="604">
        <f t="shared" si="313"/>
        <v>4132.8</v>
      </c>
      <c r="BH381" s="641">
        <f t="shared" si="313"/>
        <v>4061.3677729999999</v>
      </c>
      <c r="BI381" s="604">
        <f t="shared" si="313"/>
        <v>5432.5999999999995</v>
      </c>
      <c r="BJ381" s="641">
        <f t="shared" si="313"/>
        <v>4187.2163609999998</v>
      </c>
      <c r="BK381" s="604">
        <f t="shared" si="313"/>
        <v>4800.2</v>
      </c>
      <c r="BL381" s="641">
        <f t="shared" si="305"/>
        <v>3676.10896</v>
      </c>
      <c r="BM381" s="604">
        <f t="shared" si="305"/>
        <v>6907.5333333333328</v>
      </c>
      <c r="BN381" s="712">
        <f t="shared" si="305"/>
        <v>4390.1067760000005</v>
      </c>
      <c r="BO381" s="713">
        <f t="shared" si="305"/>
        <v>5590.7</v>
      </c>
      <c r="BP381" s="712">
        <f t="shared" si="305"/>
        <v>0</v>
      </c>
      <c r="BQ381" s="713">
        <f t="shared" si="306"/>
        <v>4678.7</v>
      </c>
      <c r="BR381" s="732">
        <f t="shared" si="306"/>
        <v>4957.8999999999996</v>
      </c>
      <c r="BS381" s="712">
        <f t="shared" si="307"/>
        <v>0</v>
      </c>
      <c r="BT381" s="713">
        <f t="shared" si="307"/>
        <v>4678.7</v>
      </c>
      <c r="BU381" s="732">
        <f t="shared" si="307"/>
        <v>5182.8999999999996</v>
      </c>
      <c r="BV381" s="712">
        <f t="shared" si="307"/>
        <v>0</v>
      </c>
      <c r="BW381" s="713">
        <f t="shared" si="307"/>
        <v>5914.7</v>
      </c>
      <c r="BX381" s="732">
        <f t="shared" si="307"/>
        <v>6718.9</v>
      </c>
      <c r="BY381" s="712">
        <f t="shared" si="307"/>
        <v>0</v>
      </c>
      <c r="BZ381" s="713">
        <f t="shared" si="308"/>
        <v>6552.7</v>
      </c>
      <c r="CA381" s="732">
        <f t="shared" si="308"/>
        <v>7719.7999999999993</v>
      </c>
      <c r="CB381" s="720">
        <f t="shared" ref="CB381:CP382" si="314">CB357+CB363+CB369+CB375</f>
        <v>60449.905623999999</v>
      </c>
      <c r="CC381" s="725">
        <f t="shared" si="314"/>
        <v>60449.905623999999</v>
      </c>
      <c r="CD381" s="744"/>
      <c r="CE381" s="336">
        <f t="shared" si="314"/>
        <v>5696.7</v>
      </c>
      <c r="CF381" s="336">
        <f t="shared" si="314"/>
        <v>5706.7</v>
      </c>
      <c r="CG381" s="336">
        <f t="shared" si="314"/>
        <v>5706.7</v>
      </c>
      <c r="CH381" s="336">
        <f t="shared" si="314"/>
        <v>5696.7</v>
      </c>
      <c r="CI381" s="336">
        <f t="shared" si="314"/>
        <v>5791.7</v>
      </c>
      <c r="CJ381" s="336">
        <f t="shared" si="314"/>
        <v>5921.7</v>
      </c>
      <c r="CK381" s="336">
        <f t="shared" si="314"/>
        <v>5911.7</v>
      </c>
      <c r="CL381" s="336">
        <f t="shared" si="314"/>
        <v>5881.7</v>
      </c>
      <c r="CM381" s="336">
        <f t="shared" si="314"/>
        <v>5881.7</v>
      </c>
      <c r="CN381" s="336">
        <f t="shared" si="314"/>
        <v>5881.7</v>
      </c>
      <c r="CO381" s="336">
        <f t="shared" si="314"/>
        <v>5901.7</v>
      </c>
      <c r="CP381" s="336">
        <f t="shared" si="314"/>
        <v>5861.7</v>
      </c>
      <c r="CQ381" s="355">
        <f t="shared" ref="CQ381:CT382" si="315">CQ357+CQ363+CQ369+CQ375</f>
        <v>69840.399999999994</v>
      </c>
      <c r="CR381" s="356">
        <f t="shared" si="315"/>
        <v>71865.450951447099</v>
      </c>
      <c r="CS381" s="357">
        <f t="shared" si="315"/>
        <v>77794.196799574143</v>
      </c>
      <c r="CT381" s="332">
        <f t="shared" si="315"/>
        <v>102961.50456390109</v>
      </c>
      <c r="CU381" s="358">
        <f>CU357+CU363+CU369+CU375</f>
        <v>115359.1565597724</v>
      </c>
      <c r="CV381" s="920"/>
      <c r="CW381" s="176"/>
    </row>
    <row r="382" spans="1:101" ht="15.5">
      <c r="E382" s="300" t="s">
        <v>306</v>
      </c>
      <c r="F382" s="300"/>
      <c r="G382" s="105">
        <f>G358+G364+G370+G376</f>
        <v>58769.171464999999</v>
      </c>
      <c r="H382" s="105">
        <f t="shared" ref="H382:W382" si="316">H358+H364+H370+H376</f>
        <v>2195.1379480000001</v>
      </c>
      <c r="I382" s="105">
        <f t="shared" si="316"/>
        <v>1039.4193399999999</v>
      </c>
      <c r="J382" s="105">
        <f t="shared" si="316"/>
        <v>1248.7493930000001</v>
      </c>
      <c r="K382" s="105">
        <f t="shared" si="316"/>
        <v>1083.8478420000001</v>
      </c>
      <c r="L382" s="105">
        <f t="shared" si="316"/>
        <v>8875.2215519999991</v>
      </c>
      <c r="M382" s="105">
        <f t="shared" si="316"/>
        <v>7544.7269770000003</v>
      </c>
      <c r="N382" s="105">
        <f t="shared" si="316"/>
        <v>2932.6681590000003</v>
      </c>
      <c r="O382" s="105">
        <f t="shared" si="316"/>
        <v>2363.4844220000004</v>
      </c>
      <c r="P382" s="105">
        <f t="shared" si="316"/>
        <v>1474.9062670000001</v>
      </c>
      <c r="Q382" s="105">
        <f t="shared" si="300"/>
        <v>1180.4795060000001</v>
      </c>
      <c r="R382" s="105">
        <f t="shared" si="300"/>
        <v>515.72537299999999</v>
      </c>
      <c r="S382" s="105">
        <f t="shared" si="300"/>
        <v>9712.6344569999983</v>
      </c>
      <c r="T382" s="105">
        <f t="shared" si="316"/>
        <v>2864</v>
      </c>
      <c r="U382" s="105">
        <f t="shared" si="316"/>
        <v>2864</v>
      </c>
      <c r="V382" s="105">
        <f t="shared" si="316"/>
        <v>2864</v>
      </c>
      <c r="W382" s="105">
        <f t="shared" si="316"/>
        <v>40167.001235999996</v>
      </c>
      <c r="X382" s="60"/>
      <c r="Y382" s="105">
        <f t="shared" ref="Y382:AJ382" si="317">Y358+Y364+Y370+Y376</f>
        <v>0</v>
      </c>
      <c r="Z382" s="105">
        <f t="shared" si="317"/>
        <v>0</v>
      </c>
      <c r="AA382" s="105">
        <f t="shared" si="317"/>
        <v>0</v>
      </c>
      <c r="AB382" s="105">
        <f t="shared" si="317"/>
        <v>0</v>
      </c>
      <c r="AC382" s="105">
        <f t="shared" si="317"/>
        <v>0</v>
      </c>
      <c r="AD382" s="105">
        <f t="shared" si="317"/>
        <v>0</v>
      </c>
      <c r="AE382" s="105">
        <f t="shared" si="317"/>
        <v>0</v>
      </c>
      <c r="AF382" s="105">
        <f t="shared" si="317"/>
        <v>0</v>
      </c>
      <c r="AG382" s="105">
        <f t="shared" si="317"/>
        <v>0</v>
      </c>
      <c r="AH382" s="105">
        <f t="shared" si="317"/>
        <v>0</v>
      </c>
      <c r="AI382" s="105">
        <f t="shared" si="317"/>
        <v>0</v>
      </c>
      <c r="AJ382" s="105">
        <f t="shared" si="317"/>
        <v>0</v>
      </c>
      <c r="AK382" s="61">
        <v>0</v>
      </c>
      <c r="AL382" s="55"/>
      <c r="AM382" s="105">
        <f t="shared" ref="AM382:AX382" si="318">AM358+AM364+AM370+AM376</f>
        <v>0</v>
      </c>
      <c r="AN382" s="105">
        <f t="shared" si="318"/>
        <v>0</v>
      </c>
      <c r="AO382" s="105">
        <f t="shared" si="318"/>
        <v>0</v>
      </c>
      <c r="AP382" s="105">
        <f t="shared" si="318"/>
        <v>0</v>
      </c>
      <c r="AQ382" s="105">
        <f t="shared" si="318"/>
        <v>0</v>
      </c>
      <c r="AR382" s="105">
        <f t="shared" si="318"/>
        <v>0</v>
      </c>
      <c r="AS382" s="105">
        <f t="shared" si="318"/>
        <v>0</v>
      </c>
      <c r="AT382" s="105">
        <f t="shared" si="318"/>
        <v>0</v>
      </c>
      <c r="AU382" s="105">
        <f t="shared" si="318"/>
        <v>0</v>
      </c>
      <c r="AV382" s="105">
        <f t="shared" si="318"/>
        <v>0</v>
      </c>
      <c r="AW382" s="105">
        <f t="shared" si="318"/>
        <v>0</v>
      </c>
      <c r="AX382" s="105">
        <f t="shared" si="318"/>
        <v>0</v>
      </c>
      <c r="AY382" s="122">
        <v>0</v>
      </c>
      <c r="AZ382" s="60"/>
      <c r="BA382" s="641">
        <f t="shared" si="303"/>
        <v>482.51603699999998</v>
      </c>
      <c r="BB382" s="641">
        <f t="shared" si="303"/>
        <v>20.855419999999999</v>
      </c>
      <c r="BC382" s="604">
        <f t="shared" ref="BC382:BK382" si="319">BC358+BC364+BC370+BC376</f>
        <v>20.855419999999999</v>
      </c>
      <c r="BD382" s="641">
        <f t="shared" si="319"/>
        <v>0</v>
      </c>
      <c r="BE382" s="604">
        <f t="shared" si="319"/>
        <v>20.855419999999999</v>
      </c>
      <c r="BF382" s="641">
        <f>BF358+BF364+BF370+BF376</f>
        <v>-3.52</v>
      </c>
      <c r="BG382" s="604">
        <f t="shared" si="319"/>
        <v>0</v>
      </c>
      <c r="BH382" s="641">
        <f t="shared" si="319"/>
        <v>0</v>
      </c>
      <c r="BI382" s="604">
        <f t="shared" si="319"/>
        <v>0</v>
      </c>
      <c r="BJ382" s="641">
        <f t="shared" si="319"/>
        <v>0</v>
      </c>
      <c r="BK382" s="604">
        <f t="shared" si="319"/>
        <v>0</v>
      </c>
      <c r="BL382" s="641">
        <f t="shared" si="305"/>
        <v>0</v>
      </c>
      <c r="BM382" s="604">
        <f t="shared" si="305"/>
        <v>0</v>
      </c>
      <c r="BN382" s="712">
        <f t="shared" si="305"/>
        <v>0</v>
      </c>
      <c r="BO382" s="713">
        <f t="shared" si="305"/>
        <v>0</v>
      </c>
      <c r="BP382" s="712">
        <f t="shared" si="305"/>
        <v>0</v>
      </c>
      <c r="BQ382" s="713">
        <f t="shared" si="306"/>
        <v>0</v>
      </c>
      <c r="BR382" s="732">
        <f t="shared" si="306"/>
        <v>0</v>
      </c>
      <c r="BS382" s="712">
        <f t="shared" si="307"/>
        <v>0</v>
      </c>
      <c r="BT382" s="713">
        <f t="shared" si="307"/>
        <v>0</v>
      </c>
      <c r="BU382" s="732">
        <f t="shared" si="307"/>
        <v>0</v>
      </c>
      <c r="BV382" s="712">
        <f t="shared" si="307"/>
        <v>0</v>
      </c>
      <c r="BW382" s="713">
        <f t="shared" si="307"/>
        <v>0</v>
      </c>
      <c r="BX382" s="732">
        <f t="shared" si="307"/>
        <v>0</v>
      </c>
      <c r="BY382" s="712">
        <f t="shared" si="307"/>
        <v>0</v>
      </c>
      <c r="BZ382" s="713">
        <f t="shared" si="308"/>
        <v>0</v>
      </c>
      <c r="CA382" s="732">
        <f t="shared" si="308"/>
        <v>0</v>
      </c>
      <c r="CB382" s="720">
        <f t="shared" si="314"/>
        <v>499.85145699999998</v>
      </c>
      <c r="CC382" s="725">
        <f t="shared" si="314"/>
        <v>499.85145699999998</v>
      </c>
      <c r="CD382" s="744"/>
      <c r="CE382" s="336">
        <f t="shared" si="314"/>
        <v>0</v>
      </c>
      <c r="CF382" s="336">
        <f t="shared" si="314"/>
        <v>0</v>
      </c>
      <c r="CG382" s="336">
        <f t="shared" si="314"/>
        <v>0</v>
      </c>
      <c r="CH382" s="336">
        <f t="shared" si="314"/>
        <v>0</v>
      </c>
      <c r="CI382" s="336">
        <f t="shared" si="314"/>
        <v>0</v>
      </c>
      <c r="CJ382" s="336">
        <f t="shared" si="314"/>
        <v>0</v>
      </c>
      <c r="CK382" s="336">
        <f t="shared" si="314"/>
        <v>0</v>
      </c>
      <c r="CL382" s="336">
        <f t="shared" si="314"/>
        <v>0</v>
      </c>
      <c r="CM382" s="336">
        <f t="shared" si="314"/>
        <v>0</v>
      </c>
      <c r="CN382" s="336">
        <f t="shared" si="314"/>
        <v>0</v>
      </c>
      <c r="CO382" s="336">
        <f t="shared" si="314"/>
        <v>0</v>
      </c>
      <c r="CP382" s="336">
        <f t="shared" si="314"/>
        <v>0</v>
      </c>
      <c r="CQ382" s="355">
        <f t="shared" si="315"/>
        <v>0</v>
      </c>
      <c r="CR382" s="356">
        <f t="shared" si="315"/>
        <v>0</v>
      </c>
      <c r="CS382" s="357">
        <f t="shared" si="315"/>
        <v>0</v>
      </c>
      <c r="CT382" s="332">
        <f t="shared" si="315"/>
        <v>0</v>
      </c>
      <c r="CU382" s="358">
        <f>CU358+CU364+CU370+CU376</f>
        <v>0</v>
      </c>
      <c r="CW382" s="176"/>
    </row>
    <row r="383" spans="1:101" s="41" customFormat="1" ht="15.5">
      <c r="A383" s="319"/>
      <c r="B383" s="320"/>
      <c r="C383" s="319"/>
      <c r="D383" s="319"/>
      <c r="E383" s="318" t="s">
        <v>315</v>
      </c>
      <c r="F383" s="318"/>
      <c r="G383" s="106">
        <f>SUM(G380:G382)</f>
        <v>332400.641558</v>
      </c>
      <c r="H383" s="106">
        <f t="shared" ref="H383:W383" si="320">SUM(H380:H382)</f>
        <v>23482.554550000001</v>
      </c>
      <c r="I383" s="106">
        <f t="shared" si="320"/>
        <v>19911.803801000002</v>
      </c>
      <c r="J383" s="106">
        <f t="shared" si="320"/>
        <v>18537.86202</v>
      </c>
      <c r="K383" s="106">
        <f t="shared" si="320"/>
        <v>14243.449114999999</v>
      </c>
      <c r="L383" s="106">
        <f t="shared" si="320"/>
        <v>24953.406986000002</v>
      </c>
      <c r="M383" s="106">
        <f t="shared" si="320"/>
        <v>22300.106524000003</v>
      </c>
      <c r="N383" s="106">
        <f t="shared" si="320"/>
        <v>18169.018943000003</v>
      </c>
      <c r="O383" s="106">
        <f t="shared" si="320"/>
        <v>17904.794023000002</v>
      </c>
      <c r="P383" s="106">
        <f t="shared" si="320"/>
        <v>14131.963356999999</v>
      </c>
      <c r="Q383" s="106">
        <f>SUM(Q380:Q382)</f>
        <v>12877.598187</v>
      </c>
      <c r="R383" s="106">
        <f>SUM(R380:R382)</f>
        <v>13036.052983</v>
      </c>
      <c r="S383" s="106">
        <f>SUM(S380:S382)</f>
        <v>25128.365581999999</v>
      </c>
      <c r="T383" s="106">
        <f t="shared" si="320"/>
        <v>15983.372964999999</v>
      </c>
      <c r="U383" s="106">
        <f t="shared" si="320"/>
        <v>15959.359264999999</v>
      </c>
      <c r="V383" s="106">
        <f t="shared" si="320"/>
        <v>16164.304539999999</v>
      </c>
      <c r="W383" s="106">
        <f t="shared" si="320"/>
        <v>224676.97607099998</v>
      </c>
      <c r="X383" s="111"/>
      <c r="Y383" s="106">
        <f t="shared" ref="Y383:AJ383" si="321">SUM(Y380:Y382)</f>
        <v>15644.696920518059</v>
      </c>
      <c r="Z383" s="106">
        <f t="shared" si="321"/>
        <v>17267.196489068061</v>
      </c>
      <c r="AA383" s="106">
        <f t="shared" si="321"/>
        <v>16240.596489068061</v>
      </c>
      <c r="AB383" s="106">
        <f t="shared" si="321"/>
        <v>16530.596489068063</v>
      </c>
      <c r="AC383" s="106">
        <f t="shared" si="321"/>
        <v>18137.596489068063</v>
      </c>
      <c r="AD383" s="106">
        <f t="shared" si="321"/>
        <v>17040.596489068063</v>
      </c>
      <c r="AE383" s="106">
        <f t="shared" si="321"/>
        <v>17268.461555068061</v>
      </c>
      <c r="AF383" s="106">
        <f t="shared" si="321"/>
        <v>18863.461555068061</v>
      </c>
      <c r="AG383" s="106">
        <f t="shared" si="321"/>
        <v>17578.461555068061</v>
      </c>
      <c r="AH383" s="106">
        <f t="shared" si="321"/>
        <v>17428.461555068061</v>
      </c>
      <c r="AI383" s="106">
        <f t="shared" si="321"/>
        <v>17423.461555068061</v>
      </c>
      <c r="AJ383" s="106">
        <f t="shared" si="321"/>
        <v>19197.461555068061</v>
      </c>
      <c r="AK383" s="87">
        <v>208621.04869626672</v>
      </c>
      <c r="AL383" s="55"/>
      <c r="AM383" s="106">
        <f t="shared" ref="AM383:AX383" si="322">SUM(AM380:AM382)</f>
        <v>15733.898708010753</v>
      </c>
      <c r="AN383" s="106">
        <f t="shared" si="322"/>
        <v>17356.398276560751</v>
      </c>
      <c r="AO383" s="106">
        <f t="shared" si="322"/>
        <v>16329.798276560754</v>
      </c>
      <c r="AP383" s="106">
        <f t="shared" si="322"/>
        <v>17119.798276560752</v>
      </c>
      <c r="AQ383" s="106">
        <f t="shared" si="322"/>
        <v>18946.798276560752</v>
      </c>
      <c r="AR383" s="106">
        <f t="shared" si="322"/>
        <v>17849.798276560752</v>
      </c>
      <c r="AS383" s="106">
        <f t="shared" si="322"/>
        <v>18077.663342560754</v>
      </c>
      <c r="AT383" s="106">
        <f t="shared" si="322"/>
        <v>19672.663342560754</v>
      </c>
      <c r="AU383" s="106">
        <f t="shared" si="322"/>
        <v>18387.663342560754</v>
      </c>
      <c r="AV383" s="106">
        <f t="shared" si="322"/>
        <v>18237.663342560754</v>
      </c>
      <c r="AW383" s="106">
        <f t="shared" si="322"/>
        <v>18232.663342560754</v>
      </c>
      <c r="AX383" s="106">
        <f t="shared" si="322"/>
        <v>20006.663342560754</v>
      </c>
      <c r="AY383" s="124">
        <v>215951.47014617902</v>
      </c>
      <c r="AZ383" s="111"/>
      <c r="BA383" s="642">
        <f>SUM(BA380:BA382)</f>
        <v>11825.300267000001</v>
      </c>
      <c r="BB383" s="642">
        <f>SUM(BB380:BB382)</f>
        <v>11646.752288</v>
      </c>
      <c r="BC383" s="605">
        <f t="shared" ref="BC383:BK383" si="323">SUM(BC380:BC382)</f>
        <v>11508.111371000001</v>
      </c>
      <c r="BD383" s="642">
        <f t="shared" si="323"/>
        <v>14049.337060999998</v>
      </c>
      <c r="BE383" s="605">
        <f t="shared" si="323"/>
        <v>12184.024049</v>
      </c>
      <c r="BF383" s="642">
        <f>SUM(BF380:BF382)</f>
        <v>12401.419418000001</v>
      </c>
      <c r="BG383" s="605">
        <f t="shared" si="323"/>
        <v>12415.421623000002</v>
      </c>
      <c r="BH383" s="642">
        <f t="shared" si="323"/>
        <v>10718.176347000001</v>
      </c>
      <c r="BI383" s="605">
        <f t="shared" si="323"/>
        <v>13621.441823000001</v>
      </c>
      <c r="BJ383" s="642">
        <f t="shared" si="323"/>
        <v>12121.660823999999</v>
      </c>
      <c r="BK383" s="605">
        <f t="shared" si="323"/>
        <v>15229.343822999999</v>
      </c>
      <c r="BL383" s="642">
        <f t="shared" ref="BL383:CA383" si="324">SUM(BL380:BL382)</f>
        <v>10082.184014999999</v>
      </c>
      <c r="BM383" s="605">
        <f t="shared" si="324"/>
        <v>17694.442478333331</v>
      </c>
      <c r="BN383" s="714">
        <f t="shared" si="324"/>
        <v>13891.496894</v>
      </c>
      <c r="BO383" s="715">
        <f t="shared" si="324"/>
        <v>17721.838769999998</v>
      </c>
      <c r="BP383" s="714">
        <f t="shared" si="324"/>
        <v>0</v>
      </c>
      <c r="BQ383" s="715">
        <f t="shared" si="324"/>
        <v>17152.141415999999</v>
      </c>
      <c r="BR383" s="725">
        <f t="shared" si="324"/>
        <v>14025.772161999999</v>
      </c>
      <c r="BS383" s="714">
        <f t="shared" si="324"/>
        <v>0</v>
      </c>
      <c r="BT383" s="715">
        <f t="shared" si="324"/>
        <v>18527.811416</v>
      </c>
      <c r="BU383" s="725">
        <f t="shared" si="324"/>
        <v>15236.972162</v>
      </c>
      <c r="BV383" s="714">
        <f t="shared" si="324"/>
        <v>0</v>
      </c>
      <c r="BW383" s="715">
        <f t="shared" si="324"/>
        <v>20110.025416</v>
      </c>
      <c r="BX383" s="725">
        <f t="shared" si="324"/>
        <v>17427.972161999998</v>
      </c>
      <c r="BY383" s="714">
        <f t="shared" si="324"/>
        <v>0</v>
      </c>
      <c r="BZ383" s="715">
        <f t="shared" si="324"/>
        <v>20840.465415999999</v>
      </c>
      <c r="CA383" s="725">
        <f t="shared" si="324"/>
        <v>19091.280161999999</v>
      </c>
      <c r="CB383" s="720">
        <f t="shared" ref="CB383:CT383" si="325">SUM(CB380:CB382)</f>
        <v>162518.32376200001</v>
      </c>
      <c r="CC383" s="725">
        <f t="shared" si="325"/>
        <v>162518.32376200001</v>
      </c>
      <c r="CD383" s="744"/>
      <c r="CE383" s="337">
        <f t="shared" si="325"/>
        <v>13696.193833000001</v>
      </c>
      <c r="CF383" s="337">
        <f t="shared" si="325"/>
        <v>13671.491392</v>
      </c>
      <c r="CG383" s="337">
        <f t="shared" si="325"/>
        <v>15381.224833</v>
      </c>
      <c r="CH383" s="337">
        <f t="shared" si="325"/>
        <v>15717.472421999999</v>
      </c>
      <c r="CI383" s="337">
        <f t="shared" si="325"/>
        <v>16068.942833000001</v>
      </c>
      <c r="CJ383" s="337">
        <f t="shared" si="325"/>
        <v>16534.515316000001</v>
      </c>
      <c r="CK383" s="337">
        <f t="shared" si="325"/>
        <v>16550.167333000001</v>
      </c>
      <c r="CL383" s="337">
        <f t="shared" si="325"/>
        <v>16570.576831999999</v>
      </c>
      <c r="CM383" s="337">
        <f t="shared" si="325"/>
        <v>16651.683333000001</v>
      </c>
      <c r="CN383" s="337">
        <f t="shared" si="325"/>
        <v>16644.683333000001</v>
      </c>
      <c r="CO383" s="337">
        <f t="shared" si="325"/>
        <v>16883.683333000001</v>
      </c>
      <c r="CP383" s="337">
        <f t="shared" si="325"/>
        <v>16983.183333000001</v>
      </c>
      <c r="CQ383" s="363">
        <f t="shared" si="325"/>
        <v>191353.818126</v>
      </c>
      <c r="CR383" s="364">
        <f t="shared" si="325"/>
        <v>194378.53948495619</v>
      </c>
      <c r="CS383" s="365">
        <f t="shared" si="325"/>
        <v>250335.31604791922</v>
      </c>
      <c r="CT383" s="325">
        <f t="shared" si="325"/>
        <v>343431.52933628438</v>
      </c>
      <c r="CU383" s="366">
        <f>SUM(CU380:CU382)</f>
        <v>376169.27853569383</v>
      </c>
      <c r="CV383" s="92"/>
    </row>
    <row r="384" spans="1:101" ht="15.5">
      <c r="E384" s="304"/>
      <c r="F384" s="304"/>
      <c r="G384" s="42"/>
      <c r="H384" s="42"/>
      <c r="I384" s="42"/>
      <c r="J384" s="42"/>
      <c r="K384" s="42"/>
      <c r="L384" s="42"/>
      <c r="X384" s="40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61"/>
      <c r="AL384" s="55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122"/>
      <c r="AZ384" s="40"/>
      <c r="BA384" s="644"/>
      <c r="BB384" s="644"/>
      <c r="BC384" s="41"/>
      <c r="BD384" s="644"/>
      <c r="BE384" s="41"/>
      <c r="BF384" s="644"/>
      <c r="BG384" s="41"/>
      <c r="BH384" s="644"/>
      <c r="BI384" s="41"/>
      <c r="BJ384" s="644"/>
      <c r="BK384" s="41"/>
      <c r="BL384" s="644"/>
      <c r="BM384" s="41"/>
      <c r="BN384" s="644"/>
      <c r="BO384" s="41"/>
      <c r="BP384" s="644"/>
      <c r="BQ384" s="41"/>
      <c r="BR384" s="717"/>
      <c r="BS384" s="644"/>
      <c r="BT384" s="41"/>
      <c r="BU384" s="717"/>
      <c r="BV384" s="644"/>
      <c r="BW384" s="41"/>
      <c r="BX384" s="717"/>
      <c r="BY384" s="644"/>
      <c r="BZ384" s="41"/>
      <c r="CA384" s="717"/>
      <c r="CB384" s="720"/>
      <c r="CC384" s="717"/>
      <c r="CD384" s="733"/>
      <c r="CE384" s="319"/>
      <c r="CF384" s="319"/>
      <c r="CG384" s="319"/>
      <c r="CH384" s="319"/>
      <c r="CI384" s="319"/>
      <c r="CJ384" s="319"/>
      <c r="CK384" s="319"/>
      <c r="CL384" s="319"/>
      <c r="CM384" s="319"/>
      <c r="CN384" s="319"/>
      <c r="CO384" s="319"/>
      <c r="CP384" s="319"/>
      <c r="CQ384" s="355"/>
      <c r="CR384" s="356"/>
      <c r="CS384" s="357"/>
      <c r="CT384" s="332"/>
      <c r="CU384" s="358"/>
    </row>
    <row r="385" spans="1:101" ht="15.5">
      <c r="E385" s="318" t="s">
        <v>316</v>
      </c>
      <c r="F385" s="318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92"/>
      <c r="X385" s="55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61"/>
      <c r="AL385" s="55"/>
      <c r="AM385" s="92"/>
      <c r="AN385" s="92"/>
      <c r="AO385" s="92"/>
      <c r="AP385" s="92"/>
      <c r="AQ385" s="92"/>
      <c r="AR385" s="92"/>
      <c r="AS385" s="92"/>
      <c r="AT385" s="92"/>
      <c r="AU385" s="92"/>
      <c r="AV385" s="92"/>
      <c r="AW385" s="92"/>
      <c r="AX385" s="92"/>
      <c r="AY385" s="122"/>
      <c r="AZ385" s="55"/>
      <c r="BA385" s="643"/>
      <c r="BB385" s="643"/>
      <c r="BC385" s="92"/>
      <c r="BD385" s="643"/>
      <c r="BE385" s="92"/>
      <c r="BF385" s="643"/>
      <c r="BG385" s="92"/>
      <c r="BH385" s="643"/>
      <c r="BI385" s="92"/>
      <c r="BJ385" s="643"/>
      <c r="BK385" s="92"/>
      <c r="BL385" s="643"/>
      <c r="BM385" s="92"/>
      <c r="BN385" s="643"/>
      <c r="BO385" s="92"/>
      <c r="BP385" s="643"/>
      <c r="BQ385" s="92"/>
      <c r="BR385" s="724"/>
      <c r="BS385" s="643"/>
      <c r="BT385" s="92"/>
      <c r="BU385" s="724"/>
      <c r="BV385" s="643"/>
      <c r="BW385" s="92"/>
      <c r="BX385" s="724"/>
      <c r="BY385" s="643"/>
      <c r="BZ385" s="92"/>
      <c r="CA385" s="724"/>
      <c r="CB385" s="720"/>
      <c r="CC385" s="724"/>
      <c r="CD385" s="111"/>
      <c r="CE385" s="338"/>
      <c r="CF385" s="338"/>
      <c r="CG385" s="338"/>
      <c r="CH385" s="338"/>
      <c r="CI385" s="338"/>
      <c r="CJ385" s="338"/>
      <c r="CK385" s="338"/>
      <c r="CL385" s="338"/>
      <c r="CM385" s="338"/>
      <c r="CN385" s="338"/>
      <c r="CO385" s="338"/>
      <c r="CP385" s="338"/>
      <c r="CQ385" s="355"/>
      <c r="CR385" s="356"/>
      <c r="CS385" s="357"/>
      <c r="CT385" s="332"/>
      <c r="CU385" s="358"/>
      <c r="CV385" s="57"/>
    </row>
    <row r="386" spans="1:101" ht="15.5">
      <c r="E386" s="300" t="s">
        <v>317</v>
      </c>
      <c r="F386" s="300"/>
      <c r="G386" s="105">
        <f>G359</f>
        <v>162324.93891599998</v>
      </c>
      <c r="H386" s="105">
        <f t="shared" ref="H386:W386" si="326">H359</f>
        <v>9957.5508059999993</v>
      </c>
      <c r="I386" s="105">
        <f t="shared" si="326"/>
        <v>10278.84348</v>
      </c>
      <c r="J386" s="105">
        <f t="shared" si="326"/>
        <v>8972.7803449999992</v>
      </c>
      <c r="K386" s="105">
        <f t="shared" si="326"/>
        <v>8690.4352749999998</v>
      </c>
      <c r="L386" s="105">
        <f t="shared" si="326"/>
        <v>10185.928185999999</v>
      </c>
      <c r="M386" s="105">
        <f t="shared" si="326"/>
        <v>9229.8845350000011</v>
      </c>
      <c r="N386" s="105">
        <f t="shared" si="326"/>
        <v>11381.470807000002</v>
      </c>
      <c r="O386" s="105">
        <f t="shared" si="326"/>
        <v>9600.0722700000006</v>
      </c>
      <c r="P386" s="105">
        <f t="shared" si="326"/>
        <v>7445.1572899999992</v>
      </c>
      <c r="Q386" s="105">
        <f>Q359</f>
        <v>6700.2464030000001</v>
      </c>
      <c r="R386" s="105">
        <f>R359</f>
        <v>6465.3995369999993</v>
      </c>
      <c r="S386" s="105">
        <f>S359</f>
        <v>18845.757663</v>
      </c>
      <c r="T386" s="105">
        <f t="shared" si="326"/>
        <v>8995.236832999999</v>
      </c>
      <c r="U386" s="105">
        <f t="shared" si="326"/>
        <v>9069.645133</v>
      </c>
      <c r="V386" s="105">
        <f t="shared" si="326"/>
        <v>9274.590408</v>
      </c>
      <c r="W386" s="105">
        <f t="shared" si="326"/>
        <v>117753.52659700002</v>
      </c>
      <c r="X386" s="55"/>
      <c r="Y386" s="105">
        <f t="shared" ref="Y386:AJ386" si="327">Y359</f>
        <v>8179.8013350180609</v>
      </c>
      <c r="Z386" s="105">
        <f t="shared" si="327"/>
        <v>9786.4671035680585</v>
      </c>
      <c r="AA386" s="105">
        <f t="shared" si="327"/>
        <v>8486.4671035680603</v>
      </c>
      <c r="AB386" s="105">
        <f t="shared" si="327"/>
        <v>8716.4671035680603</v>
      </c>
      <c r="AC386" s="105">
        <f t="shared" si="327"/>
        <v>10316.467103568059</v>
      </c>
      <c r="AD386" s="105">
        <f t="shared" si="327"/>
        <v>8896.4671035680603</v>
      </c>
      <c r="AE386" s="105">
        <f t="shared" si="327"/>
        <v>8875.4671035680603</v>
      </c>
      <c r="AF386" s="105">
        <f t="shared" si="327"/>
        <v>10475.467103568059</v>
      </c>
      <c r="AG386" s="105">
        <f t="shared" si="327"/>
        <v>9055.4671035680603</v>
      </c>
      <c r="AH386" s="105">
        <f t="shared" si="327"/>
        <v>8875.4671035680603</v>
      </c>
      <c r="AI386" s="105">
        <f t="shared" si="327"/>
        <v>8875.4671035680603</v>
      </c>
      <c r="AJ386" s="105">
        <f t="shared" si="327"/>
        <v>10655.467103568059</v>
      </c>
      <c r="AK386" s="61">
        <v>111194.93947426672</v>
      </c>
      <c r="AL386" s="55"/>
      <c r="AM386" s="105">
        <f t="shared" ref="AM386:AX386" si="328">AM359</f>
        <v>8229.0031225107523</v>
      </c>
      <c r="AN386" s="105">
        <f t="shared" si="328"/>
        <v>9835.6688910607518</v>
      </c>
      <c r="AO386" s="105">
        <f t="shared" si="328"/>
        <v>8535.6688910607518</v>
      </c>
      <c r="AP386" s="105">
        <f t="shared" si="328"/>
        <v>9265.6688910607518</v>
      </c>
      <c r="AQ386" s="105">
        <f t="shared" si="328"/>
        <v>11085.668891060752</v>
      </c>
      <c r="AR386" s="105">
        <f t="shared" si="328"/>
        <v>9665.6688910607518</v>
      </c>
      <c r="AS386" s="105">
        <f t="shared" si="328"/>
        <v>9644.6688910607518</v>
      </c>
      <c r="AT386" s="105">
        <f t="shared" si="328"/>
        <v>11244.668891060752</v>
      </c>
      <c r="AU386" s="105">
        <f t="shared" si="328"/>
        <v>9824.6688910607518</v>
      </c>
      <c r="AV386" s="105">
        <f t="shared" si="328"/>
        <v>9644.6688910607518</v>
      </c>
      <c r="AW386" s="105">
        <f t="shared" si="328"/>
        <v>9644.6688910607518</v>
      </c>
      <c r="AX386" s="105">
        <f t="shared" si="328"/>
        <v>11424.668891060752</v>
      </c>
      <c r="AY386" s="122">
        <v>118045.36092417903</v>
      </c>
      <c r="AZ386" s="55"/>
      <c r="BA386" s="641">
        <f>BA359</f>
        <v>6395.6940640000003</v>
      </c>
      <c r="BB386" s="641">
        <f>BB359</f>
        <v>6616.91363</v>
      </c>
      <c r="BC386" s="604">
        <f t="shared" ref="BC386:BK386" si="329">BC359</f>
        <v>6425.9723450000001</v>
      </c>
      <c r="BD386" s="641">
        <f t="shared" si="329"/>
        <v>9075.9924279999996</v>
      </c>
      <c r="BE386" s="604">
        <f t="shared" si="329"/>
        <v>6956.2572989999999</v>
      </c>
      <c r="BF386" s="641">
        <f>BF359</f>
        <v>7305.3934040000004</v>
      </c>
      <c r="BG386" s="604">
        <f t="shared" si="329"/>
        <v>6502.1563679999999</v>
      </c>
      <c r="BH386" s="641">
        <f t="shared" si="329"/>
        <v>5582.075887</v>
      </c>
      <c r="BI386" s="604">
        <f t="shared" si="329"/>
        <v>7730.7425679999997</v>
      </c>
      <c r="BJ386" s="641">
        <f t="shared" si="329"/>
        <v>6513.6626049999995</v>
      </c>
      <c r="BK386" s="604">
        <f t="shared" si="329"/>
        <v>8613.7425680000015</v>
      </c>
      <c r="BL386" s="641">
        <f t="shared" ref="BL386:CA386" si="330">BL359</f>
        <v>5691.8546960000003</v>
      </c>
      <c r="BM386" s="604">
        <f t="shared" si="330"/>
        <v>8501.110478333334</v>
      </c>
      <c r="BN386" s="712">
        <f t="shared" si="330"/>
        <v>8120.5018660000005</v>
      </c>
      <c r="BO386" s="713">
        <f t="shared" si="330"/>
        <v>8853.0887700000003</v>
      </c>
      <c r="BP386" s="712">
        <f t="shared" si="330"/>
        <v>0</v>
      </c>
      <c r="BQ386" s="713">
        <f t="shared" si="330"/>
        <v>8967.3054159999992</v>
      </c>
      <c r="BR386" s="732">
        <f t="shared" si="330"/>
        <v>8344.8281619999998</v>
      </c>
      <c r="BS386" s="712">
        <f t="shared" si="330"/>
        <v>0</v>
      </c>
      <c r="BT386" s="713">
        <f t="shared" si="330"/>
        <v>9787.3054159999992</v>
      </c>
      <c r="BU386" s="732">
        <f t="shared" si="330"/>
        <v>8725.8281619999998</v>
      </c>
      <c r="BV386" s="712">
        <f t="shared" si="330"/>
        <v>0</v>
      </c>
      <c r="BW386" s="713">
        <f t="shared" si="330"/>
        <v>9687.3054159999992</v>
      </c>
      <c r="BX386" s="732">
        <f t="shared" si="330"/>
        <v>9285.8281619999998</v>
      </c>
      <c r="BY386" s="712">
        <f t="shared" si="330"/>
        <v>0</v>
      </c>
      <c r="BZ386" s="713">
        <f t="shared" si="330"/>
        <v>9579.7454159999998</v>
      </c>
      <c r="CA386" s="732">
        <f t="shared" si="330"/>
        <v>9675.6361619999989</v>
      </c>
      <c r="CB386" s="720">
        <f t="shared" ref="CB386:CT386" si="331">CB359</f>
        <v>91334.209227999992</v>
      </c>
      <c r="CC386" s="725">
        <f t="shared" si="331"/>
        <v>91334.209227999992</v>
      </c>
      <c r="CD386" s="744"/>
      <c r="CE386" s="336">
        <f t="shared" si="331"/>
        <v>7356.0249999999996</v>
      </c>
      <c r="CF386" s="336">
        <f t="shared" si="331"/>
        <v>7356.4685590000008</v>
      </c>
      <c r="CG386" s="336">
        <f t="shared" si="331"/>
        <v>8620.6</v>
      </c>
      <c r="CH386" s="336">
        <f t="shared" si="331"/>
        <v>8623.625089000001</v>
      </c>
      <c r="CI386" s="336">
        <f t="shared" si="331"/>
        <v>9093.5</v>
      </c>
      <c r="CJ386" s="336">
        <f t="shared" si="331"/>
        <v>9434.8384829999995</v>
      </c>
      <c r="CK386" s="336">
        <f t="shared" si="331"/>
        <v>9443.6</v>
      </c>
      <c r="CL386" s="336">
        <f t="shared" si="331"/>
        <v>9465.3274989999991</v>
      </c>
      <c r="CM386" s="336">
        <f t="shared" si="331"/>
        <v>9495.1</v>
      </c>
      <c r="CN386" s="336">
        <f t="shared" si="331"/>
        <v>9486.1</v>
      </c>
      <c r="CO386" s="336">
        <f t="shared" si="331"/>
        <v>9546.1</v>
      </c>
      <c r="CP386" s="336">
        <f t="shared" si="331"/>
        <v>9494.6</v>
      </c>
      <c r="CQ386" s="355">
        <f t="shared" si="331"/>
        <v>107415.88463</v>
      </c>
      <c r="CR386" s="356">
        <f t="shared" si="331"/>
        <v>120359.35794931994</v>
      </c>
      <c r="CS386" s="357">
        <f t="shared" si="331"/>
        <v>155741.19563525438</v>
      </c>
      <c r="CT386" s="332">
        <f t="shared" si="331"/>
        <v>206969.32710735456</v>
      </c>
      <c r="CU386" s="358">
        <f>CU359</f>
        <v>229204.92242818492</v>
      </c>
      <c r="CV386" s="88"/>
      <c r="CW386" s="919"/>
    </row>
    <row r="387" spans="1:101" ht="15.5">
      <c r="E387" s="300" t="s">
        <v>318</v>
      </c>
      <c r="F387" s="300"/>
      <c r="G387" s="105">
        <f>G365</f>
        <v>24279.613736000003</v>
      </c>
      <c r="H387" s="105">
        <f t="shared" ref="H387:W387" si="332">H365</f>
        <v>1845.1907309999999</v>
      </c>
      <c r="I387" s="105">
        <f t="shared" si="332"/>
        <v>1156.1995830000001</v>
      </c>
      <c r="J387" s="105">
        <f t="shared" si="332"/>
        <v>1089.7842439999999</v>
      </c>
      <c r="K387" s="105">
        <f t="shared" si="332"/>
        <v>956.39016600000002</v>
      </c>
      <c r="L387" s="105">
        <f t="shared" si="332"/>
        <v>1082.406029</v>
      </c>
      <c r="M387" s="105">
        <f t="shared" si="332"/>
        <v>1032.060559</v>
      </c>
      <c r="N387" s="105">
        <f t="shared" si="332"/>
        <v>1081.034533</v>
      </c>
      <c r="O387" s="105">
        <f t="shared" si="332"/>
        <v>1059.9785400000001</v>
      </c>
      <c r="P387" s="105">
        <f t="shared" si="332"/>
        <v>1117.606984</v>
      </c>
      <c r="Q387" s="105">
        <f>Q365</f>
        <v>951.44496000000004</v>
      </c>
      <c r="R387" s="105">
        <f>R365</f>
        <v>961.58335799999998</v>
      </c>
      <c r="S387" s="105">
        <f>S365</f>
        <v>957.10614999999996</v>
      </c>
      <c r="T387" s="105">
        <f t="shared" si="332"/>
        <v>954.49440300000003</v>
      </c>
      <c r="U387" s="105">
        <f t="shared" si="332"/>
        <v>856.07240300000001</v>
      </c>
      <c r="V387" s="105">
        <f t="shared" si="332"/>
        <v>856.07240300000001</v>
      </c>
      <c r="W387" s="105">
        <f t="shared" si="332"/>
        <v>13290.785837000001</v>
      </c>
      <c r="X387" s="60"/>
      <c r="Y387" s="105">
        <f t="shared" ref="Y387:AJ387" si="333">Y365</f>
        <v>1205.36422315</v>
      </c>
      <c r="Z387" s="105">
        <f t="shared" si="333"/>
        <v>1205.36422315</v>
      </c>
      <c r="AA387" s="105">
        <f t="shared" si="333"/>
        <v>1353.7642231500001</v>
      </c>
      <c r="AB387" s="105">
        <f t="shared" si="333"/>
        <v>1353.7642231500001</v>
      </c>
      <c r="AC387" s="105">
        <f t="shared" si="333"/>
        <v>1353.7642231500001</v>
      </c>
      <c r="AD387" s="105">
        <f t="shared" si="333"/>
        <v>1353.7642231500001</v>
      </c>
      <c r="AE387" s="105">
        <f t="shared" si="333"/>
        <v>1353.7642231500001</v>
      </c>
      <c r="AF387" s="105">
        <f t="shared" si="333"/>
        <v>1353.7642231500001</v>
      </c>
      <c r="AG387" s="105">
        <f t="shared" si="333"/>
        <v>1353.7642231500001</v>
      </c>
      <c r="AH387" s="105">
        <f t="shared" si="333"/>
        <v>1448.7642231500001</v>
      </c>
      <c r="AI387" s="105">
        <f t="shared" si="333"/>
        <v>1448.7642231500001</v>
      </c>
      <c r="AJ387" s="105">
        <f t="shared" si="333"/>
        <v>1448.7642231500001</v>
      </c>
      <c r="AK387" s="61">
        <v>16233.3706778</v>
      </c>
      <c r="AL387" s="55"/>
      <c r="AM387" s="105">
        <f t="shared" ref="AM387:AX387" si="334">AM365</f>
        <v>1205.36422315</v>
      </c>
      <c r="AN387" s="105">
        <f t="shared" si="334"/>
        <v>1205.36422315</v>
      </c>
      <c r="AO387" s="105">
        <f t="shared" si="334"/>
        <v>1353.7642231500001</v>
      </c>
      <c r="AP387" s="105">
        <f t="shared" si="334"/>
        <v>1353.7642231500001</v>
      </c>
      <c r="AQ387" s="105">
        <f t="shared" si="334"/>
        <v>1353.7642231500001</v>
      </c>
      <c r="AR387" s="105">
        <f t="shared" si="334"/>
        <v>1353.7642231500001</v>
      </c>
      <c r="AS387" s="105">
        <f t="shared" si="334"/>
        <v>1353.7642231500001</v>
      </c>
      <c r="AT387" s="105">
        <f t="shared" si="334"/>
        <v>1353.7642231500001</v>
      </c>
      <c r="AU387" s="105">
        <f t="shared" si="334"/>
        <v>1353.7642231500001</v>
      </c>
      <c r="AV387" s="105">
        <f t="shared" si="334"/>
        <v>1448.7642231500001</v>
      </c>
      <c r="AW387" s="105">
        <f t="shared" si="334"/>
        <v>1448.7642231500001</v>
      </c>
      <c r="AX387" s="105">
        <f t="shared" si="334"/>
        <v>1448.7642231500001</v>
      </c>
      <c r="AY387" s="122">
        <v>16233.3706778</v>
      </c>
      <c r="AZ387" s="60"/>
      <c r="BA387" s="641">
        <f>BA365</f>
        <v>879.65052300000002</v>
      </c>
      <c r="BB387" s="641">
        <f>BB365</f>
        <v>986.75852499999996</v>
      </c>
      <c r="BC387" s="604">
        <f t="shared" ref="BC387:BK387" si="335">BC365</f>
        <v>881.86172799999997</v>
      </c>
      <c r="BD387" s="641">
        <f t="shared" si="335"/>
        <v>957.99112200000002</v>
      </c>
      <c r="BE387" s="604">
        <f t="shared" si="335"/>
        <v>926.53749500000004</v>
      </c>
      <c r="BF387" s="641">
        <f>BF365</f>
        <v>922.71155199999998</v>
      </c>
      <c r="BG387" s="604">
        <f t="shared" si="335"/>
        <v>1029.758</v>
      </c>
      <c r="BH387" s="641">
        <f t="shared" si="335"/>
        <v>913.58542799999998</v>
      </c>
      <c r="BI387" s="604">
        <f t="shared" si="335"/>
        <v>1133.8779999999999</v>
      </c>
      <c r="BJ387" s="641">
        <f t="shared" si="335"/>
        <v>1012.531575</v>
      </c>
      <c r="BK387" s="604">
        <f t="shared" si="335"/>
        <v>1372.8779999999999</v>
      </c>
      <c r="BL387" s="641">
        <f t="shared" ref="BL387:CA387" si="336">BL365</f>
        <v>864.33399099999997</v>
      </c>
      <c r="BM387" s="604">
        <f t="shared" si="336"/>
        <v>1427.8779999999999</v>
      </c>
      <c r="BN387" s="712">
        <f t="shared" si="336"/>
        <v>753.43856200000005</v>
      </c>
      <c r="BO387" s="713">
        <f t="shared" si="336"/>
        <v>1427.8779999999999</v>
      </c>
      <c r="BP387" s="712">
        <f t="shared" si="336"/>
        <v>0</v>
      </c>
      <c r="BQ387" s="713">
        <f t="shared" si="336"/>
        <v>100</v>
      </c>
      <c r="BR387" s="732">
        <f t="shared" si="336"/>
        <v>1179.8440000000001</v>
      </c>
      <c r="BS387" s="712">
        <f t="shared" si="336"/>
        <v>0</v>
      </c>
      <c r="BT387" s="713">
        <f t="shared" si="336"/>
        <v>340</v>
      </c>
      <c r="BU387" s="732">
        <f t="shared" si="336"/>
        <v>1365.8440000000001</v>
      </c>
      <c r="BV387" s="712">
        <f t="shared" si="336"/>
        <v>0</v>
      </c>
      <c r="BW387" s="713">
        <f t="shared" si="336"/>
        <v>190</v>
      </c>
      <c r="BX387" s="732">
        <f t="shared" si="336"/>
        <v>1391.8440000000001</v>
      </c>
      <c r="BY387" s="712">
        <f t="shared" si="336"/>
        <v>0</v>
      </c>
      <c r="BZ387" s="713">
        <f t="shared" si="336"/>
        <v>190</v>
      </c>
      <c r="CA387" s="732">
        <f t="shared" si="336"/>
        <v>1411.8440000000001</v>
      </c>
      <c r="CB387" s="720">
        <f t="shared" ref="CB387:CT387" si="337">CB365</f>
        <v>12640.377278</v>
      </c>
      <c r="CC387" s="725">
        <f t="shared" si="337"/>
        <v>12640.377278</v>
      </c>
      <c r="CD387" s="744"/>
      <c r="CE387" s="336">
        <f t="shared" si="337"/>
        <v>1038.4000000000001</v>
      </c>
      <c r="CF387" s="336">
        <f t="shared" si="337"/>
        <v>1038.4000000000001</v>
      </c>
      <c r="CG387" s="336">
        <f t="shared" si="337"/>
        <v>1038.4000000000001</v>
      </c>
      <c r="CH387" s="336">
        <f t="shared" si="337"/>
        <v>1588.4</v>
      </c>
      <c r="CI387" s="336">
        <f t="shared" si="337"/>
        <v>1588.4</v>
      </c>
      <c r="CJ387" s="336">
        <f t="shared" si="337"/>
        <v>1618.4</v>
      </c>
      <c r="CK387" s="336">
        <f t="shared" si="337"/>
        <v>1618.4</v>
      </c>
      <c r="CL387" s="336">
        <f t="shared" si="337"/>
        <v>1618.4</v>
      </c>
      <c r="CM387" s="336">
        <f t="shared" si="337"/>
        <v>1618.4</v>
      </c>
      <c r="CN387" s="336">
        <f t="shared" si="337"/>
        <v>1618.4</v>
      </c>
      <c r="CO387" s="336">
        <f t="shared" si="337"/>
        <v>1618.4</v>
      </c>
      <c r="CP387" s="336">
        <f t="shared" si="337"/>
        <v>1618.4</v>
      </c>
      <c r="CQ387" s="355">
        <f t="shared" si="337"/>
        <v>17620.8</v>
      </c>
      <c r="CR387" s="356">
        <f t="shared" si="337"/>
        <v>16047.698854938166</v>
      </c>
      <c r="CS387" s="357">
        <f t="shared" si="337"/>
        <v>22535.622811073634</v>
      </c>
      <c r="CT387" s="332">
        <f t="shared" si="337"/>
        <v>24645.144148461946</v>
      </c>
      <c r="CU387" s="358">
        <f>CU365</f>
        <v>26981.922163578507</v>
      </c>
      <c r="CV387" s="88"/>
      <c r="CW387" s="919"/>
    </row>
    <row r="388" spans="1:101" ht="15.5">
      <c r="E388" s="300" t="s">
        <v>319</v>
      </c>
      <c r="F388" s="300"/>
      <c r="G388" s="105">
        <f>G371</f>
        <v>82442.282699000003</v>
      </c>
      <c r="H388" s="105">
        <f t="shared" ref="H388:W388" si="338">H371</f>
        <v>6726.7926349999998</v>
      </c>
      <c r="I388" s="105">
        <f t="shared" si="338"/>
        <v>4974.5603009999995</v>
      </c>
      <c r="J388" s="105">
        <f t="shared" si="338"/>
        <v>4663.1510529999996</v>
      </c>
      <c r="K388" s="105">
        <f t="shared" si="338"/>
        <v>3864.9870369999999</v>
      </c>
      <c r="L388" s="105">
        <f t="shared" si="338"/>
        <v>9768.1014610000002</v>
      </c>
      <c r="M388" s="105">
        <f t="shared" si="338"/>
        <v>10240.741049</v>
      </c>
      <c r="N388" s="105">
        <f t="shared" si="338"/>
        <v>5173.046139</v>
      </c>
      <c r="O388" s="105">
        <f t="shared" si="338"/>
        <v>5949.302733999999</v>
      </c>
      <c r="P388" s="105">
        <f t="shared" si="338"/>
        <v>4800.2873999999993</v>
      </c>
      <c r="Q388" s="105">
        <f>Q371</f>
        <v>4433.4646589999993</v>
      </c>
      <c r="R388" s="105">
        <f>R371</f>
        <v>4813.4886369999995</v>
      </c>
      <c r="S388" s="105">
        <f>S371</f>
        <v>4536.6563880000003</v>
      </c>
      <c r="T388" s="105">
        <f t="shared" si="338"/>
        <v>4731.6752260000003</v>
      </c>
      <c r="U388" s="105">
        <f t="shared" si="338"/>
        <v>4731.6752260000003</v>
      </c>
      <c r="V388" s="105">
        <f t="shared" si="338"/>
        <v>4731.6752260000003</v>
      </c>
      <c r="W388" s="105">
        <f t="shared" si="338"/>
        <v>69944.579492999997</v>
      </c>
      <c r="X388" s="60"/>
      <c r="Y388" s="105">
        <f t="shared" ref="Y388:AJ388" si="339">Y371</f>
        <v>5220.2419123500003</v>
      </c>
      <c r="Z388" s="105">
        <f t="shared" si="339"/>
        <v>5230.2419123500003</v>
      </c>
      <c r="AA388" s="105">
        <f t="shared" si="339"/>
        <v>5230.2419123500003</v>
      </c>
      <c r="AB388" s="105">
        <f t="shared" si="339"/>
        <v>5310.2419123500003</v>
      </c>
      <c r="AC388" s="105">
        <f t="shared" si="339"/>
        <v>5370.2419123500003</v>
      </c>
      <c r="AD388" s="105">
        <f t="shared" si="339"/>
        <v>5640.2419123500003</v>
      </c>
      <c r="AE388" s="105">
        <f t="shared" si="339"/>
        <v>5839.1069783500006</v>
      </c>
      <c r="AF388" s="105">
        <f t="shared" si="339"/>
        <v>5834.1069783500006</v>
      </c>
      <c r="AG388" s="105">
        <f t="shared" si="339"/>
        <v>5939.1069783500006</v>
      </c>
      <c r="AH388" s="105">
        <f t="shared" si="339"/>
        <v>5939.1069783500006</v>
      </c>
      <c r="AI388" s="105">
        <f t="shared" si="339"/>
        <v>5944.1069783500006</v>
      </c>
      <c r="AJ388" s="105">
        <f t="shared" si="339"/>
        <v>5939.1069783500006</v>
      </c>
      <c r="AK388" s="61">
        <v>67436.093344199995</v>
      </c>
      <c r="AL388" s="55"/>
      <c r="AM388" s="105">
        <f t="shared" ref="AM388:AX388" si="340">AM371</f>
        <v>5260.2419123500003</v>
      </c>
      <c r="AN388" s="105">
        <f t="shared" si="340"/>
        <v>5270.2419123500003</v>
      </c>
      <c r="AO388" s="105">
        <f t="shared" si="340"/>
        <v>5270.2419123500003</v>
      </c>
      <c r="AP388" s="105">
        <f t="shared" si="340"/>
        <v>5350.2419123500003</v>
      </c>
      <c r="AQ388" s="105">
        <f t="shared" si="340"/>
        <v>5410.2419123500003</v>
      </c>
      <c r="AR388" s="105">
        <f t="shared" si="340"/>
        <v>5680.2419123500003</v>
      </c>
      <c r="AS388" s="105">
        <f t="shared" si="340"/>
        <v>5879.1069783500006</v>
      </c>
      <c r="AT388" s="105">
        <f t="shared" si="340"/>
        <v>5874.1069783500006</v>
      </c>
      <c r="AU388" s="105">
        <f t="shared" si="340"/>
        <v>5979.1069783500006</v>
      </c>
      <c r="AV388" s="105">
        <f t="shared" si="340"/>
        <v>5979.1069783500006</v>
      </c>
      <c r="AW388" s="105">
        <f t="shared" si="340"/>
        <v>5984.1069783500006</v>
      </c>
      <c r="AX388" s="105">
        <f t="shared" si="340"/>
        <v>5979.1069783500006</v>
      </c>
      <c r="AY388" s="122">
        <v>67916.093344199995</v>
      </c>
      <c r="AZ388" s="60"/>
      <c r="BA388" s="641">
        <f>BA371</f>
        <v>3683.8056820000002</v>
      </c>
      <c r="BB388" s="641">
        <f>BB371</f>
        <v>3310.3978900000002</v>
      </c>
      <c r="BC388" s="604">
        <f t="shared" ref="BC388:BK388" si="341">BC371</f>
        <v>3477.219255</v>
      </c>
      <c r="BD388" s="641">
        <f t="shared" si="341"/>
        <v>3296.3449479999999</v>
      </c>
      <c r="BE388" s="604">
        <f t="shared" si="341"/>
        <v>3639.659255</v>
      </c>
      <c r="BF388" s="641">
        <f>BF371</f>
        <v>3432.195882</v>
      </c>
      <c r="BG388" s="604">
        <f t="shared" si="341"/>
        <v>4233.1372549999996</v>
      </c>
      <c r="BH388" s="641">
        <f t="shared" si="341"/>
        <v>3616.652317</v>
      </c>
      <c r="BI388" s="604">
        <f t="shared" si="341"/>
        <v>4018.3512550000005</v>
      </c>
      <c r="BJ388" s="641">
        <f t="shared" si="341"/>
        <v>3965.7565239999999</v>
      </c>
      <c r="BK388" s="604">
        <f t="shared" si="341"/>
        <v>4514.5532549999998</v>
      </c>
      <c r="BL388" s="641">
        <f t="shared" ref="BL388:CA388" si="342">BL371</f>
        <v>2969.4181559999997</v>
      </c>
      <c r="BM388" s="604">
        <f t="shared" si="342"/>
        <v>7017.2839999999997</v>
      </c>
      <c r="BN388" s="712">
        <f t="shared" si="342"/>
        <v>4477.8720560000002</v>
      </c>
      <c r="BO388" s="713">
        <f t="shared" si="342"/>
        <v>6692.7019999999993</v>
      </c>
      <c r="BP388" s="712">
        <f t="shared" si="342"/>
        <v>0</v>
      </c>
      <c r="BQ388" s="713">
        <f t="shared" si="342"/>
        <v>7136.6659999999993</v>
      </c>
      <c r="BR388" s="732">
        <f t="shared" si="342"/>
        <v>3870.2</v>
      </c>
      <c r="BS388" s="712">
        <f t="shared" si="342"/>
        <v>0</v>
      </c>
      <c r="BT388" s="713">
        <f t="shared" si="342"/>
        <v>7452.3359999999993</v>
      </c>
      <c r="BU388" s="732">
        <f t="shared" si="342"/>
        <v>4446.2</v>
      </c>
      <c r="BV388" s="712">
        <f t="shared" si="342"/>
        <v>0</v>
      </c>
      <c r="BW388" s="713">
        <f t="shared" si="342"/>
        <v>9234.5499999999993</v>
      </c>
      <c r="BX388" s="732">
        <f t="shared" si="342"/>
        <v>5962.2</v>
      </c>
      <c r="BY388" s="712">
        <f t="shared" si="342"/>
        <v>0</v>
      </c>
      <c r="BZ388" s="713">
        <f t="shared" si="342"/>
        <v>9972.5499999999993</v>
      </c>
      <c r="CA388" s="732">
        <f t="shared" si="342"/>
        <v>7127.7</v>
      </c>
      <c r="CB388" s="720">
        <f t="shared" ref="CB388:CT388" si="343">CB371</f>
        <v>50158.743455000003</v>
      </c>
      <c r="CC388" s="725">
        <f t="shared" si="343"/>
        <v>50158.743455000003</v>
      </c>
      <c r="CD388" s="744"/>
      <c r="CE388" s="336">
        <f t="shared" si="343"/>
        <v>4491.3833329999998</v>
      </c>
      <c r="CF388" s="336">
        <f t="shared" si="343"/>
        <v>4461.3833329999998</v>
      </c>
      <c r="CG388" s="336">
        <f t="shared" si="343"/>
        <v>4908.2833329999994</v>
      </c>
      <c r="CH388" s="336">
        <f t="shared" si="343"/>
        <v>4766.2833329999994</v>
      </c>
      <c r="CI388" s="336">
        <f t="shared" si="343"/>
        <v>4639.3833329999998</v>
      </c>
      <c r="CJ388" s="336">
        <f t="shared" si="343"/>
        <v>4739.3833329999998</v>
      </c>
      <c r="CK388" s="336">
        <f t="shared" si="343"/>
        <v>4739.3833329999998</v>
      </c>
      <c r="CL388" s="336">
        <f t="shared" si="343"/>
        <v>4739.3833329999998</v>
      </c>
      <c r="CM388" s="336">
        <f t="shared" si="343"/>
        <v>4789.3833329999998</v>
      </c>
      <c r="CN388" s="336">
        <f t="shared" si="343"/>
        <v>4789.3833329999998</v>
      </c>
      <c r="CO388" s="336">
        <f t="shared" si="343"/>
        <v>4916.3833329999998</v>
      </c>
      <c r="CP388" s="336">
        <f t="shared" si="343"/>
        <v>5016.3833329999998</v>
      </c>
      <c r="CQ388" s="355">
        <f t="shared" si="343"/>
        <v>56996.399996</v>
      </c>
      <c r="CR388" s="356">
        <f t="shared" si="343"/>
        <v>47915.158030183447</v>
      </c>
      <c r="CS388" s="357">
        <f t="shared" si="343"/>
        <v>58585.23560858742</v>
      </c>
      <c r="CT388" s="332">
        <f t="shared" si="343"/>
        <v>87042.754787748607</v>
      </c>
      <c r="CU388" s="358">
        <f>CU371</f>
        <v>93643.30221244361</v>
      </c>
      <c r="CV388" s="88"/>
      <c r="CW388" s="919"/>
    </row>
    <row r="389" spans="1:101" ht="15.5">
      <c r="E389" s="300" t="s">
        <v>320</v>
      </c>
      <c r="F389" s="300"/>
      <c r="G389" s="105">
        <f>G377</f>
        <v>63353.806206999994</v>
      </c>
      <c r="H389" s="105">
        <f t="shared" ref="H389:W389" si="344">H377</f>
        <v>4953.0203780000002</v>
      </c>
      <c r="I389" s="105">
        <f t="shared" si="344"/>
        <v>3502.200437</v>
      </c>
      <c r="J389" s="105">
        <f t="shared" si="344"/>
        <v>3812.1463779999999</v>
      </c>
      <c r="K389" s="105">
        <f t="shared" si="344"/>
        <v>731.63663700000006</v>
      </c>
      <c r="L389" s="105">
        <f t="shared" si="344"/>
        <v>3916.9713099999999</v>
      </c>
      <c r="M389" s="105">
        <f t="shared" si="344"/>
        <v>1797.4203810000001</v>
      </c>
      <c r="N389" s="105">
        <f t="shared" si="344"/>
        <v>533.46746400000006</v>
      </c>
      <c r="O389" s="105">
        <f t="shared" si="344"/>
        <v>1295.4404789999999</v>
      </c>
      <c r="P389" s="105">
        <f t="shared" si="344"/>
        <v>768.91168299999993</v>
      </c>
      <c r="Q389" s="105">
        <f>Q377</f>
        <v>792.44216499999993</v>
      </c>
      <c r="R389" s="105">
        <f>R377</f>
        <v>795.58145100000002</v>
      </c>
      <c r="S389" s="105">
        <f>S377</f>
        <v>788.84538099999997</v>
      </c>
      <c r="T389" s="105">
        <f t="shared" si="344"/>
        <v>1301.9665030000001</v>
      </c>
      <c r="U389" s="105">
        <f t="shared" si="344"/>
        <v>1301.9665030000001</v>
      </c>
      <c r="V389" s="105">
        <f t="shared" si="344"/>
        <v>1301.9665030000001</v>
      </c>
      <c r="W389" s="105">
        <f t="shared" si="344"/>
        <v>23688.084144</v>
      </c>
      <c r="X389" s="60"/>
      <c r="Y389" s="105">
        <f t="shared" ref="Y389:AJ389" si="345">Y377</f>
        <v>1039.28945</v>
      </c>
      <c r="Z389" s="105">
        <f t="shared" si="345"/>
        <v>1045.1232500000001</v>
      </c>
      <c r="AA389" s="105">
        <f t="shared" si="345"/>
        <v>1170.1232500000001</v>
      </c>
      <c r="AB389" s="105">
        <f t="shared" si="345"/>
        <v>1150.1232500000001</v>
      </c>
      <c r="AC389" s="105">
        <f t="shared" si="345"/>
        <v>1097.1232500000001</v>
      </c>
      <c r="AD389" s="105">
        <f t="shared" si="345"/>
        <v>1150.1232500000001</v>
      </c>
      <c r="AE389" s="105">
        <f t="shared" si="345"/>
        <v>1200.1232500000001</v>
      </c>
      <c r="AF389" s="105">
        <f t="shared" si="345"/>
        <v>1200.1232500000001</v>
      </c>
      <c r="AG389" s="105">
        <f t="shared" si="345"/>
        <v>1230.1232500000001</v>
      </c>
      <c r="AH389" s="105">
        <f t="shared" si="345"/>
        <v>1165.1232500000001</v>
      </c>
      <c r="AI389" s="105">
        <f t="shared" si="345"/>
        <v>1155.1232500000001</v>
      </c>
      <c r="AJ389" s="105">
        <f t="shared" si="345"/>
        <v>1154.1232500000001</v>
      </c>
      <c r="AK389" s="61">
        <v>13756.645199999999</v>
      </c>
      <c r="AL389" s="55"/>
      <c r="AM389" s="105">
        <f t="shared" ref="AM389:AX389" si="346">AM377</f>
        <v>1039.28945</v>
      </c>
      <c r="AN389" s="105">
        <f t="shared" si="346"/>
        <v>1045.1232500000001</v>
      </c>
      <c r="AO389" s="105">
        <f t="shared" si="346"/>
        <v>1170.1232500000001</v>
      </c>
      <c r="AP389" s="105">
        <f t="shared" si="346"/>
        <v>1150.1232500000001</v>
      </c>
      <c r="AQ389" s="105">
        <f t="shared" si="346"/>
        <v>1097.1232500000001</v>
      </c>
      <c r="AR389" s="105">
        <f t="shared" si="346"/>
        <v>1150.1232500000001</v>
      </c>
      <c r="AS389" s="105">
        <f t="shared" si="346"/>
        <v>1200.1232500000001</v>
      </c>
      <c r="AT389" s="105">
        <f t="shared" si="346"/>
        <v>1200.1232500000001</v>
      </c>
      <c r="AU389" s="105">
        <f t="shared" si="346"/>
        <v>1230.1232500000001</v>
      </c>
      <c r="AV389" s="105">
        <f t="shared" si="346"/>
        <v>1165.1232500000001</v>
      </c>
      <c r="AW389" s="105">
        <f t="shared" si="346"/>
        <v>1155.1232500000001</v>
      </c>
      <c r="AX389" s="105">
        <f t="shared" si="346"/>
        <v>1154.1232500000001</v>
      </c>
      <c r="AY389" s="122">
        <v>13756.645199999999</v>
      </c>
      <c r="AZ389" s="60"/>
      <c r="BA389" s="641">
        <f>BA377</f>
        <v>866.14999799999998</v>
      </c>
      <c r="BB389" s="641">
        <f>BB377</f>
        <v>732.68224299999997</v>
      </c>
      <c r="BC389" s="604">
        <f t="shared" ref="BC389:BK389" si="347">BC377</f>
        <v>723.058043</v>
      </c>
      <c r="BD389" s="641">
        <f t="shared" si="347"/>
        <v>719.00856299999998</v>
      </c>
      <c r="BE389" s="604">
        <f t="shared" si="347"/>
        <v>661.56999999999994</v>
      </c>
      <c r="BF389" s="641">
        <f>BF377</f>
        <v>741.11857999999995</v>
      </c>
      <c r="BG389" s="604">
        <f t="shared" si="347"/>
        <v>650.37</v>
      </c>
      <c r="BH389" s="641">
        <f t="shared" si="347"/>
        <v>605.86271499999998</v>
      </c>
      <c r="BI389" s="604">
        <f t="shared" si="347"/>
        <v>738.47</v>
      </c>
      <c r="BJ389" s="641">
        <f t="shared" si="347"/>
        <v>629.71011999999996</v>
      </c>
      <c r="BK389" s="604">
        <f t="shared" si="347"/>
        <v>728.17</v>
      </c>
      <c r="BL389" s="641">
        <f t="shared" ref="BL389:CA389" si="348">BL377</f>
        <v>556.57717200000002</v>
      </c>
      <c r="BM389" s="604">
        <f t="shared" si="348"/>
        <v>748.17</v>
      </c>
      <c r="BN389" s="712">
        <f t="shared" si="348"/>
        <v>539.68440999999996</v>
      </c>
      <c r="BO389" s="713">
        <f t="shared" si="348"/>
        <v>748.17</v>
      </c>
      <c r="BP389" s="712">
        <f t="shared" si="348"/>
        <v>0</v>
      </c>
      <c r="BQ389" s="713">
        <f t="shared" si="348"/>
        <v>948.17</v>
      </c>
      <c r="BR389" s="732">
        <f t="shared" si="348"/>
        <v>630.9</v>
      </c>
      <c r="BS389" s="712">
        <f t="shared" si="348"/>
        <v>0</v>
      </c>
      <c r="BT389" s="713">
        <f t="shared" si="348"/>
        <v>948.17</v>
      </c>
      <c r="BU389" s="732">
        <f t="shared" si="348"/>
        <v>699.09999999999991</v>
      </c>
      <c r="BV389" s="712">
        <f t="shared" si="348"/>
        <v>0</v>
      </c>
      <c r="BW389" s="713">
        <f t="shared" si="348"/>
        <v>998.17</v>
      </c>
      <c r="BX389" s="732">
        <f t="shared" si="348"/>
        <v>788.09999999999991</v>
      </c>
      <c r="BY389" s="712">
        <f t="shared" si="348"/>
        <v>0</v>
      </c>
      <c r="BZ389" s="713">
        <f t="shared" si="348"/>
        <v>1098.17</v>
      </c>
      <c r="CA389" s="732">
        <f t="shared" si="348"/>
        <v>876.09999999999991</v>
      </c>
      <c r="CB389" s="720">
        <f t="shared" ref="CB389:CT389" si="349">CB377</f>
        <v>8384.9938010000005</v>
      </c>
      <c r="CC389" s="725">
        <f t="shared" si="349"/>
        <v>8384.9938010000005</v>
      </c>
      <c r="CD389" s="744"/>
      <c r="CE389" s="336">
        <f t="shared" si="349"/>
        <v>810.38549999999998</v>
      </c>
      <c r="CF389" s="336">
        <f t="shared" si="349"/>
        <v>815.23950000000002</v>
      </c>
      <c r="CG389" s="336">
        <f t="shared" si="349"/>
        <v>813.94150000000002</v>
      </c>
      <c r="CH389" s="336">
        <f t="shared" si="349"/>
        <v>739.16399999999999</v>
      </c>
      <c r="CI389" s="336">
        <f t="shared" si="349"/>
        <v>747.65949999999998</v>
      </c>
      <c r="CJ389" s="336">
        <f t="shared" si="349"/>
        <v>741.89350000000002</v>
      </c>
      <c r="CK389" s="336">
        <f t="shared" si="349"/>
        <v>748.78399999999999</v>
      </c>
      <c r="CL389" s="336">
        <f t="shared" si="349"/>
        <v>747.46600000000001</v>
      </c>
      <c r="CM389" s="336">
        <f t="shared" si="349"/>
        <v>748.8</v>
      </c>
      <c r="CN389" s="336">
        <f t="shared" si="349"/>
        <v>750.8</v>
      </c>
      <c r="CO389" s="336">
        <f t="shared" si="349"/>
        <v>802.8</v>
      </c>
      <c r="CP389" s="336">
        <f t="shared" si="349"/>
        <v>853.8</v>
      </c>
      <c r="CQ389" s="355">
        <f t="shared" si="349"/>
        <v>9320.7335000000003</v>
      </c>
      <c r="CR389" s="356">
        <f t="shared" si="349"/>
        <v>10056.324650514642</v>
      </c>
      <c r="CS389" s="357">
        <f t="shared" si="349"/>
        <v>13473.261993003791</v>
      </c>
      <c r="CT389" s="332">
        <f t="shared" si="349"/>
        <v>24774.30329271924</v>
      </c>
      <c r="CU389" s="358">
        <f>CU377</f>
        <v>26339.131731486807</v>
      </c>
      <c r="CV389" s="88"/>
      <c r="CW389" s="919"/>
    </row>
    <row r="390" spans="1:101" s="41" customFormat="1" ht="15.5">
      <c r="A390" s="319"/>
      <c r="B390" s="320"/>
      <c r="C390" s="319"/>
      <c r="D390" s="319"/>
      <c r="E390" s="318" t="s">
        <v>321</v>
      </c>
      <c r="F390" s="318"/>
      <c r="G390" s="106">
        <f>SUM(G386:G389)</f>
        <v>332400.64155799994</v>
      </c>
      <c r="H390" s="106">
        <f t="shared" ref="H390:W390" si="350">SUM(H386:H389)</f>
        <v>23482.554550000001</v>
      </c>
      <c r="I390" s="106">
        <f t="shared" si="350"/>
        <v>19911.803800999998</v>
      </c>
      <c r="J390" s="106">
        <f t="shared" si="350"/>
        <v>18537.86202</v>
      </c>
      <c r="K390" s="106">
        <f t="shared" si="350"/>
        <v>14243.449114999999</v>
      </c>
      <c r="L390" s="106">
        <f t="shared" si="350"/>
        <v>24953.406986000002</v>
      </c>
      <c r="M390" s="106">
        <f t="shared" si="350"/>
        <v>22300.106523999999</v>
      </c>
      <c r="N390" s="106">
        <f t="shared" si="350"/>
        <v>18169.018943000003</v>
      </c>
      <c r="O390" s="106">
        <f t="shared" si="350"/>
        <v>17904.794022999999</v>
      </c>
      <c r="P390" s="106">
        <f t="shared" si="350"/>
        <v>14131.963356999999</v>
      </c>
      <c r="Q390" s="106">
        <f>SUM(Q386:Q389)</f>
        <v>12877.598187</v>
      </c>
      <c r="R390" s="106">
        <f>SUM(R386:R389)</f>
        <v>13036.052983</v>
      </c>
      <c r="S390" s="106">
        <f>SUM(S386:S389)</f>
        <v>25128.365581999999</v>
      </c>
      <c r="T390" s="106">
        <f t="shared" si="350"/>
        <v>15983.372964999999</v>
      </c>
      <c r="U390" s="106">
        <f t="shared" si="350"/>
        <v>15959.359264999999</v>
      </c>
      <c r="V390" s="106">
        <f t="shared" si="350"/>
        <v>16164.304540000001</v>
      </c>
      <c r="W390" s="106">
        <f t="shared" si="350"/>
        <v>224676.97607100001</v>
      </c>
      <c r="X390" s="111"/>
      <c r="Y390" s="106">
        <f t="shared" ref="Y390:AJ390" si="351">SUM(Y386:Y389)</f>
        <v>15644.696920518061</v>
      </c>
      <c r="Z390" s="106">
        <f t="shared" si="351"/>
        <v>17267.196489068057</v>
      </c>
      <c r="AA390" s="106">
        <f t="shared" si="351"/>
        <v>16240.596489068061</v>
      </c>
      <c r="AB390" s="106">
        <f t="shared" si="351"/>
        <v>16530.596489068059</v>
      </c>
      <c r="AC390" s="106">
        <f t="shared" si="351"/>
        <v>18137.596489068059</v>
      </c>
      <c r="AD390" s="106">
        <f t="shared" si="351"/>
        <v>17040.596489068059</v>
      </c>
      <c r="AE390" s="106">
        <f t="shared" si="351"/>
        <v>17268.461555068061</v>
      </c>
      <c r="AF390" s="106">
        <f t="shared" si="351"/>
        <v>18863.461555068057</v>
      </c>
      <c r="AG390" s="106">
        <f t="shared" si="351"/>
        <v>17578.461555068061</v>
      </c>
      <c r="AH390" s="106">
        <f t="shared" si="351"/>
        <v>17428.461555068061</v>
      </c>
      <c r="AI390" s="106">
        <f t="shared" si="351"/>
        <v>17423.461555068061</v>
      </c>
      <c r="AJ390" s="106">
        <f t="shared" si="351"/>
        <v>19197.461555068057</v>
      </c>
      <c r="AK390" s="87">
        <v>208621.04869626672</v>
      </c>
      <c r="AL390" s="55"/>
      <c r="AM390" s="106">
        <f t="shared" ref="AM390:AX390" si="352">SUM(AM386:AM389)</f>
        <v>15733.898708010753</v>
      </c>
      <c r="AN390" s="106">
        <f t="shared" si="352"/>
        <v>17356.398276560751</v>
      </c>
      <c r="AO390" s="106">
        <f t="shared" si="352"/>
        <v>16329.798276560752</v>
      </c>
      <c r="AP390" s="106">
        <f t="shared" si="352"/>
        <v>17119.798276560752</v>
      </c>
      <c r="AQ390" s="106">
        <f t="shared" si="352"/>
        <v>18946.798276560752</v>
      </c>
      <c r="AR390" s="106">
        <f t="shared" si="352"/>
        <v>17849.798276560752</v>
      </c>
      <c r="AS390" s="106">
        <f t="shared" si="352"/>
        <v>18077.663342560754</v>
      </c>
      <c r="AT390" s="106">
        <f t="shared" si="352"/>
        <v>19672.663342560754</v>
      </c>
      <c r="AU390" s="106">
        <f t="shared" si="352"/>
        <v>18387.663342560754</v>
      </c>
      <c r="AV390" s="106">
        <f t="shared" si="352"/>
        <v>18237.663342560754</v>
      </c>
      <c r="AW390" s="106">
        <f t="shared" si="352"/>
        <v>18232.663342560754</v>
      </c>
      <c r="AX390" s="106">
        <f t="shared" si="352"/>
        <v>20006.663342560754</v>
      </c>
      <c r="AY390" s="124">
        <v>215951.47014617902</v>
      </c>
      <c r="AZ390" s="111"/>
      <c r="BA390" s="642">
        <f>SUM(BA386:BA389)</f>
        <v>11825.300267000002</v>
      </c>
      <c r="BB390" s="642">
        <f>SUM(BB386:BB389)</f>
        <v>11646.752288</v>
      </c>
      <c r="BC390" s="605">
        <f>SUM(BC386:BC389)</f>
        <v>11508.111370999999</v>
      </c>
      <c r="BD390" s="642">
        <f t="shared" ref="BD390:BK390" si="353">SUM(BD386:BD389)</f>
        <v>14049.337060999998</v>
      </c>
      <c r="BE390" s="605">
        <f t="shared" si="353"/>
        <v>12184.024049</v>
      </c>
      <c r="BF390" s="642">
        <f>SUM(BF386:BF389)</f>
        <v>12401.419418000001</v>
      </c>
      <c r="BG390" s="605">
        <f t="shared" si="353"/>
        <v>12415.421623</v>
      </c>
      <c r="BH390" s="642">
        <f t="shared" si="353"/>
        <v>10718.176347000001</v>
      </c>
      <c r="BI390" s="605">
        <f t="shared" si="353"/>
        <v>13621.441822999999</v>
      </c>
      <c r="BJ390" s="642">
        <f t="shared" si="353"/>
        <v>12121.660823999999</v>
      </c>
      <c r="BK390" s="605">
        <f t="shared" si="353"/>
        <v>15229.343823000001</v>
      </c>
      <c r="BL390" s="642">
        <f t="shared" ref="BL390:BY390" si="354">SUM(BL386:BL389)</f>
        <v>10082.184014999999</v>
      </c>
      <c r="BM390" s="605">
        <f t="shared" si="354"/>
        <v>17694.442478333331</v>
      </c>
      <c r="BN390" s="714">
        <f t="shared" si="354"/>
        <v>13891.496894</v>
      </c>
      <c r="BO390" s="715">
        <f t="shared" si="354"/>
        <v>17721.838769999998</v>
      </c>
      <c r="BP390" s="714">
        <f t="shared" si="354"/>
        <v>0</v>
      </c>
      <c r="BQ390" s="715">
        <f>SUM(BQ386:BQ389)</f>
        <v>17152.141415999999</v>
      </c>
      <c r="BR390" s="725">
        <f>SUM(BR386:BR389)</f>
        <v>14025.772161999999</v>
      </c>
      <c r="BS390" s="714">
        <f t="shared" si="354"/>
        <v>0</v>
      </c>
      <c r="BT390" s="715">
        <f>SUM(BT386:BT389)</f>
        <v>18527.811415999997</v>
      </c>
      <c r="BU390" s="725">
        <f t="shared" si="354"/>
        <v>15236.972162</v>
      </c>
      <c r="BV390" s="714">
        <f t="shared" si="354"/>
        <v>0</v>
      </c>
      <c r="BW390" s="715">
        <f>SUM(BW386:BW389)</f>
        <v>20110.025415999997</v>
      </c>
      <c r="BX390" s="725">
        <f t="shared" si="354"/>
        <v>17427.972161999998</v>
      </c>
      <c r="BY390" s="714">
        <f t="shared" si="354"/>
        <v>0</v>
      </c>
      <c r="BZ390" s="715">
        <f>SUM(BZ386:BZ389)</f>
        <v>20840.465415999999</v>
      </c>
      <c r="CA390" s="725">
        <f>SUM(CA386:CA389)</f>
        <v>19091.280161999999</v>
      </c>
      <c r="CB390" s="720">
        <f t="shared" ref="CB390:CT390" si="355">SUM(CB386:CB389)</f>
        <v>162518.32376200001</v>
      </c>
      <c r="CC390" s="725">
        <f t="shared" si="355"/>
        <v>162518.32376200001</v>
      </c>
      <c r="CD390" s="744"/>
      <c r="CE390" s="337">
        <f t="shared" si="355"/>
        <v>13696.193832999999</v>
      </c>
      <c r="CF390" s="337">
        <f t="shared" si="355"/>
        <v>13671.491392</v>
      </c>
      <c r="CG390" s="337">
        <f t="shared" si="355"/>
        <v>15381.224833</v>
      </c>
      <c r="CH390" s="337">
        <f t="shared" si="355"/>
        <v>15717.472422000001</v>
      </c>
      <c r="CI390" s="337">
        <f t="shared" si="355"/>
        <v>16068.942832999999</v>
      </c>
      <c r="CJ390" s="337">
        <f t="shared" si="355"/>
        <v>16534.515315999997</v>
      </c>
      <c r="CK390" s="337">
        <f t="shared" si="355"/>
        <v>16550.167333000001</v>
      </c>
      <c r="CL390" s="337">
        <f t="shared" si="355"/>
        <v>16570.576831999999</v>
      </c>
      <c r="CM390" s="337">
        <f t="shared" si="355"/>
        <v>16651.683333000001</v>
      </c>
      <c r="CN390" s="337">
        <f t="shared" si="355"/>
        <v>16644.683333000001</v>
      </c>
      <c r="CO390" s="337">
        <f t="shared" si="355"/>
        <v>16883.683333000001</v>
      </c>
      <c r="CP390" s="337">
        <f t="shared" si="355"/>
        <v>16983.183333000001</v>
      </c>
      <c r="CQ390" s="363">
        <f>SUM(CQ386:CQ389)</f>
        <v>191353.818126</v>
      </c>
      <c r="CR390" s="364">
        <f t="shared" si="355"/>
        <v>194378.53948495619</v>
      </c>
      <c r="CS390" s="365">
        <f t="shared" si="355"/>
        <v>250335.31604791922</v>
      </c>
      <c r="CT390" s="325">
        <f t="shared" si="355"/>
        <v>343431.52933628438</v>
      </c>
      <c r="CU390" s="366">
        <f>SUM(CU386:CU389)</f>
        <v>376169.27853569383</v>
      </c>
      <c r="CV390" s="92"/>
    </row>
  </sheetData>
  <sheetProtection password="F6D4" sheet="1" objects="1" scenarios="1" insertRows="0"/>
  <protectedRanges>
    <protectedRange password="F6D4" sqref="BQ1:BR1048576 BO1:BO1048576 G1:BM1048576 BT1:BU1048576 BW1:BX1048576 BZ1:CA1048576 CC1:CD1048576 CE10:CP10 CE308:CP308" name="No Edit"/>
  </protectedRanges>
  <autoFilter ref="A7:CW350"/>
  <pageMargins left="0.7" right="0.7" top="0.75" bottom="0.75" header="0.3" footer="0.3"/>
  <pageSetup orientation="portrait" horizontalDpi="4294967293" vertic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EZ933"/>
  <sheetViews>
    <sheetView tabSelected="1" topLeftCell="A6" zoomScale="70" zoomScaleNormal="70" workbookViewId="0">
      <pane xSplit="5" ySplit="4" topLeftCell="DY357" activePane="bottomRight" state="frozen"/>
      <selection pane="topRight" activeCell="AI36" sqref="AI36"/>
      <selection pane="bottomLeft" activeCell="AI36" sqref="AI36"/>
      <selection pane="bottomRight" activeCell="DY370" sqref="DY370"/>
    </sheetView>
  </sheetViews>
  <sheetFormatPr defaultColWidth="9.26953125" defaultRowHeight="14.5" outlineLevelRow="2" outlineLevelCol="1"/>
  <cols>
    <col min="1" max="1" width="8.26953125" style="367" customWidth="1"/>
    <col min="2" max="2" width="9.1796875" style="370" customWidth="1"/>
    <col min="3" max="3" width="10.7265625" style="370" customWidth="1"/>
    <col min="4" max="4" width="8.54296875" style="370" customWidth="1"/>
    <col min="5" max="5" width="32.453125" style="367" customWidth="1"/>
    <col min="6" max="6" width="12.1796875" style="369" customWidth="1"/>
    <col min="7" max="7" width="18.26953125" style="1" customWidth="1" outlineLevel="1"/>
    <col min="8" max="8" width="18.26953125" style="2" customWidth="1" outlineLevel="1"/>
    <col min="9" max="18" width="18.26953125" style="1" customWidth="1" outlineLevel="1"/>
    <col min="19" max="19" width="18.26953125" style="1" hidden="1" customWidth="1"/>
    <col min="20" max="20" width="1.7265625" style="3" hidden="1" customWidth="1"/>
    <col min="21" max="21" width="18.26953125" style="1" customWidth="1" outlineLevel="1"/>
    <col min="22" max="22" width="18.26953125" style="2" customWidth="1" outlineLevel="1"/>
    <col min="23" max="32" width="18.26953125" style="1" customWidth="1" outlineLevel="1"/>
    <col min="33" max="33" width="18.7265625" style="1" customWidth="1"/>
    <col min="34" max="34" width="1.54296875" style="3" customWidth="1"/>
    <col min="35" max="35" width="18.26953125" style="1" customWidth="1" outlineLevel="1"/>
    <col min="36" max="36" width="18.26953125" style="778" customWidth="1" outlineLevel="1"/>
    <col min="37" max="49" width="18.26953125" style="1" customWidth="1" outlineLevel="1"/>
    <col min="50" max="50" width="18.7265625" style="1" customWidth="1"/>
    <col min="51" max="51" width="1.54296875" style="3" customWidth="1"/>
    <col min="52" max="52" width="18.26953125" style="1" customWidth="1" outlineLevel="1"/>
    <col min="53" max="53" width="18.26953125" style="778" customWidth="1" outlineLevel="1"/>
    <col min="54" max="63" width="18.26953125" style="1" customWidth="1" outlineLevel="1"/>
    <col min="64" max="64" width="18.26953125" style="1" hidden="1" customWidth="1"/>
    <col min="65" max="65" width="1.54296875" style="3" hidden="1" customWidth="1"/>
    <col min="66" max="66" width="18.26953125" style="1" customWidth="1" outlineLevel="1"/>
    <col min="67" max="67" width="18.26953125" style="778" customWidth="1" outlineLevel="1"/>
    <col min="68" max="77" width="18.26953125" style="1" customWidth="1" outlineLevel="1"/>
    <col min="78" max="78" width="20.81640625" style="779" customWidth="1"/>
    <col min="79" max="79" width="1.54296875" style="3" customWidth="1"/>
    <col min="80" max="80" width="18.26953125" style="1" customWidth="1" outlineLevel="1"/>
    <col min="81" max="81" width="18.26953125" style="778" customWidth="1" outlineLevel="1"/>
    <col min="82" max="91" width="18.26953125" style="1" customWidth="1" outlineLevel="1"/>
    <col min="92" max="92" width="18.26953125" style="1" hidden="1" customWidth="1"/>
    <col min="93" max="93" width="1.54296875" style="3" hidden="1" customWidth="1"/>
    <col min="94" max="95" width="18.26953125" style="665" customWidth="1" outlineLevel="1"/>
    <col min="96" max="96" width="18.26953125" style="1" customWidth="1" outlineLevel="1"/>
    <col min="97" max="97" width="18.26953125" style="665" customWidth="1" outlineLevel="1"/>
    <col min="98" max="98" width="18.26953125" style="1" customWidth="1" outlineLevel="1"/>
    <col min="99" max="99" width="18.26953125" style="665" customWidth="1" outlineLevel="1"/>
    <col min="100" max="100" width="18.26953125" style="1" customWidth="1" outlineLevel="1"/>
    <col min="101" max="101" width="18.26953125" style="665" customWidth="1" outlineLevel="1"/>
    <col min="102" max="102" width="18.26953125" style="1" customWidth="1" outlineLevel="1"/>
    <col min="103" max="103" width="18.26953125" style="665" customWidth="1" outlineLevel="1"/>
    <col min="104" max="104" width="18.26953125" style="1" customWidth="1" outlineLevel="1"/>
    <col min="105" max="105" width="18.26953125" style="665" customWidth="1" outlineLevel="1"/>
    <col min="106" max="106" width="18.26953125" style="1" customWidth="1" outlineLevel="1"/>
    <col min="107" max="107" width="18.26953125" style="665" customWidth="1" outlineLevel="1"/>
    <col min="108" max="110" width="18.26953125" style="1" customWidth="1" outlineLevel="1"/>
    <col min="111" max="111" width="18.26953125" style="464" customWidth="1" outlineLevel="1"/>
    <col min="112" max="113" width="18.26953125" style="1" hidden="1" customWidth="1" outlineLevel="1"/>
    <col min="114" max="114" width="18.26953125" style="464" customWidth="1" outlineLevel="1"/>
    <col min="115" max="116" width="18.26953125" style="1" hidden="1" customWidth="1" outlineLevel="1"/>
    <col min="117" max="117" width="18.26953125" style="464" customWidth="1" outlineLevel="1"/>
    <col min="118" max="119" width="18.26953125" style="1" hidden="1" customWidth="1" outlineLevel="1"/>
    <col min="120" max="120" width="18.26953125" style="464" customWidth="1" outlineLevel="1"/>
    <col min="121" max="121" width="19.7265625" style="491" hidden="1" customWidth="1"/>
    <col min="122" max="122" width="19.7265625" style="504" customWidth="1"/>
    <col min="123" max="134" width="19.7265625" style="1157" customWidth="1"/>
    <col min="135" max="135" width="20.54296875" style="367" customWidth="1"/>
    <col min="136" max="136" width="19.26953125" style="367" customWidth="1"/>
    <col min="137" max="137" width="19.81640625" style="367" customWidth="1"/>
    <col min="138" max="139" width="19.26953125" style="367" customWidth="1"/>
    <col min="140" max="140" width="11.7265625" style="367" customWidth="1"/>
    <col min="141" max="141" width="13.453125" style="367" customWidth="1"/>
    <col min="142" max="143" width="16.26953125" style="1" customWidth="1"/>
    <col min="144" max="145" width="16.26953125" style="1" bestFit="1" customWidth="1"/>
    <col min="146" max="16384" width="9.26953125" style="1"/>
  </cols>
  <sheetData>
    <row r="1" spans="1:144">
      <c r="A1" s="368" t="s">
        <v>322</v>
      </c>
      <c r="C1" s="368"/>
      <c r="D1" s="368"/>
      <c r="CP1" s="1"/>
      <c r="CQ1" s="1"/>
      <c r="CS1" s="1"/>
      <c r="CU1" s="1"/>
      <c r="CW1" s="1"/>
      <c r="CY1" s="1"/>
      <c r="DA1" s="1"/>
      <c r="DC1" s="1"/>
      <c r="DG1" s="636" t="s">
        <v>1</v>
      </c>
    </row>
    <row r="2" spans="1:144">
      <c r="A2" s="368" t="s">
        <v>2</v>
      </c>
      <c r="C2" s="368"/>
      <c r="D2" s="368"/>
      <c r="CP2" s="1"/>
      <c r="CQ2" s="1"/>
      <c r="CS2" s="1"/>
      <c r="CU2" s="1"/>
      <c r="CW2" s="1"/>
      <c r="CY2" s="1"/>
      <c r="DA2" s="1"/>
      <c r="DC2" s="1"/>
      <c r="DG2" s="636" t="s">
        <v>3</v>
      </c>
    </row>
    <row r="3" spans="1:144" ht="15" thickBot="1">
      <c r="A3" s="368" t="s">
        <v>323</v>
      </c>
      <c r="C3" s="368"/>
      <c r="D3" s="368"/>
      <c r="CP3" s="1"/>
      <c r="CQ3" s="1"/>
      <c r="CS3" s="1"/>
      <c r="CU3" s="1"/>
      <c r="CW3" s="1"/>
      <c r="CY3" s="1"/>
      <c r="DA3" s="1"/>
      <c r="DC3" s="1"/>
      <c r="DG3" s="636" t="s">
        <v>7</v>
      </c>
      <c r="DQ3" s="491" t="s">
        <v>4</v>
      </c>
      <c r="DR3" s="504" t="s">
        <v>5</v>
      </c>
    </row>
    <row r="4" spans="1:144" ht="15" hidden="1" thickBot="1">
      <c r="CP4" s="1"/>
      <c r="CQ4" s="1"/>
      <c r="CR4" s="464"/>
      <c r="CS4" s="1"/>
      <c r="CT4" s="464"/>
      <c r="CU4" s="1"/>
      <c r="CV4" s="464"/>
      <c r="CW4" s="1"/>
      <c r="CX4" s="464"/>
      <c r="CY4" s="1"/>
      <c r="CZ4" s="464"/>
      <c r="DA4" s="1"/>
      <c r="DB4" s="464"/>
      <c r="DC4" s="1"/>
      <c r="DD4" s="464"/>
      <c r="DF4" s="464"/>
      <c r="DI4" s="464"/>
      <c r="DL4" s="464"/>
      <c r="DO4" s="464"/>
    </row>
    <row r="5" spans="1:144" ht="15" hidden="1" thickBot="1">
      <c r="B5" s="368" t="s">
        <v>324</v>
      </c>
      <c r="C5" s="368"/>
      <c r="D5" s="368"/>
      <c r="CP5" s="1"/>
      <c r="CQ5" s="1"/>
      <c r="CR5" s="464"/>
      <c r="CS5" s="1"/>
      <c r="CT5" s="464"/>
      <c r="CU5" s="1"/>
      <c r="CV5" s="464"/>
      <c r="CW5" s="1"/>
      <c r="CX5" s="464"/>
      <c r="CY5" s="1"/>
      <c r="CZ5" s="464"/>
      <c r="DA5" s="1"/>
      <c r="DB5" s="464"/>
      <c r="DC5" s="1"/>
      <c r="DD5" s="464"/>
      <c r="DF5" s="464"/>
      <c r="DI5" s="464"/>
      <c r="DL5" s="464"/>
      <c r="DO5" s="464"/>
    </row>
    <row r="6" spans="1:144" ht="28.9" customHeight="1" thickBot="1">
      <c r="A6" s="371" t="s">
        <v>17</v>
      </c>
      <c r="B6" s="372"/>
      <c r="C6" s="1100" t="s">
        <v>18</v>
      </c>
      <c r="D6" s="1100" t="s">
        <v>325</v>
      </c>
      <c r="E6" s="1100" t="s">
        <v>326</v>
      </c>
      <c r="F6" s="1100" t="s">
        <v>21</v>
      </c>
      <c r="G6" s="1216" t="s">
        <v>327</v>
      </c>
      <c r="H6" s="1217"/>
      <c r="I6" s="1217"/>
      <c r="J6" s="1217"/>
      <c r="K6" s="1217"/>
      <c r="L6" s="1217"/>
      <c r="M6" s="1217"/>
      <c r="N6" s="1217"/>
      <c r="O6" s="1217"/>
      <c r="P6" s="1217"/>
      <c r="Q6" s="1217"/>
      <c r="R6" s="1217"/>
      <c r="S6" s="1220" t="s">
        <v>328</v>
      </c>
      <c r="T6" s="132"/>
      <c r="U6" s="1216" t="s">
        <v>329</v>
      </c>
      <c r="V6" s="1217"/>
      <c r="W6" s="1217"/>
      <c r="X6" s="1217"/>
      <c r="Y6" s="1217"/>
      <c r="Z6" s="1217"/>
      <c r="AA6" s="1217"/>
      <c r="AB6" s="1217"/>
      <c r="AC6" s="1217"/>
      <c r="AD6" s="1217"/>
      <c r="AE6" s="1217"/>
      <c r="AF6" s="1217"/>
      <c r="AG6" s="1204" t="s">
        <v>330</v>
      </c>
      <c r="AH6" s="780"/>
      <c r="AI6" s="1206" t="s">
        <v>331</v>
      </c>
      <c r="AJ6" s="1207"/>
      <c r="AK6" s="1207"/>
      <c r="AL6" s="1207"/>
      <c r="AM6" s="1207"/>
      <c r="AN6" s="1207"/>
      <c r="AO6" s="1207"/>
      <c r="AP6" s="1207"/>
      <c r="AQ6" s="1207"/>
      <c r="AR6" s="1207"/>
      <c r="AS6" s="1207"/>
      <c r="AT6" s="1207"/>
      <c r="AU6" s="1207"/>
      <c r="AV6" s="1207"/>
      <c r="AW6" s="1207"/>
      <c r="AX6" s="1204" t="s">
        <v>332</v>
      </c>
      <c r="AY6" s="780"/>
      <c r="AZ6" s="1206" t="s">
        <v>331</v>
      </c>
      <c r="BA6" s="1207"/>
      <c r="BB6" s="1207"/>
      <c r="BC6" s="1207"/>
      <c r="BD6" s="1207"/>
      <c r="BE6" s="1207"/>
      <c r="BF6" s="1207"/>
      <c r="BG6" s="1207"/>
      <c r="BH6" s="1207"/>
      <c r="BI6" s="1207"/>
      <c r="BJ6" s="1207"/>
      <c r="BK6" s="1207"/>
      <c r="BL6" s="1204" t="s">
        <v>333</v>
      </c>
      <c r="BM6" s="1101"/>
      <c r="BN6" s="1209" t="s">
        <v>334</v>
      </c>
      <c r="BO6" s="1209"/>
      <c r="BP6" s="1209"/>
      <c r="BQ6" s="1209"/>
      <c r="BR6" s="1209"/>
      <c r="BS6" s="1209"/>
      <c r="BT6" s="1209"/>
      <c r="BU6" s="1209"/>
      <c r="BV6" s="1209"/>
      <c r="BW6" s="1209"/>
      <c r="BX6" s="1209"/>
      <c r="BY6" s="1209"/>
      <c r="BZ6" s="1204" t="s">
        <v>335</v>
      </c>
      <c r="CB6" s="1209" t="s">
        <v>336</v>
      </c>
      <c r="CC6" s="1209"/>
      <c r="CD6" s="1209"/>
      <c r="CE6" s="1209"/>
      <c r="CF6" s="1209"/>
      <c r="CG6" s="1209"/>
      <c r="CH6" s="1209"/>
      <c r="CI6" s="1209"/>
      <c r="CJ6" s="1209"/>
      <c r="CK6" s="1209"/>
      <c r="CL6" s="1209"/>
      <c r="CM6" s="1209"/>
      <c r="CN6" s="1210" t="s">
        <v>335</v>
      </c>
      <c r="CO6" s="1101"/>
      <c r="CP6" s="513" t="s">
        <v>337</v>
      </c>
      <c r="CQ6" s="490"/>
      <c r="CR6" s="490"/>
      <c r="CS6" s="490"/>
      <c r="CT6" s="490"/>
      <c r="CU6" s="490"/>
      <c r="CV6" s="490"/>
      <c r="CW6" s="490"/>
      <c r="CX6" s="490"/>
      <c r="CY6" s="490"/>
      <c r="CZ6" s="490"/>
      <c r="DA6" s="490"/>
      <c r="DB6" s="490"/>
      <c r="DC6" s="490"/>
      <c r="DD6" s="490"/>
      <c r="DE6" s="490"/>
      <c r="DF6" s="490"/>
      <c r="DG6" s="490"/>
      <c r="DH6" s="490"/>
      <c r="DI6" s="490"/>
      <c r="DJ6" s="490"/>
      <c r="DK6" s="490"/>
      <c r="DL6" s="490"/>
      <c r="DM6" s="490"/>
      <c r="DN6" s="490"/>
      <c r="DO6" s="490"/>
      <c r="DP6" s="745"/>
      <c r="DQ6" s="1212" t="s">
        <v>338</v>
      </c>
      <c r="DR6" s="1214" t="s">
        <v>338</v>
      </c>
      <c r="DS6" s="1158" t="s">
        <v>16</v>
      </c>
      <c r="DT6" s="1158" t="s">
        <v>16</v>
      </c>
      <c r="DU6" s="1158" t="s">
        <v>16</v>
      </c>
      <c r="DV6" s="1158" t="s">
        <v>16</v>
      </c>
      <c r="DW6" s="1158" t="s">
        <v>16</v>
      </c>
      <c r="DX6" s="1158" t="s">
        <v>16</v>
      </c>
      <c r="DY6" s="1158" t="s">
        <v>16</v>
      </c>
      <c r="DZ6" s="1158" t="s">
        <v>16</v>
      </c>
      <c r="EA6" s="1158" t="s">
        <v>16</v>
      </c>
      <c r="EB6" s="1158" t="s">
        <v>16</v>
      </c>
      <c r="EC6" s="1158" t="s">
        <v>16</v>
      </c>
      <c r="ED6" s="1158" t="s">
        <v>16</v>
      </c>
      <c r="EE6" s="1226" t="s">
        <v>339</v>
      </c>
      <c r="EF6" s="1226" t="s">
        <v>340</v>
      </c>
      <c r="EG6" s="1226" t="s">
        <v>341</v>
      </c>
      <c r="EH6" s="1222" t="s">
        <v>342</v>
      </c>
      <c r="EI6" s="1222" t="s">
        <v>343</v>
      </c>
    </row>
    <row r="7" spans="1:144" s="5" customFormat="1" ht="32.25" customHeight="1" thickBot="1">
      <c r="A7" s="974"/>
      <c r="B7" s="975"/>
      <c r="C7" s="423"/>
      <c r="D7" s="423"/>
      <c r="E7" s="976"/>
      <c r="F7" s="373"/>
      <c r="G7" s="1093" t="s">
        <v>344</v>
      </c>
      <c r="H7" s="1093" t="s">
        <v>345</v>
      </c>
      <c r="I7" s="1093" t="s">
        <v>346</v>
      </c>
      <c r="J7" s="1093" t="s">
        <v>347</v>
      </c>
      <c r="K7" s="1093" t="s">
        <v>348</v>
      </c>
      <c r="L7" s="1093" t="s">
        <v>349</v>
      </c>
      <c r="M7" s="1093" t="s">
        <v>350</v>
      </c>
      <c r="N7" s="1093" t="s">
        <v>351</v>
      </c>
      <c r="O7" s="1093" t="s">
        <v>352</v>
      </c>
      <c r="P7" s="1093" t="s">
        <v>353</v>
      </c>
      <c r="Q7" s="1093" t="s">
        <v>354</v>
      </c>
      <c r="R7" s="1093" t="s">
        <v>355</v>
      </c>
      <c r="S7" s="1219"/>
      <c r="T7" s="977"/>
      <c r="U7" s="1093" t="s">
        <v>344</v>
      </c>
      <c r="V7" s="1093" t="s">
        <v>345</v>
      </c>
      <c r="W7" s="1093" t="s">
        <v>346</v>
      </c>
      <c r="X7" s="1093" t="s">
        <v>347</v>
      </c>
      <c r="Y7" s="1093" t="s">
        <v>348</v>
      </c>
      <c r="Z7" s="1093" t="s">
        <v>349</v>
      </c>
      <c r="AA7" s="1093" t="s">
        <v>350</v>
      </c>
      <c r="AB7" s="1093" t="s">
        <v>351</v>
      </c>
      <c r="AC7" s="1093" t="s">
        <v>352</v>
      </c>
      <c r="AD7" s="1093" t="s">
        <v>353</v>
      </c>
      <c r="AE7" s="1093" t="s">
        <v>354</v>
      </c>
      <c r="AF7" s="1093" t="s">
        <v>355</v>
      </c>
      <c r="AG7" s="1205"/>
      <c r="AH7" s="978"/>
      <c r="AI7" s="1094" t="s">
        <v>344</v>
      </c>
      <c r="AJ7" s="1094" t="s">
        <v>345</v>
      </c>
      <c r="AK7" s="1094" t="s">
        <v>346</v>
      </c>
      <c r="AL7" s="1094" t="s">
        <v>347</v>
      </c>
      <c r="AM7" s="1094" t="s">
        <v>348</v>
      </c>
      <c r="AN7" s="1094" t="s">
        <v>349</v>
      </c>
      <c r="AO7" s="1094" t="s">
        <v>350</v>
      </c>
      <c r="AP7" s="1094" t="s">
        <v>351</v>
      </c>
      <c r="AQ7" s="1094" t="s">
        <v>352</v>
      </c>
      <c r="AR7" s="1094" t="s">
        <v>353</v>
      </c>
      <c r="AS7" s="1094" t="s">
        <v>354</v>
      </c>
      <c r="AT7" s="1094" t="s">
        <v>355</v>
      </c>
      <c r="AU7" s="1094" t="s">
        <v>353</v>
      </c>
      <c r="AV7" s="1094" t="s">
        <v>354</v>
      </c>
      <c r="AW7" s="1094" t="s">
        <v>355</v>
      </c>
      <c r="AX7" s="1205"/>
      <c r="AY7" s="978"/>
      <c r="AZ7" s="1094" t="s">
        <v>344</v>
      </c>
      <c r="BA7" s="1094" t="s">
        <v>345</v>
      </c>
      <c r="BB7" s="1094" t="s">
        <v>346</v>
      </c>
      <c r="BC7" s="1094" t="s">
        <v>347</v>
      </c>
      <c r="BD7" s="1094" t="s">
        <v>348</v>
      </c>
      <c r="BE7" s="1094" t="s">
        <v>349</v>
      </c>
      <c r="BF7" s="1094" t="s">
        <v>350</v>
      </c>
      <c r="BG7" s="1094" t="s">
        <v>351</v>
      </c>
      <c r="BH7" s="1094" t="s">
        <v>352</v>
      </c>
      <c r="BI7" s="1094" t="s">
        <v>353</v>
      </c>
      <c r="BJ7" s="1094" t="s">
        <v>354</v>
      </c>
      <c r="BK7" s="1094" t="s">
        <v>355</v>
      </c>
      <c r="BL7" s="1205"/>
      <c r="BM7" s="781"/>
      <c r="BN7" s="1092" t="s">
        <v>344</v>
      </c>
      <c r="BO7" s="1092" t="s">
        <v>345</v>
      </c>
      <c r="BP7" s="1092" t="s">
        <v>346</v>
      </c>
      <c r="BQ7" s="1092" t="s">
        <v>347</v>
      </c>
      <c r="BR7" s="1092" t="s">
        <v>348</v>
      </c>
      <c r="BS7" s="1092" t="s">
        <v>349</v>
      </c>
      <c r="BT7" s="1092" t="s">
        <v>350</v>
      </c>
      <c r="BU7" s="1092" t="s">
        <v>351</v>
      </c>
      <c r="BV7" s="1092" t="s">
        <v>352</v>
      </c>
      <c r="BW7" s="1092" t="s">
        <v>353</v>
      </c>
      <c r="BX7" s="1092" t="s">
        <v>354</v>
      </c>
      <c r="BY7" s="1092" t="s">
        <v>355</v>
      </c>
      <c r="BZ7" s="1205"/>
      <c r="CA7" s="3"/>
      <c r="CB7" s="1092" t="s">
        <v>344</v>
      </c>
      <c r="CC7" s="1092" t="s">
        <v>345</v>
      </c>
      <c r="CD7" s="1092" t="s">
        <v>346</v>
      </c>
      <c r="CE7" s="1092" t="s">
        <v>347</v>
      </c>
      <c r="CF7" s="1092" t="s">
        <v>348</v>
      </c>
      <c r="CG7" s="1092" t="s">
        <v>349</v>
      </c>
      <c r="CH7" s="1092" t="s">
        <v>350</v>
      </c>
      <c r="CI7" s="1092" t="s">
        <v>351</v>
      </c>
      <c r="CJ7" s="1092" t="s">
        <v>352</v>
      </c>
      <c r="CK7" s="1092" t="s">
        <v>353</v>
      </c>
      <c r="CL7" s="1092" t="s">
        <v>354</v>
      </c>
      <c r="CM7" s="1092" t="s">
        <v>355</v>
      </c>
      <c r="CN7" s="1211"/>
      <c r="CO7" s="781"/>
      <c r="CP7" s="514" t="s">
        <v>344</v>
      </c>
      <c r="CQ7" s="514" t="s">
        <v>345</v>
      </c>
      <c r="CR7" s="607" t="s">
        <v>345</v>
      </c>
      <c r="CS7" s="514" t="s">
        <v>346</v>
      </c>
      <c r="CT7" s="607" t="s">
        <v>346</v>
      </c>
      <c r="CU7" s="514" t="s">
        <v>347</v>
      </c>
      <c r="CV7" s="607" t="s">
        <v>347</v>
      </c>
      <c r="CW7" s="514" t="s">
        <v>348</v>
      </c>
      <c r="CX7" s="607" t="s">
        <v>348</v>
      </c>
      <c r="CY7" s="514" t="s">
        <v>349</v>
      </c>
      <c r="CZ7" s="607" t="s">
        <v>349</v>
      </c>
      <c r="DA7" s="514" t="s">
        <v>350</v>
      </c>
      <c r="DB7" s="607" t="s">
        <v>350</v>
      </c>
      <c r="DC7" s="514" t="s">
        <v>351</v>
      </c>
      <c r="DD7" s="607" t="s">
        <v>351</v>
      </c>
      <c r="DE7" s="514" t="s">
        <v>352</v>
      </c>
      <c r="DF7" s="607" t="s">
        <v>352</v>
      </c>
      <c r="DG7" s="746" t="s">
        <v>352</v>
      </c>
      <c r="DH7" s="514" t="s">
        <v>353</v>
      </c>
      <c r="DI7" s="607" t="s">
        <v>353</v>
      </c>
      <c r="DJ7" s="746" t="s">
        <v>353</v>
      </c>
      <c r="DK7" s="514" t="s">
        <v>354</v>
      </c>
      <c r="DL7" s="607" t="s">
        <v>354</v>
      </c>
      <c r="DM7" s="746" t="s">
        <v>354</v>
      </c>
      <c r="DN7" s="514" t="s">
        <v>355</v>
      </c>
      <c r="DO7" s="607" t="s">
        <v>355</v>
      </c>
      <c r="DP7" s="746" t="s">
        <v>355</v>
      </c>
      <c r="DQ7" s="1213"/>
      <c r="DR7" s="1215"/>
      <c r="DS7" s="1159" t="s">
        <v>344</v>
      </c>
      <c r="DT7" s="1159" t="s">
        <v>345</v>
      </c>
      <c r="DU7" s="1159" t="s">
        <v>346</v>
      </c>
      <c r="DV7" s="1159" t="s">
        <v>347</v>
      </c>
      <c r="DW7" s="1159" t="s">
        <v>348</v>
      </c>
      <c r="DX7" s="1159" t="s">
        <v>349</v>
      </c>
      <c r="DY7" s="1159" t="s">
        <v>350</v>
      </c>
      <c r="DZ7" s="1159" t="s">
        <v>351</v>
      </c>
      <c r="EA7" s="1159" t="s">
        <v>352</v>
      </c>
      <c r="EB7" s="1159" t="s">
        <v>353</v>
      </c>
      <c r="EC7" s="1159" t="s">
        <v>354</v>
      </c>
      <c r="ED7" s="1159" t="s">
        <v>355</v>
      </c>
      <c r="EE7" s="1227"/>
      <c r="EF7" s="1227"/>
      <c r="EG7" s="1227"/>
      <c r="EH7" s="1223"/>
      <c r="EI7" s="1223"/>
      <c r="EJ7" s="422"/>
      <c r="EK7" s="422"/>
    </row>
    <row r="8" spans="1:144" s="5" customFormat="1" ht="15" thickBot="1">
      <c r="A8" s="979"/>
      <c r="B8" s="980"/>
      <c r="C8" s="374"/>
      <c r="D8" s="374"/>
      <c r="E8" s="375"/>
      <c r="F8" s="375"/>
      <c r="G8" s="133" t="s">
        <v>9</v>
      </c>
      <c r="H8" s="134" t="s">
        <v>9</v>
      </c>
      <c r="I8" s="133" t="s">
        <v>9</v>
      </c>
      <c r="J8" s="133" t="s">
        <v>9</v>
      </c>
      <c r="K8" s="133" t="s">
        <v>9</v>
      </c>
      <c r="L8" s="133" t="s">
        <v>9</v>
      </c>
      <c r="M8" s="133" t="s">
        <v>9</v>
      </c>
      <c r="N8" s="133" t="s">
        <v>9</v>
      </c>
      <c r="O8" s="133" t="s">
        <v>9</v>
      </c>
      <c r="P8" s="133" t="s">
        <v>9</v>
      </c>
      <c r="Q8" s="133" t="s">
        <v>9</v>
      </c>
      <c r="R8" s="133" t="s">
        <v>9</v>
      </c>
      <c r="S8" s="133" t="s">
        <v>9</v>
      </c>
      <c r="T8" s="135"/>
      <c r="U8" s="133" t="s">
        <v>9</v>
      </c>
      <c r="V8" s="134" t="s">
        <v>9</v>
      </c>
      <c r="W8" s="133" t="s">
        <v>9</v>
      </c>
      <c r="X8" s="133" t="s">
        <v>9</v>
      </c>
      <c r="Y8" s="133" t="s">
        <v>9</v>
      </c>
      <c r="Z8" s="133" t="s">
        <v>9</v>
      </c>
      <c r="AA8" s="133" t="s">
        <v>9</v>
      </c>
      <c r="AB8" s="133" t="s">
        <v>9</v>
      </c>
      <c r="AC8" s="133" t="s">
        <v>9</v>
      </c>
      <c r="AD8" s="133" t="s">
        <v>9</v>
      </c>
      <c r="AE8" s="133" t="s">
        <v>9</v>
      </c>
      <c r="AF8" s="133" t="s">
        <v>9</v>
      </c>
      <c r="AG8" s="133" t="s">
        <v>9</v>
      </c>
      <c r="AH8" s="135"/>
      <c r="AI8" s="133" t="s">
        <v>9</v>
      </c>
      <c r="AJ8" s="782" t="s">
        <v>9</v>
      </c>
      <c r="AK8" s="133" t="s">
        <v>9</v>
      </c>
      <c r="AL8" s="133" t="s">
        <v>9</v>
      </c>
      <c r="AM8" s="133" t="s">
        <v>9</v>
      </c>
      <c r="AN8" s="133" t="s">
        <v>9</v>
      </c>
      <c r="AO8" s="133" t="s">
        <v>9</v>
      </c>
      <c r="AP8" s="133" t="s">
        <v>9</v>
      </c>
      <c r="AQ8" s="133" t="s">
        <v>9</v>
      </c>
      <c r="AR8" s="133" t="s">
        <v>9</v>
      </c>
      <c r="AS8" s="133" t="s">
        <v>9</v>
      </c>
      <c r="AT8" s="133" t="s">
        <v>9</v>
      </c>
      <c r="AU8" s="133" t="s">
        <v>356</v>
      </c>
      <c r="AV8" s="133" t="s">
        <v>356</v>
      </c>
      <c r="AW8" s="133" t="s">
        <v>356</v>
      </c>
      <c r="AX8" s="133" t="s">
        <v>9</v>
      </c>
      <c r="AY8" s="135"/>
      <c r="AZ8" s="133" t="s">
        <v>9</v>
      </c>
      <c r="BA8" s="782" t="s">
        <v>9</v>
      </c>
      <c r="BB8" s="133" t="s">
        <v>9</v>
      </c>
      <c r="BC8" s="133" t="s">
        <v>9</v>
      </c>
      <c r="BD8" s="133" t="s">
        <v>9</v>
      </c>
      <c r="BE8" s="133" t="s">
        <v>9</v>
      </c>
      <c r="BF8" s="133" t="s">
        <v>9</v>
      </c>
      <c r="BG8" s="133" t="s">
        <v>356</v>
      </c>
      <c r="BH8" s="133" t="s">
        <v>356</v>
      </c>
      <c r="BI8" s="133" t="s">
        <v>356</v>
      </c>
      <c r="BJ8" s="133" t="s">
        <v>356</v>
      </c>
      <c r="BK8" s="133" t="s">
        <v>356</v>
      </c>
      <c r="BL8" s="133" t="s">
        <v>356</v>
      </c>
      <c r="BM8" s="783"/>
      <c r="BN8" s="784" t="s">
        <v>15</v>
      </c>
      <c r="BO8" s="784" t="s">
        <v>15</v>
      </c>
      <c r="BP8" s="784" t="s">
        <v>15</v>
      </c>
      <c r="BQ8" s="784" t="s">
        <v>15</v>
      </c>
      <c r="BR8" s="784" t="s">
        <v>15</v>
      </c>
      <c r="BS8" s="784" t="s">
        <v>15</v>
      </c>
      <c r="BT8" s="784" t="s">
        <v>15</v>
      </c>
      <c r="BU8" s="784" t="s">
        <v>15</v>
      </c>
      <c r="BV8" s="784" t="s">
        <v>15</v>
      </c>
      <c r="BW8" s="784" t="s">
        <v>15</v>
      </c>
      <c r="BX8" s="784" t="s">
        <v>15</v>
      </c>
      <c r="BY8" s="784" t="s">
        <v>15</v>
      </c>
      <c r="BZ8" s="133" t="s">
        <v>10</v>
      </c>
      <c r="CA8" s="3"/>
      <c r="CB8" s="784" t="s">
        <v>15</v>
      </c>
      <c r="CC8" s="784" t="s">
        <v>15</v>
      </c>
      <c r="CD8" s="784" t="s">
        <v>15</v>
      </c>
      <c r="CE8" s="784" t="s">
        <v>15</v>
      </c>
      <c r="CF8" s="784" t="s">
        <v>15</v>
      </c>
      <c r="CG8" s="784" t="s">
        <v>15</v>
      </c>
      <c r="CH8" s="784" t="s">
        <v>15</v>
      </c>
      <c r="CI8" s="784" t="s">
        <v>15</v>
      </c>
      <c r="CJ8" s="784" t="s">
        <v>15</v>
      </c>
      <c r="CK8" s="784" t="s">
        <v>15</v>
      </c>
      <c r="CL8" s="784" t="s">
        <v>15</v>
      </c>
      <c r="CM8" s="784" t="s">
        <v>15</v>
      </c>
      <c r="CN8" s="785" t="s">
        <v>11</v>
      </c>
      <c r="CO8" s="783"/>
      <c r="CP8" s="515" t="s">
        <v>9</v>
      </c>
      <c r="CQ8" s="515" t="s">
        <v>9</v>
      </c>
      <c r="CR8" s="608" t="s">
        <v>13</v>
      </c>
      <c r="CS8" s="515" t="s">
        <v>9</v>
      </c>
      <c r="CT8" s="608" t="s">
        <v>13</v>
      </c>
      <c r="CU8" s="515" t="s">
        <v>9</v>
      </c>
      <c r="CV8" s="608" t="s">
        <v>13</v>
      </c>
      <c r="CW8" s="515" t="s">
        <v>9</v>
      </c>
      <c r="CX8" s="608" t="s">
        <v>13</v>
      </c>
      <c r="CY8" s="515" t="s">
        <v>9</v>
      </c>
      <c r="CZ8" s="608" t="s">
        <v>13</v>
      </c>
      <c r="DA8" s="515" t="s">
        <v>9</v>
      </c>
      <c r="DB8" s="608" t="s">
        <v>13</v>
      </c>
      <c r="DC8" s="515" t="s">
        <v>9</v>
      </c>
      <c r="DD8" s="608" t="s">
        <v>13</v>
      </c>
      <c r="DE8" s="515" t="s">
        <v>9</v>
      </c>
      <c r="DF8" s="608" t="s">
        <v>13</v>
      </c>
      <c r="DG8" s="465" t="s">
        <v>14</v>
      </c>
      <c r="DH8" s="515" t="s">
        <v>9</v>
      </c>
      <c r="DI8" s="608" t="s">
        <v>13</v>
      </c>
      <c r="DJ8" s="465" t="s">
        <v>14</v>
      </c>
      <c r="DK8" s="515" t="s">
        <v>9</v>
      </c>
      <c r="DL8" s="608" t="s">
        <v>13</v>
      </c>
      <c r="DM8" s="465" t="s">
        <v>14</v>
      </c>
      <c r="DN8" s="515" t="s">
        <v>9</v>
      </c>
      <c r="DO8" s="608" t="s">
        <v>13</v>
      </c>
      <c r="DP8" s="465" t="s">
        <v>14</v>
      </c>
      <c r="DQ8" s="492" t="s">
        <v>9</v>
      </c>
      <c r="DR8" s="465" t="s">
        <v>14</v>
      </c>
      <c r="DS8" s="1160"/>
      <c r="DT8" s="1160"/>
      <c r="DU8" s="1160"/>
      <c r="DV8" s="1160"/>
      <c r="DW8" s="1160"/>
      <c r="DX8" s="1160"/>
      <c r="DY8" s="1160"/>
      <c r="DZ8" s="1160"/>
      <c r="EA8" s="1160"/>
      <c r="EB8" s="1160"/>
      <c r="EC8" s="1160"/>
      <c r="ED8" s="1160"/>
      <c r="EE8" s="375" t="s">
        <v>15</v>
      </c>
      <c r="EF8" s="375" t="s">
        <v>15</v>
      </c>
      <c r="EG8" s="375" t="s">
        <v>15</v>
      </c>
      <c r="EH8" s="375" t="s">
        <v>15</v>
      </c>
      <c r="EI8" s="375" t="s">
        <v>15</v>
      </c>
      <c r="EJ8" s="422"/>
      <c r="EK8" s="422"/>
    </row>
    <row r="9" spans="1:144" ht="15" thickBot="1">
      <c r="B9" s="368" t="s">
        <v>324</v>
      </c>
      <c r="C9" s="368"/>
      <c r="D9" s="368"/>
      <c r="CP9" s="1"/>
      <c r="CQ9" s="1"/>
      <c r="CS9" s="1"/>
      <c r="CU9" s="1"/>
      <c r="CW9" s="1"/>
      <c r="CY9" s="1"/>
      <c r="DA9" s="1"/>
      <c r="DC9" s="1"/>
      <c r="DS9" s="1201"/>
      <c r="DT9" s="1201"/>
      <c r="DU9" s="1201"/>
      <c r="DV9" s="1201"/>
      <c r="DW9" s="1201"/>
      <c r="DX9" s="1201"/>
      <c r="DY9" s="1201"/>
      <c r="DZ9" s="1201"/>
      <c r="EA9" s="1201"/>
      <c r="EB9" s="1201"/>
      <c r="EC9" s="1201"/>
      <c r="ED9" s="1201"/>
      <c r="EE9" s="438"/>
      <c r="EJ9" s="367" t="e">
        <v>#N/A</v>
      </c>
      <c r="EL9" s="177"/>
      <c r="EM9" s="177"/>
      <c r="EN9" s="177"/>
    </row>
    <row r="10" spans="1:144" outlineLevel="1">
      <c r="A10" s="1102"/>
      <c r="B10" s="376" t="s">
        <v>357</v>
      </c>
      <c r="C10" s="1103"/>
      <c r="D10" s="1103"/>
      <c r="E10" s="1104"/>
      <c r="F10" s="1105"/>
      <c r="G10" s="1106"/>
      <c r="H10" s="131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107"/>
      <c r="U10" s="1106"/>
      <c r="V10" s="131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786"/>
      <c r="AH10" s="1108"/>
      <c r="AI10" s="1106"/>
      <c r="AJ10" s="787"/>
      <c r="AK10" s="786"/>
      <c r="AL10" s="786"/>
      <c r="AM10" s="786"/>
      <c r="AN10" s="786"/>
      <c r="AO10" s="786"/>
      <c r="AP10" s="786"/>
      <c r="AQ10" s="786"/>
      <c r="AR10" s="786"/>
      <c r="AS10" s="786"/>
      <c r="AT10" s="786"/>
      <c r="AU10" s="786"/>
      <c r="AV10" s="786"/>
      <c r="AW10" s="786"/>
      <c r="AX10" s="786"/>
      <c r="AY10" s="1108"/>
      <c r="AZ10" s="1106"/>
      <c r="BA10" s="787"/>
      <c r="BB10" s="786"/>
      <c r="BC10" s="786"/>
      <c r="BD10" s="786"/>
      <c r="BE10" s="786"/>
      <c r="BF10" s="786"/>
      <c r="BG10" s="786"/>
      <c r="BH10" s="786"/>
      <c r="BI10" s="786"/>
      <c r="BJ10" s="786"/>
      <c r="BK10" s="786"/>
      <c r="BL10" s="786"/>
      <c r="BM10" s="1101"/>
      <c r="BN10" s="466">
        <f t="shared" ref="BN10:BY10" si="0">SUM(BN46:BN154)</f>
        <v>6048432499</v>
      </c>
      <c r="BO10" s="466">
        <f t="shared" si="0"/>
        <v>6048432499</v>
      </c>
      <c r="BP10" s="466">
        <f t="shared" si="0"/>
        <v>6408432499</v>
      </c>
      <c r="BQ10" s="466">
        <f t="shared" si="0"/>
        <v>6740839499</v>
      </c>
      <c r="BR10" s="466">
        <f t="shared" si="0"/>
        <v>5269239292</v>
      </c>
      <c r="BS10" s="466">
        <f t="shared" si="0"/>
        <v>5969339499</v>
      </c>
      <c r="BT10" s="466">
        <f t="shared" si="0"/>
        <v>6400839499</v>
      </c>
      <c r="BU10" s="466">
        <f t="shared" si="0"/>
        <v>6600839499</v>
      </c>
      <c r="BV10" s="466">
        <f t="shared" si="0"/>
        <v>6780839499</v>
      </c>
      <c r="BW10" s="466">
        <f t="shared" si="0"/>
        <v>6890839499</v>
      </c>
      <c r="BX10" s="466">
        <f t="shared" si="0"/>
        <v>6730839499</v>
      </c>
      <c r="BY10" s="466">
        <f t="shared" si="0"/>
        <v>6730839499</v>
      </c>
      <c r="BZ10" s="466">
        <f>SUM(BZ46:BZ154)</f>
        <v>76619752781</v>
      </c>
      <c r="CB10" s="466">
        <f t="shared" ref="CB10:CN10" si="1">SUM(CB46:CB154)</f>
        <v>6048432499</v>
      </c>
      <c r="CC10" s="466">
        <f t="shared" si="1"/>
        <v>6048432499</v>
      </c>
      <c r="CD10" s="466">
        <f t="shared" si="1"/>
        <v>6408432499</v>
      </c>
      <c r="CE10" s="466">
        <f t="shared" si="1"/>
        <v>6740839499</v>
      </c>
      <c r="CF10" s="466">
        <f t="shared" si="1"/>
        <v>5269239292</v>
      </c>
      <c r="CG10" s="466">
        <f t="shared" si="1"/>
        <v>5969339499</v>
      </c>
      <c r="CH10" s="466">
        <f t="shared" si="1"/>
        <v>6400839499</v>
      </c>
      <c r="CI10" s="466">
        <f t="shared" si="1"/>
        <v>6600839499</v>
      </c>
      <c r="CJ10" s="466">
        <f t="shared" si="1"/>
        <v>6780839499</v>
      </c>
      <c r="CK10" s="466">
        <f t="shared" si="1"/>
        <v>6890839499</v>
      </c>
      <c r="CL10" s="466">
        <f t="shared" si="1"/>
        <v>6730839499</v>
      </c>
      <c r="CM10" s="466">
        <f t="shared" si="1"/>
        <v>6730839499</v>
      </c>
      <c r="CN10" s="466">
        <f t="shared" si="1"/>
        <v>76619752781</v>
      </c>
      <c r="CO10" s="1101"/>
      <c r="CP10" s="466">
        <f t="shared" ref="CP10:DP10" si="2">SUM(CP46:CP154)</f>
        <v>5603644489</v>
      </c>
      <c r="CQ10" s="466">
        <f t="shared" si="2"/>
        <v>5187165762</v>
      </c>
      <c r="CR10" s="466">
        <f t="shared" si="2"/>
        <v>5772547981</v>
      </c>
      <c r="CS10" s="466">
        <f t="shared" si="2"/>
        <v>6266727906</v>
      </c>
      <c r="CT10" s="466">
        <f t="shared" si="2"/>
        <v>6163807322</v>
      </c>
      <c r="CU10" s="466">
        <f t="shared" si="2"/>
        <v>6238245444</v>
      </c>
      <c r="CV10" s="466">
        <f t="shared" si="2"/>
        <v>6222807322</v>
      </c>
      <c r="CW10" s="466">
        <f t="shared" si="2"/>
        <v>4795643949</v>
      </c>
      <c r="CX10" s="466">
        <f t="shared" si="2"/>
        <v>5353151122</v>
      </c>
      <c r="CY10" s="466">
        <f t="shared" si="2"/>
        <v>5788326097</v>
      </c>
      <c r="CZ10" s="466">
        <f t="shared" si="2"/>
        <v>6024251122</v>
      </c>
      <c r="DA10" s="466">
        <f t="shared" si="2"/>
        <v>6170662695</v>
      </c>
      <c r="DB10" s="466">
        <f t="shared" si="2"/>
        <v>6104251122</v>
      </c>
      <c r="DC10" s="466">
        <f t="shared" si="2"/>
        <v>6114112382</v>
      </c>
      <c r="DD10" s="466">
        <f t="shared" si="2"/>
        <v>6104251122</v>
      </c>
      <c r="DE10" s="466">
        <f t="shared" si="2"/>
        <v>0</v>
      </c>
      <c r="DF10" s="466">
        <f>SUM(DF46:DF154)</f>
        <v>6104251122</v>
      </c>
      <c r="DG10" s="466">
        <f t="shared" si="2"/>
        <v>6090390059</v>
      </c>
      <c r="DH10" s="466">
        <f t="shared" si="2"/>
        <v>0</v>
      </c>
      <c r="DI10" s="466">
        <f>SUM(DI46:DI154)</f>
        <v>6154251122</v>
      </c>
      <c r="DJ10" s="466">
        <f t="shared" si="2"/>
        <v>6370390059</v>
      </c>
      <c r="DK10" s="466">
        <f t="shared" si="2"/>
        <v>0</v>
      </c>
      <c r="DL10" s="466">
        <f>SUM(DL46:DL154)</f>
        <v>6154251122</v>
      </c>
      <c r="DM10" s="466">
        <f>SUM(DM46:DM154)</f>
        <v>6415390059</v>
      </c>
      <c r="DN10" s="466">
        <f t="shared" si="2"/>
        <v>0</v>
      </c>
      <c r="DO10" s="466">
        <f>SUM(DO46:DO154)</f>
        <v>6154251122</v>
      </c>
      <c r="DP10" s="466">
        <f t="shared" si="2"/>
        <v>6540390059</v>
      </c>
      <c r="DQ10" s="466">
        <f>SUM(DQ46:DQ161)</f>
        <v>70731533212</v>
      </c>
      <c r="DR10" s="466">
        <f>SUM(DR46:DR162)</f>
        <v>72299254025</v>
      </c>
      <c r="DS10" s="1161">
        <f>SUM(DS46:DS162)</f>
        <v>6288576951</v>
      </c>
      <c r="DT10" s="1161">
        <f t="shared" ref="DT10:ED10" si="3">SUM(DT46:DT162)</f>
        <v>6338576951</v>
      </c>
      <c r="DU10" s="1161">
        <f t="shared" si="3"/>
        <v>6523276951</v>
      </c>
      <c r="DV10" s="1161">
        <f t="shared" si="3"/>
        <v>6173276951</v>
      </c>
      <c r="DW10" s="1161">
        <f t="shared" si="3"/>
        <v>6393276951</v>
      </c>
      <c r="DX10" s="1161">
        <f t="shared" si="3"/>
        <v>7224276951</v>
      </c>
      <c r="DY10" s="1161">
        <f t="shared" si="3"/>
        <v>7629276951</v>
      </c>
      <c r="DZ10" s="1161">
        <f t="shared" si="3"/>
        <v>7624276951</v>
      </c>
      <c r="EA10" s="1161">
        <f t="shared" si="3"/>
        <v>7574276951</v>
      </c>
      <c r="EB10" s="1161">
        <f t="shared" si="3"/>
        <v>7454276951</v>
      </c>
      <c r="EC10" s="1161">
        <f t="shared" si="3"/>
        <v>7424276951</v>
      </c>
      <c r="ED10" s="1161">
        <f t="shared" si="3"/>
        <v>7424276951</v>
      </c>
      <c r="EE10" s="1118">
        <f>SUM(EE46:EE162)</f>
        <v>84071923412</v>
      </c>
      <c r="EF10" s="1006">
        <f>SUM(EF46:EF162)</f>
        <v>98479286392.040009</v>
      </c>
      <c r="EG10" s="1006">
        <f>SUM(EG46:EG162)</f>
        <v>106357629303.4032</v>
      </c>
      <c r="EH10" s="1006">
        <f>SUM(EH46:EH162)</f>
        <v>115929815940.70949</v>
      </c>
      <c r="EI10" s="1006">
        <f>SUM(EI46:EI162)</f>
        <v>126363499375.37337</v>
      </c>
      <c r="EJ10" s="367" t="e">
        <v>#N/A</v>
      </c>
    </row>
    <row r="11" spans="1:144" outlineLevel="2">
      <c r="A11" s="377" t="s">
        <v>59</v>
      </c>
      <c r="B11" s="378"/>
      <c r="C11" s="370" t="s">
        <v>358</v>
      </c>
      <c r="D11" s="370" t="s">
        <v>40</v>
      </c>
      <c r="E11" s="379" t="s">
        <v>359</v>
      </c>
      <c r="F11" s="380">
        <v>3000020260</v>
      </c>
      <c r="G11" s="178"/>
      <c r="H11" s="178"/>
      <c r="I11" s="178"/>
      <c r="J11" s="178"/>
      <c r="K11" s="178"/>
      <c r="L11" s="178"/>
      <c r="M11" s="178"/>
      <c r="N11" s="178"/>
      <c r="O11" s="178"/>
      <c r="P11" s="178"/>
      <c r="Q11" s="178"/>
      <c r="R11" s="178"/>
      <c r="S11" s="7"/>
      <c r="T11" s="179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518"/>
      <c r="AH11" s="788"/>
      <c r="AI11" s="789"/>
      <c r="AJ11" s="790"/>
      <c r="AK11" s="518"/>
      <c r="AL11" s="518"/>
      <c r="AM11" s="518"/>
      <c r="AN11" s="518"/>
      <c r="AO11" s="518"/>
      <c r="AP11" s="518"/>
      <c r="AQ11" s="518">
        <v>5000000</v>
      </c>
      <c r="AR11" s="759"/>
      <c r="AS11" s="759"/>
      <c r="AT11" s="759"/>
      <c r="AU11" s="518"/>
      <c r="AV11" s="518"/>
      <c r="AW11" s="518"/>
      <c r="AX11" s="518">
        <f>SUM(AI11,AJ11,AK11,AL11,AM11,AN11,AO11,AP11,AQ11,AR11,AS11,AT11)</f>
        <v>5000000</v>
      </c>
      <c r="AY11" s="788"/>
      <c r="AZ11" s="789"/>
      <c r="BA11" s="790"/>
      <c r="BB11" s="518"/>
      <c r="BC11" s="518"/>
      <c r="BD11" s="518"/>
      <c r="BE11" s="518"/>
      <c r="BF11" s="518"/>
      <c r="BG11" s="518"/>
      <c r="BH11" s="518"/>
      <c r="BI11" s="518"/>
      <c r="BJ11" s="518"/>
      <c r="BK11" s="518"/>
      <c r="BL11" s="518">
        <f>SUM(AZ11,BA11,BB11,BC11,BD11,BE11,BF11,BG11,BH11,BI11,BJ11,BK11)</f>
        <v>0</v>
      </c>
      <c r="BN11" s="516"/>
      <c r="BO11" s="517"/>
      <c r="BP11" s="518"/>
      <c r="BQ11" s="518"/>
      <c r="BR11" s="518"/>
      <c r="BS11" s="518"/>
      <c r="BT11" s="518"/>
      <c r="BU11" s="518"/>
      <c r="BV11" s="518"/>
      <c r="BW11" s="518"/>
      <c r="BX11" s="518"/>
      <c r="BY11" s="518"/>
      <c r="BZ11" s="791">
        <v>0</v>
      </c>
      <c r="CB11" s="516"/>
      <c r="CC11" s="517"/>
      <c r="CD11" s="518"/>
      <c r="CE11" s="518"/>
      <c r="CF11" s="518"/>
      <c r="CG11" s="518"/>
      <c r="CH11" s="518"/>
      <c r="CI11" s="518"/>
      <c r="CJ11" s="518"/>
      <c r="CK11" s="518"/>
      <c r="CL11" s="518"/>
      <c r="CM11" s="518"/>
      <c r="CN11" s="791">
        <v>0</v>
      </c>
      <c r="CP11" s="646"/>
      <c r="CQ11" s="646"/>
      <c r="CR11" s="516"/>
      <c r="CS11" s="646"/>
      <c r="CT11" s="516"/>
      <c r="CU11" s="646"/>
      <c r="CV11" s="516"/>
      <c r="CW11" s="646"/>
      <c r="CX11" s="516"/>
      <c r="CY11" s="646"/>
      <c r="CZ11" s="516"/>
      <c r="DA11" s="646"/>
      <c r="DB11" s="516"/>
      <c r="DC11" s="646">
        <v>0</v>
      </c>
      <c r="DD11" s="516"/>
      <c r="DE11" s="518"/>
      <c r="DF11" s="516"/>
      <c r="DG11" s="747"/>
      <c r="DH11" s="518"/>
      <c r="DI11" s="516"/>
      <c r="DJ11" s="747"/>
      <c r="DK11" s="518"/>
      <c r="DL11" s="516"/>
      <c r="DM11" s="747"/>
      <c r="DN11" s="518"/>
      <c r="DO11" s="516"/>
      <c r="DP11" s="747"/>
      <c r="DQ11" s="493">
        <f>SUM(CP11,CQ11,CS11,CU11,CW11,CY11,DA11,DC11,DF11,DI11,DL11,DO11)</f>
        <v>0</v>
      </c>
      <c r="DR11" s="479">
        <f>SUM(CR11,CT11,CV11,CX11,CZ11,DB11,DD11,DG11,DJ11,DM11,DP11)</f>
        <v>0</v>
      </c>
      <c r="DS11" s="1162"/>
      <c r="DT11" s="1162"/>
      <c r="DU11" s="1162"/>
      <c r="DV11" s="1162"/>
      <c r="DW11" s="1162"/>
      <c r="DX11" s="1162"/>
      <c r="DY11" s="1162"/>
      <c r="DZ11" s="1162"/>
      <c r="EA11" s="1162"/>
      <c r="EB11" s="1162"/>
      <c r="EC11" s="1162"/>
      <c r="ED11" s="1162"/>
      <c r="EE11" s="1119">
        <f>SUM(DS11,DT11,DU11,DV11,DW11,DX11,DY11,DZ11,EA11,EB11,EC11,ED11)</f>
        <v>0</v>
      </c>
      <c r="EF11" s="443">
        <f>EE11*1.17</f>
        <v>0</v>
      </c>
      <c r="EG11" s="443">
        <f>EF11*1.08</f>
        <v>0</v>
      </c>
      <c r="EH11" s="443">
        <f>EG11*1.09</f>
        <v>0</v>
      </c>
      <c r="EI11" s="443">
        <f>EH11*1.09</f>
        <v>0</v>
      </c>
      <c r="EJ11" s="367">
        <v>3000020260</v>
      </c>
    </row>
    <row r="12" spans="1:144" outlineLevel="2">
      <c r="A12" s="367" t="s">
        <v>39</v>
      </c>
      <c r="B12" s="378"/>
      <c r="C12" s="370" t="s">
        <v>358</v>
      </c>
      <c r="E12" s="379" t="s">
        <v>360</v>
      </c>
      <c r="F12" s="380">
        <v>3000000220</v>
      </c>
      <c r="G12" s="178">
        <v>0</v>
      </c>
      <c r="H12" s="178">
        <v>0</v>
      </c>
      <c r="I12" s="178">
        <v>0</v>
      </c>
      <c r="J12" s="178">
        <v>0</v>
      </c>
      <c r="K12" s="178">
        <v>189157487</v>
      </c>
      <c r="L12" s="178">
        <v>430053362</v>
      </c>
      <c r="M12" s="178">
        <v>294908755</v>
      </c>
      <c r="N12" s="178">
        <v>586847296</v>
      </c>
      <c r="O12" s="178">
        <v>539031444</v>
      </c>
      <c r="P12" s="178">
        <v>487878538</v>
      </c>
      <c r="Q12" s="178">
        <v>441600074</v>
      </c>
      <c r="R12" s="178">
        <v>183295804</v>
      </c>
      <c r="S12" s="7">
        <f t="shared" ref="S12:S156" si="4">SUM(G12,H12,I12,J12,K12,L12,M12,N12,O12,P12,Q12,R12)</f>
        <v>3152772760</v>
      </c>
      <c r="T12" s="179"/>
      <c r="U12" s="178">
        <v>264651470</v>
      </c>
      <c r="V12" s="178">
        <v>193594865</v>
      </c>
      <c r="W12" s="178">
        <v>340784628</v>
      </c>
      <c r="X12" s="178">
        <v>52198760</v>
      </c>
      <c r="Y12" s="178">
        <v>0</v>
      </c>
      <c r="Z12" s="178">
        <v>0</v>
      </c>
      <c r="AA12" s="178">
        <v>0</v>
      </c>
      <c r="AB12" s="178">
        <v>0</v>
      </c>
      <c r="AC12" s="178">
        <v>-19255600</v>
      </c>
      <c r="AD12" s="178">
        <v>0</v>
      </c>
      <c r="AE12" s="178">
        <v>-44370240</v>
      </c>
      <c r="AF12" s="178">
        <v>0</v>
      </c>
      <c r="AG12" s="518">
        <f t="shared" ref="AG12:AG156" si="5">SUM(U12,V12,W12,X12,Y12,Z12,AA12,AB12,AC12,AD12,AE12,AF12)</f>
        <v>787603883</v>
      </c>
      <c r="AH12" s="788"/>
      <c r="AI12" s="789"/>
      <c r="AJ12" s="792"/>
      <c r="AK12" s="518"/>
      <c r="AL12" s="518"/>
      <c r="AM12" s="518"/>
      <c r="AN12" s="518"/>
      <c r="AO12" s="518"/>
      <c r="AP12" s="518"/>
      <c r="AQ12" s="518">
        <v>0</v>
      </c>
      <c r="AR12" s="518"/>
      <c r="AS12" s="518"/>
      <c r="AT12" s="518"/>
      <c r="AU12" s="518"/>
      <c r="AV12" s="518"/>
      <c r="AW12" s="518"/>
      <c r="AX12" s="518">
        <f t="shared" ref="AX12:AX89" si="6">SUM(AI12,AJ12,AK12,AL12,AM12,AN12,AO12,AP12,AQ12,AR12,AS12,AT12)</f>
        <v>0</v>
      </c>
      <c r="AY12" s="788"/>
      <c r="AZ12" s="789"/>
      <c r="BA12" s="792"/>
      <c r="BB12" s="518"/>
      <c r="BC12" s="518"/>
      <c r="BD12" s="518"/>
      <c r="BE12" s="518"/>
      <c r="BF12" s="518"/>
      <c r="BG12" s="518">
        <f t="shared" ref="BG12:BG41" si="7">AP12</f>
        <v>0</v>
      </c>
      <c r="BH12" s="518">
        <v>0</v>
      </c>
      <c r="BI12" s="518">
        <v>0</v>
      </c>
      <c r="BJ12" s="518">
        <v>0</v>
      </c>
      <c r="BK12" s="518">
        <v>0</v>
      </c>
      <c r="BL12" s="518">
        <f t="shared" ref="BL12:BL96" si="8">SUM(AZ12,BA12,BB12,BC12,BD12,BE12,BF12,BG12,BH12,BI12,BJ12,BK12)</f>
        <v>0</v>
      </c>
      <c r="BN12" s="518"/>
      <c r="BO12" s="518"/>
      <c r="BP12" s="518"/>
      <c r="BQ12" s="518"/>
      <c r="BR12" s="518"/>
      <c r="BS12" s="518"/>
      <c r="BT12" s="518"/>
      <c r="BU12" s="518"/>
      <c r="BV12" s="518"/>
      <c r="BW12" s="518"/>
      <c r="BX12" s="518"/>
      <c r="BY12" s="518"/>
      <c r="BZ12" s="791">
        <v>0</v>
      </c>
      <c r="CB12" s="518"/>
      <c r="CC12" s="518"/>
      <c r="CD12" s="518"/>
      <c r="CE12" s="518"/>
      <c r="CF12" s="518"/>
      <c r="CG12" s="518"/>
      <c r="CH12" s="518"/>
      <c r="CI12" s="518"/>
      <c r="CJ12" s="518"/>
      <c r="CK12" s="518"/>
      <c r="CL12" s="518"/>
      <c r="CM12" s="518"/>
      <c r="CN12" s="791">
        <v>0</v>
      </c>
      <c r="CP12" s="647"/>
      <c r="CQ12" s="647"/>
      <c r="CR12" s="518"/>
      <c r="CS12" s="647"/>
      <c r="CT12" s="518"/>
      <c r="CU12" s="647"/>
      <c r="CV12" s="518"/>
      <c r="CW12" s="647"/>
      <c r="CX12" s="518"/>
      <c r="CY12" s="647"/>
      <c r="CZ12" s="518"/>
      <c r="DA12" s="647"/>
      <c r="DB12" s="518"/>
      <c r="DC12" s="647">
        <v>0</v>
      </c>
      <c r="DD12" s="518"/>
      <c r="DE12" s="518"/>
      <c r="DF12" s="518"/>
      <c r="DG12" s="748"/>
      <c r="DH12" s="518"/>
      <c r="DI12" s="518"/>
      <c r="DJ12" s="748"/>
      <c r="DK12" s="518"/>
      <c r="DL12" s="518"/>
      <c r="DM12" s="748"/>
      <c r="DN12" s="518"/>
      <c r="DO12" s="518"/>
      <c r="DP12" s="748"/>
      <c r="DQ12" s="493">
        <f t="shared" ref="DQ12:DQ75" si="9">SUM(CP12,CQ12,CS12,CU12,CW12,CY12,DA12,DC12,DF12,DI12,DL12,DO12)</f>
        <v>0</v>
      </c>
      <c r="DR12" s="479">
        <f t="shared" ref="DR12:DR45" si="10">SUM(CR12,CT12,CV12,CX12,CZ12,DB12,DD12,DG12,DJ12,DM12,DP12)</f>
        <v>0</v>
      </c>
      <c r="DS12" s="1163"/>
      <c r="DT12" s="1163"/>
      <c r="DU12" s="1163"/>
      <c r="DV12" s="1163"/>
      <c r="DW12" s="1163"/>
      <c r="DX12" s="1163"/>
      <c r="DY12" s="1163"/>
      <c r="DZ12" s="1163"/>
      <c r="EA12" s="1163"/>
      <c r="EB12" s="1163"/>
      <c r="EC12" s="1163"/>
      <c r="ED12" s="1163"/>
      <c r="EE12" s="1119">
        <f t="shared" ref="EE12:EE74" si="11">SUM(DS12,DT12,DU12,DV12,DW12,DX12,DY12,DZ12,EA12,EB12,EC12,ED12)</f>
        <v>0</v>
      </c>
      <c r="EF12" s="443">
        <f t="shared" ref="EF12:EF45" si="12">EE12*1.17</f>
        <v>0</v>
      </c>
      <c r="EG12" s="443">
        <f t="shared" ref="EG12:EG45" si="13">EF12*1.08</f>
        <v>0</v>
      </c>
      <c r="EH12" s="443">
        <f t="shared" ref="EH12:EI89" si="14">EG12*1.09</f>
        <v>0</v>
      </c>
      <c r="EI12" s="443">
        <f t="shared" si="14"/>
        <v>0</v>
      </c>
      <c r="EJ12" s="367">
        <v>3000000220</v>
      </c>
    </row>
    <row r="13" spans="1:144" outlineLevel="2">
      <c r="A13" s="367" t="s">
        <v>43</v>
      </c>
      <c r="B13" s="378"/>
      <c r="C13" s="370" t="s">
        <v>358</v>
      </c>
      <c r="E13" s="379" t="s">
        <v>361</v>
      </c>
      <c r="F13" s="380">
        <v>3000002599</v>
      </c>
      <c r="G13" s="178">
        <v>0</v>
      </c>
      <c r="H13" s="178">
        <v>0</v>
      </c>
      <c r="I13" s="178">
        <v>0</v>
      </c>
      <c r="J13" s="178">
        <v>0</v>
      </c>
      <c r="K13" s="178">
        <v>0</v>
      </c>
      <c r="L13" s="178">
        <v>0</v>
      </c>
      <c r="M13" s="178">
        <v>0</v>
      </c>
      <c r="N13" s="178">
        <v>0</v>
      </c>
      <c r="O13" s="178">
        <v>4500000</v>
      </c>
      <c r="P13" s="178">
        <v>0</v>
      </c>
      <c r="Q13" s="178">
        <v>0</v>
      </c>
      <c r="R13" s="178">
        <v>0</v>
      </c>
      <c r="S13" s="7">
        <f t="shared" si="4"/>
        <v>4500000</v>
      </c>
      <c r="T13" s="179"/>
      <c r="U13" s="178">
        <v>0</v>
      </c>
      <c r="V13" s="178">
        <v>0</v>
      </c>
      <c r="W13" s="178">
        <v>0</v>
      </c>
      <c r="X13" s="178">
        <v>0</v>
      </c>
      <c r="Y13" s="178">
        <v>0</v>
      </c>
      <c r="Z13" s="178">
        <v>0</v>
      </c>
      <c r="AA13" s="178">
        <v>0</v>
      </c>
      <c r="AB13" s="178">
        <v>0</v>
      </c>
      <c r="AC13" s="178">
        <v>0</v>
      </c>
      <c r="AD13" s="178">
        <v>0</v>
      </c>
      <c r="AE13" s="178">
        <v>0</v>
      </c>
      <c r="AF13" s="178">
        <v>0</v>
      </c>
      <c r="AG13" s="518">
        <f t="shared" si="5"/>
        <v>0</v>
      </c>
      <c r="AH13" s="788"/>
      <c r="AI13" s="789"/>
      <c r="AJ13" s="792"/>
      <c r="AK13" s="518"/>
      <c r="AL13" s="518"/>
      <c r="AM13" s="518"/>
      <c r="AN13" s="518"/>
      <c r="AO13" s="518"/>
      <c r="AP13" s="518"/>
      <c r="AQ13" s="518">
        <v>0</v>
      </c>
      <c r="AR13" s="518"/>
      <c r="AS13" s="518"/>
      <c r="AT13" s="518"/>
      <c r="AU13" s="518"/>
      <c r="AV13" s="518"/>
      <c r="AW13" s="518"/>
      <c r="AX13" s="518">
        <f t="shared" si="6"/>
        <v>0</v>
      </c>
      <c r="AY13" s="788"/>
      <c r="AZ13" s="789"/>
      <c r="BA13" s="792"/>
      <c r="BB13" s="518"/>
      <c r="BC13" s="518"/>
      <c r="BD13" s="518"/>
      <c r="BE13" s="518"/>
      <c r="BF13" s="518"/>
      <c r="BG13" s="518">
        <f t="shared" si="7"/>
        <v>0</v>
      </c>
      <c r="BH13" s="518">
        <v>0</v>
      </c>
      <c r="BI13" s="518">
        <v>0</v>
      </c>
      <c r="BJ13" s="518">
        <v>0</v>
      </c>
      <c r="BK13" s="518">
        <v>0</v>
      </c>
      <c r="BL13" s="518">
        <f t="shared" si="8"/>
        <v>0</v>
      </c>
      <c r="BN13" s="518"/>
      <c r="BO13" s="518"/>
      <c r="BP13" s="518"/>
      <c r="BQ13" s="518"/>
      <c r="BR13" s="518"/>
      <c r="BS13" s="518"/>
      <c r="BT13" s="518"/>
      <c r="BU13" s="518"/>
      <c r="BV13" s="518"/>
      <c r="BW13" s="518"/>
      <c r="BX13" s="518"/>
      <c r="BY13" s="518"/>
      <c r="BZ13" s="791">
        <v>0</v>
      </c>
      <c r="CB13" s="518"/>
      <c r="CC13" s="518"/>
      <c r="CD13" s="518"/>
      <c r="CE13" s="518"/>
      <c r="CF13" s="518"/>
      <c r="CG13" s="518"/>
      <c r="CH13" s="518"/>
      <c r="CI13" s="518"/>
      <c r="CJ13" s="518"/>
      <c r="CK13" s="518"/>
      <c r="CL13" s="518"/>
      <c r="CM13" s="518"/>
      <c r="CN13" s="791">
        <v>0</v>
      </c>
      <c r="CP13" s="647"/>
      <c r="CQ13" s="647"/>
      <c r="CR13" s="518"/>
      <c r="CS13" s="647"/>
      <c r="CT13" s="518"/>
      <c r="CU13" s="647"/>
      <c r="CV13" s="518"/>
      <c r="CW13" s="647"/>
      <c r="CX13" s="518"/>
      <c r="CY13" s="647"/>
      <c r="CZ13" s="518"/>
      <c r="DA13" s="647"/>
      <c r="DB13" s="518"/>
      <c r="DC13" s="647">
        <v>0</v>
      </c>
      <c r="DD13" s="518"/>
      <c r="DE13" s="518"/>
      <c r="DF13" s="518"/>
      <c r="DG13" s="748"/>
      <c r="DH13" s="518"/>
      <c r="DI13" s="518"/>
      <c r="DJ13" s="748"/>
      <c r="DK13" s="518"/>
      <c r="DL13" s="518"/>
      <c r="DM13" s="748"/>
      <c r="DN13" s="518"/>
      <c r="DO13" s="518"/>
      <c r="DP13" s="748"/>
      <c r="DQ13" s="493">
        <f t="shared" si="9"/>
        <v>0</v>
      </c>
      <c r="DR13" s="479">
        <f t="shared" si="10"/>
        <v>0</v>
      </c>
      <c r="DS13" s="1163"/>
      <c r="DT13" s="1163"/>
      <c r="DU13" s="1163"/>
      <c r="DV13" s="1163"/>
      <c r="DW13" s="1163"/>
      <c r="DX13" s="1163"/>
      <c r="DY13" s="1163"/>
      <c r="DZ13" s="1163"/>
      <c r="EA13" s="1163"/>
      <c r="EB13" s="1163"/>
      <c r="EC13" s="1163"/>
      <c r="ED13" s="1163"/>
      <c r="EE13" s="1119">
        <f t="shared" si="11"/>
        <v>0</v>
      </c>
      <c r="EF13" s="443">
        <f t="shared" si="12"/>
        <v>0</v>
      </c>
      <c r="EG13" s="443">
        <f t="shared" si="13"/>
        <v>0</v>
      </c>
      <c r="EH13" s="443">
        <f t="shared" si="14"/>
        <v>0</v>
      </c>
      <c r="EI13" s="443">
        <f t="shared" si="14"/>
        <v>0</v>
      </c>
      <c r="EJ13" s="367">
        <v>3000002599</v>
      </c>
    </row>
    <row r="14" spans="1:144" outlineLevel="2">
      <c r="A14" s="367" t="s">
        <v>43</v>
      </c>
      <c r="B14" s="378"/>
      <c r="C14" s="370" t="s">
        <v>358</v>
      </c>
      <c r="E14" s="388" t="s">
        <v>81</v>
      </c>
      <c r="F14" s="380">
        <v>3000003246</v>
      </c>
      <c r="G14" s="178">
        <v>0</v>
      </c>
      <c r="H14" s="178">
        <v>0</v>
      </c>
      <c r="I14" s="178">
        <v>0</v>
      </c>
      <c r="J14" s="178">
        <v>0</v>
      </c>
      <c r="K14" s="178">
        <v>0</v>
      </c>
      <c r="L14" s="178">
        <v>0</v>
      </c>
      <c r="M14" s="178">
        <v>0</v>
      </c>
      <c r="N14" s="178">
        <v>0</v>
      </c>
      <c r="O14" s="178">
        <v>0</v>
      </c>
      <c r="P14" s="178">
        <v>0</v>
      </c>
      <c r="Q14" s="178">
        <v>6500000</v>
      </c>
      <c r="R14" s="178">
        <v>0</v>
      </c>
      <c r="S14" s="7">
        <f t="shared" si="4"/>
        <v>6500000</v>
      </c>
      <c r="T14" s="179"/>
      <c r="U14" s="178">
        <v>0</v>
      </c>
      <c r="V14" s="178">
        <v>0</v>
      </c>
      <c r="W14" s="178">
        <v>0</v>
      </c>
      <c r="X14" s="178">
        <v>0</v>
      </c>
      <c r="Y14" s="178">
        <v>0</v>
      </c>
      <c r="Z14" s="178">
        <v>0</v>
      </c>
      <c r="AA14" s="178">
        <v>0</v>
      </c>
      <c r="AB14" s="178">
        <v>0</v>
      </c>
      <c r="AC14" s="178">
        <v>0</v>
      </c>
      <c r="AD14" s="178">
        <v>0</v>
      </c>
      <c r="AE14" s="178">
        <v>0</v>
      </c>
      <c r="AF14" s="178">
        <v>0</v>
      </c>
      <c r="AG14" s="518">
        <f t="shared" si="5"/>
        <v>0</v>
      </c>
      <c r="AH14" s="788"/>
      <c r="AI14" s="789"/>
      <c r="AJ14" s="792"/>
      <c r="AK14" s="518"/>
      <c r="AL14" s="518"/>
      <c r="AM14" s="518"/>
      <c r="AN14" s="518"/>
      <c r="AO14" s="518"/>
      <c r="AP14" s="518"/>
      <c r="AQ14" s="518">
        <v>0</v>
      </c>
      <c r="AR14" s="518"/>
      <c r="AS14" s="518"/>
      <c r="AT14" s="518"/>
      <c r="AU14" s="518"/>
      <c r="AV14" s="518"/>
      <c r="AW14" s="518"/>
      <c r="AX14" s="518">
        <f t="shared" si="6"/>
        <v>0</v>
      </c>
      <c r="AY14" s="788"/>
      <c r="AZ14" s="789"/>
      <c r="BA14" s="792"/>
      <c r="BB14" s="518"/>
      <c r="BC14" s="518"/>
      <c r="BD14" s="518"/>
      <c r="BE14" s="518"/>
      <c r="BF14" s="518"/>
      <c r="BG14" s="518">
        <f t="shared" si="7"/>
        <v>0</v>
      </c>
      <c r="BH14" s="518">
        <v>0</v>
      </c>
      <c r="BI14" s="518">
        <v>0</v>
      </c>
      <c r="BJ14" s="518">
        <v>0</v>
      </c>
      <c r="BK14" s="518">
        <v>0</v>
      </c>
      <c r="BL14" s="518">
        <f t="shared" si="8"/>
        <v>0</v>
      </c>
      <c r="BN14" s="518"/>
      <c r="BO14" s="518"/>
      <c r="BP14" s="518"/>
      <c r="BQ14" s="518"/>
      <c r="BR14" s="518"/>
      <c r="BS14" s="518"/>
      <c r="BT14" s="518"/>
      <c r="BU14" s="518"/>
      <c r="BV14" s="518"/>
      <c r="BW14" s="518"/>
      <c r="BX14" s="518"/>
      <c r="BY14" s="518"/>
      <c r="BZ14" s="791">
        <v>0</v>
      </c>
      <c r="CB14" s="518"/>
      <c r="CC14" s="518"/>
      <c r="CD14" s="518"/>
      <c r="CE14" s="518"/>
      <c r="CF14" s="518"/>
      <c r="CG14" s="518"/>
      <c r="CH14" s="518"/>
      <c r="CI14" s="518"/>
      <c r="CJ14" s="518"/>
      <c r="CK14" s="518"/>
      <c r="CL14" s="518"/>
      <c r="CM14" s="518"/>
      <c r="CN14" s="791">
        <v>0</v>
      </c>
      <c r="CP14" s="647"/>
      <c r="CQ14" s="647"/>
      <c r="CR14" s="518"/>
      <c r="CS14" s="647"/>
      <c r="CT14" s="518"/>
      <c r="CU14" s="647"/>
      <c r="CV14" s="518"/>
      <c r="CW14" s="647"/>
      <c r="CX14" s="518"/>
      <c r="CY14" s="647"/>
      <c r="CZ14" s="518"/>
      <c r="DA14" s="647"/>
      <c r="DB14" s="518"/>
      <c r="DC14" s="647">
        <v>0</v>
      </c>
      <c r="DD14" s="518"/>
      <c r="DE14" s="518"/>
      <c r="DF14" s="518"/>
      <c r="DG14" s="748"/>
      <c r="DH14" s="518"/>
      <c r="DI14" s="518"/>
      <c r="DJ14" s="748"/>
      <c r="DK14" s="518"/>
      <c r="DL14" s="518"/>
      <c r="DM14" s="748"/>
      <c r="DN14" s="518"/>
      <c r="DO14" s="518"/>
      <c r="DP14" s="748"/>
      <c r="DQ14" s="493">
        <f t="shared" si="9"/>
        <v>0</v>
      </c>
      <c r="DR14" s="479">
        <f t="shared" si="10"/>
        <v>0</v>
      </c>
      <c r="DS14" s="1163"/>
      <c r="DT14" s="1163"/>
      <c r="DU14" s="1163"/>
      <c r="DV14" s="1163"/>
      <c r="DW14" s="1163"/>
      <c r="DX14" s="1163"/>
      <c r="DY14" s="1163"/>
      <c r="DZ14" s="1163"/>
      <c r="EA14" s="1163"/>
      <c r="EB14" s="1163"/>
      <c r="EC14" s="1163"/>
      <c r="ED14" s="1163"/>
      <c r="EE14" s="1119">
        <f t="shared" si="11"/>
        <v>0</v>
      </c>
      <c r="EF14" s="443">
        <f t="shared" si="12"/>
        <v>0</v>
      </c>
      <c r="EG14" s="443">
        <f t="shared" si="13"/>
        <v>0</v>
      </c>
      <c r="EH14" s="443">
        <f t="shared" si="14"/>
        <v>0</v>
      </c>
      <c r="EI14" s="443">
        <f t="shared" si="14"/>
        <v>0</v>
      </c>
      <c r="EJ14" s="367">
        <v>3000003246</v>
      </c>
    </row>
    <row r="15" spans="1:144" outlineLevel="2">
      <c r="A15" s="367" t="s">
        <v>39</v>
      </c>
      <c r="B15" s="378"/>
      <c r="C15" s="370" t="s">
        <v>358</v>
      </c>
      <c r="E15" s="379" t="s">
        <v>362</v>
      </c>
      <c r="F15" s="380">
        <v>3000003570</v>
      </c>
      <c r="G15" s="178">
        <v>6600000</v>
      </c>
      <c r="H15" s="178">
        <v>9600000</v>
      </c>
      <c r="I15" s="178">
        <v>35800000</v>
      </c>
      <c r="J15" s="178">
        <v>12700000</v>
      </c>
      <c r="K15" s="178">
        <v>0</v>
      </c>
      <c r="L15" s="178">
        <v>0</v>
      </c>
      <c r="M15" s="178">
        <v>0</v>
      </c>
      <c r="N15" s="178">
        <v>0</v>
      </c>
      <c r="O15" s="178">
        <v>0</v>
      </c>
      <c r="P15" s="178">
        <v>0</v>
      </c>
      <c r="Q15" s="178">
        <v>0</v>
      </c>
      <c r="R15" s="178">
        <v>0</v>
      </c>
      <c r="S15" s="7">
        <f t="shared" si="4"/>
        <v>64700000</v>
      </c>
      <c r="T15" s="179"/>
      <c r="U15" s="178">
        <v>0</v>
      </c>
      <c r="V15" s="178">
        <v>0</v>
      </c>
      <c r="W15" s="178">
        <v>0</v>
      </c>
      <c r="X15" s="178">
        <v>0</v>
      </c>
      <c r="Y15" s="178">
        <v>0</v>
      </c>
      <c r="Z15" s="178">
        <v>0</v>
      </c>
      <c r="AA15" s="178">
        <v>0</v>
      </c>
      <c r="AB15" s="178">
        <v>0</v>
      </c>
      <c r="AC15" s="178">
        <v>0</v>
      </c>
      <c r="AD15" s="178">
        <v>0</v>
      </c>
      <c r="AE15" s="178">
        <v>0</v>
      </c>
      <c r="AF15" s="178">
        <v>0</v>
      </c>
      <c r="AG15" s="518">
        <f t="shared" si="5"/>
        <v>0</v>
      </c>
      <c r="AH15" s="788"/>
      <c r="AI15" s="789"/>
      <c r="AJ15" s="792"/>
      <c r="AK15" s="518"/>
      <c r="AL15" s="518"/>
      <c r="AM15" s="518"/>
      <c r="AN15" s="518"/>
      <c r="AO15" s="518"/>
      <c r="AP15" s="518"/>
      <c r="AQ15" s="518">
        <v>0</v>
      </c>
      <c r="AR15" s="518"/>
      <c r="AS15" s="518"/>
      <c r="AT15" s="518"/>
      <c r="AU15" s="518"/>
      <c r="AV15" s="518"/>
      <c r="AW15" s="518"/>
      <c r="AX15" s="518">
        <f t="shared" si="6"/>
        <v>0</v>
      </c>
      <c r="AY15" s="788"/>
      <c r="AZ15" s="789"/>
      <c r="BA15" s="792"/>
      <c r="BB15" s="518"/>
      <c r="BC15" s="518"/>
      <c r="BD15" s="518"/>
      <c r="BE15" s="518"/>
      <c r="BF15" s="518"/>
      <c r="BG15" s="518">
        <f t="shared" si="7"/>
        <v>0</v>
      </c>
      <c r="BH15" s="518">
        <v>0</v>
      </c>
      <c r="BI15" s="518">
        <v>0</v>
      </c>
      <c r="BJ15" s="518">
        <v>0</v>
      </c>
      <c r="BK15" s="518">
        <v>0</v>
      </c>
      <c r="BL15" s="518">
        <f t="shared" si="8"/>
        <v>0</v>
      </c>
      <c r="BN15" s="518"/>
      <c r="BO15" s="518"/>
      <c r="BP15" s="518"/>
      <c r="BQ15" s="518"/>
      <c r="BR15" s="518"/>
      <c r="BS15" s="518"/>
      <c r="BT15" s="518"/>
      <c r="BU15" s="518"/>
      <c r="BV15" s="518"/>
      <c r="BW15" s="518"/>
      <c r="BX15" s="518"/>
      <c r="BY15" s="518"/>
      <c r="BZ15" s="791">
        <v>0</v>
      </c>
      <c r="CB15" s="518"/>
      <c r="CC15" s="518"/>
      <c r="CD15" s="518"/>
      <c r="CE15" s="518"/>
      <c r="CF15" s="518"/>
      <c r="CG15" s="518"/>
      <c r="CH15" s="518"/>
      <c r="CI15" s="518"/>
      <c r="CJ15" s="518"/>
      <c r="CK15" s="518"/>
      <c r="CL15" s="518"/>
      <c r="CM15" s="518"/>
      <c r="CN15" s="791">
        <v>0</v>
      </c>
      <c r="CP15" s="647"/>
      <c r="CQ15" s="647"/>
      <c r="CR15" s="518"/>
      <c r="CS15" s="647"/>
      <c r="CT15" s="518"/>
      <c r="CU15" s="647"/>
      <c r="CV15" s="518"/>
      <c r="CW15" s="647"/>
      <c r="CX15" s="518"/>
      <c r="CY15" s="647"/>
      <c r="CZ15" s="518"/>
      <c r="DA15" s="647"/>
      <c r="DB15" s="518"/>
      <c r="DC15" s="647">
        <v>0</v>
      </c>
      <c r="DD15" s="518"/>
      <c r="DE15" s="518"/>
      <c r="DF15" s="518"/>
      <c r="DG15" s="748"/>
      <c r="DH15" s="518"/>
      <c r="DI15" s="518"/>
      <c r="DJ15" s="748"/>
      <c r="DK15" s="518"/>
      <c r="DL15" s="518"/>
      <c r="DM15" s="748"/>
      <c r="DN15" s="518"/>
      <c r="DO15" s="518"/>
      <c r="DP15" s="748"/>
      <c r="DQ15" s="493">
        <f t="shared" si="9"/>
        <v>0</v>
      </c>
      <c r="DR15" s="479">
        <f t="shared" si="10"/>
        <v>0</v>
      </c>
      <c r="DS15" s="1163"/>
      <c r="DT15" s="1163"/>
      <c r="DU15" s="1163"/>
      <c r="DV15" s="1163"/>
      <c r="DW15" s="1163"/>
      <c r="DX15" s="1163"/>
      <c r="DY15" s="1163"/>
      <c r="DZ15" s="1163"/>
      <c r="EA15" s="1163"/>
      <c r="EB15" s="1163"/>
      <c r="EC15" s="1163"/>
      <c r="ED15" s="1163"/>
      <c r="EE15" s="1119">
        <f t="shared" si="11"/>
        <v>0</v>
      </c>
      <c r="EF15" s="443">
        <f t="shared" si="12"/>
        <v>0</v>
      </c>
      <c r="EG15" s="443">
        <f t="shared" si="13"/>
        <v>0</v>
      </c>
      <c r="EH15" s="443">
        <f t="shared" si="14"/>
        <v>0</v>
      </c>
      <c r="EI15" s="443">
        <f t="shared" si="14"/>
        <v>0</v>
      </c>
      <c r="EJ15" s="367">
        <v>3000003570</v>
      </c>
    </row>
    <row r="16" spans="1:144" outlineLevel="2">
      <c r="A16" s="367" t="s">
        <v>43</v>
      </c>
      <c r="B16" s="378"/>
      <c r="C16" s="370" t="s">
        <v>358</v>
      </c>
      <c r="E16" s="379" t="s">
        <v>363</v>
      </c>
      <c r="F16" s="380">
        <v>3000004346</v>
      </c>
      <c r="G16" s="178">
        <v>0</v>
      </c>
      <c r="H16" s="178">
        <v>10755000</v>
      </c>
      <c r="I16" s="178">
        <v>5550000</v>
      </c>
      <c r="J16" s="178">
        <v>0</v>
      </c>
      <c r="K16" s="178">
        <v>0</v>
      </c>
      <c r="L16" s="178">
        <v>0</v>
      </c>
      <c r="M16" s="178">
        <v>0</v>
      </c>
      <c r="N16" s="178">
        <v>0</v>
      </c>
      <c r="O16" s="178">
        <v>0</v>
      </c>
      <c r="P16" s="178">
        <v>0</v>
      </c>
      <c r="Q16" s="178">
        <v>0</v>
      </c>
      <c r="R16" s="178">
        <v>0</v>
      </c>
      <c r="S16" s="7">
        <f t="shared" si="4"/>
        <v>16305000</v>
      </c>
      <c r="T16" s="179"/>
      <c r="U16" s="178">
        <v>0</v>
      </c>
      <c r="V16" s="178">
        <v>0</v>
      </c>
      <c r="W16" s="178">
        <v>0</v>
      </c>
      <c r="X16" s="178">
        <v>0</v>
      </c>
      <c r="Y16" s="178">
        <v>0</v>
      </c>
      <c r="Z16" s="178">
        <v>0</v>
      </c>
      <c r="AA16" s="178">
        <v>0</v>
      </c>
      <c r="AB16" s="178">
        <v>0</v>
      </c>
      <c r="AC16" s="178">
        <v>0</v>
      </c>
      <c r="AD16" s="178">
        <v>0</v>
      </c>
      <c r="AE16" s="178">
        <v>0</v>
      </c>
      <c r="AF16" s="178">
        <v>0</v>
      </c>
      <c r="AG16" s="518">
        <f t="shared" si="5"/>
        <v>0</v>
      </c>
      <c r="AH16" s="788"/>
      <c r="AI16" s="789"/>
      <c r="AJ16" s="792"/>
      <c r="AK16" s="518"/>
      <c r="AL16" s="518"/>
      <c r="AM16" s="518"/>
      <c r="AN16" s="518"/>
      <c r="AO16" s="518"/>
      <c r="AP16" s="518"/>
      <c r="AQ16" s="518">
        <v>0</v>
      </c>
      <c r="AR16" s="518"/>
      <c r="AS16" s="518"/>
      <c r="AT16" s="518"/>
      <c r="AU16" s="518"/>
      <c r="AV16" s="518"/>
      <c r="AW16" s="518"/>
      <c r="AX16" s="518">
        <f t="shared" si="6"/>
        <v>0</v>
      </c>
      <c r="AY16" s="788"/>
      <c r="AZ16" s="789"/>
      <c r="BA16" s="792"/>
      <c r="BB16" s="518"/>
      <c r="BC16" s="518"/>
      <c r="BD16" s="518"/>
      <c r="BE16" s="518"/>
      <c r="BF16" s="518"/>
      <c r="BG16" s="518">
        <f t="shared" si="7"/>
        <v>0</v>
      </c>
      <c r="BH16" s="518">
        <v>0</v>
      </c>
      <c r="BI16" s="518">
        <v>0</v>
      </c>
      <c r="BJ16" s="518">
        <v>0</v>
      </c>
      <c r="BK16" s="518">
        <v>0</v>
      </c>
      <c r="BL16" s="518">
        <f t="shared" si="8"/>
        <v>0</v>
      </c>
      <c r="BN16" s="518"/>
      <c r="BO16" s="518"/>
      <c r="BP16" s="518"/>
      <c r="BQ16" s="518"/>
      <c r="BR16" s="518"/>
      <c r="BS16" s="518"/>
      <c r="BT16" s="518"/>
      <c r="BU16" s="518"/>
      <c r="BV16" s="518"/>
      <c r="BW16" s="518"/>
      <c r="BX16" s="518"/>
      <c r="BY16" s="518"/>
      <c r="BZ16" s="791">
        <v>0</v>
      </c>
      <c r="CB16" s="518"/>
      <c r="CC16" s="518"/>
      <c r="CD16" s="518"/>
      <c r="CE16" s="518"/>
      <c r="CF16" s="518"/>
      <c r="CG16" s="518"/>
      <c r="CH16" s="518"/>
      <c r="CI16" s="518"/>
      <c r="CJ16" s="518"/>
      <c r="CK16" s="518"/>
      <c r="CL16" s="518"/>
      <c r="CM16" s="518"/>
      <c r="CN16" s="791">
        <v>0</v>
      </c>
      <c r="CP16" s="647"/>
      <c r="CQ16" s="647"/>
      <c r="CR16" s="518"/>
      <c r="CS16" s="647"/>
      <c r="CT16" s="518"/>
      <c r="CU16" s="647"/>
      <c r="CV16" s="518"/>
      <c r="CW16" s="647"/>
      <c r="CX16" s="518"/>
      <c r="CY16" s="647"/>
      <c r="CZ16" s="518"/>
      <c r="DA16" s="647"/>
      <c r="DB16" s="518"/>
      <c r="DC16" s="647">
        <v>0</v>
      </c>
      <c r="DD16" s="518"/>
      <c r="DE16" s="518"/>
      <c r="DF16" s="518"/>
      <c r="DG16" s="748"/>
      <c r="DH16" s="518"/>
      <c r="DI16" s="518"/>
      <c r="DJ16" s="748"/>
      <c r="DK16" s="518"/>
      <c r="DL16" s="518"/>
      <c r="DM16" s="748"/>
      <c r="DN16" s="518"/>
      <c r="DO16" s="518"/>
      <c r="DP16" s="748"/>
      <c r="DQ16" s="493">
        <f t="shared" si="9"/>
        <v>0</v>
      </c>
      <c r="DR16" s="479">
        <f t="shared" si="10"/>
        <v>0</v>
      </c>
      <c r="DS16" s="1163"/>
      <c r="DT16" s="1163"/>
      <c r="DU16" s="1163"/>
      <c r="DV16" s="1163"/>
      <c r="DW16" s="1163"/>
      <c r="DX16" s="1163"/>
      <c r="DY16" s="1163"/>
      <c r="DZ16" s="1163"/>
      <c r="EA16" s="1163"/>
      <c r="EB16" s="1163"/>
      <c r="EC16" s="1163"/>
      <c r="ED16" s="1163"/>
      <c r="EE16" s="1119">
        <f t="shared" si="11"/>
        <v>0</v>
      </c>
      <c r="EF16" s="443">
        <f t="shared" si="12"/>
        <v>0</v>
      </c>
      <c r="EG16" s="443">
        <f t="shared" si="13"/>
        <v>0</v>
      </c>
      <c r="EH16" s="443">
        <f t="shared" si="14"/>
        <v>0</v>
      </c>
      <c r="EI16" s="443">
        <f t="shared" si="14"/>
        <v>0</v>
      </c>
      <c r="EJ16" s="367">
        <v>3000004346</v>
      </c>
    </row>
    <row r="17" spans="1:140" outlineLevel="2">
      <c r="A17" s="367" t="s">
        <v>39</v>
      </c>
      <c r="B17" s="378"/>
      <c r="C17" s="370" t="s">
        <v>358</v>
      </c>
      <c r="E17" s="379" t="s">
        <v>364</v>
      </c>
      <c r="F17" s="380">
        <v>3000004538</v>
      </c>
      <c r="G17" s="178">
        <v>109900000</v>
      </c>
      <c r="H17" s="178">
        <v>93950000</v>
      </c>
      <c r="I17" s="178">
        <v>151600000</v>
      </c>
      <c r="J17" s="178">
        <v>156750000</v>
      </c>
      <c r="K17" s="178">
        <v>194650000</v>
      </c>
      <c r="L17" s="178">
        <v>99350000</v>
      </c>
      <c r="M17" s="178">
        <v>154300000</v>
      </c>
      <c r="N17" s="178">
        <v>70650000</v>
      </c>
      <c r="O17" s="178">
        <v>15700000</v>
      </c>
      <c r="P17" s="178">
        <v>0</v>
      </c>
      <c r="Q17" s="178">
        <v>0</v>
      </c>
      <c r="R17" s="178">
        <v>39250000</v>
      </c>
      <c r="S17" s="7">
        <f t="shared" si="4"/>
        <v>1086100000</v>
      </c>
      <c r="T17" s="179"/>
      <c r="U17" s="178">
        <v>0</v>
      </c>
      <c r="V17" s="178">
        <v>0</v>
      </c>
      <c r="W17" s="178">
        <v>0</v>
      </c>
      <c r="X17" s="178">
        <v>0</v>
      </c>
      <c r="Y17" s="178">
        <v>0</v>
      </c>
      <c r="Z17" s="178">
        <v>0</v>
      </c>
      <c r="AA17" s="178">
        <v>0</v>
      </c>
      <c r="AB17" s="178">
        <v>0</v>
      </c>
      <c r="AC17" s="178">
        <v>0</v>
      </c>
      <c r="AD17" s="178">
        <v>0</v>
      </c>
      <c r="AE17" s="178">
        <v>0</v>
      </c>
      <c r="AF17" s="178">
        <v>0</v>
      </c>
      <c r="AG17" s="518">
        <f t="shared" si="5"/>
        <v>0</v>
      </c>
      <c r="AH17" s="788"/>
      <c r="AI17" s="789"/>
      <c r="AJ17" s="792"/>
      <c r="AK17" s="518"/>
      <c r="AL17" s="518"/>
      <c r="AM17" s="518"/>
      <c r="AN17" s="518"/>
      <c r="AO17" s="518"/>
      <c r="AP17" s="518"/>
      <c r="AQ17" s="518">
        <v>0</v>
      </c>
      <c r="AR17" s="518"/>
      <c r="AS17" s="518"/>
      <c r="AT17" s="518"/>
      <c r="AU17" s="518"/>
      <c r="AV17" s="518"/>
      <c r="AW17" s="518"/>
      <c r="AX17" s="518">
        <f t="shared" si="6"/>
        <v>0</v>
      </c>
      <c r="AY17" s="788"/>
      <c r="AZ17" s="789"/>
      <c r="BA17" s="792"/>
      <c r="BB17" s="518"/>
      <c r="BC17" s="518"/>
      <c r="BD17" s="518"/>
      <c r="BE17" s="518"/>
      <c r="BF17" s="518"/>
      <c r="BG17" s="518">
        <f t="shared" si="7"/>
        <v>0</v>
      </c>
      <c r="BH17" s="518">
        <v>0</v>
      </c>
      <c r="BI17" s="518">
        <v>0</v>
      </c>
      <c r="BJ17" s="518">
        <v>0</v>
      </c>
      <c r="BK17" s="518">
        <v>0</v>
      </c>
      <c r="BL17" s="518">
        <f t="shared" si="8"/>
        <v>0</v>
      </c>
      <c r="BN17" s="518"/>
      <c r="BO17" s="518"/>
      <c r="BP17" s="518"/>
      <c r="BQ17" s="518"/>
      <c r="BR17" s="518"/>
      <c r="BS17" s="518"/>
      <c r="BT17" s="518"/>
      <c r="BU17" s="518"/>
      <c r="BV17" s="518"/>
      <c r="BW17" s="518"/>
      <c r="BX17" s="518"/>
      <c r="BY17" s="518"/>
      <c r="BZ17" s="791">
        <v>0</v>
      </c>
      <c r="CB17" s="518"/>
      <c r="CC17" s="518"/>
      <c r="CD17" s="518"/>
      <c r="CE17" s="518"/>
      <c r="CF17" s="518"/>
      <c r="CG17" s="518"/>
      <c r="CH17" s="518"/>
      <c r="CI17" s="518"/>
      <c r="CJ17" s="518"/>
      <c r="CK17" s="518"/>
      <c r="CL17" s="518"/>
      <c r="CM17" s="518"/>
      <c r="CN17" s="791">
        <v>0</v>
      </c>
      <c r="CP17" s="647"/>
      <c r="CQ17" s="647"/>
      <c r="CR17" s="518"/>
      <c r="CS17" s="647"/>
      <c r="CT17" s="518"/>
      <c r="CU17" s="647"/>
      <c r="CV17" s="518"/>
      <c r="CW17" s="647"/>
      <c r="CX17" s="518"/>
      <c r="CY17" s="647"/>
      <c r="CZ17" s="518"/>
      <c r="DA17" s="647"/>
      <c r="DB17" s="518"/>
      <c r="DC17" s="647">
        <v>0</v>
      </c>
      <c r="DD17" s="518"/>
      <c r="DE17" s="518"/>
      <c r="DF17" s="518"/>
      <c r="DG17" s="748"/>
      <c r="DH17" s="518"/>
      <c r="DI17" s="518"/>
      <c r="DJ17" s="748"/>
      <c r="DK17" s="518"/>
      <c r="DL17" s="518"/>
      <c r="DM17" s="748"/>
      <c r="DN17" s="518"/>
      <c r="DO17" s="518"/>
      <c r="DP17" s="748"/>
      <c r="DQ17" s="493">
        <f t="shared" si="9"/>
        <v>0</v>
      </c>
      <c r="DR17" s="479">
        <f t="shared" si="10"/>
        <v>0</v>
      </c>
      <c r="DS17" s="1163"/>
      <c r="DT17" s="1163"/>
      <c r="DU17" s="1163"/>
      <c r="DV17" s="1163"/>
      <c r="DW17" s="1163"/>
      <c r="DX17" s="1163"/>
      <c r="DY17" s="1163"/>
      <c r="DZ17" s="1163"/>
      <c r="EA17" s="1163"/>
      <c r="EB17" s="1163"/>
      <c r="EC17" s="1163"/>
      <c r="ED17" s="1163"/>
      <c r="EE17" s="1119">
        <f t="shared" si="11"/>
        <v>0</v>
      </c>
      <c r="EF17" s="443">
        <f t="shared" si="12"/>
        <v>0</v>
      </c>
      <c r="EG17" s="443">
        <f>EF17*1.08</f>
        <v>0</v>
      </c>
      <c r="EH17" s="443">
        <f t="shared" si="14"/>
        <v>0</v>
      </c>
      <c r="EI17" s="443">
        <f t="shared" si="14"/>
        <v>0</v>
      </c>
      <c r="EJ17" s="367">
        <v>3000004538</v>
      </c>
    </row>
    <row r="18" spans="1:140" outlineLevel="2">
      <c r="A18" s="367" t="s">
        <v>39</v>
      </c>
      <c r="B18" s="378"/>
      <c r="C18" s="370" t="s">
        <v>358</v>
      </c>
      <c r="E18" s="379" t="s">
        <v>365</v>
      </c>
      <c r="F18" s="380">
        <v>3000005171</v>
      </c>
      <c r="G18" s="178">
        <v>14200000</v>
      </c>
      <c r="H18" s="178">
        <v>0</v>
      </c>
      <c r="I18" s="178">
        <v>0</v>
      </c>
      <c r="J18" s="178">
        <v>0</v>
      </c>
      <c r="K18" s="178">
        <v>0</v>
      </c>
      <c r="L18" s="178">
        <v>0</v>
      </c>
      <c r="M18" s="178">
        <v>0</v>
      </c>
      <c r="N18" s="178">
        <v>0</v>
      </c>
      <c r="O18" s="178">
        <v>0</v>
      </c>
      <c r="P18" s="178">
        <v>0</v>
      </c>
      <c r="Q18" s="178">
        <v>0</v>
      </c>
      <c r="R18" s="178">
        <v>0</v>
      </c>
      <c r="S18" s="7">
        <f t="shared" si="4"/>
        <v>14200000</v>
      </c>
      <c r="T18" s="179"/>
      <c r="U18" s="178">
        <v>0</v>
      </c>
      <c r="V18" s="178">
        <v>0</v>
      </c>
      <c r="W18" s="178">
        <v>0</v>
      </c>
      <c r="X18" s="178">
        <v>0</v>
      </c>
      <c r="Y18" s="178">
        <v>0</v>
      </c>
      <c r="Z18" s="178">
        <v>0</v>
      </c>
      <c r="AA18" s="178">
        <v>0</v>
      </c>
      <c r="AB18" s="178">
        <v>0</v>
      </c>
      <c r="AC18" s="178">
        <v>0</v>
      </c>
      <c r="AD18" s="178">
        <v>0</v>
      </c>
      <c r="AE18" s="178">
        <v>0</v>
      </c>
      <c r="AF18" s="178">
        <v>0</v>
      </c>
      <c r="AG18" s="518">
        <f t="shared" si="5"/>
        <v>0</v>
      </c>
      <c r="AH18" s="788"/>
      <c r="AI18" s="789"/>
      <c r="AJ18" s="792"/>
      <c r="AK18" s="518"/>
      <c r="AL18" s="518"/>
      <c r="AM18" s="518"/>
      <c r="AN18" s="518"/>
      <c r="AO18" s="518"/>
      <c r="AP18" s="518"/>
      <c r="AQ18" s="518">
        <v>0</v>
      </c>
      <c r="AR18" s="518"/>
      <c r="AS18" s="518"/>
      <c r="AT18" s="518"/>
      <c r="AU18" s="518"/>
      <c r="AV18" s="518"/>
      <c r="AW18" s="518"/>
      <c r="AX18" s="518">
        <f t="shared" si="6"/>
        <v>0</v>
      </c>
      <c r="AY18" s="788"/>
      <c r="AZ18" s="789"/>
      <c r="BA18" s="792"/>
      <c r="BB18" s="518"/>
      <c r="BC18" s="518"/>
      <c r="BD18" s="518"/>
      <c r="BE18" s="518"/>
      <c r="BF18" s="518"/>
      <c r="BG18" s="518">
        <f t="shared" si="7"/>
        <v>0</v>
      </c>
      <c r="BH18" s="518">
        <v>0</v>
      </c>
      <c r="BI18" s="518">
        <v>0</v>
      </c>
      <c r="BJ18" s="518">
        <v>0</v>
      </c>
      <c r="BK18" s="518">
        <v>0</v>
      </c>
      <c r="BL18" s="518">
        <f t="shared" si="8"/>
        <v>0</v>
      </c>
      <c r="BN18" s="518"/>
      <c r="BO18" s="518"/>
      <c r="BP18" s="518"/>
      <c r="BQ18" s="518"/>
      <c r="BR18" s="518"/>
      <c r="BS18" s="518"/>
      <c r="BT18" s="518"/>
      <c r="BU18" s="518"/>
      <c r="BV18" s="518"/>
      <c r="BW18" s="518"/>
      <c r="BX18" s="518"/>
      <c r="BY18" s="518"/>
      <c r="BZ18" s="791">
        <v>0</v>
      </c>
      <c r="CB18" s="518"/>
      <c r="CC18" s="518"/>
      <c r="CD18" s="518"/>
      <c r="CE18" s="518"/>
      <c r="CF18" s="518"/>
      <c r="CG18" s="518"/>
      <c r="CH18" s="518"/>
      <c r="CI18" s="518"/>
      <c r="CJ18" s="518"/>
      <c r="CK18" s="518"/>
      <c r="CL18" s="518"/>
      <c r="CM18" s="518"/>
      <c r="CN18" s="791">
        <v>0</v>
      </c>
      <c r="CP18" s="647"/>
      <c r="CQ18" s="647"/>
      <c r="CR18" s="518"/>
      <c r="CS18" s="647"/>
      <c r="CT18" s="518"/>
      <c r="CU18" s="647"/>
      <c r="CV18" s="518"/>
      <c r="CW18" s="647"/>
      <c r="CX18" s="518"/>
      <c r="CY18" s="647"/>
      <c r="CZ18" s="518"/>
      <c r="DA18" s="647"/>
      <c r="DB18" s="518"/>
      <c r="DC18" s="647">
        <v>0</v>
      </c>
      <c r="DD18" s="518"/>
      <c r="DE18" s="518"/>
      <c r="DF18" s="518"/>
      <c r="DG18" s="748"/>
      <c r="DH18" s="518"/>
      <c r="DI18" s="518"/>
      <c r="DJ18" s="748"/>
      <c r="DK18" s="518"/>
      <c r="DL18" s="518"/>
      <c r="DM18" s="748"/>
      <c r="DN18" s="518"/>
      <c r="DO18" s="518"/>
      <c r="DP18" s="748"/>
      <c r="DQ18" s="493">
        <f t="shared" si="9"/>
        <v>0</v>
      </c>
      <c r="DR18" s="479">
        <f t="shared" si="10"/>
        <v>0</v>
      </c>
      <c r="DS18" s="1163"/>
      <c r="DT18" s="1163"/>
      <c r="DU18" s="1163"/>
      <c r="DV18" s="1163"/>
      <c r="DW18" s="1163"/>
      <c r="DX18" s="1163"/>
      <c r="DY18" s="1163"/>
      <c r="DZ18" s="1163"/>
      <c r="EA18" s="1163"/>
      <c r="EB18" s="1163"/>
      <c r="EC18" s="1163"/>
      <c r="ED18" s="1163"/>
      <c r="EE18" s="1119">
        <f t="shared" si="11"/>
        <v>0</v>
      </c>
      <c r="EF18" s="443">
        <f t="shared" si="12"/>
        <v>0</v>
      </c>
      <c r="EG18" s="443">
        <f t="shared" si="13"/>
        <v>0</v>
      </c>
      <c r="EH18" s="443">
        <f t="shared" si="14"/>
        <v>0</v>
      </c>
      <c r="EI18" s="443">
        <f t="shared" si="14"/>
        <v>0</v>
      </c>
      <c r="EJ18" s="367">
        <v>3000005171</v>
      </c>
    </row>
    <row r="19" spans="1:140" outlineLevel="2">
      <c r="A19" s="381"/>
      <c r="B19" s="378"/>
      <c r="C19" s="370" t="s">
        <v>358</v>
      </c>
      <c r="E19" s="382" t="s">
        <v>366</v>
      </c>
      <c r="F19" s="380">
        <v>3000007315</v>
      </c>
      <c r="G19" s="178">
        <v>170797245</v>
      </c>
      <c r="H19" s="178">
        <v>249043470</v>
      </c>
      <c r="I19" s="178">
        <v>341697340</v>
      </c>
      <c r="J19" s="178">
        <v>0</v>
      </c>
      <c r="K19" s="178">
        <v>0</v>
      </c>
      <c r="L19" s="178">
        <v>0</v>
      </c>
      <c r="M19" s="178">
        <v>0</v>
      </c>
      <c r="N19" s="178">
        <v>0</v>
      </c>
      <c r="O19" s="178">
        <v>0</v>
      </c>
      <c r="P19" s="178">
        <v>0</v>
      </c>
      <c r="Q19" s="178">
        <v>0</v>
      </c>
      <c r="R19" s="178">
        <v>0</v>
      </c>
      <c r="S19" s="7">
        <f t="shared" si="4"/>
        <v>761538055</v>
      </c>
      <c r="T19" s="179"/>
      <c r="U19" s="178">
        <v>0</v>
      </c>
      <c r="V19" s="178">
        <v>0</v>
      </c>
      <c r="W19" s="178">
        <v>0</v>
      </c>
      <c r="X19" s="178">
        <v>0</v>
      </c>
      <c r="Y19" s="178">
        <v>0</v>
      </c>
      <c r="Z19" s="178">
        <v>0</v>
      </c>
      <c r="AA19" s="178">
        <v>0</v>
      </c>
      <c r="AB19" s="178">
        <v>0</v>
      </c>
      <c r="AC19" s="178">
        <v>0</v>
      </c>
      <c r="AD19" s="178">
        <v>0</v>
      </c>
      <c r="AE19" s="178">
        <v>0</v>
      </c>
      <c r="AF19" s="178">
        <v>0</v>
      </c>
      <c r="AG19" s="518">
        <f t="shared" si="5"/>
        <v>0</v>
      </c>
      <c r="AH19" s="788"/>
      <c r="AI19" s="789"/>
      <c r="AJ19" s="792"/>
      <c r="AK19" s="518"/>
      <c r="AL19" s="518"/>
      <c r="AM19" s="518"/>
      <c r="AN19" s="518"/>
      <c r="AO19" s="518"/>
      <c r="AP19" s="518"/>
      <c r="AQ19" s="518">
        <v>0</v>
      </c>
      <c r="AR19" s="518"/>
      <c r="AS19" s="518"/>
      <c r="AT19" s="518"/>
      <c r="AU19" s="518"/>
      <c r="AV19" s="518"/>
      <c r="AW19" s="518"/>
      <c r="AX19" s="518">
        <f t="shared" si="6"/>
        <v>0</v>
      </c>
      <c r="AY19" s="788"/>
      <c r="AZ19" s="789"/>
      <c r="BA19" s="792"/>
      <c r="BB19" s="518"/>
      <c r="BC19" s="518"/>
      <c r="BD19" s="518"/>
      <c r="BE19" s="518"/>
      <c r="BF19" s="518"/>
      <c r="BG19" s="518">
        <f t="shared" si="7"/>
        <v>0</v>
      </c>
      <c r="BH19" s="518">
        <v>0</v>
      </c>
      <c r="BI19" s="518">
        <v>0</v>
      </c>
      <c r="BJ19" s="518">
        <v>0</v>
      </c>
      <c r="BK19" s="518">
        <v>0</v>
      </c>
      <c r="BL19" s="518">
        <f t="shared" si="8"/>
        <v>0</v>
      </c>
      <c r="BN19" s="518"/>
      <c r="BO19" s="518"/>
      <c r="BP19" s="518"/>
      <c r="BQ19" s="518"/>
      <c r="BR19" s="518"/>
      <c r="BS19" s="518"/>
      <c r="BT19" s="518"/>
      <c r="BU19" s="518"/>
      <c r="BV19" s="518"/>
      <c r="BW19" s="518"/>
      <c r="BX19" s="518"/>
      <c r="BY19" s="518"/>
      <c r="BZ19" s="791">
        <v>0</v>
      </c>
      <c r="CB19" s="518"/>
      <c r="CC19" s="518"/>
      <c r="CD19" s="518"/>
      <c r="CE19" s="518"/>
      <c r="CF19" s="518"/>
      <c r="CG19" s="518"/>
      <c r="CH19" s="518"/>
      <c r="CI19" s="518"/>
      <c r="CJ19" s="518"/>
      <c r="CK19" s="518"/>
      <c r="CL19" s="518"/>
      <c r="CM19" s="518"/>
      <c r="CN19" s="791">
        <v>0</v>
      </c>
      <c r="CP19" s="647"/>
      <c r="CQ19" s="647"/>
      <c r="CR19" s="518"/>
      <c r="CS19" s="647"/>
      <c r="CT19" s="518"/>
      <c r="CU19" s="647"/>
      <c r="CV19" s="518"/>
      <c r="CW19" s="647"/>
      <c r="CX19" s="518"/>
      <c r="CY19" s="647"/>
      <c r="CZ19" s="518"/>
      <c r="DA19" s="647"/>
      <c r="DB19" s="518"/>
      <c r="DC19" s="647">
        <v>0</v>
      </c>
      <c r="DD19" s="518"/>
      <c r="DE19" s="518"/>
      <c r="DF19" s="518"/>
      <c r="DG19" s="748"/>
      <c r="DH19" s="518"/>
      <c r="DI19" s="518"/>
      <c r="DJ19" s="748"/>
      <c r="DK19" s="518"/>
      <c r="DL19" s="518"/>
      <c r="DM19" s="748"/>
      <c r="DN19" s="518"/>
      <c r="DO19" s="518"/>
      <c r="DP19" s="748"/>
      <c r="DQ19" s="493">
        <f t="shared" si="9"/>
        <v>0</v>
      </c>
      <c r="DR19" s="479">
        <f t="shared" si="10"/>
        <v>0</v>
      </c>
      <c r="DS19" s="1163"/>
      <c r="DT19" s="1163"/>
      <c r="DU19" s="1163"/>
      <c r="DV19" s="1163"/>
      <c r="DW19" s="1163"/>
      <c r="DX19" s="1163"/>
      <c r="DY19" s="1163"/>
      <c r="DZ19" s="1163"/>
      <c r="EA19" s="1163"/>
      <c r="EB19" s="1163"/>
      <c r="EC19" s="1163"/>
      <c r="ED19" s="1163"/>
      <c r="EE19" s="1119">
        <f t="shared" si="11"/>
        <v>0</v>
      </c>
      <c r="EF19" s="443">
        <f t="shared" si="12"/>
        <v>0</v>
      </c>
      <c r="EG19" s="443">
        <f t="shared" si="13"/>
        <v>0</v>
      </c>
      <c r="EH19" s="443">
        <f t="shared" si="14"/>
        <v>0</v>
      </c>
      <c r="EI19" s="443">
        <f t="shared" si="14"/>
        <v>0</v>
      </c>
      <c r="EJ19" s="367">
        <v>3000007315</v>
      </c>
    </row>
    <row r="20" spans="1:140" outlineLevel="2">
      <c r="A20" s="367" t="s">
        <v>39</v>
      </c>
      <c r="B20" s="378"/>
      <c r="C20" s="370" t="s">
        <v>358</v>
      </c>
      <c r="E20" s="379" t="s">
        <v>367</v>
      </c>
      <c r="F20" s="380">
        <v>3000007319</v>
      </c>
      <c r="G20" s="178">
        <v>1001436256</v>
      </c>
      <c r="H20" s="178">
        <v>492225600</v>
      </c>
      <c r="I20" s="178">
        <v>792003750</v>
      </c>
      <c r="J20" s="178">
        <v>617370200</v>
      </c>
      <c r="K20" s="178">
        <v>661972800</v>
      </c>
      <c r="L20" s="178">
        <v>305555200</v>
      </c>
      <c r="M20" s="178">
        <v>507724800</v>
      </c>
      <c r="N20" s="178">
        <v>433030800</v>
      </c>
      <c r="O20" s="178">
        <v>494197520</v>
      </c>
      <c r="P20" s="178">
        <v>782192312</v>
      </c>
      <c r="Q20" s="178">
        <v>855625664</v>
      </c>
      <c r="R20" s="178">
        <v>691241736</v>
      </c>
      <c r="S20" s="7">
        <f t="shared" si="4"/>
        <v>7634576638</v>
      </c>
      <c r="T20" s="179"/>
      <c r="U20" s="178">
        <v>735965168</v>
      </c>
      <c r="V20" s="178">
        <v>787269924</v>
      </c>
      <c r="W20" s="178">
        <v>394887600</v>
      </c>
      <c r="X20" s="178">
        <v>0</v>
      </c>
      <c r="Y20" s="178">
        <v>0</v>
      </c>
      <c r="Z20" s="178">
        <v>0</v>
      </c>
      <c r="AA20" s="178">
        <v>0</v>
      </c>
      <c r="AB20" s="178">
        <v>0</v>
      </c>
      <c r="AC20" s="178">
        <v>0</v>
      </c>
      <c r="AD20" s="178">
        <v>0</v>
      </c>
      <c r="AE20" s="178">
        <v>0</v>
      </c>
      <c r="AF20" s="178">
        <v>0</v>
      </c>
      <c r="AG20" s="518">
        <f t="shared" si="5"/>
        <v>1918122692</v>
      </c>
      <c r="AH20" s="788"/>
      <c r="AI20" s="789"/>
      <c r="AJ20" s="792"/>
      <c r="AK20" s="518"/>
      <c r="AL20" s="518"/>
      <c r="AM20" s="518"/>
      <c r="AN20" s="518"/>
      <c r="AO20" s="518"/>
      <c r="AP20" s="518"/>
      <c r="AQ20" s="518">
        <v>0</v>
      </c>
      <c r="AR20" s="518"/>
      <c r="AS20" s="518"/>
      <c r="AT20" s="518"/>
      <c r="AU20" s="518"/>
      <c r="AV20" s="518"/>
      <c r="AW20" s="518"/>
      <c r="AX20" s="518">
        <f t="shared" si="6"/>
        <v>0</v>
      </c>
      <c r="AY20" s="788"/>
      <c r="AZ20" s="789"/>
      <c r="BA20" s="792"/>
      <c r="BB20" s="518"/>
      <c r="BC20" s="518"/>
      <c r="BD20" s="518"/>
      <c r="BE20" s="518"/>
      <c r="BF20" s="518"/>
      <c r="BG20" s="518">
        <f t="shared" si="7"/>
        <v>0</v>
      </c>
      <c r="BH20" s="518">
        <v>0</v>
      </c>
      <c r="BI20" s="518">
        <v>0</v>
      </c>
      <c r="BJ20" s="518">
        <v>0</v>
      </c>
      <c r="BK20" s="518">
        <v>0</v>
      </c>
      <c r="BL20" s="518">
        <f t="shared" si="8"/>
        <v>0</v>
      </c>
      <c r="BN20" s="518"/>
      <c r="BO20" s="518"/>
      <c r="BP20" s="518"/>
      <c r="BQ20" s="518"/>
      <c r="BR20" s="518"/>
      <c r="BS20" s="518"/>
      <c r="BT20" s="518"/>
      <c r="BU20" s="518"/>
      <c r="BV20" s="518"/>
      <c r="BW20" s="518"/>
      <c r="BX20" s="518"/>
      <c r="BY20" s="518"/>
      <c r="BZ20" s="791">
        <v>0</v>
      </c>
      <c r="CB20" s="518"/>
      <c r="CC20" s="518"/>
      <c r="CD20" s="518"/>
      <c r="CE20" s="518"/>
      <c r="CF20" s="518"/>
      <c r="CG20" s="518"/>
      <c r="CH20" s="518"/>
      <c r="CI20" s="518"/>
      <c r="CJ20" s="518"/>
      <c r="CK20" s="518"/>
      <c r="CL20" s="518"/>
      <c r="CM20" s="518"/>
      <c r="CN20" s="791">
        <v>0</v>
      </c>
      <c r="CP20" s="647"/>
      <c r="CQ20" s="647"/>
      <c r="CR20" s="518"/>
      <c r="CS20" s="647"/>
      <c r="CT20" s="518"/>
      <c r="CU20" s="647"/>
      <c r="CV20" s="518"/>
      <c r="CW20" s="647"/>
      <c r="CX20" s="518"/>
      <c r="CY20" s="647"/>
      <c r="CZ20" s="518"/>
      <c r="DA20" s="647"/>
      <c r="DB20" s="518"/>
      <c r="DC20" s="647">
        <v>0</v>
      </c>
      <c r="DD20" s="518"/>
      <c r="DE20" s="518"/>
      <c r="DF20" s="518"/>
      <c r="DG20" s="748"/>
      <c r="DH20" s="518"/>
      <c r="DI20" s="518"/>
      <c r="DJ20" s="748"/>
      <c r="DK20" s="518"/>
      <c r="DL20" s="518"/>
      <c r="DM20" s="748"/>
      <c r="DN20" s="518"/>
      <c r="DO20" s="518"/>
      <c r="DP20" s="748"/>
      <c r="DQ20" s="493">
        <f t="shared" si="9"/>
        <v>0</v>
      </c>
      <c r="DR20" s="479">
        <f t="shared" si="10"/>
        <v>0</v>
      </c>
      <c r="DS20" s="1163"/>
      <c r="DT20" s="1163"/>
      <c r="DU20" s="1163"/>
      <c r="DV20" s="1163"/>
      <c r="DW20" s="1163"/>
      <c r="DX20" s="1163"/>
      <c r="DY20" s="1163"/>
      <c r="DZ20" s="1163"/>
      <c r="EA20" s="1163"/>
      <c r="EB20" s="1163"/>
      <c r="EC20" s="1163"/>
      <c r="ED20" s="1163"/>
      <c r="EE20" s="1119">
        <f t="shared" si="11"/>
        <v>0</v>
      </c>
      <c r="EF20" s="443">
        <f t="shared" si="12"/>
        <v>0</v>
      </c>
      <c r="EG20" s="443">
        <f t="shared" si="13"/>
        <v>0</v>
      </c>
      <c r="EH20" s="443">
        <f t="shared" si="14"/>
        <v>0</v>
      </c>
      <c r="EI20" s="443">
        <f t="shared" si="14"/>
        <v>0</v>
      </c>
      <c r="EJ20" s="367">
        <v>3000007319</v>
      </c>
    </row>
    <row r="21" spans="1:140" outlineLevel="2">
      <c r="A21" s="367" t="s">
        <v>39</v>
      </c>
      <c r="B21" s="378"/>
      <c r="C21" s="370" t="s">
        <v>358</v>
      </c>
      <c r="E21" s="379" t="s">
        <v>368</v>
      </c>
      <c r="F21" s="380">
        <v>3000007497</v>
      </c>
      <c r="G21" s="178">
        <v>27945000</v>
      </c>
      <c r="H21" s="178">
        <v>0</v>
      </c>
      <c r="I21" s="178">
        <v>0</v>
      </c>
      <c r="J21" s="178">
        <v>0</v>
      </c>
      <c r="K21" s="178">
        <v>0</v>
      </c>
      <c r="L21" s="178">
        <v>0</v>
      </c>
      <c r="M21" s="178">
        <v>0</v>
      </c>
      <c r="N21" s="178">
        <v>0</v>
      </c>
      <c r="O21" s="178">
        <v>0</v>
      </c>
      <c r="P21" s="178">
        <v>0</v>
      </c>
      <c r="Q21" s="178">
        <v>0</v>
      </c>
      <c r="R21" s="178">
        <v>0</v>
      </c>
      <c r="S21" s="7">
        <f t="shared" si="4"/>
        <v>27945000</v>
      </c>
      <c r="T21" s="179"/>
      <c r="U21" s="178">
        <v>0</v>
      </c>
      <c r="V21" s="178">
        <v>0</v>
      </c>
      <c r="W21" s="178">
        <v>0</v>
      </c>
      <c r="X21" s="178">
        <v>0</v>
      </c>
      <c r="Y21" s="178">
        <v>0</v>
      </c>
      <c r="Z21" s="178">
        <v>0</v>
      </c>
      <c r="AA21" s="178">
        <v>0</v>
      </c>
      <c r="AB21" s="178">
        <v>0</v>
      </c>
      <c r="AC21" s="178">
        <v>0</v>
      </c>
      <c r="AD21" s="178">
        <v>0</v>
      </c>
      <c r="AE21" s="178">
        <v>0</v>
      </c>
      <c r="AF21" s="178">
        <v>0</v>
      </c>
      <c r="AG21" s="518">
        <f t="shared" si="5"/>
        <v>0</v>
      </c>
      <c r="AH21" s="788"/>
      <c r="AI21" s="789"/>
      <c r="AJ21" s="792"/>
      <c r="AK21" s="518"/>
      <c r="AL21" s="518"/>
      <c r="AM21" s="518"/>
      <c r="AN21" s="518"/>
      <c r="AO21" s="518"/>
      <c r="AP21" s="518"/>
      <c r="AQ21" s="518">
        <v>0</v>
      </c>
      <c r="AR21" s="518"/>
      <c r="AS21" s="518"/>
      <c r="AT21" s="518"/>
      <c r="AU21" s="518"/>
      <c r="AV21" s="518"/>
      <c r="AW21" s="518"/>
      <c r="AX21" s="518">
        <f t="shared" si="6"/>
        <v>0</v>
      </c>
      <c r="AY21" s="788"/>
      <c r="AZ21" s="789"/>
      <c r="BA21" s="792"/>
      <c r="BB21" s="518"/>
      <c r="BC21" s="518"/>
      <c r="BD21" s="518"/>
      <c r="BE21" s="518"/>
      <c r="BF21" s="518"/>
      <c r="BG21" s="518">
        <f t="shared" si="7"/>
        <v>0</v>
      </c>
      <c r="BH21" s="518">
        <v>0</v>
      </c>
      <c r="BI21" s="518">
        <v>0</v>
      </c>
      <c r="BJ21" s="518">
        <v>0</v>
      </c>
      <c r="BK21" s="518">
        <v>0</v>
      </c>
      <c r="BL21" s="518">
        <f t="shared" si="8"/>
        <v>0</v>
      </c>
      <c r="BN21" s="518"/>
      <c r="BO21" s="518"/>
      <c r="BP21" s="518"/>
      <c r="BQ21" s="518"/>
      <c r="BR21" s="518"/>
      <c r="BS21" s="518"/>
      <c r="BT21" s="518"/>
      <c r="BU21" s="518"/>
      <c r="BV21" s="518"/>
      <c r="BW21" s="518"/>
      <c r="BX21" s="518"/>
      <c r="BY21" s="518"/>
      <c r="BZ21" s="791">
        <v>0</v>
      </c>
      <c r="CB21" s="518"/>
      <c r="CC21" s="518"/>
      <c r="CD21" s="518"/>
      <c r="CE21" s="518"/>
      <c r="CF21" s="518"/>
      <c r="CG21" s="518"/>
      <c r="CH21" s="518"/>
      <c r="CI21" s="518"/>
      <c r="CJ21" s="518"/>
      <c r="CK21" s="518"/>
      <c r="CL21" s="518"/>
      <c r="CM21" s="518"/>
      <c r="CN21" s="791">
        <v>0</v>
      </c>
      <c r="CP21" s="647"/>
      <c r="CQ21" s="647"/>
      <c r="CR21" s="518"/>
      <c r="CS21" s="647"/>
      <c r="CT21" s="518"/>
      <c r="CU21" s="647"/>
      <c r="CV21" s="518"/>
      <c r="CW21" s="647"/>
      <c r="CX21" s="518"/>
      <c r="CY21" s="647"/>
      <c r="CZ21" s="518"/>
      <c r="DA21" s="647"/>
      <c r="DB21" s="518"/>
      <c r="DC21" s="647">
        <v>0</v>
      </c>
      <c r="DD21" s="518"/>
      <c r="DE21" s="518"/>
      <c r="DF21" s="518"/>
      <c r="DG21" s="748"/>
      <c r="DH21" s="518"/>
      <c r="DI21" s="518"/>
      <c r="DJ21" s="748"/>
      <c r="DK21" s="518"/>
      <c r="DL21" s="518"/>
      <c r="DM21" s="748"/>
      <c r="DN21" s="518"/>
      <c r="DO21" s="518"/>
      <c r="DP21" s="748"/>
      <c r="DQ21" s="493">
        <f t="shared" si="9"/>
        <v>0</v>
      </c>
      <c r="DR21" s="479">
        <f t="shared" si="10"/>
        <v>0</v>
      </c>
      <c r="DS21" s="1163"/>
      <c r="DT21" s="1163"/>
      <c r="DU21" s="1163"/>
      <c r="DV21" s="1163"/>
      <c r="DW21" s="1163"/>
      <c r="DX21" s="1163"/>
      <c r="DY21" s="1163"/>
      <c r="DZ21" s="1163"/>
      <c r="EA21" s="1163"/>
      <c r="EB21" s="1163"/>
      <c r="EC21" s="1163"/>
      <c r="ED21" s="1163"/>
      <c r="EE21" s="1119">
        <f t="shared" si="11"/>
        <v>0</v>
      </c>
      <c r="EF21" s="443">
        <f t="shared" si="12"/>
        <v>0</v>
      </c>
      <c r="EG21" s="443">
        <f t="shared" si="13"/>
        <v>0</v>
      </c>
      <c r="EH21" s="443">
        <f t="shared" si="14"/>
        <v>0</v>
      </c>
      <c r="EI21" s="443">
        <f t="shared" si="14"/>
        <v>0</v>
      </c>
      <c r="EJ21" s="367">
        <v>3000007497</v>
      </c>
    </row>
    <row r="22" spans="1:140" outlineLevel="2">
      <c r="A22" s="381"/>
      <c r="B22" s="378"/>
      <c r="C22" s="370" t="s">
        <v>358</v>
      </c>
      <c r="E22" s="382" t="s">
        <v>369</v>
      </c>
      <c r="F22" s="380">
        <v>3000007647</v>
      </c>
      <c r="G22" s="178">
        <v>34717500</v>
      </c>
      <c r="H22" s="178">
        <v>77283500</v>
      </c>
      <c r="I22" s="178">
        <v>49546272</v>
      </c>
      <c r="J22" s="178">
        <v>0</v>
      </c>
      <c r="K22" s="178">
        <v>0</v>
      </c>
      <c r="L22" s="178">
        <v>0</v>
      </c>
      <c r="M22" s="178">
        <v>0</v>
      </c>
      <c r="N22" s="178">
        <v>0</v>
      </c>
      <c r="O22" s="178">
        <v>0</v>
      </c>
      <c r="P22" s="178">
        <v>0</v>
      </c>
      <c r="Q22" s="178">
        <v>0</v>
      </c>
      <c r="R22" s="178">
        <v>0</v>
      </c>
      <c r="S22" s="7">
        <f t="shared" si="4"/>
        <v>161547272</v>
      </c>
      <c r="T22" s="179"/>
      <c r="U22" s="178">
        <v>0</v>
      </c>
      <c r="V22" s="178">
        <v>0</v>
      </c>
      <c r="W22" s="178">
        <v>0</v>
      </c>
      <c r="X22" s="178">
        <v>0</v>
      </c>
      <c r="Y22" s="178">
        <v>0</v>
      </c>
      <c r="Z22" s="178">
        <v>0</v>
      </c>
      <c r="AA22" s="178">
        <v>0</v>
      </c>
      <c r="AB22" s="178">
        <v>0</v>
      </c>
      <c r="AC22" s="178">
        <v>0</v>
      </c>
      <c r="AD22" s="178">
        <v>0</v>
      </c>
      <c r="AE22" s="178">
        <v>0</v>
      </c>
      <c r="AF22" s="178">
        <v>0</v>
      </c>
      <c r="AG22" s="518">
        <f t="shared" si="5"/>
        <v>0</v>
      </c>
      <c r="AH22" s="788"/>
      <c r="AI22" s="789"/>
      <c r="AJ22" s="792"/>
      <c r="AK22" s="518"/>
      <c r="AL22" s="518"/>
      <c r="AM22" s="518"/>
      <c r="AN22" s="518"/>
      <c r="AO22" s="518"/>
      <c r="AP22" s="518"/>
      <c r="AQ22" s="518">
        <v>0</v>
      </c>
      <c r="AR22" s="518"/>
      <c r="AS22" s="518"/>
      <c r="AT22" s="518"/>
      <c r="AU22" s="518"/>
      <c r="AV22" s="518"/>
      <c r="AW22" s="518"/>
      <c r="AX22" s="518">
        <f t="shared" si="6"/>
        <v>0</v>
      </c>
      <c r="AY22" s="788"/>
      <c r="AZ22" s="789"/>
      <c r="BA22" s="792"/>
      <c r="BB22" s="518"/>
      <c r="BC22" s="518"/>
      <c r="BD22" s="518"/>
      <c r="BE22" s="518"/>
      <c r="BF22" s="518"/>
      <c r="BG22" s="518">
        <f t="shared" si="7"/>
        <v>0</v>
      </c>
      <c r="BH22" s="518">
        <v>0</v>
      </c>
      <c r="BI22" s="518">
        <v>0</v>
      </c>
      <c r="BJ22" s="518">
        <v>0</v>
      </c>
      <c r="BK22" s="518">
        <v>0</v>
      </c>
      <c r="BL22" s="518">
        <f t="shared" si="8"/>
        <v>0</v>
      </c>
      <c r="BN22" s="518"/>
      <c r="BO22" s="518"/>
      <c r="BP22" s="518"/>
      <c r="BQ22" s="518"/>
      <c r="BR22" s="518"/>
      <c r="BS22" s="518"/>
      <c r="BT22" s="518"/>
      <c r="BU22" s="518"/>
      <c r="BV22" s="518"/>
      <c r="BW22" s="518"/>
      <c r="BX22" s="518"/>
      <c r="BY22" s="518"/>
      <c r="BZ22" s="791">
        <v>0</v>
      </c>
      <c r="CB22" s="518"/>
      <c r="CC22" s="518"/>
      <c r="CD22" s="518"/>
      <c r="CE22" s="518"/>
      <c r="CF22" s="518"/>
      <c r="CG22" s="518"/>
      <c r="CH22" s="518"/>
      <c r="CI22" s="518"/>
      <c r="CJ22" s="518"/>
      <c r="CK22" s="518"/>
      <c r="CL22" s="518"/>
      <c r="CM22" s="518"/>
      <c r="CN22" s="791">
        <v>0</v>
      </c>
      <c r="CP22" s="647"/>
      <c r="CQ22" s="647"/>
      <c r="CR22" s="518"/>
      <c r="CS22" s="647"/>
      <c r="CT22" s="518"/>
      <c r="CU22" s="647"/>
      <c r="CV22" s="518"/>
      <c r="CW22" s="647"/>
      <c r="CX22" s="518"/>
      <c r="CY22" s="647"/>
      <c r="CZ22" s="518"/>
      <c r="DA22" s="647"/>
      <c r="DB22" s="518"/>
      <c r="DC22" s="647">
        <v>0</v>
      </c>
      <c r="DD22" s="518"/>
      <c r="DE22" s="518"/>
      <c r="DF22" s="518"/>
      <c r="DG22" s="748"/>
      <c r="DH22" s="518"/>
      <c r="DI22" s="518"/>
      <c r="DJ22" s="748"/>
      <c r="DK22" s="518"/>
      <c r="DL22" s="518"/>
      <c r="DM22" s="748"/>
      <c r="DN22" s="518"/>
      <c r="DO22" s="518"/>
      <c r="DP22" s="748"/>
      <c r="DQ22" s="493">
        <f t="shared" si="9"/>
        <v>0</v>
      </c>
      <c r="DR22" s="479">
        <f t="shared" si="10"/>
        <v>0</v>
      </c>
      <c r="DS22" s="1163"/>
      <c r="DT22" s="1163"/>
      <c r="DU22" s="1163"/>
      <c r="DV22" s="1163"/>
      <c r="DW22" s="1163"/>
      <c r="DX22" s="1163"/>
      <c r="DY22" s="1163"/>
      <c r="DZ22" s="1163"/>
      <c r="EA22" s="1163"/>
      <c r="EB22" s="1163"/>
      <c r="EC22" s="1163"/>
      <c r="ED22" s="1163"/>
      <c r="EE22" s="1119">
        <f t="shared" si="11"/>
        <v>0</v>
      </c>
      <c r="EF22" s="443">
        <f t="shared" si="12"/>
        <v>0</v>
      </c>
      <c r="EG22" s="443">
        <f t="shared" si="13"/>
        <v>0</v>
      </c>
      <c r="EH22" s="443">
        <f t="shared" si="14"/>
        <v>0</v>
      </c>
      <c r="EI22" s="443">
        <f t="shared" si="14"/>
        <v>0</v>
      </c>
      <c r="EJ22" s="367">
        <v>3000007647</v>
      </c>
    </row>
    <row r="23" spans="1:140" outlineLevel="2">
      <c r="A23" s="367" t="s">
        <v>39</v>
      </c>
      <c r="B23" s="378"/>
      <c r="C23" s="370" t="s">
        <v>358</v>
      </c>
      <c r="E23" s="379" t="s">
        <v>370</v>
      </c>
      <c r="F23" s="380">
        <v>3000007743</v>
      </c>
      <c r="G23" s="178">
        <v>125488710</v>
      </c>
      <c r="H23" s="178">
        <v>46550000</v>
      </c>
      <c r="I23" s="178">
        <v>46550000</v>
      </c>
      <c r="J23" s="178">
        <v>46550000</v>
      </c>
      <c r="K23" s="178">
        <v>46550000</v>
      </c>
      <c r="L23" s="178">
        <v>46550000</v>
      </c>
      <c r="M23" s="178">
        <v>46550000</v>
      </c>
      <c r="N23" s="178">
        <v>4500000</v>
      </c>
      <c r="O23" s="178">
        <v>0</v>
      </c>
      <c r="P23" s="178">
        <v>0</v>
      </c>
      <c r="Q23" s="178">
        <v>0</v>
      </c>
      <c r="R23" s="178">
        <v>0</v>
      </c>
      <c r="S23" s="7">
        <f t="shared" si="4"/>
        <v>409288710</v>
      </c>
      <c r="T23" s="179"/>
      <c r="U23" s="178">
        <v>0</v>
      </c>
      <c r="V23" s="178">
        <v>0</v>
      </c>
      <c r="W23" s="178">
        <v>0</v>
      </c>
      <c r="X23" s="178">
        <v>0</v>
      </c>
      <c r="Y23" s="178">
        <v>0</v>
      </c>
      <c r="Z23" s="178">
        <v>0</v>
      </c>
      <c r="AA23" s="178">
        <v>0</v>
      </c>
      <c r="AB23" s="178">
        <v>0</v>
      </c>
      <c r="AC23" s="178">
        <v>0</v>
      </c>
      <c r="AD23" s="178">
        <v>0</v>
      </c>
      <c r="AE23" s="178">
        <v>0</v>
      </c>
      <c r="AF23" s="178">
        <v>0</v>
      </c>
      <c r="AG23" s="518">
        <f t="shared" si="5"/>
        <v>0</v>
      </c>
      <c r="AH23" s="788"/>
      <c r="AI23" s="789"/>
      <c r="AJ23" s="792"/>
      <c r="AK23" s="518"/>
      <c r="AL23" s="518"/>
      <c r="AM23" s="518"/>
      <c r="AN23" s="518"/>
      <c r="AO23" s="518"/>
      <c r="AP23" s="518"/>
      <c r="AQ23" s="518">
        <v>0</v>
      </c>
      <c r="AR23" s="518"/>
      <c r="AS23" s="518"/>
      <c r="AT23" s="518"/>
      <c r="AU23" s="518"/>
      <c r="AV23" s="518"/>
      <c r="AW23" s="518"/>
      <c r="AX23" s="518">
        <f t="shared" si="6"/>
        <v>0</v>
      </c>
      <c r="AY23" s="788"/>
      <c r="AZ23" s="789"/>
      <c r="BA23" s="792"/>
      <c r="BB23" s="518"/>
      <c r="BC23" s="518"/>
      <c r="BD23" s="518"/>
      <c r="BE23" s="518"/>
      <c r="BF23" s="518"/>
      <c r="BG23" s="518">
        <f t="shared" si="7"/>
        <v>0</v>
      </c>
      <c r="BH23" s="518">
        <v>0</v>
      </c>
      <c r="BI23" s="518">
        <v>0</v>
      </c>
      <c r="BJ23" s="518">
        <v>0</v>
      </c>
      <c r="BK23" s="518">
        <v>0</v>
      </c>
      <c r="BL23" s="518">
        <f t="shared" si="8"/>
        <v>0</v>
      </c>
      <c r="BN23" s="518"/>
      <c r="BO23" s="518"/>
      <c r="BP23" s="518"/>
      <c r="BQ23" s="518"/>
      <c r="BR23" s="518"/>
      <c r="BS23" s="518"/>
      <c r="BT23" s="518"/>
      <c r="BU23" s="518"/>
      <c r="BV23" s="518"/>
      <c r="BW23" s="518"/>
      <c r="BX23" s="518"/>
      <c r="BY23" s="518"/>
      <c r="BZ23" s="791">
        <v>0</v>
      </c>
      <c r="CB23" s="518"/>
      <c r="CC23" s="518"/>
      <c r="CD23" s="518"/>
      <c r="CE23" s="518"/>
      <c r="CF23" s="518"/>
      <c r="CG23" s="518"/>
      <c r="CH23" s="518"/>
      <c r="CI23" s="518"/>
      <c r="CJ23" s="518"/>
      <c r="CK23" s="518"/>
      <c r="CL23" s="518"/>
      <c r="CM23" s="518"/>
      <c r="CN23" s="791">
        <v>0</v>
      </c>
      <c r="CP23" s="647"/>
      <c r="CQ23" s="647"/>
      <c r="CR23" s="518"/>
      <c r="CS23" s="647"/>
      <c r="CT23" s="518"/>
      <c r="CU23" s="647"/>
      <c r="CV23" s="518"/>
      <c r="CW23" s="647"/>
      <c r="CX23" s="518"/>
      <c r="CY23" s="647"/>
      <c r="CZ23" s="518"/>
      <c r="DA23" s="647"/>
      <c r="DB23" s="518"/>
      <c r="DC23" s="647">
        <v>0</v>
      </c>
      <c r="DD23" s="518"/>
      <c r="DE23" s="518"/>
      <c r="DF23" s="518"/>
      <c r="DG23" s="748"/>
      <c r="DH23" s="518"/>
      <c r="DI23" s="518"/>
      <c r="DJ23" s="748"/>
      <c r="DK23" s="518"/>
      <c r="DL23" s="518"/>
      <c r="DM23" s="748"/>
      <c r="DN23" s="518"/>
      <c r="DO23" s="518"/>
      <c r="DP23" s="748"/>
      <c r="DQ23" s="493">
        <f t="shared" si="9"/>
        <v>0</v>
      </c>
      <c r="DR23" s="479">
        <f t="shared" si="10"/>
        <v>0</v>
      </c>
      <c r="DS23" s="1163"/>
      <c r="DT23" s="1163"/>
      <c r="DU23" s="1163"/>
      <c r="DV23" s="1163"/>
      <c r="DW23" s="1163"/>
      <c r="DX23" s="1163"/>
      <c r="DY23" s="1163"/>
      <c r="DZ23" s="1163"/>
      <c r="EA23" s="1163"/>
      <c r="EB23" s="1163"/>
      <c r="EC23" s="1163"/>
      <c r="ED23" s="1163"/>
      <c r="EE23" s="1119">
        <f t="shared" si="11"/>
        <v>0</v>
      </c>
      <c r="EF23" s="443">
        <f t="shared" si="12"/>
        <v>0</v>
      </c>
      <c r="EG23" s="443">
        <f t="shared" si="13"/>
        <v>0</v>
      </c>
      <c r="EH23" s="443">
        <f t="shared" si="14"/>
        <v>0</v>
      </c>
      <c r="EI23" s="443">
        <f t="shared" si="14"/>
        <v>0</v>
      </c>
      <c r="EJ23" s="367">
        <v>3000007743</v>
      </c>
    </row>
    <row r="24" spans="1:140" outlineLevel="2">
      <c r="A24" s="381"/>
      <c r="B24" s="378"/>
      <c r="C24" s="370" t="s">
        <v>358</v>
      </c>
      <c r="E24" s="382" t="s">
        <v>371</v>
      </c>
      <c r="F24" s="380">
        <v>3000007850</v>
      </c>
      <c r="G24" s="178">
        <v>0</v>
      </c>
      <c r="H24" s="178">
        <v>1044113448</v>
      </c>
      <c r="I24" s="178">
        <v>0</v>
      </c>
      <c r="J24" s="178">
        <v>0</v>
      </c>
      <c r="K24" s="178">
        <v>0</v>
      </c>
      <c r="L24" s="178">
        <v>0</v>
      </c>
      <c r="M24" s="178">
        <v>0</v>
      </c>
      <c r="N24" s="178">
        <v>0</v>
      </c>
      <c r="O24" s="178">
        <v>0</v>
      </c>
      <c r="P24" s="178">
        <v>0</v>
      </c>
      <c r="Q24" s="178">
        <v>0</v>
      </c>
      <c r="R24" s="178">
        <v>0</v>
      </c>
      <c r="S24" s="7">
        <f t="shared" si="4"/>
        <v>1044113448</v>
      </c>
      <c r="T24" s="179"/>
      <c r="U24" s="178">
        <v>0</v>
      </c>
      <c r="V24" s="178">
        <v>0</v>
      </c>
      <c r="W24" s="178">
        <v>0</v>
      </c>
      <c r="X24" s="178">
        <v>0</v>
      </c>
      <c r="Y24" s="178">
        <v>0</v>
      </c>
      <c r="Z24" s="178">
        <v>0</v>
      </c>
      <c r="AA24" s="178">
        <v>0</v>
      </c>
      <c r="AB24" s="178">
        <v>0</v>
      </c>
      <c r="AC24" s="178">
        <v>0</v>
      </c>
      <c r="AD24" s="178">
        <v>0</v>
      </c>
      <c r="AE24" s="178">
        <v>0</v>
      </c>
      <c r="AF24" s="178">
        <v>0</v>
      </c>
      <c r="AG24" s="518">
        <f t="shared" si="5"/>
        <v>0</v>
      </c>
      <c r="AH24" s="788"/>
      <c r="AI24" s="789"/>
      <c r="AJ24" s="792"/>
      <c r="AK24" s="518"/>
      <c r="AL24" s="518"/>
      <c r="AM24" s="518"/>
      <c r="AN24" s="518"/>
      <c r="AO24" s="518"/>
      <c r="AP24" s="518"/>
      <c r="AQ24" s="518">
        <v>0</v>
      </c>
      <c r="AR24" s="518"/>
      <c r="AS24" s="518"/>
      <c r="AT24" s="518"/>
      <c r="AU24" s="518"/>
      <c r="AV24" s="518"/>
      <c r="AW24" s="518"/>
      <c r="AX24" s="518">
        <f t="shared" si="6"/>
        <v>0</v>
      </c>
      <c r="AY24" s="788"/>
      <c r="AZ24" s="789"/>
      <c r="BA24" s="792"/>
      <c r="BB24" s="518"/>
      <c r="BC24" s="518"/>
      <c r="BD24" s="518"/>
      <c r="BE24" s="518"/>
      <c r="BF24" s="518"/>
      <c r="BG24" s="518">
        <f t="shared" si="7"/>
        <v>0</v>
      </c>
      <c r="BH24" s="518">
        <v>0</v>
      </c>
      <c r="BI24" s="518">
        <v>0</v>
      </c>
      <c r="BJ24" s="518">
        <v>0</v>
      </c>
      <c r="BK24" s="518">
        <v>0</v>
      </c>
      <c r="BL24" s="518">
        <f t="shared" si="8"/>
        <v>0</v>
      </c>
      <c r="BN24" s="518"/>
      <c r="BO24" s="518"/>
      <c r="BP24" s="518"/>
      <c r="BQ24" s="518"/>
      <c r="BR24" s="518"/>
      <c r="BS24" s="518"/>
      <c r="BT24" s="518"/>
      <c r="BU24" s="518"/>
      <c r="BV24" s="518"/>
      <c r="BW24" s="518"/>
      <c r="BX24" s="518"/>
      <c r="BY24" s="518"/>
      <c r="BZ24" s="791">
        <v>0</v>
      </c>
      <c r="CB24" s="518"/>
      <c r="CC24" s="518"/>
      <c r="CD24" s="518"/>
      <c r="CE24" s="518"/>
      <c r="CF24" s="518"/>
      <c r="CG24" s="518"/>
      <c r="CH24" s="518"/>
      <c r="CI24" s="518"/>
      <c r="CJ24" s="518"/>
      <c r="CK24" s="518"/>
      <c r="CL24" s="518"/>
      <c r="CM24" s="518"/>
      <c r="CN24" s="791">
        <v>0</v>
      </c>
      <c r="CP24" s="647"/>
      <c r="CQ24" s="647"/>
      <c r="CR24" s="518"/>
      <c r="CS24" s="647"/>
      <c r="CT24" s="518"/>
      <c r="CU24" s="647"/>
      <c r="CV24" s="518"/>
      <c r="CW24" s="647"/>
      <c r="CX24" s="518"/>
      <c r="CY24" s="647"/>
      <c r="CZ24" s="518"/>
      <c r="DA24" s="647"/>
      <c r="DB24" s="518"/>
      <c r="DC24" s="647">
        <v>0</v>
      </c>
      <c r="DD24" s="518"/>
      <c r="DE24" s="518"/>
      <c r="DF24" s="518"/>
      <c r="DG24" s="748"/>
      <c r="DH24" s="518"/>
      <c r="DI24" s="518"/>
      <c r="DJ24" s="748"/>
      <c r="DK24" s="518"/>
      <c r="DL24" s="518"/>
      <c r="DM24" s="748"/>
      <c r="DN24" s="518"/>
      <c r="DO24" s="518"/>
      <c r="DP24" s="748"/>
      <c r="DQ24" s="493">
        <f t="shared" si="9"/>
        <v>0</v>
      </c>
      <c r="DR24" s="479">
        <f t="shared" si="10"/>
        <v>0</v>
      </c>
      <c r="DS24" s="1163"/>
      <c r="DT24" s="1163"/>
      <c r="DU24" s="1163"/>
      <c r="DV24" s="1163"/>
      <c r="DW24" s="1163"/>
      <c r="DX24" s="1163"/>
      <c r="DY24" s="1163"/>
      <c r="DZ24" s="1163"/>
      <c r="EA24" s="1163"/>
      <c r="EB24" s="1163"/>
      <c r="EC24" s="1163"/>
      <c r="ED24" s="1163"/>
      <c r="EE24" s="1119">
        <f t="shared" si="11"/>
        <v>0</v>
      </c>
      <c r="EF24" s="443">
        <f t="shared" si="12"/>
        <v>0</v>
      </c>
      <c r="EG24" s="443">
        <f t="shared" si="13"/>
        <v>0</v>
      </c>
      <c r="EH24" s="443">
        <f t="shared" si="14"/>
        <v>0</v>
      </c>
      <c r="EI24" s="443">
        <f t="shared" si="14"/>
        <v>0</v>
      </c>
      <c r="EJ24" s="367">
        <v>3000007850</v>
      </c>
    </row>
    <row r="25" spans="1:140" outlineLevel="2">
      <c r="A25" s="367" t="s">
        <v>43</v>
      </c>
      <c r="B25" s="378"/>
      <c r="C25" s="370" t="s">
        <v>358</v>
      </c>
      <c r="E25" s="379" t="s">
        <v>64</v>
      </c>
      <c r="F25" s="380">
        <v>3000007907</v>
      </c>
      <c r="G25" s="178">
        <v>5866668</v>
      </c>
      <c r="H25" s="178">
        <v>0</v>
      </c>
      <c r="I25" s="178">
        <v>0</v>
      </c>
      <c r="J25" s="178">
        <v>0</v>
      </c>
      <c r="K25" s="178">
        <v>0</v>
      </c>
      <c r="L25" s="178">
        <v>0</v>
      </c>
      <c r="M25" s="178">
        <v>0</v>
      </c>
      <c r="N25" s="178">
        <v>0</v>
      </c>
      <c r="O25" s="178">
        <v>0</v>
      </c>
      <c r="P25" s="178">
        <v>0</v>
      </c>
      <c r="Q25" s="178">
        <v>0</v>
      </c>
      <c r="R25" s="178">
        <v>0</v>
      </c>
      <c r="S25" s="7">
        <f t="shared" si="4"/>
        <v>5866668</v>
      </c>
      <c r="T25" s="179"/>
      <c r="U25" s="178">
        <v>0</v>
      </c>
      <c r="V25" s="178">
        <v>0</v>
      </c>
      <c r="W25" s="178">
        <v>0</v>
      </c>
      <c r="X25" s="178">
        <v>0</v>
      </c>
      <c r="Y25" s="178">
        <v>0</v>
      </c>
      <c r="Z25" s="178">
        <v>0</v>
      </c>
      <c r="AA25" s="178">
        <v>0</v>
      </c>
      <c r="AB25" s="178">
        <v>0</v>
      </c>
      <c r="AC25" s="178">
        <v>0</v>
      </c>
      <c r="AD25" s="178">
        <v>0</v>
      </c>
      <c r="AE25" s="178">
        <v>0</v>
      </c>
      <c r="AF25" s="178">
        <v>0</v>
      </c>
      <c r="AG25" s="518">
        <f t="shared" si="5"/>
        <v>0</v>
      </c>
      <c r="AH25" s="788"/>
      <c r="AI25" s="789"/>
      <c r="AJ25" s="792"/>
      <c r="AK25" s="518"/>
      <c r="AL25" s="518"/>
      <c r="AM25" s="518"/>
      <c r="AN25" s="518"/>
      <c r="AO25" s="518"/>
      <c r="AP25" s="518"/>
      <c r="AQ25" s="518">
        <v>0</v>
      </c>
      <c r="AR25" s="518"/>
      <c r="AS25" s="518"/>
      <c r="AT25" s="518"/>
      <c r="AU25" s="518"/>
      <c r="AV25" s="518"/>
      <c r="AW25" s="518"/>
      <c r="AX25" s="518">
        <f t="shared" si="6"/>
        <v>0</v>
      </c>
      <c r="AY25" s="788"/>
      <c r="AZ25" s="789"/>
      <c r="BA25" s="792"/>
      <c r="BB25" s="518"/>
      <c r="BC25" s="518"/>
      <c r="BD25" s="518"/>
      <c r="BE25" s="518"/>
      <c r="BF25" s="518"/>
      <c r="BG25" s="518">
        <f t="shared" si="7"/>
        <v>0</v>
      </c>
      <c r="BH25" s="518">
        <v>0</v>
      </c>
      <c r="BI25" s="518">
        <v>0</v>
      </c>
      <c r="BJ25" s="518">
        <v>0</v>
      </c>
      <c r="BK25" s="518">
        <v>0</v>
      </c>
      <c r="BL25" s="518">
        <f t="shared" si="8"/>
        <v>0</v>
      </c>
      <c r="BN25" s="518"/>
      <c r="BO25" s="518"/>
      <c r="BP25" s="518"/>
      <c r="BQ25" s="518"/>
      <c r="BR25" s="518"/>
      <c r="BS25" s="518"/>
      <c r="BT25" s="518"/>
      <c r="BU25" s="518"/>
      <c r="BV25" s="518"/>
      <c r="BW25" s="518"/>
      <c r="BX25" s="518"/>
      <c r="BY25" s="518"/>
      <c r="BZ25" s="791">
        <v>0</v>
      </c>
      <c r="CB25" s="518"/>
      <c r="CC25" s="518"/>
      <c r="CD25" s="518"/>
      <c r="CE25" s="518"/>
      <c r="CF25" s="518"/>
      <c r="CG25" s="518"/>
      <c r="CH25" s="518"/>
      <c r="CI25" s="518"/>
      <c r="CJ25" s="518"/>
      <c r="CK25" s="518"/>
      <c r="CL25" s="518"/>
      <c r="CM25" s="518"/>
      <c r="CN25" s="791">
        <v>0</v>
      </c>
      <c r="CP25" s="647"/>
      <c r="CQ25" s="647"/>
      <c r="CR25" s="518"/>
      <c r="CS25" s="647"/>
      <c r="CT25" s="518"/>
      <c r="CU25" s="647"/>
      <c r="CV25" s="518"/>
      <c r="CW25" s="647"/>
      <c r="CX25" s="518"/>
      <c r="CY25" s="647"/>
      <c r="CZ25" s="518"/>
      <c r="DA25" s="647"/>
      <c r="DB25" s="518"/>
      <c r="DC25" s="647">
        <v>0</v>
      </c>
      <c r="DD25" s="518"/>
      <c r="DE25" s="518"/>
      <c r="DF25" s="518"/>
      <c r="DG25" s="748"/>
      <c r="DH25" s="518"/>
      <c r="DI25" s="518"/>
      <c r="DJ25" s="748"/>
      <c r="DK25" s="518"/>
      <c r="DL25" s="518"/>
      <c r="DM25" s="748"/>
      <c r="DN25" s="518"/>
      <c r="DO25" s="518"/>
      <c r="DP25" s="748"/>
      <c r="DQ25" s="493">
        <f t="shared" si="9"/>
        <v>0</v>
      </c>
      <c r="DR25" s="479">
        <f t="shared" si="10"/>
        <v>0</v>
      </c>
      <c r="DS25" s="1163"/>
      <c r="DT25" s="1163"/>
      <c r="DU25" s="1163"/>
      <c r="DV25" s="1163"/>
      <c r="DW25" s="1163"/>
      <c r="DX25" s="1163"/>
      <c r="DY25" s="1163"/>
      <c r="DZ25" s="1163"/>
      <c r="EA25" s="1163"/>
      <c r="EB25" s="1163"/>
      <c r="EC25" s="1163"/>
      <c r="ED25" s="1163"/>
      <c r="EE25" s="1119">
        <f t="shared" si="11"/>
        <v>0</v>
      </c>
      <c r="EF25" s="443">
        <f t="shared" si="12"/>
        <v>0</v>
      </c>
      <c r="EG25" s="443">
        <f t="shared" si="13"/>
        <v>0</v>
      </c>
      <c r="EH25" s="443">
        <f t="shared" si="14"/>
        <v>0</v>
      </c>
      <c r="EI25" s="443">
        <f t="shared" si="14"/>
        <v>0</v>
      </c>
      <c r="EJ25" s="367">
        <v>3000007907</v>
      </c>
    </row>
    <row r="26" spans="1:140" outlineLevel="2">
      <c r="A26" s="367" t="s">
        <v>39</v>
      </c>
      <c r="B26" s="378"/>
      <c r="C26" s="370" t="s">
        <v>358</v>
      </c>
      <c r="E26" s="379" t="s">
        <v>86</v>
      </c>
      <c r="F26" s="380">
        <v>3000007981</v>
      </c>
      <c r="G26" s="178">
        <v>20500000</v>
      </c>
      <c r="H26" s="178">
        <v>20500000</v>
      </c>
      <c r="I26" s="178">
        <v>20565000</v>
      </c>
      <c r="J26" s="178">
        <v>21700000</v>
      </c>
      <c r="K26" s="178">
        <v>20500000</v>
      </c>
      <c r="L26" s="178">
        <v>20500000</v>
      </c>
      <c r="M26" s="178">
        <v>41065000</v>
      </c>
      <c r="N26" s="178">
        <v>20500000</v>
      </c>
      <c r="O26" s="178">
        <v>20500000</v>
      </c>
      <c r="P26" s="178">
        <v>21550000</v>
      </c>
      <c r="Q26" s="178">
        <v>20500000</v>
      </c>
      <c r="R26" s="178">
        <v>20560000</v>
      </c>
      <c r="S26" s="7">
        <f t="shared" si="4"/>
        <v>268940000</v>
      </c>
      <c r="T26" s="179"/>
      <c r="U26" s="178">
        <v>20500000</v>
      </c>
      <c r="V26" s="178">
        <v>22050000</v>
      </c>
      <c r="W26" s="178">
        <v>21620000</v>
      </c>
      <c r="X26" s="178">
        <v>20780000</v>
      </c>
      <c r="Y26" s="178">
        <v>20500000</v>
      </c>
      <c r="Z26" s="178">
        <v>70000</v>
      </c>
      <c r="AA26" s="178">
        <v>0</v>
      </c>
      <c r="AB26" s="178">
        <v>0</v>
      </c>
      <c r="AC26" s="178">
        <v>0</v>
      </c>
      <c r="AD26" s="178">
        <v>0</v>
      </c>
      <c r="AE26" s="178">
        <v>0</v>
      </c>
      <c r="AF26" s="178">
        <v>0</v>
      </c>
      <c r="AG26" s="518">
        <f t="shared" si="5"/>
        <v>105520000</v>
      </c>
      <c r="AH26" s="788"/>
      <c r="AI26" s="789"/>
      <c r="AJ26" s="792"/>
      <c r="AK26" s="518"/>
      <c r="AL26" s="518"/>
      <c r="AM26" s="518"/>
      <c r="AN26" s="518"/>
      <c r="AO26" s="518"/>
      <c r="AP26" s="518"/>
      <c r="AQ26" s="518">
        <v>0</v>
      </c>
      <c r="AR26" s="518"/>
      <c r="AS26" s="518"/>
      <c r="AT26" s="518"/>
      <c r="AU26" s="518"/>
      <c r="AV26" s="518"/>
      <c r="AW26" s="518"/>
      <c r="AX26" s="518">
        <f t="shared" si="6"/>
        <v>0</v>
      </c>
      <c r="AY26" s="788"/>
      <c r="AZ26" s="789"/>
      <c r="BA26" s="792"/>
      <c r="BB26" s="518"/>
      <c r="BC26" s="518"/>
      <c r="BD26" s="518"/>
      <c r="BE26" s="518"/>
      <c r="BF26" s="518"/>
      <c r="BG26" s="518">
        <f t="shared" si="7"/>
        <v>0</v>
      </c>
      <c r="BH26" s="518">
        <v>0</v>
      </c>
      <c r="BI26" s="518">
        <v>0</v>
      </c>
      <c r="BJ26" s="518">
        <v>0</v>
      </c>
      <c r="BK26" s="518">
        <v>0</v>
      </c>
      <c r="BL26" s="518">
        <f t="shared" si="8"/>
        <v>0</v>
      </c>
      <c r="BN26" s="518"/>
      <c r="BO26" s="518"/>
      <c r="BP26" s="518"/>
      <c r="BQ26" s="518"/>
      <c r="BR26" s="518"/>
      <c r="BS26" s="518"/>
      <c r="BT26" s="518"/>
      <c r="BU26" s="518"/>
      <c r="BV26" s="518"/>
      <c r="BW26" s="518"/>
      <c r="BX26" s="518"/>
      <c r="BY26" s="518"/>
      <c r="BZ26" s="791">
        <v>0</v>
      </c>
      <c r="CB26" s="518"/>
      <c r="CC26" s="518"/>
      <c r="CD26" s="518"/>
      <c r="CE26" s="518"/>
      <c r="CF26" s="518"/>
      <c r="CG26" s="518"/>
      <c r="CH26" s="518"/>
      <c r="CI26" s="518"/>
      <c r="CJ26" s="518"/>
      <c r="CK26" s="518"/>
      <c r="CL26" s="518"/>
      <c r="CM26" s="518"/>
      <c r="CN26" s="791">
        <v>0</v>
      </c>
      <c r="CP26" s="647"/>
      <c r="CQ26" s="647"/>
      <c r="CR26" s="518"/>
      <c r="CS26" s="647"/>
      <c r="CT26" s="518"/>
      <c r="CU26" s="647"/>
      <c r="CV26" s="518"/>
      <c r="CW26" s="647"/>
      <c r="CX26" s="518"/>
      <c r="CY26" s="647"/>
      <c r="CZ26" s="518"/>
      <c r="DA26" s="647"/>
      <c r="DB26" s="518"/>
      <c r="DC26" s="647">
        <v>0</v>
      </c>
      <c r="DD26" s="518"/>
      <c r="DE26" s="518"/>
      <c r="DF26" s="518"/>
      <c r="DG26" s="748"/>
      <c r="DH26" s="518"/>
      <c r="DI26" s="518"/>
      <c r="DJ26" s="748"/>
      <c r="DK26" s="518"/>
      <c r="DL26" s="518"/>
      <c r="DM26" s="748"/>
      <c r="DN26" s="518"/>
      <c r="DO26" s="518"/>
      <c r="DP26" s="748"/>
      <c r="DQ26" s="493">
        <f t="shared" si="9"/>
        <v>0</v>
      </c>
      <c r="DR26" s="479">
        <f t="shared" si="10"/>
        <v>0</v>
      </c>
      <c r="DS26" s="1163"/>
      <c r="DT26" s="1163"/>
      <c r="DU26" s="1163"/>
      <c r="DV26" s="1163"/>
      <c r="DW26" s="1163"/>
      <c r="DX26" s="1163"/>
      <c r="DY26" s="1163"/>
      <c r="DZ26" s="1163"/>
      <c r="EA26" s="1163"/>
      <c r="EB26" s="1163"/>
      <c r="EC26" s="1163"/>
      <c r="ED26" s="1163"/>
      <c r="EE26" s="1119">
        <f t="shared" si="11"/>
        <v>0</v>
      </c>
      <c r="EF26" s="443">
        <f t="shared" si="12"/>
        <v>0</v>
      </c>
      <c r="EG26" s="443">
        <f t="shared" si="13"/>
        <v>0</v>
      </c>
      <c r="EH26" s="443">
        <f t="shared" si="14"/>
        <v>0</v>
      </c>
      <c r="EI26" s="443">
        <f t="shared" si="14"/>
        <v>0</v>
      </c>
      <c r="EJ26" s="367">
        <v>3000007981</v>
      </c>
    </row>
    <row r="27" spans="1:140" outlineLevel="2">
      <c r="A27" s="381"/>
      <c r="B27" s="378"/>
      <c r="C27" s="370" t="s">
        <v>358</v>
      </c>
      <c r="E27" s="382" t="s">
        <v>372</v>
      </c>
      <c r="F27" s="380">
        <v>3000009092</v>
      </c>
      <c r="G27" s="178">
        <v>0</v>
      </c>
      <c r="H27" s="178">
        <v>0</v>
      </c>
      <c r="I27" s="178">
        <v>347811818</v>
      </c>
      <c r="J27" s="178">
        <v>0</v>
      </c>
      <c r="K27" s="178">
        <v>0</v>
      </c>
      <c r="L27" s="178">
        <v>0</v>
      </c>
      <c r="M27" s="178">
        <v>0</v>
      </c>
      <c r="N27" s="178">
        <v>0</v>
      </c>
      <c r="O27" s="178">
        <v>0</v>
      </c>
      <c r="P27" s="178">
        <v>0</v>
      </c>
      <c r="Q27" s="178">
        <v>0</v>
      </c>
      <c r="R27" s="178">
        <v>0</v>
      </c>
      <c r="S27" s="7">
        <f t="shared" si="4"/>
        <v>347811818</v>
      </c>
      <c r="T27" s="179"/>
      <c r="U27" s="178">
        <v>0</v>
      </c>
      <c r="V27" s="178">
        <v>0</v>
      </c>
      <c r="W27" s="178">
        <v>0</v>
      </c>
      <c r="X27" s="178">
        <v>0</v>
      </c>
      <c r="Y27" s="178">
        <v>0</v>
      </c>
      <c r="Z27" s="178">
        <v>0</v>
      </c>
      <c r="AA27" s="178">
        <v>0</v>
      </c>
      <c r="AB27" s="178">
        <v>0</v>
      </c>
      <c r="AC27" s="178">
        <v>0</v>
      </c>
      <c r="AD27" s="178">
        <v>0</v>
      </c>
      <c r="AE27" s="178">
        <v>0</v>
      </c>
      <c r="AF27" s="178">
        <v>0</v>
      </c>
      <c r="AG27" s="518">
        <f t="shared" si="5"/>
        <v>0</v>
      </c>
      <c r="AH27" s="788"/>
      <c r="AI27" s="789"/>
      <c r="AJ27" s="792"/>
      <c r="AK27" s="518"/>
      <c r="AL27" s="518"/>
      <c r="AM27" s="518"/>
      <c r="AN27" s="518"/>
      <c r="AO27" s="518"/>
      <c r="AP27" s="518"/>
      <c r="AQ27" s="518">
        <v>0</v>
      </c>
      <c r="AR27" s="518"/>
      <c r="AS27" s="518"/>
      <c r="AT27" s="518"/>
      <c r="AU27" s="518"/>
      <c r="AV27" s="518"/>
      <c r="AW27" s="518"/>
      <c r="AX27" s="518">
        <f t="shared" si="6"/>
        <v>0</v>
      </c>
      <c r="AY27" s="788"/>
      <c r="AZ27" s="789"/>
      <c r="BA27" s="792"/>
      <c r="BB27" s="518"/>
      <c r="BC27" s="518"/>
      <c r="BD27" s="518"/>
      <c r="BE27" s="518"/>
      <c r="BF27" s="518"/>
      <c r="BG27" s="518">
        <f t="shared" si="7"/>
        <v>0</v>
      </c>
      <c r="BH27" s="518">
        <v>0</v>
      </c>
      <c r="BI27" s="518">
        <v>0</v>
      </c>
      <c r="BJ27" s="518">
        <v>0</v>
      </c>
      <c r="BK27" s="518">
        <v>0</v>
      </c>
      <c r="BL27" s="518">
        <f t="shared" si="8"/>
        <v>0</v>
      </c>
      <c r="BN27" s="518"/>
      <c r="BO27" s="518"/>
      <c r="BP27" s="518"/>
      <c r="BQ27" s="518"/>
      <c r="BR27" s="518"/>
      <c r="BS27" s="518"/>
      <c r="BT27" s="518"/>
      <c r="BU27" s="518"/>
      <c r="BV27" s="518"/>
      <c r="BW27" s="518"/>
      <c r="BX27" s="518"/>
      <c r="BY27" s="518"/>
      <c r="BZ27" s="791">
        <v>0</v>
      </c>
      <c r="CB27" s="518"/>
      <c r="CC27" s="518"/>
      <c r="CD27" s="518"/>
      <c r="CE27" s="518"/>
      <c r="CF27" s="518"/>
      <c r="CG27" s="518"/>
      <c r="CH27" s="518"/>
      <c r="CI27" s="518"/>
      <c r="CJ27" s="518"/>
      <c r="CK27" s="518"/>
      <c r="CL27" s="518"/>
      <c r="CM27" s="518"/>
      <c r="CN27" s="791">
        <v>0</v>
      </c>
      <c r="CP27" s="647"/>
      <c r="CQ27" s="647"/>
      <c r="CR27" s="518"/>
      <c r="CS27" s="647"/>
      <c r="CT27" s="518"/>
      <c r="CU27" s="647"/>
      <c r="CV27" s="518"/>
      <c r="CW27" s="647"/>
      <c r="CX27" s="518"/>
      <c r="CY27" s="647"/>
      <c r="CZ27" s="518"/>
      <c r="DA27" s="647"/>
      <c r="DB27" s="518"/>
      <c r="DC27" s="647">
        <v>0</v>
      </c>
      <c r="DD27" s="518"/>
      <c r="DE27" s="518"/>
      <c r="DF27" s="518"/>
      <c r="DG27" s="748"/>
      <c r="DH27" s="518"/>
      <c r="DI27" s="518"/>
      <c r="DJ27" s="748"/>
      <c r="DK27" s="518"/>
      <c r="DL27" s="518"/>
      <c r="DM27" s="748"/>
      <c r="DN27" s="518"/>
      <c r="DO27" s="518"/>
      <c r="DP27" s="748"/>
      <c r="DQ27" s="493">
        <f t="shared" si="9"/>
        <v>0</v>
      </c>
      <c r="DR27" s="479">
        <f t="shared" si="10"/>
        <v>0</v>
      </c>
      <c r="DS27" s="1163"/>
      <c r="DT27" s="1163"/>
      <c r="DU27" s="1163"/>
      <c r="DV27" s="1163"/>
      <c r="DW27" s="1163"/>
      <c r="DX27" s="1163"/>
      <c r="DY27" s="1163"/>
      <c r="DZ27" s="1163"/>
      <c r="EA27" s="1163"/>
      <c r="EB27" s="1163"/>
      <c r="EC27" s="1163"/>
      <c r="ED27" s="1163"/>
      <c r="EE27" s="1119">
        <f t="shared" si="11"/>
        <v>0</v>
      </c>
      <c r="EF27" s="443">
        <f t="shared" si="12"/>
        <v>0</v>
      </c>
      <c r="EG27" s="443">
        <f t="shared" si="13"/>
        <v>0</v>
      </c>
      <c r="EH27" s="443">
        <f t="shared" si="14"/>
        <v>0</v>
      </c>
      <c r="EI27" s="443">
        <f t="shared" si="14"/>
        <v>0</v>
      </c>
      <c r="EJ27" s="367">
        <v>3000009092</v>
      </c>
    </row>
    <row r="28" spans="1:140" outlineLevel="2">
      <c r="A28" s="367" t="s">
        <v>43</v>
      </c>
      <c r="B28" s="378"/>
      <c r="C28" s="370" t="s">
        <v>358</v>
      </c>
      <c r="E28" s="379" t="s">
        <v>90</v>
      </c>
      <c r="F28" s="380">
        <v>3000009456</v>
      </c>
      <c r="G28" s="178">
        <v>0</v>
      </c>
      <c r="H28" s="178">
        <v>0</v>
      </c>
      <c r="I28" s="178">
        <v>103300000</v>
      </c>
      <c r="J28" s="178">
        <v>198700000</v>
      </c>
      <c r="K28" s="178">
        <v>123400000</v>
      </c>
      <c r="L28" s="178">
        <v>0</v>
      </c>
      <c r="M28" s="178">
        <v>10920000</v>
      </c>
      <c r="N28" s="178">
        <v>22265000</v>
      </c>
      <c r="O28" s="178">
        <v>0</v>
      </c>
      <c r="P28" s="178">
        <v>0</v>
      </c>
      <c r="Q28" s="178">
        <v>0</v>
      </c>
      <c r="R28" s="178">
        <v>30000000</v>
      </c>
      <c r="S28" s="7">
        <f t="shared" si="4"/>
        <v>488585000</v>
      </c>
      <c r="T28" s="179"/>
      <c r="U28" s="178">
        <v>0</v>
      </c>
      <c r="V28" s="178">
        <v>0</v>
      </c>
      <c r="W28" s="178">
        <v>0</v>
      </c>
      <c r="X28" s="178">
        <v>0</v>
      </c>
      <c r="Y28" s="178">
        <v>0</v>
      </c>
      <c r="Z28" s="178">
        <v>0</v>
      </c>
      <c r="AA28" s="178">
        <v>0</v>
      </c>
      <c r="AB28" s="178">
        <v>0</v>
      </c>
      <c r="AC28" s="178">
        <v>0</v>
      </c>
      <c r="AD28" s="178">
        <v>0</v>
      </c>
      <c r="AE28" s="178">
        <v>0</v>
      </c>
      <c r="AF28" s="178">
        <v>0</v>
      </c>
      <c r="AG28" s="518">
        <f t="shared" si="5"/>
        <v>0</v>
      </c>
      <c r="AH28" s="788"/>
      <c r="AI28" s="789"/>
      <c r="AJ28" s="792"/>
      <c r="AK28" s="518"/>
      <c r="AL28" s="518"/>
      <c r="AM28" s="518"/>
      <c r="AN28" s="518"/>
      <c r="AO28" s="518"/>
      <c r="AP28" s="518"/>
      <c r="AQ28" s="518">
        <v>0</v>
      </c>
      <c r="AR28" s="518"/>
      <c r="AS28" s="518"/>
      <c r="AT28" s="518"/>
      <c r="AU28" s="518"/>
      <c r="AV28" s="518"/>
      <c r="AW28" s="518"/>
      <c r="AX28" s="518">
        <f t="shared" si="6"/>
        <v>0</v>
      </c>
      <c r="AY28" s="788"/>
      <c r="AZ28" s="789"/>
      <c r="BA28" s="792"/>
      <c r="BB28" s="518"/>
      <c r="BC28" s="518"/>
      <c r="BD28" s="518"/>
      <c r="BE28" s="518"/>
      <c r="BF28" s="518"/>
      <c r="BG28" s="518">
        <f t="shared" si="7"/>
        <v>0</v>
      </c>
      <c r="BH28" s="518">
        <v>0</v>
      </c>
      <c r="BI28" s="518">
        <v>0</v>
      </c>
      <c r="BJ28" s="518">
        <v>0</v>
      </c>
      <c r="BK28" s="518">
        <v>0</v>
      </c>
      <c r="BL28" s="518">
        <f t="shared" si="8"/>
        <v>0</v>
      </c>
      <c r="BN28" s="518"/>
      <c r="BO28" s="518"/>
      <c r="BP28" s="518"/>
      <c r="BQ28" s="518"/>
      <c r="BR28" s="518"/>
      <c r="BS28" s="518"/>
      <c r="BT28" s="518"/>
      <c r="BU28" s="518"/>
      <c r="BV28" s="518"/>
      <c r="BW28" s="518"/>
      <c r="BX28" s="518"/>
      <c r="BY28" s="518"/>
      <c r="BZ28" s="791">
        <v>0</v>
      </c>
      <c r="CB28" s="518"/>
      <c r="CC28" s="518"/>
      <c r="CD28" s="518"/>
      <c r="CE28" s="518"/>
      <c r="CF28" s="518"/>
      <c r="CG28" s="518"/>
      <c r="CH28" s="518"/>
      <c r="CI28" s="518"/>
      <c r="CJ28" s="518"/>
      <c r="CK28" s="518"/>
      <c r="CL28" s="518"/>
      <c r="CM28" s="518"/>
      <c r="CN28" s="791">
        <v>0</v>
      </c>
      <c r="CP28" s="647"/>
      <c r="CQ28" s="647"/>
      <c r="CR28" s="518"/>
      <c r="CS28" s="647"/>
      <c r="CT28" s="518"/>
      <c r="CU28" s="647"/>
      <c r="CV28" s="518"/>
      <c r="CW28" s="647"/>
      <c r="CX28" s="518"/>
      <c r="CY28" s="647"/>
      <c r="CZ28" s="518"/>
      <c r="DA28" s="647"/>
      <c r="DB28" s="518"/>
      <c r="DC28" s="647">
        <v>0</v>
      </c>
      <c r="DD28" s="518"/>
      <c r="DE28" s="518"/>
      <c r="DF28" s="518"/>
      <c r="DG28" s="748"/>
      <c r="DH28" s="518"/>
      <c r="DI28" s="518"/>
      <c r="DJ28" s="748"/>
      <c r="DK28" s="518"/>
      <c r="DL28" s="518"/>
      <c r="DM28" s="748"/>
      <c r="DN28" s="518"/>
      <c r="DO28" s="518"/>
      <c r="DP28" s="748"/>
      <c r="DQ28" s="493">
        <f t="shared" si="9"/>
        <v>0</v>
      </c>
      <c r="DR28" s="479">
        <f t="shared" si="10"/>
        <v>0</v>
      </c>
      <c r="DS28" s="1163"/>
      <c r="DT28" s="1163"/>
      <c r="DU28" s="1163"/>
      <c r="DV28" s="1163"/>
      <c r="DW28" s="1163"/>
      <c r="DX28" s="1163"/>
      <c r="DY28" s="1163"/>
      <c r="DZ28" s="1163"/>
      <c r="EA28" s="1163"/>
      <c r="EB28" s="1163"/>
      <c r="EC28" s="1163"/>
      <c r="ED28" s="1163"/>
      <c r="EE28" s="1119">
        <f t="shared" si="11"/>
        <v>0</v>
      </c>
      <c r="EF28" s="443">
        <f t="shared" si="12"/>
        <v>0</v>
      </c>
      <c r="EG28" s="443">
        <f t="shared" si="13"/>
        <v>0</v>
      </c>
      <c r="EH28" s="443">
        <f t="shared" si="14"/>
        <v>0</v>
      </c>
      <c r="EI28" s="443">
        <f t="shared" si="14"/>
        <v>0</v>
      </c>
      <c r="EJ28" s="367">
        <v>3000009456</v>
      </c>
    </row>
    <row r="29" spans="1:140" outlineLevel="2">
      <c r="A29" s="377" t="s">
        <v>59</v>
      </c>
      <c r="B29" s="378"/>
      <c r="C29" s="370" t="s">
        <v>358</v>
      </c>
      <c r="E29" s="379" t="s">
        <v>373</v>
      </c>
      <c r="F29" s="380">
        <v>3000010987</v>
      </c>
      <c r="G29" s="178">
        <v>0</v>
      </c>
      <c r="H29" s="178">
        <v>0</v>
      </c>
      <c r="I29" s="178">
        <v>0</v>
      </c>
      <c r="J29" s="178">
        <v>2310000</v>
      </c>
      <c r="K29" s="178">
        <v>4050000</v>
      </c>
      <c r="L29" s="178">
        <v>4400000</v>
      </c>
      <c r="M29" s="178">
        <v>25050000</v>
      </c>
      <c r="N29" s="178">
        <v>2410000</v>
      </c>
      <c r="O29" s="178">
        <v>0</v>
      </c>
      <c r="P29" s="178">
        <v>0</v>
      </c>
      <c r="Q29" s="178">
        <v>0</v>
      </c>
      <c r="R29" s="178">
        <v>0</v>
      </c>
      <c r="S29" s="7">
        <f t="shared" si="4"/>
        <v>38220000</v>
      </c>
      <c r="T29" s="179"/>
      <c r="U29" s="178">
        <v>0</v>
      </c>
      <c r="V29" s="178">
        <v>0</v>
      </c>
      <c r="W29" s="178">
        <v>0</v>
      </c>
      <c r="X29" s="178">
        <v>0</v>
      </c>
      <c r="Y29" s="178">
        <v>0</v>
      </c>
      <c r="Z29" s="178">
        <v>0</v>
      </c>
      <c r="AA29" s="178">
        <v>0</v>
      </c>
      <c r="AB29" s="178">
        <v>0</v>
      </c>
      <c r="AC29" s="178">
        <v>0</v>
      </c>
      <c r="AD29" s="178">
        <v>0</v>
      </c>
      <c r="AE29" s="178">
        <v>0</v>
      </c>
      <c r="AF29" s="178">
        <v>0</v>
      </c>
      <c r="AG29" s="518">
        <f t="shared" si="5"/>
        <v>0</v>
      </c>
      <c r="AH29" s="788"/>
      <c r="AI29" s="789"/>
      <c r="AJ29" s="792"/>
      <c r="AK29" s="518"/>
      <c r="AL29" s="518"/>
      <c r="AM29" s="518"/>
      <c r="AN29" s="518"/>
      <c r="AO29" s="518"/>
      <c r="AP29" s="518"/>
      <c r="AQ29" s="518">
        <v>0</v>
      </c>
      <c r="AR29" s="518"/>
      <c r="AS29" s="518"/>
      <c r="AT29" s="518"/>
      <c r="AU29" s="518"/>
      <c r="AV29" s="518"/>
      <c r="AW29" s="518"/>
      <c r="AX29" s="518">
        <f t="shared" si="6"/>
        <v>0</v>
      </c>
      <c r="AY29" s="788"/>
      <c r="AZ29" s="789"/>
      <c r="BA29" s="792"/>
      <c r="BB29" s="518"/>
      <c r="BC29" s="518"/>
      <c r="BD29" s="518"/>
      <c r="BE29" s="518"/>
      <c r="BF29" s="518"/>
      <c r="BG29" s="518">
        <f t="shared" si="7"/>
        <v>0</v>
      </c>
      <c r="BH29" s="518">
        <v>0</v>
      </c>
      <c r="BI29" s="518">
        <v>0</v>
      </c>
      <c r="BJ29" s="518">
        <v>0</v>
      </c>
      <c r="BK29" s="518">
        <v>0</v>
      </c>
      <c r="BL29" s="518">
        <f t="shared" si="8"/>
        <v>0</v>
      </c>
      <c r="BN29" s="518"/>
      <c r="BO29" s="518"/>
      <c r="BP29" s="518"/>
      <c r="BQ29" s="518"/>
      <c r="BR29" s="518"/>
      <c r="BS29" s="518"/>
      <c r="BT29" s="518"/>
      <c r="BU29" s="518"/>
      <c r="BV29" s="518"/>
      <c r="BW29" s="518"/>
      <c r="BX29" s="518"/>
      <c r="BY29" s="518"/>
      <c r="BZ29" s="791">
        <v>0</v>
      </c>
      <c r="CB29" s="518"/>
      <c r="CC29" s="518"/>
      <c r="CD29" s="518"/>
      <c r="CE29" s="518"/>
      <c r="CF29" s="518"/>
      <c r="CG29" s="518"/>
      <c r="CH29" s="518"/>
      <c r="CI29" s="518"/>
      <c r="CJ29" s="518"/>
      <c r="CK29" s="518"/>
      <c r="CL29" s="518"/>
      <c r="CM29" s="518"/>
      <c r="CN29" s="791">
        <v>0</v>
      </c>
      <c r="CP29" s="647"/>
      <c r="CQ29" s="647"/>
      <c r="CR29" s="518"/>
      <c r="CS29" s="647"/>
      <c r="CT29" s="518"/>
      <c r="CU29" s="647"/>
      <c r="CV29" s="518"/>
      <c r="CW29" s="647"/>
      <c r="CX29" s="518"/>
      <c r="CY29" s="647"/>
      <c r="CZ29" s="518"/>
      <c r="DA29" s="647"/>
      <c r="DB29" s="518"/>
      <c r="DC29" s="647">
        <v>0</v>
      </c>
      <c r="DD29" s="518"/>
      <c r="DE29" s="518"/>
      <c r="DF29" s="518"/>
      <c r="DG29" s="748"/>
      <c r="DH29" s="518"/>
      <c r="DI29" s="518"/>
      <c r="DJ29" s="748"/>
      <c r="DK29" s="518"/>
      <c r="DL29" s="518"/>
      <c r="DM29" s="748"/>
      <c r="DN29" s="518"/>
      <c r="DO29" s="518"/>
      <c r="DP29" s="748"/>
      <c r="DQ29" s="493">
        <f t="shared" si="9"/>
        <v>0</v>
      </c>
      <c r="DR29" s="479">
        <f t="shared" si="10"/>
        <v>0</v>
      </c>
      <c r="DS29" s="1163"/>
      <c r="DT29" s="1163"/>
      <c r="DU29" s="1163"/>
      <c r="DV29" s="1163"/>
      <c r="DW29" s="1163"/>
      <c r="DX29" s="1163"/>
      <c r="DY29" s="1163"/>
      <c r="DZ29" s="1163"/>
      <c r="EA29" s="1163"/>
      <c r="EB29" s="1163"/>
      <c r="EC29" s="1163"/>
      <c r="ED29" s="1163"/>
      <c r="EE29" s="1119">
        <f t="shared" si="11"/>
        <v>0</v>
      </c>
      <c r="EF29" s="443">
        <f t="shared" si="12"/>
        <v>0</v>
      </c>
      <c r="EG29" s="443">
        <f t="shared" si="13"/>
        <v>0</v>
      </c>
      <c r="EH29" s="443">
        <f t="shared" si="14"/>
        <v>0</v>
      </c>
      <c r="EI29" s="443">
        <f t="shared" si="14"/>
        <v>0</v>
      </c>
      <c r="EJ29" s="367">
        <v>3000010987</v>
      </c>
    </row>
    <row r="30" spans="1:140" outlineLevel="2">
      <c r="A30" s="381"/>
      <c r="B30" s="378"/>
      <c r="C30" s="370" t="s">
        <v>358</v>
      </c>
      <c r="E30" s="382" t="s">
        <v>374</v>
      </c>
      <c r="F30" s="380">
        <v>3000013259</v>
      </c>
      <c r="G30" s="178">
        <v>0</v>
      </c>
      <c r="H30" s="178">
        <v>109683000</v>
      </c>
      <c r="I30" s="178">
        <v>-9971182</v>
      </c>
      <c r="J30" s="178">
        <v>0</v>
      </c>
      <c r="K30" s="178">
        <v>0</v>
      </c>
      <c r="L30" s="178">
        <v>0</v>
      </c>
      <c r="M30" s="178">
        <v>0</v>
      </c>
      <c r="N30" s="178">
        <v>0</v>
      </c>
      <c r="O30" s="178">
        <v>0</v>
      </c>
      <c r="P30" s="178">
        <v>0</v>
      </c>
      <c r="Q30" s="178">
        <v>0</v>
      </c>
      <c r="R30" s="178">
        <v>0</v>
      </c>
      <c r="S30" s="7">
        <f t="shared" si="4"/>
        <v>99711818</v>
      </c>
      <c r="T30" s="179"/>
      <c r="U30" s="178">
        <v>0</v>
      </c>
      <c r="V30" s="178">
        <v>0</v>
      </c>
      <c r="W30" s="178">
        <v>0</v>
      </c>
      <c r="X30" s="178">
        <v>0</v>
      </c>
      <c r="Y30" s="178">
        <v>0</v>
      </c>
      <c r="Z30" s="178">
        <v>0</v>
      </c>
      <c r="AA30" s="178">
        <v>0</v>
      </c>
      <c r="AB30" s="178">
        <v>0</v>
      </c>
      <c r="AC30" s="178">
        <v>0</v>
      </c>
      <c r="AD30" s="178">
        <v>0</v>
      </c>
      <c r="AE30" s="178">
        <v>0</v>
      </c>
      <c r="AF30" s="178">
        <v>0</v>
      </c>
      <c r="AG30" s="518">
        <f t="shared" si="5"/>
        <v>0</v>
      </c>
      <c r="AH30" s="788"/>
      <c r="AI30" s="789"/>
      <c r="AJ30" s="792"/>
      <c r="AK30" s="518"/>
      <c r="AL30" s="518"/>
      <c r="AM30" s="518"/>
      <c r="AN30" s="518"/>
      <c r="AO30" s="518"/>
      <c r="AP30" s="518"/>
      <c r="AQ30" s="518">
        <v>0</v>
      </c>
      <c r="AR30" s="518"/>
      <c r="AS30" s="518"/>
      <c r="AT30" s="518"/>
      <c r="AU30" s="518"/>
      <c r="AV30" s="518"/>
      <c r="AW30" s="518"/>
      <c r="AX30" s="518">
        <f t="shared" si="6"/>
        <v>0</v>
      </c>
      <c r="AY30" s="788"/>
      <c r="AZ30" s="789"/>
      <c r="BA30" s="792"/>
      <c r="BB30" s="518"/>
      <c r="BC30" s="518"/>
      <c r="BD30" s="518"/>
      <c r="BE30" s="518"/>
      <c r="BF30" s="518"/>
      <c r="BG30" s="518">
        <f t="shared" si="7"/>
        <v>0</v>
      </c>
      <c r="BH30" s="518">
        <v>0</v>
      </c>
      <c r="BI30" s="518">
        <v>0</v>
      </c>
      <c r="BJ30" s="518">
        <v>0</v>
      </c>
      <c r="BK30" s="518">
        <v>0</v>
      </c>
      <c r="BL30" s="518">
        <f t="shared" si="8"/>
        <v>0</v>
      </c>
      <c r="BN30" s="518"/>
      <c r="BO30" s="518"/>
      <c r="BP30" s="518"/>
      <c r="BQ30" s="518"/>
      <c r="BR30" s="518"/>
      <c r="BS30" s="518"/>
      <c r="BT30" s="518"/>
      <c r="BU30" s="518"/>
      <c r="BV30" s="518"/>
      <c r="BW30" s="518"/>
      <c r="BX30" s="518"/>
      <c r="BY30" s="518"/>
      <c r="BZ30" s="791">
        <v>0</v>
      </c>
      <c r="CB30" s="518"/>
      <c r="CC30" s="518"/>
      <c r="CD30" s="518"/>
      <c r="CE30" s="518"/>
      <c r="CF30" s="518"/>
      <c r="CG30" s="518"/>
      <c r="CH30" s="518"/>
      <c r="CI30" s="518"/>
      <c r="CJ30" s="518"/>
      <c r="CK30" s="518"/>
      <c r="CL30" s="518"/>
      <c r="CM30" s="518"/>
      <c r="CN30" s="791">
        <v>0</v>
      </c>
      <c r="CP30" s="647"/>
      <c r="CQ30" s="647"/>
      <c r="CR30" s="518"/>
      <c r="CS30" s="647"/>
      <c r="CT30" s="518"/>
      <c r="CU30" s="647"/>
      <c r="CV30" s="518"/>
      <c r="CW30" s="647"/>
      <c r="CX30" s="518"/>
      <c r="CY30" s="647"/>
      <c r="CZ30" s="518"/>
      <c r="DA30" s="647"/>
      <c r="DB30" s="518"/>
      <c r="DC30" s="647">
        <v>0</v>
      </c>
      <c r="DD30" s="518"/>
      <c r="DE30" s="518"/>
      <c r="DF30" s="518"/>
      <c r="DG30" s="748"/>
      <c r="DH30" s="518"/>
      <c r="DI30" s="518"/>
      <c r="DJ30" s="748"/>
      <c r="DK30" s="518"/>
      <c r="DL30" s="518"/>
      <c r="DM30" s="748"/>
      <c r="DN30" s="518"/>
      <c r="DO30" s="518"/>
      <c r="DP30" s="748"/>
      <c r="DQ30" s="493">
        <f t="shared" si="9"/>
        <v>0</v>
      </c>
      <c r="DR30" s="479">
        <f t="shared" si="10"/>
        <v>0</v>
      </c>
      <c r="DS30" s="1163"/>
      <c r="DT30" s="1163"/>
      <c r="DU30" s="1163"/>
      <c r="DV30" s="1163"/>
      <c r="DW30" s="1163"/>
      <c r="DX30" s="1163"/>
      <c r="DY30" s="1163"/>
      <c r="DZ30" s="1163"/>
      <c r="EA30" s="1163"/>
      <c r="EB30" s="1163"/>
      <c r="EC30" s="1163"/>
      <c r="ED30" s="1163"/>
      <c r="EE30" s="1119">
        <f t="shared" si="11"/>
        <v>0</v>
      </c>
      <c r="EF30" s="443">
        <f t="shared" si="12"/>
        <v>0</v>
      </c>
      <c r="EG30" s="443">
        <f t="shared" si="13"/>
        <v>0</v>
      </c>
      <c r="EH30" s="443">
        <f t="shared" si="14"/>
        <v>0</v>
      </c>
      <c r="EI30" s="443">
        <f t="shared" si="14"/>
        <v>0</v>
      </c>
      <c r="EJ30" s="367">
        <v>3000013259</v>
      </c>
    </row>
    <row r="31" spans="1:140" outlineLevel="2">
      <c r="A31" s="367" t="s">
        <v>43</v>
      </c>
      <c r="B31" s="378"/>
      <c r="C31" s="370" t="s">
        <v>358</v>
      </c>
      <c r="E31" s="379" t="s">
        <v>375</v>
      </c>
      <c r="F31" s="380">
        <v>3000014150</v>
      </c>
      <c r="G31" s="178">
        <v>4285050</v>
      </c>
      <c r="H31" s="178">
        <v>0</v>
      </c>
      <c r="I31" s="178">
        <v>5172300</v>
      </c>
      <c r="J31" s="178">
        <v>5983550</v>
      </c>
      <c r="K31" s="178">
        <v>5173250</v>
      </c>
      <c r="L31" s="178">
        <v>0</v>
      </c>
      <c r="M31" s="178">
        <v>0</v>
      </c>
      <c r="N31" s="178">
        <v>0</v>
      </c>
      <c r="O31" s="178">
        <v>0</v>
      </c>
      <c r="P31" s="178">
        <v>0</v>
      </c>
      <c r="Q31" s="178">
        <v>0</v>
      </c>
      <c r="R31" s="178">
        <v>0</v>
      </c>
      <c r="S31" s="7">
        <f t="shared" si="4"/>
        <v>20614150</v>
      </c>
      <c r="T31" s="179"/>
      <c r="U31" s="178">
        <v>0</v>
      </c>
      <c r="V31" s="178">
        <v>0</v>
      </c>
      <c r="W31" s="178">
        <v>0</v>
      </c>
      <c r="X31" s="178">
        <v>0</v>
      </c>
      <c r="Y31" s="178">
        <v>0</v>
      </c>
      <c r="Z31" s="178">
        <v>0</v>
      </c>
      <c r="AA31" s="178">
        <v>0</v>
      </c>
      <c r="AB31" s="178">
        <v>0</v>
      </c>
      <c r="AC31" s="178">
        <v>0</v>
      </c>
      <c r="AD31" s="178">
        <v>0</v>
      </c>
      <c r="AE31" s="178">
        <v>0</v>
      </c>
      <c r="AF31" s="178">
        <v>0</v>
      </c>
      <c r="AG31" s="518">
        <f t="shared" si="5"/>
        <v>0</v>
      </c>
      <c r="AH31" s="788"/>
      <c r="AI31" s="789"/>
      <c r="AJ31" s="792"/>
      <c r="AK31" s="518"/>
      <c r="AL31" s="518"/>
      <c r="AM31" s="518"/>
      <c r="AN31" s="518"/>
      <c r="AO31" s="518"/>
      <c r="AP31" s="518"/>
      <c r="AQ31" s="518">
        <v>0</v>
      </c>
      <c r="AR31" s="518"/>
      <c r="AS31" s="518"/>
      <c r="AT31" s="518"/>
      <c r="AU31" s="518"/>
      <c r="AV31" s="518"/>
      <c r="AW31" s="518"/>
      <c r="AX31" s="518">
        <f t="shared" si="6"/>
        <v>0</v>
      </c>
      <c r="AY31" s="788"/>
      <c r="AZ31" s="789"/>
      <c r="BA31" s="792"/>
      <c r="BB31" s="518"/>
      <c r="BC31" s="518"/>
      <c r="BD31" s="518"/>
      <c r="BE31" s="518"/>
      <c r="BF31" s="518"/>
      <c r="BG31" s="518">
        <f t="shared" si="7"/>
        <v>0</v>
      </c>
      <c r="BH31" s="518">
        <v>0</v>
      </c>
      <c r="BI31" s="518">
        <v>0</v>
      </c>
      <c r="BJ31" s="518">
        <v>0</v>
      </c>
      <c r="BK31" s="518">
        <v>0</v>
      </c>
      <c r="BL31" s="518">
        <f t="shared" si="8"/>
        <v>0</v>
      </c>
      <c r="BN31" s="518"/>
      <c r="BO31" s="518"/>
      <c r="BP31" s="518"/>
      <c r="BQ31" s="518"/>
      <c r="BR31" s="518"/>
      <c r="BS31" s="518"/>
      <c r="BT31" s="518"/>
      <c r="BU31" s="518"/>
      <c r="BV31" s="518"/>
      <c r="BW31" s="518"/>
      <c r="BX31" s="518"/>
      <c r="BY31" s="518"/>
      <c r="BZ31" s="791">
        <v>0</v>
      </c>
      <c r="CB31" s="518"/>
      <c r="CC31" s="518"/>
      <c r="CD31" s="518"/>
      <c r="CE31" s="518"/>
      <c r="CF31" s="518"/>
      <c r="CG31" s="518"/>
      <c r="CH31" s="518"/>
      <c r="CI31" s="518"/>
      <c r="CJ31" s="518"/>
      <c r="CK31" s="518"/>
      <c r="CL31" s="518"/>
      <c r="CM31" s="518"/>
      <c r="CN31" s="791">
        <v>0</v>
      </c>
      <c r="CP31" s="647"/>
      <c r="CQ31" s="647"/>
      <c r="CR31" s="518"/>
      <c r="CS31" s="647"/>
      <c r="CT31" s="518"/>
      <c r="CU31" s="647"/>
      <c r="CV31" s="518"/>
      <c r="CW31" s="647"/>
      <c r="CX31" s="518"/>
      <c r="CY31" s="647"/>
      <c r="CZ31" s="518"/>
      <c r="DA31" s="647"/>
      <c r="DB31" s="518"/>
      <c r="DC31" s="647">
        <v>0</v>
      </c>
      <c r="DD31" s="518"/>
      <c r="DE31" s="518"/>
      <c r="DF31" s="518"/>
      <c r="DG31" s="748"/>
      <c r="DH31" s="518"/>
      <c r="DI31" s="518"/>
      <c r="DJ31" s="748"/>
      <c r="DK31" s="518"/>
      <c r="DL31" s="518"/>
      <c r="DM31" s="748"/>
      <c r="DN31" s="518"/>
      <c r="DO31" s="518"/>
      <c r="DP31" s="748"/>
      <c r="DQ31" s="493">
        <f t="shared" si="9"/>
        <v>0</v>
      </c>
      <c r="DR31" s="479">
        <f t="shared" si="10"/>
        <v>0</v>
      </c>
      <c r="DS31" s="1163"/>
      <c r="DT31" s="1163"/>
      <c r="DU31" s="1163"/>
      <c r="DV31" s="1163"/>
      <c r="DW31" s="1163"/>
      <c r="DX31" s="1163"/>
      <c r="DY31" s="1163"/>
      <c r="DZ31" s="1163"/>
      <c r="EA31" s="1163"/>
      <c r="EB31" s="1163"/>
      <c r="EC31" s="1163"/>
      <c r="ED31" s="1163"/>
      <c r="EE31" s="1119">
        <f t="shared" si="11"/>
        <v>0</v>
      </c>
      <c r="EF31" s="443">
        <f t="shared" si="12"/>
        <v>0</v>
      </c>
      <c r="EG31" s="443">
        <f t="shared" si="13"/>
        <v>0</v>
      </c>
      <c r="EH31" s="443">
        <f t="shared" si="14"/>
        <v>0</v>
      </c>
      <c r="EI31" s="443">
        <f t="shared" si="14"/>
        <v>0</v>
      </c>
      <c r="EJ31" s="367">
        <v>3000014150</v>
      </c>
    </row>
    <row r="32" spans="1:140" outlineLevel="2">
      <c r="A32" s="381" t="s">
        <v>39</v>
      </c>
      <c r="B32" s="378"/>
      <c r="C32" s="370" t="s">
        <v>358</v>
      </c>
      <c r="E32" s="382" t="s">
        <v>376</v>
      </c>
      <c r="F32" s="380">
        <v>3000014161</v>
      </c>
      <c r="G32" s="178">
        <v>206024964</v>
      </c>
      <c r="H32" s="178">
        <v>0</v>
      </c>
      <c r="I32" s="178">
        <v>0</v>
      </c>
      <c r="J32" s="178">
        <v>0</v>
      </c>
      <c r="K32" s="178">
        <v>0</v>
      </c>
      <c r="L32" s="178">
        <v>0</v>
      </c>
      <c r="M32" s="178">
        <v>0</v>
      </c>
      <c r="N32" s="178">
        <v>0</v>
      </c>
      <c r="O32" s="178">
        <v>0</v>
      </c>
      <c r="P32" s="178">
        <v>0</v>
      </c>
      <c r="Q32" s="178">
        <v>0</v>
      </c>
      <c r="R32" s="178">
        <v>0</v>
      </c>
      <c r="S32" s="7">
        <f t="shared" si="4"/>
        <v>206024964</v>
      </c>
      <c r="T32" s="179"/>
      <c r="U32" s="178">
        <v>0</v>
      </c>
      <c r="V32" s="178">
        <v>0</v>
      </c>
      <c r="W32" s="178">
        <v>0</v>
      </c>
      <c r="X32" s="178">
        <v>0</v>
      </c>
      <c r="Y32" s="178">
        <v>0</v>
      </c>
      <c r="Z32" s="178">
        <v>0</v>
      </c>
      <c r="AA32" s="178">
        <v>0</v>
      </c>
      <c r="AB32" s="178">
        <v>0</v>
      </c>
      <c r="AC32" s="178">
        <v>0</v>
      </c>
      <c r="AD32" s="178">
        <v>0</v>
      </c>
      <c r="AE32" s="178">
        <v>0</v>
      </c>
      <c r="AF32" s="178">
        <v>0</v>
      </c>
      <c r="AG32" s="518">
        <f t="shared" si="5"/>
        <v>0</v>
      </c>
      <c r="AH32" s="788"/>
      <c r="AI32" s="789"/>
      <c r="AJ32" s="792"/>
      <c r="AK32" s="518"/>
      <c r="AL32" s="518"/>
      <c r="AM32" s="518"/>
      <c r="AN32" s="518"/>
      <c r="AO32" s="518"/>
      <c r="AP32" s="518"/>
      <c r="AQ32" s="518">
        <v>0</v>
      </c>
      <c r="AR32" s="518"/>
      <c r="AS32" s="518"/>
      <c r="AT32" s="518"/>
      <c r="AU32" s="518"/>
      <c r="AV32" s="518"/>
      <c r="AW32" s="518"/>
      <c r="AX32" s="518">
        <f t="shared" si="6"/>
        <v>0</v>
      </c>
      <c r="AY32" s="788"/>
      <c r="AZ32" s="789"/>
      <c r="BA32" s="792"/>
      <c r="BB32" s="518"/>
      <c r="BC32" s="518"/>
      <c r="BD32" s="518"/>
      <c r="BE32" s="518"/>
      <c r="BF32" s="518"/>
      <c r="BG32" s="518">
        <f t="shared" si="7"/>
        <v>0</v>
      </c>
      <c r="BH32" s="518">
        <v>0</v>
      </c>
      <c r="BI32" s="518">
        <v>0</v>
      </c>
      <c r="BJ32" s="518">
        <v>0</v>
      </c>
      <c r="BK32" s="518">
        <v>0</v>
      </c>
      <c r="BL32" s="518">
        <f t="shared" si="8"/>
        <v>0</v>
      </c>
      <c r="BN32" s="518"/>
      <c r="BO32" s="518"/>
      <c r="BP32" s="518"/>
      <c r="BQ32" s="518"/>
      <c r="BR32" s="518"/>
      <c r="BS32" s="518"/>
      <c r="BT32" s="518"/>
      <c r="BU32" s="518"/>
      <c r="BV32" s="518"/>
      <c r="BW32" s="518"/>
      <c r="BX32" s="518"/>
      <c r="BY32" s="518"/>
      <c r="BZ32" s="791">
        <v>0</v>
      </c>
      <c r="CB32" s="518"/>
      <c r="CC32" s="518"/>
      <c r="CD32" s="518"/>
      <c r="CE32" s="518"/>
      <c r="CF32" s="518"/>
      <c r="CG32" s="518"/>
      <c r="CH32" s="518"/>
      <c r="CI32" s="518"/>
      <c r="CJ32" s="518"/>
      <c r="CK32" s="518"/>
      <c r="CL32" s="518"/>
      <c r="CM32" s="518"/>
      <c r="CN32" s="791">
        <v>0</v>
      </c>
      <c r="CP32" s="647"/>
      <c r="CQ32" s="647"/>
      <c r="CR32" s="518"/>
      <c r="CS32" s="647"/>
      <c r="CT32" s="518"/>
      <c r="CU32" s="647"/>
      <c r="CV32" s="518"/>
      <c r="CW32" s="647"/>
      <c r="CX32" s="518"/>
      <c r="CY32" s="647"/>
      <c r="CZ32" s="518"/>
      <c r="DA32" s="647"/>
      <c r="DB32" s="518"/>
      <c r="DC32" s="647">
        <v>0</v>
      </c>
      <c r="DD32" s="518"/>
      <c r="DE32" s="518"/>
      <c r="DF32" s="518"/>
      <c r="DG32" s="748"/>
      <c r="DH32" s="518"/>
      <c r="DI32" s="518"/>
      <c r="DJ32" s="748"/>
      <c r="DK32" s="518"/>
      <c r="DL32" s="518"/>
      <c r="DM32" s="748"/>
      <c r="DN32" s="518"/>
      <c r="DO32" s="518"/>
      <c r="DP32" s="748"/>
      <c r="DQ32" s="493">
        <f t="shared" si="9"/>
        <v>0</v>
      </c>
      <c r="DR32" s="479">
        <f t="shared" si="10"/>
        <v>0</v>
      </c>
      <c r="DS32" s="1163"/>
      <c r="DT32" s="1163"/>
      <c r="DU32" s="1163"/>
      <c r="DV32" s="1163"/>
      <c r="DW32" s="1163"/>
      <c r="DX32" s="1163"/>
      <c r="DY32" s="1163"/>
      <c r="DZ32" s="1163"/>
      <c r="EA32" s="1163"/>
      <c r="EB32" s="1163"/>
      <c r="EC32" s="1163"/>
      <c r="ED32" s="1163"/>
      <c r="EE32" s="1119">
        <f t="shared" si="11"/>
        <v>0</v>
      </c>
      <c r="EF32" s="443">
        <f t="shared" si="12"/>
        <v>0</v>
      </c>
      <c r="EG32" s="443">
        <f t="shared" si="13"/>
        <v>0</v>
      </c>
      <c r="EH32" s="443">
        <f t="shared" si="14"/>
        <v>0</v>
      </c>
      <c r="EI32" s="443">
        <f t="shared" si="14"/>
        <v>0</v>
      </c>
      <c r="EJ32" s="367">
        <v>3000014161</v>
      </c>
    </row>
    <row r="33" spans="1:156" outlineLevel="2">
      <c r="A33" s="367" t="s">
        <v>39</v>
      </c>
      <c r="B33" s="378"/>
      <c r="C33" s="370" t="s">
        <v>358</v>
      </c>
      <c r="E33" s="379" t="s">
        <v>377</v>
      </c>
      <c r="F33" s="380">
        <v>3000015264</v>
      </c>
      <c r="G33" s="178">
        <v>28447799</v>
      </c>
      <c r="H33" s="178">
        <v>11367345</v>
      </c>
      <c r="I33" s="178">
        <v>13327711</v>
      </c>
      <c r="J33" s="178">
        <v>12910207</v>
      </c>
      <c r="K33" s="178">
        <v>12902895</v>
      </c>
      <c r="L33" s="178">
        <v>12697443</v>
      </c>
      <c r="M33" s="178">
        <v>9652554</v>
      </c>
      <c r="N33" s="178">
        <v>10868696</v>
      </c>
      <c r="O33" s="178">
        <v>0</v>
      </c>
      <c r="P33" s="178">
        <v>0</v>
      </c>
      <c r="Q33" s="178">
        <v>0</v>
      </c>
      <c r="R33" s="178">
        <v>0</v>
      </c>
      <c r="S33" s="7">
        <f t="shared" si="4"/>
        <v>112174650</v>
      </c>
      <c r="T33" s="179"/>
      <c r="U33" s="178">
        <v>0</v>
      </c>
      <c r="V33" s="178">
        <v>0</v>
      </c>
      <c r="W33" s="178">
        <v>0</v>
      </c>
      <c r="X33" s="178">
        <v>0</v>
      </c>
      <c r="Y33" s="178">
        <v>0</v>
      </c>
      <c r="Z33" s="178">
        <v>0</v>
      </c>
      <c r="AA33" s="178">
        <v>0</v>
      </c>
      <c r="AB33" s="178">
        <v>0</v>
      </c>
      <c r="AC33" s="178">
        <v>0</v>
      </c>
      <c r="AD33" s="178">
        <v>0</v>
      </c>
      <c r="AE33" s="178">
        <v>0</v>
      </c>
      <c r="AF33" s="178">
        <v>0</v>
      </c>
      <c r="AG33" s="518">
        <f t="shared" si="5"/>
        <v>0</v>
      </c>
      <c r="AH33" s="788"/>
      <c r="AI33" s="789"/>
      <c r="AJ33" s="792"/>
      <c r="AK33" s="518"/>
      <c r="AL33" s="518"/>
      <c r="AM33" s="518"/>
      <c r="AN33" s="518"/>
      <c r="AO33" s="518"/>
      <c r="AP33" s="518"/>
      <c r="AQ33" s="518">
        <v>0</v>
      </c>
      <c r="AR33" s="518"/>
      <c r="AS33" s="518"/>
      <c r="AT33" s="518"/>
      <c r="AU33" s="518"/>
      <c r="AV33" s="518"/>
      <c r="AW33" s="518"/>
      <c r="AX33" s="518">
        <f t="shared" si="6"/>
        <v>0</v>
      </c>
      <c r="AY33" s="788"/>
      <c r="AZ33" s="789"/>
      <c r="BA33" s="792"/>
      <c r="BB33" s="518"/>
      <c r="BC33" s="518"/>
      <c r="BD33" s="518"/>
      <c r="BE33" s="518"/>
      <c r="BF33" s="518"/>
      <c r="BG33" s="518">
        <f t="shared" si="7"/>
        <v>0</v>
      </c>
      <c r="BH33" s="518">
        <v>0</v>
      </c>
      <c r="BI33" s="518">
        <v>0</v>
      </c>
      <c r="BJ33" s="518">
        <v>0</v>
      </c>
      <c r="BK33" s="518">
        <v>0</v>
      </c>
      <c r="BL33" s="518">
        <f t="shared" si="8"/>
        <v>0</v>
      </c>
      <c r="BN33" s="518"/>
      <c r="BO33" s="518"/>
      <c r="BP33" s="518"/>
      <c r="BQ33" s="518"/>
      <c r="BR33" s="518"/>
      <c r="BS33" s="518"/>
      <c r="BT33" s="518"/>
      <c r="BU33" s="518"/>
      <c r="BV33" s="518"/>
      <c r="BW33" s="518"/>
      <c r="BX33" s="518"/>
      <c r="BY33" s="518"/>
      <c r="BZ33" s="791">
        <v>0</v>
      </c>
      <c r="CB33" s="518"/>
      <c r="CC33" s="518"/>
      <c r="CD33" s="518"/>
      <c r="CE33" s="518"/>
      <c r="CF33" s="518"/>
      <c r="CG33" s="518"/>
      <c r="CH33" s="518"/>
      <c r="CI33" s="518"/>
      <c r="CJ33" s="518"/>
      <c r="CK33" s="518"/>
      <c r="CL33" s="518"/>
      <c r="CM33" s="518"/>
      <c r="CN33" s="791">
        <v>0</v>
      </c>
      <c r="CP33" s="647"/>
      <c r="CQ33" s="647"/>
      <c r="CR33" s="518"/>
      <c r="CS33" s="647"/>
      <c r="CT33" s="518"/>
      <c r="CU33" s="647"/>
      <c r="CV33" s="518"/>
      <c r="CW33" s="647"/>
      <c r="CX33" s="518"/>
      <c r="CY33" s="647"/>
      <c r="CZ33" s="518"/>
      <c r="DA33" s="647"/>
      <c r="DB33" s="518"/>
      <c r="DC33" s="647">
        <v>0</v>
      </c>
      <c r="DD33" s="518"/>
      <c r="DE33" s="518"/>
      <c r="DF33" s="518"/>
      <c r="DG33" s="748"/>
      <c r="DH33" s="518"/>
      <c r="DI33" s="518"/>
      <c r="DJ33" s="748"/>
      <c r="DK33" s="518"/>
      <c r="DL33" s="518"/>
      <c r="DM33" s="748"/>
      <c r="DN33" s="518"/>
      <c r="DO33" s="518"/>
      <c r="DP33" s="748"/>
      <c r="DQ33" s="493">
        <f t="shared" si="9"/>
        <v>0</v>
      </c>
      <c r="DR33" s="479">
        <f t="shared" si="10"/>
        <v>0</v>
      </c>
      <c r="DS33" s="1163"/>
      <c r="DT33" s="1163"/>
      <c r="DU33" s="1163"/>
      <c r="DV33" s="1163"/>
      <c r="DW33" s="1163"/>
      <c r="DX33" s="1163"/>
      <c r="DY33" s="1163"/>
      <c r="DZ33" s="1163"/>
      <c r="EA33" s="1163"/>
      <c r="EB33" s="1163"/>
      <c r="EC33" s="1163"/>
      <c r="ED33" s="1163"/>
      <c r="EE33" s="1119">
        <f t="shared" si="11"/>
        <v>0</v>
      </c>
      <c r="EF33" s="443">
        <f t="shared" si="12"/>
        <v>0</v>
      </c>
      <c r="EG33" s="443">
        <f t="shared" si="13"/>
        <v>0</v>
      </c>
      <c r="EH33" s="443">
        <f t="shared" si="14"/>
        <v>0</v>
      </c>
      <c r="EI33" s="443">
        <f t="shared" si="14"/>
        <v>0</v>
      </c>
      <c r="EJ33" s="367">
        <v>3000015264</v>
      </c>
    </row>
    <row r="34" spans="1:156" outlineLevel="2">
      <c r="A34" s="367" t="s">
        <v>378</v>
      </c>
      <c r="B34" s="378"/>
      <c r="C34" s="370" t="s">
        <v>358</v>
      </c>
      <c r="E34" s="379" t="s">
        <v>37</v>
      </c>
      <c r="F34" s="380">
        <v>3000016547</v>
      </c>
      <c r="G34" s="178">
        <v>0</v>
      </c>
      <c r="H34" s="178">
        <v>0</v>
      </c>
      <c r="I34" s="178">
        <v>0</v>
      </c>
      <c r="J34" s="178">
        <v>0</v>
      </c>
      <c r="K34" s="178">
        <v>0</v>
      </c>
      <c r="L34" s="178">
        <v>0</v>
      </c>
      <c r="M34" s="178">
        <v>0</v>
      </c>
      <c r="N34" s="178">
        <v>0</v>
      </c>
      <c r="O34" s="178">
        <v>750000</v>
      </c>
      <c r="P34" s="178">
        <v>0</v>
      </c>
      <c r="Q34" s="178">
        <v>750000</v>
      </c>
      <c r="R34" s="178">
        <v>750000</v>
      </c>
      <c r="S34" s="7">
        <f t="shared" si="4"/>
        <v>2250000</v>
      </c>
      <c r="T34" s="179"/>
      <c r="U34" s="178">
        <v>0</v>
      </c>
      <c r="V34" s="178">
        <v>0</v>
      </c>
      <c r="W34" s="178">
        <v>780000</v>
      </c>
      <c r="X34" s="178">
        <v>0</v>
      </c>
      <c r="Y34" s="178">
        <v>0</v>
      </c>
      <c r="Z34" s="178">
        <v>0</v>
      </c>
      <c r="AA34" s="178">
        <v>0</v>
      </c>
      <c r="AB34" s="178">
        <v>0</v>
      </c>
      <c r="AC34" s="178">
        <v>0</v>
      </c>
      <c r="AD34" s="178">
        <v>0</v>
      </c>
      <c r="AE34" s="178">
        <v>0</v>
      </c>
      <c r="AF34" s="178">
        <v>0</v>
      </c>
      <c r="AG34" s="518">
        <f t="shared" si="5"/>
        <v>780000</v>
      </c>
      <c r="AH34" s="788"/>
      <c r="AI34" s="789"/>
      <c r="AJ34" s="792"/>
      <c r="AK34" s="518"/>
      <c r="AL34" s="518"/>
      <c r="AM34" s="518"/>
      <c r="AN34" s="518"/>
      <c r="AO34" s="518"/>
      <c r="AP34" s="518"/>
      <c r="AQ34" s="518">
        <v>0</v>
      </c>
      <c r="AR34" s="518"/>
      <c r="AS34" s="518"/>
      <c r="AT34" s="518"/>
      <c r="AU34" s="518"/>
      <c r="AV34" s="518"/>
      <c r="AW34" s="518"/>
      <c r="AX34" s="518">
        <f t="shared" si="6"/>
        <v>0</v>
      </c>
      <c r="AY34" s="788"/>
      <c r="AZ34" s="789"/>
      <c r="BA34" s="792"/>
      <c r="BB34" s="518"/>
      <c r="BC34" s="518"/>
      <c r="BD34" s="518"/>
      <c r="BE34" s="518"/>
      <c r="BF34" s="518"/>
      <c r="BG34" s="518">
        <f t="shared" si="7"/>
        <v>0</v>
      </c>
      <c r="BH34" s="518">
        <v>0</v>
      </c>
      <c r="BI34" s="518">
        <v>0</v>
      </c>
      <c r="BJ34" s="518">
        <v>0</v>
      </c>
      <c r="BK34" s="518">
        <v>0</v>
      </c>
      <c r="BL34" s="518">
        <f t="shared" si="8"/>
        <v>0</v>
      </c>
      <c r="BN34" s="518"/>
      <c r="BO34" s="518"/>
      <c r="BP34" s="518"/>
      <c r="BQ34" s="518"/>
      <c r="BR34" s="518"/>
      <c r="BS34" s="518"/>
      <c r="BT34" s="518"/>
      <c r="BU34" s="518"/>
      <c r="BV34" s="518"/>
      <c r="BW34" s="518"/>
      <c r="BX34" s="518"/>
      <c r="BY34" s="518"/>
      <c r="BZ34" s="791">
        <v>0</v>
      </c>
      <c r="CB34" s="518"/>
      <c r="CC34" s="518"/>
      <c r="CD34" s="518"/>
      <c r="CE34" s="518"/>
      <c r="CF34" s="518"/>
      <c r="CG34" s="518"/>
      <c r="CH34" s="518"/>
      <c r="CI34" s="518"/>
      <c r="CJ34" s="518"/>
      <c r="CK34" s="518"/>
      <c r="CL34" s="518"/>
      <c r="CM34" s="518"/>
      <c r="CN34" s="791">
        <v>0</v>
      </c>
      <c r="CP34" s="647"/>
      <c r="CQ34" s="647"/>
      <c r="CR34" s="518"/>
      <c r="CS34" s="647"/>
      <c r="CT34" s="518"/>
      <c r="CU34" s="647"/>
      <c r="CV34" s="518"/>
      <c r="CW34" s="647"/>
      <c r="CX34" s="518"/>
      <c r="CY34" s="647"/>
      <c r="CZ34" s="518"/>
      <c r="DA34" s="647"/>
      <c r="DB34" s="518"/>
      <c r="DC34" s="647">
        <v>0</v>
      </c>
      <c r="DD34" s="518"/>
      <c r="DE34" s="518"/>
      <c r="DF34" s="518"/>
      <c r="DG34" s="748"/>
      <c r="DH34" s="518"/>
      <c r="DI34" s="518"/>
      <c r="DJ34" s="748"/>
      <c r="DK34" s="518"/>
      <c r="DL34" s="518"/>
      <c r="DM34" s="748"/>
      <c r="DN34" s="518"/>
      <c r="DO34" s="518"/>
      <c r="DP34" s="748"/>
      <c r="DQ34" s="493">
        <f t="shared" si="9"/>
        <v>0</v>
      </c>
      <c r="DR34" s="479">
        <f t="shared" si="10"/>
        <v>0</v>
      </c>
      <c r="DS34" s="1163"/>
      <c r="DT34" s="1163"/>
      <c r="DU34" s="1163"/>
      <c r="DV34" s="1163"/>
      <c r="DW34" s="1163"/>
      <c r="DX34" s="1163"/>
      <c r="DY34" s="1163"/>
      <c r="DZ34" s="1163"/>
      <c r="EA34" s="1163"/>
      <c r="EB34" s="1163"/>
      <c r="EC34" s="1163"/>
      <c r="ED34" s="1163"/>
      <c r="EE34" s="1119">
        <f t="shared" si="11"/>
        <v>0</v>
      </c>
      <c r="EF34" s="443">
        <f t="shared" si="12"/>
        <v>0</v>
      </c>
      <c r="EG34" s="443">
        <f t="shared" si="13"/>
        <v>0</v>
      </c>
      <c r="EH34" s="443">
        <f t="shared" si="14"/>
        <v>0</v>
      </c>
      <c r="EI34" s="443">
        <f t="shared" si="14"/>
        <v>0</v>
      </c>
      <c r="EJ34" s="367">
        <v>3000016547</v>
      </c>
    </row>
    <row r="35" spans="1:156" outlineLevel="2">
      <c r="A35" s="367" t="s">
        <v>378</v>
      </c>
      <c r="B35" s="378"/>
      <c r="C35" s="370" t="s">
        <v>358</v>
      </c>
      <c r="E35" s="379" t="s">
        <v>379</v>
      </c>
      <c r="F35" s="380">
        <v>3000016571</v>
      </c>
      <c r="G35" s="178">
        <v>0</v>
      </c>
      <c r="H35" s="178">
        <v>0</v>
      </c>
      <c r="I35" s="178">
        <v>0</v>
      </c>
      <c r="J35" s="178">
        <v>0</v>
      </c>
      <c r="K35" s="178">
        <v>0</v>
      </c>
      <c r="L35" s="178">
        <v>0</v>
      </c>
      <c r="M35" s="178">
        <v>2383000</v>
      </c>
      <c r="N35" s="178">
        <v>555000</v>
      </c>
      <c r="O35" s="178">
        <v>0</v>
      </c>
      <c r="P35" s="178">
        <v>0</v>
      </c>
      <c r="Q35" s="178">
        <v>0</v>
      </c>
      <c r="R35" s="178">
        <v>0</v>
      </c>
      <c r="S35" s="7">
        <f t="shared" si="4"/>
        <v>2938000</v>
      </c>
      <c r="T35" s="179"/>
      <c r="U35" s="178">
        <v>0</v>
      </c>
      <c r="V35" s="178">
        <v>0</v>
      </c>
      <c r="W35" s="178">
        <v>0</v>
      </c>
      <c r="X35" s="178">
        <v>0</v>
      </c>
      <c r="Y35" s="178">
        <v>0</v>
      </c>
      <c r="Z35" s="178">
        <v>0</v>
      </c>
      <c r="AA35" s="178">
        <v>0</v>
      </c>
      <c r="AB35" s="178">
        <v>0</v>
      </c>
      <c r="AC35" s="178">
        <v>0</v>
      </c>
      <c r="AD35" s="178">
        <v>0</v>
      </c>
      <c r="AE35" s="178">
        <v>0</v>
      </c>
      <c r="AF35" s="178">
        <v>0</v>
      </c>
      <c r="AG35" s="518">
        <f t="shared" si="5"/>
        <v>0</v>
      </c>
      <c r="AH35" s="788"/>
      <c r="AI35" s="789"/>
      <c r="AJ35" s="792"/>
      <c r="AK35" s="518"/>
      <c r="AL35" s="518"/>
      <c r="AM35" s="518"/>
      <c r="AN35" s="518"/>
      <c r="AO35" s="518"/>
      <c r="AP35" s="518"/>
      <c r="AQ35" s="518">
        <v>0</v>
      </c>
      <c r="AR35" s="518"/>
      <c r="AS35" s="518"/>
      <c r="AT35" s="518"/>
      <c r="AU35" s="518"/>
      <c r="AV35" s="518"/>
      <c r="AW35" s="518"/>
      <c r="AX35" s="518">
        <f t="shared" si="6"/>
        <v>0</v>
      </c>
      <c r="AY35" s="788"/>
      <c r="AZ35" s="789"/>
      <c r="BA35" s="792"/>
      <c r="BB35" s="518"/>
      <c r="BC35" s="518"/>
      <c r="BD35" s="518"/>
      <c r="BE35" s="518"/>
      <c r="BF35" s="518"/>
      <c r="BG35" s="518">
        <f t="shared" si="7"/>
        <v>0</v>
      </c>
      <c r="BH35" s="518">
        <v>0</v>
      </c>
      <c r="BI35" s="518">
        <v>0</v>
      </c>
      <c r="BJ35" s="518">
        <v>0</v>
      </c>
      <c r="BK35" s="518">
        <v>0</v>
      </c>
      <c r="BL35" s="518">
        <f t="shared" si="8"/>
        <v>0</v>
      </c>
      <c r="BN35" s="518"/>
      <c r="BO35" s="518"/>
      <c r="BP35" s="518"/>
      <c r="BQ35" s="518"/>
      <c r="BR35" s="518"/>
      <c r="BS35" s="518"/>
      <c r="BT35" s="518"/>
      <c r="BU35" s="518"/>
      <c r="BV35" s="518"/>
      <c r="BW35" s="518"/>
      <c r="BX35" s="518"/>
      <c r="BY35" s="518"/>
      <c r="BZ35" s="791">
        <v>0</v>
      </c>
      <c r="CB35" s="518"/>
      <c r="CC35" s="518"/>
      <c r="CD35" s="518"/>
      <c r="CE35" s="518"/>
      <c r="CF35" s="518"/>
      <c r="CG35" s="518"/>
      <c r="CH35" s="518"/>
      <c r="CI35" s="518"/>
      <c r="CJ35" s="518"/>
      <c r="CK35" s="518"/>
      <c r="CL35" s="518"/>
      <c r="CM35" s="518"/>
      <c r="CN35" s="791">
        <v>0</v>
      </c>
      <c r="CP35" s="647"/>
      <c r="CQ35" s="647"/>
      <c r="CR35" s="518"/>
      <c r="CS35" s="647"/>
      <c r="CT35" s="518"/>
      <c r="CU35" s="647"/>
      <c r="CV35" s="518"/>
      <c r="CW35" s="647"/>
      <c r="CX35" s="518"/>
      <c r="CY35" s="647"/>
      <c r="CZ35" s="518"/>
      <c r="DA35" s="647"/>
      <c r="DB35" s="518"/>
      <c r="DC35" s="647">
        <v>0</v>
      </c>
      <c r="DD35" s="518"/>
      <c r="DE35" s="518"/>
      <c r="DF35" s="518"/>
      <c r="DG35" s="748"/>
      <c r="DH35" s="518"/>
      <c r="DI35" s="518"/>
      <c r="DJ35" s="748"/>
      <c r="DK35" s="518"/>
      <c r="DL35" s="518"/>
      <c r="DM35" s="748"/>
      <c r="DN35" s="518"/>
      <c r="DO35" s="518"/>
      <c r="DP35" s="748"/>
      <c r="DQ35" s="493">
        <f t="shared" si="9"/>
        <v>0</v>
      </c>
      <c r="DR35" s="479">
        <f t="shared" si="10"/>
        <v>0</v>
      </c>
      <c r="DS35" s="1163"/>
      <c r="DT35" s="1163"/>
      <c r="DU35" s="1163"/>
      <c r="DV35" s="1163"/>
      <c r="DW35" s="1163"/>
      <c r="DX35" s="1163"/>
      <c r="DY35" s="1163"/>
      <c r="DZ35" s="1163"/>
      <c r="EA35" s="1163"/>
      <c r="EB35" s="1163"/>
      <c r="EC35" s="1163"/>
      <c r="ED35" s="1163"/>
      <c r="EE35" s="1119">
        <f t="shared" si="11"/>
        <v>0</v>
      </c>
      <c r="EF35" s="443">
        <f t="shared" si="12"/>
        <v>0</v>
      </c>
      <c r="EG35" s="443">
        <f t="shared" si="13"/>
        <v>0</v>
      </c>
      <c r="EH35" s="443">
        <f t="shared" si="14"/>
        <v>0</v>
      </c>
      <c r="EI35" s="443">
        <f t="shared" si="14"/>
        <v>0</v>
      </c>
      <c r="EJ35" s="367">
        <v>3000016571</v>
      </c>
    </row>
    <row r="36" spans="1:156" outlineLevel="2">
      <c r="A36" s="367" t="s">
        <v>378</v>
      </c>
      <c r="B36" s="378"/>
      <c r="C36" s="370" t="s">
        <v>358</v>
      </c>
      <c r="E36" s="379" t="s">
        <v>85</v>
      </c>
      <c r="F36" s="380">
        <v>3000016572</v>
      </c>
      <c r="G36" s="178">
        <v>0</v>
      </c>
      <c r="H36" s="178">
        <v>0</v>
      </c>
      <c r="I36" s="178">
        <v>0</v>
      </c>
      <c r="J36" s="178">
        <v>0</v>
      </c>
      <c r="K36" s="178">
        <v>0</v>
      </c>
      <c r="L36" s="178">
        <v>0</v>
      </c>
      <c r="M36" s="178">
        <v>0</v>
      </c>
      <c r="N36" s="178">
        <v>0</v>
      </c>
      <c r="O36" s="178">
        <v>3125000</v>
      </c>
      <c r="P36" s="178">
        <v>750000</v>
      </c>
      <c r="Q36" s="178">
        <v>0</v>
      </c>
      <c r="R36" s="178">
        <v>0</v>
      </c>
      <c r="S36" s="7">
        <f t="shared" si="4"/>
        <v>3875000</v>
      </c>
      <c r="T36" s="179"/>
      <c r="U36" s="178">
        <v>0</v>
      </c>
      <c r="V36" s="178">
        <v>0</v>
      </c>
      <c r="W36" s="178">
        <v>0</v>
      </c>
      <c r="X36" s="178">
        <v>0</v>
      </c>
      <c r="Y36" s="178">
        <v>0</v>
      </c>
      <c r="Z36" s="178">
        <v>0</v>
      </c>
      <c r="AA36" s="178">
        <v>0</v>
      </c>
      <c r="AB36" s="178">
        <v>0</v>
      </c>
      <c r="AC36" s="178">
        <v>0</v>
      </c>
      <c r="AD36" s="178">
        <v>0</v>
      </c>
      <c r="AE36" s="178">
        <v>0</v>
      </c>
      <c r="AF36" s="178">
        <v>0</v>
      </c>
      <c r="AG36" s="518">
        <f t="shared" si="5"/>
        <v>0</v>
      </c>
      <c r="AH36" s="788"/>
      <c r="AI36" s="789"/>
      <c r="AJ36" s="792"/>
      <c r="AK36" s="518"/>
      <c r="AL36" s="518"/>
      <c r="AM36" s="518"/>
      <c r="AN36" s="518"/>
      <c r="AO36" s="518"/>
      <c r="AP36" s="518"/>
      <c r="AQ36" s="518">
        <v>0</v>
      </c>
      <c r="AR36" s="518"/>
      <c r="AS36" s="518"/>
      <c r="AT36" s="518"/>
      <c r="AU36" s="518"/>
      <c r="AV36" s="518"/>
      <c r="AW36" s="518"/>
      <c r="AX36" s="518">
        <f t="shared" si="6"/>
        <v>0</v>
      </c>
      <c r="AY36" s="788"/>
      <c r="AZ36" s="789"/>
      <c r="BA36" s="792"/>
      <c r="BB36" s="518"/>
      <c r="BC36" s="518"/>
      <c r="BD36" s="518"/>
      <c r="BE36" s="518"/>
      <c r="BF36" s="518"/>
      <c r="BG36" s="518">
        <f t="shared" si="7"/>
        <v>0</v>
      </c>
      <c r="BH36" s="518">
        <v>0</v>
      </c>
      <c r="BI36" s="518">
        <v>0</v>
      </c>
      <c r="BJ36" s="518">
        <v>0</v>
      </c>
      <c r="BK36" s="518">
        <v>0</v>
      </c>
      <c r="BL36" s="518">
        <f t="shared" si="8"/>
        <v>0</v>
      </c>
      <c r="BN36" s="518"/>
      <c r="BO36" s="518"/>
      <c r="BP36" s="518"/>
      <c r="BQ36" s="518"/>
      <c r="BR36" s="518"/>
      <c r="BS36" s="518"/>
      <c r="BT36" s="518"/>
      <c r="BU36" s="518"/>
      <c r="BV36" s="518"/>
      <c r="BW36" s="518"/>
      <c r="BX36" s="518"/>
      <c r="BY36" s="518"/>
      <c r="BZ36" s="791">
        <v>0</v>
      </c>
      <c r="CB36" s="518"/>
      <c r="CC36" s="518"/>
      <c r="CD36" s="518"/>
      <c r="CE36" s="518"/>
      <c r="CF36" s="518"/>
      <c r="CG36" s="518"/>
      <c r="CH36" s="518"/>
      <c r="CI36" s="518"/>
      <c r="CJ36" s="518"/>
      <c r="CK36" s="518"/>
      <c r="CL36" s="518"/>
      <c r="CM36" s="518"/>
      <c r="CN36" s="791">
        <v>0</v>
      </c>
      <c r="CP36" s="647"/>
      <c r="CQ36" s="647"/>
      <c r="CR36" s="518"/>
      <c r="CS36" s="647"/>
      <c r="CT36" s="518"/>
      <c r="CU36" s="647"/>
      <c r="CV36" s="518"/>
      <c r="CW36" s="647"/>
      <c r="CX36" s="518"/>
      <c r="CY36" s="647"/>
      <c r="CZ36" s="518"/>
      <c r="DA36" s="647"/>
      <c r="DB36" s="518"/>
      <c r="DC36" s="647">
        <v>0</v>
      </c>
      <c r="DD36" s="518"/>
      <c r="DE36" s="518"/>
      <c r="DF36" s="518"/>
      <c r="DG36" s="748"/>
      <c r="DH36" s="518"/>
      <c r="DI36" s="518"/>
      <c r="DJ36" s="748"/>
      <c r="DK36" s="518"/>
      <c r="DL36" s="518"/>
      <c r="DM36" s="748"/>
      <c r="DN36" s="518"/>
      <c r="DO36" s="518"/>
      <c r="DP36" s="748"/>
      <c r="DQ36" s="493">
        <f t="shared" si="9"/>
        <v>0</v>
      </c>
      <c r="DR36" s="479">
        <f t="shared" si="10"/>
        <v>0</v>
      </c>
      <c r="DS36" s="1163"/>
      <c r="DT36" s="1163"/>
      <c r="DU36" s="1163"/>
      <c r="DV36" s="1163"/>
      <c r="DW36" s="1163"/>
      <c r="DX36" s="1163"/>
      <c r="DY36" s="1163"/>
      <c r="DZ36" s="1163"/>
      <c r="EA36" s="1163"/>
      <c r="EB36" s="1163"/>
      <c r="EC36" s="1163"/>
      <c r="ED36" s="1163"/>
      <c r="EE36" s="1119">
        <f t="shared" si="11"/>
        <v>0</v>
      </c>
      <c r="EF36" s="443">
        <f t="shared" si="12"/>
        <v>0</v>
      </c>
      <c r="EG36" s="443">
        <f t="shared" si="13"/>
        <v>0</v>
      </c>
      <c r="EH36" s="443">
        <f t="shared" si="14"/>
        <v>0</v>
      </c>
      <c r="EI36" s="443">
        <f t="shared" si="14"/>
        <v>0</v>
      </c>
      <c r="EJ36" s="367">
        <v>3000016572</v>
      </c>
    </row>
    <row r="37" spans="1:156" outlineLevel="2">
      <c r="A37" s="367" t="s">
        <v>43</v>
      </c>
      <c r="B37" s="378"/>
      <c r="C37" s="370" t="s">
        <v>358</v>
      </c>
      <c r="E37" s="379" t="s">
        <v>55</v>
      </c>
      <c r="F37" s="380">
        <v>3000016583</v>
      </c>
      <c r="G37" s="178">
        <v>0</v>
      </c>
      <c r="H37" s="178">
        <v>0</v>
      </c>
      <c r="I37" s="178">
        <v>0</v>
      </c>
      <c r="J37" s="178">
        <v>0</v>
      </c>
      <c r="K37" s="178">
        <v>0</v>
      </c>
      <c r="L37" s="178">
        <v>0</v>
      </c>
      <c r="M37" s="178">
        <v>4400000</v>
      </c>
      <c r="N37" s="178">
        <v>0</v>
      </c>
      <c r="O37" s="178">
        <v>0</v>
      </c>
      <c r="P37" s="178">
        <v>0</v>
      </c>
      <c r="Q37" s="178">
        <v>0</v>
      </c>
      <c r="R37" s="178">
        <v>0</v>
      </c>
      <c r="S37" s="7">
        <f t="shared" si="4"/>
        <v>4400000</v>
      </c>
      <c r="T37" s="179"/>
      <c r="U37" s="178">
        <v>0</v>
      </c>
      <c r="V37" s="178">
        <v>0</v>
      </c>
      <c r="W37" s="178">
        <v>0</v>
      </c>
      <c r="X37" s="178">
        <v>0</v>
      </c>
      <c r="Y37" s="178">
        <v>0</v>
      </c>
      <c r="Z37" s="178">
        <v>0</v>
      </c>
      <c r="AA37" s="178">
        <v>0</v>
      </c>
      <c r="AB37" s="178">
        <v>0</v>
      </c>
      <c r="AC37" s="178">
        <v>0</v>
      </c>
      <c r="AD37" s="178">
        <v>0</v>
      </c>
      <c r="AE37" s="178">
        <v>0</v>
      </c>
      <c r="AF37" s="178">
        <v>0</v>
      </c>
      <c r="AG37" s="518">
        <f t="shared" si="5"/>
        <v>0</v>
      </c>
      <c r="AH37" s="788"/>
      <c r="AI37" s="789"/>
      <c r="AJ37" s="792"/>
      <c r="AK37" s="518"/>
      <c r="AL37" s="518"/>
      <c r="AM37" s="518"/>
      <c r="AN37" s="518"/>
      <c r="AO37" s="518"/>
      <c r="AP37" s="518"/>
      <c r="AQ37" s="518">
        <v>0</v>
      </c>
      <c r="AR37" s="518"/>
      <c r="AS37" s="518"/>
      <c r="AT37" s="518"/>
      <c r="AU37" s="518"/>
      <c r="AV37" s="518"/>
      <c r="AW37" s="518"/>
      <c r="AX37" s="518">
        <f t="shared" si="6"/>
        <v>0</v>
      </c>
      <c r="AY37" s="788"/>
      <c r="AZ37" s="789"/>
      <c r="BA37" s="792"/>
      <c r="BB37" s="518"/>
      <c r="BC37" s="518"/>
      <c r="BD37" s="518"/>
      <c r="BE37" s="518"/>
      <c r="BF37" s="518"/>
      <c r="BG37" s="518">
        <f t="shared" si="7"/>
        <v>0</v>
      </c>
      <c r="BH37" s="518">
        <v>0</v>
      </c>
      <c r="BI37" s="518">
        <v>0</v>
      </c>
      <c r="BJ37" s="518">
        <v>0</v>
      </c>
      <c r="BK37" s="518">
        <v>0</v>
      </c>
      <c r="BL37" s="518">
        <f t="shared" si="8"/>
        <v>0</v>
      </c>
      <c r="BN37" s="518"/>
      <c r="BO37" s="518"/>
      <c r="BP37" s="518"/>
      <c r="BQ37" s="518"/>
      <c r="BR37" s="518"/>
      <c r="BS37" s="518"/>
      <c r="BT37" s="518"/>
      <c r="BU37" s="518"/>
      <c r="BV37" s="518"/>
      <c r="BW37" s="518"/>
      <c r="BX37" s="518"/>
      <c r="BY37" s="518"/>
      <c r="BZ37" s="791">
        <v>0</v>
      </c>
      <c r="CB37" s="518"/>
      <c r="CC37" s="518"/>
      <c r="CD37" s="518"/>
      <c r="CE37" s="518"/>
      <c r="CF37" s="518"/>
      <c r="CG37" s="518"/>
      <c r="CH37" s="518"/>
      <c r="CI37" s="518"/>
      <c r="CJ37" s="518"/>
      <c r="CK37" s="518"/>
      <c r="CL37" s="518"/>
      <c r="CM37" s="518"/>
      <c r="CN37" s="791">
        <v>0</v>
      </c>
      <c r="CP37" s="647"/>
      <c r="CQ37" s="647"/>
      <c r="CR37" s="518"/>
      <c r="CS37" s="647"/>
      <c r="CT37" s="518"/>
      <c r="CU37" s="647"/>
      <c r="CV37" s="518"/>
      <c r="CW37" s="647"/>
      <c r="CX37" s="518"/>
      <c r="CY37" s="647"/>
      <c r="CZ37" s="518"/>
      <c r="DA37" s="647"/>
      <c r="DB37" s="518"/>
      <c r="DC37" s="647">
        <v>0</v>
      </c>
      <c r="DD37" s="518"/>
      <c r="DE37" s="518"/>
      <c r="DF37" s="518"/>
      <c r="DG37" s="748"/>
      <c r="DH37" s="518"/>
      <c r="DI37" s="518"/>
      <c r="DJ37" s="748"/>
      <c r="DK37" s="518"/>
      <c r="DL37" s="518"/>
      <c r="DM37" s="748"/>
      <c r="DN37" s="518"/>
      <c r="DO37" s="518"/>
      <c r="DP37" s="748"/>
      <c r="DQ37" s="493">
        <f t="shared" si="9"/>
        <v>0</v>
      </c>
      <c r="DR37" s="479">
        <f t="shared" si="10"/>
        <v>0</v>
      </c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3"/>
      <c r="EC37" s="1163"/>
      <c r="ED37" s="1163"/>
      <c r="EE37" s="1119">
        <f t="shared" si="11"/>
        <v>0</v>
      </c>
      <c r="EF37" s="443">
        <f t="shared" si="12"/>
        <v>0</v>
      </c>
      <c r="EG37" s="443">
        <f t="shared" si="13"/>
        <v>0</v>
      </c>
      <c r="EH37" s="443">
        <f t="shared" si="14"/>
        <v>0</v>
      </c>
      <c r="EI37" s="443">
        <f t="shared" si="14"/>
        <v>0</v>
      </c>
      <c r="EJ37" s="367">
        <v>3000016583</v>
      </c>
    </row>
    <row r="38" spans="1:156" outlineLevel="2">
      <c r="A38" s="367" t="s">
        <v>43</v>
      </c>
      <c r="B38" s="378"/>
      <c r="C38" s="370" t="s">
        <v>358</v>
      </c>
      <c r="E38" s="379" t="s">
        <v>380</v>
      </c>
      <c r="F38" s="380">
        <v>3000016811</v>
      </c>
      <c r="G38" s="178">
        <v>0</v>
      </c>
      <c r="H38" s="178">
        <v>0</v>
      </c>
      <c r="I38" s="178">
        <v>67000000</v>
      </c>
      <c r="J38" s="178">
        <v>143000000</v>
      </c>
      <c r="K38" s="178">
        <v>143000000</v>
      </c>
      <c r="L38" s="178">
        <v>143000000</v>
      </c>
      <c r="M38" s="178">
        <v>143000000</v>
      </c>
      <c r="N38" s="178">
        <v>108000000</v>
      </c>
      <c r="O38" s="178">
        <v>76600000</v>
      </c>
      <c r="P38" s="178">
        <v>65400000</v>
      </c>
      <c r="Q38" s="178">
        <v>65400000</v>
      </c>
      <c r="R38" s="178">
        <v>78840000</v>
      </c>
      <c r="S38" s="7">
        <f t="shared" si="4"/>
        <v>1033240000</v>
      </c>
      <c r="T38" s="179"/>
      <c r="U38" s="178">
        <v>25000000</v>
      </c>
      <c r="V38" s="178">
        <v>25000000</v>
      </c>
      <c r="W38" s="178">
        <v>25000000</v>
      </c>
      <c r="X38" s="178">
        <v>25000000</v>
      </c>
      <c r="Y38" s="178">
        <v>25000000</v>
      </c>
      <c r="Z38" s="178">
        <v>0</v>
      </c>
      <c r="AA38" s="178">
        <v>0</v>
      </c>
      <c r="AB38" s="178">
        <v>0</v>
      </c>
      <c r="AC38" s="178">
        <v>0</v>
      </c>
      <c r="AD38" s="178">
        <v>0</v>
      </c>
      <c r="AE38" s="178">
        <v>0</v>
      </c>
      <c r="AF38" s="178">
        <v>0</v>
      </c>
      <c r="AG38" s="518">
        <f t="shared" si="5"/>
        <v>125000000</v>
      </c>
      <c r="AH38" s="788"/>
      <c r="AI38" s="789"/>
      <c r="AJ38" s="792"/>
      <c r="AK38" s="518"/>
      <c r="AL38" s="518"/>
      <c r="AM38" s="518"/>
      <c r="AN38" s="518"/>
      <c r="AO38" s="518"/>
      <c r="AP38" s="518"/>
      <c r="AQ38" s="518">
        <v>0</v>
      </c>
      <c r="AR38" s="518"/>
      <c r="AS38" s="518"/>
      <c r="AT38" s="518"/>
      <c r="AU38" s="518"/>
      <c r="AV38" s="518"/>
      <c r="AW38" s="518"/>
      <c r="AX38" s="518">
        <f t="shared" si="6"/>
        <v>0</v>
      </c>
      <c r="AY38" s="788"/>
      <c r="AZ38" s="789"/>
      <c r="BA38" s="792"/>
      <c r="BB38" s="518"/>
      <c r="BC38" s="518"/>
      <c r="BD38" s="518"/>
      <c r="BE38" s="518"/>
      <c r="BF38" s="518"/>
      <c r="BG38" s="518">
        <f t="shared" si="7"/>
        <v>0</v>
      </c>
      <c r="BH38" s="518">
        <v>0</v>
      </c>
      <c r="BI38" s="518">
        <v>0</v>
      </c>
      <c r="BJ38" s="518">
        <v>0</v>
      </c>
      <c r="BK38" s="518">
        <v>0</v>
      </c>
      <c r="BL38" s="518">
        <f t="shared" si="8"/>
        <v>0</v>
      </c>
      <c r="BN38" s="518"/>
      <c r="BO38" s="518"/>
      <c r="BP38" s="518"/>
      <c r="BQ38" s="518"/>
      <c r="BR38" s="518"/>
      <c r="BS38" s="518"/>
      <c r="BT38" s="518"/>
      <c r="BU38" s="518"/>
      <c r="BV38" s="518"/>
      <c r="BW38" s="518"/>
      <c r="BX38" s="518"/>
      <c r="BY38" s="518"/>
      <c r="BZ38" s="791">
        <v>0</v>
      </c>
      <c r="CB38" s="518"/>
      <c r="CC38" s="518"/>
      <c r="CD38" s="518"/>
      <c r="CE38" s="518"/>
      <c r="CF38" s="518"/>
      <c r="CG38" s="518"/>
      <c r="CH38" s="518"/>
      <c r="CI38" s="518"/>
      <c r="CJ38" s="518"/>
      <c r="CK38" s="518"/>
      <c r="CL38" s="518"/>
      <c r="CM38" s="518"/>
      <c r="CN38" s="791">
        <v>0</v>
      </c>
      <c r="CP38" s="647"/>
      <c r="CQ38" s="647"/>
      <c r="CR38" s="518"/>
      <c r="CS38" s="647"/>
      <c r="CT38" s="518"/>
      <c r="CU38" s="647"/>
      <c r="CV38" s="518"/>
      <c r="CW38" s="647"/>
      <c r="CX38" s="518"/>
      <c r="CY38" s="647"/>
      <c r="CZ38" s="518"/>
      <c r="DA38" s="647"/>
      <c r="DB38" s="518"/>
      <c r="DC38" s="647">
        <v>0</v>
      </c>
      <c r="DD38" s="518"/>
      <c r="DE38" s="518"/>
      <c r="DF38" s="518"/>
      <c r="DG38" s="748"/>
      <c r="DH38" s="518"/>
      <c r="DI38" s="518"/>
      <c r="DJ38" s="748"/>
      <c r="DK38" s="518"/>
      <c r="DL38" s="518"/>
      <c r="DM38" s="748"/>
      <c r="DN38" s="518"/>
      <c r="DO38" s="518"/>
      <c r="DP38" s="748"/>
      <c r="DQ38" s="493">
        <f t="shared" si="9"/>
        <v>0</v>
      </c>
      <c r="DR38" s="479">
        <f t="shared" si="10"/>
        <v>0</v>
      </c>
      <c r="DS38" s="1163"/>
      <c r="DT38" s="1163"/>
      <c r="DU38" s="1163"/>
      <c r="DV38" s="1163"/>
      <c r="DW38" s="1163"/>
      <c r="DX38" s="1163"/>
      <c r="DY38" s="1163"/>
      <c r="DZ38" s="1163"/>
      <c r="EA38" s="1163"/>
      <c r="EB38" s="1163"/>
      <c r="EC38" s="1163"/>
      <c r="ED38" s="1163"/>
      <c r="EE38" s="1119">
        <f t="shared" si="11"/>
        <v>0</v>
      </c>
      <c r="EF38" s="443">
        <f t="shared" si="12"/>
        <v>0</v>
      </c>
      <c r="EG38" s="443">
        <f t="shared" si="13"/>
        <v>0</v>
      </c>
      <c r="EH38" s="443">
        <f t="shared" si="14"/>
        <v>0</v>
      </c>
      <c r="EI38" s="443">
        <f t="shared" si="14"/>
        <v>0</v>
      </c>
      <c r="EJ38" s="367">
        <v>3000016811</v>
      </c>
    </row>
    <row r="39" spans="1:156" outlineLevel="2">
      <c r="A39" s="367" t="s">
        <v>43</v>
      </c>
      <c r="B39" s="378"/>
      <c r="C39" s="370" t="s">
        <v>358</v>
      </c>
      <c r="E39" s="379" t="s">
        <v>69</v>
      </c>
      <c r="F39" s="380">
        <v>3000016873</v>
      </c>
      <c r="G39" s="178">
        <v>0</v>
      </c>
      <c r="H39" s="178">
        <v>0</v>
      </c>
      <c r="I39" s="178">
        <v>0</v>
      </c>
      <c r="J39" s="178">
        <v>0</v>
      </c>
      <c r="K39" s="178">
        <v>0</v>
      </c>
      <c r="L39" s="178">
        <v>0</v>
      </c>
      <c r="M39" s="178">
        <v>0</v>
      </c>
      <c r="N39" s="178">
        <v>0</v>
      </c>
      <c r="O39" s="178">
        <v>0</v>
      </c>
      <c r="P39" s="178">
        <v>0</v>
      </c>
      <c r="Q39" s="178">
        <v>0</v>
      </c>
      <c r="R39" s="178">
        <v>32000000</v>
      </c>
      <c r="S39" s="7">
        <f t="shared" si="4"/>
        <v>32000000</v>
      </c>
      <c r="T39" s="179"/>
      <c r="U39" s="178">
        <v>28300000</v>
      </c>
      <c r="V39" s="178">
        <v>26500000</v>
      </c>
      <c r="W39" s="178">
        <v>26500000</v>
      </c>
      <c r="X39" s="178">
        <v>26500000</v>
      </c>
      <c r="Y39" s="178">
        <v>26500000</v>
      </c>
      <c r="Z39" s="178">
        <v>26500000</v>
      </c>
      <c r="AA39" s="178">
        <v>27000000</v>
      </c>
      <c r="AB39" s="178">
        <v>46100000</v>
      </c>
      <c r="AC39" s="178">
        <v>0</v>
      </c>
      <c r="AD39" s="178">
        <v>0</v>
      </c>
      <c r="AE39" s="178">
        <v>0</v>
      </c>
      <c r="AF39" s="178">
        <v>0</v>
      </c>
      <c r="AG39" s="518">
        <f t="shared" si="5"/>
        <v>233900000</v>
      </c>
      <c r="AH39" s="788"/>
      <c r="AI39" s="789"/>
      <c r="AJ39" s="792"/>
      <c r="AK39" s="518"/>
      <c r="AL39" s="518"/>
      <c r="AM39" s="518"/>
      <c r="AN39" s="518"/>
      <c r="AO39" s="518"/>
      <c r="AP39" s="518"/>
      <c r="AQ39" s="518">
        <v>0</v>
      </c>
      <c r="AR39" s="518"/>
      <c r="AS39" s="518"/>
      <c r="AT39" s="518"/>
      <c r="AU39" s="518"/>
      <c r="AV39" s="518"/>
      <c r="AW39" s="518"/>
      <c r="AX39" s="518">
        <f t="shared" si="6"/>
        <v>0</v>
      </c>
      <c r="AY39" s="788"/>
      <c r="AZ39" s="789"/>
      <c r="BA39" s="792"/>
      <c r="BB39" s="518"/>
      <c r="BC39" s="518"/>
      <c r="BD39" s="518"/>
      <c r="BE39" s="518"/>
      <c r="BF39" s="518"/>
      <c r="BG39" s="518">
        <f t="shared" si="7"/>
        <v>0</v>
      </c>
      <c r="BH39" s="518">
        <v>0</v>
      </c>
      <c r="BI39" s="518">
        <v>0</v>
      </c>
      <c r="BJ39" s="518">
        <v>0</v>
      </c>
      <c r="BK39" s="518">
        <v>0</v>
      </c>
      <c r="BL39" s="518">
        <f t="shared" si="8"/>
        <v>0</v>
      </c>
      <c r="BN39" s="518"/>
      <c r="BO39" s="518"/>
      <c r="BP39" s="518"/>
      <c r="BQ39" s="518"/>
      <c r="BR39" s="518"/>
      <c r="BS39" s="518"/>
      <c r="BT39" s="518"/>
      <c r="BU39" s="518"/>
      <c r="BV39" s="518"/>
      <c r="BW39" s="518"/>
      <c r="BX39" s="518"/>
      <c r="BY39" s="518"/>
      <c r="BZ39" s="791">
        <v>0</v>
      </c>
      <c r="CB39" s="518"/>
      <c r="CC39" s="518"/>
      <c r="CD39" s="518"/>
      <c r="CE39" s="518"/>
      <c r="CF39" s="518"/>
      <c r="CG39" s="518"/>
      <c r="CH39" s="518"/>
      <c r="CI39" s="518"/>
      <c r="CJ39" s="518"/>
      <c r="CK39" s="518"/>
      <c r="CL39" s="518"/>
      <c r="CM39" s="518"/>
      <c r="CN39" s="791">
        <v>0</v>
      </c>
      <c r="CP39" s="647"/>
      <c r="CQ39" s="647"/>
      <c r="CR39" s="518"/>
      <c r="CS39" s="647"/>
      <c r="CT39" s="518"/>
      <c r="CU39" s="647"/>
      <c r="CV39" s="518"/>
      <c r="CW39" s="647"/>
      <c r="CX39" s="518"/>
      <c r="CY39" s="647"/>
      <c r="CZ39" s="518"/>
      <c r="DA39" s="647"/>
      <c r="DB39" s="518"/>
      <c r="DC39" s="647">
        <v>0</v>
      </c>
      <c r="DD39" s="518"/>
      <c r="DE39" s="518"/>
      <c r="DF39" s="518"/>
      <c r="DG39" s="748"/>
      <c r="DH39" s="518"/>
      <c r="DI39" s="518"/>
      <c r="DJ39" s="748"/>
      <c r="DK39" s="518"/>
      <c r="DL39" s="518"/>
      <c r="DM39" s="748"/>
      <c r="DN39" s="518"/>
      <c r="DO39" s="518"/>
      <c r="DP39" s="748"/>
      <c r="DQ39" s="493">
        <f t="shared" si="9"/>
        <v>0</v>
      </c>
      <c r="DR39" s="479">
        <f t="shared" si="10"/>
        <v>0</v>
      </c>
      <c r="DS39" s="1163"/>
      <c r="DT39" s="1163"/>
      <c r="DU39" s="1163"/>
      <c r="DV39" s="1163"/>
      <c r="DW39" s="1163"/>
      <c r="DX39" s="1163"/>
      <c r="DY39" s="1163"/>
      <c r="DZ39" s="1163"/>
      <c r="EA39" s="1163"/>
      <c r="EB39" s="1163"/>
      <c r="EC39" s="1163"/>
      <c r="ED39" s="1163"/>
      <c r="EE39" s="1119">
        <f t="shared" si="11"/>
        <v>0</v>
      </c>
      <c r="EF39" s="443">
        <f t="shared" si="12"/>
        <v>0</v>
      </c>
      <c r="EG39" s="443">
        <f t="shared" si="13"/>
        <v>0</v>
      </c>
      <c r="EH39" s="443">
        <f t="shared" si="14"/>
        <v>0</v>
      </c>
      <c r="EI39" s="443">
        <f t="shared" si="14"/>
        <v>0</v>
      </c>
      <c r="EJ39" s="367">
        <v>3000016873</v>
      </c>
    </row>
    <row r="40" spans="1:156" outlineLevel="2">
      <c r="A40" s="367" t="s">
        <v>39</v>
      </c>
      <c r="B40" s="378"/>
      <c r="C40" s="370" t="s">
        <v>358</v>
      </c>
      <c r="E40" s="379" t="s">
        <v>381</v>
      </c>
      <c r="F40" s="380">
        <v>3000016990</v>
      </c>
      <c r="G40" s="178">
        <v>0</v>
      </c>
      <c r="H40" s="178">
        <v>0</v>
      </c>
      <c r="I40" s="178">
        <v>0</v>
      </c>
      <c r="J40" s="178">
        <v>25200000</v>
      </c>
      <c r="K40" s="178">
        <v>43350000</v>
      </c>
      <c r="L40" s="178">
        <v>22900000</v>
      </c>
      <c r="M40" s="178">
        <v>1900000</v>
      </c>
      <c r="N40" s="178">
        <v>23900000</v>
      </c>
      <c r="O40" s="178">
        <v>8800000</v>
      </c>
      <c r="P40" s="178">
        <v>23200000</v>
      </c>
      <c r="Q40" s="178">
        <v>20400000</v>
      </c>
      <c r="R40" s="178">
        <v>4500000</v>
      </c>
      <c r="S40" s="7">
        <f t="shared" si="4"/>
        <v>174150000</v>
      </c>
      <c r="T40" s="179"/>
      <c r="U40" s="178">
        <v>0</v>
      </c>
      <c r="V40" s="178">
        <v>0</v>
      </c>
      <c r="W40" s="178">
        <v>0</v>
      </c>
      <c r="X40" s="178">
        <v>0</v>
      </c>
      <c r="Y40" s="178">
        <v>0</v>
      </c>
      <c r="Z40" s="178">
        <v>0</v>
      </c>
      <c r="AA40" s="178">
        <v>0</v>
      </c>
      <c r="AB40" s="178">
        <v>0</v>
      </c>
      <c r="AC40" s="178">
        <v>0</v>
      </c>
      <c r="AD40" s="178">
        <v>0</v>
      </c>
      <c r="AE40" s="178">
        <v>0</v>
      </c>
      <c r="AF40" s="178">
        <v>0</v>
      </c>
      <c r="AG40" s="518">
        <f t="shared" si="5"/>
        <v>0</v>
      </c>
      <c r="AH40" s="788"/>
      <c r="AI40" s="789"/>
      <c r="AJ40" s="792"/>
      <c r="AK40" s="518"/>
      <c r="AL40" s="518"/>
      <c r="AM40" s="518"/>
      <c r="AN40" s="518"/>
      <c r="AO40" s="518"/>
      <c r="AP40" s="518"/>
      <c r="AQ40" s="518">
        <v>0</v>
      </c>
      <c r="AR40" s="518"/>
      <c r="AS40" s="518"/>
      <c r="AT40" s="518"/>
      <c r="AU40" s="518"/>
      <c r="AV40" s="518"/>
      <c r="AW40" s="518"/>
      <c r="AX40" s="518">
        <f t="shared" si="6"/>
        <v>0</v>
      </c>
      <c r="AY40" s="788"/>
      <c r="AZ40" s="789"/>
      <c r="BA40" s="792"/>
      <c r="BB40" s="518"/>
      <c r="BC40" s="518"/>
      <c r="BD40" s="518"/>
      <c r="BE40" s="518"/>
      <c r="BF40" s="518"/>
      <c r="BG40" s="518">
        <f t="shared" si="7"/>
        <v>0</v>
      </c>
      <c r="BH40" s="518">
        <v>0</v>
      </c>
      <c r="BI40" s="518">
        <v>0</v>
      </c>
      <c r="BJ40" s="518">
        <v>0</v>
      </c>
      <c r="BK40" s="518">
        <v>0</v>
      </c>
      <c r="BL40" s="518">
        <f t="shared" si="8"/>
        <v>0</v>
      </c>
      <c r="BN40" s="518"/>
      <c r="BO40" s="518"/>
      <c r="BP40" s="518"/>
      <c r="BQ40" s="518"/>
      <c r="BR40" s="518"/>
      <c r="BS40" s="518"/>
      <c r="BT40" s="518"/>
      <c r="BU40" s="518"/>
      <c r="BV40" s="518"/>
      <c r="BW40" s="518"/>
      <c r="BX40" s="518"/>
      <c r="BY40" s="518"/>
      <c r="BZ40" s="791">
        <v>0</v>
      </c>
      <c r="CB40" s="518"/>
      <c r="CC40" s="518"/>
      <c r="CD40" s="518"/>
      <c r="CE40" s="518"/>
      <c r="CF40" s="518"/>
      <c r="CG40" s="518"/>
      <c r="CH40" s="518"/>
      <c r="CI40" s="518"/>
      <c r="CJ40" s="518"/>
      <c r="CK40" s="518"/>
      <c r="CL40" s="518"/>
      <c r="CM40" s="518"/>
      <c r="CN40" s="791">
        <v>0</v>
      </c>
      <c r="CP40" s="647"/>
      <c r="CQ40" s="647"/>
      <c r="CR40" s="518"/>
      <c r="CS40" s="647"/>
      <c r="CT40" s="518"/>
      <c r="CU40" s="647"/>
      <c r="CV40" s="518"/>
      <c r="CW40" s="647"/>
      <c r="CX40" s="518"/>
      <c r="CY40" s="647"/>
      <c r="CZ40" s="518"/>
      <c r="DA40" s="647"/>
      <c r="DB40" s="518"/>
      <c r="DC40" s="647">
        <v>0</v>
      </c>
      <c r="DD40" s="518"/>
      <c r="DE40" s="518"/>
      <c r="DF40" s="518"/>
      <c r="DG40" s="748"/>
      <c r="DH40" s="518"/>
      <c r="DI40" s="518"/>
      <c r="DJ40" s="748"/>
      <c r="DK40" s="518"/>
      <c r="DL40" s="518"/>
      <c r="DM40" s="748"/>
      <c r="DN40" s="518"/>
      <c r="DO40" s="518"/>
      <c r="DP40" s="748"/>
      <c r="DQ40" s="493">
        <f t="shared" si="9"/>
        <v>0</v>
      </c>
      <c r="DR40" s="479">
        <f t="shared" si="10"/>
        <v>0</v>
      </c>
      <c r="DS40" s="1163"/>
      <c r="DT40" s="1163"/>
      <c r="DU40" s="1163"/>
      <c r="DV40" s="1163"/>
      <c r="DW40" s="1163"/>
      <c r="DX40" s="1163"/>
      <c r="DY40" s="1163"/>
      <c r="DZ40" s="1163"/>
      <c r="EA40" s="1163"/>
      <c r="EB40" s="1163"/>
      <c r="EC40" s="1163"/>
      <c r="ED40" s="1163"/>
      <c r="EE40" s="1119">
        <f t="shared" si="11"/>
        <v>0</v>
      </c>
      <c r="EF40" s="443">
        <f t="shared" si="12"/>
        <v>0</v>
      </c>
      <c r="EG40" s="443">
        <f t="shared" si="13"/>
        <v>0</v>
      </c>
      <c r="EH40" s="443">
        <f t="shared" si="14"/>
        <v>0</v>
      </c>
      <c r="EI40" s="443">
        <f t="shared" si="14"/>
        <v>0</v>
      </c>
      <c r="EJ40" s="367">
        <v>3000016990</v>
      </c>
    </row>
    <row r="41" spans="1:156" outlineLevel="2">
      <c r="A41" s="367" t="s">
        <v>39</v>
      </c>
      <c r="B41" s="378"/>
      <c r="C41" s="370" t="s">
        <v>358</v>
      </c>
      <c r="E41" s="379" t="s">
        <v>382</v>
      </c>
      <c r="F41" s="380">
        <v>3000017084</v>
      </c>
      <c r="G41" s="178">
        <v>0</v>
      </c>
      <c r="H41" s="178">
        <v>0</v>
      </c>
      <c r="I41" s="178">
        <v>0</v>
      </c>
      <c r="J41" s="178">
        <v>0</v>
      </c>
      <c r="K41" s="178">
        <v>0</v>
      </c>
      <c r="L41" s="178">
        <v>0</v>
      </c>
      <c r="M41" s="178">
        <v>0</v>
      </c>
      <c r="N41" s="178">
        <v>1600000</v>
      </c>
      <c r="O41" s="178">
        <v>0</v>
      </c>
      <c r="P41" s="178">
        <v>0</v>
      </c>
      <c r="Q41" s="178">
        <v>0</v>
      </c>
      <c r="R41" s="178">
        <v>0</v>
      </c>
      <c r="S41" s="7">
        <f t="shared" si="4"/>
        <v>1600000</v>
      </c>
      <c r="T41" s="179"/>
      <c r="U41" s="178">
        <v>0</v>
      </c>
      <c r="V41" s="178">
        <v>0</v>
      </c>
      <c r="W41" s="178">
        <v>0</v>
      </c>
      <c r="X41" s="178">
        <v>0</v>
      </c>
      <c r="Y41" s="178">
        <v>0</v>
      </c>
      <c r="Z41" s="178">
        <v>0</v>
      </c>
      <c r="AA41" s="178">
        <v>0</v>
      </c>
      <c r="AB41" s="178">
        <v>0</v>
      </c>
      <c r="AC41" s="178">
        <v>0</v>
      </c>
      <c r="AD41" s="178">
        <v>0</v>
      </c>
      <c r="AE41" s="178">
        <v>0</v>
      </c>
      <c r="AF41" s="178">
        <v>0</v>
      </c>
      <c r="AG41" s="518">
        <f t="shared" si="5"/>
        <v>0</v>
      </c>
      <c r="AH41" s="788"/>
      <c r="AI41" s="789"/>
      <c r="AJ41" s="792"/>
      <c r="AK41" s="518"/>
      <c r="AL41" s="518"/>
      <c r="AM41" s="518"/>
      <c r="AN41" s="518"/>
      <c r="AO41" s="518"/>
      <c r="AP41" s="518"/>
      <c r="AQ41" s="518">
        <v>0</v>
      </c>
      <c r="AR41" s="518"/>
      <c r="AS41" s="518"/>
      <c r="AT41" s="518"/>
      <c r="AU41" s="518"/>
      <c r="AV41" s="518"/>
      <c r="AW41" s="518"/>
      <c r="AX41" s="518">
        <f t="shared" si="6"/>
        <v>0</v>
      </c>
      <c r="AY41" s="788"/>
      <c r="AZ41" s="789"/>
      <c r="BA41" s="792"/>
      <c r="BB41" s="518"/>
      <c r="BC41" s="518"/>
      <c r="BD41" s="518"/>
      <c r="BE41" s="518"/>
      <c r="BF41" s="518"/>
      <c r="BG41" s="518">
        <f t="shared" si="7"/>
        <v>0</v>
      </c>
      <c r="BH41" s="518">
        <v>0</v>
      </c>
      <c r="BI41" s="518">
        <v>0</v>
      </c>
      <c r="BJ41" s="518">
        <v>0</v>
      </c>
      <c r="BK41" s="518">
        <v>0</v>
      </c>
      <c r="BL41" s="518">
        <f t="shared" si="8"/>
        <v>0</v>
      </c>
      <c r="BN41" s="518"/>
      <c r="BO41" s="518"/>
      <c r="BP41" s="518"/>
      <c r="BQ41" s="518"/>
      <c r="BR41" s="518"/>
      <c r="BS41" s="518"/>
      <c r="BT41" s="518"/>
      <c r="BU41" s="518"/>
      <c r="BV41" s="518"/>
      <c r="BW41" s="518"/>
      <c r="BX41" s="518"/>
      <c r="BY41" s="518"/>
      <c r="BZ41" s="791">
        <v>0</v>
      </c>
      <c r="CB41" s="518"/>
      <c r="CC41" s="518"/>
      <c r="CD41" s="518"/>
      <c r="CE41" s="518"/>
      <c r="CF41" s="518"/>
      <c r="CG41" s="518"/>
      <c r="CH41" s="518"/>
      <c r="CI41" s="518"/>
      <c r="CJ41" s="518"/>
      <c r="CK41" s="518"/>
      <c r="CL41" s="518"/>
      <c r="CM41" s="518"/>
      <c r="CN41" s="791">
        <v>0</v>
      </c>
      <c r="CP41" s="647"/>
      <c r="CQ41" s="647"/>
      <c r="CR41" s="518"/>
      <c r="CS41" s="647"/>
      <c r="CT41" s="518"/>
      <c r="CU41" s="647"/>
      <c r="CV41" s="518"/>
      <c r="CW41" s="647"/>
      <c r="CX41" s="518"/>
      <c r="CY41" s="647"/>
      <c r="CZ41" s="518"/>
      <c r="DA41" s="647"/>
      <c r="DB41" s="518"/>
      <c r="DC41" s="647">
        <v>0</v>
      </c>
      <c r="DD41" s="518"/>
      <c r="DE41" s="518"/>
      <c r="DF41" s="518"/>
      <c r="DG41" s="748"/>
      <c r="DH41" s="518"/>
      <c r="DI41" s="518"/>
      <c r="DJ41" s="748"/>
      <c r="DK41" s="518"/>
      <c r="DL41" s="518"/>
      <c r="DM41" s="748"/>
      <c r="DN41" s="518"/>
      <c r="DO41" s="518"/>
      <c r="DP41" s="748"/>
      <c r="DQ41" s="493">
        <f t="shared" si="9"/>
        <v>0</v>
      </c>
      <c r="DR41" s="479">
        <f t="shared" si="10"/>
        <v>0</v>
      </c>
      <c r="DS41" s="1163"/>
      <c r="DT41" s="1163"/>
      <c r="DU41" s="1163"/>
      <c r="DV41" s="1163"/>
      <c r="DW41" s="1163"/>
      <c r="DX41" s="1163"/>
      <c r="DY41" s="1163"/>
      <c r="DZ41" s="1163"/>
      <c r="EA41" s="1163"/>
      <c r="EB41" s="1163"/>
      <c r="EC41" s="1163"/>
      <c r="ED41" s="1163"/>
      <c r="EE41" s="1119">
        <f t="shared" si="11"/>
        <v>0</v>
      </c>
      <c r="EF41" s="443">
        <f t="shared" si="12"/>
        <v>0</v>
      </c>
      <c r="EG41" s="443">
        <f t="shared" si="13"/>
        <v>0</v>
      </c>
      <c r="EH41" s="443">
        <f t="shared" si="14"/>
        <v>0</v>
      </c>
      <c r="EI41" s="443">
        <f t="shared" si="14"/>
        <v>0</v>
      </c>
      <c r="EJ41" s="367">
        <v>3000017084</v>
      </c>
    </row>
    <row r="42" spans="1:156" outlineLevel="2">
      <c r="A42" s="367" t="s">
        <v>378</v>
      </c>
      <c r="B42" s="378"/>
      <c r="C42" s="370" t="s">
        <v>358</v>
      </c>
      <c r="E42" s="379" t="s">
        <v>76</v>
      </c>
      <c r="F42" s="380">
        <v>3000017189</v>
      </c>
      <c r="G42" s="178">
        <v>0</v>
      </c>
      <c r="H42" s="178">
        <v>0</v>
      </c>
      <c r="I42" s="178">
        <v>0</v>
      </c>
      <c r="J42" s="178">
        <v>0</v>
      </c>
      <c r="K42" s="178">
        <v>0</v>
      </c>
      <c r="L42" s="178">
        <v>0</v>
      </c>
      <c r="M42" s="178">
        <v>0</v>
      </c>
      <c r="N42" s="178">
        <v>0</v>
      </c>
      <c r="O42" s="178">
        <v>0</v>
      </c>
      <c r="P42" s="178">
        <v>0</v>
      </c>
      <c r="Q42" s="178">
        <v>1214000</v>
      </c>
      <c r="R42" s="178">
        <v>-514000</v>
      </c>
      <c r="S42" s="7">
        <f t="shared" si="4"/>
        <v>700000</v>
      </c>
      <c r="T42" s="179"/>
      <c r="U42" s="178">
        <v>0</v>
      </c>
      <c r="V42" s="178">
        <v>0</v>
      </c>
      <c r="W42" s="178">
        <v>514000</v>
      </c>
      <c r="X42" s="178">
        <v>0</v>
      </c>
      <c r="Y42" s="178">
        <v>0</v>
      </c>
      <c r="Z42" s="178">
        <v>0</v>
      </c>
      <c r="AA42" s="178">
        <v>0</v>
      </c>
      <c r="AB42" s="178">
        <v>0</v>
      </c>
      <c r="AC42" s="178">
        <v>0</v>
      </c>
      <c r="AD42" s="178">
        <v>0</v>
      </c>
      <c r="AE42" s="178">
        <v>0</v>
      </c>
      <c r="AF42" s="178">
        <v>0</v>
      </c>
      <c r="AG42" s="518">
        <f t="shared" si="5"/>
        <v>514000</v>
      </c>
      <c r="AH42" s="788"/>
      <c r="AI42" s="789"/>
      <c r="AJ42" s="792"/>
      <c r="AK42" s="518"/>
      <c r="AL42" s="518"/>
      <c r="AM42" s="518"/>
      <c r="AN42" s="518"/>
      <c r="AO42" s="518"/>
      <c r="AP42" s="518"/>
      <c r="AQ42" s="518">
        <v>0</v>
      </c>
      <c r="AR42" s="518"/>
      <c r="AS42" s="518"/>
      <c r="AT42" s="518"/>
      <c r="AU42" s="518"/>
      <c r="AV42" s="518"/>
      <c r="AW42" s="518"/>
      <c r="AX42" s="518">
        <f t="shared" si="6"/>
        <v>0</v>
      </c>
      <c r="AY42" s="788"/>
      <c r="AZ42" s="789"/>
      <c r="BA42" s="792"/>
      <c r="BB42" s="518"/>
      <c r="BC42" s="518"/>
      <c r="BD42" s="518"/>
      <c r="BE42" s="518"/>
      <c r="BF42" s="518"/>
      <c r="BG42" s="518">
        <f t="shared" ref="BG42:BG87" si="15">AP42</f>
        <v>0</v>
      </c>
      <c r="BH42" s="518">
        <v>0</v>
      </c>
      <c r="BI42" s="518">
        <v>0</v>
      </c>
      <c r="BJ42" s="518">
        <v>0</v>
      </c>
      <c r="BK42" s="518">
        <v>0</v>
      </c>
      <c r="BL42" s="518">
        <f t="shared" si="8"/>
        <v>0</v>
      </c>
      <c r="BN42" s="518"/>
      <c r="BO42" s="518"/>
      <c r="BP42" s="518"/>
      <c r="BQ42" s="518"/>
      <c r="BR42" s="518"/>
      <c r="BS42" s="518"/>
      <c r="BT42" s="518"/>
      <c r="BU42" s="518"/>
      <c r="BV42" s="518"/>
      <c r="BW42" s="518"/>
      <c r="BX42" s="518"/>
      <c r="BY42" s="518"/>
      <c r="BZ42" s="791">
        <v>0</v>
      </c>
      <c r="CB42" s="518"/>
      <c r="CC42" s="518"/>
      <c r="CD42" s="518"/>
      <c r="CE42" s="518"/>
      <c r="CF42" s="518"/>
      <c r="CG42" s="518"/>
      <c r="CH42" s="518"/>
      <c r="CI42" s="518"/>
      <c r="CJ42" s="518"/>
      <c r="CK42" s="518"/>
      <c r="CL42" s="518"/>
      <c r="CM42" s="518"/>
      <c r="CN42" s="791">
        <v>0</v>
      </c>
      <c r="CP42" s="647"/>
      <c r="CQ42" s="647"/>
      <c r="CR42" s="518"/>
      <c r="CS42" s="647"/>
      <c r="CT42" s="518"/>
      <c r="CU42" s="647"/>
      <c r="CV42" s="518"/>
      <c r="CW42" s="647"/>
      <c r="CX42" s="518"/>
      <c r="CY42" s="647"/>
      <c r="CZ42" s="518"/>
      <c r="DA42" s="647"/>
      <c r="DB42" s="518"/>
      <c r="DC42" s="647">
        <v>0</v>
      </c>
      <c r="DD42" s="518"/>
      <c r="DE42" s="518"/>
      <c r="DF42" s="518"/>
      <c r="DG42" s="748"/>
      <c r="DH42" s="518"/>
      <c r="DI42" s="518"/>
      <c r="DJ42" s="748"/>
      <c r="DK42" s="518"/>
      <c r="DL42" s="518"/>
      <c r="DM42" s="748"/>
      <c r="DN42" s="518"/>
      <c r="DO42" s="518"/>
      <c r="DP42" s="748"/>
      <c r="DQ42" s="493">
        <f t="shared" si="9"/>
        <v>0</v>
      </c>
      <c r="DR42" s="479">
        <f t="shared" si="10"/>
        <v>0</v>
      </c>
      <c r="DS42" s="1163"/>
      <c r="DT42" s="1163"/>
      <c r="DU42" s="1163"/>
      <c r="DV42" s="1163"/>
      <c r="DW42" s="1163"/>
      <c r="DX42" s="1163"/>
      <c r="DY42" s="1163"/>
      <c r="DZ42" s="1163"/>
      <c r="EA42" s="1163"/>
      <c r="EB42" s="1163"/>
      <c r="EC42" s="1163"/>
      <c r="ED42" s="1163"/>
      <c r="EE42" s="1119">
        <f t="shared" si="11"/>
        <v>0</v>
      </c>
      <c r="EF42" s="443">
        <f t="shared" si="12"/>
        <v>0</v>
      </c>
      <c r="EG42" s="443">
        <f t="shared" si="13"/>
        <v>0</v>
      </c>
      <c r="EH42" s="443">
        <f t="shared" si="14"/>
        <v>0</v>
      </c>
      <c r="EI42" s="443">
        <f t="shared" si="14"/>
        <v>0</v>
      </c>
      <c r="EJ42" s="367">
        <v>3000017189</v>
      </c>
    </row>
    <row r="43" spans="1:156" outlineLevel="2">
      <c r="A43" s="367" t="s">
        <v>39</v>
      </c>
      <c r="B43" s="378"/>
      <c r="C43" s="370" t="s">
        <v>358</v>
      </c>
      <c r="E43" s="379" t="s">
        <v>383</v>
      </c>
      <c r="F43" s="380">
        <v>8000000020</v>
      </c>
      <c r="G43" s="178">
        <v>12300000</v>
      </c>
      <c r="H43" s="178">
        <v>7400000</v>
      </c>
      <c r="I43" s="178">
        <v>27650000</v>
      </c>
      <c r="J43" s="178">
        <v>12300000</v>
      </c>
      <c r="K43" s="178">
        <v>29100000</v>
      </c>
      <c r="L43" s="178">
        <v>16500000</v>
      </c>
      <c r="M43" s="178">
        <v>14900000</v>
      </c>
      <c r="N43" s="178">
        <v>33300000</v>
      </c>
      <c r="O43" s="178">
        <v>37800000</v>
      </c>
      <c r="P43" s="178">
        <v>44685000</v>
      </c>
      <c r="Q43" s="178">
        <v>59600000</v>
      </c>
      <c r="R43" s="178">
        <v>60455000</v>
      </c>
      <c r="S43" s="7">
        <f t="shared" si="4"/>
        <v>355990000</v>
      </c>
      <c r="T43" s="179"/>
      <c r="U43" s="178">
        <v>58665000</v>
      </c>
      <c r="V43" s="178">
        <v>56025000</v>
      </c>
      <c r="W43" s="178">
        <v>68560000</v>
      </c>
      <c r="X43" s="178">
        <v>41400000</v>
      </c>
      <c r="Y43" s="178">
        <v>60900000</v>
      </c>
      <c r="Z43" s="178">
        <v>78270000</v>
      </c>
      <c r="AA43" s="178">
        <v>73820000</v>
      </c>
      <c r="AB43" s="178">
        <v>52970000</v>
      </c>
      <c r="AC43" s="178">
        <v>52215000</v>
      </c>
      <c r="AD43" s="178">
        <v>74585000</v>
      </c>
      <c r="AE43" s="178">
        <v>49475000</v>
      </c>
      <c r="AF43" s="178">
        <v>69855000</v>
      </c>
      <c r="AG43" s="518">
        <f t="shared" si="5"/>
        <v>736740000</v>
      </c>
      <c r="AH43" s="788"/>
      <c r="AI43" s="789"/>
      <c r="AJ43" s="792"/>
      <c r="AK43" s="518"/>
      <c r="AL43" s="518"/>
      <c r="AM43" s="518"/>
      <c r="AN43" s="518"/>
      <c r="AO43" s="518"/>
      <c r="AP43" s="518"/>
      <c r="AQ43" s="518">
        <v>0</v>
      </c>
      <c r="AR43" s="518"/>
      <c r="AS43" s="518"/>
      <c r="AT43" s="518"/>
      <c r="AU43" s="518"/>
      <c r="AV43" s="518"/>
      <c r="AW43" s="518"/>
      <c r="AX43" s="518">
        <f t="shared" si="6"/>
        <v>0</v>
      </c>
      <c r="AY43" s="788"/>
      <c r="AZ43" s="789"/>
      <c r="BA43" s="792"/>
      <c r="BB43" s="518"/>
      <c r="BC43" s="518"/>
      <c r="BD43" s="518"/>
      <c r="BE43" s="518"/>
      <c r="BF43" s="518"/>
      <c r="BG43" s="518">
        <f t="shared" si="15"/>
        <v>0</v>
      </c>
      <c r="BH43" s="518">
        <v>0</v>
      </c>
      <c r="BI43" s="518">
        <v>0</v>
      </c>
      <c r="BJ43" s="518">
        <v>0</v>
      </c>
      <c r="BK43" s="518">
        <v>0</v>
      </c>
      <c r="BL43" s="518">
        <f t="shared" si="8"/>
        <v>0</v>
      </c>
      <c r="BN43" s="518"/>
      <c r="BO43" s="518"/>
      <c r="BP43" s="518"/>
      <c r="BQ43" s="518"/>
      <c r="BR43" s="518"/>
      <c r="BS43" s="518"/>
      <c r="BT43" s="518"/>
      <c r="BU43" s="518"/>
      <c r="BV43" s="518"/>
      <c r="BW43" s="518"/>
      <c r="BX43" s="518"/>
      <c r="BY43" s="518"/>
      <c r="BZ43" s="791">
        <v>0</v>
      </c>
      <c r="CB43" s="518"/>
      <c r="CC43" s="518"/>
      <c r="CD43" s="518"/>
      <c r="CE43" s="518"/>
      <c r="CF43" s="518"/>
      <c r="CG43" s="518"/>
      <c r="CH43" s="518"/>
      <c r="CI43" s="518"/>
      <c r="CJ43" s="518"/>
      <c r="CK43" s="518"/>
      <c r="CL43" s="518"/>
      <c r="CM43" s="518"/>
      <c r="CN43" s="791">
        <v>0</v>
      </c>
      <c r="CP43" s="647"/>
      <c r="CQ43" s="647"/>
      <c r="CR43" s="518"/>
      <c r="CS43" s="647"/>
      <c r="CT43" s="518"/>
      <c r="CU43" s="647"/>
      <c r="CV43" s="518"/>
      <c r="CW43" s="647"/>
      <c r="CX43" s="518"/>
      <c r="CY43" s="647"/>
      <c r="CZ43" s="518"/>
      <c r="DA43" s="647"/>
      <c r="DB43" s="518"/>
      <c r="DC43" s="647">
        <v>0</v>
      </c>
      <c r="DD43" s="518"/>
      <c r="DE43" s="518"/>
      <c r="DF43" s="518"/>
      <c r="DG43" s="748"/>
      <c r="DH43" s="518"/>
      <c r="DI43" s="518"/>
      <c r="DJ43" s="748"/>
      <c r="DK43" s="518"/>
      <c r="DL43" s="518"/>
      <c r="DM43" s="748"/>
      <c r="DN43" s="518"/>
      <c r="DO43" s="518"/>
      <c r="DP43" s="748"/>
      <c r="DQ43" s="493">
        <f t="shared" si="9"/>
        <v>0</v>
      </c>
      <c r="DR43" s="479">
        <f t="shared" si="10"/>
        <v>0</v>
      </c>
      <c r="DS43" s="1163"/>
      <c r="DT43" s="1163"/>
      <c r="DU43" s="1163"/>
      <c r="DV43" s="1163"/>
      <c r="DW43" s="1163"/>
      <c r="DX43" s="1163"/>
      <c r="DY43" s="1163"/>
      <c r="DZ43" s="1163"/>
      <c r="EA43" s="1163"/>
      <c r="EB43" s="1163"/>
      <c r="EC43" s="1163"/>
      <c r="ED43" s="1163"/>
      <c r="EE43" s="1119">
        <f t="shared" si="11"/>
        <v>0</v>
      </c>
      <c r="EF43" s="443">
        <f t="shared" si="12"/>
        <v>0</v>
      </c>
      <c r="EG43" s="443">
        <f t="shared" si="13"/>
        <v>0</v>
      </c>
      <c r="EH43" s="443">
        <f t="shared" si="14"/>
        <v>0</v>
      </c>
      <c r="EI43" s="443">
        <f t="shared" si="14"/>
        <v>0</v>
      </c>
      <c r="EJ43" s="367">
        <v>8000000020</v>
      </c>
    </row>
    <row r="44" spans="1:156" outlineLevel="2">
      <c r="A44" s="367" t="s">
        <v>39</v>
      </c>
      <c r="B44" s="378"/>
      <c r="C44" s="370" t="s">
        <v>358</v>
      </c>
      <c r="E44" s="379" t="s">
        <v>384</v>
      </c>
      <c r="F44" s="380">
        <v>8000000051</v>
      </c>
      <c r="G44" s="178">
        <v>0</v>
      </c>
      <c r="H44" s="178">
        <v>0</v>
      </c>
      <c r="I44" s="178">
        <v>0</v>
      </c>
      <c r="J44" s="178">
        <v>0</v>
      </c>
      <c r="K44" s="178">
        <v>0</v>
      </c>
      <c r="L44" s="178">
        <v>0</v>
      </c>
      <c r="M44" s="178">
        <v>1012000</v>
      </c>
      <c r="N44" s="178">
        <v>0</v>
      </c>
      <c r="O44" s="178">
        <v>650000</v>
      </c>
      <c r="P44" s="178">
        <v>514000</v>
      </c>
      <c r="Q44" s="178">
        <v>-514000</v>
      </c>
      <c r="R44" s="178">
        <v>0</v>
      </c>
      <c r="S44" s="7">
        <f t="shared" si="4"/>
        <v>1662000</v>
      </c>
      <c r="T44" s="179"/>
      <c r="U44" s="178">
        <v>0</v>
      </c>
      <c r="V44" s="178">
        <v>0</v>
      </c>
      <c r="W44" s="178">
        <v>0</v>
      </c>
      <c r="X44" s="178">
        <v>0</v>
      </c>
      <c r="Y44" s="178">
        <v>0</v>
      </c>
      <c r="Z44" s="178">
        <v>0</v>
      </c>
      <c r="AA44" s="178">
        <v>0</v>
      </c>
      <c r="AB44" s="178">
        <v>0</v>
      </c>
      <c r="AC44" s="178">
        <v>0</v>
      </c>
      <c r="AD44" s="178">
        <v>0</v>
      </c>
      <c r="AE44" s="178">
        <v>0</v>
      </c>
      <c r="AF44" s="178">
        <v>0</v>
      </c>
      <c r="AG44" s="518">
        <f t="shared" si="5"/>
        <v>0</v>
      </c>
      <c r="AH44" s="788"/>
      <c r="AI44" s="789"/>
      <c r="AJ44" s="792"/>
      <c r="AK44" s="518"/>
      <c r="AL44" s="518"/>
      <c r="AM44" s="518"/>
      <c r="AN44" s="518"/>
      <c r="AO44" s="518"/>
      <c r="AP44" s="518"/>
      <c r="AQ44" s="518">
        <v>0</v>
      </c>
      <c r="AR44" s="518"/>
      <c r="AS44" s="518"/>
      <c r="AT44" s="518"/>
      <c r="AU44" s="518"/>
      <c r="AV44" s="518"/>
      <c r="AW44" s="518"/>
      <c r="AX44" s="518">
        <f t="shared" si="6"/>
        <v>0</v>
      </c>
      <c r="AY44" s="788"/>
      <c r="AZ44" s="789"/>
      <c r="BA44" s="792"/>
      <c r="BB44" s="518"/>
      <c r="BC44" s="518"/>
      <c r="BD44" s="518"/>
      <c r="BE44" s="518"/>
      <c r="BF44" s="518"/>
      <c r="BG44" s="518">
        <f t="shared" si="15"/>
        <v>0</v>
      </c>
      <c r="BH44" s="518">
        <v>0</v>
      </c>
      <c r="BI44" s="518">
        <v>0</v>
      </c>
      <c r="BJ44" s="518">
        <v>0</v>
      </c>
      <c r="BK44" s="518">
        <v>0</v>
      </c>
      <c r="BL44" s="518">
        <f t="shared" si="8"/>
        <v>0</v>
      </c>
      <c r="BN44" s="518"/>
      <c r="BO44" s="518"/>
      <c r="BP44" s="518"/>
      <c r="BQ44" s="518"/>
      <c r="BR44" s="518"/>
      <c r="BS44" s="518"/>
      <c r="BT44" s="518"/>
      <c r="BU44" s="518"/>
      <c r="BV44" s="518"/>
      <c r="BW44" s="518"/>
      <c r="BX44" s="518"/>
      <c r="BY44" s="518"/>
      <c r="BZ44" s="791">
        <v>0</v>
      </c>
      <c r="CB44" s="518"/>
      <c r="CC44" s="518"/>
      <c r="CD44" s="518"/>
      <c r="CE44" s="518"/>
      <c r="CF44" s="518"/>
      <c r="CG44" s="518"/>
      <c r="CH44" s="518"/>
      <c r="CI44" s="518"/>
      <c r="CJ44" s="518"/>
      <c r="CK44" s="518"/>
      <c r="CL44" s="518"/>
      <c r="CM44" s="518"/>
      <c r="CN44" s="791">
        <v>0</v>
      </c>
      <c r="CP44" s="647"/>
      <c r="CQ44" s="647"/>
      <c r="CR44" s="518"/>
      <c r="CS44" s="647"/>
      <c r="CT44" s="518"/>
      <c r="CU44" s="647"/>
      <c r="CV44" s="518"/>
      <c r="CW44" s="647"/>
      <c r="CX44" s="518"/>
      <c r="CY44" s="647"/>
      <c r="CZ44" s="518"/>
      <c r="DA44" s="647"/>
      <c r="DB44" s="518"/>
      <c r="DC44" s="647">
        <v>0</v>
      </c>
      <c r="DD44" s="518"/>
      <c r="DE44" s="518"/>
      <c r="DF44" s="518"/>
      <c r="DG44" s="748"/>
      <c r="DH44" s="518"/>
      <c r="DI44" s="518"/>
      <c r="DJ44" s="748"/>
      <c r="DK44" s="518"/>
      <c r="DL44" s="518"/>
      <c r="DM44" s="748"/>
      <c r="DN44" s="518"/>
      <c r="DO44" s="518"/>
      <c r="DP44" s="748"/>
      <c r="DQ44" s="493">
        <f t="shared" si="9"/>
        <v>0</v>
      </c>
      <c r="DR44" s="479">
        <f t="shared" si="10"/>
        <v>0</v>
      </c>
      <c r="DS44" s="1163"/>
      <c r="DT44" s="1163"/>
      <c r="DU44" s="1163"/>
      <c r="DV44" s="1163"/>
      <c r="DW44" s="1163"/>
      <c r="DX44" s="1163"/>
      <c r="DY44" s="1163"/>
      <c r="DZ44" s="1163"/>
      <c r="EA44" s="1163"/>
      <c r="EB44" s="1163"/>
      <c r="EC44" s="1163"/>
      <c r="ED44" s="1163"/>
      <c r="EE44" s="1119">
        <f t="shared" si="11"/>
        <v>0</v>
      </c>
      <c r="EF44" s="443">
        <f t="shared" si="12"/>
        <v>0</v>
      </c>
      <c r="EG44" s="443">
        <f t="shared" si="13"/>
        <v>0</v>
      </c>
      <c r="EH44" s="443">
        <f t="shared" si="14"/>
        <v>0</v>
      </c>
      <c r="EI44" s="443">
        <f t="shared" si="14"/>
        <v>0</v>
      </c>
      <c r="EJ44" s="367">
        <v>8000000051</v>
      </c>
    </row>
    <row r="45" spans="1:156" outlineLevel="2">
      <c r="A45" s="367" t="s">
        <v>43</v>
      </c>
      <c r="B45" s="378"/>
      <c r="C45" s="370" t="s">
        <v>358</v>
      </c>
      <c r="D45" s="370" t="s">
        <v>40</v>
      </c>
      <c r="E45" s="379" t="s">
        <v>385</v>
      </c>
      <c r="F45" s="380">
        <v>3000000323</v>
      </c>
      <c r="G45" s="178">
        <v>0</v>
      </c>
      <c r="H45" s="178">
        <v>0</v>
      </c>
      <c r="I45" s="178">
        <v>0</v>
      </c>
      <c r="J45" s="178">
        <v>0</v>
      </c>
      <c r="K45" s="178">
        <v>0</v>
      </c>
      <c r="L45" s="178">
        <v>0</v>
      </c>
      <c r="M45" s="178">
        <v>0</v>
      </c>
      <c r="N45" s="178">
        <v>0</v>
      </c>
      <c r="O45" s="178">
        <v>0</v>
      </c>
      <c r="P45" s="178">
        <v>0</v>
      </c>
      <c r="Q45" s="178">
        <v>0</v>
      </c>
      <c r="R45" s="178">
        <v>0</v>
      </c>
      <c r="S45" s="7">
        <f t="shared" si="4"/>
        <v>0</v>
      </c>
      <c r="T45" s="179"/>
      <c r="U45" s="178">
        <v>0</v>
      </c>
      <c r="V45" s="178">
        <v>0</v>
      </c>
      <c r="W45" s="178">
        <v>18000000</v>
      </c>
      <c r="X45" s="178">
        <v>0</v>
      </c>
      <c r="Y45" s="178">
        <v>0</v>
      </c>
      <c r="Z45" s="178">
        <v>0</v>
      </c>
      <c r="AA45" s="178">
        <v>9000000</v>
      </c>
      <c r="AB45" s="178">
        <v>0</v>
      </c>
      <c r="AC45" s="178">
        <v>0</v>
      </c>
      <c r="AD45" s="178">
        <v>0</v>
      </c>
      <c r="AE45" s="178">
        <v>0</v>
      </c>
      <c r="AF45" s="178">
        <v>0</v>
      </c>
      <c r="AG45" s="518">
        <f t="shared" si="5"/>
        <v>27000000</v>
      </c>
      <c r="AH45" s="788"/>
      <c r="AI45" s="789">
        <v>0</v>
      </c>
      <c r="AJ45" s="790"/>
      <c r="AK45" s="518">
        <v>0</v>
      </c>
      <c r="AL45" s="518">
        <v>0</v>
      </c>
      <c r="AM45" s="518">
        <v>170500000</v>
      </c>
      <c r="AN45" s="518">
        <v>106500000</v>
      </c>
      <c r="AO45" s="518">
        <v>0</v>
      </c>
      <c r="AP45" s="518">
        <v>0</v>
      </c>
      <c r="AQ45" s="518">
        <v>0</v>
      </c>
      <c r="AR45" s="518"/>
      <c r="AS45" s="518"/>
      <c r="AT45" s="518"/>
      <c r="AU45" s="518">
        <f>BI45</f>
        <v>0</v>
      </c>
      <c r="AV45" s="518">
        <f>BJ45</f>
        <v>0</v>
      </c>
      <c r="AW45" s="518">
        <f>BK45</f>
        <v>0</v>
      </c>
      <c r="AX45" s="518">
        <f t="shared" si="6"/>
        <v>277000000</v>
      </c>
      <c r="AY45" s="788"/>
      <c r="AZ45" s="789">
        <v>0</v>
      </c>
      <c r="BA45" s="790"/>
      <c r="BB45" s="518">
        <v>0</v>
      </c>
      <c r="BC45" s="518">
        <v>0</v>
      </c>
      <c r="BD45" s="518">
        <v>170500000</v>
      </c>
      <c r="BE45" s="518">
        <v>106500000</v>
      </c>
      <c r="BF45" s="518">
        <v>0</v>
      </c>
      <c r="BG45" s="518">
        <f t="shared" si="15"/>
        <v>0</v>
      </c>
      <c r="BH45" s="518">
        <v>0</v>
      </c>
      <c r="BI45" s="518">
        <v>0</v>
      </c>
      <c r="BJ45" s="518">
        <v>0</v>
      </c>
      <c r="BK45" s="518">
        <v>0</v>
      </c>
      <c r="BL45" s="518">
        <f t="shared" si="8"/>
        <v>277000000</v>
      </c>
      <c r="BN45" s="518">
        <v>0</v>
      </c>
      <c r="BO45" s="518">
        <v>0</v>
      </c>
      <c r="BP45" s="518">
        <v>0</v>
      </c>
      <c r="BQ45" s="518">
        <v>0</v>
      </c>
      <c r="BR45" s="518">
        <v>0</v>
      </c>
      <c r="BS45" s="518">
        <v>0</v>
      </c>
      <c r="BT45" s="518">
        <v>0</v>
      </c>
      <c r="BU45" s="518">
        <v>0</v>
      </c>
      <c r="BV45" s="518">
        <v>0</v>
      </c>
      <c r="BW45" s="518">
        <v>0</v>
      </c>
      <c r="BX45" s="518">
        <v>0</v>
      </c>
      <c r="BY45" s="518">
        <v>0</v>
      </c>
      <c r="BZ45" s="791">
        <v>0</v>
      </c>
      <c r="CB45" s="518">
        <v>0</v>
      </c>
      <c r="CC45" s="518">
        <v>0</v>
      </c>
      <c r="CD45" s="518">
        <v>0</v>
      </c>
      <c r="CE45" s="518">
        <v>0</v>
      </c>
      <c r="CF45" s="518">
        <v>0</v>
      </c>
      <c r="CG45" s="518">
        <v>0</v>
      </c>
      <c r="CH45" s="518">
        <v>0</v>
      </c>
      <c r="CI45" s="518">
        <v>0</v>
      </c>
      <c r="CJ45" s="518">
        <v>0</v>
      </c>
      <c r="CK45" s="518">
        <v>0</v>
      </c>
      <c r="CL45" s="518">
        <v>0</v>
      </c>
      <c r="CM45" s="518">
        <v>0</v>
      </c>
      <c r="CN45" s="791">
        <v>0</v>
      </c>
      <c r="CP45" s="647"/>
      <c r="CQ45" s="647"/>
      <c r="CR45" s="518"/>
      <c r="CS45" s="647"/>
      <c r="CT45" s="518"/>
      <c r="CU45" s="647"/>
      <c r="CV45" s="518"/>
      <c r="CW45" s="647"/>
      <c r="CX45" s="518"/>
      <c r="CY45" s="647"/>
      <c r="CZ45" s="518"/>
      <c r="DA45" s="647"/>
      <c r="DB45" s="518"/>
      <c r="DC45" s="647">
        <v>0</v>
      </c>
      <c r="DD45" s="518"/>
      <c r="DE45" s="518"/>
      <c r="DF45" s="518"/>
      <c r="DG45" s="748"/>
      <c r="DH45" s="518"/>
      <c r="DI45" s="518"/>
      <c r="DJ45" s="748"/>
      <c r="DK45" s="518"/>
      <c r="DL45" s="518"/>
      <c r="DM45" s="748"/>
      <c r="DN45" s="518"/>
      <c r="DO45" s="518"/>
      <c r="DP45" s="748"/>
      <c r="DQ45" s="493">
        <f t="shared" si="9"/>
        <v>0</v>
      </c>
      <c r="DR45" s="479">
        <f t="shared" si="10"/>
        <v>0</v>
      </c>
      <c r="DS45" s="1163"/>
      <c r="DT45" s="1163"/>
      <c r="DU45" s="1163"/>
      <c r="DV45" s="1163"/>
      <c r="DW45" s="1163"/>
      <c r="DX45" s="1163"/>
      <c r="DY45" s="1163"/>
      <c r="DZ45" s="1163"/>
      <c r="EA45" s="1163"/>
      <c r="EB45" s="1163"/>
      <c r="EC45" s="1163"/>
      <c r="ED45" s="1163"/>
      <c r="EE45" s="1119">
        <f t="shared" si="11"/>
        <v>0</v>
      </c>
      <c r="EF45" s="443">
        <f t="shared" si="12"/>
        <v>0</v>
      </c>
      <c r="EG45" s="443">
        <f t="shared" si="13"/>
        <v>0</v>
      </c>
      <c r="EH45" s="443">
        <f t="shared" si="14"/>
        <v>0</v>
      </c>
      <c r="EI45" s="443">
        <f t="shared" si="14"/>
        <v>0</v>
      </c>
      <c r="EJ45" s="367">
        <v>3000000323</v>
      </c>
    </row>
    <row r="46" spans="1:156" ht="15.5" outlineLevel="2">
      <c r="A46" s="367" t="s">
        <v>39</v>
      </c>
      <c r="B46" s="378"/>
      <c r="C46" s="370" t="s">
        <v>358</v>
      </c>
      <c r="D46" s="370" t="s">
        <v>40</v>
      </c>
      <c r="E46" s="379" t="s">
        <v>386</v>
      </c>
      <c r="F46" s="380">
        <v>3000000217</v>
      </c>
      <c r="G46" s="178">
        <v>0</v>
      </c>
      <c r="H46" s="178">
        <v>0</v>
      </c>
      <c r="I46" s="178">
        <v>0</v>
      </c>
      <c r="J46" s="178">
        <v>0</v>
      </c>
      <c r="K46" s="178">
        <v>0</v>
      </c>
      <c r="L46" s="178">
        <v>0</v>
      </c>
      <c r="M46" s="178">
        <v>0</v>
      </c>
      <c r="N46" s="178">
        <v>0</v>
      </c>
      <c r="O46" s="178">
        <v>0</v>
      </c>
      <c r="P46" s="178">
        <v>0</v>
      </c>
      <c r="Q46" s="178">
        <v>0</v>
      </c>
      <c r="R46" s="178">
        <v>0</v>
      </c>
      <c r="S46" s="7">
        <f>SUM(G46,H46,I46,J46,K46,L46,M46,N46,O46,P46,Q46,R46)</f>
        <v>0</v>
      </c>
      <c r="T46" s="179"/>
      <c r="U46" s="178">
        <v>0</v>
      </c>
      <c r="V46" s="178">
        <v>0</v>
      </c>
      <c r="W46" s="178">
        <v>0</v>
      </c>
      <c r="X46" s="178">
        <v>4800000</v>
      </c>
      <c r="Y46" s="178">
        <v>6750000</v>
      </c>
      <c r="Z46" s="178">
        <v>-4450000</v>
      </c>
      <c r="AA46" s="178">
        <v>0</v>
      </c>
      <c r="AB46" s="178">
        <v>6000000</v>
      </c>
      <c r="AC46" s="178">
        <v>6000000</v>
      </c>
      <c r="AD46" s="178">
        <v>12000000</v>
      </c>
      <c r="AE46" s="178">
        <v>18000000</v>
      </c>
      <c r="AF46" s="178">
        <v>3600000</v>
      </c>
      <c r="AG46" s="518">
        <f>SUM(U46,V46,W46,X46,Y46,Z46,AA46,AB46,AC46,AD46,AE46,AF46)</f>
        <v>52700000</v>
      </c>
      <c r="AH46" s="788"/>
      <c r="AI46" s="789">
        <v>13500000</v>
      </c>
      <c r="AJ46" s="793">
        <v>13500000</v>
      </c>
      <c r="AK46" s="518">
        <v>12000000</v>
      </c>
      <c r="AL46" s="518">
        <v>0</v>
      </c>
      <c r="AM46" s="518">
        <v>0</v>
      </c>
      <c r="AN46" s="518">
        <v>0</v>
      </c>
      <c r="AO46" s="518">
        <v>200000000</v>
      </c>
      <c r="AP46" s="518">
        <v>5860000</v>
      </c>
      <c r="AQ46" s="518">
        <v>137050000</v>
      </c>
      <c r="AR46" s="518">
        <v>65550000</v>
      </c>
      <c r="AS46" s="518">
        <v>215960000</v>
      </c>
      <c r="AT46" s="518">
        <v>101352000</v>
      </c>
      <c r="AU46" s="794">
        <v>100000000</v>
      </c>
      <c r="AV46" s="794">
        <v>150000000</v>
      </c>
      <c r="AW46" s="794">
        <v>150000000</v>
      </c>
      <c r="AX46" s="518">
        <f>SUM(AI46,AJ46,AK46,AL46,AM46,AN46,AO46,AP46,AQ46,AR46,AS46,AT46)</f>
        <v>764772000</v>
      </c>
      <c r="AY46" s="788"/>
      <c r="AZ46" s="789">
        <v>13500000</v>
      </c>
      <c r="BA46" s="793">
        <v>13500000</v>
      </c>
      <c r="BB46" s="518">
        <v>12000000</v>
      </c>
      <c r="BC46" s="518">
        <v>0</v>
      </c>
      <c r="BD46" s="518">
        <v>0</v>
      </c>
      <c r="BE46" s="518">
        <v>0</v>
      </c>
      <c r="BF46" s="518">
        <v>200000000</v>
      </c>
      <c r="BG46" s="518">
        <f>AP46</f>
        <v>5860000</v>
      </c>
      <c r="BH46" s="518">
        <v>200000000</v>
      </c>
      <c r="BI46" s="518">
        <v>200000000</v>
      </c>
      <c r="BJ46" s="518">
        <v>200000000</v>
      </c>
      <c r="BK46" s="518">
        <v>200000000</v>
      </c>
      <c r="BL46" s="518">
        <f>SUM(AZ46,BA46,BB46,BC46,BD46,BE46,BF46,BG46,BH46,BI46,BJ46,BK46)</f>
        <v>1044860000</v>
      </c>
      <c r="BN46" s="518">
        <v>200000000</v>
      </c>
      <c r="BO46" s="518">
        <f>BN46</f>
        <v>200000000</v>
      </c>
      <c r="BP46" s="518">
        <f>BO46</f>
        <v>200000000</v>
      </c>
      <c r="BQ46" s="518">
        <f>BP46</f>
        <v>200000000</v>
      </c>
      <c r="BR46" s="518">
        <f>BQ46*0.85</f>
        <v>170000000</v>
      </c>
      <c r="BS46" s="518">
        <f>200000000</f>
        <v>200000000</v>
      </c>
      <c r="BT46" s="518">
        <f t="shared" ref="BT46:BY46" si="16">200000000</f>
        <v>200000000</v>
      </c>
      <c r="BU46" s="518">
        <f t="shared" si="16"/>
        <v>200000000</v>
      </c>
      <c r="BV46" s="518">
        <f t="shared" si="16"/>
        <v>200000000</v>
      </c>
      <c r="BW46" s="518">
        <f t="shared" si="16"/>
        <v>200000000</v>
      </c>
      <c r="BX46" s="518">
        <f t="shared" si="16"/>
        <v>200000000</v>
      </c>
      <c r="BY46" s="518">
        <f t="shared" si="16"/>
        <v>200000000</v>
      </c>
      <c r="BZ46" s="791">
        <v>2370000000</v>
      </c>
      <c r="CB46" s="518">
        <v>200000000</v>
      </c>
      <c r="CC46" s="518">
        <f>CB46</f>
        <v>200000000</v>
      </c>
      <c r="CD46" s="518">
        <f>CC46</f>
        <v>200000000</v>
      </c>
      <c r="CE46" s="518">
        <f>CD46</f>
        <v>200000000</v>
      </c>
      <c r="CF46" s="518">
        <f>CE46*0.85</f>
        <v>170000000</v>
      </c>
      <c r="CG46" s="518">
        <f>200000000</f>
        <v>200000000</v>
      </c>
      <c r="CH46" s="518">
        <f t="shared" ref="CH46:CM46" si="17">200000000</f>
        <v>200000000</v>
      </c>
      <c r="CI46" s="518">
        <f t="shared" si="17"/>
        <v>200000000</v>
      </c>
      <c r="CJ46" s="518">
        <f t="shared" si="17"/>
        <v>200000000</v>
      </c>
      <c r="CK46" s="518">
        <f t="shared" si="17"/>
        <v>200000000</v>
      </c>
      <c r="CL46" s="518">
        <f t="shared" si="17"/>
        <v>200000000</v>
      </c>
      <c r="CM46" s="518">
        <f t="shared" si="17"/>
        <v>200000000</v>
      </c>
      <c r="CN46" s="791">
        <v>2370000000</v>
      </c>
      <c r="CP46" s="647">
        <v>138212000</v>
      </c>
      <c r="CQ46" s="647">
        <v>69570000</v>
      </c>
      <c r="CR46" s="518">
        <v>130000000</v>
      </c>
      <c r="CS46" s="647">
        <v>174260000</v>
      </c>
      <c r="CT46" s="518">
        <v>180000000</v>
      </c>
      <c r="CU46" s="647">
        <v>72682000</v>
      </c>
      <c r="CV46" s="518">
        <v>180000000</v>
      </c>
      <c r="CW46" s="647">
        <v>166760000</v>
      </c>
      <c r="CX46" s="518">
        <v>150000000</v>
      </c>
      <c r="CY46" s="647">
        <v>144040000</v>
      </c>
      <c r="CZ46" s="518">
        <v>180000000</v>
      </c>
      <c r="DA46" s="647">
        <v>120990000</v>
      </c>
      <c r="DB46" s="518">
        <v>180000000</v>
      </c>
      <c r="DC46" s="647">
        <v>54750000</v>
      </c>
      <c r="DD46" s="518">
        <v>180000000</v>
      </c>
      <c r="DE46" s="518"/>
      <c r="DF46" s="518">
        <v>180000000</v>
      </c>
      <c r="DG46" s="748">
        <v>200000000</v>
      </c>
      <c r="DH46" s="518"/>
      <c r="DI46" s="518">
        <v>180000000</v>
      </c>
      <c r="DJ46" s="748">
        <v>200000000</v>
      </c>
      <c r="DK46" s="518"/>
      <c r="DL46" s="518">
        <v>180000000</v>
      </c>
      <c r="DM46" s="748">
        <v>200000000</v>
      </c>
      <c r="DN46" s="518"/>
      <c r="DO46" s="518">
        <v>180000000</v>
      </c>
      <c r="DP46" s="748">
        <v>200000000</v>
      </c>
      <c r="DQ46" s="493">
        <f>SUM(CP46,CQ46,CS46,CU46,CW46,CY46,DA46,DC46,DF46,DI46,DL46,DO46)</f>
        <v>1661264000</v>
      </c>
      <c r="DR46" s="479">
        <f t="shared" ref="DR46:DR77" si="18">SUM(CP46,CQ46,CS46,CU46,CX46,CZ46,DB46,DD46,DG46,DJ46,DM46,DP46)</f>
        <v>1944724000</v>
      </c>
      <c r="DS46" s="1163">
        <v>120000000</v>
      </c>
      <c r="DT46" s="1163">
        <v>120000000</v>
      </c>
      <c r="DU46" s="1163">
        <v>120000000</v>
      </c>
      <c r="DV46" s="1163">
        <v>100000000</v>
      </c>
      <c r="DW46" s="1163">
        <v>120000000</v>
      </c>
      <c r="DX46" s="1163">
        <v>150000000</v>
      </c>
      <c r="DY46" s="1163">
        <v>150000000</v>
      </c>
      <c r="DZ46" s="1163">
        <v>150000000</v>
      </c>
      <c r="EA46" s="1163">
        <v>150000000</v>
      </c>
      <c r="EB46" s="1163">
        <v>150000000</v>
      </c>
      <c r="EC46" s="1163">
        <v>150000000</v>
      </c>
      <c r="ED46" s="1163">
        <v>150000000</v>
      </c>
      <c r="EE46" s="1119">
        <f t="shared" si="11"/>
        <v>1630000000</v>
      </c>
      <c r="EF46" s="443">
        <f>EE46*1.17</f>
        <v>1907100000</v>
      </c>
      <c r="EG46" s="355">
        <f>EF46*1.08</f>
        <v>2059668000.0000002</v>
      </c>
      <c r="EH46" s="355">
        <f t="shared" ref="EH46:EI50" si="19">EG46*1.09</f>
        <v>2245038120.0000005</v>
      </c>
      <c r="EI46" s="355">
        <f t="shared" si="19"/>
        <v>2447091550.8000007</v>
      </c>
      <c r="EJ46" s="367">
        <v>3000000217</v>
      </c>
    </row>
    <row r="47" spans="1:156" s="8" customFormat="1" ht="15.5" outlineLevel="2">
      <c r="A47" s="367" t="s">
        <v>43</v>
      </c>
      <c r="B47" s="378"/>
      <c r="C47" s="370" t="s">
        <v>358</v>
      </c>
      <c r="D47" s="370" t="s">
        <v>40</v>
      </c>
      <c r="E47" s="379" t="s">
        <v>387</v>
      </c>
      <c r="F47" s="380">
        <v>3000019703</v>
      </c>
      <c r="G47" s="178">
        <v>0</v>
      </c>
      <c r="H47" s="178">
        <v>0</v>
      </c>
      <c r="I47" s="178">
        <v>0</v>
      </c>
      <c r="J47" s="178">
        <v>0</v>
      </c>
      <c r="K47" s="178">
        <v>0</v>
      </c>
      <c r="L47" s="178">
        <v>0</v>
      </c>
      <c r="M47" s="178">
        <v>0</v>
      </c>
      <c r="N47" s="178">
        <v>0</v>
      </c>
      <c r="O47" s="178">
        <v>0</v>
      </c>
      <c r="P47" s="178">
        <v>0</v>
      </c>
      <c r="Q47" s="178">
        <v>0</v>
      </c>
      <c r="R47" s="178">
        <v>0</v>
      </c>
      <c r="S47" s="7">
        <f>SUM(G47,H47,I47,J47,K47,L47,M47,N47,O47,P47,Q47,R47)</f>
        <v>0</v>
      </c>
      <c r="T47" s="179"/>
      <c r="U47" s="178">
        <v>0</v>
      </c>
      <c r="V47" s="178">
        <v>0</v>
      </c>
      <c r="W47" s="178">
        <v>0</v>
      </c>
      <c r="X47" s="178">
        <v>0</v>
      </c>
      <c r="Y47" s="178">
        <v>0</v>
      </c>
      <c r="Z47" s="178">
        <v>0</v>
      </c>
      <c r="AA47" s="178">
        <v>0</v>
      </c>
      <c r="AB47" s="178">
        <v>0</v>
      </c>
      <c r="AC47" s="178">
        <v>0</v>
      </c>
      <c r="AD47" s="178">
        <v>0</v>
      </c>
      <c r="AE47" s="178">
        <v>0</v>
      </c>
      <c r="AF47" s="178">
        <v>0</v>
      </c>
      <c r="AG47" s="518">
        <f>SUM(U47,V47,W47,X47,Y47,Z47,AA47,AB47,AC47,AD47,AE47,AF47)</f>
        <v>0</v>
      </c>
      <c r="AH47" s="788"/>
      <c r="AI47" s="789"/>
      <c r="AJ47" s="517"/>
      <c r="AK47" s="518"/>
      <c r="AL47" s="518">
        <v>293011520</v>
      </c>
      <c r="AM47" s="518">
        <v>295767104</v>
      </c>
      <c r="AN47" s="518">
        <v>554339584</v>
      </c>
      <c r="AO47" s="518">
        <v>497744976</v>
      </c>
      <c r="AP47" s="518">
        <v>471523828</v>
      </c>
      <c r="AQ47" s="518">
        <v>402857030</v>
      </c>
      <c r="AR47" s="774">
        <v>492851001</v>
      </c>
      <c r="AS47" s="774">
        <v>399072534</v>
      </c>
      <c r="AT47" s="774">
        <v>418681908</v>
      </c>
      <c r="AU47" s="794">
        <f>600000000</f>
        <v>600000000</v>
      </c>
      <c r="AV47" s="794">
        <f>600000000</f>
        <v>600000000</v>
      </c>
      <c r="AW47" s="794">
        <f>600000000</f>
        <v>600000000</v>
      </c>
      <c r="AX47" s="518">
        <f>SUM(AI47,AJ47,AK47,AL47,AM47,AN47,AO47,AP47,AQ47,AR47,AS47,AT47)</f>
        <v>3825849485</v>
      </c>
      <c r="AY47" s="788"/>
      <c r="AZ47" s="789"/>
      <c r="BA47" s="517"/>
      <c r="BB47" s="518"/>
      <c r="BC47" s="518">
        <v>293011520</v>
      </c>
      <c r="BD47" s="518">
        <v>295767104</v>
      </c>
      <c r="BE47" s="518">
        <v>554339584</v>
      </c>
      <c r="BF47" s="518">
        <v>497744976</v>
      </c>
      <c r="BG47" s="518">
        <f>AP47</f>
        <v>471523828</v>
      </c>
      <c r="BH47" s="518">
        <v>550000000</v>
      </c>
      <c r="BI47" s="518">
        <v>550000000</v>
      </c>
      <c r="BJ47" s="518">
        <v>550000000</v>
      </c>
      <c r="BK47" s="518">
        <v>550000000</v>
      </c>
      <c r="BL47" s="518">
        <f>SUM(AZ47,BA47,BB47,BC47,BD47,BE47,BF47,BG47,BH47,BI47,BJ47,BK47)</f>
        <v>4312387012</v>
      </c>
      <c r="BM47" s="3"/>
      <c r="BN47" s="518">
        <v>550000000</v>
      </c>
      <c r="BO47" s="518">
        <v>550000000</v>
      </c>
      <c r="BP47" s="518">
        <v>550000000</v>
      </c>
      <c r="BQ47" s="518">
        <v>600000000</v>
      </c>
      <c r="BR47" s="518">
        <v>500000000</v>
      </c>
      <c r="BS47" s="518">
        <v>650000000</v>
      </c>
      <c r="BT47" s="518">
        <v>650000000</v>
      </c>
      <c r="BU47" s="518">
        <v>650000000</v>
      </c>
      <c r="BV47" s="518">
        <v>650000000</v>
      </c>
      <c r="BW47" s="518">
        <v>650000000</v>
      </c>
      <c r="BX47" s="518">
        <v>650000000</v>
      </c>
      <c r="BY47" s="518">
        <v>650000000</v>
      </c>
      <c r="BZ47" s="791">
        <v>7300000000</v>
      </c>
      <c r="CA47" s="3"/>
      <c r="CB47" s="518">
        <v>550000000</v>
      </c>
      <c r="CC47" s="518">
        <v>550000000</v>
      </c>
      <c r="CD47" s="518">
        <v>550000000</v>
      </c>
      <c r="CE47" s="518">
        <v>600000000</v>
      </c>
      <c r="CF47" s="518">
        <v>500000000</v>
      </c>
      <c r="CG47" s="518">
        <v>650000000</v>
      </c>
      <c r="CH47" s="518">
        <v>650000000</v>
      </c>
      <c r="CI47" s="518">
        <v>650000000</v>
      </c>
      <c r="CJ47" s="518">
        <v>650000000</v>
      </c>
      <c r="CK47" s="518">
        <v>650000000</v>
      </c>
      <c r="CL47" s="518">
        <v>650000000</v>
      </c>
      <c r="CM47" s="518">
        <v>650000000</v>
      </c>
      <c r="CN47" s="791">
        <v>7300000000</v>
      </c>
      <c r="CO47" s="3"/>
      <c r="CP47" s="647">
        <v>439326052</v>
      </c>
      <c r="CQ47" s="647">
        <v>311729107</v>
      </c>
      <c r="CR47" s="518">
        <v>500000000</v>
      </c>
      <c r="CS47" s="647">
        <v>367829232</v>
      </c>
      <c r="CT47" s="518">
        <v>550000000</v>
      </c>
      <c r="CU47" s="647">
        <v>319285430</v>
      </c>
      <c r="CV47" s="518">
        <v>550000000</v>
      </c>
      <c r="CW47" s="647">
        <v>297848566</v>
      </c>
      <c r="CX47" s="518">
        <v>350000000</v>
      </c>
      <c r="CY47" s="647">
        <v>198316232</v>
      </c>
      <c r="CZ47" s="518">
        <v>350000000</v>
      </c>
      <c r="DA47" s="647">
        <v>190018952</v>
      </c>
      <c r="DB47" s="518">
        <v>350000000</v>
      </c>
      <c r="DC47" s="647">
        <v>322247929</v>
      </c>
      <c r="DD47" s="518">
        <v>350000000</v>
      </c>
      <c r="DE47" s="518"/>
      <c r="DF47" s="518">
        <v>350000000</v>
      </c>
      <c r="DG47" s="748">
        <v>350000000</v>
      </c>
      <c r="DH47" s="518"/>
      <c r="DI47" s="518">
        <v>350000000</v>
      </c>
      <c r="DJ47" s="748">
        <v>350000000</v>
      </c>
      <c r="DK47" s="518"/>
      <c r="DL47" s="518">
        <v>350000000</v>
      </c>
      <c r="DM47" s="748">
        <v>350000000</v>
      </c>
      <c r="DN47" s="518"/>
      <c r="DO47" s="518">
        <v>350000000</v>
      </c>
      <c r="DP47" s="748">
        <v>350000000</v>
      </c>
      <c r="DQ47" s="493">
        <f t="shared" si="9"/>
        <v>3846601500</v>
      </c>
      <c r="DR47" s="479">
        <f t="shared" si="18"/>
        <v>4238169821</v>
      </c>
      <c r="DS47" s="1163">
        <v>300000000</v>
      </c>
      <c r="DT47" s="1163">
        <v>300000000</v>
      </c>
      <c r="DU47" s="1163">
        <v>300000000</v>
      </c>
      <c r="DV47" s="1163">
        <v>250000000</v>
      </c>
      <c r="DW47" s="1163">
        <v>350000000</v>
      </c>
      <c r="DX47" s="1163">
        <v>350000000</v>
      </c>
      <c r="DY47" s="1163">
        <v>350000000</v>
      </c>
      <c r="DZ47" s="1163">
        <v>350000000</v>
      </c>
      <c r="EA47" s="1163">
        <v>350000000</v>
      </c>
      <c r="EB47" s="1163">
        <v>350000000</v>
      </c>
      <c r="EC47" s="1163">
        <v>350000000</v>
      </c>
      <c r="ED47" s="1163">
        <v>350000000</v>
      </c>
      <c r="EE47" s="1119">
        <f t="shared" si="11"/>
        <v>3950000000</v>
      </c>
      <c r="EF47" s="443">
        <f t="shared" ref="EF47:EF110" si="20">EE47*1.17</f>
        <v>4621500000</v>
      </c>
      <c r="EG47" s="355">
        <f t="shared" ref="EG47:EG110" si="21">EF47*1.08</f>
        <v>4991220000</v>
      </c>
      <c r="EH47" s="355">
        <f t="shared" si="19"/>
        <v>5440429800</v>
      </c>
      <c r="EI47" s="355">
        <f t="shared" si="19"/>
        <v>5930068482</v>
      </c>
      <c r="EJ47" s="367">
        <v>3000019703</v>
      </c>
      <c r="EK47" s="367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</row>
    <row r="48" spans="1:156" ht="15.5" outlineLevel="2">
      <c r="A48" s="367" t="s">
        <v>43</v>
      </c>
      <c r="B48" s="378"/>
      <c r="C48" s="370" t="s">
        <v>358</v>
      </c>
      <c r="D48" s="370" t="s">
        <v>40</v>
      </c>
      <c r="E48" s="379" t="s">
        <v>44</v>
      </c>
      <c r="F48" s="380">
        <v>3000014429</v>
      </c>
      <c r="G48" s="178">
        <v>0</v>
      </c>
      <c r="H48" s="178">
        <v>0</v>
      </c>
      <c r="I48" s="178">
        <v>0</v>
      </c>
      <c r="J48" s="178">
        <v>0</v>
      </c>
      <c r="K48" s="178">
        <v>0</v>
      </c>
      <c r="L48" s="178">
        <v>0</v>
      </c>
      <c r="M48" s="178">
        <v>0</v>
      </c>
      <c r="N48" s="178">
        <v>0</v>
      </c>
      <c r="O48" s="178">
        <v>0</v>
      </c>
      <c r="P48" s="178">
        <v>0</v>
      </c>
      <c r="Q48" s="178">
        <v>0</v>
      </c>
      <c r="R48" s="178">
        <v>0</v>
      </c>
      <c r="S48" s="7">
        <f t="shared" si="4"/>
        <v>0</v>
      </c>
      <c r="T48" s="179"/>
      <c r="U48" s="178">
        <v>0</v>
      </c>
      <c r="V48" s="178">
        <v>0</v>
      </c>
      <c r="W48" s="178">
        <v>0</v>
      </c>
      <c r="X48" s="178">
        <v>0</v>
      </c>
      <c r="Y48" s="178">
        <v>0</v>
      </c>
      <c r="Z48" s="178">
        <v>0</v>
      </c>
      <c r="AA48" s="178">
        <v>0</v>
      </c>
      <c r="AB48" s="178">
        <v>14912000</v>
      </c>
      <c r="AC48" s="178">
        <v>8740000</v>
      </c>
      <c r="AD48" s="178">
        <v>0</v>
      </c>
      <c r="AE48" s="178">
        <v>7724500</v>
      </c>
      <c r="AF48" s="178">
        <v>30978500</v>
      </c>
      <c r="AG48" s="518">
        <f t="shared" si="5"/>
        <v>62355000</v>
      </c>
      <c r="AH48" s="788"/>
      <c r="AI48" s="789">
        <v>11351500</v>
      </c>
      <c r="AJ48" s="792">
        <v>17246000</v>
      </c>
      <c r="AK48" s="518">
        <v>11851000</v>
      </c>
      <c r="AL48" s="518">
        <v>9270000</v>
      </c>
      <c r="AM48" s="518">
        <v>15872000</v>
      </c>
      <c r="AN48" s="518">
        <v>133994100</v>
      </c>
      <c r="AO48" s="518">
        <v>132245200</v>
      </c>
      <c r="AP48" s="518">
        <v>87940500</v>
      </c>
      <c r="AQ48" s="518">
        <v>43292100</v>
      </c>
      <c r="AR48" s="759">
        <v>41975800</v>
      </c>
      <c r="AS48" s="759">
        <v>64979600</v>
      </c>
      <c r="AT48" s="759">
        <v>83491000</v>
      </c>
      <c r="AU48" s="794">
        <v>87940500</v>
      </c>
      <c r="AV48" s="794">
        <v>87940500</v>
      </c>
      <c r="AW48" s="794">
        <v>87940500</v>
      </c>
      <c r="AX48" s="518">
        <f>SUM(AI48,AJ48,AK48,AL48,AM48,AN48,AO48,AP48,AQ48,AR48,AS48,AT48)</f>
        <v>653508800</v>
      </c>
      <c r="AY48" s="788"/>
      <c r="AZ48" s="789">
        <v>11351500</v>
      </c>
      <c r="BA48" s="792">
        <v>17246000</v>
      </c>
      <c r="BB48" s="518">
        <v>11851000</v>
      </c>
      <c r="BC48" s="518">
        <v>9270000</v>
      </c>
      <c r="BD48" s="518">
        <v>15872000</v>
      </c>
      <c r="BE48" s="518">
        <v>133994100</v>
      </c>
      <c r="BF48" s="518">
        <v>132245200</v>
      </c>
      <c r="BG48" s="518">
        <f t="shared" si="15"/>
        <v>87940500</v>
      </c>
      <c r="BH48" s="518">
        <v>150000000</v>
      </c>
      <c r="BI48" s="518">
        <v>200000000</v>
      </c>
      <c r="BJ48" s="518">
        <v>200000000</v>
      </c>
      <c r="BK48" s="518">
        <v>200000000</v>
      </c>
      <c r="BL48" s="518">
        <f t="shared" si="8"/>
        <v>1169770300</v>
      </c>
      <c r="BN48" s="518">
        <f>100000000</f>
        <v>100000000</v>
      </c>
      <c r="BO48" s="518">
        <f>BN48</f>
        <v>100000000</v>
      </c>
      <c r="BP48" s="518">
        <f>BO48</f>
        <v>100000000</v>
      </c>
      <c r="BQ48" s="518">
        <f>BP48</f>
        <v>100000000</v>
      </c>
      <c r="BR48" s="518">
        <f>80000000</f>
        <v>80000000</v>
      </c>
      <c r="BS48" s="518">
        <f>BR48</f>
        <v>80000000</v>
      </c>
      <c r="BT48" s="518">
        <v>100000000</v>
      </c>
      <c r="BU48" s="518">
        <v>100000000</v>
      </c>
      <c r="BV48" s="518">
        <v>100000000</v>
      </c>
      <c r="BW48" s="518">
        <v>100000000</v>
      </c>
      <c r="BX48" s="518">
        <v>100000000</v>
      </c>
      <c r="BY48" s="518">
        <v>100000000</v>
      </c>
      <c r="BZ48" s="791">
        <v>1160000000</v>
      </c>
      <c r="CB48" s="518">
        <f>100000000</f>
        <v>100000000</v>
      </c>
      <c r="CC48" s="518">
        <f>CB48</f>
        <v>100000000</v>
      </c>
      <c r="CD48" s="518">
        <f>CC48</f>
        <v>100000000</v>
      </c>
      <c r="CE48" s="518">
        <f>CD48</f>
        <v>100000000</v>
      </c>
      <c r="CF48" s="518">
        <f>80000000</f>
        <v>80000000</v>
      </c>
      <c r="CG48" s="518">
        <f>CF48</f>
        <v>80000000</v>
      </c>
      <c r="CH48" s="518">
        <v>100000000</v>
      </c>
      <c r="CI48" s="518">
        <v>100000000</v>
      </c>
      <c r="CJ48" s="518">
        <v>100000000</v>
      </c>
      <c r="CK48" s="518">
        <v>100000000</v>
      </c>
      <c r="CL48" s="518">
        <v>100000000</v>
      </c>
      <c r="CM48" s="518">
        <v>100000000</v>
      </c>
      <c r="CN48" s="791">
        <v>1160000000</v>
      </c>
      <c r="CP48" s="647">
        <v>126957800</v>
      </c>
      <c r="CQ48" s="647">
        <v>76693500</v>
      </c>
      <c r="CR48" s="518">
        <v>130000000</v>
      </c>
      <c r="CS48" s="647">
        <v>177211400</v>
      </c>
      <c r="CT48" s="518">
        <v>130000000</v>
      </c>
      <c r="CU48" s="647">
        <v>147418700</v>
      </c>
      <c r="CV48" s="518">
        <v>130000000</v>
      </c>
      <c r="CW48" s="647">
        <v>98334400</v>
      </c>
      <c r="CX48" s="518">
        <v>80000000</v>
      </c>
      <c r="CY48" s="647">
        <v>143730700</v>
      </c>
      <c r="CZ48" s="518">
        <v>130000000</v>
      </c>
      <c r="DA48" s="647">
        <v>204814625</v>
      </c>
      <c r="DB48" s="518">
        <v>130000000</v>
      </c>
      <c r="DC48" s="647">
        <v>133332875</v>
      </c>
      <c r="DD48" s="518">
        <v>130000000</v>
      </c>
      <c r="DE48" s="518"/>
      <c r="DF48" s="518">
        <v>130000000</v>
      </c>
      <c r="DG48" s="748">
        <v>150000000</v>
      </c>
      <c r="DH48" s="518"/>
      <c r="DI48" s="518">
        <v>130000000</v>
      </c>
      <c r="DJ48" s="748">
        <v>175000000</v>
      </c>
      <c r="DK48" s="518"/>
      <c r="DL48" s="518">
        <v>130000000</v>
      </c>
      <c r="DM48" s="748">
        <v>200000000</v>
      </c>
      <c r="DN48" s="518"/>
      <c r="DO48" s="518">
        <v>130000000</v>
      </c>
      <c r="DP48" s="748">
        <v>200000000</v>
      </c>
      <c r="DQ48" s="493">
        <f t="shared" si="9"/>
        <v>1628494000</v>
      </c>
      <c r="DR48" s="479">
        <f t="shared" si="18"/>
        <v>1723281400</v>
      </c>
      <c r="DS48" s="1163">
        <v>120000000</v>
      </c>
      <c r="DT48" s="1163">
        <v>120000000</v>
      </c>
      <c r="DU48" s="1163">
        <v>120000000</v>
      </c>
      <c r="DV48" s="1163">
        <v>100000000</v>
      </c>
      <c r="DW48" s="1163">
        <v>120000000</v>
      </c>
      <c r="DX48" s="1163">
        <v>180000000</v>
      </c>
      <c r="DY48" s="1163">
        <v>180000000</v>
      </c>
      <c r="DZ48" s="1163">
        <v>180000000</v>
      </c>
      <c r="EA48" s="1163">
        <v>180000000</v>
      </c>
      <c r="EB48" s="1163">
        <v>120000000</v>
      </c>
      <c r="EC48" s="1163">
        <v>120000000</v>
      </c>
      <c r="ED48" s="1163">
        <v>120000000</v>
      </c>
      <c r="EE48" s="1119">
        <f t="shared" si="11"/>
        <v>1660000000</v>
      </c>
      <c r="EF48" s="443">
        <f t="shared" si="20"/>
        <v>1942200000</v>
      </c>
      <c r="EG48" s="355">
        <f t="shared" si="21"/>
        <v>2097576000.0000002</v>
      </c>
      <c r="EH48" s="355">
        <f t="shared" si="19"/>
        <v>2286357840.0000005</v>
      </c>
      <c r="EI48" s="355">
        <f t="shared" si="19"/>
        <v>2492130045.6000009</v>
      </c>
      <c r="EJ48" s="367">
        <v>3000014429</v>
      </c>
    </row>
    <row r="49" spans="1:140" ht="15.5" outlineLevel="2">
      <c r="A49" s="367" t="s">
        <v>43</v>
      </c>
      <c r="B49" s="378"/>
      <c r="C49" s="370" t="s">
        <v>358</v>
      </c>
      <c r="D49" s="370" t="s">
        <v>40</v>
      </c>
      <c r="E49" s="379" t="s">
        <v>388</v>
      </c>
      <c r="F49" s="380">
        <v>3000019366</v>
      </c>
      <c r="G49" s="178">
        <v>0</v>
      </c>
      <c r="H49" s="178">
        <v>0</v>
      </c>
      <c r="I49" s="178">
        <v>0</v>
      </c>
      <c r="J49" s="178">
        <v>0</v>
      </c>
      <c r="K49" s="178">
        <v>0</v>
      </c>
      <c r="L49" s="178">
        <v>0</v>
      </c>
      <c r="M49" s="178">
        <v>0</v>
      </c>
      <c r="N49" s="178">
        <v>0</v>
      </c>
      <c r="O49" s="178">
        <v>0</v>
      </c>
      <c r="P49" s="178">
        <v>0</v>
      </c>
      <c r="Q49" s="178">
        <v>0</v>
      </c>
      <c r="R49" s="178">
        <v>0</v>
      </c>
      <c r="S49" s="7">
        <f t="shared" si="4"/>
        <v>0</v>
      </c>
      <c r="T49" s="179"/>
      <c r="U49" s="178">
        <v>0</v>
      </c>
      <c r="V49" s="178">
        <v>0</v>
      </c>
      <c r="W49" s="178">
        <v>0</v>
      </c>
      <c r="X49" s="178">
        <v>0</v>
      </c>
      <c r="Y49" s="178">
        <v>0</v>
      </c>
      <c r="Z49" s="178">
        <v>0</v>
      </c>
      <c r="AA49" s="178">
        <v>0</v>
      </c>
      <c r="AB49" s="178">
        <v>0</v>
      </c>
      <c r="AC49" s="178">
        <v>0</v>
      </c>
      <c r="AD49" s="178">
        <v>0</v>
      </c>
      <c r="AE49" s="178">
        <v>0</v>
      </c>
      <c r="AF49" s="178">
        <v>0</v>
      </c>
      <c r="AG49" s="518">
        <f t="shared" si="5"/>
        <v>0</v>
      </c>
      <c r="AH49" s="788"/>
      <c r="AI49" s="789">
        <v>84600000</v>
      </c>
      <c r="AJ49" s="792">
        <v>92400000</v>
      </c>
      <c r="AK49" s="518">
        <v>13200000</v>
      </c>
      <c r="AL49" s="518">
        <v>0</v>
      </c>
      <c r="AM49" s="518">
        <v>0</v>
      </c>
      <c r="AN49" s="518">
        <v>0</v>
      </c>
      <c r="AO49" s="518">
        <v>0</v>
      </c>
      <c r="AP49" s="518">
        <v>6600000</v>
      </c>
      <c r="AQ49" s="518">
        <v>33000000</v>
      </c>
      <c r="AR49" s="518"/>
      <c r="AS49" s="759">
        <v>26400000</v>
      </c>
      <c r="AT49" s="518"/>
      <c r="AU49" s="518">
        <f>BI49</f>
        <v>50000000</v>
      </c>
      <c r="AV49" s="518">
        <f>BJ49</f>
        <v>50000000</v>
      </c>
      <c r="AW49" s="518">
        <f>BK49</f>
        <v>50000000</v>
      </c>
      <c r="AX49" s="518">
        <f t="shared" si="6"/>
        <v>256200000</v>
      </c>
      <c r="AY49" s="788"/>
      <c r="AZ49" s="789">
        <v>84600000</v>
      </c>
      <c r="BA49" s="792">
        <v>92400000</v>
      </c>
      <c r="BB49" s="518">
        <v>13200000</v>
      </c>
      <c r="BC49" s="518">
        <v>0</v>
      </c>
      <c r="BD49" s="518">
        <v>0</v>
      </c>
      <c r="BE49" s="518">
        <v>0</v>
      </c>
      <c r="BF49" s="518">
        <v>0</v>
      </c>
      <c r="BG49" s="518">
        <f t="shared" si="15"/>
        <v>6600000</v>
      </c>
      <c r="BH49" s="518">
        <v>50000000</v>
      </c>
      <c r="BI49" s="518">
        <v>50000000</v>
      </c>
      <c r="BJ49" s="518">
        <v>50000000</v>
      </c>
      <c r="BK49" s="518">
        <v>50000000</v>
      </c>
      <c r="BL49" s="518">
        <f t="shared" si="8"/>
        <v>396800000</v>
      </c>
      <c r="BN49" s="518">
        <v>60000000</v>
      </c>
      <c r="BO49" s="518">
        <v>60000000</v>
      </c>
      <c r="BP49" s="518">
        <v>60000000</v>
      </c>
      <c r="BQ49" s="518">
        <v>80000000</v>
      </c>
      <c r="BR49" s="518">
        <v>40000000</v>
      </c>
      <c r="BS49" s="518">
        <v>60000000</v>
      </c>
      <c r="BT49" s="518">
        <v>80000000</v>
      </c>
      <c r="BU49" s="518">
        <v>80000000</v>
      </c>
      <c r="BV49" s="518">
        <v>80000000</v>
      </c>
      <c r="BW49" s="518">
        <v>90000000</v>
      </c>
      <c r="BX49" s="518">
        <v>90000000</v>
      </c>
      <c r="BY49" s="518">
        <v>90000000</v>
      </c>
      <c r="BZ49" s="791">
        <v>870000000</v>
      </c>
      <c r="CB49" s="518">
        <v>60000000</v>
      </c>
      <c r="CC49" s="518">
        <v>60000000</v>
      </c>
      <c r="CD49" s="518">
        <v>60000000</v>
      </c>
      <c r="CE49" s="518">
        <v>80000000</v>
      </c>
      <c r="CF49" s="518">
        <v>40000000</v>
      </c>
      <c r="CG49" s="518">
        <v>60000000</v>
      </c>
      <c r="CH49" s="518">
        <v>80000000</v>
      </c>
      <c r="CI49" s="518">
        <v>80000000</v>
      </c>
      <c r="CJ49" s="518">
        <v>80000000</v>
      </c>
      <c r="CK49" s="518">
        <v>90000000</v>
      </c>
      <c r="CL49" s="518">
        <v>90000000</v>
      </c>
      <c r="CM49" s="518">
        <v>90000000</v>
      </c>
      <c r="CN49" s="791">
        <v>870000000</v>
      </c>
      <c r="CP49" s="647">
        <v>19800000</v>
      </c>
      <c r="CQ49" s="647">
        <v>6600000</v>
      </c>
      <c r="CR49" s="518"/>
      <c r="CS49" s="647"/>
      <c r="CT49" s="518"/>
      <c r="CU49" s="647"/>
      <c r="CV49" s="518"/>
      <c r="CW49" s="647"/>
      <c r="CX49" s="518"/>
      <c r="CY49" s="647"/>
      <c r="CZ49" s="518"/>
      <c r="DA49" s="647"/>
      <c r="DB49" s="518"/>
      <c r="DC49" s="647">
        <v>0</v>
      </c>
      <c r="DD49" s="518"/>
      <c r="DE49" s="518"/>
      <c r="DF49" s="518"/>
      <c r="DG49" s="748"/>
      <c r="DH49" s="518"/>
      <c r="DI49" s="518"/>
      <c r="DJ49" s="748"/>
      <c r="DK49" s="518"/>
      <c r="DL49" s="518"/>
      <c r="DM49" s="748"/>
      <c r="DN49" s="518"/>
      <c r="DO49" s="518"/>
      <c r="DP49" s="748"/>
      <c r="DQ49" s="493">
        <f t="shared" si="9"/>
        <v>26400000</v>
      </c>
      <c r="DR49" s="479">
        <f t="shared" si="18"/>
        <v>26400000</v>
      </c>
      <c r="DS49" s="1163"/>
      <c r="DT49" s="1163"/>
      <c r="DU49" s="1163"/>
      <c r="DV49" s="1163"/>
      <c r="DW49" s="1163"/>
      <c r="DX49" s="1163"/>
      <c r="DY49" s="1163"/>
      <c r="DZ49" s="1163"/>
      <c r="EA49" s="1163"/>
      <c r="EB49" s="1163"/>
      <c r="EC49" s="1163"/>
      <c r="ED49" s="1163"/>
      <c r="EE49" s="1119">
        <f t="shared" si="11"/>
        <v>0</v>
      </c>
      <c r="EF49" s="443">
        <f t="shared" si="20"/>
        <v>0</v>
      </c>
      <c r="EG49" s="355">
        <f t="shared" si="21"/>
        <v>0</v>
      </c>
      <c r="EH49" s="355">
        <f t="shared" si="19"/>
        <v>0</v>
      </c>
      <c r="EI49" s="355">
        <f t="shared" si="19"/>
        <v>0</v>
      </c>
      <c r="EJ49" s="367">
        <v>3000019366</v>
      </c>
    </row>
    <row r="50" spans="1:140" ht="15.5" outlineLevel="2">
      <c r="A50" s="367" t="s">
        <v>39</v>
      </c>
      <c r="B50" s="378"/>
      <c r="C50" s="370" t="s">
        <v>358</v>
      </c>
      <c r="D50" s="370" t="s">
        <v>40</v>
      </c>
      <c r="E50" s="379" t="s">
        <v>389</v>
      </c>
      <c r="F50" s="380">
        <v>3000008928</v>
      </c>
      <c r="G50" s="178">
        <v>245460000</v>
      </c>
      <c r="H50" s="178">
        <v>245460000</v>
      </c>
      <c r="I50" s="178">
        <v>245460000</v>
      </c>
      <c r="J50" s="178">
        <v>245460000</v>
      </c>
      <c r="K50" s="178">
        <v>226709583</v>
      </c>
      <c r="L50" s="178">
        <v>122730000</v>
      </c>
      <c r="M50" s="178">
        <v>207250000</v>
      </c>
      <c r="N50" s="178">
        <v>208400000</v>
      </c>
      <c r="O50" s="178">
        <v>210200000</v>
      </c>
      <c r="P50" s="178">
        <v>207500000</v>
      </c>
      <c r="Q50" s="178">
        <v>206000000</v>
      </c>
      <c r="R50" s="178">
        <v>199354838</v>
      </c>
      <c r="S50" s="7">
        <f t="shared" si="4"/>
        <v>2569984421</v>
      </c>
      <c r="T50" s="179"/>
      <c r="U50" s="178">
        <v>199354838</v>
      </c>
      <c r="V50" s="178">
        <v>453045683</v>
      </c>
      <c r="W50" s="178">
        <v>230397234</v>
      </c>
      <c r="X50" s="178">
        <v>248950000</v>
      </c>
      <c r="Y50" s="178">
        <v>247200000</v>
      </c>
      <c r="Z50" s="178">
        <v>130000000</v>
      </c>
      <c r="AA50" s="178">
        <v>148862095</v>
      </c>
      <c r="AB50" s="178">
        <v>206012500</v>
      </c>
      <c r="AC50" s="178">
        <v>206000000</v>
      </c>
      <c r="AD50" s="178">
        <v>206000000</v>
      </c>
      <c r="AE50" s="178">
        <v>267800000</v>
      </c>
      <c r="AF50" s="178">
        <v>259161292</v>
      </c>
      <c r="AG50" s="518">
        <f t="shared" si="5"/>
        <v>2802783642</v>
      </c>
      <c r="AH50" s="788"/>
      <c r="AI50" s="789">
        <v>259161292</v>
      </c>
      <c r="AJ50" s="792">
        <v>268700000</v>
      </c>
      <c r="AK50" s="518">
        <v>267800000</v>
      </c>
      <c r="AL50" s="518">
        <v>267800000</v>
      </c>
      <c r="AM50" s="518">
        <v>139548387</v>
      </c>
      <c r="AN50" s="518">
        <v>199133340</v>
      </c>
      <c r="AO50" s="518">
        <v>329600000</v>
      </c>
      <c r="AP50" s="518">
        <v>329600000</v>
      </c>
      <c r="AQ50" s="518">
        <v>335100000</v>
      </c>
      <c r="AR50" s="759">
        <v>383024194</v>
      </c>
      <c r="AS50" s="759">
        <v>409550000</v>
      </c>
      <c r="AT50" s="759">
        <v>378488712</v>
      </c>
      <c r="AU50" s="794">
        <f>329600000+50000000</f>
        <v>379600000</v>
      </c>
      <c r="AV50" s="794">
        <f>329600000+50000000</f>
        <v>379600000</v>
      </c>
      <c r="AW50" s="794">
        <f>329600000+50000000</f>
        <v>379600000</v>
      </c>
      <c r="AX50" s="518">
        <f t="shared" si="6"/>
        <v>3567505925</v>
      </c>
      <c r="AY50" s="788"/>
      <c r="AZ50" s="789">
        <v>259161292</v>
      </c>
      <c r="BA50" s="792">
        <v>268700000</v>
      </c>
      <c r="BB50" s="518">
        <v>267800000</v>
      </c>
      <c r="BC50" s="518">
        <v>267800000</v>
      </c>
      <c r="BD50" s="518">
        <v>139548387</v>
      </c>
      <c r="BE50" s="518">
        <v>199133340</v>
      </c>
      <c r="BF50" s="518">
        <v>329600000</v>
      </c>
      <c r="BG50" s="518">
        <f t="shared" si="15"/>
        <v>329600000</v>
      </c>
      <c r="BH50" s="518">
        <v>329600000</v>
      </c>
      <c r="BI50" s="518">
        <v>329600000</v>
      </c>
      <c r="BJ50" s="518">
        <v>329600000</v>
      </c>
      <c r="BK50" s="518">
        <v>329600000</v>
      </c>
      <c r="BL50" s="518">
        <f t="shared" si="8"/>
        <v>3379743019</v>
      </c>
      <c r="BN50" s="518">
        <v>350000000</v>
      </c>
      <c r="BO50" s="518">
        <v>350000000</v>
      </c>
      <c r="BP50" s="518">
        <v>350000000</v>
      </c>
      <c r="BQ50" s="518">
        <v>350000000</v>
      </c>
      <c r="BR50" s="518">
        <v>250000000</v>
      </c>
      <c r="BS50" s="518">
        <v>300000000</v>
      </c>
      <c r="BT50" s="518">
        <v>350000000</v>
      </c>
      <c r="BU50" s="518">
        <v>350000000</v>
      </c>
      <c r="BV50" s="518">
        <v>350000000</v>
      </c>
      <c r="BW50" s="518">
        <v>350000000</v>
      </c>
      <c r="BX50" s="518">
        <v>350000000</v>
      </c>
      <c r="BY50" s="518">
        <v>350000000</v>
      </c>
      <c r="BZ50" s="791">
        <v>4050000000</v>
      </c>
      <c r="CB50" s="518">
        <v>350000000</v>
      </c>
      <c r="CC50" s="518">
        <v>350000000</v>
      </c>
      <c r="CD50" s="518">
        <v>350000000</v>
      </c>
      <c r="CE50" s="518">
        <v>350000000</v>
      </c>
      <c r="CF50" s="518">
        <v>250000000</v>
      </c>
      <c r="CG50" s="518">
        <v>300000000</v>
      </c>
      <c r="CH50" s="518">
        <v>350000000</v>
      </c>
      <c r="CI50" s="518">
        <v>350000000</v>
      </c>
      <c r="CJ50" s="518">
        <v>350000000</v>
      </c>
      <c r="CK50" s="518">
        <v>350000000</v>
      </c>
      <c r="CL50" s="518">
        <v>350000000</v>
      </c>
      <c r="CM50" s="518">
        <v>350000000</v>
      </c>
      <c r="CN50" s="791">
        <v>4050000000</v>
      </c>
      <c r="CP50" s="647">
        <v>357470000</v>
      </c>
      <c r="CQ50" s="647">
        <v>353725000</v>
      </c>
      <c r="CR50" s="518">
        <v>360000000</v>
      </c>
      <c r="CS50" s="647">
        <v>348385000</v>
      </c>
      <c r="CT50" s="518">
        <v>400000000</v>
      </c>
      <c r="CU50" s="647">
        <v>400300000</v>
      </c>
      <c r="CV50" s="518">
        <v>400000000</v>
      </c>
      <c r="CW50" s="647">
        <v>290420960</v>
      </c>
      <c r="CX50" s="518">
        <v>250000000</v>
      </c>
      <c r="CY50" s="647">
        <v>491330000</v>
      </c>
      <c r="CZ50" s="518">
        <v>400000000</v>
      </c>
      <c r="DA50" s="647">
        <v>573390000</v>
      </c>
      <c r="DB50" s="518">
        <f>400000000+80000000</f>
        <v>480000000</v>
      </c>
      <c r="DC50" s="647">
        <v>755455163</v>
      </c>
      <c r="DD50" s="518">
        <f>400000000+80000000</f>
        <v>480000000</v>
      </c>
      <c r="DE50" s="518"/>
      <c r="DF50" s="518">
        <f>400000000+80000000</f>
        <v>480000000</v>
      </c>
      <c r="DG50" s="748">
        <v>500000000</v>
      </c>
      <c r="DH50" s="518"/>
      <c r="DI50" s="518">
        <f>400000000+80000000</f>
        <v>480000000</v>
      </c>
      <c r="DJ50" s="748">
        <v>500000000</v>
      </c>
      <c r="DK50" s="518"/>
      <c r="DL50" s="518">
        <f>400000000+80000000</f>
        <v>480000000</v>
      </c>
      <c r="DM50" s="748">
        <v>500000000</v>
      </c>
      <c r="DN50" s="518"/>
      <c r="DO50" s="518">
        <f>400000000+80000000</f>
        <v>480000000</v>
      </c>
      <c r="DP50" s="748">
        <v>500000000</v>
      </c>
      <c r="DQ50" s="493">
        <f t="shared" si="9"/>
        <v>5490476123</v>
      </c>
      <c r="DR50" s="479">
        <f t="shared" si="18"/>
        <v>5069880000</v>
      </c>
      <c r="DS50" s="1163">
        <v>780000000</v>
      </c>
      <c r="DT50" s="1163">
        <v>780000000</v>
      </c>
      <c r="DU50" s="1163">
        <v>780000000</v>
      </c>
      <c r="DV50" s="1163">
        <v>700000000</v>
      </c>
      <c r="DW50" s="1163">
        <v>780000000</v>
      </c>
      <c r="DX50" s="1163">
        <v>800000000</v>
      </c>
      <c r="DY50" s="1163">
        <v>800000000</v>
      </c>
      <c r="DZ50" s="1163">
        <v>800000000</v>
      </c>
      <c r="EA50" s="1163">
        <v>800000000</v>
      </c>
      <c r="EB50" s="1163">
        <v>800000000</v>
      </c>
      <c r="EC50" s="1163">
        <v>800000000</v>
      </c>
      <c r="ED50" s="1163">
        <v>800000000</v>
      </c>
      <c r="EE50" s="1119">
        <f t="shared" si="11"/>
        <v>9420000000</v>
      </c>
      <c r="EF50" s="443">
        <f t="shared" si="20"/>
        <v>11021400000</v>
      </c>
      <c r="EG50" s="355">
        <f t="shared" si="21"/>
        <v>11903112000</v>
      </c>
      <c r="EH50" s="355">
        <f t="shared" si="19"/>
        <v>12974392080</v>
      </c>
      <c r="EI50" s="355">
        <f t="shared" si="19"/>
        <v>14142087367.200001</v>
      </c>
      <c r="EJ50" s="367">
        <v>3000008928</v>
      </c>
    </row>
    <row r="51" spans="1:140" ht="15.5" outlineLevel="2">
      <c r="A51" s="367" t="s">
        <v>59</v>
      </c>
      <c r="B51" s="378"/>
      <c r="C51" s="370" t="s">
        <v>358</v>
      </c>
      <c r="D51" s="370" t="s">
        <v>40</v>
      </c>
      <c r="E51" s="383" t="s">
        <v>390</v>
      </c>
      <c r="F51" s="380">
        <v>3000007168</v>
      </c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7"/>
      <c r="T51" s="179"/>
      <c r="U51" s="178"/>
      <c r="V51" s="9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518"/>
      <c r="AH51" s="788"/>
      <c r="AI51" s="789"/>
      <c r="AJ51" s="517"/>
      <c r="AK51" s="518"/>
      <c r="AL51" s="518"/>
      <c r="AM51" s="518"/>
      <c r="AN51" s="518"/>
      <c r="AO51" s="518"/>
      <c r="AP51" s="518"/>
      <c r="AQ51" s="518"/>
      <c r="AR51" s="518">
        <v>2100000</v>
      </c>
      <c r="AS51" s="518">
        <v>0</v>
      </c>
      <c r="AT51" s="518">
        <v>0</v>
      </c>
      <c r="AU51" s="518"/>
      <c r="AV51" s="518"/>
      <c r="AW51" s="518"/>
      <c r="AX51" s="518">
        <f>SUM(AI51,AJ51,AK51,AL51,AM51,AN51,AO51,AP51,AQ51,AR51,AS51,AT51)</f>
        <v>2100000</v>
      </c>
      <c r="AY51" s="788"/>
      <c r="AZ51" s="789"/>
      <c r="BA51" s="517"/>
      <c r="BB51" s="518"/>
      <c r="BC51" s="518"/>
      <c r="BD51" s="518"/>
      <c r="BE51" s="518"/>
      <c r="BF51" s="518"/>
      <c r="BG51" s="518"/>
      <c r="BH51" s="518"/>
      <c r="BI51" s="518"/>
      <c r="BJ51" s="518"/>
      <c r="BK51" s="518"/>
      <c r="BL51" s="518"/>
      <c r="BN51" s="516"/>
      <c r="BO51" s="517"/>
      <c r="BP51" s="518"/>
      <c r="BQ51" s="518"/>
      <c r="BR51" s="518"/>
      <c r="BS51" s="518"/>
      <c r="BT51" s="518"/>
      <c r="BU51" s="518"/>
      <c r="BV51" s="518"/>
      <c r="BW51" s="518"/>
      <c r="BX51" s="518"/>
      <c r="BY51" s="518"/>
      <c r="BZ51" s="791">
        <v>0</v>
      </c>
      <c r="CB51" s="516"/>
      <c r="CC51" s="517"/>
      <c r="CD51" s="518"/>
      <c r="CE51" s="518"/>
      <c r="CF51" s="518"/>
      <c r="CG51" s="518"/>
      <c r="CH51" s="518"/>
      <c r="CI51" s="518"/>
      <c r="CJ51" s="518"/>
      <c r="CK51" s="518"/>
      <c r="CL51" s="518"/>
      <c r="CM51" s="518"/>
      <c r="CN51" s="791">
        <v>0</v>
      </c>
      <c r="CP51" s="648">
        <v>300000</v>
      </c>
      <c r="CQ51" s="648"/>
      <c r="CR51" s="519"/>
      <c r="CS51" s="648"/>
      <c r="CT51" s="519"/>
      <c r="CU51" s="648"/>
      <c r="CV51" s="519"/>
      <c r="CW51" s="648"/>
      <c r="CX51" s="519"/>
      <c r="CY51" s="648"/>
      <c r="CZ51" s="519"/>
      <c r="DA51" s="648"/>
      <c r="DB51" s="519"/>
      <c r="DC51" s="648">
        <v>0</v>
      </c>
      <c r="DD51" s="519"/>
      <c r="DE51" s="518"/>
      <c r="DF51" s="519"/>
      <c r="DG51" s="749"/>
      <c r="DH51" s="518"/>
      <c r="DI51" s="519"/>
      <c r="DJ51" s="749"/>
      <c r="DK51" s="518"/>
      <c r="DL51" s="519"/>
      <c r="DM51" s="749"/>
      <c r="DN51" s="518"/>
      <c r="DO51" s="519"/>
      <c r="DP51" s="749"/>
      <c r="DQ51" s="493">
        <f t="shared" si="9"/>
        <v>300000</v>
      </c>
      <c r="DR51" s="479">
        <f t="shared" si="18"/>
        <v>300000</v>
      </c>
      <c r="DS51" s="1162"/>
      <c r="DT51" s="1162"/>
      <c r="DU51" s="1162"/>
      <c r="DV51" s="1162"/>
      <c r="DW51" s="1162"/>
      <c r="DX51" s="1162"/>
      <c r="DY51" s="1162"/>
      <c r="DZ51" s="1162"/>
      <c r="EA51" s="1162"/>
      <c r="EB51" s="1162"/>
      <c r="EC51" s="1162"/>
      <c r="ED51" s="1162"/>
      <c r="EE51" s="1119">
        <f t="shared" si="11"/>
        <v>0</v>
      </c>
      <c r="EF51" s="443">
        <f t="shared" si="20"/>
        <v>0</v>
      </c>
      <c r="EG51" s="355">
        <f t="shared" si="21"/>
        <v>0</v>
      </c>
      <c r="EH51" s="443"/>
      <c r="EI51" s="443"/>
    </row>
    <row r="52" spans="1:140" ht="15.5" outlineLevel="2">
      <c r="A52" s="377" t="s">
        <v>43</v>
      </c>
      <c r="B52" s="378"/>
      <c r="C52" s="370" t="s">
        <v>358</v>
      </c>
      <c r="D52" s="370" t="s">
        <v>40</v>
      </c>
      <c r="E52" s="379" t="s">
        <v>391</v>
      </c>
      <c r="F52" s="380">
        <v>3000019970</v>
      </c>
      <c r="G52" s="178">
        <v>0</v>
      </c>
      <c r="H52" s="178">
        <v>0</v>
      </c>
      <c r="I52" s="178">
        <v>0</v>
      </c>
      <c r="J52" s="178">
        <v>0</v>
      </c>
      <c r="K52" s="178">
        <v>0</v>
      </c>
      <c r="L52" s="178">
        <v>0</v>
      </c>
      <c r="M52" s="178">
        <v>0</v>
      </c>
      <c r="N52" s="178">
        <v>0</v>
      </c>
      <c r="O52" s="178">
        <v>0</v>
      </c>
      <c r="P52" s="178">
        <v>0</v>
      </c>
      <c r="Q52" s="178">
        <v>0</v>
      </c>
      <c r="R52" s="178">
        <v>0</v>
      </c>
      <c r="S52" s="7">
        <f>SUM(G52,H52,I52,J52,K52,L52,M52,N52,O52,P52,Q52,R52)</f>
        <v>0</v>
      </c>
      <c r="T52" s="179"/>
      <c r="U52" s="178">
        <v>0</v>
      </c>
      <c r="V52" s="178">
        <v>0</v>
      </c>
      <c r="W52" s="178">
        <v>0</v>
      </c>
      <c r="X52" s="178">
        <v>0</v>
      </c>
      <c r="Y52" s="178">
        <v>0</v>
      </c>
      <c r="Z52" s="178">
        <v>0</v>
      </c>
      <c r="AA52" s="178">
        <v>0</v>
      </c>
      <c r="AB52" s="178">
        <v>0</v>
      </c>
      <c r="AC52" s="178">
        <v>0</v>
      </c>
      <c r="AD52" s="178">
        <v>0</v>
      </c>
      <c r="AE52" s="178">
        <v>0</v>
      </c>
      <c r="AF52" s="178">
        <v>0</v>
      </c>
      <c r="AG52" s="518">
        <f>SUM(U52,V52,W52,X52,Y52,Z52,AA52,AB52,AC52,AD52,AE52,AF52)</f>
        <v>0</v>
      </c>
      <c r="AH52" s="788"/>
      <c r="AI52" s="789"/>
      <c r="AJ52" s="517"/>
      <c r="AK52" s="518"/>
      <c r="AL52" s="518">
        <v>0</v>
      </c>
      <c r="AM52" s="518"/>
      <c r="AN52" s="518"/>
      <c r="AO52" s="518">
        <v>3100000</v>
      </c>
      <c r="AP52" s="518">
        <v>0</v>
      </c>
      <c r="AQ52" s="518">
        <v>0</v>
      </c>
      <c r="AR52" s="518"/>
      <c r="AS52" s="518"/>
      <c r="AT52" s="518"/>
      <c r="AU52" s="518">
        <f t="shared" ref="AU52:AW53" si="22">BI52</f>
        <v>0</v>
      </c>
      <c r="AV52" s="518">
        <f t="shared" si="22"/>
        <v>0</v>
      </c>
      <c r="AW52" s="518">
        <f t="shared" si="22"/>
        <v>0</v>
      </c>
      <c r="AX52" s="518">
        <f>SUM(AI52,AJ52,AK52,AL52,AM52,AN52,AO52,AP52,AQ52,AR52,AS52,AT52)</f>
        <v>3100000</v>
      </c>
      <c r="AY52" s="788"/>
      <c r="AZ52" s="789"/>
      <c r="BA52" s="517"/>
      <c r="BB52" s="518"/>
      <c r="BC52" s="518">
        <v>0</v>
      </c>
      <c r="BD52" s="518"/>
      <c r="BE52" s="518"/>
      <c r="BF52" s="518">
        <v>3100000</v>
      </c>
      <c r="BG52" s="518">
        <f>AP52</f>
        <v>0</v>
      </c>
      <c r="BH52" s="518">
        <v>0</v>
      </c>
      <c r="BI52" s="518">
        <v>0</v>
      </c>
      <c r="BJ52" s="518">
        <v>0</v>
      </c>
      <c r="BK52" s="518">
        <v>0</v>
      </c>
      <c r="BL52" s="518">
        <f>SUM(AZ52,BA52,BB52,BC52,BD52,BE52,BF52,BG52,BH52,BI52,BJ52,BK52)</f>
        <v>3100000</v>
      </c>
      <c r="BN52" s="518">
        <v>0</v>
      </c>
      <c r="BO52" s="518">
        <v>0</v>
      </c>
      <c r="BP52" s="518">
        <v>0</v>
      </c>
      <c r="BQ52" s="518">
        <v>0</v>
      </c>
      <c r="BR52" s="518">
        <v>0</v>
      </c>
      <c r="BS52" s="518">
        <v>0</v>
      </c>
      <c r="BT52" s="518">
        <v>0</v>
      </c>
      <c r="BU52" s="518">
        <v>0</v>
      </c>
      <c r="BV52" s="518">
        <v>0</v>
      </c>
      <c r="BW52" s="518">
        <v>0</v>
      </c>
      <c r="BX52" s="518">
        <v>0</v>
      </c>
      <c r="BY52" s="518">
        <v>0</v>
      </c>
      <c r="BZ52" s="791">
        <v>0</v>
      </c>
      <c r="CB52" s="518">
        <v>0</v>
      </c>
      <c r="CC52" s="518">
        <v>0</v>
      </c>
      <c r="CD52" s="518">
        <v>0</v>
      </c>
      <c r="CE52" s="518">
        <v>0</v>
      </c>
      <c r="CF52" s="518">
        <v>0</v>
      </c>
      <c r="CG52" s="518">
        <v>0</v>
      </c>
      <c r="CH52" s="518">
        <v>0</v>
      </c>
      <c r="CI52" s="518">
        <v>0</v>
      </c>
      <c r="CJ52" s="518">
        <v>0</v>
      </c>
      <c r="CK52" s="518">
        <v>0</v>
      </c>
      <c r="CL52" s="518">
        <v>0</v>
      </c>
      <c r="CM52" s="518">
        <v>0</v>
      </c>
      <c r="CN52" s="791">
        <v>0</v>
      </c>
      <c r="CP52" s="647"/>
      <c r="CQ52" s="647">
        <v>6800000</v>
      </c>
      <c r="CR52" s="518"/>
      <c r="CS52" s="647"/>
      <c r="CT52" s="518"/>
      <c r="CU52" s="647"/>
      <c r="CV52" s="518"/>
      <c r="CW52" s="647"/>
      <c r="CX52" s="518"/>
      <c r="CY52" s="647"/>
      <c r="CZ52" s="518"/>
      <c r="DA52" s="647"/>
      <c r="DB52" s="518"/>
      <c r="DC52" s="647">
        <v>0</v>
      </c>
      <c r="DD52" s="518"/>
      <c r="DE52" s="518"/>
      <c r="DF52" s="518"/>
      <c r="DG52" s="748"/>
      <c r="DH52" s="518"/>
      <c r="DI52" s="518"/>
      <c r="DJ52" s="748"/>
      <c r="DK52" s="518"/>
      <c r="DL52" s="518"/>
      <c r="DM52" s="748"/>
      <c r="DN52" s="518"/>
      <c r="DO52" s="518"/>
      <c r="DP52" s="748"/>
      <c r="DQ52" s="493">
        <f t="shared" si="9"/>
        <v>6800000</v>
      </c>
      <c r="DR52" s="479">
        <f t="shared" si="18"/>
        <v>6800000</v>
      </c>
      <c r="DS52" s="1163"/>
      <c r="DT52" s="1163"/>
      <c r="DU52" s="1163"/>
      <c r="DV52" s="1163"/>
      <c r="DW52" s="1163"/>
      <c r="DX52" s="1163"/>
      <c r="DY52" s="1163"/>
      <c r="DZ52" s="1163"/>
      <c r="EA52" s="1163"/>
      <c r="EB52" s="1163"/>
      <c r="EC52" s="1163"/>
      <c r="ED52" s="1163"/>
      <c r="EE52" s="1119">
        <f t="shared" si="11"/>
        <v>0</v>
      </c>
      <c r="EF52" s="443">
        <f t="shared" si="20"/>
        <v>0</v>
      </c>
      <c r="EG52" s="355">
        <f t="shared" si="21"/>
        <v>0</v>
      </c>
      <c r="EH52" s="443">
        <f>EG52*1.09</f>
        <v>0</v>
      </c>
      <c r="EI52" s="443">
        <f>EH52*1.09</f>
        <v>0</v>
      </c>
      <c r="EJ52" s="367">
        <v>3000019970</v>
      </c>
    </row>
    <row r="53" spans="1:140" ht="15.5" outlineLevel="2">
      <c r="A53" s="367" t="s">
        <v>39</v>
      </c>
      <c r="B53" s="378"/>
      <c r="C53" s="370" t="s">
        <v>358</v>
      </c>
      <c r="D53" s="370" t="s">
        <v>40</v>
      </c>
      <c r="E53" s="384" t="s">
        <v>48</v>
      </c>
      <c r="F53" s="380">
        <v>3000016576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0</v>
      </c>
      <c r="P53" s="178">
        <v>0</v>
      </c>
      <c r="Q53" s="178">
        <v>0</v>
      </c>
      <c r="R53" s="178">
        <v>0</v>
      </c>
      <c r="S53" s="7">
        <f>SUM(G53,H53,I53,J53,K53,L53,M53,N53,O53,P53,Q53,R53)</f>
        <v>0</v>
      </c>
      <c r="T53" s="179"/>
      <c r="U53" s="178">
        <v>0</v>
      </c>
      <c r="V53" s="178">
        <v>0</v>
      </c>
      <c r="W53" s="178">
        <v>0</v>
      </c>
      <c r="X53" s="178">
        <v>0</v>
      </c>
      <c r="Y53" s="178">
        <v>0</v>
      </c>
      <c r="Z53" s="178">
        <v>0</v>
      </c>
      <c r="AA53" s="178">
        <v>0</v>
      </c>
      <c r="AB53" s="178">
        <v>0</v>
      </c>
      <c r="AC53" s="178">
        <v>0</v>
      </c>
      <c r="AD53" s="178">
        <v>0</v>
      </c>
      <c r="AE53" s="178">
        <v>0</v>
      </c>
      <c r="AF53" s="178">
        <v>0</v>
      </c>
      <c r="AG53" s="518">
        <f>SUM(U53,V53,W53,X53,Y53,Z53,AA53,AB53,AC53,AD53,AE53,AF53)</f>
        <v>0</v>
      </c>
      <c r="AH53" s="788"/>
      <c r="AI53" s="789"/>
      <c r="AJ53" s="517"/>
      <c r="AK53" s="518"/>
      <c r="AL53" s="518">
        <v>0</v>
      </c>
      <c r="AM53" s="518"/>
      <c r="AN53" s="518">
        <v>52900000</v>
      </c>
      <c r="AO53" s="518">
        <v>88900000</v>
      </c>
      <c r="AP53" s="518">
        <v>40600000</v>
      </c>
      <c r="AQ53" s="518">
        <v>5500000</v>
      </c>
      <c r="AR53" s="759">
        <v>0</v>
      </c>
      <c r="AS53" s="759">
        <v>-5300000</v>
      </c>
      <c r="AT53" s="759">
        <v>0</v>
      </c>
      <c r="AU53" s="518">
        <f t="shared" si="22"/>
        <v>0</v>
      </c>
      <c r="AV53" s="518">
        <f t="shared" si="22"/>
        <v>0</v>
      </c>
      <c r="AW53" s="518">
        <f t="shared" si="22"/>
        <v>0</v>
      </c>
      <c r="AX53" s="518">
        <f>SUM(AI53,AJ53,AK53,AL53,AM53,AN53,AO53,AP53,AQ53,AR53,AS53,AT53)</f>
        <v>182600000</v>
      </c>
      <c r="AY53" s="788"/>
      <c r="AZ53" s="789"/>
      <c r="BA53" s="517"/>
      <c r="BB53" s="518"/>
      <c r="BC53" s="518">
        <v>0</v>
      </c>
      <c r="BD53" s="518"/>
      <c r="BE53" s="518">
        <v>52900000</v>
      </c>
      <c r="BF53" s="518">
        <v>88900000</v>
      </c>
      <c r="BG53" s="518">
        <f>AP53</f>
        <v>40600000</v>
      </c>
      <c r="BH53" s="518">
        <v>0</v>
      </c>
      <c r="BI53" s="518">
        <v>0</v>
      </c>
      <c r="BJ53" s="518">
        <v>0</v>
      </c>
      <c r="BK53" s="518">
        <v>0</v>
      </c>
      <c r="BL53" s="518">
        <f>SUM(AZ53,BA53,BB53,BC53,BD53,BE53,BF53,BG53,BH53,BI53,BJ53,BK53)</f>
        <v>182400000</v>
      </c>
      <c r="BN53" s="518">
        <v>0</v>
      </c>
      <c r="BO53" s="518">
        <v>0</v>
      </c>
      <c r="BP53" s="518">
        <v>0</v>
      </c>
      <c r="BQ53" s="518">
        <v>0</v>
      </c>
      <c r="BR53" s="518">
        <v>0</v>
      </c>
      <c r="BS53" s="518">
        <v>0</v>
      </c>
      <c r="BT53" s="518">
        <v>0</v>
      </c>
      <c r="BU53" s="518">
        <v>0</v>
      </c>
      <c r="BV53" s="518">
        <v>0</v>
      </c>
      <c r="BW53" s="518">
        <v>0</v>
      </c>
      <c r="BX53" s="518">
        <v>0</v>
      </c>
      <c r="BY53" s="518">
        <v>0</v>
      </c>
      <c r="BZ53" s="791">
        <v>0</v>
      </c>
      <c r="CB53" s="518">
        <v>0</v>
      </c>
      <c r="CC53" s="518">
        <v>0</v>
      </c>
      <c r="CD53" s="518">
        <v>0</v>
      </c>
      <c r="CE53" s="518">
        <v>0</v>
      </c>
      <c r="CF53" s="518">
        <v>0</v>
      </c>
      <c r="CG53" s="518">
        <v>0</v>
      </c>
      <c r="CH53" s="518">
        <v>0</v>
      </c>
      <c r="CI53" s="518">
        <v>0</v>
      </c>
      <c r="CJ53" s="518">
        <v>0</v>
      </c>
      <c r="CK53" s="518">
        <v>0</v>
      </c>
      <c r="CL53" s="518">
        <v>0</v>
      </c>
      <c r="CM53" s="518">
        <v>0</v>
      </c>
      <c r="CN53" s="791">
        <v>0</v>
      </c>
      <c r="CP53" s="647"/>
      <c r="CQ53" s="647">
        <v>9279600</v>
      </c>
      <c r="CR53" s="518"/>
      <c r="CS53" s="647"/>
      <c r="CT53" s="518"/>
      <c r="CU53" s="647"/>
      <c r="CV53" s="518"/>
      <c r="CW53" s="647">
        <v>-279609</v>
      </c>
      <c r="CX53" s="518"/>
      <c r="CY53" s="647"/>
      <c r="CZ53" s="518"/>
      <c r="DA53" s="647"/>
      <c r="DB53" s="518"/>
      <c r="DC53" s="647">
        <v>25800000</v>
      </c>
      <c r="DD53" s="518"/>
      <c r="DE53" s="518"/>
      <c r="DF53" s="518"/>
      <c r="DG53" s="748"/>
      <c r="DH53" s="518"/>
      <c r="DI53" s="518"/>
      <c r="DJ53" s="748"/>
      <c r="DK53" s="518"/>
      <c r="DL53" s="518"/>
      <c r="DM53" s="748"/>
      <c r="DN53" s="518"/>
      <c r="DO53" s="518"/>
      <c r="DP53" s="748"/>
      <c r="DQ53" s="493">
        <f t="shared" si="9"/>
        <v>34799991</v>
      </c>
      <c r="DR53" s="479">
        <f t="shared" si="18"/>
        <v>9279600</v>
      </c>
      <c r="DS53" s="1163"/>
      <c r="DT53" s="1163"/>
      <c r="DU53" s="1163"/>
      <c r="DV53" s="1163"/>
      <c r="DW53" s="1163"/>
      <c r="DX53" s="1163"/>
      <c r="DY53" s="1163"/>
      <c r="DZ53" s="1163"/>
      <c r="EA53" s="1163"/>
      <c r="EB53" s="1163"/>
      <c r="EC53" s="1163"/>
      <c r="ED53" s="1163"/>
      <c r="EE53" s="1119">
        <f t="shared" si="11"/>
        <v>0</v>
      </c>
      <c r="EF53" s="443">
        <f t="shared" si="20"/>
        <v>0</v>
      </c>
      <c r="EG53" s="355">
        <f t="shared" si="21"/>
        <v>0</v>
      </c>
      <c r="EH53" s="443">
        <f>EG53*1.09</f>
        <v>0</v>
      </c>
      <c r="EI53" s="443">
        <f>EH53*1.09</f>
        <v>0</v>
      </c>
      <c r="EJ53" s="367">
        <v>3000016576</v>
      </c>
    </row>
    <row r="54" spans="1:140" ht="15.5" outlineLevel="2">
      <c r="A54" s="367" t="s">
        <v>39</v>
      </c>
      <c r="B54" s="378"/>
      <c r="C54" s="370" t="s">
        <v>358</v>
      </c>
      <c r="D54" s="370" t="s">
        <v>40</v>
      </c>
      <c r="E54" s="379" t="s">
        <v>52</v>
      </c>
      <c r="F54" s="380">
        <v>3000018850</v>
      </c>
      <c r="G54" s="178">
        <v>0</v>
      </c>
      <c r="H54" s="178">
        <v>0</v>
      </c>
      <c r="I54" s="178">
        <v>0</v>
      </c>
      <c r="J54" s="178">
        <v>0</v>
      </c>
      <c r="K54" s="178">
        <v>0</v>
      </c>
      <c r="L54" s="178">
        <v>0</v>
      </c>
      <c r="M54" s="178">
        <v>0</v>
      </c>
      <c r="N54" s="178">
        <v>0</v>
      </c>
      <c r="O54" s="178">
        <v>0</v>
      </c>
      <c r="P54" s="178">
        <v>0</v>
      </c>
      <c r="Q54" s="178">
        <v>0</v>
      </c>
      <c r="R54" s="178">
        <v>0</v>
      </c>
      <c r="S54" s="7">
        <f t="shared" si="4"/>
        <v>0</v>
      </c>
      <c r="T54" s="179"/>
      <c r="U54" s="178">
        <v>0</v>
      </c>
      <c r="V54" s="178">
        <v>0</v>
      </c>
      <c r="W54" s="178">
        <v>0</v>
      </c>
      <c r="X54" s="178">
        <v>0</v>
      </c>
      <c r="Y54" s="178">
        <v>0</v>
      </c>
      <c r="Z54" s="178">
        <v>0</v>
      </c>
      <c r="AA54" s="178">
        <v>0</v>
      </c>
      <c r="AB54" s="178">
        <v>0</v>
      </c>
      <c r="AC54" s="178">
        <v>0</v>
      </c>
      <c r="AD54" s="178">
        <v>7800000</v>
      </c>
      <c r="AE54" s="178">
        <v>9100000</v>
      </c>
      <c r="AF54" s="178">
        <v>7800000</v>
      </c>
      <c r="AG54" s="518">
        <f t="shared" si="5"/>
        <v>24700000</v>
      </c>
      <c r="AH54" s="788"/>
      <c r="AI54" s="789">
        <v>21600000</v>
      </c>
      <c r="AJ54" s="795">
        <v>12700000</v>
      </c>
      <c r="AK54" s="518">
        <v>11600000</v>
      </c>
      <c r="AL54" s="518">
        <v>12900000</v>
      </c>
      <c r="AM54" s="518">
        <v>7800000</v>
      </c>
      <c r="AN54" s="518">
        <v>7700000</v>
      </c>
      <c r="AO54" s="518">
        <v>7800000</v>
      </c>
      <c r="AP54" s="518">
        <v>24300000</v>
      </c>
      <c r="AQ54" s="518">
        <v>15800000</v>
      </c>
      <c r="AR54" s="759">
        <v>0</v>
      </c>
      <c r="AS54" s="759">
        <v>0</v>
      </c>
      <c r="AT54" s="759">
        <v>2500000</v>
      </c>
      <c r="AU54" s="794"/>
      <c r="AV54" s="518">
        <f t="shared" ref="AV54:AW61" si="23">BJ54</f>
        <v>0</v>
      </c>
      <c r="AW54" s="518">
        <f t="shared" si="23"/>
        <v>0</v>
      </c>
      <c r="AX54" s="518">
        <f t="shared" si="6"/>
        <v>124700000</v>
      </c>
      <c r="AY54" s="788"/>
      <c r="AZ54" s="789">
        <v>21600000</v>
      </c>
      <c r="BA54" s="795">
        <v>12700000</v>
      </c>
      <c r="BB54" s="518">
        <v>11600000</v>
      </c>
      <c r="BC54" s="518">
        <v>12900000</v>
      </c>
      <c r="BD54" s="518">
        <v>7800000</v>
      </c>
      <c r="BE54" s="518">
        <v>7700000</v>
      </c>
      <c r="BF54" s="518">
        <v>7800000</v>
      </c>
      <c r="BG54" s="518">
        <f t="shared" si="15"/>
        <v>24300000</v>
      </c>
      <c r="BH54" s="518">
        <v>7800000</v>
      </c>
      <c r="BI54" s="518">
        <v>7800000</v>
      </c>
      <c r="BJ54" s="518">
        <v>0</v>
      </c>
      <c r="BK54" s="518">
        <v>0</v>
      </c>
      <c r="BL54" s="518">
        <f t="shared" si="8"/>
        <v>122000000</v>
      </c>
      <c r="BN54" s="518">
        <v>0</v>
      </c>
      <c r="BO54" s="518">
        <v>0</v>
      </c>
      <c r="BP54" s="518">
        <v>0</v>
      </c>
      <c r="BQ54" s="518">
        <v>0</v>
      </c>
      <c r="BR54" s="518">
        <v>0</v>
      </c>
      <c r="BS54" s="518">
        <v>0</v>
      </c>
      <c r="BT54" s="518">
        <v>0</v>
      </c>
      <c r="BU54" s="518">
        <v>0</v>
      </c>
      <c r="BV54" s="518">
        <v>0</v>
      </c>
      <c r="BW54" s="518">
        <v>0</v>
      </c>
      <c r="BX54" s="518">
        <v>0</v>
      </c>
      <c r="BY54" s="518">
        <v>0</v>
      </c>
      <c r="BZ54" s="791">
        <v>0</v>
      </c>
      <c r="CB54" s="518">
        <v>0</v>
      </c>
      <c r="CC54" s="518">
        <v>0</v>
      </c>
      <c r="CD54" s="518">
        <v>0</v>
      </c>
      <c r="CE54" s="518">
        <v>0</v>
      </c>
      <c r="CF54" s="518">
        <v>0</v>
      </c>
      <c r="CG54" s="518">
        <v>0</v>
      </c>
      <c r="CH54" s="518">
        <v>0</v>
      </c>
      <c r="CI54" s="518">
        <v>0</v>
      </c>
      <c r="CJ54" s="518">
        <v>0</v>
      </c>
      <c r="CK54" s="518">
        <v>0</v>
      </c>
      <c r="CL54" s="518">
        <v>0</v>
      </c>
      <c r="CM54" s="518">
        <v>0</v>
      </c>
      <c r="CN54" s="791">
        <v>0</v>
      </c>
      <c r="CP54" s="647"/>
      <c r="CQ54" s="647">
        <v>24600000</v>
      </c>
      <c r="CR54" s="518"/>
      <c r="CS54" s="647">
        <v>12300000</v>
      </c>
      <c r="CT54" s="518"/>
      <c r="CU54" s="647"/>
      <c r="CV54" s="518"/>
      <c r="CW54" s="647"/>
      <c r="CX54" s="518"/>
      <c r="CY54" s="647"/>
      <c r="CZ54" s="518"/>
      <c r="DA54" s="647"/>
      <c r="DB54" s="518"/>
      <c r="DC54" s="647">
        <v>12300000</v>
      </c>
      <c r="DD54" s="518"/>
      <c r="DE54" s="518"/>
      <c r="DF54" s="518"/>
      <c r="DG54" s="748"/>
      <c r="DH54" s="518"/>
      <c r="DI54" s="518"/>
      <c r="DJ54" s="748"/>
      <c r="DK54" s="518"/>
      <c r="DL54" s="518"/>
      <c r="DM54" s="748"/>
      <c r="DN54" s="518"/>
      <c r="DO54" s="518"/>
      <c r="DP54" s="748"/>
      <c r="DQ54" s="493">
        <f t="shared" si="9"/>
        <v>49200000</v>
      </c>
      <c r="DR54" s="479">
        <f t="shared" si="18"/>
        <v>36900000</v>
      </c>
      <c r="DS54" s="1163"/>
      <c r="DT54" s="1163"/>
      <c r="DU54" s="1163"/>
      <c r="DV54" s="1163"/>
      <c r="DW54" s="1163"/>
      <c r="DX54" s="1163"/>
      <c r="DY54" s="1163"/>
      <c r="DZ54" s="1163"/>
      <c r="EA54" s="1163"/>
      <c r="EB54" s="1163"/>
      <c r="EC54" s="1163"/>
      <c r="ED54" s="1163"/>
      <c r="EE54" s="1119">
        <f t="shared" si="11"/>
        <v>0</v>
      </c>
      <c r="EF54" s="443">
        <f t="shared" si="20"/>
        <v>0</v>
      </c>
      <c r="EG54" s="355">
        <f t="shared" si="21"/>
        <v>0</v>
      </c>
      <c r="EH54" s="443">
        <f t="shared" si="14"/>
        <v>0</v>
      </c>
      <c r="EI54" s="443">
        <f t="shared" si="14"/>
        <v>0</v>
      </c>
      <c r="EJ54" s="367">
        <v>3000018850</v>
      </c>
    </row>
    <row r="55" spans="1:140" ht="15.5" outlineLevel="2">
      <c r="A55" s="367" t="s">
        <v>43</v>
      </c>
      <c r="B55" s="378"/>
      <c r="C55" s="370" t="s">
        <v>358</v>
      </c>
      <c r="D55" s="370" t="s">
        <v>40</v>
      </c>
      <c r="E55" s="385" t="s">
        <v>53</v>
      </c>
      <c r="F55" s="386">
        <v>3000000709</v>
      </c>
      <c r="G55" s="178">
        <v>161737123</v>
      </c>
      <c r="H55" s="178">
        <v>161737123</v>
      </c>
      <c r="I55" s="178">
        <v>161737123</v>
      </c>
      <c r="J55" s="178">
        <v>161737123</v>
      </c>
      <c r="K55" s="178">
        <v>161737123</v>
      </c>
      <c r="L55" s="178">
        <v>161737123</v>
      </c>
      <c r="M55" s="178">
        <v>161737123</v>
      </c>
      <c r="N55" s="178">
        <v>161737123</v>
      </c>
      <c r="O55" s="178">
        <v>161737123</v>
      </c>
      <c r="P55" s="178">
        <v>161737123</v>
      </c>
      <c r="Q55" s="178">
        <v>161737123</v>
      </c>
      <c r="R55" s="178">
        <v>161737123</v>
      </c>
      <c r="S55" s="7">
        <f t="shared" si="4"/>
        <v>1940845476</v>
      </c>
      <c r="T55" s="179"/>
      <c r="U55" s="178">
        <v>161737123</v>
      </c>
      <c r="V55" s="178">
        <v>161737123</v>
      </c>
      <c r="W55" s="178">
        <v>161737123</v>
      </c>
      <c r="X55" s="178">
        <v>161737123</v>
      </c>
      <c r="Y55" s="178">
        <v>161737123</v>
      </c>
      <c r="Z55" s="178">
        <v>161737123</v>
      </c>
      <c r="AA55" s="178">
        <v>161737123</v>
      </c>
      <c r="AB55" s="178">
        <v>161737123</v>
      </c>
      <c r="AC55" s="178">
        <v>161737123</v>
      </c>
      <c r="AD55" s="178">
        <v>161737123</v>
      </c>
      <c r="AE55" s="178">
        <v>161737123</v>
      </c>
      <c r="AF55" s="178">
        <v>161737123</v>
      </c>
      <c r="AG55" s="518">
        <f t="shared" si="5"/>
        <v>1940845476</v>
      </c>
      <c r="AH55" s="788"/>
      <c r="AI55" s="789">
        <v>161737123</v>
      </c>
      <c r="AJ55" s="792">
        <v>161737123</v>
      </c>
      <c r="AK55" s="518">
        <v>161737123</v>
      </c>
      <c r="AL55" s="518">
        <v>161737123</v>
      </c>
      <c r="AM55" s="518">
        <v>186626951</v>
      </c>
      <c r="AN55" s="518">
        <v>186626951</v>
      </c>
      <c r="AO55" s="518">
        <v>186626951</v>
      </c>
      <c r="AP55" s="518">
        <v>186626951</v>
      </c>
      <c r="AQ55" s="518">
        <v>186626951</v>
      </c>
      <c r="AR55" s="759">
        <v>186626951</v>
      </c>
      <c r="AS55" s="759">
        <v>373253902</v>
      </c>
      <c r="AT55" s="759">
        <v>0</v>
      </c>
      <c r="AU55" s="518">
        <f t="shared" ref="AU55:AU61" si="24">BI55</f>
        <v>186626951</v>
      </c>
      <c r="AV55" s="518">
        <f t="shared" si="23"/>
        <v>186626951</v>
      </c>
      <c r="AW55" s="518">
        <f t="shared" si="23"/>
        <v>186626951</v>
      </c>
      <c r="AX55" s="518">
        <f t="shared" si="6"/>
        <v>2139964100</v>
      </c>
      <c r="AY55" s="788"/>
      <c r="AZ55" s="789">
        <v>161737123</v>
      </c>
      <c r="BA55" s="792">
        <v>161737123</v>
      </c>
      <c r="BB55" s="518">
        <v>161737123</v>
      </c>
      <c r="BC55" s="518">
        <v>161737123</v>
      </c>
      <c r="BD55" s="518">
        <v>186626951</v>
      </c>
      <c r="BE55" s="518">
        <v>186626951</v>
      </c>
      <c r="BF55" s="518">
        <v>186626951</v>
      </c>
      <c r="BG55" s="518">
        <f t="shared" si="15"/>
        <v>186626951</v>
      </c>
      <c r="BH55" s="518">
        <v>186626951</v>
      </c>
      <c r="BI55" s="518">
        <v>186626951</v>
      </c>
      <c r="BJ55" s="518">
        <v>186626951</v>
      </c>
      <c r="BK55" s="518">
        <v>186626951</v>
      </c>
      <c r="BL55" s="518">
        <f t="shared" si="8"/>
        <v>2139964100</v>
      </c>
      <c r="BN55" s="518">
        <v>186626951</v>
      </c>
      <c r="BO55" s="518">
        <v>186626951</v>
      </c>
      <c r="BP55" s="518">
        <v>186626951</v>
      </c>
      <c r="BQ55" s="518">
        <v>186626951</v>
      </c>
      <c r="BR55" s="518">
        <v>186626951</v>
      </c>
      <c r="BS55" s="518">
        <v>186626951</v>
      </c>
      <c r="BT55" s="518">
        <v>186626951</v>
      </c>
      <c r="BU55" s="518">
        <v>186626951</v>
      </c>
      <c r="BV55" s="518">
        <v>186626951</v>
      </c>
      <c r="BW55" s="518">
        <v>186626951</v>
      </c>
      <c r="BX55" s="518">
        <v>186626951</v>
      </c>
      <c r="BY55" s="518">
        <v>186626951</v>
      </c>
      <c r="BZ55" s="791">
        <v>2239523412</v>
      </c>
      <c r="CB55" s="518">
        <v>186626951</v>
      </c>
      <c r="CC55" s="518">
        <v>186626951</v>
      </c>
      <c r="CD55" s="518">
        <v>186626951</v>
      </c>
      <c r="CE55" s="518">
        <v>186626951</v>
      </c>
      <c r="CF55" s="518">
        <v>186626951</v>
      </c>
      <c r="CG55" s="518">
        <v>186626951</v>
      </c>
      <c r="CH55" s="518">
        <v>186626951</v>
      </c>
      <c r="CI55" s="518">
        <v>186626951</v>
      </c>
      <c r="CJ55" s="518">
        <v>186626951</v>
      </c>
      <c r="CK55" s="518">
        <v>186626951</v>
      </c>
      <c r="CL55" s="518">
        <v>186626951</v>
      </c>
      <c r="CM55" s="518">
        <v>186626951</v>
      </c>
      <c r="CN55" s="791">
        <v>2239523412</v>
      </c>
      <c r="CP55" s="647">
        <v>186626951</v>
      </c>
      <c r="CQ55" s="647">
        <v>186626951</v>
      </c>
      <c r="CR55" s="518">
        <v>186626951</v>
      </c>
      <c r="CS55" s="647">
        <v>186626951</v>
      </c>
      <c r="CT55" s="518">
        <v>186626951</v>
      </c>
      <c r="CU55" s="647">
        <v>186626951</v>
      </c>
      <c r="CV55" s="518">
        <v>186626951</v>
      </c>
      <c r="CW55" s="647">
        <v>186626951</v>
      </c>
      <c r="CX55" s="518">
        <v>186626951</v>
      </c>
      <c r="CY55" s="647">
        <v>186626951</v>
      </c>
      <c r="CZ55" s="518">
        <v>186626951</v>
      </c>
      <c r="DA55" s="647">
        <v>186626951</v>
      </c>
      <c r="DB55" s="518">
        <v>186626951</v>
      </c>
      <c r="DC55" s="647">
        <v>186626951</v>
      </c>
      <c r="DD55" s="518">
        <v>186626951</v>
      </c>
      <c r="DE55" s="518"/>
      <c r="DF55" s="518">
        <v>186626951</v>
      </c>
      <c r="DG55" s="748">
        <v>186626951</v>
      </c>
      <c r="DH55" s="518"/>
      <c r="DI55" s="518">
        <v>186626951</v>
      </c>
      <c r="DJ55" s="748">
        <v>186626951</v>
      </c>
      <c r="DK55" s="518"/>
      <c r="DL55" s="518">
        <v>186626951</v>
      </c>
      <c r="DM55" s="748">
        <v>186626951</v>
      </c>
      <c r="DN55" s="518"/>
      <c r="DO55" s="518">
        <v>186626951</v>
      </c>
      <c r="DP55" s="748">
        <v>186626951</v>
      </c>
      <c r="DQ55" s="493">
        <f t="shared" si="9"/>
        <v>2239523412</v>
      </c>
      <c r="DR55" s="479">
        <f t="shared" si="18"/>
        <v>2239523412</v>
      </c>
      <c r="DS55" s="1163">
        <v>186626951</v>
      </c>
      <c r="DT55" s="1163">
        <v>186626951</v>
      </c>
      <c r="DU55" s="1163">
        <v>186626951</v>
      </c>
      <c r="DV55" s="1163">
        <v>186626951</v>
      </c>
      <c r="DW55" s="1163">
        <v>186626951</v>
      </c>
      <c r="DX55" s="1163">
        <v>186626951</v>
      </c>
      <c r="DY55" s="1163">
        <v>186626951</v>
      </c>
      <c r="DZ55" s="1163">
        <v>186626951</v>
      </c>
      <c r="EA55" s="1163">
        <v>186626951</v>
      </c>
      <c r="EB55" s="1163">
        <v>186626951</v>
      </c>
      <c r="EC55" s="1163">
        <v>186626951</v>
      </c>
      <c r="ED55" s="1163">
        <v>186626951</v>
      </c>
      <c r="EE55" s="1119">
        <f t="shared" si="11"/>
        <v>2239523412</v>
      </c>
      <c r="EF55" s="443">
        <f t="shared" si="20"/>
        <v>2620242392.04</v>
      </c>
      <c r="EG55" s="355">
        <f t="shared" si="21"/>
        <v>2829861783.4032001</v>
      </c>
      <c r="EH55" s="443">
        <f t="shared" si="14"/>
        <v>3084549343.9094882</v>
      </c>
      <c r="EI55" s="443">
        <f t="shared" si="14"/>
        <v>3362158784.8613424</v>
      </c>
      <c r="EJ55" s="367">
        <v>3000000709</v>
      </c>
    </row>
    <row r="56" spans="1:140" ht="15.5" outlineLevel="2">
      <c r="A56" s="367" t="s">
        <v>43</v>
      </c>
      <c r="B56" s="378"/>
      <c r="C56" s="370" t="s">
        <v>358</v>
      </c>
      <c r="D56" s="370" t="s">
        <v>40</v>
      </c>
      <c r="E56" s="387" t="s">
        <v>392</v>
      </c>
      <c r="F56" s="380">
        <v>3000019397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7">
        <f t="shared" si="4"/>
        <v>0</v>
      </c>
      <c r="T56" s="179"/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518">
        <f t="shared" si="5"/>
        <v>0</v>
      </c>
      <c r="AH56" s="788"/>
      <c r="AI56" s="789"/>
      <c r="AJ56" s="792">
        <v>24000000</v>
      </c>
      <c r="AK56" s="518">
        <v>34700000</v>
      </c>
      <c r="AL56" s="518">
        <v>55000000</v>
      </c>
      <c r="AM56" s="518">
        <v>0</v>
      </c>
      <c r="AN56" s="518">
        <v>0</v>
      </c>
      <c r="AO56" s="518">
        <v>0</v>
      </c>
      <c r="AP56" s="518">
        <v>0</v>
      </c>
      <c r="AQ56" s="518">
        <v>0</v>
      </c>
      <c r="AR56" s="518"/>
      <c r="AS56" s="518"/>
      <c r="AT56" s="518"/>
      <c r="AU56" s="518">
        <f t="shared" si="24"/>
        <v>0</v>
      </c>
      <c r="AV56" s="518">
        <f t="shared" si="23"/>
        <v>0</v>
      </c>
      <c r="AW56" s="518">
        <f t="shared" si="23"/>
        <v>0</v>
      </c>
      <c r="AX56" s="518">
        <f t="shared" si="6"/>
        <v>113700000</v>
      </c>
      <c r="AY56" s="788"/>
      <c r="AZ56" s="789"/>
      <c r="BA56" s="792">
        <v>24000000</v>
      </c>
      <c r="BB56" s="518">
        <v>34700000</v>
      </c>
      <c r="BC56" s="518">
        <v>55000000</v>
      </c>
      <c r="BD56" s="518">
        <v>0</v>
      </c>
      <c r="BE56" s="518">
        <v>0</v>
      </c>
      <c r="BF56" s="518">
        <v>0</v>
      </c>
      <c r="BG56" s="518">
        <f t="shared" si="15"/>
        <v>0</v>
      </c>
      <c r="BH56" s="518">
        <v>0</v>
      </c>
      <c r="BI56" s="518">
        <v>0</v>
      </c>
      <c r="BJ56" s="518">
        <v>0</v>
      </c>
      <c r="BK56" s="518">
        <v>0</v>
      </c>
      <c r="BL56" s="518">
        <f t="shared" si="8"/>
        <v>113700000</v>
      </c>
      <c r="BN56" s="518">
        <v>0</v>
      </c>
      <c r="BO56" s="518">
        <v>0</v>
      </c>
      <c r="BP56" s="518">
        <v>0</v>
      </c>
      <c r="BQ56" s="518">
        <v>0</v>
      </c>
      <c r="BR56" s="518">
        <v>0</v>
      </c>
      <c r="BS56" s="518">
        <v>0</v>
      </c>
      <c r="BT56" s="518">
        <v>0</v>
      </c>
      <c r="BU56" s="518">
        <v>0</v>
      </c>
      <c r="BV56" s="518">
        <v>0</v>
      </c>
      <c r="BW56" s="518">
        <v>0</v>
      </c>
      <c r="BX56" s="518">
        <v>0</v>
      </c>
      <c r="BY56" s="518">
        <v>0</v>
      </c>
      <c r="BZ56" s="791">
        <v>0</v>
      </c>
      <c r="CB56" s="518">
        <v>0</v>
      </c>
      <c r="CC56" s="518">
        <v>0</v>
      </c>
      <c r="CD56" s="518">
        <v>0</v>
      </c>
      <c r="CE56" s="518">
        <v>0</v>
      </c>
      <c r="CF56" s="518">
        <v>0</v>
      </c>
      <c r="CG56" s="518">
        <v>0</v>
      </c>
      <c r="CH56" s="518">
        <v>0</v>
      </c>
      <c r="CI56" s="518">
        <v>0</v>
      </c>
      <c r="CJ56" s="518">
        <v>0</v>
      </c>
      <c r="CK56" s="518">
        <v>0</v>
      </c>
      <c r="CL56" s="518">
        <v>0</v>
      </c>
      <c r="CM56" s="518">
        <v>0</v>
      </c>
      <c r="CN56" s="791">
        <v>0</v>
      </c>
      <c r="CP56" s="647"/>
      <c r="CQ56" s="647"/>
      <c r="CR56" s="518"/>
      <c r="CS56" s="647"/>
      <c r="CT56" s="518"/>
      <c r="CU56" s="647"/>
      <c r="CV56" s="518"/>
      <c r="CW56" s="647"/>
      <c r="CX56" s="518"/>
      <c r="CY56" s="647">
        <v>115500000</v>
      </c>
      <c r="CZ56" s="518"/>
      <c r="DA56" s="647">
        <v>51000000</v>
      </c>
      <c r="DB56" s="518"/>
      <c r="DC56" s="647">
        <v>0</v>
      </c>
      <c r="DD56" s="518"/>
      <c r="DE56" s="518"/>
      <c r="DF56" s="518"/>
      <c r="DG56" s="748"/>
      <c r="DH56" s="518"/>
      <c r="DI56" s="518"/>
      <c r="DJ56" s="748"/>
      <c r="DK56" s="518"/>
      <c r="DL56" s="518"/>
      <c r="DM56" s="748"/>
      <c r="DN56" s="518"/>
      <c r="DO56" s="518"/>
      <c r="DP56" s="748"/>
      <c r="DQ56" s="493">
        <f t="shared" si="9"/>
        <v>166500000</v>
      </c>
      <c r="DR56" s="479">
        <f t="shared" si="18"/>
        <v>0</v>
      </c>
      <c r="DS56" s="1163"/>
      <c r="DT56" s="1163"/>
      <c r="DU56" s="1163"/>
      <c r="DV56" s="1163"/>
      <c r="DW56" s="1163"/>
      <c r="DX56" s="1163"/>
      <c r="DY56" s="1163"/>
      <c r="DZ56" s="1163"/>
      <c r="EA56" s="1163"/>
      <c r="EB56" s="1163"/>
      <c r="EC56" s="1163"/>
      <c r="ED56" s="1163"/>
      <c r="EE56" s="1119">
        <f t="shared" si="11"/>
        <v>0</v>
      </c>
      <c r="EF56" s="443">
        <f t="shared" si="20"/>
        <v>0</v>
      </c>
      <c r="EG56" s="355">
        <f t="shared" si="21"/>
        <v>0</v>
      </c>
      <c r="EH56" s="443">
        <f t="shared" si="14"/>
        <v>0</v>
      </c>
      <c r="EI56" s="443">
        <f t="shared" si="14"/>
        <v>0</v>
      </c>
      <c r="EJ56" s="367">
        <v>3000019397</v>
      </c>
    </row>
    <row r="57" spans="1:140" ht="15.5" outlineLevel="2">
      <c r="A57" s="367" t="s">
        <v>39</v>
      </c>
      <c r="B57" s="378"/>
      <c r="C57" s="370" t="s">
        <v>358</v>
      </c>
      <c r="D57" s="370" t="s">
        <v>40</v>
      </c>
      <c r="E57" s="379" t="s">
        <v>393</v>
      </c>
      <c r="F57" s="380">
        <v>3000001084</v>
      </c>
      <c r="G57" s="178">
        <v>244200000</v>
      </c>
      <c r="H57" s="178">
        <v>300600000</v>
      </c>
      <c r="I57" s="178">
        <v>305300000</v>
      </c>
      <c r="J57" s="178">
        <v>305300000</v>
      </c>
      <c r="K57" s="178">
        <v>305300000</v>
      </c>
      <c r="L57" s="178">
        <v>305300000</v>
      </c>
      <c r="M57" s="178">
        <v>305300000</v>
      </c>
      <c r="N57" s="178">
        <v>305300000</v>
      </c>
      <c r="O57" s="178">
        <v>305300000</v>
      </c>
      <c r="P57" s="178">
        <v>305300000</v>
      </c>
      <c r="Q57" s="178">
        <v>305300000</v>
      </c>
      <c r="R57" s="178">
        <v>305300000</v>
      </c>
      <c r="S57" s="7">
        <f t="shared" si="4"/>
        <v>3597800000</v>
      </c>
      <c r="T57" s="179"/>
      <c r="U57" s="178">
        <v>305300000</v>
      </c>
      <c r="V57" s="178">
        <v>305300000</v>
      </c>
      <c r="W57" s="178">
        <v>305300000</v>
      </c>
      <c r="X57" s="178">
        <v>305300000</v>
      </c>
      <c r="Y57" s="178">
        <v>305300000</v>
      </c>
      <c r="Z57" s="178">
        <v>305300000</v>
      </c>
      <c r="AA57" s="178">
        <v>305300000</v>
      </c>
      <c r="AB57" s="178">
        <v>256320000</v>
      </c>
      <c r="AC57" s="178">
        <v>319700000</v>
      </c>
      <c r="AD57" s="178">
        <v>257910000</v>
      </c>
      <c r="AE57" s="178">
        <v>319700000</v>
      </c>
      <c r="AF57" s="178">
        <v>319700000</v>
      </c>
      <c r="AG57" s="518">
        <f t="shared" si="5"/>
        <v>3610430000</v>
      </c>
      <c r="AH57" s="788"/>
      <c r="AI57" s="789">
        <v>319700000</v>
      </c>
      <c r="AJ57" s="795">
        <v>319700000</v>
      </c>
      <c r="AK57" s="518">
        <v>319700000</v>
      </c>
      <c r="AL57" s="518">
        <v>332245442</v>
      </c>
      <c r="AM57" s="518">
        <v>319700000</v>
      </c>
      <c r="AN57" s="518">
        <v>319700000</v>
      </c>
      <c r="AO57" s="518">
        <v>319700000</v>
      </c>
      <c r="AP57" s="518">
        <v>319700000</v>
      </c>
      <c r="AQ57" s="518">
        <v>319700000</v>
      </c>
      <c r="AR57" s="759">
        <v>319700000</v>
      </c>
      <c r="AS57" s="759">
        <v>319700000</v>
      </c>
      <c r="AT57" s="759">
        <v>319700000</v>
      </c>
      <c r="AU57" s="518">
        <f t="shared" si="24"/>
        <v>319700000</v>
      </c>
      <c r="AV57" s="518">
        <f t="shared" si="23"/>
        <v>319700000</v>
      </c>
      <c r="AW57" s="518">
        <f t="shared" si="23"/>
        <v>319700000</v>
      </c>
      <c r="AX57" s="518">
        <f t="shared" si="6"/>
        <v>3848945442</v>
      </c>
      <c r="AY57" s="788"/>
      <c r="AZ57" s="789">
        <v>319700000</v>
      </c>
      <c r="BA57" s="795">
        <v>319700000</v>
      </c>
      <c r="BB57" s="518">
        <v>319700000</v>
      </c>
      <c r="BC57" s="518">
        <v>332245442</v>
      </c>
      <c r="BD57" s="518">
        <v>319700000</v>
      </c>
      <c r="BE57" s="518">
        <v>319700000</v>
      </c>
      <c r="BF57" s="518">
        <v>319700000</v>
      </c>
      <c r="BG57" s="518">
        <f t="shared" si="15"/>
        <v>319700000</v>
      </c>
      <c r="BH57" s="518">
        <v>319700000</v>
      </c>
      <c r="BI57" s="518">
        <v>319700000</v>
      </c>
      <c r="BJ57" s="518">
        <v>319700000</v>
      </c>
      <c r="BK57" s="518">
        <v>319700000</v>
      </c>
      <c r="BL57" s="518">
        <f t="shared" si="8"/>
        <v>3848945442</v>
      </c>
      <c r="BN57" s="518">
        <v>319700000</v>
      </c>
      <c r="BO57" s="518">
        <v>319700000</v>
      </c>
      <c r="BP57" s="518">
        <v>319700000</v>
      </c>
      <c r="BQ57" s="518">
        <v>319700000</v>
      </c>
      <c r="BR57" s="518">
        <v>319700000</v>
      </c>
      <c r="BS57" s="518">
        <v>319700000</v>
      </c>
      <c r="BT57" s="518">
        <v>319700000</v>
      </c>
      <c r="BU57" s="518">
        <v>319700000</v>
      </c>
      <c r="BV57" s="518">
        <v>319700000</v>
      </c>
      <c r="BW57" s="518">
        <v>319700000</v>
      </c>
      <c r="BX57" s="518">
        <v>319700000</v>
      </c>
      <c r="BY57" s="518">
        <v>319700000</v>
      </c>
      <c r="BZ57" s="791">
        <v>3836400000</v>
      </c>
      <c r="CB57" s="518">
        <v>319700000</v>
      </c>
      <c r="CC57" s="518">
        <v>319700000</v>
      </c>
      <c r="CD57" s="518">
        <v>319700000</v>
      </c>
      <c r="CE57" s="518">
        <v>319700000</v>
      </c>
      <c r="CF57" s="518">
        <v>319700000</v>
      </c>
      <c r="CG57" s="518">
        <v>319700000</v>
      </c>
      <c r="CH57" s="518">
        <v>319700000</v>
      </c>
      <c r="CI57" s="518">
        <v>319700000</v>
      </c>
      <c r="CJ57" s="518">
        <v>319700000</v>
      </c>
      <c r="CK57" s="518">
        <v>319700000</v>
      </c>
      <c r="CL57" s="518">
        <v>319700000</v>
      </c>
      <c r="CM57" s="518">
        <v>319700000</v>
      </c>
      <c r="CN57" s="791">
        <v>3836400000</v>
      </c>
      <c r="CP57" s="647">
        <v>319700000</v>
      </c>
      <c r="CQ57" s="647">
        <v>319700000</v>
      </c>
      <c r="CR57" s="518">
        <f>CP57+166000000</f>
        <v>485700000</v>
      </c>
      <c r="CS57" s="647">
        <v>454641095</v>
      </c>
      <c r="CT57" s="518">
        <v>239700000</v>
      </c>
      <c r="CU57" s="647">
        <v>291100000</v>
      </c>
      <c r="CV57" s="518">
        <v>239700000</v>
      </c>
      <c r="CW57" s="647">
        <v>291100000</v>
      </c>
      <c r="CX57" s="518">
        <v>239700000</v>
      </c>
      <c r="CY57" s="647">
        <v>291100000</v>
      </c>
      <c r="CZ57" s="518">
        <v>239700000</v>
      </c>
      <c r="DA57" s="647">
        <v>291100000</v>
      </c>
      <c r="DB57" s="518">
        <v>239700000</v>
      </c>
      <c r="DC57" s="647">
        <v>291100000</v>
      </c>
      <c r="DD57" s="518">
        <v>239700000</v>
      </c>
      <c r="DE57" s="518"/>
      <c r="DF57" s="518">
        <v>239700000</v>
      </c>
      <c r="DG57" s="748">
        <v>239700000</v>
      </c>
      <c r="DH57" s="518"/>
      <c r="DI57" s="518">
        <v>239700000</v>
      </c>
      <c r="DJ57" s="748">
        <v>239700000</v>
      </c>
      <c r="DK57" s="518"/>
      <c r="DL57" s="518">
        <v>239700000</v>
      </c>
      <c r="DM57" s="748">
        <v>239700000</v>
      </c>
      <c r="DN57" s="518"/>
      <c r="DO57" s="518">
        <v>239700000</v>
      </c>
      <c r="DP57" s="748">
        <v>239700000</v>
      </c>
      <c r="DQ57" s="493">
        <f t="shared" si="9"/>
        <v>3508341095</v>
      </c>
      <c r="DR57" s="479">
        <f t="shared" si="18"/>
        <v>3302741095</v>
      </c>
      <c r="DS57" s="1163">
        <v>291100000</v>
      </c>
      <c r="DT57" s="1163">
        <v>291100000</v>
      </c>
      <c r="DU57" s="1163">
        <v>291100000</v>
      </c>
      <c r="DV57" s="1163">
        <v>291100000</v>
      </c>
      <c r="DW57" s="1163">
        <v>291100000</v>
      </c>
      <c r="DX57" s="1163">
        <v>291100000</v>
      </c>
      <c r="DY57" s="1163">
        <v>291100000</v>
      </c>
      <c r="DZ57" s="1163">
        <v>291100000</v>
      </c>
      <c r="EA57" s="1163">
        <v>291100000</v>
      </c>
      <c r="EB57" s="1163">
        <v>291100000</v>
      </c>
      <c r="EC57" s="1163">
        <v>291100000</v>
      </c>
      <c r="ED57" s="1163">
        <v>291100000</v>
      </c>
      <c r="EE57" s="1119">
        <f t="shared" si="11"/>
        <v>3493200000</v>
      </c>
      <c r="EF57" s="443">
        <f t="shared" si="20"/>
        <v>4087043999.9999995</v>
      </c>
      <c r="EG57" s="355">
        <f t="shared" si="21"/>
        <v>4414007520</v>
      </c>
      <c r="EH57" s="443">
        <f t="shared" si="14"/>
        <v>4811268196.8000002</v>
      </c>
      <c r="EI57" s="443">
        <f t="shared" si="14"/>
        <v>5244282334.512001</v>
      </c>
      <c r="EJ57" s="367">
        <v>3000001084</v>
      </c>
    </row>
    <row r="58" spans="1:140" ht="15.5" outlineLevel="2">
      <c r="A58" s="367" t="s">
        <v>43</v>
      </c>
      <c r="B58" s="378"/>
      <c r="C58" s="370" t="s">
        <v>358</v>
      </c>
      <c r="D58" s="370" t="s">
        <v>40</v>
      </c>
      <c r="E58" s="379" t="s">
        <v>58</v>
      </c>
      <c r="F58" s="380">
        <v>3000012147</v>
      </c>
      <c r="G58" s="178">
        <v>1860000</v>
      </c>
      <c r="H58" s="178">
        <v>4640000</v>
      </c>
      <c r="I58" s="178">
        <v>1730000</v>
      </c>
      <c r="J58" s="178">
        <v>900000</v>
      </c>
      <c r="K58" s="178">
        <v>2790000</v>
      </c>
      <c r="L58" s="178">
        <v>1100000</v>
      </c>
      <c r="M58" s="178">
        <v>4920000</v>
      </c>
      <c r="N58" s="178">
        <v>1880000</v>
      </c>
      <c r="O58" s="178">
        <v>3240000</v>
      </c>
      <c r="P58" s="178">
        <v>4170000</v>
      </c>
      <c r="Q58" s="178">
        <v>900000</v>
      </c>
      <c r="R58" s="178">
        <v>950000</v>
      </c>
      <c r="S58" s="7">
        <f t="shared" si="4"/>
        <v>29080000</v>
      </c>
      <c r="T58" s="179"/>
      <c r="U58" s="178">
        <v>910000</v>
      </c>
      <c r="V58" s="178">
        <v>1860000</v>
      </c>
      <c r="W58" s="178">
        <v>0</v>
      </c>
      <c r="X58" s="178">
        <v>950000</v>
      </c>
      <c r="Y58" s="178">
        <v>950000</v>
      </c>
      <c r="Z58" s="178">
        <v>3770000</v>
      </c>
      <c r="AA58" s="178">
        <v>900000</v>
      </c>
      <c r="AB58" s="178">
        <v>1750000</v>
      </c>
      <c r="AC58" s="178">
        <v>1700000</v>
      </c>
      <c r="AD58" s="178">
        <v>0</v>
      </c>
      <c r="AE58" s="178">
        <v>950000</v>
      </c>
      <c r="AF58" s="178">
        <v>950000</v>
      </c>
      <c r="AG58" s="518">
        <f t="shared" si="5"/>
        <v>14690000</v>
      </c>
      <c r="AH58" s="788"/>
      <c r="AI58" s="789">
        <v>800000</v>
      </c>
      <c r="AJ58" s="795">
        <v>1730000</v>
      </c>
      <c r="AK58" s="518">
        <v>800000</v>
      </c>
      <c r="AL58" s="518">
        <v>1850000</v>
      </c>
      <c r="AM58" s="518">
        <v>0</v>
      </c>
      <c r="AN58" s="518">
        <v>950000</v>
      </c>
      <c r="AO58" s="518">
        <v>800000</v>
      </c>
      <c r="AP58" s="518">
        <v>0</v>
      </c>
      <c r="AQ58" s="518">
        <v>2700000</v>
      </c>
      <c r="AR58" s="759">
        <v>2950000</v>
      </c>
      <c r="AS58" s="759">
        <v>800000</v>
      </c>
      <c r="AT58" s="518"/>
      <c r="AU58" s="518">
        <f t="shared" si="24"/>
        <v>800000</v>
      </c>
      <c r="AV58" s="518">
        <f t="shared" si="23"/>
        <v>800000</v>
      </c>
      <c r="AW58" s="518">
        <f t="shared" si="23"/>
        <v>800000</v>
      </c>
      <c r="AX58" s="518">
        <f t="shared" si="6"/>
        <v>13380000</v>
      </c>
      <c r="AY58" s="788"/>
      <c r="AZ58" s="789">
        <v>800000</v>
      </c>
      <c r="BA58" s="795">
        <v>1730000</v>
      </c>
      <c r="BB58" s="518">
        <v>800000</v>
      </c>
      <c r="BC58" s="518">
        <v>1850000</v>
      </c>
      <c r="BD58" s="518">
        <v>0</v>
      </c>
      <c r="BE58" s="518">
        <v>950000</v>
      </c>
      <c r="BF58" s="518">
        <v>800000</v>
      </c>
      <c r="BG58" s="518">
        <f t="shared" si="15"/>
        <v>0</v>
      </c>
      <c r="BH58" s="518">
        <v>800000</v>
      </c>
      <c r="BI58" s="518">
        <v>800000</v>
      </c>
      <c r="BJ58" s="518">
        <v>800000</v>
      </c>
      <c r="BK58" s="518">
        <v>800000</v>
      </c>
      <c r="BL58" s="518">
        <f t="shared" si="8"/>
        <v>10130000</v>
      </c>
      <c r="BN58" s="518">
        <v>900000</v>
      </c>
      <c r="BO58" s="518">
        <v>900000</v>
      </c>
      <c r="BP58" s="518">
        <v>900000</v>
      </c>
      <c r="BQ58" s="518">
        <v>900000</v>
      </c>
      <c r="BR58" s="518">
        <v>900000</v>
      </c>
      <c r="BS58" s="518">
        <v>900000</v>
      </c>
      <c r="BT58" s="518">
        <v>900000</v>
      </c>
      <c r="BU58" s="518">
        <v>900000</v>
      </c>
      <c r="BV58" s="518">
        <v>900000</v>
      </c>
      <c r="BW58" s="518">
        <v>900000</v>
      </c>
      <c r="BX58" s="518">
        <v>900000</v>
      </c>
      <c r="BY58" s="518">
        <v>900000</v>
      </c>
      <c r="BZ58" s="791">
        <v>10800000</v>
      </c>
      <c r="CB58" s="518">
        <v>900000</v>
      </c>
      <c r="CC58" s="518">
        <v>900000</v>
      </c>
      <c r="CD58" s="518">
        <v>900000</v>
      </c>
      <c r="CE58" s="518">
        <v>900000</v>
      </c>
      <c r="CF58" s="518">
        <v>900000</v>
      </c>
      <c r="CG58" s="518">
        <v>900000</v>
      </c>
      <c r="CH58" s="518">
        <v>900000</v>
      </c>
      <c r="CI58" s="518">
        <v>900000</v>
      </c>
      <c r="CJ58" s="518">
        <v>900000</v>
      </c>
      <c r="CK58" s="518">
        <v>900000</v>
      </c>
      <c r="CL58" s="518">
        <v>900000</v>
      </c>
      <c r="CM58" s="518">
        <v>900000</v>
      </c>
      <c r="CN58" s="791">
        <v>10800000</v>
      </c>
      <c r="CP58" s="647">
        <v>780000</v>
      </c>
      <c r="CQ58" s="647">
        <v>1750000</v>
      </c>
      <c r="CR58" s="518">
        <v>1000000</v>
      </c>
      <c r="CS58" s="647">
        <v>1750000</v>
      </c>
      <c r="CT58" s="518">
        <v>1000000</v>
      </c>
      <c r="CU58" s="647">
        <v>950000</v>
      </c>
      <c r="CV58" s="518">
        <v>1000000</v>
      </c>
      <c r="CW58" s="647">
        <v>1580000</v>
      </c>
      <c r="CX58" s="518">
        <v>1000000</v>
      </c>
      <c r="CY58" s="647">
        <v>950000</v>
      </c>
      <c r="CZ58" s="518">
        <v>1000000</v>
      </c>
      <c r="DA58" s="647">
        <v>950000</v>
      </c>
      <c r="DB58" s="518">
        <v>1000000</v>
      </c>
      <c r="DC58" s="647">
        <v>2750000</v>
      </c>
      <c r="DD58" s="518">
        <v>1000000</v>
      </c>
      <c r="DE58" s="518"/>
      <c r="DF58" s="518">
        <v>1000000</v>
      </c>
      <c r="DG58" s="748">
        <v>1000000</v>
      </c>
      <c r="DH58" s="518"/>
      <c r="DI58" s="518">
        <v>1000000</v>
      </c>
      <c r="DJ58" s="748">
        <v>1000000</v>
      </c>
      <c r="DK58" s="518"/>
      <c r="DL58" s="518">
        <v>1000000</v>
      </c>
      <c r="DM58" s="748">
        <v>1000000</v>
      </c>
      <c r="DN58" s="518"/>
      <c r="DO58" s="518">
        <v>1000000</v>
      </c>
      <c r="DP58" s="748">
        <v>1000000</v>
      </c>
      <c r="DQ58" s="493">
        <f t="shared" si="9"/>
        <v>15460000</v>
      </c>
      <c r="DR58" s="479">
        <f t="shared" si="18"/>
        <v>13230000</v>
      </c>
      <c r="DS58" s="1163">
        <v>1200000</v>
      </c>
      <c r="DT58" s="1163">
        <v>1200000</v>
      </c>
      <c r="DU58" s="1163">
        <v>1200000</v>
      </c>
      <c r="DV58" s="1163">
        <v>1200000</v>
      </c>
      <c r="DW58" s="1163">
        <v>1200000</v>
      </c>
      <c r="DX58" s="1163">
        <v>1200000</v>
      </c>
      <c r="DY58" s="1163">
        <v>1200000</v>
      </c>
      <c r="DZ58" s="1163">
        <v>1200000</v>
      </c>
      <c r="EA58" s="1163">
        <v>1200000</v>
      </c>
      <c r="EB58" s="1163">
        <v>1200000</v>
      </c>
      <c r="EC58" s="1163">
        <v>1200000</v>
      </c>
      <c r="ED58" s="1163">
        <v>1200000</v>
      </c>
      <c r="EE58" s="1119">
        <f t="shared" si="11"/>
        <v>14400000</v>
      </c>
      <c r="EF58" s="443">
        <f t="shared" si="20"/>
        <v>16848000</v>
      </c>
      <c r="EG58" s="355">
        <f t="shared" si="21"/>
        <v>18195840</v>
      </c>
      <c r="EH58" s="443">
        <f t="shared" si="14"/>
        <v>19833465.600000001</v>
      </c>
      <c r="EI58" s="443">
        <f t="shared" si="14"/>
        <v>21618477.504000004</v>
      </c>
      <c r="EJ58" s="367">
        <v>3000012147</v>
      </c>
    </row>
    <row r="59" spans="1:140" ht="15.5" outlineLevel="2">
      <c r="A59" s="377" t="s">
        <v>59</v>
      </c>
      <c r="B59" s="378"/>
      <c r="C59" s="370" t="s">
        <v>358</v>
      </c>
      <c r="D59" s="370" t="s">
        <v>40</v>
      </c>
      <c r="E59" s="379" t="s">
        <v>394</v>
      </c>
      <c r="F59" s="380">
        <v>3000019618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7">
        <f t="shared" si="4"/>
        <v>0</v>
      </c>
      <c r="T59" s="179"/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518">
        <f t="shared" si="5"/>
        <v>0</v>
      </c>
      <c r="AH59" s="788"/>
      <c r="AI59" s="789"/>
      <c r="AJ59" s="517"/>
      <c r="AK59" s="518">
        <v>850000</v>
      </c>
      <c r="AL59" s="518">
        <v>1810000</v>
      </c>
      <c r="AM59" s="518">
        <v>-350000</v>
      </c>
      <c r="AN59" s="518">
        <v>0</v>
      </c>
      <c r="AO59" s="518">
        <v>0</v>
      </c>
      <c r="AP59" s="518">
        <v>0</v>
      </c>
      <c r="AQ59" s="518">
        <v>0</v>
      </c>
      <c r="AR59" s="518"/>
      <c r="AS59" s="518"/>
      <c r="AT59" s="518"/>
      <c r="AU59" s="518">
        <f t="shared" si="24"/>
        <v>0</v>
      </c>
      <c r="AV59" s="518">
        <f t="shared" si="23"/>
        <v>0</v>
      </c>
      <c r="AW59" s="518">
        <f t="shared" si="23"/>
        <v>0</v>
      </c>
      <c r="AX59" s="518">
        <f t="shared" si="6"/>
        <v>2310000</v>
      </c>
      <c r="AY59" s="788"/>
      <c r="AZ59" s="789"/>
      <c r="BA59" s="517"/>
      <c r="BB59" s="518">
        <v>850000</v>
      </c>
      <c r="BC59" s="518">
        <v>1810000</v>
      </c>
      <c r="BD59" s="518">
        <v>-350000</v>
      </c>
      <c r="BE59" s="518">
        <v>0</v>
      </c>
      <c r="BF59" s="518">
        <v>0</v>
      </c>
      <c r="BG59" s="518">
        <f t="shared" si="15"/>
        <v>0</v>
      </c>
      <c r="BH59" s="518">
        <v>0</v>
      </c>
      <c r="BI59" s="518">
        <v>0</v>
      </c>
      <c r="BJ59" s="518">
        <v>0</v>
      </c>
      <c r="BK59" s="518">
        <v>0</v>
      </c>
      <c r="BL59" s="518">
        <f t="shared" si="8"/>
        <v>2310000</v>
      </c>
      <c r="BN59" s="518">
        <v>0</v>
      </c>
      <c r="BO59" s="518">
        <v>0</v>
      </c>
      <c r="BP59" s="518">
        <v>0</v>
      </c>
      <c r="BQ59" s="518">
        <v>0</v>
      </c>
      <c r="BR59" s="518">
        <v>0</v>
      </c>
      <c r="BS59" s="518">
        <v>0</v>
      </c>
      <c r="BT59" s="518">
        <v>0</v>
      </c>
      <c r="BU59" s="518">
        <v>0</v>
      </c>
      <c r="BV59" s="518">
        <v>0</v>
      </c>
      <c r="BW59" s="518">
        <v>0</v>
      </c>
      <c r="BX59" s="518">
        <v>0</v>
      </c>
      <c r="BY59" s="518">
        <v>0</v>
      </c>
      <c r="BZ59" s="791">
        <v>0</v>
      </c>
      <c r="CB59" s="518">
        <v>0</v>
      </c>
      <c r="CC59" s="518">
        <v>0</v>
      </c>
      <c r="CD59" s="518">
        <v>0</v>
      </c>
      <c r="CE59" s="518">
        <v>0</v>
      </c>
      <c r="CF59" s="518">
        <v>0</v>
      </c>
      <c r="CG59" s="518">
        <v>0</v>
      </c>
      <c r="CH59" s="518">
        <v>0</v>
      </c>
      <c r="CI59" s="518">
        <v>0</v>
      </c>
      <c r="CJ59" s="518">
        <v>0</v>
      </c>
      <c r="CK59" s="518">
        <v>0</v>
      </c>
      <c r="CL59" s="518">
        <v>0</v>
      </c>
      <c r="CM59" s="518">
        <v>0</v>
      </c>
      <c r="CN59" s="791">
        <v>0</v>
      </c>
      <c r="CP59" s="647">
        <v>5600000</v>
      </c>
      <c r="CQ59" s="647">
        <v>8400000</v>
      </c>
      <c r="CR59" s="518">
        <v>0</v>
      </c>
      <c r="CS59" s="647">
        <v>2200000</v>
      </c>
      <c r="CT59" s="518">
        <v>0</v>
      </c>
      <c r="CU59" s="647">
        <v>800000</v>
      </c>
      <c r="CV59" s="518">
        <v>0</v>
      </c>
      <c r="CW59" s="647">
        <v>38700000</v>
      </c>
      <c r="CX59" s="518">
        <v>0</v>
      </c>
      <c r="CY59" s="647">
        <v>7000000</v>
      </c>
      <c r="CZ59" s="518">
        <v>0</v>
      </c>
      <c r="DA59" s="647">
        <v>22400000</v>
      </c>
      <c r="DB59" s="518">
        <v>0</v>
      </c>
      <c r="DC59" s="647">
        <v>0</v>
      </c>
      <c r="DD59" s="518">
        <v>0</v>
      </c>
      <c r="DE59" s="518"/>
      <c r="DF59" s="518">
        <v>0</v>
      </c>
      <c r="DG59" s="748">
        <v>0</v>
      </c>
      <c r="DH59" s="518"/>
      <c r="DI59" s="518">
        <v>0</v>
      </c>
      <c r="DJ59" s="748">
        <v>0</v>
      </c>
      <c r="DK59" s="518"/>
      <c r="DL59" s="518">
        <v>0</v>
      </c>
      <c r="DM59" s="748">
        <v>0</v>
      </c>
      <c r="DN59" s="518"/>
      <c r="DO59" s="518">
        <v>0</v>
      </c>
      <c r="DP59" s="748">
        <v>0</v>
      </c>
      <c r="DQ59" s="493">
        <f t="shared" si="9"/>
        <v>85100000</v>
      </c>
      <c r="DR59" s="479">
        <f t="shared" si="18"/>
        <v>17000000</v>
      </c>
      <c r="DS59" s="1163"/>
      <c r="DT59" s="1163"/>
      <c r="DU59" s="1163"/>
      <c r="DV59" s="1163"/>
      <c r="DW59" s="1163"/>
      <c r="DX59" s="1163"/>
      <c r="DY59" s="1163"/>
      <c r="DZ59" s="1163"/>
      <c r="EA59" s="1163"/>
      <c r="EB59" s="1163"/>
      <c r="EC59" s="1163"/>
      <c r="ED59" s="1163"/>
      <c r="EE59" s="1119">
        <f t="shared" si="11"/>
        <v>0</v>
      </c>
      <c r="EF59" s="443">
        <f t="shared" si="20"/>
        <v>0</v>
      </c>
      <c r="EG59" s="355">
        <f t="shared" si="21"/>
        <v>0</v>
      </c>
      <c r="EH59" s="443">
        <f t="shared" si="14"/>
        <v>0</v>
      </c>
      <c r="EI59" s="443">
        <f t="shared" si="14"/>
        <v>0</v>
      </c>
      <c r="EJ59" s="367">
        <v>3000019618</v>
      </c>
    </row>
    <row r="60" spans="1:140" ht="15.5" outlineLevel="2">
      <c r="A60" s="367" t="s">
        <v>39</v>
      </c>
      <c r="B60" s="378"/>
      <c r="C60" s="370" t="s">
        <v>358</v>
      </c>
      <c r="D60" s="370" t="s">
        <v>40</v>
      </c>
      <c r="E60" s="379" t="s">
        <v>395</v>
      </c>
      <c r="F60" s="380">
        <v>8000000019</v>
      </c>
      <c r="G60" s="178">
        <v>66702000</v>
      </c>
      <c r="H60" s="178">
        <v>66389032</v>
      </c>
      <c r="I60" s="178">
        <v>55742000</v>
      </c>
      <c r="J60" s="178">
        <v>48992000</v>
      </c>
      <c r="K60" s="178">
        <v>48992000</v>
      </c>
      <c r="L60" s="178">
        <v>71870150</v>
      </c>
      <c r="M60" s="178">
        <v>60544440</v>
      </c>
      <c r="N60" s="178">
        <v>81197000</v>
      </c>
      <c r="O60" s="178">
        <v>59687900</v>
      </c>
      <c r="P60" s="178">
        <v>136612000</v>
      </c>
      <c r="Q60" s="178">
        <v>66774000</v>
      </c>
      <c r="R60" s="178">
        <v>44797386</v>
      </c>
      <c r="S60" s="7">
        <f t="shared" si="4"/>
        <v>808299908</v>
      </c>
      <c r="T60" s="179"/>
      <c r="U60" s="178">
        <v>75350000</v>
      </c>
      <c r="V60" s="178">
        <v>85189500</v>
      </c>
      <c r="W60" s="178">
        <v>88069600</v>
      </c>
      <c r="X60" s="178">
        <v>174195500</v>
      </c>
      <c r="Y60" s="178">
        <v>369568500</v>
      </c>
      <c r="Z60" s="178">
        <v>190723000</v>
      </c>
      <c r="AA60" s="178">
        <v>424070000</v>
      </c>
      <c r="AB60" s="178">
        <v>397551000</v>
      </c>
      <c r="AC60" s="178">
        <v>661082000</v>
      </c>
      <c r="AD60" s="178">
        <v>541761400</v>
      </c>
      <c r="AE60" s="178">
        <v>473334000</v>
      </c>
      <c r="AF60" s="178">
        <v>600085000</v>
      </c>
      <c r="AG60" s="518">
        <f t="shared" si="5"/>
        <v>4080979500</v>
      </c>
      <c r="AH60" s="788"/>
      <c r="AI60" s="789">
        <v>77965000</v>
      </c>
      <c r="AJ60" s="795">
        <v>128971640</v>
      </c>
      <c r="AK60" s="518">
        <v>181762500</v>
      </c>
      <c r="AL60" s="518">
        <v>70735000</v>
      </c>
      <c r="AM60" s="518">
        <v>62845000</v>
      </c>
      <c r="AN60" s="518">
        <v>35555000</v>
      </c>
      <c r="AO60" s="518">
        <v>44363766</v>
      </c>
      <c r="AP60" s="518">
        <v>34545000</v>
      </c>
      <c r="AQ60" s="518">
        <v>95725000</v>
      </c>
      <c r="AR60" s="759">
        <v>119745000</v>
      </c>
      <c r="AS60" s="759">
        <v>185400000</v>
      </c>
      <c r="AT60" s="759">
        <v>80845000</v>
      </c>
      <c r="AU60" s="518">
        <f t="shared" si="24"/>
        <v>46963766</v>
      </c>
      <c r="AV60" s="518">
        <f t="shared" si="23"/>
        <v>46963766</v>
      </c>
      <c r="AW60" s="518">
        <f t="shared" si="23"/>
        <v>46963766</v>
      </c>
      <c r="AX60" s="518">
        <f t="shared" si="6"/>
        <v>1118457906</v>
      </c>
      <c r="AY60" s="788"/>
      <c r="AZ60" s="789">
        <v>77965000</v>
      </c>
      <c r="BA60" s="795">
        <v>128971640</v>
      </c>
      <c r="BB60" s="518">
        <v>181762500</v>
      </c>
      <c r="BC60" s="518">
        <v>70735000</v>
      </c>
      <c r="BD60" s="518">
        <v>62845000</v>
      </c>
      <c r="BE60" s="518">
        <v>35555000</v>
      </c>
      <c r="BF60" s="518">
        <v>44363766</v>
      </c>
      <c r="BG60" s="518">
        <f t="shared" si="15"/>
        <v>34545000</v>
      </c>
      <c r="BH60" s="518">
        <v>46963766</v>
      </c>
      <c r="BI60" s="518">
        <v>46963766</v>
      </c>
      <c r="BJ60" s="518">
        <v>46963766</v>
      </c>
      <c r="BK60" s="518">
        <v>46963766</v>
      </c>
      <c r="BL60" s="518">
        <f t="shared" si="8"/>
        <v>824597970</v>
      </c>
      <c r="BN60" s="518">
        <v>47511891</v>
      </c>
      <c r="BO60" s="518">
        <v>47511891</v>
      </c>
      <c r="BP60" s="518">
        <v>47511891</v>
      </c>
      <c r="BQ60" s="518">
        <v>47511891</v>
      </c>
      <c r="BR60" s="518">
        <v>47511891</v>
      </c>
      <c r="BS60" s="518">
        <v>47511891</v>
      </c>
      <c r="BT60" s="518">
        <v>47511891</v>
      </c>
      <c r="BU60" s="518">
        <v>47511891</v>
      </c>
      <c r="BV60" s="518">
        <v>47511891</v>
      </c>
      <c r="BW60" s="518">
        <v>47511891</v>
      </c>
      <c r="BX60" s="518">
        <v>47511891</v>
      </c>
      <c r="BY60" s="518">
        <v>47511891</v>
      </c>
      <c r="BZ60" s="791">
        <v>570142692</v>
      </c>
      <c r="CB60" s="518">
        <v>47511891</v>
      </c>
      <c r="CC60" s="518">
        <v>47511891</v>
      </c>
      <c r="CD60" s="518">
        <v>47511891</v>
      </c>
      <c r="CE60" s="518">
        <v>47511891</v>
      </c>
      <c r="CF60" s="518">
        <v>47511891</v>
      </c>
      <c r="CG60" s="518">
        <v>47511891</v>
      </c>
      <c r="CH60" s="518">
        <v>47511891</v>
      </c>
      <c r="CI60" s="518">
        <v>47511891</v>
      </c>
      <c r="CJ60" s="518">
        <v>47511891</v>
      </c>
      <c r="CK60" s="518">
        <v>47511891</v>
      </c>
      <c r="CL60" s="518">
        <v>47511891</v>
      </c>
      <c r="CM60" s="518">
        <v>47511891</v>
      </c>
      <c r="CN60" s="791">
        <v>570142692</v>
      </c>
      <c r="CP60" s="647">
        <v>23965000</v>
      </c>
      <c r="CQ60" s="647">
        <v>18347000</v>
      </c>
      <c r="CR60" s="518">
        <v>23000000</v>
      </c>
      <c r="CS60" s="647">
        <v>19897000</v>
      </c>
      <c r="CT60" s="518">
        <v>23000000</v>
      </c>
      <c r="CU60" s="647">
        <v>36329000</v>
      </c>
      <c r="CV60" s="518">
        <v>23000000</v>
      </c>
      <c r="CW60" s="647">
        <v>16247000</v>
      </c>
      <c r="CX60" s="518">
        <v>23000000</v>
      </c>
      <c r="CY60" s="647">
        <v>19997000</v>
      </c>
      <c r="CZ60" s="518">
        <v>23000000</v>
      </c>
      <c r="DA60" s="647">
        <v>14147000</v>
      </c>
      <c r="DB60" s="518">
        <v>23000000</v>
      </c>
      <c r="DC60" s="647">
        <v>16847000</v>
      </c>
      <c r="DD60" s="518">
        <v>23000000</v>
      </c>
      <c r="DE60" s="518"/>
      <c r="DF60" s="518">
        <v>23000000</v>
      </c>
      <c r="DG60" s="748">
        <v>30000000</v>
      </c>
      <c r="DH60" s="518"/>
      <c r="DI60" s="518">
        <v>23000000</v>
      </c>
      <c r="DJ60" s="748">
        <v>40000000</v>
      </c>
      <c r="DK60" s="518"/>
      <c r="DL60" s="518">
        <v>23000000</v>
      </c>
      <c r="DM60" s="748">
        <v>50000000</v>
      </c>
      <c r="DN60" s="518"/>
      <c r="DO60" s="518">
        <v>23000000</v>
      </c>
      <c r="DP60" s="748">
        <v>50000000</v>
      </c>
      <c r="DQ60" s="493">
        <f t="shared" si="9"/>
        <v>257776000</v>
      </c>
      <c r="DR60" s="479">
        <f t="shared" si="18"/>
        <v>360538000</v>
      </c>
      <c r="DS60" s="1163">
        <v>15000000</v>
      </c>
      <c r="DT60" s="1163">
        <v>15000000</v>
      </c>
      <c r="DU60" s="1163">
        <v>15000000</v>
      </c>
      <c r="DV60" s="1163">
        <v>15000000</v>
      </c>
      <c r="DW60" s="1163">
        <v>15000000</v>
      </c>
      <c r="DX60" s="1163">
        <v>15000000</v>
      </c>
      <c r="DY60" s="1163">
        <v>15000000</v>
      </c>
      <c r="DZ60" s="1163">
        <v>15000000</v>
      </c>
      <c r="EA60" s="1163">
        <v>15000000</v>
      </c>
      <c r="EB60" s="1163">
        <v>15000000</v>
      </c>
      <c r="EC60" s="1163">
        <v>15000000</v>
      </c>
      <c r="ED60" s="1163">
        <v>15000000</v>
      </c>
      <c r="EE60" s="1119">
        <f t="shared" si="11"/>
        <v>180000000</v>
      </c>
      <c r="EF60" s="443">
        <f t="shared" si="20"/>
        <v>210600000</v>
      </c>
      <c r="EG60" s="355">
        <f t="shared" si="21"/>
        <v>227448000.00000003</v>
      </c>
      <c r="EH60" s="443">
        <f t="shared" si="14"/>
        <v>247918320.00000006</v>
      </c>
      <c r="EI60" s="443">
        <f t="shared" si="14"/>
        <v>270230968.80000007</v>
      </c>
      <c r="EJ60" s="367">
        <v>8000000019</v>
      </c>
    </row>
    <row r="61" spans="1:140" ht="15.5" outlineLevel="2">
      <c r="A61" s="367" t="s">
        <v>43</v>
      </c>
      <c r="B61" s="378"/>
      <c r="C61" s="370" t="s">
        <v>358</v>
      </c>
      <c r="D61" s="370" t="s">
        <v>40</v>
      </c>
      <c r="E61" s="379" t="s">
        <v>197</v>
      </c>
      <c r="F61" s="380">
        <v>3000014688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28900000</v>
      </c>
      <c r="Q61" s="178">
        <v>86710000</v>
      </c>
      <c r="R61" s="178">
        <v>107300000</v>
      </c>
      <c r="S61" s="7">
        <f t="shared" si="4"/>
        <v>222910000</v>
      </c>
      <c r="T61" s="179"/>
      <c r="U61" s="178">
        <v>50800000</v>
      </c>
      <c r="V61" s="178">
        <v>90250000</v>
      </c>
      <c r="W61" s="178">
        <v>42700000</v>
      </c>
      <c r="X61" s="178">
        <v>6600000</v>
      </c>
      <c r="Y61" s="178">
        <v>39439000</v>
      </c>
      <c r="Z61" s="178">
        <v>0</v>
      </c>
      <c r="AA61" s="178">
        <v>36900000</v>
      </c>
      <c r="AB61" s="178">
        <v>32300000</v>
      </c>
      <c r="AC61" s="178">
        <v>35200000</v>
      </c>
      <c r="AD61" s="178">
        <v>58450000</v>
      </c>
      <c r="AE61" s="178">
        <v>57000000</v>
      </c>
      <c r="AF61" s="178">
        <v>31836000</v>
      </c>
      <c r="AG61" s="518">
        <f t="shared" si="5"/>
        <v>481475000</v>
      </c>
      <c r="AH61" s="788"/>
      <c r="AI61" s="789">
        <v>5192000</v>
      </c>
      <c r="AJ61" s="795">
        <v>16184000</v>
      </c>
      <c r="AK61" s="518">
        <v>0</v>
      </c>
      <c r="AL61" s="518">
        <v>2100000</v>
      </c>
      <c r="AM61" s="518">
        <v>0</v>
      </c>
      <c r="AN61" s="518">
        <v>0</v>
      </c>
      <c r="AO61" s="518">
        <v>0</v>
      </c>
      <c r="AP61" s="518">
        <v>0</v>
      </c>
      <c r="AQ61" s="518">
        <v>0</v>
      </c>
      <c r="AR61" s="518"/>
      <c r="AS61" s="518"/>
      <c r="AT61" s="518"/>
      <c r="AU61" s="518">
        <f t="shared" si="24"/>
        <v>0</v>
      </c>
      <c r="AV61" s="518">
        <f t="shared" si="23"/>
        <v>0</v>
      </c>
      <c r="AW61" s="518">
        <f t="shared" si="23"/>
        <v>0</v>
      </c>
      <c r="AX61" s="518">
        <f t="shared" si="6"/>
        <v>23476000</v>
      </c>
      <c r="AY61" s="788"/>
      <c r="AZ61" s="789">
        <v>5192000</v>
      </c>
      <c r="BA61" s="795">
        <v>16184000</v>
      </c>
      <c r="BB61" s="518">
        <v>0</v>
      </c>
      <c r="BC61" s="518">
        <v>2100000</v>
      </c>
      <c r="BD61" s="518">
        <v>0</v>
      </c>
      <c r="BE61" s="518">
        <v>0</v>
      </c>
      <c r="BF61" s="518">
        <v>0</v>
      </c>
      <c r="BG61" s="518">
        <f t="shared" si="15"/>
        <v>0</v>
      </c>
      <c r="BH61" s="518">
        <v>0</v>
      </c>
      <c r="BI61" s="518">
        <v>0</v>
      </c>
      <c r="BJ61" s="518">
        <v>0</v>
      </c>
      <c r="BK61" s="518">
        <v>0</v>
      </c>
      <c r="BL61" s="518">
        <f t="shared" si="8"/>
        <v>23476000</v>
      </c>
      <c r="BN61" s="518">
        <v>0</v>
      </c>
      <c r="BO61" s="518">
        <v>0</v>
      </c>
      <c r="BP61" s="518">
        <v>0</v>
      </c>
      <c r="BQ61" s="518">
        <v>0</v>
      </c>
      <c r="BR61" s="518">
        <v>0</v>
      </c>
      <c r="BS61" s="518">
        <v>0</v>
      </c>
      <c r="BT61" s="518">
        <v>0</v>
      </c>
      <c r="BU61" s="518">
        <v>0</v>
      </c>
      <c r="BV61" s="518">
        <v>0</v>
      </c>
      <c r="BW61" s="518">
        <v>0</v>
      </c>
      <c r="BX61" s="518">
        <v>0</v>
      </c>
      <c r="BY61" s="518">
        <v>0</v>
      </c>
      <c r="BZ61" s="791">
        <v>0</v>
      </c>
      <c r="CB61" s="518">
        <v>0</v>
      </c>
      <c r="CC61" s="518">
        <v>0</v>
      </c>
      <c r="CD61" s="518">
        <v>0</v>
      </c>
      <c r="CE61" s="518">
        <v>0</v>
      </c>
      <c r="CF61" s="518">
        <v>0</v>
      </c>
      <c r="CG61" s="518">
        <v>0</v>
      </c>
      <c r="CH61" s="518">
        <v>0</v>
      </c>
      <c r="CI61" s="518">
        <v>0</v>
      </c>
      <c r="CJ61" s="518">
        <v>0</v>
      </c>
      <c r="CK61" s="518">
        <v>0</v>
      </c>
      <c r="CL61" s="518">
        <v>0</v>
      </c>
      <c r="CM61" s="518">
        <v>0</v>
      </c>
      <c r="CN61" s="791">
        <v>0</v>
      </c>
      <c r="CP61" s="647"/>
      <c r="CQ61" s="647"/>
      <c r="CR61" s="518"/>
      <c r="CS61" s="647"/>
      <c r="CT61" s="518"/>
      <c r="CU61" s="647"/>
      <c r="CV61" s="518"/>
      <c r="CW61" s="647"/>
      <c r="CX61" s="518"/>
      <c r="CY61" s="647"/>
      <c r="CZ61" s="518"/>
      <c r="DA61" s="647"/>
      <c r="DB61" s="518"/>
      <c r="DC61" s="647">
        <v>0</v>
      </c>
      <c r="DD61" s="518"/>
      <c r="DE61" s="518"/>
      <c r="DF61" s="518"/>
      <c r="DG61" s="748"/>
      <c r="DH61" s="518"/>
      <c r="DI61" s="518"/>
      <c r="DJ61" s="748"/>
      <c r="DK61" s="518"/>
      <c r="DL61" s="518"/>
      <c r="DM61" s="748"/>
      <c r="DN61" s="518"/>
      <c r="DO61" s="518"/>
      <c r="DP61" s="748"/>
      <c r="DQ61" s="493">
        <f t="shared" si="9"/>
        <v>0</v>
      </c>
      <c r="DR61" s="479">
        <f t="shared" si="18"/>
        <v>0</v>
      </c>
      <c r="DS61" s="1163"/>
      <c r="DT61" s="1163"/>
      <c r="DU61" s="1163"/>
      <c r="DV61" s="1163"/>
      <c r="DW61" s="1163"/>
      <c r="DX61" s="1163"/>
      <c r="DY61" s="1163"/>
      <c r="DZ61" s="1163"/>
      <c r="EA61" s="1163"/>
      <c r="EB61" s="1163"/>
      <c r="EC61" s="1163"/>
      <c r="ED61" s="1163"/>
      <c r="EE61" s="1119">
        <f t="shared" si="11"/>
        <v>0</v>
      </c>
      <c r="EF61" s="443">
        <f t="shared" si="20"/>
        <v>0</v>
      </c>
      <c r="EG61" s="355">
        <f t="shared" si="21"/>
        <v>0</v>
      </c>
      <c r="EH61" s="443">
        <f t="shared" si="14"/>
        <v>0</v>
      </c>
      <c r="EI61" s="443">
        <f t="shared" si="14"/>
        <v>0</v>
      </c>
      <c r="EJ61" s="367">
        <v>3000014688</v>
      </c>
    </row>
    <row r="62" spans="1:140" ht="15.5" outlineLevel="2">
      <c r="A62" s="377" t="s">
        <v>59</v>
      </c>
      <c r="B62" s="378"/>
      <c r="C62" s="370" t="s">
        <v>358</v>
      </c>
      <c r="D62" s="370" t="s">
        <v>40</v>
      </c>
      <c r="E62" s="379" t="s">
        <v>396</v>
      </c>
      <c r="F62" s="380">
        <v>3000001302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7">
        <f>SUM(G62,H62,I62,J62,K62,L62,M62,N62,O62,P62,Q62,R62)</f>
        <v>0</v>
      </c>
      <c r="T62" s="179"/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518">
        <f>SUM(U62,V62,W62,X62,Y62,Z62,AA62,AB62,AC62,AD62,AE62,AF62)</f>
        <v>0</v>
      </c>
      <c r="AH62" s="788"/>
      <c r="AI62" s="789"/>
      <c r="AJ62" s="517"/>
      <c r="AK62" s="518"/>
      <c r="AL62" s="518">
        <v>0</v>
      </c>
      <c r="AM62" s="518"/>
      <c r="AN62" s="518"/>
      <c r="AO62" s="518">
        <v>3820000</v>
      </c>
      <c r="AP62" s="518">
        <v>6480000</v>
      </c>
      <c r="AQ62" s="518">
        <v>2100000</v>
      </c>
      <c r="AR62" s="759">
        <v>-2100000</v>
      </c>
      <c r="AS62" s="518"/>
      <c r="AT62" s="518"/>
      <c r="AU62" s="794">
        <f>5000000</f>
        <v>5000000</v>
      </c>
      <c r="AV62" s="794">
        <f>5000000</f>
        <v>5000000</v>
      </c>
      <c r="AW62" s="794">
        <f>5000000</f>
        <v>5000000</v>
      </c>
      <c r="AX62" s="518">
        <f>SUM(AI62,AJ62,AK62,AL62,AM62,AN62,AO62,AP62,AQ62,AR62,AS62,AT62)</f>
        <v>10300000</v>
      </c>
      <c r="AY62" s="788"/>
      <c r="AZ62" s="789"/>
      <c r="BA62" s="517"/>
      <c r="BB62" s="518"/>
      <c r="BC62" s="518">
        <v>0</v>
      </c>
      <c r="BD62" s="518"/>
      <c r="BE62" s="518"/>
      <c r="BF62" s="518">
        <v>3820000</v>
      </c>
      <c r="BG62" s="518">
        <f>AP62</f>
        <v>6480000</v>
      </c>
      <c r="BH62" s="518">
        <v>20000000</v>
      </c>
      <c r="BI62" s="518">
        <v>20000000</v>
      </c>
      <c r="BJ62" s="518">
        <v>50000000</v>
      </c>
      <c r="BK62" s="518">
        <v>50000000</v>
      </c>
      <c r="BL62" s="518">
        <f>SUM(AZ62,BA62,BB62,BC62,BD62,BE62,BF62,BG62,BH62,BI62,BJ62,BK62)</f>
        <v>150300000</v>
      </c>
      <c r="BN62" s="518">
        <v>10000000</v>
      </c>
      <c r="BO62" s="518">
        <v>10000000</v>
      </c>
      <c r="BP62" s="518">
        <v>10000000</v>
      </c>
      <c r="BQ62" s="518">
        <v>10000000</v>
      </c>
      <c r="BR62" s="518">
        <v>10000000</v>
      </c>
      <c r="BS62" s="518">
        <v>10000000</v>
      </c>
      <c r="BT62" s="518">
        <v>10000000</v>
      </c>
      <c r="BU62" s="518">
        <v>10000000</v>
      </c>
      <c r="BV62" s="518">
        <v>10000000</v>
      </c>
      <c r="BW62" s="518">
        <v>10000000</v>
      </c>
      <c r="BX62" s="518">
        <v>10000000</v>
      </c>
      <c r="BY62" s="518">
        <v>10000000</v>
      </c>
      <c r="BZ62" s="791">
        <v>120000000</v>
      </c>
      <c r="CB62" s="518">
        <v>10000000</v>
      </c>
      <c r="CC62" s="518">
        <v>10000000</v>
      </c>
      <c r="CD62" s="518">
        <v>10000000</v>
      </c>
      <c r="CE62" s="518">
        <v>10000000</v>
      </c>
      <c r="CF62" s="518">
        <v>10000000</v>
      </c>
      <c r="CG62" s="518">
        <v>10000000</v>
      </c>
      <c r="CH62" s="518">
        <v>10000000</v>
      </c>
      <c r="CI62" s="518">
        <v>10000000</v>
      </c>
      <c r="CJ62" s="518">
        <v>10000000</v>
      </c>
      <c r="CK62" s="518">
        <v>10000000</v>
      </c>
      <c r="CL62" s="518">
        <v>10000000</v>
      </c>
      <c r="CM62" s="518">
        <v>10000000</v>
      </c>
      <c r="CN62" s="791">
        <v>120000000</v>
      </c>
      <c r="CP62" s="647"/>
      <c r="CQ62" s="647"/>
      <c r="CR62" s="518"/>
      <c r="CS62" s="647"/>
      <c r="CT62" s="518"/>
      <c r="CU62" s="647"/>
      <c r="CV62" s="518"/>
      <c r="CW62" s="647"/>
      <c r="CX62" s="518"/>
      <c r="CY62" s="647"/>
      <c r="CZ62" s="518"/>
      <c r="DA62" s="647"/>
      <c r="DB62" s="518"/>
      <c r="DC62" s="647">
        <v>0</v>
      </c>
      <c r="DD62" s="518"/>
      <c r="DE62" s="518"/>
      <c r="DF62" s="518"/>
      <c r="DG62" s="748"/>
      <c r="DH62" s="518"/>
      <c r="DI62" s="518"/>
      <c r="DJ62" s="748"/>
      <c r="DK62" s="518"/>
      <c r="DL62" s="518"/>
      <c r="DM62" s="748"/>
      <c r="DN62" s="518"/>
      <c r="DO62" s="518"/>
      <c r="DP62" s="748"/>
      <c r="DQ62" s="493">
        <f t="shared" si="9"/>
        <v>0</v>
      </c>
      <c r="DR62" s="479">
        <f t="shared" si="18"/>
        <v>0</v>
      </c>
      <c r="DS62" s="1163"/>
      <c r="DT62" s="1163"/>
      <c r="DU62" s="1163"/>
      <c r="DV62" s="1163"/>
      <c r="DW62" s="1163"/>
      <c r="DX62" s="1163"/>
      <c r="DY62" s="1163"/>
      <c r="DZ62" s="1163"/>
      <c r="EA62" s="1163"/>
      <c r="EB62" s="1163"/>
      <c r="EC62" s="1163"/>
      <c r="ED62" s="1163"/>
      <c r="EE62" s="1119">
        <f t="shared" si="11"/>
        <v>0</v>
      </c>
      <c r="EF62" s="443">
        <f t="shared" si="20"/>
        <v>0</v>
      </c>
      <c r="EG62" s="355">
        <f t="shared" si="21"/>
        <v>0</v>
      </c>
      <c r="EH62" s="443">
        <f>EG62*1.09</f>
        <v>0</v>
      </c>
      <c r="EI62" s="443">
        <f>EH62*1.09</f>
        <v>0</v>
      </c>
      <c r="EJ62" s="367">
        <v>3000001302</v>
      </c>
    </row>
    <row r="63" spans="1:140" ht="15.5" outlineLevel="2">
      <c r="A63" s="367" t="s">
        <v>59</v>
      </c>
      <c r="B63" s="378"/>
      <c r="C63" s="370" t="s">
        <v>358</v>
      </c>
      <c r="D63" s="370" t="s">
        <v>40</v>
      </c>
      <c r="E63" s="383" t="s">
        <v>397</v>
      </c>
      <c r="F63" s="380">
        <v>3000020356</v>
      </c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7"/>
      <c r="T63" s="179"/>
      <c r="U63" s="178"/>
      <c r="V63" s="9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518"/>
      <c r="AH63" s="788"/>
      <c r="AI63" s="789"/>
      <c r="AJ63" s="517"/>
      <c r="AK63" s="518"/>
      <c r="AL63" s="518"/>
      <c r="AM63" s="518"/>
      <c r="AN63" s="518"/>
      <c r="AO63" s="518"/>
      <c r="AP63" s="518"/>
      <c r="AQ63" s="518"/>
      <c r="AR63" s="518">
        <v>19448500</v>
      </c>
      <c r="AS63" s="518">
        <v>4850000</v>
      </c>
      <c r="AT63" s="518">
        <v>0</v>
      </c>
      <c r="AU63" s="518"/>
      <c r="AV63" s="518"/>
      <c r="AW63" s="518"/>
      <c r="AX63" s="518">
        <f>SUM(AI63,AJ63,AK63,AL63,AM63,AN63,AO63,AP63,AQ63,AR63,AS63,AT63)</f>
        <v>24298500</v>
      </c>
      <c r="AY63" s="788"/>
      <c r="AZ63" s="789"/>
      <c r="BA63" s="517"/>
      <c r="BB63" s="518"/>
      <c r="BC63" s="518"/>
      <c r="BD63" s="518"/>
      <c r="BE63" s="518"/>
      <c r="BF63" s="518"/>
      <c r="BG63" s="518"/>
      <c r="BH63" s="518"/>
      <c r="BI63" s="518"/>
      <c r="BJ63" s="518"/>
      <c r="BK63" s="518"/>
      <c r="BL63" s="518"/>
      <c r="BN63" s="516"/>
      <c r="BO63" s="517"/>
      <c r="BP63" s="518"/>
      <c r="BQ63" s="518"/>
      <c r="BR63" s="518"/>
      <c r="BS63" s="518"/>
      <c r="BT63" s="518"/>
      <c r="BU63" s="518"/>
      <c r="BV63" s="518"/>
      <c r="BW63" s="518"/>
      <c r="BX63" s="518"/>
      <c r="BY63" s="518"/>
      <c r="BZ63" s="791">
        <v>0</v>
      </c>
      <c r="CB63" s="516"/>
      <c r="CC63" s="517"/>
      <c r="CD63" s="518"/>
      <c r="CE63" s="518"/>
      <c r="CF63" s="518"/>
      <c r="CG63" s="518"/>
      <c r="CH63" s="518"/>
      <c r="CI63" s="518"/>
      <c r="CJ63" s="518"/>
      <c r="CK63" s="518"/>
      <c r="CL63" s="518"/>
      <c r="CM63" s="518"/>
      <c r="CN63" s="791">
        <v>0</v>
      </c>
      <c r="CP63" s="646"/>
      <c r="CQ63" s="646">
        <v>3500000</v>
      </c>
      <c r="CR63" s="519">
        <v>5000000</v>
      </c>
      <c r="CS63" s="646"/>
      <c r="CT63" s="519">
        <v>10000000</v>
      </c>
      <c r="CU63" s="646"/>
      <c r="CV63" s="519">
        <v>10000000</v>
      </c>
      <c r="CW63" s="646"/>
      <c r="CX63" s="519">
        <v>10000000</v>
      </c>
      <c r="CY63" s="646"/>
      <c r="CZ63" s="519">
        <v>10000000</v>
      </c>
      <c r="DA63" s="646"/>
      <c r="DB63" s="519">
        <v>10000000</v>
      </c>
      <c r="DC63" s="646">
        <v>0</v>
      </c>
      <c r="DD63" s="519">
        <v>10000000</v>
      </c>
      <c r="DE63" s="518"/>
      <c r="DF63" s="519">
        <v>10000000</v>
      </c>
      <c r="DG63" s="749">
        <v>10000000</v>
      </c>
      <c r="DH63" s="518"/>
      <c r="DI63" s="519">
        <v>10000000</v>
      </c>
      <c r="DJ63" s="749">
        <v>10000000</v>
      </c>
      <c r="DK63" s="518"/>
      <c r="DL63" s="519">
        <v>10000000</v>
      </c>
      <c r="DM63" s="749">
        <v>10000000</v>
      </c>
      <c r="DN63" s="518"/>
      <c r="DO63" s="519">
        <v>10000000</v>
      </c>
      <c r="DP63" s="749">
        <v>10000000</v>
      </c>
      <c r="DQ63" s="493">
        <f t="shared" si="9"/>
        <v>43500000</v>
      </c>
      <c r="DR63" s="479">
        <f t="shared" si="18"/>
        <v>83500000</v>
      </c>
      <c r="DS63" s="1162"/>
      <c r="DT63" s="1162"/>
      <c r="DU63" s="1162"/>
      <c r="DV63" s="1162"/>
      <c r="DW63" s="1162"/>
      <c r="DX63" s="1162"/>
      <c r="DY63" s="1162"/>
      <c r="DZ63" s="1162"/>
      <c r="EA63" s="1162"/>
      <c r="EB63" s="1162"/>
      <c r="EC63" s="1162"/>
      <c r="ED63" s="1162"/>
      <c r="EE63" s="1119">
        <f t="shared" si="11"/>
        <v>0</v>
      </c>
      <c r="EF63" s="443">
        <f t="shared" si="20"/>
        <v>0</v>
      </c>
      <c r="EG63" s="355">
        <f t="shared" si="21"/>
        <v>0</v>
      </c>
      <c r="EH63" s="443"/>
      <c r="EI63" s="443"/>
    </row>
    <row r="64" spans="1:140" ht="15.5" outlineLevel="2">
      <c r="A64" s="367" t="s">
        <v>39</v>
      </c>
      <c r="B64" s="378"/>
      <c r="C64" s="370" t="s">
        <v>358</v>
      </c>
      <c r="D64" s="370" t="s">
        <v>40</v>
      </c>
      <c r="E64" s="379" t="s">
        <v>66</v>
      </c>
      <c r="F64" s="380">
        <v>8000000015</v>
      </c>
      <c r="G64" s="178">
        <v>25265000</v>
      </c>
      <c r="H64" s="178">
        <v>25265000</v>
      </c>
      <c r="I64" s="178">
        <v>25265000</v>
      </c>
      <c r="J64" s="178">
        <v>25265000</v>
      </c>
      <c r="K64" s="178">
        <v>28265000</v>
      </c>
      <c r="L64" s="178">
        <v>25265000</v>
      </c>
      <c r="M64" s="178">
        <v>25265000</v>
      </c>
      <c r="N64" s="178">
        <v>25265000</v>
      </c>
      <c r="O64" s="178">
        <v>25265000</v>
      </c>
      <c r="P64" s="178">
        <v>25265000</v>
      </c>
      <c r="Q64" s="178">
        <v>25265000</v>
      </c>
      <c r="R64" s="178">
        <v>25265000</v>
      </c>
      <c r="S64" s="7">
        <f t="shared" si="4"/>
        <v>306180000</v>
      </c>
      <c r="T64" s="179"/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518">
        <f t="shared" si="5"/>
        <v>0</v>
      </c>
      <c r="AH64" s="788"/>
      <c r="AI64" s="789">
        <v>38040000</v>
      </c>
      <c r="AJ64" s="792">
        <v>49285000</v>
      </c>
      <c r="AK64" s="518">
        <v>45265000</v>
      </c>
      <c r="AL64" s="518">
        <v>47320000</v>
      </c>
      <c r="AM64" s="518">
        <v>32960000</v>
      </c>
      <c r="AN64" s="518">
        <v>37740000</v>
      </c>
      <c r="AO64" s="518">
        <v>41545000</v>
      </c>
      <c r="AP64" s="518">
        <v>39860000</v>
      </c>
      <c r="AQ64" s="518">
        <v>690000</v>
      </c>
      <c r="AR64" s="518"/>
      <c r="AS64" s="518"/>
      <c r="AT64" s="518"/>
      <c r="AU64" s="794"/>
      <c r="AV64" s="794"/>
      <c r="AW64" s="794"/>
      <c r="AX64" s="518">
        <f t="shared" si="6"/>
        <v>332705000</v>
      </c>
      <c r="AY64" s="788"/>
      <c r="AZ64" s="789">
        <v>38040000</v>
      </c>
      <c r="BA64" s="792">
        <v>49285000</v>
      </c>
      <c r="BB64" s="518">
        <v>45265000</v>
      </c>
      <c r="BC64" s="518">
        <v>47320000</v>
      </c>
      <c r="BD64" s="518">
        <v>32960000</v>
      </c>
      <c r="BE64" s="518">
        <v>37740000</v>
      </c>
      <c r="BF64" s="518">
        <v>41545000</v>
      </c>
      <c r="BG64" s="518">
        <f t="shared" si="15"/>
        <v>39860000</v>
      </c>
      <c r="BH64" s="518">
        <v>36369996</v>
      </c>
      <c r="BI64" s="518">
        <v>36369996</v>
      </c>
      <c r="BJ64" s="518">
        <v>36369996</v>
      </c>
      <c r="BK64" s="518">
        <v>36369996</v>
      </c>
      <c r="BL64" s="518">
        <f t="shared" si="8"/>
        <v>477494984</v>
      </c>
      <c r="BN64" s="518">
        <v>40000000</v>
      </c>
      <c r="BO64" s="518">
        <v>40000000</v>
      </c>
      <c r="BP64" s="518">
        <v>40000000</v>
      </c>
      <c r="BQ64" s="518">
        <v>40000000</v>
      </c>
      <c r="BR64" s="518">
        <v>20000000</v>
      </c>
      <c r="BS64" s="518">
        <v>30000000</v>
      </c>
      <c r="BT64" s="518">
        <v>30000000</v>
      </c>
      <c r="BU64" s="518">
        <v>30000000</v>
      </c>
      <c r="BV64" s="518">
        <v>40000000</v>
      </c>
      <c r="BW64" s="518">
        <v>40000000</v>
      </c>
      <c r="BX64" s="518">
        <v>40000000</v>
      </c>
      <c r="BY64" s="518">
        <v>40000000</v>
      </c>
      <c r="BZ64" s="791">
        <v>430000000</v>
      </c>
      <c r="CB64" s="518">
        <v>40000000</v>
      </c>
      <c r="CC64" s="518">
        <v>40000000</v>
      </c>
      <c r="CD64" s="518">
        <v>40000000</v>
      </c>
      <c r="CE64" s="518">
        <v>40000000</v>
      </c>
      <c r="CF64" s="518">
        <v>20000000</v>
      </c>
      <c r="CG64" s="518">
        <v>30000000</v>
      </c>
      <c r="CH64" s="518">
        <v>30000000</v>
      </c>
      <c r="CI64" s="518">
        <v>30000000</v>
      </c>
      <c r="CJ64" s="518">
        <v>40000000</v>
      </c>
      <c r="CK64" s="518">
        <v>40000000</v>
      </c>
      <c r="CL64" s="518">
        <v>40000000</v>
      </c>
      <c r="CM64" s="518">
        <v>40000000</v>
      </c>
      <c r="CN64" s="791">
        <v>430000000</v>
      </c>
      <c r="CP64" s="647"/>
      <c r="CQ64" s="647"/>
      <c r="CR64" s="518"/>
      <c r="CS64" s="647"/>
      <c r="CT64" s="518"/>
      <c r="CU64" s="647"/>
      <c r="CV64" s="518"/>
      <c r="CW64" s="647"/>
      <c r="CX64" s="518"/>
      <c r="CY64" s="647"/>
      <c r="CZ64" s="518"/>
      <c r="DA64" s="647"/>
      <c r="DB64" s="518"/>
      <c r="DC64" s="647">
        <v>0</v>
      </c>
      <c r="DD64" s="518"/>
      <c r="DE64" s="518"/>
      <c r="DF64" s="518"/>
      <c r="DG64" s="748"/>
      <c r="DH64" s="518"/>
      <c r="DI64" s="518"/>
      <c r="DJ64" s="748"/>
      <c r="DK64" s="518"/>
      <c r="DL64" s="518"/>
      <c r="DM64" s="748"/>
      <c r="DN64" s="518"/>
      <c r="DO64" s="518"/>
      <c r="DP64" s="748"/>
      <c r="DQ64" s="493">
        <f t="shared" si="9"/>
        <v>0</v>
      </c>
      <c r="DR64" s="479">
        <f t="shared" si="18"/>
        <v>0</v>
      </c>
      <c r="DS64" s="1163"/>
      <c r="DT64" s="1163"/>
      <c r="DU64" s="1163">
        <v>5000000</v>
      </c>
      <c r="DV64" s="1163">
        <v>5000000</v>
      </c>
      <c r="DW64" s="1163">
        <v>5000000</v>
      </c>
      <c r="DX64" s="1163">
        <v>5000000</v>
      </c>
      <c r="DY64" s="1163">
        <v>5000000</v>
      </c>
      <c r="DZ64" s="1163">
        <v>5000000</v>
      </c>
      <c r="EA64" s="1163">
        <v>5000000</v>
      </c>
      <c r="EB64" s="1163">
        <v>5000000</v>
      </c>
      <c r="EC64" s="1163">
        <v>5000000</v>
      </c>
      <c r="ED64" s="1163">
        <v>5000000</v>
      </c>
      <c r="EE64" s="1119">
        <f t="shared" si="11"/>
        <v>50000000</v>
      </c>
      <c r="EF64" s="443">
        <f t="shared" si="20"/>
        <v>58500000</v>
      </c>
      <c r="EG64" s="355">
        <f t="shared" si="21"/>
        <v>63180000.000000007</v>
      </c>
      <c r="EH64" s="443">
        <f t="shared" si="14"/>
        <v>68866200.000000015</v>
      </c>
      <c r="EI64" s="443">
        <f t="shared" si="14"/>
        <v>75064158.000000015</v>
      </c>
      <c r="EJ64" s="367">
        <v>8000000015</v>
      </c>
    </row>
    <row r="65" spans="1:156" ht="15.5" outlineLevel="2">
      <c r="A65" s="367" t="s">
        <v>39</v>
      </c>
      <c r="B65" s="378"/>
      <c r="C65" s="370" t="s">
        <v>358</v>
      </c>
      <c r="D65" s="370" t="s">
        <v>40</v>
      </c>
      <c r="E65" s="379" t="s">
        <v>398</v>
      </c>
      <c r="F65" s="380">
        <v>3000014458</v>
      </c>
      <c r="G65" s="178">
        <v>0</v>
      </c>
      <c r="H65" s="178">
        <v>97080000</v>
      </c>
      <c r="I65" s="178">
        <v>48540000</v>
      </c>
      <c r="J65" s="178">
        <v>48540000</v>
      </c>
      <c r="K65" s="178">
        <v>48540000</v>
      </c>
      <c r="L65" s="178">
        <v>48540000</v>
      </c>
      <c r="M65" s="178">
        <v>48540000</v>
      </c>
      <c r="N65" s="178">
        <v>48540000</v>
      </c>
      <c r="O65" s="178">
        <v>48540000</v>
      </c>
      <c r="P65" s="178">
        <v>48540000</v>
      </c>
      <c r="Q65" s="178">
        <v>48540000</v>
      </c>
      <c r="R65" s="178">
        <v>48540000</v>
      </c>
      <c r="S65" s="7">
        <f>SUM(G65,H65,I65,J65,K65,L65,M65,N65,O65,P65,Q65,R65)</f>
        <v>582480000</v>
      </c>
      <c r="T65" s="179"/>
      <c r="U65" s="178">
        <v>48540000</v>
      </c>
      <c r="V65" s="178">
        <v>48540000</v>
      </c>
      <c r="W65" s="178">
        <v>48540000</v>
      </c>
      <c r="X65" s="178">
        <v>48540000</v>
      </c>
      <c r="Y65" s="178">
        <v>48540000</v>
      </c>
      <c r="Z65" s="178">
        <v>48540000</v>
      </c>
      <c r="AA65" s="178">
        <v>48540000</v>
      </c>
      <c r="AB65" s="178">
        <v>48540000</v>
      </c>
      <c r="AC65" s="178">
        <v>48540000</v>
      </c>
      <c r="AD65" s="178">
        <v>48540000</v>
      </c>
      <c r="AE65" s="178">
        <v>48540000</v>
      </c>
      <c r="AF65" s="178">
        <v>48540000</v>
      </c>
      <c r="AG65" s="518">
        <f>SUM(U65,V65,W65,X65,Y65,Z65,AA65,AB65,AC65,AD65,AE65,AF65)</f>
        <v>582480000</v>
      </c>
      <c r="AH65" s="788"/>
      <c r="AI65" s="789">
        <v>16920000</v>
      </c>
      <c r="AJ65" s="517">
        <v>16920000</v>
      </c>
      <c r="AK65" s="518">
        <v>39800000</v>
      </c>
      <c r="AL65" s="518">
        <v>39800000</v>
      </c>
      <c r="AM65" s="518">
        <v>39800000</v>
      </c>
      <c r="AN65" s="518">
        <v>39800000</v>
      </c>
      <c r="AO65" s="518">
        <v>39800000</v>
      </c>
      <c r="AP65" s="518">
        <v>39800000</v>
      </c>
      <c r="AQ65" s="518">
        <v>39800000</v>
      </c>
      <c r="AR65" s="759">
        <v>39800000</v>
      </c>
      <c r="AS65" s="759">
        <v>39800000</v>
      </c>
      <c r="AT65" s="759">
        <v>0</v>
      </c>
      <c r="AU65" s="518">
        <f t="shared" ref="AU65:AW66" si="25">BI65</f>
        <v>39800000</v>
      </c>
      <c r="AV65" s="518">
        <f t="shared" si="25"/>
        <v>39800000</v>
      </c>
      <c r="AW65" s="518">
        <f t="shared" si="25"/>
        <v>39800000</v>
      </c>
      <c r="AX65" s="518">
        <f>SUM(AI65,AJ65,AK65,AL65,AM65,AN65,AO65,AP65,AQ65,AR65,AS65,AT65)</f>
        <v>392040000</v>
      </c>
      <c r="AY65" s="788"/>
      <c r="AZ65" s="789">
        <v>16920000</v>
      </c>
      <c r="BA65" s="517">
        <v>16920000</v>
      </c>
      <c r="BB65" s="518">
        <v>39800000</v>
      </c>
      <c r="BC65" s="518">
        <v>39800000</v>
      </c>
      <c r="BD65" s="518">
        <v>39800000</v>
      </c>
      <c r="BE65" s="518">
        <v>39800000</v>
      </c>
      <c r="BF65" s="518">
        <v>39800000</v>
      </c>
      <c r="BG65" s="518">
        <f>AP65</f>
        <v>39800000</v>
      </c>
      <c r="BH65" s="518">
        <v>39800000</v>
      </c>
      <c r="BI65" s="518">
        <v>39800000</v>
      </c>
      <c r="BJ65" s="518">
        <v>39800000</v>
      </c>
      <c r="BK65" s="518">
        <v>39800000</v>
      </c>
      <c r="BL65" s="518">
        <f>SUM(AZ65,BA65,BB65,BC65,BD65,BE65,BF65,BG65,BH65,BI65,BJ65,BK65)</f>
        <v>431840000</v>
      </c>
      <c r="BN65" s="518">
        <v>39800000</v>
      </c>
      <c r="BO65" s="518">
        <v>39800000</v>
      </c>
      <c r="BP65" s="518">
        <v>39800000</v>
      </c>
      <c r="BQ65" s="518">
        <v>39800000</v>
      </c>
      <c r="BR65" s="518">
        <v>39800000</v>
      </c>
      <c r="BS65" s="518">
        <v>39800000</v>
      </c>
      <c r="BT65" s="518">
        <v>39800000</v>
      </c>
      <c r="BU65" s="518">
        <v>39800000</v>
      </c>
      <c r="BV65" s="518">
        <v>39800000</v>
      </c>
      <c r="BW65" s="518">
        <v>39800000</v>
      </c>
      <c r="BX65" s="518">
        <v>39800000</v>
      </c>
      <c r="BY65" s="518">
        <v>39800000</v>
      </c>
      <c r="BZ65" s="791">
        <v>477600000</v>
      </c>
      <c r="CB65" s="518">
        <v>39800000</v>
      </c>
      <c r="CC65" s="518">
        <v>39800000</v>
      </c>
      <c r="CD65" s="518">
        <v>39800000</v>
      </c>
      <c r="CE65" s="518">
        <v>39800000</v>
      </c>
      <c r="CF65" s="518">
        <v>39800000</v>
      </c>
      <c r="CG65" s="518">
        <v>39800000</v>
      </c>
      <c r="CH65" s="518">
        <v>39800000</v>
      </c>
      <c r="CI65" s="518">
        <v>39800000</v>
      </c>
      <c r="CJ65" s="518">
        <v>39800000</v>
      </c>
      <c r="CK65" s="518">
        <v>39800000</v>
      </c>
      <c r="CL65" s="518">
        <v>39800000</v>
      </c>
      <c r="CM65" s="518">
        <v>39800000</v>
      </c>
      <c r="CN65" s="791">
        <v>477600000</v>
      </c>
      <c r="CP65" s="647"/>
      <c r="CQ65" s="647"/>
      <c r="CR65" s="518"/>
      <c r="CS65" s="647"/>
      <c r="CT65" s="518"/>
      <c r="CU65" s="647"/>
      <c r="CV65" s="518"/>
      <c r="CW65" s="647"/>
      <c r="CX65" s="518"/>
      <c r="CY65" s="647"/>
      <c r="CZ65" s="518"/>
      <c r="DA65" s="647"/>
      <c r="DB65" s="518"/>
      <c r="DC65" s="647">
        <v>0</v>
      </c>
      <c r="DD65" s="518"/>
      <c r="DE65" s="518"/>
      <c r="DF65" s="518"/>
      <c r="DG65" s="748"/>
      <c r="DH65" s="518"/>
      <c r="DI65" s="518"/>
      <c r="DJ65" s="748"/>
      <c r="DK65" s="518"/>
      <c r="DL65" s="518"/>
      <c r="DM65" s="748"/>
      <c r="DN65" s="518"/>
      <c r="DO65" s="518"/>
      <c r="DP65" s="748"/>
      <c r="DQ65" s="493">
        <f t="shared" si="9"/>
        <v>0</v>
      </c>
      <c r="DR65" s="479">
        <f t="shared" si="18"/>
        <v>0</v>
      </c>
      <c r="DS65" s="1163"/>
      <c r="DT65" s="1163"/>
      <c r="DU65" s="1163"/>
      <c r="DV65" s="1163"/>
      <c r="DW65" s="1163"/>
      <c r="DX65" s="1163"/>
      <c r="DY65" s="1163"/>
      <c r="DZ65" s="1163"/>
      <c r="EA65" s="1163"/>
      <c r="EB65" s="1163"/>
      <c r="EC65" s="1163"/>
      <c r="ED65" s="1163"/>
      <c r="EE65" s="1119">
        <f t="shared" si="11"/>
        <v>0</v>
      </c>
      <c r="EF65" s="443">
        <f t="shared" si="20"/>
        <v>0</v>
      </c>
      <c r="EG65" s="355">
        <f t="shared" si="21"/>
        <v>0</v>
      </c>
      <c r="EH65" s="443">
        <f t="shared" si="14"/>
        <v>0</v>
      </c>
      <c r="EI65" s="443">
        <f t="shared" si="14"/>
        <v>0</v>
      </c>
      <c r="EJ65" s="367">
        <v>3000014458</v>
      </c>
    </row>
    <row r="66" spans="1:156" s="8" customFormat="1" ht="15.5" outlineLevel="2">
      <c r="A66" s="367" t="s">
        <v>43</v>
      </c>
      <c r="B66" s="378"/>
      <c r="C66" s="370" t="s">
        <v>358</v>
      </c>
      <c r="D66" s="370" t="s">
        <v>40</v>
      </c>
      <c r="E66" s="379" t="s">
        <v>399</v>
      </c>
      <c r="F66" s="380">
        <v>3000007227</v>
      </c>
      <c r="G66" s="178">
        <v>865975900</v>
      </c>
      <c r="H66" s="178">
        <v>361273025</v>
      </c>
      <c r="I66" s="178">
        <v>719138991</v>
      </c>
      <c r="J66" s="178">
        <v>840424087</v>
      </c>
      <c r="K66" s="178">
        <v>691986946</v>
      </c>
      <c r="L66" s="178">
        <v>613922891</v>
      </c>
      <c r="M66" s="178">
        <v>880930524</v>
      </c>
      <c r="N66" s="178">
        <v>801259502</v>
      </c>
      <c r="O66" s="178">
        <v>1130190813</v>
      </c>
      <c r="P66" s="178">
        <v>851035072</v>
      </c>
      <c r="Q66" s="178">
        <v>958441344</v>
      </c>
      <c r="R66" s="178">
        <v>718043891</v>
      </c>
      <c r="S66" s="7">
        <f t="shared" si="4"/>
        <v>9432622986</v>
      </c>
      <c r="T66" s="179"/>
      <c r="U66" s="178">
        <v>839148416</v>
      </c>
      <c r="V66" s="178">
        <v>858357696</v>
      </c>
      <c r="W66" s="178">
        <v>706104768</v>
      </c>
      <c r="X66" s="178">
        <v>601048576</v>
      </c>
      <c r="Y66" s="178">
        <v>500157632</v>
      </c>
      <c r="Z66" s="178">
        <v>544834368</v>
      </c>
      <c r="AA66" s="178">
        <v>803187712</v>
      </c>
      <c r="AB66" s="178">
        <v>742202624</v>
      </c>
      <c r="AC66" s="178">
        <v>703583552</v>
      </c>
      <c r="AD66" s="178">
        <v>734551552</v>
      </c>
      <c r="AE66" s="178">
        <v>661335168</v>
      </c>
      <c r="AF66" s="178">
        <v>608759514</v>
      </c>
      <c r="AG66" s="518">
        <f t="shared" si="5"/>
        <v>8303271578</v>
      </c>
      <c r="AH66" s="788"/>
      <c r="AI66" s="789">
        <v>729172736</v>
      </c>
      <c r="AJ66" s="795">
        <v>652145344</v>
      </c>
      <c r="AK66" s="518">
        <v>652005248</v>
      </c>
      <c r="AL66" s="518">
        <v>237811520</v>
      </c>
      <c r="AM66" s="518">
        <v>-17344</v>
      </c>
      <c r="AN66" s="518">
        <v>0</v>
      </c>
      <c r="AO66" s="518">
        <v>0</v>
      </c>
      <c r="AP66" s="518">
        <v>0</v>
      </c>
      <c r="AQ66" s="518">
        <v>0</v>
      </c>
      <c r="AR66" s="518"/>
      <c r="AS66" s="518"/>
      <c r="AT66" s="518"/>
      <c r="AU66" s="518">
        <f t="shared" si="25"/>
        <v>0</v>
      </c>
      <c r="AV66" s="518">
        <f t="shared" si="25"/>
        <v>0</v>
      </c>
      <c r="AW66" s="518">
        <f t="shared" si="25"/>
        <v>0</v>
      </c>
      <c r="AX66" s="518">
        <f t="shared" si="6"/>
        <v>2271117504</v>
      </c>
      <c r="AY66" s="788"/>
      <c r="AZ66" s="789">
        <v>729172736</v>
      </c>
      <c r="BA66" s="795">
        <v>652145344</v>
      </c>
      <c r="BB66" s="518">
        <v>652005248</v>
      </c>
      <c r="BC66" s="518">
        <v>237811520</v>
      </c>
      <c r="BD66" s="518">
        <v>-17344</v>
      </c>
      <c r="BE66" s="518">
        <v>0</v>
      </c>
      <c r="BF66" s="518">
        <v>0</v>
      </c>
      <c r="BG66" s="518">
        <f t="shared" si="15"/>
        <v>0</v>
      </c>
      <c r="BH66" s="518">
        <v>0</v>
      </c>
      <c r="BI66" s="518">
        <v>0</v>
      </c>
      <c r="BJ66" s="518">
        <v>0</v>
      </c>
      <c r="BK66" s="518">
        <v>0</v>
      </c>
      <c r="BL66" s="518">
        <f t="shared" si="8"/>
        <v>2271117504</v>
      </c>
      <c r="BM66" s="3"/>
      <c r="BN66" s="518">
        <v>0</v>
      </c>
      <c r="BO66" s="518">
        <v>0</v>
      </c>
      <c r="BP66" s="518">
        <v>0</v>
      </c>
      <c r="BQ66" s="518">
        <v>0</v>
      </c>
      <c r="BR66" s="518">
        <v>0</v>
      </c>
      <c r="BS66" s="518">
        <v>0</v>
      </c>
      <c r="BT66" s="518">
        <v>0</v>
      </c>
      <c r="BU66" s="518">
        <v>0</v>
      </c>
      <c r="BV66" s="518">
        <v>0</v>
      </c>
      <c r="BW66" s="518">
        <v>0</v>
      </c>
      <c r="BX66" s="518">
        <v>0</v>
      </c>
      <c r="BY66" s="518">
        <v>0</v>
      </c>
      <c r="BZ66" s="791">
        <v>0</v>
      </c>
      <c r="CA66" s="3"/>
      <c r="CB66" s="518">
        <v>0</v>
      </c>
      <c r="CC66" s="518">
        <v>0</v>
      </c>
      <c r="CD66" s="518">
        <v>0</v>
      </c>
      <c r="CE66" s="518">
        <v>0</v>
      </c>
      <c r="CF66" s="518">
        <v>0</v>
      </c>
      <c r="CG66" s="518">
        <v>0</v>
      </c>
      <c r="CH66" s="518">
        <v>0</v>
      </c>
      <c r="CI66" s="518">
        <v>0</v>
      </c>
      <c r="CJ66" s="518">
        <v>0</v>
      </c>
      <c r="CK66" s="518">
        <v>0</v>
      </c>
      <c r="CL66" s="518">
        <v>0</v>
      </c>
      <c r="CM66" s="518">
        <v>0</v>
      </c>
      <c r="CN66" s="791">
        <v>0</v>
      </c>
      <c r="CO66" s="3"/>
      <c r="CP66" s="647"/>
      <c r="CQ66" s="647"/>
      <c r="CR66" s="518"/>
      <c r="CS66" s="647"/>
      <c r="CT66" s="518"/>
      <c r="CU66" s="647"/>
      <c r="CV66" s="518"/>
      <c r="CW66" s="647"/>
      <c r="CX66" s="518"/>
      <c r="CY66" s="647"/>
      <c r="CZ66" s="518"/>
      <c r="DA66" s="647"/>
      <c r="DB66" s="518"/>
      <c r="DC66" s="647">
        <v>0</v>
      </c>
      <c r="DD66" s="518"/>
      <c r="DE66" s="518"/>
      <c r="DF66" s="518"/>
      <c r="DG66" s="748"/>
      <c r="DH66" s="518"/>
      <c r="DI66" s="518"/>
      <c r="DJ66" s="748"/>
      <c r="DK66" s="518"/>
      <c r="DL66" s="518"/>
      <c r="DM66" s="748"/>
      <c r="DN66" s="518"/>
      <c r="DO66" s="518"/>
      <c r="DP66" s="748"/>
      <c r="DQ66" s="493">
        <f t="shared" si="9"/>
        <v>0</v>
      </c>
      <c r="DR66" s="479">
        <f t="shared" si="18"/>
        <v>0</v>
      </c>
      <c r="DS66" s="1163"/>
      <c r="DT66" s="1163"/>
      <c r="DU66" s="1163"/>
      <c r="DV66" s="1163"/>
      <c r="DW66" s="1163"/>
      <c r="DX66" s="1163"/>
      <c r="DY66" s="1163"/>
      <c r="DZ66" s="1163"/>
      <c r="EA66" s="1163"/>
      <c r="EB66" s="1163"/>
      <c r="EC66" s="1163"/>
      <c r="ED66" s="1163"/>
      <c r="EE66" s="1119">
        <f t="shared" si="11"/>
        <v>0</v>
      </c>
      <c r="EF66" s="443">
        <f t="shared" si="20"/>
        <v>0</v>
      </c>
      <c r="EG66" s="355">
        <f t="shared" si="21"/>
        <v>0</v>
      </c>
      <c r="EH66" s="443">
        <f t="shared" si="14"/>
        <v>0</v>
      </c>
      <c r="EI66" s="443">
        <f t="shared" si="14"/>
        <v>0</v>
      </c>
      <c r="EJ66" s="367">
        <v>3000007227</v>
      </c>
      <c r="EK66" s="367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</row>
    <row r="67" spans="1:156" ht="15.5" outlineLevel="2">
      <c r="A67" s="367" t="s">
        <v>39</v>
      </c>
      <c r="B67" s="378"/>
      <c r="C67" s="370" t="s">
        <v>358</v>
      </c>
      <c r="D67" s="370" t="s">
        <v>40</v>
      </c>
      <c r="E67" s="383" t="s">
        <v>400</v>
      </c>
      <c r="F67" s="380">
        <v>3000020533</v>
      </c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7"/>
      <c r="T67" s="179"/>
      <c r="U67" s="178"/>
      <c r="V67" s="9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518"/>
      <c r="AH67" s="788"/>
      <c r="AI67" s="789"/>
      <c r="AJ67" s="517"/>
      <c r="AK67" s="518"/>
      <c r="AL67" s="518"/>
      <c r="AM67" s="518"/>
      <c r="AN67" s="518"/>
      <c r="AO67" s="518"/>
      <c r="AP67" s="518"/>
      <c r="AQ67" s="518"/>
      <c r="AR67" s="518"/>
      <c r="AS67" s="518"/>
      <c r="AT67" s="518">
        <v>20600000</v>
      </c>
      <c r="AU67" s="518"/>
      <c r="AV67" s="518"/>
      <c r="AW67" s="518"/>
      <c r="AX67" s="518">
        <f>SUM(AI67,AJ67,AK67,AL67,AM67,AN67,AO67,AP67,AQ67,AR67,AS67,AT67)</f>
        <v>20600000</v>
      </c>
      <c r="AY67" s="788"/>
      <c r="AZ67" s="789"/>
      <c r="BA67" s="517"/>
      <c r="BB67" s="518"/>
      <c r="BC67" s="518"/>
      <c r="BD67" s="518"/>
      <c r="BE67" s="518"/>
      <c r="BF67" s="518"/>
      <c r="BG67" s="518"/>
      <c r="BH67" s="518"/>
      <c r="BI67" s="518"/>
      <c r="BJ67" s="518"/>
      <c r="BK67" s="518"/>
      <c r="BL67" s="518"/>
      <c r="BN67" s="516"/>
      <c r="BO67" s="517"/>
      <c r="BP67" s="518"/>
      <c r="BQ67" s="518"/>
      <c r="BR67" s="518"/>
      <c r="BS67" s="518"/>
      <c r="BT67" s="518"/>
      <c r="BU67" s="518"/>
      <c r="BV67" s="518"/>
      <c r="BW67" s="518"/>
      <c r="BX67" s="518"/>
      <c r="BY67" s="518"/>
      <c r="BZ67" s="791">
        <v>0</v>
      </c>
      <c r="CB67" s="516"/>
      <c r="CC67" s="517"/>
      <c r="CD67" s="518"/>
      <c r="CE67" s="518"/>
      <c r="CF67" s="518"/>
      <c r="CG67" s="518"/>
      <c r="CH67" s="518"/>
      <c r="CI67" s="518"/>
      <c r="CJ67" s="518"/>
      <c r="CK67" s="518"/>
      <c r="CL67" s="518"/>
      <c r="CM67" s="518"/>
      <c r="CN67" s="791">
        <v>0</v>
      </c>
      <c r="CP67" s="647">
        <v>20600000</v>
      </c>
      <c r="CQ67" s="647">
        <v>20600000</v>
      </c>
      <c r="CR67" s="518">
        <v>20600000</v>
      </c>
      <c r="CS67" s="647">
        <v>5100000</v>
      </c>
      <c r="CT67" s="518">
        <v>20600000</v>
      </c>
      <c r="CU67" s="647">
        <v>5100000</v>
      </c>
      <c r="CV67" s="518">
        <v>20600000</v>
      </c>
      <c r="CW67" s="647">
        <v>12850000</v>
      </c>
      <c r="CX67" s="518">
        <v>20600000</v>
      </c>
      <c r="CY67" s="647">
        <v>12850000</v>
      </c>
      <c r="CZ67" s="518">
        <v>20600000</v>
      </c>
      <c r="DA67" s="647">
        <v>12850000</v>
      </c>
      <c r="DB67" s="518">
        <v>20600000</v>
      </c>
      <c r="DC67" s="647">
        <v>12850000</v>
      </c>
      <c r="DD67" s="518">
        <v>20600000</v>
      </c>
      <c r="DE67" s="518"/>
      <c r="DF67" s="518">
        <v>20600000</v>
      </c>
      <c r="DG67" s="748">
        <v>20000000</v>
      </c>
      <c r="DH67" s="518"/>
      <c r="DI67" s="518">
        <v>20600000</v>
      </c>
      <c r="DJ67" s="748">
        <v>20000000</v>
      </c>
      <c r="DK67" s="518"/>
      <c r="DL67" s="518">
        <v>20600000</v>
      </c>
      <c r="DM67" s="748">
        <v>20000000</v>
      </c>
      <c r="DN67" s="518"/>
      <c r="DO67" s="518">
        <v>20600000</v>
      </c>
      <c r="DP67" s="748">
        <v>20000000</v>
      </c>
      <c r="DQ67" s="493">
        <f t="shared" si="9"/>
        <v>185200000</v>
      </c>
      <c r="DR67" s="479">
        <f t="shared" si="18"/>
        <v>213800000</v>
      </c>
      <c r="DS67" s="1163">
        <v>12850000</v>
      </c>
      <c r="DT67" s="1163">
        <v>12850000</v>
      </c>
      <c r="DU67" s="1163">
        <v>12850000</v>
      </c>
      <c r="DV67" s="1163">
        <v>12850000</v>
      </c>
      <c r="DW67" s="1163">
        <v>12850000</v>
      </c>
      <c r="DX67" s="1163">
        <v>12850000</v>
      </c>
      <c r="DY67" s="1163">
        <v>12850000</v>
      </c>
      <c r="DZ67" s="1163">
        <v>12850000</v>
      </c>
      <c r="EA67" s="1163">
        <v>12850000</v>
      </c>
      <c r="EB67" s="1163">
        <v>12850000</v>
      </c>
      <c r="EC67" s="1163">
        <v>12850000</v>
      </c>
      <c r="ED67" s="1163">
        <v>12850000</v>
      </c>
      <c r="EE67" s="1119">
        <f t="shared" si="11"/>
        <v>154200000</v>
      </c>
      <c r="EF67" s="355">
        <f>SUM(DT67,DU67,DV67,DW67,DX67,DY67,DZ67,EA67,EB67,EC67,ED67,EE67)</f>
        <v>295550000</v>
      </c>
      <c r="EG67" s="355">
        <f t="shared" si="21"/>
        <v>319194000</v>
      </c>
      <c r="EH67" s="443">
        <f t="shared" si="14"/>
        <v>347921460</v>
      </c>
      <c r="EI67" s="443">
        <f t="shared" si="14"/>
        <v>379234391.40000004</v>
      </c>
    </row>
    <row r="68" spans="1:156" ht="15.5" outlineLevel="2">
      <c r="A68" s="367" t="s">
        <v>39</v>
      </c>
      <c r="B68" s="378"/>
      <c r="C68" s="370" t="s">
        <v>358</v>
      </c>
      <c r="D68" s="370" t="s">
        <v>40</v>
      </c>
      <c r="E68" s="379" t="s">
        <v>114</v>
      </c>
      <c r="F68" s="380">
        <v>3000019518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7">
        <f>SUM(G68,H68,I68,J68,K68,L68,M68,N68,O68,P68,Q68,R68)</f>
        <v>0</v>
      </c>
      <c r="T68" s="179"/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518">
        <f>SUM(U68,V68,W68,X68,Y68,Z68,AA68,AB68,AC68,AD68,AE68,AF68)</f>
        <v>0</v>
      </c>
      <c r="AH68" s="788"/>
      <c r="AI68" s="789"/>
      <c r="AJ68" s="517"/>
      <c r="AK68" s="518"/>
      <c r="AL68" s="518">
        <v>15750000</v>
      </c>
      <c r="AM68" s="518">
        <v>24100000</v>
      </c>
      <c r="AN68" s="518">
        <v>43025000</v>
      </c>
      <c r="AO68" s="518">
        <v>42250000</v>
      </c>
      <c r="AP68" s="518">
        <v>27350000</v>
      </c>
      <c r="AQ68" s="518">
        <v>58000000</v>
      </c>
      <c r="AR68" s="759">
        <v>45325000</v>
      </c>
      <c r="AS68" s="759">
        <v>5150000</v>
      </c>
      <c r="AT68" s="759">
        <v>19400000</v>
      </c>
      <c r="AU68" s="518">
        <f>BI68</f>
        <v>50000000</v>
      </c>
      <c r="AV68" s="518">
        <f>BJ68</f>
        <v>50000000</v>
      </c>
      <c r="AW68" s="518">
        <f>BK68</f>
        <v>50000000</v>
      </c>
      <c r="AX68" s="518">
        <f>SUM(AI68,AJ68,AK68,AL68,AM68,AN68,AO68,AP68,AQ68,AR68,AS68,AT68)</f>
        <v>280350000</v>
      </c>
      <c r="AY68" s="788"/>
      <c r="AZ68" s="789"/>
      <c r="BA68" s="517"/>
      <c r="BB68" s="518"/>
      <c r="BC68" s="518">
        <v>15750000</v>
      </c>
      <c r="BD68" s="518">
        <v>24100000</v>
      </c>
      <c r="BE68" s="518">
        <v>43025000</v>
      </c>
      <c r="BF68" s="518">
        <v>42250000</v>
      </c>
      <c r="BG68" s="518">
        <f>AP68</f>
        <v>27350000</v>
      </c>
      <c r="BH68" s="518">
        <v>50000000</v>
      </c>
      <c r="BI68" s="518">
        <v>50000000</v>
      </c>
      <c r="BJ68" s="518">
        <v>50000000</v>
      </c>
      <c r="BK68" s="518">
        <v>50000000</v>
      </c>
      <c r="BL68" s="518">
        <f>SUM(AZ68,BA68,BB68,BC68,BD68,BE68,BF68,BG68,BH68,BI68,BJ68,BK68)</f>
        <v>352475000</v>
      </c>
      <c r="BN68" s="518">
        <v>50000000</v>
      </c>
      <c r="BO68" s="518">
        <v>50000000</v>
      </c>
      <c r="BP68" s="518">
        <v>50000000</v>
      </c>
      <c r="BQ68" s="518">
        <v>50000000</v>
      </c>
      <c r="BR68" s="518">
        <v>40000000</v>
      </c>
      <c r="BS68" s="518">
        <v>40000000</v>
      </c>
      <c r="BT68" s="518">
        <v>100000000</v>
      </c>
      <c r="BU68" s="518">
        <v>100000000</v>
      </c>
      <c r="BV68" s="518">
        <v>100000000</v>
      </c>
      <c r="BW68" s="518">
        <v>100000000</v>
      </c>
      <c r="BX68" s="518">
        <v>100000000</v>
      </c>
      <c r="BY68" s="518">
        <v>100000000</v>
      </c>
      <c r="BZ68" s="791">
        <v>880000000</v>
      </c>
      <c r="CB68" s="518">
        <v>50000000</v>
      </c>
      <c r="CC68" s="518">
        <v>50000000</v>
      </c>
      <c r="CD68" s="518">
        <v>50000000</v>
      </c>
      <c r="CE68" s="518">
        <v>50000000</v>
      </c>
      <c r="CF68" s="518">
        <v>40000000</v>
      </c>
      <c r="CG68" s="518">
        <v>40000000</v>
      </c>
      <c r="CH68" s="518">
        <v>100000000</v>
      </c>
      <c r="CI68" s="518">
        <v>100000000</v>
      </c>
      <c r="CJ68" s="518">
        <v>100000000</v>
      </c>
      <c r="CK68" s="518">
        <v>100000000</v>
      </c>
      <c r="CL68" s="518">
        <v>100000000</v>
      </c>
      <c r="CM68" s="518">
        <v>100000000</v>
      </c>
      <c r="CN68" s="791">
        <v>880000000</v>
      </c>
      <c r="CP68" s="647">
        <v>6000000</v>
      </c>
      <c r="CQ68" s="647">
        <v>43700000</v>
      </c>
      <c r="CR68" s="518">
        <v>10000000</v>
      </c>
      <c r="CS68" s="647">
        <v>32600000</v>
      </c>
      <c r="CT68" s="518">
        <v>50000000</v>
      </c>
      <c r="CU68" s="647">
        <v>11150000</v>
      </c>
      <c r="CV68" s="518">
        <v>50000000</v>
      </c>
      <c r="CW68" s="647">
        <v>15450000</v>
      </c>
      <c r="CX68" s="518">
        <v>50000000</v>
      </c>
      <c r="CY68" s="647">
        <v>27250000</v>
      </c>
      <c r="CZ68" s="518">
        <v>50000000</v>
      </c>
      <c r="DA68" s="647">
        <v>36700000</v>
      </c>
      <c r="DB68" s="518">
        <v>50000000</v>
      </c>
      <c r="DC68" s="647">
        <v>39300000</v>
      </c>
      <c r="DD68" s="518">
        <v>50000000</v>
      </c>
      <c r="DE68" s="518"/>
      <c r="DF68" s="518">
        <v>50000000</v>
      </c>
      <c r="DG68" s="748">
        <v>50000000</v>
      </c>
      <c r="DH68" s="518"/>
      <c r="DI68" s="518">
        <v>50000000</v>
      </c>
      <c r="DJ68" s="748">
        <v>50000000</v>
      </c>
      <c r="DK68" s="518"/>
      <c r="DL68" s="518">
        <v>50000000</v>
      </c>
      <c r="DM68" s="748">
        <v>50000000</v>
      </c>
      <c r="DN68" s="518"/>
      <c r="DO68" s="518">
        <v>50000000</v>
      </c>
      <c r="DP68" s="748">
        <v>50000000</v>
      </c>
      <c r="DQ68" s="493">
        <f t="shared" si="9"/>
        <v>412150000</v>
      </c>
      <c r="DR68" s="479">
        <f t="shared" si="18"/>
        <v>493450000</v>
      </c>
      <c r="DS68" s="1163">
        <v>50000000</v>
      </c>
      <c r="DT68" s="1163">
        <v>50000000</v>
      </c>
      <c r="DU68" s="1163">
        <v>50000000</v>
      </c>
      <c r="DV68" s="1163">
        <v>50000000</v>
      </c>
      <c r="DW68" s="1163">
        <v>40000000</v>
      </c>
      <c r="DX68" s="1163">
        <v>100000000</v>
      </c>
      <c r="DY68" s="1163">
        <v>100000000</v>
      </c>
      <c r="DZ68" s="1163">
        <v>100000000</v>
      </c>
      <c r="EA68" s="1163">
        <v>100000000</v>
      </c>
      <c r="EB68" s="1163">
        <v>100000000</v>
      </c>
      <c r="EC68" s="1163">
        <v>100000000</v>
      </c>
      <c r="ED68" s="1163">
        <v>100000000</v>
      </c>
      <c r="EE68" s="1119">
        <f t="shared" si="11"/>
        <v>940000000</v>
      </c>
      <c r="EF68" s="443">
        <f t="shared" si="20"/>
        <v>1099800000</v>
      </c>
      <c r="EG68" s="355">
        <f t="shared" si="21"/>
        <v>1187784000</v>
      </c>
      <c r="EH68" s="443">
        <f t="shared" si="14"/>
        <v>1294684560</v>
      </c>
      <c r="EI68" s="443">
        <f t="shared" si="14"/>
        <v>1411206170.4000001</v>
      </c>
      <c r="EJ68" s="367">
        <v>3000019518</v>
      </c>
    </row>
    <row r="69" spans="1:156" ht="15.5" outlineLevel="2">
      <c r="A69" s="367" t="s">
        <v>43</v>
      </c>
      <c r="B69" s="378"/>
      <c r="C69" s="370" t="s">
        <v>358</v>
      </c>
      <c r="D69" s="370" t="s">
        <v>40</v>
      </c>
      <c r="E69" s="388" t="s">
        <v>401</v>
      </c>
      <c r="F69" s="380">
        <v>3000019399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7">
        <f t="shared" si="4"/>
        <v>0</v>
      </c>
      <c r="T69" s="179"/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518">
        <f t="shared" si="5"/>
        <v>0</v>
      </c>
      <c r="AH69" s="788"/>
      <c r="AI69" s="789"/>
      <c r="AJ69" s="795">
        <v>256100000</v>
      </c>
      <c r="AK69" s="518">
        <v>38400000</v>
      </c>
      <c r="AL69" s="518">
        <v>0</v>
      </c>
      <c r="AM69" s="518">
        <v>0</v>
      </c>
      <c r="AN69" s="518">
        <v>0</v>
      </c>
      <c r="AO69" s="518">
        <v>0</v>
      </c>
      <c r="AP69" s="518">
        <v>0</v>
      </c>
      <c r="AQ69" s="518">
        <v>0</v>
      </c>
      <c r="AR69" s="518"/>
      <c r="AS69" s="518"/>
      <c r="AT69" s="518"/>
      <c r="AU69" s="794">
        <v>0</v>
      </c>
      <c r="AV69" s="794">
        <v>0</v>
      </c>
      <c r="AW69" s="518">
        <f>BK69</f>
        <v>0</v>
      </c>
      <c r="AX69" s="518">
        <f t="shared" si="6"/>
        <v>294500000</v>
      </c>
      <c r="AY69" s="788"/>
      <c r="AZ69" s="789"/>
      <c r="BA69" s="795">
        <v>256100000</v>
      </c>
      <c r="BB69" s="518">
        <v>38400000</v>
      </c>
      <c r="BC69" s="518">
        <v>0</v>
      </c>
      <c r="BD69" s="518">
        <v>0</v>
      </c>
      <c r="BE69" s="518">
        <v>0</v>
      </c>
      <c r="BF69" s="518">
        <v>0</v>
      </c>
      <c r="BG69" s="518">
        <f t="shared" si="15"/>
        <v>0</v>
      </c>
      <c r="BH69" s="518">
        <v>50000000</v>
      </c>
      <c r="BI69" s="518">
        <v>50000000</v>
      </c>
      <c r="BJ69" s="518">
        <v>50000000</v>
      </c>
      <c r="BK69" s="518">
        <v>0</v>
      </c>
      <c r="BL69" s="518">
        <f t="shared" si="8"/>
        <v>444500000</v>
      </c>
      <c r="BN69" s="518"/>
      <c r="BO69" s="518"/>
      <c r="BP69" s="518"/>
      <c r="BQ69" s="518"/>
      <c r="BR69" s="518"/>
      <c r="BS69" s="518"/>
      <c r="BT69" s="518"/>
      <c r="BU69" s="518"/>
      <c r="BV69" s="518"/>
      <c r="BW69" s="518"/>
      <c r="BX69" s="518"/>
      <c r="BY69" s="518"/>
      <c r="BZ69" s="791">
        <v>0</v>
      </c>
      <c r="CB69" s="518"/>
      <c r="CC69" s="518"/>
      <c r="CD69" s="518"/>
      <c r="CE69" s="518"/>
      <c r="CF69" s="518"/>
      <c r="CG69" s="518"/>
      <c r="CH69" s="518"/>
      <c r="CI69" s="518"/>
      <c r="CJ69" s="518"/>
      <c r="CK69" s="518"/>
      <c r="CL69" s="518"/>
      <c r="CM69" s="518"/>
      <c r="CN69" s="791">
        <v>0</v>
      </c>
      <c r="CP69" s="647"/>
      <c r="CQ69" s="647">
        <v>6600000</v>
      </c>
      <c r="CR69" s="518"/>
      <c r="CS69" s="647"/>
      <c r="CT69" s="518"/>
      <c r="CU69" s="647"/>
      <c r="CV69" s="518"/>
      <c r="CW69" s="647"/>
      <c r="CX69" s="518"/>
      <c r="CY69" s="647"/>
      <c r="CZ69" s="518"/>
      <c r="DA69" s="647"/>
      <c r="DB69" s="518"/>
      <c r="DC69" s="647">
        <v>0</v>
      </c>
      <c r="DD69" s="518"/>
      <c r="DE69" s="518"/>
      <c r="DF69" s="518"/>
      <c r="DG69" s="748"/>
      <c r="DH69" s="518"/>
      <c r="DI69" s="518"/>
      <c r="DJ69" s="748"/>
      <c r="DK69" s="518"/>
      <c r="DL69" s="518"/>
      <c r="DM69" s="748"/>
      <c r="DN69" s="518"/>
      <c r="DO69" s="518"/>
      <c r="DP69" s="748"/>
      <c r="DQ69" s="493">
        <f t="shared" si="9"/>
        <v>6600000</v>
      </c>
      <c r="DR69" s="479">
        <f t="shared" si="18"/>
        <v>6600000</v>
      </c>
      <c r="DS69" s="1163"/>
      <c r="DT69" s="1163"/>
      <c r="DU69" s="1163"/>
      <c r="DV69" s="1163"/>
      <c r="DW69" s="1163"/>
      <c r="DX69" s="1163"/>
      <c r="DY69" s="1163"/>
      <c r="DZ69" s="1163"/>
      <c r="EA69" s="1163"/>
      <c r="EB69" s="1163"/>
      <c r="EC69" s="1163"/>
      <c r="ED69" s="1163"/>
      <c r="EE69" s="1119">
        <f t="shared" si="11"/>
        <v>0</v>
      </c>
      <c r="EF69" s="443">
        <f t="shared" si="20"/>
        <v>0</v>
      </c>
      <c r="EG69" s="355">
        <f t="shared" si="21"/>
        <v>0</v>
      </c>
      <c r="EH69" s="443">
        <f t="shared" si="14"/>
        <v>0</v>
      </c>
      <c r="EI69" s="443">
        <f t="shared" si="14"/>
        <v>0</v>
      </c>
      <c r="EJ69" s="367">
        <v>3000019399</v>
      </c>
    </row>
    <row r="70" spans="1:156" ht="15.5" outlineLevel="2">
      <c r="A70" s="377" t="s">
        <v>59</v>
      </c>
      <c r="B70" s="378"/>
      <c r="C70" s="370" t="s">
        <v>358</v>
      </c>
      <c r="D70" s="370" t="s">
        <v>40</v>
      </c>
      <c r="E70" s="379" t="s">
        <v>72</v>
      </c>
      <c r="F70" s="380">
        <v>3000020093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7">
        <f>SUM(G70,H70,I70,J70,K70,L70,M70,N70,O70,P70,Q70,R70)</f>
        <v>0</v>
      </c>
      <c r="T70" s="179"/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518">
        <f>SUM(U70,V70,W70,X70,Y70,Z70,AA70,AB70,AC70,AD70,AE70,AF70)</f>
        <v>0</v>
      </c>
      <c r="AH70" s="788"/>
      <c r="AI70" s="789"/>
      <c r="AJ70" s="790"/>
      <c r="AK70" s="518"/>
      <c r="AL70" s="518"/>
      <c r="AM70" s="518"/>
      <c r="AN70" s="518"/>
      <c r="AO70" s="518"/>
      <c r="AP70" s="518"/>
      <c r="AQ70" s="518">
        <v>0</v>
      </c>
      <c r="AR70" s="759">
        <v>1860000</v>
      </c>
      <c r="AS70" s="759">
        <v>2125000</v>
      </c>
      <c r="AT70" s="759">
        <v>1360000</v>
      </c>
      <c r="AU70" s="518">
        <v>4000000</v>
      </c>
      <c r="AV70" s="518">
        <v>4000000</v>
      </c>
      <c r="AW70" s="518">
        <v>4000000</v>
      </c>
      <c r="AX70" s="518">
        <f>SUM(AI70,AJ70,AK70,AL70,AM70,AN70,AO70,AP70,AQ70,AR70,AS70,AT70)</f>
        <v>5345000</v>
      </c>
      <c r="AY70" s="788"/>
      <c r="AZ70" s="789"/>
      <c r="BA70" s="790"/>
      <c r="BB70" s="518"/>
      <c r="BC70" s="518"/>
      <c r="BD70" s="518"/>
      <c r="BE70" s="518"/>
      <c r="BF70" s="518"/>
      <c r="BG70" s="518">
        <f>AP70</f>
        <v>0</v>
      </c>
      <c r="BH70" s="518">
        <v>30000000</v>
      </c>
      <c r="BI70" s="518">
        <v>30000000</v>
      </c>
      <c r="BJ70" s="518">
        <v>30000000</v>
      </c>
      <c r="BK70" s="518">
        <v>30000000</v>
      </c>
      <c r="BL70" s="518">
        <f>SUM(AZ70,BA70,BB70,BC70,BD70,BE70,BF70,BG70,BH70,BI70,BJ70,BK70)</f>
        <v>120000000</v>
      </c>
      <c r="BN70" s="516">
        <v>30000000</v>
      </c>
      <c r="BO70" s="517">
        <v>30000000</v>
      </c>
      <c r="BP70" s="518">
        <v>50000000</v>
      </c>
      <c r="BQ70" s="518">
        <v>50000000</v>
      </c>
      <c r="BR70" s="518">
        <v>30000000</v>
      </c>
      <c r="BS70" s="518">
        <v>30000000</v>
      </c>
      <c r="BT70" s="518">
        <v>50000000</v>
      </c>
      <c r="BU70" s="518">
        <v>50000000</v>
      </c>
      <c r="BV70" s="518">
        <v>50000000</v>
      </c>
      <c r="BW70" s="518">
        <v>50000000</v>
      </c>
      <c r="BX70" s="518">
        <v>50000000</v>
      </c>
      <c r="BY70" s="518">
        <v>50000000</v>
      </c>
      <c r="BZ70" s="791">
        <v>520000000</v>
      </c>
      <c r="CB70" s="516">
        <v>30000000</v>
      </c>
      <c r="CC70" s="517">
        <v>30000000</v>
      </c>
      <c r="CD70" s="518">
        <v>50000000</v>
      </c>
      <c r="CE70" s="518">
        <v>50000000</v>
      </c>
      <c r="CF70" s="518">
        <v>30000000</v>
      </c>
      <c r="CG70" s="518">
        <v>30000000</v>
      </c>
      <c r="CH70" s="518">
        <v>50000000</v>
      </c>
      <c r="CI70" s="518">
        <v>50000000</v>
      </c>
      <c r="CJ70" s="518">
        <v>50000000</v>
      </c>
      <c r="CK70" s="518">
        <v>50000000</v>
      </c>
      <c r="CL70" s="518">
        <v>50000000</v>
      </c>
      <c r="CM70" s="518">
        <v>50000000</v>
      </c>
      <c r="CN70" s="791">
        <v>520000000</v>
      </c>
      <c r="CP70" s="648">
        <v>2240000</v>
      </c>
      <c r="CQ70" s="648">
        <v>560000</v>
      </c>
      <c r="CR70" s="519">
        <v>2240000</v>
      </c>
      <c r="CS70" s="648">
        <v>1240000</v>
      </c>
      <c r="CT70" s="519">
        <v>2240000</v>
      </c>
      <c r="CU70" s="648">
        <v>2620000</v>
      </c>
      <c r="CV70" s="519">
        <v>2240000</v>
      </c>
      <c r="CW70" s="648">
        <v>620000</v>
      </c>
      <c r="CX70" s="519">
        <v>2240000</v>
      </c>
      <c r="CY70" s="648">
        <v>1740000</v>
      </c>
      <c r="CZ70" s="519">
        <v>2240000</v>
      </c>
      <c r="DA70" s="648">
        <v>1120000</v>
      </c>
      <c r="DB70" s="519">
        <v>2240000</v>
      </c>
      <c r="DC70" s="648">
        <v>1820000</v>
      </c>
      <c r="DD70" s="519">
        <v>2240000</v>
      </c>
      <c r="DE70" s="518"/>
      <c r="DF70" s="519">
        <v>2240000</v>
      </c>
      <c r="DG70" s="749">
        <v>3000000</v>
      </c>
      <c r="DH70" s="518"/>
      <c r="DI70" s="519">
        <v>2240000</v>
      </c>
      <c r="DJ70" s="749">
        <v>3000000</v>
      </c>
      <c r="DK70" s="518"/>
      <c r="DL70" s="519">
        <v>2240000</v>
      </c>
      <c r="DM70" s="749">
        <v>3000000</v>
      </c>
      <c r="DN70" s="518"/>
      <c r="DO70" s="519">
        <v>2240000</v>
      </c>
      <c r="DP70" s="749">
        <v>3000000</v>
      </c>
      <c r="DQ70" s="493">
        <f t="shared" si="9"/>
        <v>20920000</v>
      </c>
      <c r="DR70" s="479">
        <f t="shared" si="18"/>
        <v>27620000</v>
      </c>
      <c r="DS70" s="1162">
        <v>2000000</v>
      </c>
      <c r="DT70" s="1162">
        <v>2000000</v>
      </c>
      <c r="DU70" s="1162">
        <v>2000000</v>
      </c>
      <c r="DV70" s="1162">
        <v>2000000</v>
      </c>
      <c r="DW70" s="1162">
        <v>2000000</v>
      </c>
      <c r="DX70" s="1162">
        <v>2000000</v>
      </c>
      <c r="DY70" s="1162">
        <v>2000000</v>
      </c>
      <c r="DZ70" s="1162">
        <v>2000000</v>
      </c>
      <c r="EA70" s="1162">
        <v>2000000</v>
      </c>
      <c r="EB70" s="1162">
        <v>2000000</v>
      </c>
      <c r="EC70" s="1162">
        <v>2000000</v>
      </c>
      <c r="ED70" s="1162">
        <v>2000000</v>
      </c>
      <c r="EE70" s="1119">
        <f t="shared" si="11"/>
        <v>24000000</v>
      </c>
      <c r="EF70" s="443">
        <f t="shared" si="20"/>
        <v>28080000</v>
      </c>
      <c r="EG70" s="355">
        <f t="shared" si="21"/>
        <v>30326400.000000004</v>
      </c>
      <c r="EH70" s="443">
        <f t="shared" si="14"/>
        <v>33055776.000000007</v>
      </c>
      <c r="EI70" s="443">
        <f t="shared" si="14"/>
        <v>36030795.840000011</v>
      </c>
      <c r="EJ70" s="367">
        <v>3000020093</v>
      </c>
    </row>
    <row r="71" spans="1:156" ht="15.5" outlineLevel="2">
      <c r="A71" s="367" t="s">
        <v>59</v>
      </c>
      <c r="B71" s="378"/>
      <c r="C71" s="370" t="s">
        <v>358</v>
      </c>
      <c r="D71" s="370" t="s">
        <v>40</v>
      </c>
      <c r="E71" s="383" t="s">
        <v>402</v>
      </c>
      <c r="F71" s="380">
        <v>3000020488</v>
      </c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7"/>
      <c r="T71" s="179"/>
      <c r="U71" s="178"/>
      <c r="V71" s="9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518"/>
      <c r="AH71" s="788"/>
      <c r="AI71" s="789"/>
      <c r="AJ71" s="517"/>
      <c r="AK71" s="518"/>
      <c r="AL71" s="518"/>
      <c r="AM71" s="518"/>
      <c r="AN71" s="518"/>
      <c r="AO71" s="518"/>
      <c r="AP71" s="518"/>
      <c r="AQ71" s="518"/>
      <c r="AR71" s="518"/>
      <c r="AS71" s="518"/>
      <c r="AT71" s="518">
        <v>6270000</v>
      </c>
      <c r="AU71" s="518"/>
      <c r="AV71" s="518"/>
      <c r="AW71" s="518"/>
      <c r="AX71" s="518">
        <f>SUM(AI71,AJ71,AK71,AL71,AM71,AN71,AO71,AP71,AQ71,AR71,AS71,AT71)</f>
        <v>6270000</v>
      </c>
      <c r="AY71" s="788"/>
      <c r="AZ71" s="789"/>
      <c r="BA71" s="517"/>
      <c r="BB71" s="518"/>
      <c r="BC71" s="518"/>
      <c r="BD71" s="518"/>
      <c r="BE71" s="518"/>
      <c r="BF71" s="518"/>
      <c r="BG71" s="518"/>
      <c r="BH71" s="518"/>
      <c r="BI71" s="518"/>
      <c r="BJ71" s="518"/>
      <c r="BK71" s="518"/>
      <c r="BL71" s="518"/>
      <c r="BN71" s="516"/>
      <c r="BO71" s="517"/>
      <c r="BP71" s="518"/>
      <c r="BQ71" s="518"/>
      <c r="BR71" s="518"/>
      <c r="BS71" s="518"/>
      <c r="BT71" s="518"/>
      <c r="BU71" s="518"/>
      <c r="BV71" s="518"/>
      <c r="BW71" s="518"/>
      <c r="BX71" s="518"/>
      <c r="BY71" s="518"/>
      <c r="BZ71" s="791">
        <v>0</v>
      </c>
      <c r="CB71" s="516"/>
      <c r="CC71" s="517"/>
      <c r="CD71" s="518"/>
      <c r="CE71" s="518"/>
      <c r="CF71" s="518"/>
      <c r="CG71" s="518"/>
      <c r="CH71" s="518"/>
      <c r="CI71" s="518"/>
      <c r="CJ71" s="518"/>
      <c r="CK71" s="518"/>
      <c r="CL71" s="518"/>
      <c r="CM71" s="518"/>
      <c r="CN71" s="791">
        <v>0</v>
      </c>
      <c r="CP71" s="648">
        <v>8580000</v>
      </c>
      <c r="CQ71" s="648">
        <v>12880000</v>
      </c>
      <c r="CR71" s="519">
        <v>10000000</v>
      </c>
      <c r="CS71" s="648">
        <v>8825000</v>
      </c>
      <c r="CT71" s="519">
        <v>15000000</v>
      </c>
      <c r="CU71" s="648">
        <v>750000</v>
      </c>
      <c r="CV71" s="519">
        <v>15000000</v>
      </c>
      <c r="CW71" s="648">
        <v>2250000</v>
      </c>
      <c r="CX71" s="519">
        <v>15000000</v>
      </c>
      <c r="CY71" s="648">
        <v>13560000</v>
      </c>
      <c r="CZ71" s="519">
        <v>15000000</v>
      </c>
      <c r="DA71" s="648">
        <v>13920000</v>
      </c>
      <c r="DB71" s="519">
        <v>15000000</v>
      </c>
      <c r="DC71" s="648">
        <v>5690000</v>
      </c>
      <c r="DD71" s="519">
        <v>15000000</v>
      </c>
      <c r="DE71" s="518"/>
      <c r="DF71" s="519">
        <v>15000000</v>
      </c>
      <c r="DG71" s="749">
        <v>15000000</v>
      </c>
      <c r="DH71" s="518"/>
      <c r="DI71" s="519">
        <v>15000000</v>
      </c>
      <c r="DJ71" s="749">
        <v>15000000</v>
      </c>
      <c r="DK71" s="518"/>
      <c r="DL71" s="519">
        <v>15000000</v>
      </c>
      <c r="DM71" s="749">
        <v>15000000</v>
      </c>
      <c r="DN71" s="518"/>
      <c r="DO71" s="519">
        <v>15000000</v>
      </c>
      <c r="DP71" s="749">
        <v>15000000</v>
      </c>
      <c r="DQ71" s="493">
        <f t="shared" si="9"/>
        <v>126455000</v>
      </c>
      <c r="DR71" s="479">
        <f t="shared" si="18"/>
        <v>151035000</v>
      </c>
      <c r="DS71" s="1162"/>
      <c r="DT71" s="1162"/>
      <c r="DU71" s="1162"/>
      <c r="DV71" s="1162"/>
      <c r="DW71" s="1162"/>
      <c r="DX71" s="1162"/>
      <c r="DY71" s="1162"/>
      <c r="DZ71" s="1162"/>
      <c r="EA71" s="1162"/>
      <c r="EB71" s="1162"/>
      <c r="EC71" s="1162"/>
      <c r="ED71" s="1162"/>
      <c r="EE71" s="1119">
        <f t="shared" si="11"/>
        <v>0</v>
      </c>
      <c r="EF71" s="443">
        <f t="shared" si="20"/>
        <v>0</v>
      </c>
      <c r="EG71" s="355">
        <f t="shared" si="21"/>
        <v>0</v>
      </c>
      <c r="EH71" s="443">
        <f t="shared" si="14"/>
        <v>0</v>
      </c>
      <c r="EI71" s="443">
        <f t="shared" si="14"/>
        <v>0</v>
      </c>
    </row>
    <row r="72" spans="1:156" ht="15.5" outlineLevel="2">
      <c r="A72" s="367" t="s">
        <v>39</v>
      </c>
      <c r="B72" s="378"/>
      <c r="C72" s="370" t="s">
        <v>358</v>
      </c>
      <c r="D72" s="370" t="s">
        <v>108</v>
      </c>
      <c r="E72" s="383" t="s">
        <v>73</v>
      </c>
      <c r="F72" s="380">
        <v>3000020184</v>
      </c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7"/>
      <c r="T72" s="179"/>
      <c r="U72" s="178"/>
      <c r="V72" s="9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518"/>
      <c r="AH72" s="788"/>
      <c r="AI72" s="789"/>
      <c r="AJ72" s="517"/>
      <c r="AK72" s="518"/>
      <c r="AL72" s="518"/>
      <c r="AM72" s="518"/>
      <c r="AN72" s="518"/>
      <c r="AO72" s="518"/>
      <c r="AP72" s="518"/>
      <c r="AQ72" s="518"/>
      <c r="AR72" s="518"/>
      <c r="AS72" s="518"/>
      <c r="AT72" s="518">
        <v>3800000</v>
      </c>
      <c r="AU72" s="518"/>
      <c r="AV72" s="518"/>
      <c r="AW72" s="518"/>
      <c r="AX72" s="518">
        <f>SUM(AI72,AJ72,AK72,AL72,AM72,AN72,AO72,AP72,AQ72,AR72,AS72,AT72)</f>
        <v>3800000</v>
      </c>
      <c r="AY72" s="788"/>
      <c r="AZ72" s="789"/>
      <c r="BA72" s="517"/>
      <c r="BB72" s="518"/>
      <c r="BC72" s="518"/>
      <c r="BD72" s="518"/>
      <c r="BE72" s="518"/>
      <c r="BF72" s="518"/>
      <c r="BG72" s="518"/>
      <c r="BH72" s="518"/>
      <c r="BI72" s="518"/>
      <c r="BJ72" s="518"/>
      <c r="BK72" s="518"/>
      <c r="BL72" s="518"/>
      <c r="BN72" s="516"/>
      <c r="BO72" s="517"/>
      <c r="BP72" s="518"/>
      <c r="BQ72" s="518"/>
      <c r="BR72" s="518"/>
      <c r="BS72" s="518"/>
      <c r="BT72" s="518"/>
      <c r="BU72" s="518"/>
      <c r="BV72" s="518"/>
      <c r="BW72" s="518"/>
      <c r="BX72" s="518"/>
      <c r="BY72" s="518"/>
      <c r="BZ72" s="791">
        <v>0</v>
      </c>
      <c r="CB72" s="516"/>
      <c r="CC72" s="517"/>
      <c r="CD72" s="518"/>
      <c r="CE72" s="518"/>
      <c r="CF72" s="518"/>
      <c r="CG72" s="518"/>
      <c r="CH72" s="518"/>
      <c r="CI72" s="518"/>
      <c r="CJ72" s="518"/>
      <c r="CK72" s="518"/>
      <c r="CL72" s="518"/>
      <c r="CM72" s="518"/>
      <c r="CN72" s="791">
        <v>0</v>
      </c>
      <c r="CP72" s="648">
        <v>6000000</v>
      </c>
      <c r="CQ72" s="648">
        <v>3600000</v>
      </c>
      <c r="CR72" s="519">
        <v>6000000</v>
      </c>
      <c r="CS72" s="648">
        <v>10900000</v>
      </c>
      <c r="CT72" s="519">
        <v>6000000</v>
      </c>
      <c r="CU72" s="648">
        <v>5725000</v>
      </c>
      <c r="CV72" s="519">
        <v>6000000</v>
      </c>
      <c r="CW72" s="648">
        <v>2000000</v>
      </c>
      <c r="CX72" s="519">
        <v>6000000</v>
      </c>
      <c r="CY72" s="648">
        <v>7200000</v>
      </c>
      <c r="CZ72" s="519">
        <v>6000000</v>
      </c>
      <c r="DA72" s="648">
        <v>9000000</v>
      </c>
      <c r="DB72" s="519">
        <v>6000000</v>
      </c>
      <c r="DC72" s="648">
        <v>7400000</v>
      </c>
      <c r="DD72" s="519">
        <v>6000000</v>
      </c>
      <c r="DE72" s="518"/>
      <c r="DF72" s="519">
        <v>6000000</v>
      </c>
      <c r="DG72" s="749">
        <v>6000000</v>
      </c>
      <c r="DH72" s="518"/>
      <c r="DI72" s="519">
        <v>6000000</v>
      </c>
      <c r="DJ72" s="749">
        <v>6000000</v>
      </c>
      <c r="DK72" s="518"/>
      <c r="DL72" s="519">
        <v>6000000</v>
      </c>
      <c r="DM72" s="749">
        <v>6000000</v>
      </c>
      <c r="DN72" s="518"/>
      <c r="DO72" s="519">
        <v>6000000</v>
      </c>
      <c r="DP72" s="749">
        <v>6000000</v>
      </c>
      <c r="DQ72" s="493">
        <f t="shared" si="9"/>
        <v>75825000</v>
      </c>
      <c r="DR72" s="479">
        <f t="shared" si="18"/>
        <v>74225000</v>
      </c>
      <c r="DS72" s="1162">
        <v>6500000</v>
      </c>
      <c r="DT72" s="1162">
        <v>6500000</v>
      </c>
      <c r="DU72" s="1162">
        <v>6500000</v>
      </c>
      <c r="DV72" s="1162">
        <v>6500000</v>
      </c>
      <c r="DW72" s="1162">
        <v>6500000</v>
      </c>
      <c r="DX72" s="1162">
        <v>6500000</v>
      </c>
      <c r="DY72" s="1162">
        <v>6500000</v>
      </c>
      <c r="DZ72" s="1162">
        <v>6500000</v>
      </c>
      <c r="EA72" s="1162">
        <v>6500000</v>
      </c>
      <c r="EB72" s="1162">
        <v>6500000</v>
      </c>
      <c r="EC72" s="1162">
        <v>6500000</v>
      </c>
      <c r="ED72" s="1162">
        <v>6500000</v>
      </c>
      <c r="EE72" s="1119">
        <f t="shared" si="11"/>
        <v>78000000</v>
      </c>
      <c r="EF72" s="443">
        <f t="shared" si="20"/>
        <v>91260000</v>
      </c>
      <c r="EG72" s="355">
        <f t="shared" si="21"/>
        <v>98560800</v>
      </c>
      <c r="EH72" s="443">
        <f t="shared" si="14"/>
        <v>107431272.00000001</v>
      </c>
      <c r="EI72" s="443">
        <f t="shared" si="14"/>
        <v>117100086.48000002</v>
      </c>
    </row>
    <row r="73" spans="1:156" ht="15.5" outlineLevel="2">
      <c r="A73" s="367" t="s">
        <v>43</v>
      </c>
      <c r="B73" s="378"/>
      <c r="C73" s="370" t="s">
        <v>358</v>
      </c>
      <c r="D73" s="370" t="s">
        <v>40</v>
      </c>
      <c r="E73" s="379" t="s">
        <v>403</v>
      </c>
      <c r="F73" s="380">
        <v>3000014733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7">
        <f>SUM(G73,H73,I73,J73,K73,L73,M73,N73,O73,P73,Q73,R73)</f>
        <v>0</v>
      </c>
      <c r="T73" s="179"/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518">
        <f>SUM(U73,V73,W73,X73,Y73,Z73,AA73,AB73,AC73,AD73,AE73,AF73)</f>
        <v>0</v>
      </c>
      <c r="AH73" s="788"/>
      <c r="AI73" s="789"/>
      <c r="AJ73" s="790"/>
      <c r="AK73" s="518"/>
      <c r="AL73" s="518"/>
      <c r="AM73" s="518"/>
      <c r="AN73" s="518"/>
      <c r="AO73" s="518"/>
      <c r="AP73" s="518"/>
      <c r="AQ73" s="518">
        <v>0</v>
      </c>
      <c r="AR73" s="518"/>
      <c r="AS73" s="518"/>
      <c r="AT73" s="518"/>
      <c r="AU73" s="518"/>
      <c r="AV73" s="518"/>
      <c r="AW73" s="518"/>
      <c r="AX73" s="518">
        <f>SUM(AI73,AJ73,AK73,AL73,AM73,AN73,AO73,AP73,AQ73,AR73,AS73,AT73)</f>
        <v>0</v>
      </c>
      <c r="AY73" s="788"/>
      <c r="AZ73" s="789"/>
      <c r="BA73" s="790"/>
      <c r="BB73" s="518"/>
      <c r="BC73" s="518"/>
      <c r="BD73" s="518"/>
      <c r="BE73" s="518"/>
      <c r="BF73" s="518"/>
      <c r="BG73" s="518">
        <f>AP73</f>
        <v>0</v>
      </c>
      <c r="BH73" s="518">
        <v>50000000</v>
      </c>
      <c r="BI73" s="518">
        <v>50000000</v>
      </c>
      <c r="BJ73" s="518">
        <v>50000000</v>
      </c>
      <c r="BK73" s="518">
        <v>50000000</v>
      </c>
      <c r="BL73" s="518">
        <f>SUM(AZ73,BA73,BB73,BC73,BD73,BE73,BF73,BG73,BH73,BI73,BJ73,BK73)</f>
        <v>200000000</v>
      </c>
      <c r="BN73" s="516"/>
      <c r="BO73" s="517"/>
      <c r="BP73" s="518"/>
      <c r="BQ73" s="518"/>
      <c r="BR73" s="518"/>
      <c r="BS73" s="518"/>
      <c r="BT73" s="518"/>
      <c r="BU73" s="518"/>
      <c r="BV73" s="518"/>
      <c r="BW73" s="518"/>
      <c r="BX73" s="518"/>
      <c r="BY73" s="518"/>
      <c r="BZ73" s="791">
        <v>0</v>
      </c>
      <c r="CB73" s="516"/>
      <c r="CC73" s="517"/>
      <c r="CD73" s="518"/>
      <c r="CE73" s="518"/>
      <c r="CF73" s="518"/>
      <c r="CG73" s="518"/>
      <c r="CH73" s="518"/>
      <c r="CI73" s="518"/>
      <c r="CJ73" s="518"/>
      <c r="CK73" s="518"/>
      <c r="CL73" s="518"/>
      <c r="CM73" s="518"/>
      <c r="CN73" s="791">
        <v>0</v>
      </c>
      <c r="CP73" s="646"/>
      <c r="CQ73" s="646"/>
      <c r="CR73" s="516"/>
      <c r="CS73" s="646"/>
      <c r="CT73" s="516"/>
      <c r="CU73" s="646"/>
      <c r="CV73" s="516"/>
      <c r="CW73" s="646"/>
      <c r="CX73" s="516"/>
      <c r="CY73" s="646"/>
      <c r="CZ73" s="516"/>
      <c r="DA73" s="646"/>
      <c r="DB73" s="516"/>
      <c r="DC73" s="646">
        <v>0</v>
      </c>
      <c r="DD73" s="516"/>
      <c r="DE73" s="518"/>
      <c r="DF73" s="516"/>
      <c r="DG73" s="747"/>
      <c r="DH73" s="518"/>
      <c r="DI73" s="516"/>
      <c r="DJ73" s="747"/>
      <c r="DK73" s="518"/>
      <c r="DL73" s="516"/>
      <c r="DM73" s="747"/>
      <c r="DN73" s="518"/>
      <c r="DO73" s="516"/>
      <c r="DP73" s="747"/>
      <c r="DQ73" s="493">
        <f t="shared" si="9"/>
        <v>0</v>
      </c>
      <c r="DR73" s="479">
        <f t="shared" si="18"/>
        <v>0</v>
      </c>
      <c r="DS73" s="1162"/>
      <c r="DT73" s="1162"/>
      <c r="DU73" s="1162"/>
      <c r="DV73" s="1162"/>
      <c r="DW73" s="1162"/>
      <c r="DX73" s="1162"/>
      <c r="DY73" s="1162"/>
      <c r="DZ73" s="1162"/>
      <c r="EA73" s="1162"/>
      <c r="EB73" s="1162"/>
      <c r="EC73" s="1162"/>
      <c r="ED73" s="1162"/>
      <c r="EE73" s="1119">
        <f t="shared" si="11"/>
        <v>0</v>
      </c>
      <c r="EF73" s="443">
        <f t="shared" si="20"/>
        <v>0</v>
      </c>
      <c r="EG73" s="355">
        <f t="shared" si="21"/>
        <v>0</v>
      </c>
      <c r="EH73" s="443">
        <f t="shared" si="14"/>
        <v>0</v>
      </c>
      <c r="EI73" s="443">
        <f t="shared" si="14"/>
        <v>0</v>
      </c>
      <c r="EJ73" s="367">
        <v>3000014733</v>
      </c>
    </row>
    <row r="74" spans="1:156" ht="15.5" outlineLevel="2">
      <c r="A74" s="367" t="s">
        <v>39</v>
      </c>
      <c r="B74" s="378"/>
      <c r="C74" s="370" t="s">
        <v>358</v>
      </c>
      <c r="D74" s="370" t="s">
        <v>40</v>
      </c>
      <c r="E74" s="379" t="s">
        <v>200</v>
      </c>
      <c r="F74" s="380">
        <v>3000008124</v>
      </c>
      <c r="G74" s="178">
        <v>215710000</v>
      </c>
      <c r="H74" s="178">
        <v>256670000</v>
      </c>
      <c r="I74" s="178">
        <v>224035000</v>
      </c>
      <c r="J74" s="178">
        <v>252220000</v>
      </c>
      <c r="K74" s="178">
        <v>274370000</v>
      </c>
      <c r="L74" s="178">
        <v>182860000</v>
      </c>
      <c r="M74" s="178">
        <v>248615000</v>
      </c>
      <c r="N74" s="178">
        <v>263970000</v>
      </c>
      <c r="O74" s="178">
        <v>273775000</v>
      </c>
      <c r="P74" s="178">
        <v>240130000</v>
      </c>
      <c r="Q74" s="178">
        <v>243830000</v>
      </c>
      <c r="R74" s="178">
        <v>228290000</v>
      </c>
      <c r="S74" s="7">
        <f t="shared" si="4"/>
        <v>2904475000</v>
      </c>
      <c r="T74" s="179"/>
      <c r="U74" s="178">
        <v>229030000</v>
      </c>
      <c r="V74" s="178">
        <v>256410000</v>
      </c>
      <c r="W74" s="178">
        <v>209235000</v>
      </c>
      <c r="X74" s="178">
        <v>247900000</v>
      </c>
      <c r="Y74" s="178">
        <v>228330000</v>
      </c>
      <c r="Z74" s="178">
        <v>203130000</v>
      </c>
      <c r="AA74" s="178">
        <v>240315000</v>
      </c>
      <c r="AB74" s="178">
        <v>214600000</v>
      </c>
      <c r="AC74" s="178">
        <v>231250000</v>
      </c>
      <c r="AD74" s="178">
        <v>222185000</v>
      </c>
      <c r="AE74" s="178">
        <v>251600000</v>
      </c>
      <c r="AF74" s="178">
        <v>237245000</v>
      </c>
      <c r="AG74" s="518">
        <f t="shared" si="5"/>
        <v>2771230000</v>
      </c>
      <c r="AH74" s="788"/>
      <c r="AI74" s="789">
        <v>207385000</v>
      </c>
      <c r="AJ74" s="517">
        <v>258260000</v>
      </c>
      <c r="AK74" s="518">
        <v>233470000</v>
      </c>
      <c r="AL74" s="518">
        <v>235135000</v>
      </c>
      <c r="AM74" s="518">
        <v>214230000</v>
      </c>
      <c r="AN74" s="518">
        <v>223755000</v>
      </c>
      <c r="AO74" s="518">
        <v>205975000</v>
      </c>
      <c r="AP74" s="518">
        <v>193550000</v>
      </c>
      <c r="AQ74" s="518">
        <v>224175000</v>
      </c>
      <c r="AR74" s="759">
        <v>232575000</v>
      </c>
      <c r="AS74" s="759">
        <v>247975000</v>
      </c>
      <c r="AT74" s="759">
        <v>173425000</v>
      </c>
      <c r="AU74" s="518">
        <f>BI74</f>
        <v>214230000</v>
      </c>
      <c r="AV74" s="518">
        <f>BJ74</f>
        <v>214230000</v>
      </c>
      <c r="AW74" s="518">
        <f>BK74</f>
        <v>214230000</v>
      </c>
      <c r="AX74" s="518">
        <f t="shared" si="6"/>
        <v>2649910000</v>
      </c>
      <c r="AY74" s="788"/>
      <c r="AZ74" s="789">
        <v>207385000</v>
      </c>
      <c r="BA74" s="517">
        <v>258260000</v>
      </c>
      <c r="BB74" s="518">
        <v>233470000</v>
      </c>
      <c r="BC74" s="518">
        <v>235135000</v>
      </c>
      <c r="BD74" s="518">
        <v>214230000</v>
      </c>
      <c r="BE74" s="518">
        <v>223755000</v>
      </c>
      <c r="BF74" s="518">
        <v>205975000</v>
      </c>
      <c r="BG74" s="518">
        <f t="shared" si="15"/>
        <v>193550000</v>
      </c>
      <c r="BH74" s="518">
        <v>214230000</v>
      </c>
      <c r="BI74" s="518">
        <v>214230000</v>
      </c>
      <c r="BJ74" s="518">
        <v>214230000</v>
      </c>
      <c r="BK74" s="518">
        <v>214230000</v>
      </c>
      <c r="BL74" s="518">
        <f t="shared" si="8"/>
        <v>2628680000</v>
      </c>
      <c r="BN74" s="518">
        <v>250000000</v>
      </c>
      <c r="BO74" s="518">
        <v>250000000</v>
      </c>
      <c r="BP74" s="518">
        <v>250000000</v>
      </c>
      <c r="BQ74" s="518">
        <v>250000000</v>
      </c>
      <c r="BR74" s="518">
        <v>250000000</v>
      </c>
      <c r="BS74" s="518">
        <v>250000000</v>
      </c>
      <c r="BT74" s="518">
        <v>250000000</v>
      </c>
      <c r="BU74" s="518">
        <v>250000000</v>
      </c>
      <c r="BV74" s="518">
        <v>250000000</v>
      </c>
      <c r="BW74" s="518">
        <v>250000000</v>
      </c>
      <c r="BX74" s="518">
        <v>250000000</v>
      </c>
      <c r="BY74" s="518">
        <v>250000000</v>
      </c>
      <c r="BZ74" s="791">
        <v>3000000000</v>
      </c>
      <c r="CB74" s="518">
        <v>250000000</v>
      </c>
      <c r="CC74" s="518">
        <v>250000000</v>
      </c>
      <c r="CD74" s="518">
        <v>250000000</v>
      </c>
      <c r="CE74" s="518">
        <v>250000000</v>
      </c>
      <c r="CF74" s="518">
        <v>250000000</v>
      </c>
      <c r="CG74" s="518">
        <v>250000000</v>
      </c>
      <c r="CH74" s="518">
        <v>250000000</v>
      </c>
      <c r="CI74" s="518">
        <v>250000000</v>
      </c>
      <c r="CJ74" s="518">
        <v>250000000</v>
      </c>
      <c r="CK74" s="518">
        <v>250000000</v>
      </c>
      <c r="CL74" s="518">
        <v>250000000</v>
      </c>
      <c r="CM74" s="518">
        <v>250000000</v>
      </c>
      <c r="CN74" s="791">
        <v>3000000000</v>
      </c>
      <c r="CP74" s="647">
        <v>184800000</v>
      </c>
      <c r="CQ74" s="647">
        <v>238000000</v>
      </c>
      <c r="CR74" s="518">
        <v>185000000</v>
      </c>
      <c r="CS74" s="647">
        <v>235625000</v>
      </c>
      <c r="CT74" s="518">
        <v>185000000</v>
      </c>
      <c r="CU74" s="647">
        <v>255525000</v>
      </c>
      <c r="CV74" s="518">
        <v>185000000</v>
      </c>
      <c r="CW74" s="647">
        <v>215750000</v>
      </c>
      <c r="CX74" s="518">
        <v>185000000</v>
      </c>
      <c r="CY74" s="647">
        <v>251825000</v>
      </c>
      <c r="CZ74" s="518">
        <v>185000000</v>
      </c>
      <c r="DA74" s="647">
        <v>225350000</v>
      </c>
      <c r="DB74" s="518">
        <v>185000000</v>
      </c>
      <c r="DC74" s="647">
        <v>266600000</v>
      </c>
      <c r="DD74" s="518">
        <v>185000000</v>
      </c>
      <c r="DE74" s="518"/>
      <c r="DF74" s="518">
        <v>185000000</v>
      </c>
      <c r="DG74" s="748">
        <v>185000000</v>
      </c>
      <c r="DH74" s="518"/>
      <c r="DI74" s="518">
        <v>185000000</v>
      </c>
      <c r="DJ74" s="748">
        <v>185000000</v>
      </c>
      <c r="DK74" s="518"/>
      <c r="DL74" s="518">
        <v>185000000</v>
      </c>
      <c r="DM74" s="748">
        <v>185000000</v>
      </c>
      <c r="DN74" s="518"/>
      <c r="DO74" s="518">
        <v>185000000</v>
      </c>
      <c r="DP74" s="748">
        <v>185000000</v>
      </c>
      <c r="DQ74" s="493">
        <f t="shared" si="9"/>
        <v>2613475000</v>
      </c>
      <c r="DR74" s="479">
        <f t="shared" si="18"/>
        <v>2393950000</v>
      </c>
      <c r="DS74" s="1163">
        <v>220000000</v>
      </c>
      <c r="DT74" s="1163">
        <v>220000000</v>
      </c>
      <c r="DU74" s="1163">
        <v>220000000</v>
      </c>
      <c r="DV74" s="1163">
        <v>220000000</v>
      </c>
      <c r="DW74" s="1163">
        <v>220000000</v>
      </c>
      <c r="DX74" s="1163">
        <v>220000000</v>
      </c>
      <c r="DY74" s="1163">
        <v>220000000</v>
      </c>
      <c r="DZ74" s="1163">
        <v>220000000</v>
      </c>
      <c r="EA74" s="1163">
        <v>220000000</v>
      </c>
      <c r="EB74" s="1163">
        <v>220000000</v>
      </c>
      <c r="EC74" s="1163">
        <v>220000000</v>
      </c>
      <c r="ED74" s="1163">
        <v>220000000</v>
      </c>
      <c r="EE74" s="1119">
        <f t="shared" si="11"/>
        <v>2640000000</v>
      </c>
      <c r="EF74" s="443">
        <f t="shared" si="20"/>
        <v>3088800000</v>
      </c>
      <c r="EG74" s="355">
        <f t="shared" si="21"/>
        <v>3335904000</v>
      </c>
      <c r="EH74" s="443">
        <f t="shared" si="14"/>
        <v>3636135360.0000005</v>
      </c>
      <c r="EI74" s="443">
        <f t="shared" si="14"/>
        <v>3963387542.4000006</v>
      </c>
      <c r="EJ74" s="367">
        <v>3000008124</v>
      </c>
    </row>
    <row r="75" spans="1:156" ht="15.5" outlineLevel="2">
      <c r="A75" s="367" t="s">
        <v>39</v>
      </c>
      <c r="B75" s="378"/>
      <c r="C75" s="370" t="s">
        <v>358</v>
      </c>
      <c r="D75" s="370" t="s">
        <v>40</v>
      </c>
      <c r="E75" s="379" t="s">
        <v>75</v>
      </c>
      <c r="F75" s="380">
        <v>3000002443</v>
      </c>
      <c r="G75" s="178">
        <v>302816130</v>
      </c>
      <c r="H75" s="178">
        <v>293129033</v>
      </c>
      <c r="I75" s="178">
        <v>327321427</v>
      </c>
      <c r="J75" s="178">
        <v>492382996</v>
      </c>
      <c r="K75" s="178">
        <v>702073450</v>
      </c>
      <c r="L75" s="178">
        <v>709887096</v>
      </c>
      <c r="M75" s="178">
        <v>768450000</v>
      </c>
      <c r="N75" s="178">
        <v>581516129</v>
      </c>
      <c r="O75" s="178">
        <v>273096773</v>
      </c>
      <c r="P75" s="178">
        <v>588720967</v>
      </c>
      <c r="Q75" s="178">
        <v>282556452</v>
      </c>
      <c r="R75" s="178">
        <v>280500000</v>
      </c>
      <c r="S75" s="7">
        <f t="shared" si="4"/>
        <v>5602450453</v>
      </c>
      <c r="T75" s="179"/>
      <c r="U75" s="178">
        <v>286258064</v>
      </c>
      <c r="V75" s="178">
        <v>437396047</v>
      </c>
      <c r="W75" s="178">
        <v>275946429</v>
      </c>
      <c r="X75" s="178">
        <v>278032256</v>
      </c>
      <c r="Y75" s="178">
        <v>279650000</v>
      </c>
      <c r="Z75" s="178">
        <v>284201611</v>
      </c>
      <c r="AA75" s="178">
        <v>251600000</v>
      </c>
      <c r="AB75" s="178">
        <v>283790322</v>
      </c>
      <c r="AC75" s="178">
        <v>280499998</v>
      </c>
      <c r="AD75" s="178">
        <v>276250000</v>
      </c>
      <c r="AE75" s="178">
        <v>296175806</v>
      </c>
      <c r="AF75" s="178">
        <v>279950000</v>
      </c>
      <c r="AG75" s="518">
        <f t="shared" si="5"/>
        <v>3509750533</v>
      </c>
      <c r="AH75" s="788"/>
      <c r="AI75" s="789">
        <v>307754838</v>
      </c>
      <c r="AJ75" s="517">
        <v>323777418</v>
      </c>
      <c r="AK75" s="518">
        <v>548291075</v>
      </c>
      <c r="AL75" s="518">
        <v>512843723</v>
      </c>
      <c r="AM75" s="518">
        <v>452685839</v>
      </c>
      <c r="AN75" s="518">
        <v>336213012</v>
      </c>
      <c r="AO75" s="518">
        <v>314889470</v>
      </c>
      <c r="AP75" s="518">
        <v>234553225</v>
      </c>
      <c r="AQ75" s="518">
        <v>213822581</v>
      </c>
      <c r="AR75" s="759">
        <v>400768057</v>
      </c>
      <c r="AS75" s="759">
        <v>106107270</v>
      </c>
      <c r="AT75" s="759">
        <v>309162373</v>
      </c>
      <c r="AU75" s="794">
        <f>150000000</f>
        <v>150000000</v>
      </c>
      <c r="AV75" s="794">
        <f>150000000</f>
        <v>150000000</v>
      </c>
      <c r="AW75" s="794">
        <f>150000000</f>
        <v>150000000</v>
      </c>
      <c r="AX75" s="518">
        <f t="shared" si="6"/>
        <v>4060868881</v>
      </c>
      <c r="AY75" s="788"/>
      <c r="AZ75" s="789">
        <v>307754838</v>
      </c>
      <c r="BA75" s="517">
        <v>323777418</v>
      </c>
      <c r="BB75" s="518">
        <v>548291075</v>
      </c>
      <c r="BC75" s="518">
        <v>512843723</v>
      </c>
      <c r="BD75" s="518">
        <v>452685839</v>
      </c>
      <c r="BE75" s="518">
        <v>336213012</v>
      </c>
      <c r="BF75" s="518">
        <v>314889470</v>
      </c>
      <c r="BG75" s="518">
        <f t="shared" si="15"/>
        <v>234553225</v>
      </c>
      <c r="BH75" s="518">
        <v>437663741</v>
      </c>
      <c r="BI75" s="518">
        <v>530661741</v>
      </c>
      <c r="BJ75" s="518">
        <v>530661741</v>
      </c>
      <c r="BK75" s="518">
        <v>530661741</v>
      </c>
      <c r="BL75" s="518">
        <f t="shared" si="8"/>
        <v>5060657564</v>
      </c>
      <c r="BN75" s="518">
        <f>150000000</f>
        <v>150000000</v>
      </c>
      <c r="BO75" s="518">
        <f t="shared" ref="BO75:BY75" si="26">150000000</f>
        <v>150000000</v>
      </c>
      <c r="BP75" s="518">
        <f t="shared" si="26"/>
        <v>150000000</v>
      </c>
      <c r="BQ75" s="518">
        <f t="shared" si="26"/>
        <v>150000000</v>
      </c>
      <c r="BR75" s="518">
        <f t="shared" si="26"/>
        <v>150000000</v>
      </c>
      <c r="BS75" s="518">
        <f t="shared" si="26"/>
        <v>150000000</v>
      </c>
      <c r="BT75" s="518">
        <f t="shared" si="26"/>
        <v>150000000</v>
      </c>
      <c r="BU75" s="518">
        <f t="shared" si="26"/>
        <v>150000000</v>
      </c>
      <c r="BV75" s="518">
        <f t="shared" si="26"/>
        <v>150000000</v>
      </c>
      <c r="BW75" s="518">
        <f t="shared" si="26"/>
        <v>150000000</v>
      </c>
      <c r="BX75" s="518">
        <f t="shared" si="26"/>
        <v>150000000</v>
      </c>
      <c r="BY75" s="518">
        <f t="shared" si="26"/>
        <v>150000000</v>
      </c>
      <c r="BZ75" s="791">
        <v>1800000000</v>
      </c>
      <c r="CB75" s="518">
        <f>150000000</f>
        <v>150000000</v>
      </c>
      <c r="CC75" s="518">
        <f t="shared" ref="CC75:CM75" si="27">150000000</f>
        <v>150000000</v>
      </c>
      <c r="CD75" s="518">
        <f t="shared" si="27"/>
        <v>150000000</v>
      </c>
      <c r="CE75" s="518">
        <f t="shared" si="27"/>
        <v>150000000</v>
      </c>
      <c r="CF75" s="518">
        <f t="shared" si="27"/>
        <v>150000000</v>
      </c>
      <c r="CG75" s="518">
        <f t="shared" si="27"/>
        <v>150000000</v>
      </c>
      <c r="CH75" s="518">
        <f t="shared" si="27"/>
        <v>150000000</v>
      </c>
      <c r="CI75" s="518">
        <f t="shared" si="27"/>
        <v>150000000</v>
      </c>
      <c r="CJ75" s="518">
        <f t="shared" si="27"/>
        <v>150000000</v>
      </c>
      <c r="CK75" s="518">
        <f t="shared" si="27"/>
        <v>150000000</v>
      </c>
      <c r="CL75" s="518">
        <f t="shared" si="27"/>
        <v>150000000</v>
      </c>
      <c r="CM75" s="518">
        <f t="shared" si="27"/>
        <v>150000000</v>
      </c>
      <c r="CN75" s="791">
        <v>1800000000</v>
      </c>
      <c r="CP75" s="647">
        <v>364567507</v>
      </c>
      <c r="CQ75" s="647">
        <v>325217806</v>
      </c>
      <c r="CR75" s="518">
        <v>250000000</v>
      </c>
      <c r="CS75" s="647">
        <v>199460318</v>
      </c>
      <c r="CT75" s="518">
        <v>250000000</v>
      </c>
      <c r="CU75" s="647">
        <v>107527592</v>
      </c>
      <c r="CV75" s="518">
        <v>250000000</v>
      </c>
      <c r="CW75" s="647">
        <v>77671225</v>
      </c>
      <c r="CX75" s="518">
        <v>250000000</v>
      </c>
      <c r="CY75" s="647">
        <v>91848335</v>
      </c>
      <c r="CZ75" s="518">
        <v>250000000</v>
      </c>
      <c r="DA75" s="647">
        <v>165009669</v>
      </c>
      <c r="DB75" s="518">
        <v>250000000</v>
      </c>
      <c r="DC75" s="647">
        <v>136542263</v>
      </c>
      <c r="DD75" s="518">
        <v>250000000</v>
      </c>
      <c r="DE75" s="518"/>
      <c r="DF75" s="518">
        <v>250000000</v>
      </c>
      <c r="DG75" s="748">
        <v>250000000</v>
      </c>
      <c r="DH75" s="518"/>
      <c r="DI75" s="518">
        <v>250000000</v>
      </c>
      <c r="DJ75" s="748">
        <v>300000000</v>
      </c>
      <c r="DK75" s="518"/>
      <c r="DL75" s="518">
        <v>250000000</v>
      </c>
      <c r="DM75" s="748">
        <v>300000000</v>
      </c>
      <c r="DN75" s="518"/>
      <c r="DO75" s="518">
        <v>250000000</v>
      </c>
      <c r="DP75" s="748">
        <v>300000000</v>
      </c>
      <c r="DQ75" s="493">
        <f t="shared" si="9"/>
        <v>2467844715</v>
      </c>
      <c r="DR75" s="479">
        <f t="shared" si="18"/>
        <v>3146773223</v>
      </c>
      <c r="DS75" s="1163">
        <v>200000000</v>
      </c>
      <c r="DT75" s="1163">
        <v>200000000</v>
      </c>
      <c r="DU75" s="1163">
        <v>200000000</v>
      </c>
      <c r="DV75" s="1163">
        <v>200000000</v>
      </c>
      <c r="DW75" s="1163">
        <v>150000000</v>
      </c>
      <c r="DX75" s="1163">
        <v>250000000</v>
      </c>
      <c r="DY75" s="1163">
        <v>250000000</v>
      </c>
      <c r="DZ75" s="1163">
        <v>250000000</v>
      </c>
      <c r="EA75" s="1163">
        <v>250000000</v>
      </c>
      <c r="EB75" s="1163">
        <v>250000000</v>
      </c>
      <c r="EC75" s="1163">
        <v>250000000</v>
      </c>
      <c r="ED75" s="1163">
        <v>250000000</v>
      </c>
      <c r="EE75" s="1119">
        <f t="shared" ref="EE75:EE138" si="28">SUM(DS75,DT75,DU75,DV75,DW75,DX75,DY75,DZ75,EA75,EB75,EC75,ED75)</f>
        <v>2700000000</v>
      </c>
      <c r="EF75" s="443">
        <f t="shared" si="20"/>
        <v>3159000000</v>
      </c>
      <c r="EG75" s="355">
        <f t="shared" si="21"/>
        <v>3411720000</v>
      </c>
      <c r="EH75" s="443">
        <f t="shared" si="14"/>
        <v>3718774800.0000005</v>
      </c>
      <c r="EI75" s="443">
        <f t="shared" si="14"/>
        <v>4053464532.000001</v>
      </c>
      <c r="EJ75" s="367">
        <v>3000002443</v>
      </c>
    </row>
    <row r="76" spans="1:156" ht="15.5" outlineLevel="2">
      <c r="A76" s="367" t="s">
        <v>39</v>
      </c>
      <c r="B76" s="378"/>
      <c r="C76" s="370" t="s">
        <v>358</v>
      </c>
      <c r="D76" s="370" t="s">
        <v>40</v>
      </c>
      <c r="E76" s="379" t="s">
        <v>404</v>
      </c>
      <c r="F76" s="380">
        <v>8000000011</v>
      </c>
      <c r="G76" s="178">
        <v>0</v>
      </c>
      <c r="H76" s="178">
        <v>0</v>
      </c>
      <c r="I76" s="178">
        <v>31590000</v>
      </c>
      <c r="J76" s="178">
        <v>7290000</v>
      </c>
      <c r="K76" s="178">
        <v>38200000</v>
      </c>
      <c r="L76" s="178">
        <v>17800000</v>
      </c>
      <c r="M76" s="178">
        <v>-1520000</v>
      </c>
      <c r="N76" s="178">
        <v>0</v>
      </c>
      <c r="O76" s="178">
        <v>0</v>
      </c>
      <c r="P76" s="178">
        <v>0</v>
      </c>
      <c r="Q76" s="178">
        <v>0</v>
      </c>
      <c r="R76" s="178">
        <v>-12470000</v>
      </c>
      <c r="S76" s="7">
        <f>SUM(G76,H76,I76,J76,K76,L76,M76,N76,O76,P76,Q76,R76)</f>
        <v>80890000</v>
      </c>
      <c r="T76" s="179"/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518">
        <f>SUM(U76,V76,W76,X76,Y76,Z76,AA76,AB76,AC76,AD76,AE76,AF76)</f>
        <v>0</v>
      </c>
      <c r="AH76" s="788"/>
      <c r="AI76" s="789"/>
      <c r="AJ76" s="792"/>
      <c r="AK76" s="518"/>
      <c r="AL76" s="518"/>
      <c r="AM76" s="518"/>
      <c r="AN76" s="518"/>
      <c r="AO76" s="518"/>
      <c r="AP76" s="518"/>
      <c r="AQ76" s="518">
        <v>34123400</v>
      </c>
      <c r="AR76" s="759">
        <v>85308400</v>
      </c>
      <c r="AS76" s="759">
        <v>85185000</v>
      </c>
      <c r="AT76" s="759">
        <v>85376700</v>
      </c>
      <c r="AU76" s="794">
        <f>50000000</f>
        <v>50000000</v>
      </c>
      <c r="AV76" s="794">
        <v>75000000</v>
      </c>
      <c r="AW76" s="794">
        <v>75000000</v>
      </c>
      <c r="AX76" s="518">
        <f>SUM(AI76,AJ76,AK76,AL76,AM76,AN76,AO76,AP76,AQ76,AR76,AS76,AT76)</f>
        <v>289993500</v>
      </c>
      <c r="AY76" s="788"/>
      <c r="AZ76" s="789"/>
      <c r="BA76" s="792"/>
      <c r="BB76" s="518"/>
      <c r="BC76" s="518"/>
      <c r="BD76" s="518"/>
      <c r="BE76" s="518"/>
      <c r="BF76" s="518"/>
      <c r="BG76" s="518">
        <f>AP76</f>
        <v>0</v>
      </c>
      <c r="BH76" s="518">
        <v>0</v>
      </c>
      <c r="BI76" s="518">
        <v>0</v>
      </c>
      <c r="BJ76" s="518">
        <v>0</v>
      </c>
      <c r="BK76" s="518">
        <v>0</v>
      </c>
      <c r="BL76" s="518">
        <f>SUM(AZ76,BA76,BB76,BC76,BD76,BE76,BF76,BG76,BH76,BI76,BJ76,BK76)</f>
        <v>0</v>
      </c>
      <c r="BN76" s="518">
        <f>40000000</f>
        <v>40000000</v>
      </c>
      <c r="BO76" s="518">
        <f t="shared" ref="BO76:BY76" si="29">40000000</f>
        <v>40000000</v>
      </c>
      <c r="BP76" s="518">
        <f t="shared" si="29"/>
        <v>40000000</v>
      </c>
      <c r="BQ76" s="518">
        <f t="shared" si="29"/>
        <v>40000000</v>
      </c>
      <c r="BR76" s="518">
        <f t="shared" si="29"/>
        <v>40000000</v>
      </c>
      <c r="BS76" s="518">
        <f t="shared" si="29"/>
        <v>40000000</v>
      </c>
      <c r="BT76" s="518">
        <f t="shared" si="29"/>
        <v>40000000</v>
      </c>
      <c r="BU76" s="518">
        <f t="shared" si="29"/>
        <v>40000000</v>
      </c>
      <c r="BV76" s="518">
        <f t="shared" si="29"/>
        <v>40000000</v>
      </c>
      <c r="BW76" s="518">
        <f t="shared" si="29"/>
        <v>40000000</v>
      </c>
      <c r="BX76" s="518">
        <f t="shared" si="29"/>
        <v>40000000</v>
      </c>
      <c r="BY76" s="518">
        <f t="shared" si="29"/>
        <v>40000000</v>
      </c>
      <c r="BZ76" s="791">
        <v>480000000</v>
      </c>
      <c r="CB76" s="518">
        <f>40000000</f>
        <v>40000000</v>
      </c>
      <c r="CC76" s="518">
        <f t="shared" ref="CC76:CM76" si="30">40000000</f>
        <v>40000000</v>
      </c>
      <c r="CD76" s="518">
        <f t="shared" si="30"/>
        <v>40000000</v>
      </c>
      <c r="CE76" s="518">
        <f t="shared" si="30"/>
        <v>40000000</v>
      </c>
      <c r="CF76" s="518">
        <f t="shared" si="30"/>
        <v>40000000</v>
      </c>
      <c r="CG76" s="518">
        <f t="shared" si="30"/>
        <v>40000000</v>
      </c>
      <c r="CH76" s="518">
        <f t="shared" si="30"/>
        <v>40000000</v>
      </c>
      <c r="CI76" s="518">
        <f t="shared" si="30"/>
        <v>40000000</v>
      </c>
      <c r="CJ76" s="518">
        <f t="shared" si="30"/>
        <v>40000000</v>
      </c>
      <c r="CK76" s="518">
        <f t="shared" si="30"/>
        <v>40000000</v>
      </c>
      <c r="CL76" s="518">
        <f t="shared" si="30"/>
        <v>40000000</v>
      </c>
      <c r="CM76" s="518">
        <f t="shared" si="30"/>
        <v>40000000</v>
      </c>
      <c r="CN76" s="791">
        <v>480000000</v>
      </c>
      <c r="CP76" s="647">
        <v>46332500</v>
      </c>
      <c r="CQ76" s="647">
        <v>40300000</v>
      </c>
      <c r="CR76" s="518">
        <v>47000000</v>
      </c>
      <c r="CS76" s="647">
        <v>25319500</v>
      </c>
      <c r="CT76" s="518">
        <v>47000000</v>
      </c>
      <c r="CU76" s="647">
        <v>33130000</v>
      </c>
      <c r="CV76" s="518">
        <v>47000000</v>
      </c>
      <c r="CW76" s="647">
        <v>10323400</v>
      </c>
      <c r="CX76" s="518">
        <v>47000000</v>
      </c>
      <c r="CY76" s="647">
        <v>22496800</v>
      </c>
      <c r="CZ76" s="518">
        <v>47000000</v>
      </c>
      <c r="DA76" s="647">
        <v>25750000</v>
      </c>
      <c r="DB76" s="518">
        <v>47000000</v>
      </c>
      <c r="DC76" s="647">
        <v>39410900</v>
      </c>
      <c r="DD76" s="518">
        <v>47000000</v>
      </c>
      <c r="DE76" s="518"/>
      <c r="DF76" s="518">
        <v>47000000</v>
      </c>
      <c r="DG76" s="748">
        <v>50000000</v>
      </c>
      <c r="DH76" s="518"/>
      <c r="DI76" s="518">
        <v>47000000</v>
      </c>
      <c r="DJ76" s="748">
        <v>50000000</v>
      </c>
      <c r="DK76" s="518"/>
      <c r="DL76" s="518">
        <v>47000000</v>
      </c>
      <c r="DM76" s="748">
        <v>50000000</v>
      </c>
      <c r="DN76" s="518"/>
      <c r="DO76" s="518">
        <v>47000000</v>
      </c>
      <c r="DP76" s="748">
        <v>50000000</v>
      </c>
      <c r="DQ76" s="493">
        <f t="shared" ref="DQ76:DQ139" si="31">SUM(CP76,CQ76,CS76,CU76,CW76,CY76,DA76,DC76,DF76,DI76,DL76,DO76)</f>
        <v>431063100</v>
      </c>
      <c r="DR76" s="479">
        <f t="shared" si="18"/>
        <v>533082000</v>
      </c>
      <c r="DS76" s="1163">
        <v>40000000</v>
      </c>
      <c r="DT76" s="1163">
        <v>40000000</v>
      </c>
      <c r="DU76" s="1163">
        <v>40000000</v>
      </c>
      <c r="DV76" s="1163">
        <v>40000000</v>
      </c>
      <c r="DW76" s="1163">
        <v>40000000</v>
      </c>
      <c r="DX76" s="1163">
        <v>40000000</v>
      </c>
      <c r="DY76" s="1163">
        <v>40000000</v>
      </c>
      <c r="DZ76" s="1163">
        <v>40000000</v>
      </c>
      <c r="EA76" s="1163">
        <v>40000000</v>
      </c>
      <c r="EB76" s="1163">
        <v>40000000</v>
      </c>
      <c r="EC76" s="1163">
        <v>40000000</v>
      </c>
      <c r="ED76" s="1163">
        <v>40000000</v>
      </c>
      <c r="EE76" s="1119">
        <f t="shared" si="28"/>
        <v>480000000</v>
      </c>
      <c r="EF76" s="443">
        <f t="shared" si="20"/>
        <v>561600000</v>
      </c>
      <c r="EG76" s="355">
        <f t="shared" si="21"/>
        <v>606528000</v>
      </c>
      <c r="EH76" s="443">
        <f t="shared" si="14"/>
        <v>661115520</v>
      </c>
      <c r="EI76" s="443">
        <f t="shared" si="14"/>
        <v>720615916.80000007</v>
      </c>
      <c r="EJ76" s="367">
        <v>8000000011</v>
      </c>
    </row>
    <row r="77" spans="1:156" ht="15.5" outlineLevel="2">
      <c r="A77" s="367" t="s">
        <v>39</v>
      </c>
      <c r="B77" s="378"/>
      <c r="C77" s="370" t="s">
        <v>358</v>
      </c>
      <c r="D77" s="370" t="s">
        <v>40</v>
      </c>
      <c r="E77" s="379" t="s">
        <v>135</v>
      </c>
      <c r="F77" s="380">
        <v>3000011390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7">
        <f t="shared" si="4"/>
        <v>0</v>
      </c>
      <c r="T77" s="179"/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518">
        <f t="shared" si="5"/>
        <v>0</v>
      </c>
      <c r="AH77" s="788"/>
      <c r="AI77" s="789">
        <v>20700000</v>
      </c>
      <c r="AJ77" s="517">
        <v>52790000</v>
      </c>
      <c r="AK77" s="518">
        <v>20230000</v>
      </c>
      <c r="AL77" s="518">
        <v>28820000</v>
      </c>
      <c r="AM77" s="518">
        <v>14060000</v>
      </c>
      <c r="AN77" s="518">
        <v>39850000</v>
      </c>
      <c r="AO77" s="518">
        <v>26830000</v>
      </c>
      <c r="AP77" s="518">
        <v>31360000</v>
      </c>
      <c r="AQ77" s="518">
        <v>38890000</v>
      </c>
      <c r="AR77" s="759">
        <v>45100000</v>
      </c>
      <c r="AS77" s="759">
        <v>7500000</v>
      </c>
      <c r="AT77" s="759">
        <v>5000000</v>
      </c>
      <c r="AU77" s="518">
        <f t="shared" ref="AU77:AW78" si="32">BI77</f>
        <v>60000000</v>
      </c>
      <c r="AV77" s="518">
        <f t="shared" si="32"/>
        <v>60000000</v>
      </c>
      <c r="AW77" s="518">
        <f t="shared" si="32"/>
        <v>60000000</v>
      </c>
      <c r="AX77" s="518">
        <f t="shared" si="6"/>
        <v>331130000</v>
      </c>
      <c r="AY77" s="788"/>
      <c r="AZ77" s="789">
        <v>20700000</v>
      </c>
      <c r="BA77" s="517">
        <v>52790000</v>
      </c>
      <c r="BB77" s="518">
        <v>20230000</v>
      </c>
      <c r="BC77" s="518">
        <v>28820000</v>
      </c>
      <c r="BD77" s="518">
        <v>14060000</v>
      </c>
      <c r="BE77" s="518">
        <v>39850000</v>
      </c>
      <c r="BF77" s="518">
        <v>26830000</v>
      </c>
      <c r="BG77" s="518">
        <f t="shared" si="15"/>
        <v>31360000</v>
      </c>
      <c r="BH77" s="518">
        <v>60000000</v>
      </c>
      <c r="BI77" s="518">
        <v>60000000</v>
      </c>
      <c r="BJ77" s="518">
        <v>60000000</v>
      </c>
      <c r="BK77" s="518">
        <v>60000000</v>
      </c>
      <c r="BL77" s="518">
        <f t="shared" si="8"/>
        <v>474640000</v>
      </c>
      <c r="BN77" s="518">
        <v>60000000</v>
      </c>
      <c r="BO77" s="518">
        <v>60000000</v>
      </c>
      <c r="BP77" s="518">
        <v>60000000</v>
      </c>
      <c r="BQ77" s="518">
        <v>60000000</v>
      </c>
      <c r="BR77" s="518">
        <v>50000000</v>
      </c>
      <c r="BS77" s="518">
        <v>50000000</v>
      </c>
      <c r="BT77" s="518">
        <v>80000000</v>
      </c>
      <c r="BU77" s="518">
        <v>80000000</v>
      </c>
      <c r="BV77" s="518">
        <v>100000000</v>
      </c>
      <c r="BW77" s="518">
        <v>100000000</v>
      </c>
      <c r="BX77" s="518">
        <v>100000000</v>
      </c>
      <c r="BY77" s="518">
        <v>100000000</v>
      </c>
      <c r="BZ77" s="791">
        <v>900000000</v>
      </c>
      <c r="CB77" s="518">
        <v>60000000</v>
      </c>
      <c r="CC77" s="518">
        <v>60000000</v>
      </c>
      <c r="CD77" s="518">
        <v>60000000</v>
      </c>
      <c r="CE77" s="518">
        <v>60000000</v>
      </c>
      <c r="CF77" s="518">
        <v>50000000</v>
      </c>
      <c r="CG77" s="518">
        <v>50000000</v>
      </c>
      <c r="CH77" s="518">
        <v>80000000</v>
      </c>
      <c r="CI77" s="518">
        <v>80000000</v>
      </c>
      <c r="CJ77" s="518">
        <v>100000000</v>
      </c>
      <c r="CK77" s="518">
        <v>100000000</v>
      </c>
      <c r="CL77" s="518">
        <v>100000000</v>
      </c>
      <c r="CM77" s="518">
        <v>100000000</v>
      </c>
      <c r="CN77" s="791">
        <v>900000000</v>
      </c>
      <c r="CP77" s="647">
        <v>18900000</v>
      </c>
      <c r="CQ77" s="647">
        <v>5410000</v>
      </c>
      <c r="CR77" s="518">
        <v>20000000</v>
      </c>
      <c r="CS77" s="647"/>
      <c r="CT77" s="518">
        <v>20000000</v>
      </c>
      <c r="CU77" s="647"/>
      <c r="CV77" s="518">
        <v>20000000</v>
      </c>
      <c r="CW77" s="647"/>
      <c r="CX77" s="518">
        <v>20000000</v>
      </c>
      <c r="CY77" s="647"/>
      <c r="CZ77" s="518">
        <v>20000000</v>
      </c>
      <c r="DA77" s="647"/>
      <c r="DB77" s="518">
        <v>20000000</v>
      </c>
      <c r="DC77" s="647">
        <v>0</v>
      </c>
      <c r="DD77" s="518">
        <v>20000000</v>
      </c>
      <c r="DE77" s="518"/>
      <c r="DF77" s="518">
        <v>20000000</v>
      </c>
      <c r="DG77" s="748">
        <v>20000000</v>
      </c>
      <c r="DH77" s="518"/>
      <c r="DI77" s="518">
        <v>20000000</v>
      </c>
      <c r="DJ77" s="748">
        <v>20000000</v>
      </c>
      <c r="DK77" s="518"/>
      <c r="DL77" s="518">
        <v>20000000</v>
      </c>
      <c r="DM77" s="748">
        <v>20000000</v>
      </c>
      <c r="DN77" s="518"/>
      <c r="DO77" s="518">
        <v>20000000</v>
      </c>
      <c r="DP77" s="748">
        <v>20000000</v>
      </c>
      <c r="DQ77" s="493">
        <f t="shared" si="31"/>
        <v>104310000</v>
      </c>
      <c r="DR77" s="479">
        <f t="shared" si="18"/>
        <v>184310000</v>
      </c>
      <c r="DS77" s="1163"/>
      <c r="DT77" s="1163"/>
      <c r="DU77" s="1163"/>
      <c r="DV77" s="1163"/>
      <c r="DW77" s="1163"/>
      <c r="DX77" s="1163"/>
      <c r="DY77" s="1163"/>
      <c r="DZ77" s="1163"/>
      <c r="EA77" s="1163"/>
      <c r="EB77" s="1163"/>
      <c r="EC77" s="1163"/>
      <c r="ED77" s="1163"/>
      <c r="EE77" s="1119">
        <f t="shared" si="28"/>
        <v>0</v>
      </c>
      <c r="EF77" s="443">
        <f t="shared" si="20"/>
        <v>0</v>
      </c>
      <c r="EG77" s="355">
        <f t="shared" si="21"/>
        <v>0</v>
      </c>
      <c r="EH77" s="443">
        <f t="shared" si="14"/>
        <v>0</v>
      </c>
      <c r="EI77" s="443">
        <f t="shared" si="14"/>
        <v>0</v>
      </c>
      <c r="EJ77" s="367">
        <v>3000011390</v>
      </c>
    </row>
    <row r="78" spans="1:156" ht="15.5" outlineLevel="2">
      <c r="A78" s="367" t="s">
        <v>59</v>
      </c>
      <c r="B78" s="378"/>
      <c r="C78" s="370" t="s">
        <v>358</v>
      </c>
      <c r="D78" s="370" t="s">
        <v>40</v>
      </c>
      <c r="E78" s="379" t="s">
        <v>405</v>
      </c>
      <c r="F78" s="380">
        <v>3000019453</v>
      </c>
      <c r="G78" s="178">
        <v>0</v>
      </c>
      <c r="H78" s="178">
        <v>0</v>
      </c>
      <c r="I78" s="178">
        <v>0</v>
      </c>
      <c r="J78" s="178">
        <v>0</v>
      </c>
      <c r="K78" s="178">
        <v>0</v>
      </c>
      <c r="L78" s="178">
        <v>0</v>
      </c>
      <c r="M78" s="178">
        <v>0</v>
      </c>
      <c r="N78" s="178">
        <v>0</v>
      </c>
      <c r="O78" s="178">
        <v>0</v>
      </c>
      <c r="P78" s="178">
        <v>0</v>
      </c>
      <c r="Q78" s="178">
        <v>0</v>
      </c>
      <c r="R78" s="178">
        <v>0</v>
      </c>
      <c r="S78" s="7">
        <f t="shared" si="4"/>
        <v>0</v>
      </c>
      <c r="T78" s="179"/>
      <c r="U78" s="178">
        <v>0</v>
      </c>
      <c r="V78" s="178">
        <v>0</v>
      </c>
      <c r="W78" s="178">
        <v>0</v>
      </c>
      <c r="X78" s="178">
        <v>0</v>
      </c>
      <c r="Y78" s="178">
        <v>0</v>
      </c>
      <c r="Z78" s="178">
        <v>0</v>
      </c>
      <c r="AA78" s="178">
        <v>0</v>
      </c>
      <c r="AB78" s="178">
        <v>0</v>
      </c>
      <c r="AC78" s="178">
        <v>0</v>
      </c>
      <c r="AD78" s="178">
        <v>0</v>
      </c>
      <c r="AE78" s="178">
        <v>0</v>
      </c>
      <c r="AF78" s="178">
        <v>0</v>
      </c>
      <c r="AG78" s="518">
        <f t="shared" si="5"/>
        <v>0</v>
      </c>
      <c r="AH78" s="788"/>
      <c r="AI78" s="789"/>
      <c r="AJ78" s="517">
        <v>32400000</v>
      </c>
      <c r="AK78" s="518">
        <v>6600000</v>
      </c>
      <c r="AL78" s="518">
        <v>0</v>
      </c>
      <c r="AM78" s="518">
        <v>0</v>
      </c>
      <c r="AN78" s="518">
        <v>0</v>
      </c>
      <c r="AO78" s="518">
        <v>0</v>
      </c>
      <c r="AP78" s="518">
        <v>0</v>
      </c>
      <c r="AQ78" s="518">
        <v>6600000</v>
      </c>
      <c r="AR78" s="759">
        <v>0</v>
      </c>
      <c r="AS78" s="759">
        <v>0</v>
      </c>
      <c r="AT78" s="759">
        <v>6600000</v>
      </c>
      <c r="AU78" s="518">
        <f t="shared" si="32"/>
        <v>0</v>
      </c>
      <c r="AV78" s="518">
        <f t="shared" si="32"/>
        <v>0</v>
      </c>
      <c r="AW78" s="518">
        <f t="shared" si="32"/>
        <v>0</v>
      </c>
      <c r="AX78" s="518">
        <f t="shared" si="6"/>
        <v>52200000</v>
      </c>
      <c r="AY78" s="788"/>
      <c r="AZ78" s="789"/>
      <c r="BA78" s="517">
        <v>32400000</v>
      </c>
      <c r="BB78" s="518">
        <v>6600000</v>
      </c>
      <c r="BC78" s="518">
        <v>0</v>
      </c>
      <c r="BD78" s="518">
        <v>0</v>
      </c>
      <c r="BE78" s="518">
        <v>0</v>
      </c>
      <c r="BF78" s="518">
        <v>0</v>
      </c>
      <c r="BG78" s="518">
        <f t="shared" si="15"/>
        <v>0</v>
      </c>
      <c r="BH78" s="518">
        <v>0</v>
      </c>
      <c r="BI78" s="518">
        <v>0</v>
      </c>
      <c r="BJ78" s="518">
        <v>0</v>
      </c>
      <c r="BK78" s="518">
        <v>0</v>
      </c>
      <c r="BL78" s="518">
        <f t="shared" si="8"/>
        <v>39000000</v>
      </c>
      <c r="BN78" s="518">
        <v>0</v>
      </c>
      <c r="BO78" s="518">
        <v>0</v>
      </c>
      <c r="BP78" s="518">
        <v>0</v>
      </c>
      <c r="BQ78" s="518">
        <v>0</v>
      </c>
      <c r="BR78" s="518">
        <v>0</v>
      </c>
      <c r="BS78" s="518">
        <v>0</v>
      </c>
      <c r="BT78" s="518">
        <v>0</v>
      </c>
      <c r="BU78" s="518">
        <v>0</v>
      </c>
      <c r="BV78" s="518">
        <v>0</v>
      </c>
      <c r="BW78" s="518">
        <v>0</v>
      </c>
      <c r="BX78" s="518">
        <v>0</v>
      </c>
      <c r="BY78" s="518">
        <v>0</v>
      </c>
      <c r="BZ78" s="791">
        <v>0</v>
      </c>
      <c r="CB78" s="518">
        <v>0</v>
      </c>
      <c r="CC78" s="518">
        <v>0</v>
      </c>
      <c r="CD78" s="518">
        <v>0</v>
      </c>
      <c r="CE78" s="518">
        <v>0</v>
      </c>
      <c r="CF78" s="518">
        <v>0</v>
      </c>
      <c r="CG78" s="518">
        <v>0</v>
      </c>
      <c r="CH78" s="518">
        <v>0</v>
      </c>
      <c r="CI78" s="518">
        <v>0</v>
      </c>
      <c r="CJ78" s="518">
        <v>0</v>
      </c>
      <c r="CK78" s="518">
        <v>0</v>
      </c>
      <c r="CL78" s="518">
        <v>0</v>
      </c>
      <c r="CM78" s="518">
        <v>0</v>
      </c>
      <c r="CN78" s="791">
        <v>0</v>
      </c>
      <c r="CP78" s="647"/>
      <c r="CQ78" s="647"/>
      <c r="CR78" s="518"/>
      <c r="CS78" s="647"/>
      <c r="CT78" s="518"/>
      <c r="CU78" s="647"/>
      <c r="CV78" s="518"/>
      <c r="CW78" s="647"/>
      <c r="CX78" s="518"/>
      <c r="CY78" s="647"/>
      <c r="CZ78" s="518"/>
      <c r="DA78" s="647">
        <v>6600000</v>
      </c>
      <c r="DB78" s="518"/>
      <c r="DC78" s="647">
        <v>6600000</v>
      </c>
      <c r="DD78" s="518"/>
      <c r="DE78" s="518"/>
      <c r="DF78" s="518"/>
      <c r="DG78" s="748"/>
      <c r="DH78" s="518"/>
      <c r="DI78" s="518"/>
      <c r="DJ78" s="748"/>
      <c r="DK78" s="518"/>
      <c r="DL78" s="518"/>
      <c r="DM78" s="748"/>
      <c r="DN78" s="518"/>
      <c r="DO78" s="518"/>
      <c r="DP78" s="748"/>
      <c r="DQ78" s="493">
        <f t="shared" si="31"/>
        <v>13200000</v>
      </c>
      <c r="DR78" s="479">
        <f t="shared" ref="DR78:DR109" si="33">SUM(CP78,CQ78,CS78,CU78,CX78,CZ78,DB78,DD78,DG78,DJ78,DM78,DP78)</f>
        <v>0</v>
      </c>
      <c r="DS78" s="1163"/>
      <c r="DT78" s="1163"/>
      <c r="DU78" s="1163"/>
      <c r="DV78" s="1163"/>
      <c r="DW78" s="1163"/>
      <c r="DX78" s="1163"/>
      <c r="DY78" s="1163"/>
      <c r="DZ78" s="1163"/>
      <c r="EA78" s="1163"/>
      <c r="EB78" s="1163"/>
      <c r="EC78" s="1163"/>
      <c r="ED78" s="1163"/>
      <c r="EE78" s="1119">
        <f t="shared" si="28"/>
        <v>0</v>
      </c>
      <c r="EF78" s="443">
        <f t="shared" si="20"/>
        <v>0</v>
      </c>
      <c r="EG78" s="355">
        <f t="shared" si="21"/>
        <v>0</v>
      </c>
      <c r="EH78" s="443">
        <f t="shared" si="14"/>
        <v>0</v>
      </c>
      <c r="EI78" s="443">
        <f t="shared" si="14"/>
        <v>0</v>
      </c>
      <c r="EJ78" s="367">
        <v>3000019453</v>
      </c>
    </row>
    <row r="79" spans="1:156" ht="15.5" outlineLevel="2">
      <c r="A79" s="367" t="s">
        <v>39</v>
      </c>
      <c r="B79" s="378"/>
      <c r="C79" s="370" t="s">
        <v>358</v>
      </c>
      <c r="D79" s="370" t="s">
        <v>40</v>
      </c>
      <c r="E79" s="379" t="s">
        <v>406</v>
      </c>
      <c r="F79" s="380">
        <v>3000019276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7">
        <f t="shared" si="4"/>
        <v>0</v>
      </c>
      <c r="T79" s="179"/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518">
        <f t="shared" si="5"/>
        <v>0</v>
      </c>
      <c r="AH79" s="788"/>
      <c r="AI79" s="789">
        <v>15225000</v>
      </c>
      <c r="AJ79" s="517">
        <v>14885000</v>
      </c>
      <c r="AK79" s="518">
        <v>13750000</v>
      </c>
      <c r="AL79" s="518">
        <v>5700000</v>
      </c>
      <c r="AM79" s="518">
        <v>9500000</v>
      </c>
      <c r="AN79" s="518">
        <v>8055000</v>
      </c>
      <c r="AO79" s="518">
        <v>1900000</v>
      </c>
      <c r="AP79" s="518">
        <v>3800000</v>
      </c>
      <c r="AQ79" s="518">
        <v>4100000</v>
      </c>
      <c r="AR79" s="759">
        <v>700000</v>
      </c>
      <c r="AS79" s="759">
        <v>0</v>
      </c>
      <c r="AT79" s="759">
        <v>0</v>
      </c>
      <c r="AU79" s="794">
        <v>4100000</v>
      </c>
      <c r="AV79" s="794">
        <v>4100000</v>
      </c>
      <c r="AW79" s="794">
        <v>4100000</v>
      </c>
      <c r="AX79" s="518">
        <f t="shared" si="6"/>
        <v>77615000</v>
      </c>
      <c r="AY79" s="788"/>
      <c r="AZ79" s="789">
        <v>15225000</v>
      </c>
      <c r="BA79" s="517">
        <v>14885000</v>
      </c>
      <c r="BB79" s="518">
        <v>13750000</v>
      </c>
      <c r="BC79" s="518">
        <v>5700000</v>
      </c>
      <c r="BD79" s="518">
        <v>9500000</v>
      </c>
      <c r="BE79" s="518">
        <v>8055000</v>
      </c>
      <c r="BF79" s="518">
        <v>1900000</v>
      </c>
      <c r="BG79" s="518">
        <f t="shared" si="15"/>
        <v>3800000</v>
      </c>
      <c r="BH79" s="518">
        <v>13750000</v>
      </c>
      <c r="BI79" s="518">
        <v>13750000</v>
      </c>
      <c r="BJ79" s="518">
        <v>13750000</v>
      </c>
      <c r="BK79" s="518">
        <v>13750000</v>
      </c>
      <c r="BL79" s="518">
        <f t="shared" si="8"/>
        <v>127815000</v>
      </c>
      <c r="BN79" s="518">
        <v>10000000</v>
      </c>
      <c r="BO79" s="518">
        <v>10000000</v>
      </c>
      <c r="BP79" s="518">
        <v>10000000</v>
      </c>
      <c r="BQ79" s="518">
        <v>5000000</v>
      </c>
      <c r="BR79" s="518">
        <v>5000000</v>
      </c>
      <c r="BS79" s="518">
        <v>10000000</v>
      </c>
      <c r="BT79" s="518">
        <v>10000000</v>
      </c>
      <c r="BU79" s="518">
        <v>10000000</v>
      </c>
      <c r="BV79" s="518">
        <v>10000000</v>
      </c>
      <c r="BW79" s="518">
        <v>10000000</v>
      </c>
      <c r="BX79" s="518">
        <v>10000000</v>
      </c>
      <c r="BY79" s="518">
        <v>10000000</v>
      </c>
      <c r="BZ79" s="791">
        <v>110000000</v>
      </c>
      <c r="CB79" s="518">
        <v>10000000</v>
      </c>
      <c r="CC79" s="518">
        <v>10000000</v>
      </c>
      <c r="CD79" s="518">
        <v>10000000</v>
      </c>
      <c r="CE79" s="518">
        <v>5000000</v>
      </c>
      <c r="CF79" s="518">
        <v>5000000</v>
      </c>
      <c r="CG79" s="518">
        <v>10000000</v>
      </c>
      <c r="CH79" s="518">
        <v>10000000</v>
      </c>
      <c r="CI79" s="518">
        <v>10000000</v>
      </c>
      <c r="CJ79" s="518">
        <v>10000000</v>
      </c>
      <c r="CK79" s="518">
        <v>10000000</v>
      </c>
      <c r="CL79" s="518">
        <v>10000000</v>
      </c>
      <c r="CM79" s="518">
        <v>10000000</v>
      </c>
      <c r="CN79" s="791">
        <v>110000000</v>
      </c>
      <c r="CP79" s="647"/>
      <c r="CQ79" s="647"/>
      <c r="CR79" s="518"/>
      <c r="CS79" s="647"/>
      <c r="CT79" s="518"/>
      <c r="CU79" s="647">
        <v>10935000</v>
      </c>
      <c r="CV79" s="518"/>
      <c r="CW79" s="647"/>
      <c r="CX79" s="518">
        <v>10935000</v>
      </c>
      <c r="CY79" s="647"/>
      <c r="CZ79" s="518">
        <v>10935000</v>
      </c>
      <c r="DA79" s="647"/>
      <c r="DB79" s="518">
        <v>10935000</v>
      </c>
      <c r="DC79" s="647">
        <v>0</v>
      </c>
      <c r="DD79" s="518">
        <v>10935000</v>
      </c>
      <c r="DE79" s="518"/>
      <c r="DF79" s="518">
        <v>10935000</v>
      </c>
      <c r="DG79" s="748">
        <v>10935000</v>
      </c>
      <c r="DH79" s="518"/>
      <c r="DI79" s="518">
        <v>10935000</v>
      </c>
      <c r="DJ79" s="748">
        <v>10935000</v>
      </c>
      <c r="DK79" s="518"/>
      <c r="DL79" s="518">
        <v>10935000</v>
      </c>
      <c r="DM79" s="748">
        <v>10935000</v>
      </c>
      <c r="DN79" s="518"/>
      <c r="DO79" s="518">
        <v>10935000</v>
      </c>
      <c r="DP79" s="748">
        <v>10935000</v>
      </c>
      <c r="DQ79" s="493">
        <f t="shared" si="31"/>
        <v>54675000</v>
      </c>
      <c r="DR79" s="479">
        <f t="shared" si="33"/>
        <v>98415000</v>
      </c>
      <c r="DS79" s="1163"/>
      <c r="DT79" s="1163"/>
      <c r="DU79" s="1163"/>
      <c r="DV79" s="1163"/>
      <c r="DW79" s="1163"/>
      <c r="DX79" s="1163"/>
      <c r="DY79" s="1163"/>
      <c r="DZ79" s="1163"/>
      <c r="EA79" s="1163"/>
      <c r="EB79" s="1163"/>
      <c r="EC79" s="1163"/>
      <c r="ED79" s="1163"/>
      <c r="EE79" s="1119">
        <f t="shared" si="28"/>
        <v>0</v>
      </c>
      <c r="EF79" s="443">
        <f t="shared" si="20"/>
        <v>0</v>
      </c>
      <c r="EG79" s="355">
        <f t="shared" si="21"/>
        <v>0</v>
      </c>
      <c r="EH79" s="443">
        <f t="shared" si="14"/>
        <v>0</v>
      </c>
      <c r="EI79" s="443">
        <f t="shared" si="14"/>
        <v>0</v>
      </c>
      <c r="EJ79" s="367">
        <v>3000019276</v>
      </c>
    </row>
    <row r="80" spans="1:156" ht="15.5" outlineLevel="2">
      <c r="A80" s="367" t="s">
        <v>39</v>
      </c>
      <c r="B80" s="378"/>
      <c r="C80" s="370" t="s">
        <v>358</v>
      </c>
      <c r="D80" s="370" t="s">
        <v>40</v>
      </c>
      <c r="E80" s="379" t="s">
        <v>77</v>
      </c>
      <c r="F80" s="380">
        <v>3000002698</v>
      </c>
      <c r="G80" s="178">
        <v>5000000</v>
      </c>
      <c r="H80" s="178">
        <v>0</v>
      </c>
      <c r="I80" s="178">
        <v>0</v>
      </c>
      <c r="J80" s="178">
        <v>8320000</v>
      </c>
      <c r="K80" s="178">
        <v>0</v>
      </c>
      <c r="L80" s="178">
        <v>6715000</v>
      </c>
      <c r="M80" s="178">
        <v>9765000</v>
      </c>
      <c r="N80" s="178">
        <v>8706000</v>
      </c>
      <c r="O80" s="178">
        <v>7161160</v>
      </c>
      <c r="P80" s="178">
        <v>4120000</v>
      </c>
      <c r="Q80" s="178">
        <v>5508000</v>
      </c>
      <c r="R80" s="178">
        <v>4453000</v>
      </c>
      <c r="S80" s="7">
        <f t="shared" si="4"/>
        <v>59748160</v>
      </c>
      <c r="T80" s="179"/>
      <c r="U80" s="178">
        <v>7634500</v>
      </c>
      <c r="V80" s="178">
        <v>3690000</v>
      </c>
      <c r="W80" s="178">
        <v>2500000</v>
      </c>
      <c r="X80" s="178">
        <v>3410000</v>
      </c>
      <c r="Y80" s="178">
        <v>2100000</v>
      </c>
      <c r="Z80" s="178">
        <v>820000</v>
      </c>
      <c r="AA80" s="178">
        <v>1730000</v>
      </c>
      <c r="AB80" s="178">
        <v>820000</v>
      </c>
      <c r="AC80" s="178">
        <v>820000</v>
      </c>
      <c r="AD80" s="178">
        <v>0</v>
      </c>
      <c r="AE80" s="178">
        <v>2020000</v>
      </c>
      <c r="AF80" s="178">
        <v>0</v>
      </c>
      <c r="AG80" s="518">
        <f t="shared" si="5"/>
        <v>25544500</v>
      </c>
      <c r="AH80" s="788"/>
      <c r="AI80" s="789">
        <v>820000</v>
      </c>
      <c r="AJ80" s="517">
        <v>1640000</v>
      </c>
      <c r="AK80" s="518">
        <v>0</v>
      </c>
      <c r="AL80" s="518">
        <v>0</v>
      </c>
      <c r="AM80" s="518">
        <v>0</v>
      </c>
      <c r="AN80" s="518">
        <v>820000</v>
      </c>
      <c r="AO80" s="518">
        <v>820000</v>
      </c>
      <c r="AP80" s="518">
        <v>820000</v>
      </c>
      <c r="AQ80" s="518">
        <v>820000</v>
      </c>
      <c r="AR80" s="759">
        <v>2900000</v>
      </c>
      <c r="AS80" s="759">
        <v>700000</v>
      </c>
      <c r="AT80" s="759">
        <v>0</v>
      </c>
      <c r="AU80" s="518">
        <f t="shared" ref="AU80:AW81" si="34">BI80</f>
        <v>820000</v>
      </c>
      <c r="AV80" s="518">
        <f t="shared" si="34"/>
        <v>820000</v>
      </c>
      <c r="AW80" s="518">
        <f t="shared" si="34"/>
        <v>820000</v>
      </c>
      <c r="AX80" s="518">
        <f t="shared" si="6"/>
        <v>9340000</v>
      </c>
      <c r="AY80" s="788"/>
      <c r="AZ80" s="789">
        <v>820000</v>
      </c>
      <c r="BA80" s="517">
        <v>1640000</v>
      </c>
      <c r="BB80" s="518">
        <v>0</v>
      </c>
      <c r="BC80" s="518">
        <v>0</v>
      </c>
      <c r="BD80" s="518">
        <v>0</v>
      </c>
      <c r="BE80" s="518">
        <v>820000</v>
      </c>
      <c r="BF80" s="518">
        <v>820000</v>
      </c>
      <c r="BG80" s="518">
        <f t="shared" si="15"/>
        <v>820000</v>
      </c>
      <c r="BH80" s="518">
        <v>820000</v>
      </c>
      <c r="BI80" s="518">
        <v>820000</v>
      </c>
      <c r="BJ80" s="518">
        <v>820000</v>
      </c>
      <c r="BK80" s="518">
        <v>820000</v>
      </c>
      <c r="BL80" s="518">
        <f t="shared" si="8"/>
        <v>8200000</v>
      </c>
      <c r="BN80" s="518">
        <v>1000000</v>
      </c>
      <c r="BO80" s="518">
        <v>1000000</v>
      </c>
      <c r="BP80" s="518">
        <v>1000000</v>
      </c>
      <c r="BQ80" s="518">
        <v>1000000</v>
      </c>
      <c r="BR80" s="518">
        <v>500000</v>
      </c>
      <c r="BS80" s="518">
        <v>500000</v>
      </c>
      <c r="BT80" s="518">
        <v>1000000</v>
      </c>
      <c r="BU80" s="518">
        <v>1000000</v>
      </c>
      <c r="BV80" s="518">
        <v>1000000</v>
      </c>
      <c r="BW80" s="518">
        <v>1000000</v>
      </c>
      <c r="BX80" s="518">
        <v>1000000</v>
      </c>
      <c r="BY80" s="518">
        <v>1000000</v>
      </c>
      <c r="BZ80" s="791">
        <v>11000000</v>
      </c>
      <c r="CB80" s="518">
        <v>1000000</v>
      </c>
      <c r="CC80" s="518">
        <v>1000000</v>
      </c>
      <c r="CD80" s="518">
        <v>1000000</v>
      </c>
      <c r="CE80" s="518">
        <v>1000000</v>
      </c>
      <c r="CF80" s="518">
        <v>500000</v>
      </c>
      <c r="CG80" s="518">
        <v>500000</v>
      </c>
      <c r="CH80" s="518">
        <v>1000000</v>
      </c>
      <c r="CI80" s="518">
        <v>1000000</v>
      </c>
      <c r="CJ80" s="518">
        <v>1000000</v>
      </c>
      <c r="CK80" s="518">
        <v>1000000</v>
      </c>
      <c r="CL80" s="518">
        <v>1000000</v>
      </c>
      <c r="CM80" s="518">
        <v>1000000</v>
      </c>
      <c r="CN80" s="791">
        <v>11000000</v>
      </c>
      <c r="CP80" s="647"/>
      <c r="CQ80" s="647"/>
      <c r="CR80" s="518"/>
      <c r="CS80" s="647"/>
      <c r="CT80" s="518"/>
      <c r="CU80" s="647"/>
      <c r="CV80" s="518"/>
      <c r="CW80" s="647">
        <v>3630000</v>
      </c>
      <c r="CX80" s="518"/>
      <c r="CY80" s="647">
        <v>-1810000</v>
      </c>
      <c r="CZ80" s="518"/>
      <c r="DA80" s="647">
        <v>820000</v>
      </c>
      <c r="DB80" s="518"/>
      <c r="DC80" s="647">
        <v>820000</v>
      </c>
      <c r="DD80" s="518"/>
      <c r="DE80" s="518"/>
      <c r="DF80" s="518"/>
      <c r="DG80" s="748"/>
      <c r="DH80" s="518"/>
      <c r="DI80" s="518"/>
      <c r="DJ80" s="748"/>
      <c r="DK80" s="518"/>
      <c r="DL80" s="518"/>
      <c r="DM80" s="748"/>
      <c r="DN80" s="518"/>
      <c r="DO80" s="518"/>
      <c r="DP80" s="748"/>
      <c r="DQ80" s="493">
        <f t="shared" si="31"/>
        <v>3460000</v>
      </c>
      <c r="DR80" s="479">
        <f t="shared" si="33"/>
        <v>0</v>
      </c>
      <c r="DS80" s="1163"/>
      <c r="DT80" s="1163"/>
      <c r="DU80" s="1163"/>
      <c r="DV80" s="1163"/>
      <c r="DW80" s="1163"/>
      <c r="DX80" s="1163"/>
      <c r="DY80" s="1163"/>
      <c r="DZ80" s="1163"/>
      <c r="EA80" s="1163"/>
      <c r="EB80" s="1163"/>
      <c r="EC80" s="1163"/>
      <c r="ED80" s="1163"/>
      <c r="EE80" s="1119">
        <f t="shared" si="28"/>
        <v>0</v>
      </c>
      <c r="EF80" s="443">
        <f t="shared" si="20"/>
        <v>0</v>
      </c>
      <c r="EG80" s="355">
        <f t="shared" si="21"/>
        <v>0</v>
      </c>
      <c r="EH80" s="443">
        <f t="shared" si="14"/>
        <v>0</v>
      </c>
      <c r="EI80" s="443">
        <f t="shared" si="14"/>
        <v>0</v>
      </c>
      <c r="EJ80" s="367">
        <v>3000002698</v>
      </c>
    </row>
    <row r="81" spans="1:140" ht="15.5" outlineLevel="2">
      <c r="A81" s="367" t="s">
        <v>39</v>
      </c>
      <c r="B81" s="378"/>
      <c r="C81" s="370" t="s">
        <v>358</v>
      </c>
      <c r="D81" s="370" t="s">
        <v>40</v>
      </c>
      <c r="E81" s="379" t="s">
        <v>407</v>
      </c>
      <c r="F81" s="380">
        <v>3000017014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7">
        <f t="shared" si="4"/>
        <v>0</v>
      </c>
      <c r="T81" s="179"/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0</v>
      </c>
      <c r="AD81" s="178">
        <v>0</v>
      </c>
      <c r="AE81" s="178">
        <v>0</v>
      </c>
      <c r="AF81" s="178">
        <v>0</v>
      </c>
      <c r="AG81" s="518">
        <f t="shared" si="5"/>
        <v>0</v>
      </c>
      <c r="AH81" s="788"/>
      <c r="AI81" s="789"/>
      <c r="AJ81" s="517">
        <v>5050000</v>
      </c>
      <c r="AK81" s="518">
        <v>1800000</v>
      </c>
      <c r="AL81" s="518">
        <v>3750000</v>
      </c>
      <c r="AM81" s="518">
        <v>3150000</v>
      </c>
      <c r="AN81" s="518">
        <v>1200000</v>
      </c>
      <c r="AO81" s="518">
        <v>0</v>
      </c>
      <c r="AP81" s="518">
        <v>0</v>
      </c>
      <c r="AQ81" s="518">
        <v>0</v>
      </c>
      <c r="AR81" s="518"/>
      <c r="AS81" s="518"/>
      <c r="AT81" s="518"/>
      <c r="AU81" s="518">
        <f t="shared" si="34"/>
        <v>2400000</v>
      </c>
      <c r="AV81" s="518">
        <f t="shared" si="34"/>
        <v>2400000</v>
      </c>
      <c r="AW81" s="518">
        <f t="shared" si="34"/>
        <v>2400000</v>
      </c>
      <c r="AX81" s="518">
        <f t="shared" si="6"/>
        <v>14950000</v>
      </c>
      <c r="AY81" s="788"/>
      <c r="AZ81" s="789"/>
      <c r="BA81" s="517">
        <v>5050000</v>
      </c>
      <c r="BB81" s="518">
        <v>1800000</v>
      </c>
      <c r="BC81" s="518">
        <v>3750000</v>
      </c>
      <c r="BD81" s="518">
        <v>3150000</v>
      </c>
      <c r="BE81" s="518">
        <v>1200000</v>
      </c>
      <c r="BF81" s="518">
        <v>0</v>
      </c>
      <c r="BG81" s="518">
        <f t="shared" si="15"/>
        <v>0</v>
      </c>
      <c r="BH81" s="518">
        <v>2400000</v>
      </c>
      <c r="BI81" s="518">
        <v>2400000</v>
      </c>
      <c r="BJ81" s="518">
        <v>2400000</v>
      </c>
      <c r="BK81" s="518">
        <v>2400000</v>
      </c>
      <c r="BL81" s="518">
        <f t="shared" si="8"/>
        <v>24550000</v>
      </c>
      <c r="BN81" s="518">
        <v>3000000</v>
      </c>
      <c r="BO81" s="518">
        <v>3000000</v>
      </c>
      <c r="BP81" s="518">
        <v>3000000</v>
      </c>
      <c r="BQ81" s="518">
        <v>3000000</v>
      </c>
      <c r="BR81" s="518">
        <v>2000000</v>
      </c>
      <c r="BS81" s="518">
        <v>2000000</v>
      </c>
      <c r="BT81" s="518">
        <v>3000000</v>
      </c>
      <c r="BU81" s="518">
        <v>3000000</v>
      </c>
      <c r="BV81" s="518">
        <v>3000000</v>
      </c>
      <c r="BW81" s="518">
        <v>3000000</v>
      </c>
      <c r="BX81" s="518">
        <v>3000000</v>
      </c>
      <c r="BY81" s="518">
        <v>3000000</v>
      </c>
      <c r="BZ81" s="791">
        <v>34000000</v>
      </c>
      <c r="CB81" s="518">
        <v>3000000</v>
      </c>
      <c r="CC81" s="518">
        <v>3000000</v>
      </c>
      <c r="CD81" s="518">
        <v>3000000</v>
      </c>
      <c r="CE81" s="518">
        <v>3000000</v>
      </c>
      <c r="CF81" s="518">
        <v>2000000</v>
      </c>
      <c r="CG81" s="518">
        <v>2000000</v>
      </c>
      <c r="CH81" s="518">
        <v>3000000</v>
      </c>
      <c r="CI81" s="518">
        <v>3000000</v>
      </c>
      <c r="CJ81" s="518">
        <v>3000000</v>
      </c>
      <c r="CK81" s="518">
        <v>3000000</v>
      </c>
      <c r="CL81" s="518">
        <v>3000000</v>
      </c>
      <c r="CM81" s="518">
        <v>3000000</v>
      </c>
      <c r="CN81" s="791">
        <v>34000000</v>
      </c>
      <c r="CP81" s="647"/>
      <c r="CQ81" s="647"/>
      <c r="CR81" s="518"/>
      <c r="CS81" s="647"/>
      <c r="CT81" s="518"/>
      <c r="CU81" s="647"/>
      <c r="CV81" s="518"/>
      <c r="CW81" s="647"/>
      <c r="CX81" s="518"/>
      <c r="CY81" s="647"/>
      <c r="CZ81" s="518"/>
      <c r="DA81" s="647"/>
      <c r="DB81" s="518"/>
      <c r="DC81" s="647">
        <v>0</v>
      </c>
      <c r="DD81" s="518"/>
      <c r="DE81" s="518"/>
      <c r="DF81" s="518"/>
      <c r="DG81" s="748"/>
      <c r="DH81" s="518"/>
      <c r="DI81" s="518"/>
      <c r="DJ81" s="748"/>
      <c r="DK81" s="518"/>
      <c r="DL81" s="518"/>
      <c r="DM81" s="748"/>
      <c r="DN81" s="518"/>
      <c r="DO81" s="518"/>
      <c r="DP81" s="748"/>
      <c r="DQ81" s="493">
        <f t="shared" si="31"/>
        <v>0</v>
      </c>
      <c r="DR81" s="479">
        <f t="shared" si="33"/>
        <v>0</v>
      </c>
      <c r="DS81" s="1163"/>
      <c r="DT81" s="1163"/>
      <c r="DU81" s="1163"/>
      <c r="DV81" s="1163"/>
      <c r="DW81" s="1163"/>
      <c r="DX81" s="1163"/>
      <c r="DY81" s="1163"/>
      <c r="DZ81" s="1163"/>
      <c r="EA81" s="1163"/>
      <c r="EB81" s="1163"/>
      <c r="EC81" s="1163"/>
      <c r="ED81" s="1163"/>
      <c r="EE81" s="1119">
        <f t="shared" si="28"/>
        <v>0</v>
      </c>
      <c r="EF81" s="443">
        <f t="shared" si="20"/>
        <v>0</v>
      </c>
      <c r="EG81" s="355">
        <f t="shared" si="21"/>
        <v>0</v>
      </c>
      <c r="EH81" s="443">
        <f t="shared" si="14"/>
        <v>0</v>
      </c>
      <c r="EI81" s="443">
        <f t="shared" si="14"/>
        <v>0</v>
      </c>
      <c r="EJ81" s="367">
        <v>3000017014</v>
      </c>
    </row>
    <row r="82" spans="1:140" ht="15.5" outlineLevel="2">
      <c r="A82" s="367" t="s">
        <v>59</v>
      </c>
      <c r="B82" s="378"/>
      <c r="C82" s="370" t="s">
        <v>358</v>
      </c>
      <c r="D82" s="370" t="s">
        <v>108</v>
      </c>
      <c r="E82" s="379" t="s">
        <v>408</v>
      </c>
      <c r="F82" s="380" t="s">
        <v>409</v>
      </c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7"/>
      <c r="T82" s="179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518"/>
      <c r="AH82" s="788"/>
      <c r="AI82" s="789"/>
      <c r="AJ82" s="517"/>
      <c r="AK82" s="518"/>
      <c r="AL82" s="518"/>
      <c r="AM82" s="518"/>
      <c r="AN82" s="518"/>
      <c r="AO82" s="518"/>
      <c r="AP82" s="518"/>
      <c r="AQ82" s="518"/>
      <c r="AR82" s="518"/>
      <c r="AS82" s="518"/>
      <c r="AT82" s="518"/>
      <c r="AU82" s="518"/>
      <c r="AV82" s="518"/>
      <c r="AW82" s="518"/>
      <c r="AX82" s="518"/>
      <c r="AY82" s="788"/>
      <c r="AZ82" s="789"/>
      <c r="BA82" s="517"/>
      <c r="BB82" s="518"/>
      <c r="BC82" s="518"/>
      <c r="BD82" s="518"/>
      <c r="BE82" s="518"/>
      <c r="BF82" s="518"/>
      <c r="BG82" s="518"/>
      <c r="BH82" s="518"/>
      <c r="BI82" s="518"/>
      <c r="BJ82" s="518"/>
      <c r="BK82" s="518"/>
      <c r="BL82" s="518"/>
      <c r="BN82" s="518"/>
      <c r="BO82" s="518"/>
      <c r="BP82" s="518"/>
      <c r="BQ82" s="518"/>
      <c r="BR82" s="518"/>
      <c r="BS82" s="518"/>
      <c r="BT82" s="518"/>
      <c r="BU82" s="518"/>
      <c r="BV82" s="518"/>
      <c r="BW82" s="518"/>
      <c r="BX82" s="518"/>
      <c r="BY82" s="518"/>
      <c r="BZ82" s="791"/>
      <c r="CB82" s="518"/>
      <c r="CC82" s="518"/>
      <c r="CD82" s="518"/>
      <c r="CE82" s="518"/>
      <c r="CF82" s="518"/>
      <c r="CG82" s="518"/>
      <c r="CH82" s="518"/>
      <c r="CI82" s="518"/>
      <c r="CJ82" s="518"/>
      <c r="CK82" s="518"/>
      <c r="CL82" s="518"/>
      <c r="CM82" s="518"/>
      <c r="CN82" s="791"/>
      <c r="CP82" s="647"/>
      <c r="CQ82" s="647">
        <v>8184000</v>
      </c>
      <c r="CR82" s="518"/>
      <c r="CS82" s="647"/>
      <c r="CT82" s="518"/>
      <c r="CU82" s="647"/>
      <c r="CV82" s="518"/>
      <c r="CW82" s="647"/>
      <c r="CX82" s="518"/>
      <c r="CY82" s="647"/>
      <c r="CZ82" s="518"/>
      <c r="DA82" s="647"/>
      <c r="DB82" s="518"/>
      <c r="DC82" s="647">
        <v>0</v>
      </c>
      <c r="DD82" s="518"/>
      <c r="DE82" s="518"/>
      <c r="DF82" s="518"/>
      <c r="DG82" s="748"/>
      <c r="DH82" s="518"/>
      <c r="DI82" s="518"/>
      <c r="DJ82" s="748"/>
      <c r="DK82" s="518"/>
      <c r="DL82" s="518"/>
      <c r="DM82" s="748"/>
      <c r="DN82" s="518"/>
      <c r="DO82" s="518"/>
      <c r="DP82" s="748"/>
      <c r="DQ82" s="493">
        <f t="shared" si="31"/>
        <v>8184000</v>
      </c>
      <c r="DR82" s="479">
        <f t="shared" si="33"/>
        <v>8184000</v>
      </c>
      <c r="DS82" s="1163"/>
      <c r="DT82" s="1163"/>
      <c r="DU82" s="1163"/>
      <c r="DV82" s="1163"/>
      <c r="DW82" s="1163"/>
      <c r="DX82" s="1163"/>
      <c r="DY82" s="1163"/>
      <c r="DZ82" s="1163"/>
      <c r="EA82" s="1163"/>
      <c r="EB82" s="1163"/>
      <c r="EC82" s="1163"/>
      <c r="ED82" s="1163"/>
      <c r="EE82" s="1119">
        <f t="shared" si="28"/>
        <v>0</v>
      </c>
      <c r="EF82" s="443">
        <f t="shared" si="20"/>
        <v>0</v>
      </c>
      <c r="EG82" s="355">
        <f t="shared" si="21"/>
        <v>0</v>
      </c>
      <c r="EH82" s="443">
        <f t="shared" si="14"/>
        <v>0</v>
      </c>
      <c r="EI82" s="443">
        <f t="shared" si="14"/>
        <v>0</v>
      </c>
    </row>
    <row r="83" spans="1:140" ht="15.5" outlineLevel="2">
      <c r="A83" s="367" t="s">
        <v>39</v>
      </c>
      <c r="B83" s="378"/>
      <c r="C83" s="370" t="s">
        <v>358</v>
      </c>
      <c r="D83" s="370" t="s">
        <v>40</v>
      </c>
      <c r="E83" s="379" t="s">
        <v>410</v>
      </c>
      <c r="F83" s="380">
        <v>3000015457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91916619</v>
      </c>
      <c r="N83" s="178">
        <v>192626380</v>
      </c>
      <c r="O83" s="178">
        <v>19827513</v>
      </c>
      <c r="P83" s="178">
        <v>-53551190</v>
      </c>
      <c r="Q83" s="178">
        <v>-145653931</v>
      </c>
      <c r="R83" s="178">
        <v>52308961</v>
      </c>
      <c r="S83" s="7">
        <f t="shared" si="4"/>
        <v>157474352</v>
      </c>
      <c r="T83" s="179"/>
      <c r="U83" s="178">
        <v>11750270</v>
      </c>
      <c r="V83" s="178">
        <v>30780637</v>
      </c>
      <c r="W83" s="178">
        <v>48090567</v>
      </c>
      <c r="X83" s="178">
        <v>11673650</v>
      </c>
      <c r="Y83" s="178">
        <v>16168930</v>
      </c>
      <c r="Z83" s="178">
        <v>47870583</v>
      </c>
      <c r="AA83" s="178">
        <v>45910075</v>
      </c>
      <c r="AB83" s="178">
        <v>45926543</v>
      </c>
      <c r="AC83" s="178">
        <v>38230933</v>
      </c>
      <c r="AD83" s="178">
        <v>53045149</v>
      </c>
      <c r="AE83" s="178">
        <v>16011102</v>
      </c>
      <c r="AF83" s="178">
        <v>38197390</v>
      </c>
      <c r="AG83" s="518">
        <f t="shared" si="5"/>
        <v>403655829</v>
      </c>
      <c r="AH83" s="788"/>
      <c r="AI83" s="789">
        <v>33144226</v>
      </c>
      <c r="AJ83" s="517">
        <v>64450570</v>
      </c>
      <c r="AK83" s="518">
        <v>23710225</v>
      </c>
      <c r="AL83" s="518">
        <v>5791297</v>
      </c>
      <c r="AM83" s="518">
        <v>0</v>
      </c>
      <c r="AN83" s="518">
        <v>1206435</v>
      </c>
      <c r="AO83" s="518">
        <v>1955669</v>
      </c>
      <c r="AP83" s="518">
        <v>8156600</v>
      </c>
      <c r="AQ83" s="518">
        <v>0</v>
      </c>
      <c r="AR83" s="759">
        <v>3718811</v>
      </c>
      <c r="AS83" s="759">
        <v>3810087</v>
      </c>
      <c r="AT83" s="759">
        <v>1074314</v>
      </c>
      <c r="AU83" s="518">
        <f t="shared" ref="AU83:AW84" si="35">BI83</f>
        <v>5000000</v>
      </c>
      <c r="AV83" s="518">
        <f t="shared" si="35"/>
        <v>5000000</v>
      </c>
      <c r="AW83" s="518">
        <f t="shared" si="35"/>
        <v>5000000</v>
      </c>
      <c r="AX83" s="518">
        <f t="shared" si="6"/>
        <v>147018234</v>
      </c>
      <c r="AY83" s="788"/>
      <c r="AZ83" s="789">
        <v>33144226</v>
      </c>
      <c r="BA83" s="517">
        <v>64450570</v>
      </c>
      <c r="BB83" s="518">
        <v>23710225</v>
      </c>
      <c r="BC83" s="518">
        <v>5791297</v>
      </c>
      <c r="BD83" s="518">
        <v>0</v>
      </c>
      <c r="BE83" s="518">
        <v>1206435</v>
      </c>
      <c r="BF83" s="518">
        <v>1955669</v>
      </c>
      <c r="BG83" s="518">
        <f t="shared" si="15"/>
        <v>8156600</v>
      </c>
      <c r="BH83" s="518">
        <v>5000000</v>
      </c>
      <c r="BI83" s="518">
        <v>5000000</v>
      </c>
      <c r="BJ83" s="518">
        <v>5000000</v>
      </c>
      <c r="BK83" s="518">
        <v>5000000</v>
      </c>
      <c r="BL83" s="518">
        <f t="shared" si="8"/>
        <v>158415022</v>
      </c>
      <c r="BN83" s="518">
        <v>5000000</v>
      </c>
      <c r="BO83" s="518">
        <v>5000000</v>
      </c>
      <c r="BP83" s="518">
        <v>5000000</v>
      </c>
      <c r="BQ83" s="518">
        <v>5000000</v>
      </c>
      <c r="BR83" s="518">
        <v>5000000</v>
      </c>
      <c r="BS83" s="518">
        <v>5000000</v>
      </c>
      <c r="BT83" s="518">
        <v>5000000</v>
      </c>
      <c r="BU83" s="518">
        <v>5000000</v>
      </c>
      <c r="BV83" s="518">
        <v>5000000</v>
      </c>
      <c r="BW83" s="518">
        <v>5000000</v>
      </c>
      <c r="BX83" s="518">
        <v>5000000</v>
      </c>
      <c r="BY83" s="518">
        <v>5000000</v>
      </c>
      <c r="BZ83" s="791">
        <v>60000000</v>
      </c>
      <c r="CB83" s="518">
        <v>5000000</v>
      </c>
      <c r="CC83" s="518">
        <v>5000000</v>
      </c>
      <c r="CD83" s="518">
        <v>5000000</v>
      </c>
      <c r="CE83" s="518">
        <v>5000000</v>
      </c>
      <c r="CF83" s="518">
        <v>5000000</v>
      </c>
      <c r="CG83" s="518">
        <v>5000000</v>
      </c>
      <c r="CH83" s="518">
        <v>5000000</v>
      </c>
      <c r="CI83" s="518">
        <v>5000000</v>
      </c>
      <c r="CJ83" s="518">
        <v>5000000</v>
      </c>
      <c r="CK83" s="518">
        <v>5000000</v>
      </c>
      <c r="CL83" s="518">
        <v>5000000</v>
      </c>
      <c r="CM83" s="518">
        <v>5000000</v>
      </c>
      <c r="CN83" s="791">
        <v>60000000</v>
      </c>
      <c r="CP83" s="647">
        <v>11048937</v>
      </c>
      <c r="CQ83" s="647">
        <v>11085948</v>
      </c>
      <c r="CR83" s="518">
        <v>15000000</v>
      </c>
      <c r="CS83" s="647">
        <v>16086022</v>
      </c>
      <c r="CT83" s="518">
        <v>15000000</v>
      </c>
      <c r="CU83" s="647">
        <v>67211591</v>
      </c>
      <c r="CV83" s="518">
        <v>50000000</v>
      </c>
      <c r="CW83" s="647">
        <v>16924860</v>
      </c>
      <c r="CX83" s="518">
        <v>50000000</v>
      </c>
      <c r="CY83" s="647">
        <v>37052051</v>
      </c>
      <c r="CZ83" s="518">
        <v>100000000</v>
      </c>
      <c r="DA83" s="647">
        <v>44893389</v>
      </c>
      <c r="DB83" s="518">
        <v>100000000</v>
      </c>
      <c r="DC83" s="647">
        <v>31097797</v>
      </c>
      <c r="DD83" s="518">
        <v>100000000</v>
      </c>
      <c r="DE83" s="518"/>
      <c r="DF83" s="518">
        <v>100000000</v>
      </c>
      <c r="DG83" s="748">
        <v>40000000</v>
      </c>
      <c r="DH83" s="518"/>
      <c r="DI83" s="518">
        <v>100000000</v>
      </c>
      <c r="DJ83" s="748">
        <v>50000000</v>
      </c>
      <c r="DK83" s="518"/>
      <c r="DL83" s="518">
        <v>100000000</v>
      </c>
      <c r="DM83" s="748">
        <v>50000000</v>
      </c>
      <c r="DN83" s="518"/>
      <c r="DO83" s="518">
        <v>100000000</v>
      </c>
      <c r="DP83" s="748">
        <v>50000000</v>
      </c>
      <c r="DQ83" s="493">
        <f t="shared" si="31"/>
        <v>635400595</v>
      </c>
      <c r="DR83" s="479">
        <f t="shared" si="33"/>
        <v>645432498</v>
      </c>
      <c r="DS83" s="1163">
        <v>40000000</v>
      </c>
      <c r="DT83" s="1163">
        <v>40000000</v>
      </c>
      <c r="DU83" s="1163">
        <v>40000000</v>
      </c>
      <c r="DV83" s="1163">
        <v>40000000</v>
      </c>
      <c r="DW83" s="1163">
        <v>40000000</v>
      </c>
      <c r="DX83" s="1163">
        <v>40000000</v>
      </c>
      <c r="DY83" s="1163">
        <v>40000000</v>
      </c>
      <c r="DZ83" s="1163">
        <v>40000000</v>
      </c>
      <c r="EA83" s="1163">
        <v>40000000</v>
      </c>
      <c r="EB83" s="1163">
        <v>40000000</v>
      </c>
      <c r="EC83" s="1163">
        <v>40000000</v>
      </c>
      <c r="ED83" s="1163">
        <v>40000000</v>
      </c>
      <c r="EE83" s="1119">
        <f t="shared" si="28"/>
        <v>480000000</v>
      </c>
      <c r="EF83" s="443">
        <f t="shared" si="20"/>
        <v>561600000</v>
      </c>
      <c r="EG83" s="355">
        <f t="shared" si="21"/>
        <v>606528000</v>
      </c>
      <c r="EH83" s="443">
        <f t="shared" si="14"/>
        <v>661115520</v>
      </c>
      <c r="EI83" s="443">
        <f t="shared" si="14"/>
        <v>720615916.80000007</v>
      </c>
      <c r="EJ83" s="367">
        <v>3000015457</v>
      </c>
    </row>
    <row r="84" spans="1:140" ht="15.5" outlineLevel="2">
      <c r="A84" s="367" t="s">
        <v>43</v>
      </c>
      <c r="B84" s="378"/>
      <c r="C84" s="370" t="s">
        <v>358</v>
      </c>
      <c r="D84" s="370" t="s">
        <v>40</v>
      </c>
      <c r="E84" s="379" t="s">
        <v>82</v>
      </c>
      <c r="F84" s="380">
        <v>3000013377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18900000</v>
      </c>
      <c r="P84" s="178">
        <v>15500000</v>
      </c>
      <c r="Q84" s="178">
        <v>800000</v>
      </c>
      <c r="R84" s="178">
        <v>4150000</v>
      </c>
      <c r="S84" s="7">
        <f t="shared" si="4"/>
        <v>39350000</v>
      </c>
      <c r="T84" s="179"/>
      <c r="U84" s="178">
        <v>3800000</v>
      </c>
      <c r="V84" s="178">
        <v>1200000</v>
      </c>
      <c r="W84" s="178">
        <v>9300000</v>
      </c>
      <c r="X84" s="178">
        <v>23150000</v>
      </c>
      <c r="Y84" s="178">
        <v>12800000</v>
      </c>
      <c r="Z84" s="178">
        <v>30450000</v>
      </c>
      <c r="AA84" s="178">
        <v>44050000</v>
      </c>
      <c r="AB84" s="178">
        <v>3000000</v>
      </c>
      <c r="AC84" s="178">
        <v>1500000</v>
      </c>
      <c r="AD84" s="178">
        <v>300000</v>
      </c>
      <c r="AE84" s="178">
        <v>16550000</v>
      </c>
      <c r="AF84" s="178">
        <v>16900000</v>
      </c>
      <c r="AG84" s="518">
        <f t="shared" si="5"/>
        <v>163000000</v>
      </c>
      <c r="AH84" s="788"/>
      <c r="AI84" s="789">
        <v>70330000</v>
      </c>
      <c r="AJ84" s="517">
        <v>18950000</v>
      </c>
      <c r="AK84" s="518">
        <v>2950000</v>
      </c>
      <c r="AL84" s="518">
        <v>7400000</v>
      </c>
      <c r="AM84" s="518">
        <v>10500000</v>
      </c>
      <c r="AN84" s="518">
        <v>17730000</v>
      </c>
      <c r="AO84" s="518">
        <v>5200000</v>
      </c>
      <c r="AP84" s="518">
        <v>5500000</v>
      </c>
      <c r="AQ84" s="518">
        <v>19400000</v>
      </c>
      <c r="AR84" s="759">
        <v>4800000</v>
      </c>
      <c r="AS84" s="759">
        <v>6400000</v>
      </c>
      <c r="AT84" s="759">
        <v>26050000</v>
      </c>
      <c r="AU84" s="518">
        <f t="shared" si="35"/>
        <v>10000000</v>
      </c>
      <c r="AV84" s="518">
        <f t="shared" si="35"/>
        <v>10000000</v>
      </c>
      <c r="AW84" s="518">
        <f t="shared" si="35"/>
        <v>10000000</v>
      </c>
      <c r="AX84" s="518">
        <f t="shared" si="6"/>
        <v>195210000</v>
      </c>
      <c r="AY84" s="788"/>
      <c r="AZ84" s="789">
        <v>70330000</v>
      </c>
      <c r="BA84" s="517">
        <v>18950000</v>
      </c>
      <c r="BB84" s="518">
        <v>2950000</v>
      </c>
      <c r="BC84" s="518">
        <v>7400000</v>
      </c>
      <c r="BD84" s="518">
        <v>10500000</v>
      </c>
      <c r="BE84" s="518">
        <v>17730000</v>
      </c>
      <c r="BF84" s="518">
        <v>5200000</v>
      </c>
      <c r="BG84" s="518">
        <f t="shared" si="15"/>
        <v>5500000</v>
      </c>
      <c r="BH84" s="518">
        <v>10000000</v>
      </c>
      <c r="BI84" s="518">
        <v>10000000</v>
      </c>
      <c r="BJ84" s="518">
        <v>10000000</v>
      </c>
      <c r="BK84" s="518">
        <v>10000000</v>
      </c>
      <c r="BL84" s="518">
        <f t="shared" si="8"/>
        <v>178560000</v>
      </c>
      <c r="BN84" s="518">
        <v>10000000</v>
      </c>
      <c r="BO84" s="518">
        <v>10000000</v>
      </c>
      <c r="BP84" s="518">
        <v>10000000</v>
      </c>
      <c r="BQ84" s="518">
        <v>10000000</v>
      </c>
      <c r="BR84" s="518">
        <v>5000000</v>
      </c>
      <c r="BS84" s="518">
        <v>5000000</v>
      </c>
      <c r="BT84" s="518">
        <v>10000000</v>
      </c>
      <c r="BU84" s="518">
        <v>10000000</v>
      </c>
      <c r="BV84" s="518">
        <v>10000000</v>
      </c>
      <c r="BW84" s="518">
        <v>10000000</v>
      </c>
      <c r="BX84" s="518">
        <v>10000000</v>
      </c>
      <c r="BY84" s="518">
        <v>10000000</v>
      </c>
      <c r="BZ84" s="791">
        <v>110000000</v>
      </c>
      <c r="CB84" s="518">
        <v>10000000</v>
      </c>
      <c r="CC84" s="518">
        <v>10000000</v>
      </c>
      <c r="CD84" s="518">
        <v>10000000</v>
      </c>
      <c r="CE84" s="518">
        <v>10000000</v>
      </c>
      <c r="CF84" s="518">
        <v>5000000</v>
      </c>
      <c r="CG84" s="518">
        <v>5000000</v>
      </c>
      <c r="CH84" s="518">
        <v>10000000</v>
      </c>
      <c r="CI84" s="518">
        <v>10000000</v>
      </c>
      <c r="CJ84" s="518">
        <v>10000000</v>
      </c>
      <c r="CK84" s="518">
        <v>10000000</v>
      </c>
      <c r="CL84" s="518">
        <v>10000000</v>
      </c>
      <c r="CM84" s="518">
        <v>10000000</v>
      </c>
      <c r="CN84" s="791">
        <v>110000000</v>
      </c>
      <c r="CP84" s="647">
        <v>8000000</v>
      </c>
      <c r="CQ84" s="647">
        <v>9600000</v>
      </c>
      <c r="CR84" s="518">
        <v>8000000</v>
      </c>
      <c r="CS84" s="647">
        <v>9700000</v>
      </c>
      <c r="CT84" s="518">
        <v>10000000</v>
      </c>
      <c r="CU84" s="647">
        <v>11500000</v>
      </c>
      <c r="CV84" s="518">
        <v>10000000</v>
      </c>
      <c r="CW84" s="647">
        <v>1500000</v>
      </c>
      <c r="CX84" s="518">
        <v>10000000</v>
      </c>
      <c r="CY84" s="647">
        <v>1500000</v>
      </c>
      <c r="CZ84" s="518">
        <v>10000000</v>
      </c>
      <c r="DA84" s="647">
        <v>6500000</v>
      </c>
      <c r="DB84" s="518">
        <v>10000000</v>
      </c>
      <c r="DC84" s="647">
        <v>0</v>
      </c>
      <c r="DD84" s="518">
        <v>10000000</v>
      </c>
      <c r="DE84" s="518"/>
      <c r="DF84" s="518">
        <v>10000000</v>
      </c>
      <c r="DG84" s="748">
        <v>10000000</v>
      </c>
      <c r="DH84" s="518"/>
      <c r="DI84" s="518">
        <v>10000000</v>
      </c>
      <c r="DJ84" s="748">
        <v>10000000</v>
      </c>
      <c r="DK84" s="518"/>
      <c r="DL84" s="518">
        <v>10000000</v>
      </c>
      <c r="DM84" s="748">
        <v>10000000</v>
      </c>
      <c r="DN84" s="518"/>
      <c r="DO84" s="518">
        <v>10000000</v>
      </c>
      <c r="DP84" s="748">
        <v>10000000</v>
      </c>
      <c r="DQ84" s="493">
        <f t="shared" si="31"/>
        <v>88300000</v>
      </c>
      <c r="DR84" s="479">
        <f t="shared" si="33"/>
        <v>118800000</v>
      </c>
      <c r="DS84" s="1163"/>
      <c r="DT84" s="1163"/>
      <c r="DU84" s="1163"/>
      <c r="DV84" s="1163"/>
      <c r="DW84" s="1163"/>
      <c r="DX84" s="1163"/>
      <c r="DY84" s="1163"/>
      <c r="DZ84" s="1163"/>
      <c r="EA84" s="1163"/>
      <c r="EB84" s="1163"/>
      <c r="EC84" s="1163"/>
      <c r="ED84" s="1163"/>
      <c r="EE84" s="1119">
        <f t="shared" si="28"/>
        <v>0</v>
      </c>
      <c r="EF84" s="443">
        <f t="shared" si="20"/>
        <v>0</v>
      </c>
      <c r="EG84" s="355">
        <f t="shared" si="21"/>
        <v>0</v>
      </c>
      <c r="EH84" s="443">
        <f t="shared" si="14"/>
        <v>0</v>
      </c>
      <c r="EI84" s="443">
        <f t="shared" si="14"/>
        <v>0</v>
      </c>
      <c r="EJ84" s="367">
        <v>3000013377</v>
      </c>
    </row>
    <row r="85" spans="1:140" ht="15.5" outlineLevel="2">
      <c r="A85" s="367" t="s">
        <v>39</v>
      </c>
      <c r="B85" s="378"/>
      <c r="C85" s="370" t="s">
        <v>358</v>
      </c>
      <c r="D85" s="370" t="s">
        <v>40</v>
      </c>
      <c r="E85" s="379" t="s">
        <v>83</v>
      </c>
      <c r="F85" s="380">
        <v>8000000010</v>
      </c>
      <c r="G85" s="178">
        <v>683104535</v>
      </c>
      <c r="H85" s="178">
        <v>497992782</v>
      </c>
      <c r="I85" s="178">
        <v>826385649</v>
      </c>
      <c r="J85" s="178">
        <v>501208566</v>
      </c>
      <c r="K85" s="178">
        <v>458875138</v>
      </c>
      <c r="L85" s="178">
        <v>693997802</v>
      </c>
      <c r="M85" s="178">
        <v>635360298</v>
      </c>
      <c r="N85" s="178">
        <v>756726765</v>
      </c>
      <c r="O85" s="178">
        <v>850158847</v>
      </c>
      <c r="P85" s="178">
        <v>570852061</v>
      </c>
      <c r="Q85" s="178">
        <v>664013173</v>
      </c>
      <c r="R85" s="178">
        <v>1120819615</v>
      </c>
      <c r="S85" s="7">
        <f t="shared" si="4"/>
        <v>8259495231</v>
      </c>
      <c r="T85" s="179"/>
      <c r="U85" s="178">
        <v>637607935</v>
      </c>
      <c r="V85" s="178">
        <v>478258623</v>
      </c>
      <c r="W85" s="178">
        <v>486167735</v>
      </c>
      <c r="X85" s="178">
        <v>746412909</v>
      </c>
      <c r="Y85" s="178">
        <v>504546425</v>
      </c>
      <c r="Z85" s="178">
        <v>563799403</v>
      </c>
      <c r="AA85" s="178">
        <v>636715362</v>
      </c>
      <c r="AB85" s="178">
        <v>484859587</v>
      </c>
      <c r="AC85" s="178">
        <v>264404744</v>
      </c>
      <c r="AD85" s="178">
        <v>395360397</v>
      </c>
      <c r="AE85" s="178">
        <v>427187152</v>
      </c>
      <c r="AF85" s="178">
        <v>457922701</v>
      </c>
      <c r="AG85" s="518">
        <f t="shared" si="5"/>
        <v>6083242973</v>
      </c>
      <c r="AH85" s="788"/>
      <c r="AI85" s="789">
        <v>427192121</v>
      </c>
      <c r="AJ85" s="517">
        <v>430897843</v>
      </c>
      <c r="AK85" s="518">
        <v>391860739</v>
      </c>
      <c r="AL85" s="518">
        <v>253880905</v>
      </c>
      <c r="AM85" s="518">
        <v>172266805</v>
      </c>
      <c r="AN85" s="518">
        <v>270943502</v>
      </c>
      <c r="AO85" s="518">
        <v>458409445</v>
      </c>
      <c r="AP85" s="518">
        <v>459089835</v>
      </c>
      <c r="AQ85" s="518">
        <v>517166715</v>
      </c>
      <c r="AR85" s="759">
        <v>417245239</v>
      </c>
      <c r="AS85" s="759">
        <v>365703968</v>
      </c>
      <c r="AT85" s="759">
        <v>390539361</v>
      </c>
      <c r="AU85" s="794">
        <f>550000000</f>
        <v>550000000</v>
      </c>
      <c r="AV85" s="794">
        <f>AU85</f>
        <v>550000000</v>
      </c>
      <c r="AW85" s="794">
        <f>AV85</f>
        <v>550000000</v>
      </c>
      <c r="AX85" s="518">
        <f t="shared" si="6"/>
        <v>4555196478</v>
      </c>
      <c r="AY85" s="788"/>
      <c r="AZ85" s="789">
        <v>427192121</v>
      </c>
      <c r="BA85" s="517">
        <v>430897843</v>
      </c>
      <c r="BB85" s="518">
        <v>391860739</v>
      </c>
      <c r="BC85" s="518">
        <v>253880905</v>
      </c>
      <c r="BD85" s="518">
        <v>172266805</v>
      </c>
      <c r="BE85" s="518">
        <v>270943502</v>
      </c>
      <c r="BF85" s="518">
        <v>458409445</v>
      </c>
      <c r="BG85" s="518">
        <f t="shared" si="15"/>
        <v>459089835</v>
      </c>
      <c r="BH85" s="518">
        <v>458409445</v>
      </c>
      <c r="BI85" s="518">
        <v>458409445</v>
      </c>
      <c r="BJ85" s="518">
        <v>458409445</v>
      </c>
      <c r="BK85" s="518">
        <v>458409445</v>
      </c>
      <c r="BL85" s="518">
        <f t="shared" si="8"/>
        <v>4698178975</v>
      </c>
      <c r="BN85" s="518">
        <f>550000000</f>
        <v>550000000</v>
      </c>
      <c r="BO85" s="518">
        <f t="shared" ref="BO85:BY85" si="36">550000000</f>
        <v>550000000</v>
      </c>
      <c r="BP85" s="518">
        <f t="shared" si="36"/>
        <v>550000000</v>
      </c>
      <c r="BQ85" s="518">
        <f t="shared" si="36"/>
        <v>550000000</v>
      </c>
      <c r="BR85" s="518">
        <f>450000000</f>
        <v>450000000</v>
      </c>
      <c r="BS85" s="518">
        <f t="shared" si="36"/>
        <v>550000000</v>
      </c>
      <c r="BT85" s="518">
        <f t="shared" si="36"/>
        <v>550000000</v>
      </c>
      <c r="BU85" s="518">
        <f t="shared" si="36"/>
        <v>550000000</v>
      </c>
      <c r="BV85" s="518">
        <f t="shared" si="36"/>
        <v>550000000</v>
      </c>
      <c r="BW85" s="518">
        <f t="shared" si="36"/>
        <v>550000000</v>
      </c>
      <c r="BX85" s="518">
        <f t="shared" si="36"/>
        <v>550000000</v>
      </c>
      <c r="BY85" s="518">
        <f t="shared" si="36"/>
        <v>550000000</v>
      </c>
      <c r="BZ85" s="791">
        <v>6500000000</v>
      </c>
      <c r="CB85" s="518">
        <f>550000000</f>
        <v>550000000</v>
      </c>
      <c r="CC85" s="518">
        <f t="shared" ref="CC85:CM85" si="37">550000000</f>
        <v>550000000</v>
      </c>
      <c r="CD85" s="518">
        <f t="shared" si="37"/>
        <v>550000000</v>
      </c>
      <c r="CE85" s="518">
        <f t="shared" si="37"/>
        <v>550000000</v>
      </c>
      <c r="CF85" s="518">
        <f>450000000</f>
        <v>450000000</v>
      </c>
      <c r="CG85" s="518">
        <f t="shared" si="37"/>
        <v>550000000</v>
      </c>
      <c r="CH85" s="518">
        <f t="shared" si="37"/>
        <v>550000000</v>
      </c>
      <c r="CI85" s="518">
        <f t="shared" si="37"/>
        <v>550000000</v>
      </c>
      <c r="CJ85" s="518">
        <f t="shared" si="37"/>
        <v>550000000</v>
      </c>
      <c r="CK85" s="518">
        <f t="shared" si="37"/>
        <v>550000000</v>
      </c>
      <c r="CL85" s="518">
        <f t="shared" si="37"/>
        <v>550000000</v>
      </c>
      <c r="CM85" s="518">
        <f t="shared" si="37"/>
        <v>550000000</v>
      </c>
      <c r="CN85" s="791">
        <v>6500000000</v>
      </c>
      <c r="CP85" s="647">
        <v>459572212</v>
      </c>
      <c r="CQ85" s="647">
        <v>406877332</v>
      </c>
      <c r="CR85" s="518">
        <v>500000000</v>
      </c>
      <c r="CS85" s="647">
        <v>394192026</v>
      </c>
      <c r="CT85" s="518">
        <v>550000000</v>
      </c>
      <c r="CU85" s="647">
        <v>413592467</v>
      </c>
      <c r="CV85" s="518">
        <v>550000000</v>
      </c>
      <c r="CW85" s="647">
        <v>331397442</v>
      </c>
      <c r="CX85" s="518">
        <v>550000000</v>
      </c>
      <c r="CY85" s="647">
        <v>364764293</v>
      </c>
      <c r="CZ85" s="518">
        <v>550000000</v>
      </c>
      <c r="DA85" s="647">
        <v>372081790</v>
      </c>
      <c r="DB85" s="518">
        <v>550000000</v>
      </c>
      <c r="DC85" s="647">
        <v>351598713</v>
      </c>
      <c r="DD85" s="518">
        <v>550000000</v>
      </c>
      <c r="DE85" s="518"/>
      <c r="DF85" s="518">
        <v>550000000</v>
      </c>
      <c r="DG85" s="748">
        <v>500000000</v>
      </c>
      <c r="DH85" s="518"/>
      <c r="DI85" s="518">
        <v>550000000</v>
      </c>
      <c r="DJ85" s="748">
        <v>550000000</v>
      </c>
      <c r="DK85" s="518"/>
      <c r="DL85" s="518">
        <v>550000000</v>
      </c>
      <c r="DM85" s="748">
        <v>550000000</v>
      </c>
      <c r="DN85" s="518"/>
      <c r="DO85" s="518">
        <v>550000000</v>
      </c>
      <c r="DP85" s="748">
        <v>550000000</v>
      </c>
      <c r="DQ85" s="493">
        <f t="shared" si="31"/>
        <v>5294076275</v>
      </c>
      <c r="DR85" s="479">
        <f t="shared" si="33"/>
        <v>6024234037</v>
      </c>
      <c r="DS85" s="1163">
        <v>450000000</v>
      </c>
      <c r="DT85" s="1163">
        <v>450000000</v>
      </c>
      <c r="DU85" s="1163">
        <v>450000000</v>
      </c>
      <c r="DV85" s="1163">
        <v>450000000</v>
      </c>
      <c r="DW85" s="1163">
        <v>450000000</v>
      </c>
      <c r="DX85" s="1163">
        <v>450000000</v>
      </c>
      <c r="DY85" s="1163">
        <v>550000000</v>
      </c>
      <c r="DZ85" s="1163">
        <v>550000000</v>
      </c>
      <c r="EA85" s="1163">
        <v>550000000</v>
      </c>
      <c r="EB85" s="1163">
        <v>550000000</v>
      </c>
      <c r="EC85" s="1163">
        <v>550000000</v>
      </c>
      <c r="ED85" s="1163">
        <v>550000000</v>
      </c>
      <c r="EE85" s="1119">
        <f t="shared" si="28"/>
        <v>6000000000</v>
      </c>
      <c r="EF85" s="443">
        <f t="shared" si="20"/>
        <v>7020000000</v>
      </c>
      <c r="EG85" s="355">
        <f t="shared" si="21"/>
        <v>7581600000.000001</v>
      </c>
      <c r="EH85" s="443">
        <f t="shared" si="14"/>
        <v>8263944000.0000019</v>
      </c>
      <c r="EI85" s="443">
        <f t="shared" si="14"/>
        <v>9007698960.0000019</v>
      </c>
      <c r="EJ85" s="367">
        <v>8000000010</v>
      </c>
    </row>
    <row r="86" spans="1:140" ht="15.5" outlineLevel="2">
      <c r="A86" s="367" t="s">
        <v>39</v>
      </c>
      <c r="B86" s="378"/>
      <c r="C86" s="370" t="s">
        <v>358</v>
      </c>
      <c r="D86" s="370" t="s">
        <v>40</v>
      </c>
      <c r="E86" s="383" t="s">
        <v>411</v>
      </c>
      <c r="F86" s="380">
        <v>8000000017</v>
      </c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7"/>
      <c r="T86" s="179"/>
      <c r="U86" s="178"/>
      <c r="V86" s="9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518"/>
      <c r="AH86" s="788"/>
      <c r="AI86" s="789"/>
      <c r="AJ86" s="517"/>
      <c r="AK86" s="518"/>
      <c r="AL86" s="518"/>
      <c r="AM86" s="518"/>
      <c r="AN86" s="518"/>
      <c r="AO86" s="518"/>
      <c r="AP86" s="518"/>
      <c r="AQ86" s="518"/>
      <c r="AR86" s="518"/>
      <c r="AS86" s="518"/>
      <c r="AT86" s="518">
        <v>11520000</v>
      </c>
      <c r="AU86" s="518"/>
      <c r="AV86" s="518"/>
      <c r="AW86" s="518"/>
      <c r="AX86" s="518">
        <f>SUM(AI86,AJ86,AK86,AL86,AM86,AN86,AO86,AP86,AQ86,AR86,AS86,AT86)</f>
        <v>11520000</v>
      </c>
      <c r="AY86" s="788"/>
      <c r="AZ86" s="789"/>
      <c r="BA86" s="517"/>
      <c r="BB86" s="518"/>
      <c r="BC86" s="518"/>
      <c r="BD86" s="518"/>
      <c r="BE86" s="518"/>
      <c r="BF86" s="518"/>
      <c r="BG86" s="518"/>
      <c r="BH86" s="518"/>
      <c r="BI86" s="518"/>
      <c r="BJ86" s="518"/>
      <c r="BK86" s="518"/>
      <c r="BL86" s="518"/>
      <c r="BN86" s="516"/>
      <c r="BO86" s="517"/>
      <c r="BP86" s="518"/>
      <c r="BQ86" s="518"/>
      <c r="BR86" s="518"/>
      <c r="BS86" s="518"/>
      <c r="BT86" s="518"/>
      <c r="BU86" s="518"/>
      <c r="BV86" s="518"/>
      <c r="BW86" s="518"/>
      <c r="BX86" s="518"/>
      <c r="BY86" s="518"/>
      <c r="BZ86" s="791">
        <v>0</v>
      </c>
      <c r="CB86" s="516"/>
      <c r="CC86" s="517"/>
      <c r="CD86" s="518"/>
      <c r="CE86" s="518"/>
      <c r="CF86" s="518"/>
      <c r="CG86" s="518"/>
      <c r="CH86" s="518"/>
      <c r="CI86" s="518"/>
      <c r="CJ86" s="518"/>
      <c r="CK86" s="518"/>
      <c r="CL86" s="518"/>
      <c r="CM86" s="518"/>
      <c r="CN86" s="791">
        <v>0</v>
      </c>
      <c r="CP86" s="646"/>
      <c r="CQ86" s="646">
        <v>12691200</v>
      </c>
      <c r="CR86" s="516"/>
      <c r="CS86" s="646"/>
      <c r="CT86" s="516"/>
      <c r="CU86" s="646">
        <v>-19200</v>
      </c>
      <c r="CV86" s="516"/>
      <c r="CW86" s="646"/>
      <c r="CX86" s="516"/>
      <c r="CY86" s="646"/>
      <c r="CZ86" s="516"/>
      <c r="DA86" s="646"/>
      <c r="DB86" s="516"/>
      <c r="DC86" s="646">
        <v>0</v>
      </c>
      <c r="DD86" s="516"/>
      <c r="DE86" s="518"/>
      <c r="DF86" s="516"/>
      <c r="DG86" s="747"/>
      <c r="DH86" s="518"/>
      <c r="DI86" s="516"/>
      <c r="DJ86" s="747"/>
      <c r="DK86" s="518"/>
      <c r="DL86" s="516"/>
      <c r="DM86" s="747"/>
      <c r="DN86" s="518"/>
      <c r="DO86" s="516"/>
      <c r="DP86" s="747"/>
      <c r="DQ86" s="493">
        <f t="shared" si="31"/>
        <v>12672000</v>
      </c>
      <c r="DR86" s="479">
        <f t="shared" si="33"/>
        <v>12672000</v>
      </c>
      <c r="DS86" s="1162"/>
      <c r="DT86" s="1162"/>
      <c r="DU86" s="1162"/>
      <c r="DV86" s="1162"/>
      <c r="DW86" s="1162"/>
      <c r="DX86" s="1162"/>
      <c r="DY86" s="1162"/>
      <c r="DZ86" s="1162"/>
      <c r="EA86" s="1162"/>
      <c r="EB86" s="1162"/>
      <c r="EC86" s="1162"/>
      <c r="ED86" s="1162"/>
      <c r="EE86" s="1119">
        <f t="shared" si="28"/>
        <v>0</v>
      </c>
      <c r="EF86" s="443">
        <f t="shared" si="20"/>
        <v>0</v>
      </c>
      <c r="EG86" s="355">
        <f t="shared" si="21"/>
        <v>0</v>
      </c>
      <c r="EH86" s="443">
        <f t="shared" si="14"/>
        <v>0</v>
      </c>
      <c r="EI86" s="443">
        <f t="shared" si="14"/>
        <v>0</v>
      </c>
    </row>
    <row r="87" spans="1:140" ht="15.5" outlineLevel="2">
      <c r="A87" s="367" t="s">
        <v>39</v>
      </c>
      <c r="B87" s="378"/>
      <c r="C87" s="370" t="s">
        <v>358</v>
      </c>
      <c r="D87" s="370" t="s">
        <v>40</v>
      </c>
      <c r="E87" s="379" t="s">
        <v>412</v>
      </c>
      <c r="F87" s="380">
        <v>3000015079</v>
      </c>
      <c r="G87" s="178">
        <v>28650000</v>
      </c>
      <c r="H87" s="178">
        <v>60000000</v>
      </c>
      <c r="I87" s="178">
        <v>25895458</v>
      </c>
      <c r="J87" s="178">
        <v>32400000</v>
      </c>
      <c r="K87" s="178">
        <v>45900001</v>
      </c>
      <c r="L87" s="178">
        <v>42300000</v>
      </c>
      <c r="M87" s="178">
        <v>44250000</v>
      </c>
      <c r="N87" s="178">
        <v>27000000</v>
      </c>
      <c r="O87" s="178">
        <v>8100000</v>
      </c>
      <c r="P87" s="178">
        <v>63000000</v>
      </c>
      <c r="Q87" s="178">
        <v>69570000</v>
      </c>
      <c r="R87" s="178">
        <v>57870000</v>
      </c>
      <c r="S87" s="7">
        <f t="shared" si="4"/>
        <v>504935459</v>
      </c>
      <c r="T87" s="179"/>
      <c r="U87" s="178">
        <v>20670000</v>
      </c>
      <c r="V87" s="178">
        <v>15670000</v>
      </c>
      <c r="W87" s="178">
        <v>44670000</v>
      </c>
      <c r="X87" s="178">
        <v>26920000</v>
      </c>
      <c r="Y87" s="178">
        <v>28420000</v>
      </c>
      <c r="Z87" s="178">
        <v>28670000</v>
      </c>
      <c r="AA87" s="178">
        <v>39420000</v>
      </c>
      <c r="AB87" s="178">
        <v>26420000</v>
      </c>
      <c r="AC87" s="178">
        <v>9120000</v>
      </c>
      <c r="AD87" s="178">
        <v>26435000</v>
      </c>
      <c r="AE87" s="178">
        <v>16055000</v>
      </c>
      <c r="AF87" s="178">
        <v>34855000</v>
      </c>
      <c r="AG87" s="518">
        <f t="shared" si="5"/>
        <v>317325000</v>
      </c>
      <c r="AH87" s="788"/>
      <c r="AI87" s="789">
        <v>16300000</v>
      </c>
      <c r="AJ87" s="517">
        <v>39060000</v>
      </c>
      <c r="AK87" s="518">
        <v>24325000</v>
      </c>
      <c r="AL87" s="518">
        <v>18155000</v>
      </c>
      <c r="AM87" s="518">
        <v>12585000</v>
      </c>
      <c r="AN87" s="518">
        <v>16670000</v>
      </c>
      <c r="AO87" s="518">
        <v>16305000</v>
      </c>
      <c r="AP87" s="518">
        <v>18095000</v>
      </c>
      <c r="AQ87" s="518">
        <v>21865000</v>
      </c>
      <c r="AR87" s="759">
        <v>24520000</v>
      </c>
      <c r="AS87" s="759">
        <v>27570000</v>
      </c>
      <c r="AT87" s="759">
        <v>25770000</v>
      </c>
      <c r="AU87" s="518">
        <f t="shared" ref="AU87:AW89" si="38">BI87</f>
        <v>16305000</v>
      </c>
      <c r="AV87" s="518">
        <f t="shared" si="38"/>
        <v>16305000</v>
      </c>
      <c r="AW87" s="518">
        <f t="shared" si="38"/>
        <v>16305000</v>
      </c>
      <c r="AX87" s="518">
        <f t="shared" si="6"/>
        <v>261220000</v>
      </c>
      <c r="AY87" s="788"/>
      <c r="AZ87" s="789">
        <v>16300000</v>
      </c>
      <c r="BA87" s="517">
        <v>39060000</v>
      </c>
      <c r="BB87" s="518">
        <v>24325000</v>
      </c>
      <c r="BC87" s="518">
        <v>18155000</v>
      </c>
      <c r="BD87" s="518">
        <v>12585000</v>
      </c>
      <c r="BE87" s="518">
        <v>16670000</v>
      </c>
      <c r="BF87" s="518">
        <v>16305000</v>
      </c>
      <c r="BG87" s="518">
        <f t="shared" si="15"/>
        <v>18095000</v>
      </c>
      <c r="BH87" s="518">
        <v>16305000</v>
      </c>
      <c r="BI87" s="518">
        <v>16305000</v>
      </c>
      <c r="BJ87" s="518">
        <v>16305000</v>
      </c>
      <c r="BK87" s="518">
        <v>16305000</v>
      </c>
      <c r="BL87" s="518">
        <f t="shared" si="8"/>
        <v>226715000</v>
      </c>
      <c r="BN87" s="518">
        <v>16305000</v>
      </c>
      <c r="BO87" s="518">
        <v>16305000</v>
      </c>
      <c r="BP87" s="518">
        <v>16305000</v>
      </c>
      <c r="BQ87" s="518">
        <v>16305000</v>
      </c>
      <c r="BR87" s="518">
        <v>16305000</v>
      </c>
      <c r="BS87" s="518">
        <v>16305000</v>
      </c>
      <c r="BT87" s="518">
        <v>16305000</v>
      </c>
      <c r="BU87" s="518">
        <v>16305000</v>
      </c>
      <c r="BV87" s="518">
        <v>16305000</v>
      </c>
      <c r="BW87" s="518">
        <v>16305000</v>
      </c>
      <c r="BX87" s="518">
        <v>16305000</v>
      </c>
      <c r="BY87" s="518">
        <v>16305000</v>
      </c>
      <c r="BZ87" s="791">
        <v>195660000</v>
      </c>
      <c r="CB87" s="518">
        <v>16305000</v>
      </c>
      <c r="CC87" s="518">
        <v>16305000</v>
      </c>
      <c r="CD87" s="518">
        <v>16305000</v>
      </c>
      <c r="CE87" s="518">
        <v>16305000</v>
      </c>
      <c r="CF87" s="518">
        <v>16305000</v>
      </c>
      <c r="CG87" s="518">
        <v>16305000</v>
      </c>
      <c r="CH87" s="518">
        <v>16305000</v>
      </c>
      <c r="CI87" s="518">
        <v>16305000</v>
      </c>
      <c r="CJ87" s="518">
        <v>16305000</v>
      </c>
      <c r="CK87" s="518">
        <v>16305000</v>
      </c>
      <c r="CL87" s="518">
        <v>16305000</v>
      </c>
      <c r="CM87" s="518">
        <v>16305000</v>
      </c>
      <c r="CN87" s="791">
        <v>195660000</v>
      </c>
      <c r="CP87" s="647">
        <v>23810000</v>
      </c>
      <c r="CQ87" s="647">
        <v>27475000</v>
      </c>
      <c r="CR87" s="518">
        <v>23810000</v>
      </c>
      <c r="CS87" s="647">
        <v>26920000</v>
      </c>
      <c r="CT87" s="518">
        <v>23810000</v>
      </c>
      <c r="CU87" s="647">
        <v>33220000</v>
      </c>
      <c r="CV87" s="518">
        <v>23810000</v>
      </c>
      <c r="CW87" s="647">
        <v>24670000</v>
      </c>
      <c r="CX87" s="518">
        <v>23810000</v>
      </c>
      <c r="CY87" s="647">
        <v>28930000</v>
      </c>
      <c r="CZ87" s="518">
        <v>23810000</v>
      </c>
      <c r="DA87" s="647">
        <v>29080000</v>
      </c>
      <c r="DB87" s="518">
        <v>23810000</v>
      </c>
      <c r="DC87" s="647">
        <v>29440000</v>
      </c>
      <c r="DD87" s="518">
        <v>23810000</v>
      </c>
      <c r="DE87" s="518"/>
      <c r="DF87" s="518">
        <v>23810000</v>
      </c>
      <c r="DG87" s="748">
        <v>23810000</v>
      </c>
      <c r="DH87" s="518"/>
      <c r="DI87" s="518">
        <v>23810000</v>
      </c>
      <c r="DJ87" s="748">
        <v>23810000</v>
      </c>
      <c r="DK87" s="518"/>
      <c r="DL87" s="518">
        <v>23810000</v>
      </c>
      <c r="DM87" s="748">
        <v>23810000</v>
      </c>
      <c r="DN87" s="518"/>
      <c r="DO87" s="518">
        <v>23810000</v>
      </c>
      <c r="DP87" s="748">
        <v>23810000</v>
      </c>
      <c r="DQ87" s="493">
        <f t="shared" si="31"/>
        <v>318785000</v>
      </c>
      <c r="DR87" s="479">
        <f t="shared" si="33"/>
        <v>301905000</v>
      </c>
      <c r="DS87" s="1163">
        <v>28000000</v>
      </c>
      <c r="DT87" s="1163">
        <v>28000000</v>
      </c>
      <c r="DU87" s="1163">
        <v>28000000</v>
      </c>
      <c r="DV87" s="1163">
        <v>28000000</v>
      </c>
      <c r="DW87" s="1163">
        <v>28000000</v>
      </c>
      <c r="DX87" s="1163">
        <v>28000000</v>
      </c>
      <c r="DY87" s="1163">
        <v>28000000</v>
      </c>
      <c r="DZ87" s="1163">
        <v>28000000</v>
      </c>
      <c r="EA87" s="1163">
        <v>28000000</v>
      </c>
      <c r="EB87" s="1163">
        <v>28000000</v>
      </c>
      <c r="EC87" s="1163">
        <v>28000000</v>
      </c>
      <c r="ED87" s="1163">
        <v>28000000</v>
      </c>
      <c r="EE87" s="1119">
        <f t="shared" si="28"/>
        <v>336000000</v>
      </c>
      <c r="EF87" s="443">
        <f t="shared" si="20"/>
        <v>393120000</v>
      </c>
      <c r="EG87" s="355">
        <f t="shared" si="21"/>
        <v>424569600</v>
      </c>
      <c r="EH87" s="443">
        <f t="shared" si="14"/>
        <v>462780864.00000006</v>
      </c>
      <c r="EI87" s="443">
        <f t="shared" si="14"/>
        <v>504431141.76000011</v>
      </c>
      <c r="EJ87" s="367">
        <v>3000015079</v>
      </c>
    </row>
    <row r="88" spans="1:140" ht="15.5" outlineLevel="2">
      <c r="A88" s="367" t="s">
        <v>39</v>
      </c>
      <c r="B88" s="378"/>
      <c r="C88" s="370" t="s">
        <v>358</v>
      </c>
      <c r="D88" s="370" t="s">
        <v>40</v>
      </c>
      <c r="E88" s="379" t="s">
        <v>413</v>
      </c>
      <c r="F88" s="380">
        <v>8000000012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7">
        <f>SUM(G88,H88,I88,J88,K88,L88,M88,N88,O88,P88,Q88,R88)</f>
        <v>0</v>
      </c>
      <c r="T88" s="179"/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518">
        <f>SUM(U88,V88,W88,X88,Y88,Z88,AA88,AB88,AC88,AD88,AE88,AF88)</f>
        <v>0</v>
      </c>
      <c r="AH88" s="788"/>
      <c r="AI88" s="789"/>
      <c r="AJ88" s="790"/>
      <c r="AK88" s="518"/>
      <c r="AL88" s="518"/>
      <c r="AM88" s="518"/>
      <c r="AN88" s="518"/>
      <c r="AO88" s="518"/>
      <c r="AP88" s="518"/>
      <c r="AQ88" s="518">
        <v>1975000</v>
      </c>
      <c r="AR88" s="759">
        <v>8295000</v>
      </c>
      <c r="AS88" s="759">
        <v>0</v>
      </c>
      <c r="AT88" s="759">
        <v>1975000</v>
      </c>
      <c r="AU88" s="518">
        <f t="shared" si="38"/>
        <v>0</v>
      </c>
      <c r="AV88" s="518">
        <f t="shared" si="38"/>
        <v>0</v>
      </c>
      <c r="AW88" s="518">
        <f t="shared" si="38"/>
        <v>0</v>
      </c>
      <c r="AX88" s="518">
        <f>SUM(AI88,AJ88,AK88,AL88,AM88,AN88,AO88,AP88,AQ88,AR88,AS88,AT88)</f>
        <v>12245000</v>
      </c>
      <c r="AY88" s="788"/>
      <c r="AZ88" s="789"/>
      <c r="BA88" s="790"/>
      <c r="BB88" s="518"/>
      <c r="BC88" s="518"/>
      <c r="BD88" s="518"/>
      <c r="BE88" s="518"/>
      <c r="BF88" s="518"/>
      <c r="BG88" s="518">
        <f>AP88</f>
        <v>0</v>
      </c>
      <c r="BH88" s="518">
        <v>0</v>
      </c>
      <c r="BI88" s="518">
        <v>0</v>
      </c>
      <c r="BJ88" s="518">
        <v>0</v>
      </c>
      <c r="BK88" s="518">
        <v>0</v>
      </c>
      <c r="BL88" s="518">
        <f>SUM(AZ88,BA88,BB88,BC88,BD88,BE88,BF88,BG88,BH88,BI88,BJ88,BK88)</f>
        <v>0</v>
      </c>
      <c r="BN88" s="516">
        <f>50000000</f>
        <v>50000000</v>
      </c>
      <c r="BO88" s="516">
        <f t="shared" ref="BO88:BY88" si="39">50000000</f>
        <v>50000000</v>
      </c>
      <c r="BP88" s="516">
        <f t="shared" si="39"/>
        <v>50000000</v>
      </c>
      <c r="BQ88" s="516">
        <f t="shared" si="39"/>
        <v>50000000</v>
      </c>
      <c r="BR88" s="516">
        <f t="shared" si="39"/>
        <v>50000000</v>
      </c>
      <c r="BS88" s="516">
        <f t="shared" si="39"/>
        <v>50000000</v>
      </c>
      <c r="BT88" s="516">
        <f t="shared" si="39"/>
        <v>50000000</v>
      </c>
      <c r="BU88" s="516">
        <f t="shared" si="39"/>
        <v>50000000</v>
      </c>
      <c r="BV88" s="516">
        <f t="shared" si="39"/>
        <v>50000000</v>
      </c>
      <c r="BW88" s="516">
        <f t="shared" si="39"/>
        <v>50000000</v>
      </c>
      <c r="BX88" s="516">
        <f t="shared" si="39"/>
        <v>50000000</v>
      </c>
      <c r="BY88" s="516">
        <f t="shared" si="39"/>
        <v>50000000</v>
      </c>
      <c r="BZ88" s="791">
        <v>600000000</v>
      </c>
      <c r="CB88" s="516">
        <f>50000000</f>
        <v>50000000</v>
      </c>
      <c r="CC88" s="516">
        <f t="shared" ref="CC88:CM88" si="40">50000000</f>
        <v>50000000</v>
      </c>
      <c r="CD88" s="516">
        <f t="shared" si="40"/>
        <v>50000000</v>
      </c>
      <c r="CE88" s="516">
        <f t="shared" si="40"/>
        <v>50000000</v>
      </c>
      <c r="CF88" s="516">
        <f t="shared" si="40"/>
        <v>50000000</v>
      </c>
      <c r="CG88" s="516">
        <f t="shared" si="40"/>
        <v>50000000</v>
      </c>
      <c r="CH88" s="516">
        <f t="shared" si="40"/>
        <v>50000000</v>
      </c>
      <c r="CI88" s="516">
        <f t="shared" si="40"/>
        <v>50000000</v>
      </c>
      <c r="CJ88" s="516">
        <f t="shared" si="40"/>
        <v>50000000</v>
      </c>
      <c r="CK88" s="516">
        <f t="shared" si="40"/>
        <v>50000000</v>
      </c>
      <c r="CL88" s="516">
        <f t="shared" si="40"/>
        <v>50000000</v>
      </c>
      <c r="CM88" s="516">
        <f t="shared" si="40"/>
        <v>50000000</v>
      </c>
      <c r="CN88" s="791">
        <v>600000000</v>
      </c>
      <c r="CP88" s="648">
        <v>2370000</v>
      </c>
      <c r="CQ88" s="648">
        <v>3795000</v>
      </c>
      <c r="CR88" s="519">
        <v>5000000</v>
      </c>
      <c r="CS88" s="648"/>
      <c r="CT88" s="519">
        <v>5000000</v>
      </c>
      <c r="CU88" s="648">
        <v>3555000</v>
      </c>
      <c r="CV88" s="519">
        <v>5000000</v>
      </c>
      <c r="CW88" s="648">
        <v>1975000</v>
      </c>
      <c r="CX88" s="519">
        <v>5000000</v>
      </c>
      <c r="CY88" s="648"/>
      <c r="CZ88" s="519">
        <v>5000000</v>
      </c>
      <c r="DA88" s="648"/>
      <c r="DB88" s="519">
        <v>5000000</v>
      </c>
      <c r="DC88" s="648">
        <v>0</v>
      </c>
      <c r="DD88" s="519">
        <v>5000000</v>
      </c>
      <c r="DE88" s="518"/>
      <c r="DF88" s="519">
        <v>5000000</v>
      </c>
      <c r="DG88" s="749">
        <v>5000000</v>
      </c>
      <c r="DH88" s="518"/>
      <c r="DI88" s="519">
        <v>5000000</v>
      </c>
      <c r="DJ88" s="749">
        <v>5000000</v>
      </c>
      <c r="DK88" s="518"/>
      <c r="DL88" s="519">
        <v>5000000</v>
      </c>
      <c r="DM88" s="749">
        <v>5000000</v>
      </c>
      <c r="DN88" s="518"/>
      <c r="DO88" s="519">
        <v>5000000</v>
      </c>
      <c r="DP88" s="749">
        <v>5000000</v>
      </c>
      <c r="DQ88" s="493">
        <f t="shared" si="31"/>
        <v>31695000</v>
      </c>
      <c r="DR88" s="479">
        <f t="shared" si="33"/>
        <v>49720000</v>
      </c>
      <c r="DS88" s="1162">
        <v>2000000</v>
      </c>
      <c r="DT88" s="1162">
        <v>2000000</v>
      </c>
      <c r="DU88" s="1162">
        <v>2000000</v>
      </c>
      <c r="DV88" s="1162">
        <v>2000000</v>
      </c>
      <c r="DW88" s="1162">
        <v>2000000</v>
      </c>
      <c r="DX88" s="1162">
        <v>2000000</v>
      </c>
      <c r="DY88" s="1162">
        <v>2000000</v>
      </c>
      <c r="DZ88" s="1162">
        <v>2000000</v>
      </c>
      <c r="EA88" s="1162">
        <v>2000000</v>
      </c>
      <c r="EB88" s="1162">
        <v>2000000</v>
      </c>
      <c r="EC88" s="1162">
        <v>2000000</v>
      </c>
      <c r="ED88" s="1162">
        <v>2000000</v>
      </c>
      <c r="EE88" s="1119">
        <f t="shared" si="28"/>
        <v>24000000</v>
      </c>
      <c r="EF88" s="443">
        <f t="shared" si="20"/>
        <v>28080000</v>
      </c>
      <c r="EG88" s="355">
        <f t="shared" si="21"/>
        <v>30326400.000000004</v>
      </c>
      <c r="EH88" s="443">
        <f t="shared" si="14"/>
        <v>33055776.000000007</v>
      </c>
      <c r="EI88" s="443">
        <f t="shared" si="14"/>
        <v>36030795.840000011</v>
      </c>
      <c r="EJ88" s="367">
        <v>8000000012</v>
      </c>
    </row>
    <row r="89" spans="1:140" ht="15.5" outlineLevel="2">
      <c r="A89" s="367" t="s">
        <v>43</v>
      </c>
      <c r="B89" s="378"/>
      <c r="C89" s="370" t="s">
        <v>358</v>
      </c>
      <c r="D89" s="370" t="s">
        <v>40</v>
      </c>
      <c r="E89" s="379" t="s">
        <v>414</v>
      </c>
      <c r="F89" s="380">
        <v>3000019396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7">
        <f t="shared" si="4"/>
        <v>0</v>
      </c>
      <c r="T89" s="179"/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518">
        <f t="shared" si="5"/>
        <v>0</v>
      </c>
      <c r="AH89" s="788"/>
      <c r="AI89" s="789"/>
      <c r="AJ89" s="517">
        <v>168700000</v>
      </c>
      <c r="AK89" s="518">
        <v>0</v>
      </c>
      <c r="AL89" s="518">
        <v>0</v>
      </c>
      <c r="AM89" s="518">
        <v>0</v>
      </c>
      <c r="AN89" s="518">
        <v>0</v>
      </c>
      <c r="AO89" s="518">
        <v>0</v>
      </c>
      <c r="AP89" s="518">
        <v>0</v>
      </c>
      <c r="AQ89" s="518">
        <v>0</v>
      </c>
      <c r="AR89" s="518"/>
      <c r="AS89" s="518"/>
      <c r="AT89" s="518"/>
      <c r="AU89" s="518">
        <f t="shared" si="38"/>
        <v>0</v>
      </c>
      <c r="AV89" s="518">
        <f t="shared" si="38"/>
        <v>0</v>
      </c>
      <c r="AW89" s="518">
        <f t="shared" si="38"/>
        <v>0</v>
      </c>
      <c r="AX89" s="518">
        <f t="shared" si="6"/>
        <v>168700000</v>
      </c>
      <c r="AY89" s="788"/>
      <c r="AZ89" s="789"/>
      <c r="BA89" s="517">
        <v>168700000</v>
      </c>
      <c r="BB89" s="518">
        <v>0</v>
      </c>
      <c r="BC89" s="518">
        <v>0</v>
      </c>
      <c r="BD89" s="518">
        <v>0</v>
      </c>
      <c r="BE89" s="518">
        <v>0</v>
      </c>
      <c r="BF89" s="518">
        <v>0</v>
      </c>
      <c r="BG89" s="518">
        <f t="shared" ref="BG89:BG139" si="41">AP89</f>
        <v>0</v>
      </c>
      <c r="BH89" s="518">
        <v>0</v>
      </c>
      <c r="BI89" s="518">
        <v>0</v>
      </c>
      <c r="BJ89" s="518">
        <v>0</v>
      </c>
      <c r="BK89" s="518">
        <v>0</v>
      </c>
      <c r="BL89" s="518">
        <f t="shared" si="8"/>
        <v>168700000</v>
      </c>
      <c r="BN89" s="518">
        <v>0</v>
      </c>
      <c r="BO89" s="518">
        <v>0</v>
      </c>
      <c r="BP89" s="518">
        <v>0</v>
      </c>
      <c r="BQ89" s="518">
        <v>0</v>
      </c>
      <c r="BR89" s="518">
        <v>0</v>
      </c>
      <c r="BS89" s="518">
        <v>0</v>
      </c>
      <c r="BT89" s="518">
        <v>0</v>
      </c>
      <c r="BU89" s="518">
        <v>0</v>
      </c>
      <c r="BV89" s="518">
        <v>0</v>
      </c>
      <c r="BW89" s="518">
        <v>0</v>
      </c>
      <c r="BX89" s="518">
        <v>0</v>
      </c>
      <c r="BY89" s="518">
        <v>0</v>
      </c>
      <c r="BZ89" s="791">
        <v>0</v>
      </c>
      <c r="CB89" s="518">
        <v>0</v>
      </c>
      <c r="CC89" s="518">
        <v>0</v>
      </c>
      <c r="CD89" s="518">
        <v>0</v>
      </c>
      <c r="CE89" s="518">
        <v>0</v>
      </c>
      <c r="CF89" s="518">
        <v>0</v>
      </c>
      <c r="CG89" s="518">
        <v>0</v>
      </c>
      <c r="CH89" s="518">
        <v>0</v>
      </c>
      <c r="CI89" s="518">
        <v>0</v>
      </c>
      <c r="CJ89" s="518">
        <v>0</v>
      </c>
      <c r="CK89" s="518">
        <v>0</v>
      </c>
      <c r="CL89" s="518">
        <v>0</v>
      </c>
      <c r="CM89" s="518">
        <v>0</v>
      </c>
      <c r="CN89" s="791">
        <v>0</v>
      </c>
      <c r="CP89" s="647"/>
      <c r="CQ89" s="647"/>
      <c r="CR89" s="518"/>
      <c r="CS89" s="647"/>
      <c r="CT89" s="518"/>
      <c r="CU89" s="647"/>
      <c r="CV89" s="518"/>
      <c r="CW89" s="647"/>
      <c r="CX89" s="518"/>
      <c r="CY89" s="647"/>
      <c r="CZ89" s="518"/>
      <c r="DA89" s="647"/>
      <c r="DB89" s="518"/>
      <c r="DC89" s="647">
        <v>0</v>
      </c>
      <c r="DD89" s="518"/>
      <c r="DE89" s="518"/>
      <c r="DF89" s="518"/>
      <c r="DG89" s="748"/>
      <c r="DH89" s="518"/>
      <c r="DI89" s="518"/>
      <c r="DJ89" s="748"/>
      <c r="DK89" s="518"/>
      <c r="DL89" s="518"/>
      <c r="DM89" s="748"/>
      <c r="DN89" s="518"/>
      <c r="DO89" s="518"/>
      <c r="DP89" s="748"/>
      <c r="DQ89" s="493">
        <f t="shared" si="31"/>
        <v>0</v>
      </c>
      <c r="DR89" s="479">
        <f t="shared" si="33"/>
        <v>0</v>
      </c>
      <c r="DS89" s="1163"/>
      <c r="DT89" s="1163"/>
      <c r="DU89" s="1163"/>
      <c r="DV89" s="1163"/>
      <c r="DW89" s="1163"/>
      <c r="DX89" s="1163"/>
      <c r="DY89" s="1163"/>
      <c r="DZ89" s="1163"/>
      <c r="EA89" s="1163"/>
      <c r="EB89" s="1163"/>
      <c r="EC89" s="1163"/>
      <c r="ED89" s="1163"/>
      <c r="EE89" s="1119">
        <f t="shared" si="28"/>
        <v>0</v>
      </c>
      <c r="EF89" s="443">
        <f t="shared" si="20"/>
        <v>0</v>
      </c>
      <c r="EG89" s="355">
        <f t="shared" si="21"/>
        <v>0</v>
      </c>
      <c r="EH89" s="443">
        <f t="shared" si="14"/>
        <v>0</v>
      </c>
      <c r="EI89" s="443">
        <f t="shared" si="14"/>
        <v>0</v>
      </c>
      <c r="EJ89" s="367">
        <v>3000019396</v>
      </c>
    </row>
    <row r="90" spans="1:140" ht="15.5" outlineLevel="2">
      <c r="A90" s="367" t="s">
        <v>59</v>
      </c>
      <c r="B90" s="378"/>
      <c r="C90" s="370" t="s">
        <v>358</v>
      </c>
      <c r="D90" s="370" t="s">
        <v>108</v>
      </c>
      <c r="E90" s="379" t="s">
        <v>168</v>
      </c>
      <c r="F90" s="380" t="s">
        <v>415</v>
      </c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7"/>
      <c r="T90" s="179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518"/>
      <c r="AH90" s="788"/>
      <c r="AI90" s="789"/>
      <c r="AJ90" s="517"/>
      <c r="AK90" s="518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788"/>
      <c r="AZ90" s="789"/>
      <c r="BA90" s="517"/>
      <c r="BB90" s="518"/>
      <c r="BC90" s="518"/>
      <c r="BD90" s="518"/>
      <c r="BE90" s="518"/>
      <c r="BF90" s="518"/>
      <c r="BG90" s="518"/>
      <c r="BH90" s="518"/>
      <c r="BI90" s="518"/>
      <c r="BJ90" s="518"/>
      <c r="BK90" s="518"/>
      <c r="BL90" s="518"/>
      <c r="BN90" s="518"/>
      <c r="BO90" s="518"/>
      <c r="BP90" s="518"/>
      <c r="BQ90" s="518"/>
      <c r="BR90" s="518"/>
      <c r="BS90" s="518"/>
      <c r="BT90" s="518"/>
      <c r="BU90" s="518"/>
      <c r="BV90" s="518"/>
      <c r="BW90" s="518"/>
      <c r="BX90" s="518"/>
      <c r="BY90" s="518"/>
      <c r="BZ90" s="791"/>
      <c r="CB90" s="518"/>
      <c r="CC90" s="518"/>
      <c r="CD90" s="518"/>
      <c r="CE90" s="518"/>
      <c r="CF90" s="518"/>
      <c r="CG90" s="518"/>
      <c r="CH90" s="518"/>
      <c r="CI90" s="518"/>
      <c r="CJ90" s="518"/>
      <c r="CK90" s="518"/>
      <c r="CL90" s="518"/>
      <c r="CM90" s="518"/>
      <c r="CN90" s="791"/>
      <c r="CP90" s="647"/>
      <c r="CQ90" s="647">
        <v>3000000</v>
      </c>
      <c r="CR90" s="518"/>
      <c r="CS90" s="647"/>
      <c r="CT90" s="518"/>
      <c r="CU90" s="647"/>
      <c r="CV90" s="518"/>
      <c r="CW90" s="647"/>
      <c r="CX90" s="518"/>
      <c r="CY90" s="647"/>
      <c r="CZ90" s="518"/>
      <c r="DA90" s="647"/>
      <c r="DB90" s="518"/>
      <c r="DC90" s="647">
        <v>0</v>
      </c>
      <c r="DD90" s="518"/>
      <c r="DE90" s="518"/>
      <c r="DF90" s="518"/>
      <c r="DG90" s="748"/>
      <c r="DH90" s="518"/>
      <c r="DI90" s="518"/>
      <c r="DJ90" s="748"/>
      <c r="DK90" s="518"/>
      <c r="DL90" s="518"/>
      <c r="DM90" s="748"/>
      <c r="DN90" s="518"/>
      <c r="DO90" s="518"/>
      <c r="DP90" s="748"/>
      <c r="DQ90" s="493">
        <f t="shared" si="31"/>
        <v>3000000</v>
      </c>
      <c r="DR90" s="479">
        <f t="shared" si="33"/>
        <v>3000000</v>
      </c>
      <c r="DS90" s="1163"/>
      <c r="DT90" s="1163"/>
      <c r="DU90" s="1163"/>
      <c r="DV90" s="1163"/>
      <c r="DW90" s="1163"/>
      <c r="DX90" s="1163"/>
      <c r="DY90" s="1163"/>
      <c r="DZ90" s="1163"/>
      <c r="EA90" s="1163"/>
      <c r="EB90" s="1163"/>
      <c r="EC90" s="1163"/>
      <c r="ED90" s="1163"/>
      <c r="EE90" s="1119">
        <f t="shared" si="28"/>
        <v>0</v>
      </c>
      <c r="EF90" s="443">
        <f t="shared" si="20"/>
        <v>0</v>
      </c>
      <c r="EG90" s="355">
        <f t="shared" si="21"/>
        <v>0</v>
      </c>
      <c r="EH90" s="443">
        <f t="shared" ref="EH90:EI153" si="42">EG90*1.09</f>
        <v>0</v>
      </c>
      <c r="EI90" s="443">
        <f t="shared" si="42"/>
        <v>0</v>
      </c>
    </row>
    <row r="91" spans="1:140" ht="15.5" outlineLevel="2">
      <c r="A91" s="367" t="s">
        <v>39</v>
      </c>
      <c r="B91" s="378"/>
      <c r="C91" s="370" t="s">
        <v>358</v>
      </c>
      <c r="D91" s="370" t="s">
        <v>40</v>
      </c>
      <c r="E91" s="379" t="s">
        <v>416</v>
      </c>
      <c r="F91" s="380">
        <v>3000020256</v>
      </c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7"/>
      <c r="T91" s="179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518"/>
      <c r="AH91" s="788"/>
      <c r="AI91" s="789"/>
      <c r="AJ91" s="790"/>
      <c r="AK91" s="518"/>
      <c r="AL91" s="518"/>
      <c r="AM91" s="518"/>
      <c r="AN91" s="518"/>
      <c r="AO91" s="518"/>
      <c r="AP91" s="518"/>
      <c r="AQ91" s="518">
        <v>17300000</v>
      </c>
      <c r="AR91" s="759">
        <v>37906578</v>
      </c>
      <c r="AS91" s="759">
        <v>37144562</v>
      </c>
      <c r="AT91" s="759">
        <v>43518213</v>
      </c>
      <c r="AU91" s="794">
        <f>70000000</f>
        <v>70000000</v>
      </c>
      <c r="AV91" s="794">
        <f>70000000</f>
        <v>70000000</v>
      </c>
      <c r="AW91" s="794">
        <f>70000000</f>
        <v>70000000</v>
      </c>
      <c r="AX91" s="518">
        <f>SUM(AI91,AJ91,AK91,AL91,AM91,AN91,AO91,AP91,AQ91,AR91,AS91,AT91)</f>
        <v>135869353</v>
      </c>
      <c r="AY91" s="788"/>
      <c r="AZ91" s="789"/>
      <c r="BA91" s="790"/>
      <c r="BB91" s="518"/>
      <c r="BC91" s="518"/>
      <c r="BD91" s="518"/>
      <c r="BE91" s="518"/>
      <c r="BF91" s="518"/>
      <c r="BG91" s="518"/>
      <c r="BH91" s="518"/>
      <c r="BI91" s="518"/>
      <c r="BJ91" s="518"/>
      <c r="BK91" s="518"/>
      <c r="BL91" s="518">
        <f>SUM(AZ91,BA91,BB91,BC91,BD91,BE91,BF91,BG91,BH91,BI91,BJ91,BK91)</f>
        <v>0</v>
      </c>
      <c r="BN91" s="516">
        <f>70000000</f>
        <v>70000000</v>
      </c>
      <c r="BO91" s="516">
        <f t="shared" ref="BO91:BY91" si="43">70000000</f>
        <v>70000000</v>
      </c>
      <c r="BP91" s="516">
        <f t="shared" si="43"/>
        <v>70000000</v>
      </c>
      <c r="BQ91" s="516">
        <f t="shared" si="43"/>
        <v>70000000</v>
      </c>
      <c r="BR91" s="516">
        <f>BQ91*0.85</f>
        <v>59500000</v>
      </c>
      <c r="BS91" s="516">
        <f t="shared" si="43"/>
        <v>70000000</v>
      </c>
      <c r="BT91" s="516">
        <f t="shared" si="43"/>
        <v>70000000</v>
      </c>
      <c r="BU91" s="516">
        <f t="shared" si="43"/>
        <v>70000000</v>
      </c>
      <c r="BV91" s="516">
        <f t="shared" si="43"/>
        <v>70000000</v>
      </c>
      <c r="BW91" s="516">
        <f t="shared" si="43"/>
        <v>70000000</v>
      </c>
      <c r="BX91" s="516">
        <f t="shared" si="43"/>
        <v>70000000</v>
      </c>
      <c r="BY91" s="516">
        <f t="shared" si="43"/>
        <v>70000000</v>
      </c>
      <c r="BZ91" s="791">
        <v>829500000</v>
      </c>
      <c r="CB91" s="796">
        <f>70000000</f>
        <v>70000000</v>
      </c>
      <c r="CC91" s="796">
        <f t="shared" ref="CC91:CM91" si="44">70000000</f>
        <v>70000000</v>
      </c>
      <c r="CD91" s="796">
        <f t="shared" si="44"/>
        <v>70000000</v>
      </c>
      <c r="CE91" s="796">
        <f t="shared" si="44"/>
        <v>70000000</v>
      </c>
      <c r="CF91" s="796">
        <f>CE91*0.85</f>
        <v>59500000</v>
      </c>
      <c r="CG91" s="796">
        <f t="shared" si="44"/>
        <v>70000000</v>
      </c>
      <c r="CH91" s="796">
        <f t="shared" si="44"/>
        <v>70000000</v>
      </c>
      <c r="CI91" s="796">
        <f t="shared" si="44"/>
        <v>70000000</v>
      </c>
      <c r="CJ91" s="796">
        <f t="shared" si="44"/>
        <v>70000000</v>
      </c>
      <c r="CK91" s="796">
        <f t="shared" si="44"/>
        <v>70000000</v>
      </c>
      <c r="CL91" s="796">
        <f t="shared" si="44"/>
        <v>70000000</v>
      </c>
      <c r="CM91" s="796">
        <f t="shared" si="44"/>
        <v>70000000</v>
      </c>
      <c r="CN91" s="791">
        <v>829500000</v>
      </c>
      <c r="CP91" s="648">
        <v>48062096</v>
      </c>
      <c r="CQ91" s="648">
        <v>38321773</v>
      </c>
      <c r="CR91" s="519">
        <v>50000000</v>
      </c>
      <c r="CS91" s="648">
        <v>33030098</v>
      </c>
      <c r="CT91" s="519">
        <v>50000000</v>
      </c>
      <c r="CU91" s="648">
        <v>48940750</v>
      </c>
      <c r="CV91" s="519">
        <v>50000000</v>
      </c>
      <c r="CW91" s="648">
        <v>28473907</v>
      </c>
      <c r="CX91" s="519">
        <v>50000000</v>
      </c>
      <c r="CY91" s="648">
        <v>33909864</v>
      </c>
      <c r="CZ91" s="519">
        <v>50000000</v>
      </c>
      <c r="DA91" s="648">
        <v>93438618</v>
      </c>
      <c r="DB91" s="519">
        <v>50000000</v>
      </c>
      <c r="DC91" s="648">
        <v>32499165</v>
      </c>
      <c r="DD91" s="519">
        <v>50000000</v>
      </c>
      <c r="DE91" s="518"/>
      <c r="DF91" s="519">
        <v>50000000</v>
      </c>
      <c r="DG91" s="749">
        <v>50000000</v>
      </c>
      <c r="DH91" s="518"/>
      <c r="DI91" s="519">
        <v>50000000</v>
      </c>
      <c r="DJ91" s="749">
        <v>50000000</v>
      </c>
      <c r="DK91" s="518"/>
      <c r="DL91" s="519">
        <v>50000000</v>
      </c>
      <c r="DM91" s="749">
        <v>50000000</v>
      </c>
      <c r="DN91" s="518"/>
      <c r="DO91" s="519">
        <v>50000000</v>
      </c>
      <c r="DP91" s="749">
        <v>50000000</v>
      </c>
      <c r="DQ91" s="493">
        <f t="shared" si="31"/>
        <v>556676271</v>
      </c>
      <c r="DR91" s="479">
        <f t="shared" si="33"/>
        <v>568354717</v>
      </c>
      <c r="DS91" s="1162">
        <v>30000000</v>
      </c>
      <c r="DT91" s="1162">
        <v>30000000</v>
      </c>
      <c r="DU91" s="1162">
        <v>30000000</v>
      </c>
      <c r="DV91" s="1162">
        <v>30000000</v>
      </c>
      <c r="DW91" s="1162">
        <v>30000000</v>
      </c>
      <c r="DX91" s="1162">
        <v>30000000</v>
      </c>
      <c r="DY91" s="1162">
        <v>30000000</v>
      </c>
      <c r="DZ91" s="1162">
        <v>30000000</v>
      </c>
      <c r="EA91" s="1162">
        <v>30000000</v>
      </c>
      <c r="EB91" s="1162">
        <v>30000000</v>
      </c>
      <c r="EC91" s="1162">
        <v>30000000</v>
      </c>
      <c r="ED91" s="1162">
        <v>30000000</v>
      </c>
      <c r="EE91" s="1119">
        <f t="shared" si="28"/>
        <v>360000000</v>
      </c>
      <c r="EF91" s="443">
        <f t="shared" si="20"/>
        <v>421200000</v>
      </c>
      <c r="EG91" s="355">
        <f t="shared" si="21"/>
        <v>454896000.00000006</v>
      </c>
      <c r="EH91" s="443">
        <f t="shared" si="42"/>
        <v>495836640.00000012</v>
      </c>
      <c r="EI91" s="443">
        <f t="shared" si="42"/>
        <v>540461937.60000014</v>
      </c>
      <c r="EJ91" s="367">
        <v>3000020256</v>
      </c>
    </row>
    <row r="92" spans="1:140" ht="15.5" outlineLevel="2">
      <c r="A92" s="367" t="s">
        <v>39</v>
      </c>
      <c r="B92" s="378"/>
      <c r="C92" s="370" t="s">
        <v>358</v>
      </c>
      <c r="D92" s="370" t="s">
        <v>40</v>
      </c>
      <c r="E92" s="383" t="s">
        <v>417</v>
      </c>
      <c r="F92" s="380">
        <v>3000020257</v>
      </c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7"/>
      <c r="T92" s="179"/>
      <c r="U92" s="178"/>
      <c r="V92" s="9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518"/>
      <c r="AH92" s="788"/>
      <c r="AI92" s="789"/>
      <c r="AJ92" s="517"/>
      <c r="AK92" s="518"/>
      <c r="AL92" s="518"/>
      <c r="AM92" s="518"/>
      <c r="AN92" s="518"/>
      <c r="AO92" s="518"/>
      <c r="AP92" s="518"/>
      <c r="AQ92" s="518"/>
      <c r="AR92" s="518">
        <v>25093422</v>
      </c>
      <c r="AS92" s="518">
        <v>19345438</v>
      </c>
      <c r="AT92" s="518">
        <v>12966799</v>
      </c>
      <c r="AU92" s="518"/>
      <c r="AV92" s="518"/>
      <c r="AW92" s="518"/>
      <c r="AX92" s="518">
        <f>SUM(AI92,AJ92,AK92,AL92,AM92,AN92,AO92,AP92,AQ92,AR92,AS92,AT92)</f>
        <v>57405659</v>
      </c>
      <c r="AY92" s="788"/>
      <c r="AZ92" s="789"/>
      <c r="BA92" s="517"/>
      <c r="BB92" s="518"/>
      <c r="BC92" s="518"/>
      <c r="BD92" s="518"/>
      <c r="BE92" s="518"/>
      <c r="BF92" s="518"/>
      <c r="BG92" s="518"/>
      <c r="BH92" s="518"/>
      <c r="BI92" s="518"/>
      <c r="BJ92" s="518"/>
      <c r="BK92" s="518"/>
      <c r="BL92" s="518"/>
      <c r="BN92" s="516"/>
      <c r="BO92" s="517"/>
      <c r="BP92" s="518"/>
      <c r="BQ92" s="518"/>
      <c r="BR92" s="518"/>
      <c r="BS92" s="518"/>
      <c r="BT92" s="518"/>
      <c r="BU92" s="518"/>
      <c r="BV92" s="518"/>
      <c r="BW92" s="518"/>
      <c r="BX92" s="518"/>
      <c r="BY92" s="518"/>
      <c r="BZ92" s="791">
        <v>0</v>
      </c>
      <c r="CB92" s="796"/>
      <c r="CC92" s="797"/>
      <c r="CD92" s="798"/>
      <c r="CE92" s="798"/>
      <c r="CF92" s="798"/>
      <c r="CG92" s="798"/>
      <c r="CH92" s="798"/>
      <c r="CI92" s="798"/>
      <c r="CJ92" s="798"/>
      <c r="CK92" s="798"/>
      <c r="CL92" s="798"/>
      <c r="CM92" s="798"/>
      <c r="CN92" s="791">
        <v>0</v>
      </c>
      <c r="CP92" s="648">
        <v>18437904</v>
      </c>
      <c r="CQ92" s="648">
        <v>16668227</v>
      </c>
      <c r="CR92" s="519">
        <v>20000000</v>
      </c>
      <c r="CS92" s="648">
        <v>11469902</v>
      </c>
      <c r="CT92" s="519">
        <v>25000000</v>
      </c>
      <c r="CU92" s="648">
        <v>14089250</v>
      </c>
      <c r="CV92" s="519">
        <v>25000000</v>
      </c>
      <c r="CW92" s="648">
        <v>12446093</v>
      </c>
      <c r="CX92" s="519">
        <v>25000000</v>
      </c>
      <c r="CY92" s="648">
        <v>10092636</v>
      </c>
      <c r="CZ92" s="519">
        <v>25000000</v>
      </c>
      <c r="DA92" s="648">
        <v>12839593</v>
      </c>
      <c r="DB92" s="519">
        <v>25000000</v>
      </c>
      <c r="DC92" s="648">
        <v>24663424</v>
      </c>
      <c r="DD92" s="519">
        <v>25000000</v>
      </c>
      <c r="DE92" s="518"/>
      <c r="DF92" s="519">
        <v>25000000</v>
      </c>
      <c r="DG92" s="749">
        <v>25000000</v>
      </c>
      <c r="DH92" s="518"/>
      <c r="DI92" s="519">
        <v>25000000</v>
      </c>
      <c r="DJ92" s="749">
        <v>25000000</v>
      </c>
      <c r="DK92" s="518"/>
      <c r="DL92" s="519">
        <v>25000000</v>
      </c>
      <c r="DM92" s="749">
        <v>25000000</v>
      </c>
      <c r="DN92" s="518"/>
      <c r="DO92" s="519">
        <v>25000000</v>
      </c>
      <c r="DP92" s="749">
        <v>25000000</v>
      </c>
      <c r="DQ92" s="493">
        <f t="shared" si="31"/>
        <v>220707029</v>
      </c>
      <c r="DR92" s="479">
        <f t="shared" si="33"/>
        <v>260665283</v>
      </c>
      <c r="DS92" s="1162"/>
      <c r="DT92" s="1162"/>
      <c r="DU92" s="1162"/>
      <c r="DV92" s="1162"/>
      <c r="DW92" s="1162"/>
      <c r="DX92" s="1162"/>
      <c r="DY92" s="1162"/>
      <c r="DZ92" s="1162"/>
      <c r="EA92" s="1162"/>
      <c r="EB92" s="1162"/>
      <c r="EC92" s="1162"/>
      <c r="ED92" s="1162"/>
      <c r="EE92" s="1119">
        <f t="shared" si="28"/>
        <v>0</v>
      </c>
      <c r="EF92" s="443">
        <f t="shared" si="20"/>
        <v>0</v>
      </c>
      <c r="EG92" s="355">
        <f t="shared" si="21"/>
        <v>0</v>
      </c>
      <c r="EH92" s="443">
        <f t="shared" si="42"/>
        <v>0</v>
      </c>
      <c r="EI92" s="443">
        <f t="shared" si="42"/>
        <v>0</v>
      </c>
    </row>
    <row r="93" spans="1:140" ht="15.5" outlineLevel="2">
      <c r="A93" s="367" t="s">
        <v>43</v>
      </c>
      <c r="B93" s="378"/>
      <c r="C93" s="370" t="s">
        <v>358</v>
      </c>
      <c r="D93" s="370" t="s">
        <v>40</v>
      </c>
      <c r="E93" s="388" t="s">
        <v>418</v>
      </c>
      <c r="F93" s="380">
        <v>3000019455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7">
        <f>SUM(G93,H93,I93,J93,K93,L93,M93,N93,O93,P93,Q93,R93)</f>
        <v>0</v>
      </c>
      <c r="T93" s="179"/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518">
        <f>SUM(U93,V93,W93,X93,Y93,Z93,AA93,AB93,AC93,AD93,AE93,AF93)</f>
        <v>0</v>
      </c>
      <c r="AH93" s="788"/>
      <c r="AI93" s="789"/>
      <c r="AJ93" s="517">
        <v>6000000</v>
      </c>
      <c r="AK93" s="518">
        <v>0</v>
      </c>
      <c r="AL93" s="518">
        <v>0</v>
      </c>
      <c r="AM93" s="518">
        <v>0</v>
      </c>
      <c r="AN93" s="518">
        <v>0</v>
      </c>
      <c r="AO93" s="518">
        <v>0</v>
      </c>
      <c r="AP93" s="518">
        <v>0</v>
      </c>
      <c r="AQ93" s="518">
        <v>0</v>
      </c>
      <c r="AR93" s="518"/>
      <c r="AS93" s="518"/>
      <c r="AT93" s="518"/>
      <c r="AU93" s="518">
        <f>BI93</f>
        <v>0</v>
      </c>
      <c r="AV93" s="518">
        <f>BJ93</f>
        <v>0</v>
      </c>
      <c r="AW93" s="518">
        <f>BK93</f>
        <v>0</v>
      </c>
      <c r="AX93" s="518">
        <f>SUM(AI93,AJ93,AK93,AL93,AM93,AN93,AO93,AP93,AQ93,AR93,AS93,AT93)</f>
        <v>6000000</v>
      </c>
      <c r="AY93" s="788"/>
      <c r="AZ93" s="789"/>
      <c r="BA93" s="517">
        <v>6000000</v>
      </c>
      <c r="BB93" s="518">
        <v>0</v>
      </c>
      <c r="BC93" s="518">
        <v>0</v>
      </c>
      <c r="BD93" s="518">
        <v>0</v>
      </c>
      <c r="BE93" s="518">
        <v>0</v>
      </c>
      <c r="BF93" s="518">
        <v>0</v>
      </c>
      <c r="BG93" s="518">
        <f>AP93</f>
        <v>0</v>
      </c>
      <c r="BH93" s="518">
        <v>0</v>
      </c>
      <c r="BI93" s="518">
        <v>0</v>
      </c>
      <c r="BJ93" s="518">
        <v>0</v>
      </c>
      <c r="BK93" s="518">
        <v>0</v>
      </c>
      <c r="BL93" s="518">
        <f>SUM(AZ93,BA93,BB93,BC93,BD93,BE93,BF93,BG93,BH93,BI93,BJ93,BK93)</f>
        <v>6000000</v>
      </c>
      <c r="BN93" s="518">
        <v>0</v>
      </c>
      <c r="BO93" s="518">
        <v>0</v>
      </c>
      <c r="BP93" s="518">
        <v>0</v>
      </c>
      <c r="BQ93" s="518">
        <v>0</v>
      </c>
      <c r="BR93" s="518">
        <v>0</v>
      </c>
      <c r="BS93" s="518">
        <v>0</v>
      </c>
      <c r="BT93" s="518">
        <v>0</v>
      </c>
      <c r="BU93" s="518">
        <v>0</v>
      </c>
      <c r="BV93" s="518">
        <v>0</v>
      </c>
      <c r="BW93" s="518">
        <v>0</v>
      </c>
      <c r="BX93" s="518">
        <v>0</v>
      </c>
      <c r="BY93" s="518">
        <v>0</v>
      </c>
      <c r="BZ93" s="791">
        <v>0</v>
      </c>
      <c r="CB93" s="518">
        <v>0</v>
      </c>
      <c r="CC93" s="518">
        <v>0</v>
      </c>
      <c r="CD93" s="518">
        <v>0</v>
      </c>
      <c r="CE93" s="518">
        <v>0</v>
      </c>
      <c r="CF93" s="518">
        <v>0</v>
      </c>
      <c r="CG93" s="518">
        <v>0</v>
      </c>
      <c r="CH93" s="518">
        <v>0</v>
      </c>
      <c r="CI93" s="518">
        <v>0</v>
      </c>
      <c r="CJ93" s="518">
        <v>0</v>
      </c>
      <c r="CK93" s="518">
        <v>0</v>
      </c>
      <c r="CL93" s="518">
        <v>0</v>
      </c>
      <c r="CM93" s="518">
        <v>0</v>
      </c>
      <c r="CN93" s="791">
        <v>0</v>
      </c>
      <c r="CP93" s="647"/>
      <c r="CQ93" s="647"/>
      <c r="CR93" s="518"/>
      <c r="CS93" s="647"/>
      <c r="CT93" s="518"/>
      <c r="CU93" s="647"/>
      <c r="CV93" s="518"/>
      <c r="CW93" s="647"/>
      <c r="CX93" s="518"/>
      <c r="CY93" s="647"/>
      <c r="CZ93" s="518"/>
      <c r="DA93" s="647"/>
      <c r="DB93" s="518"/>
      <c r="DC93" s="647">
        <v>0</v>
      </c>
      <c r="DD93" s="518"/>
      <c r="DE93" s="518"/>
      <c r="DF93" s="518"/>
      <c r="DG93" s="748"/>
      <c r="DH93" s="518"/>
      <c r="DI93" s="518"/>
      <c r="DJ93" s="748"/>
      <c r="DK93" s="518"/>
      <c r="DL93" s="518"/>
      <c r="DM93" s="748"/>
      <c r="DN93" s="518"/>
      <c r="DO93" s="518"/>
      <c r="DP93" s="748"/>
      <c r="DQ93" s="493">
        <f t="shared" si="31"/>
        <v>0</v>
      </c>
      <c r="DR93" s="479">
        <f t="shared" si="33"/>
        <v>0</v>
      </c>
      <c r="DS93" s="1163"/>
      <c r="DT93" s="1163"/>
      <c r="DU93" s="1163"/>
      <c r="DV93" s="1163"/>
      <c r="DW93" s="1163"/>
      <c r="DX93" s="1163"/>
      <c r="DY93" s="1163"/>
      <c r="DZ93" s="1163"/>
      <c r="EA93" s="1163"/>
      <c r="EB93" s="1163"/>
      <c r="EC93" s="1163"/>
      <c r="ED93" s="1163"/>
      <c r="EE93" s="1119">
        <f t="shared" si="28"/>
        <v>0</v>
      </c>
      <c r="EF93" s="443">
        <f t="shared" si="20"/>
        <v>0</v>
      </c>
      <c r="EG93" s="355">
        <f t="shared" si="21"/>
        <v>0</v>
      </c>
      <c r="EH93" s="443">
        <f t="shared" si="42"/>
        <v>0</v>
      </c>
      <c r="EI93" s="443">
        <f t="shared" si="42"/>
        <v>0</v>
      </c>
      <c r="EJ93" s="367">
        <v>3000019455</v>
      </c>
    </row>
    <row r="94" spans="1:140" ht="15.5" outlineLevel="2">
      <c r="A94" s="367" t="s">
        <v>59</v>
      </c>
      <c r="B94" s="378"/>
      <c r="C94" s="370" t="s">
        <v>358</v>
      </c>
      <c r="D94" s="370" t="s">
        <v>40</v>
      </c>
      <c r="E94" s="384" t="s">
        <v>419</v>
      </c>
      <c r="F94" s="380">
        <v>3000019901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0</v>
      </c>
      <c r="Q94" s="178">
        <v>0</v>
      </c>
      <c r="R94" s="178">
        <v>0</v>
      </c>
      <c r="S94" s="7">
        <f>SUM(G94,H94,I94,J94,K94,L94,M94,N94,O94,P94,Q94,R94)</f>
        <v>0</v>
      </c>
      <c r="T94" s="179"/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518">
        <f>SUM(U94,V94,W94,X94,Y94,Z94,AA94,AB94,AC94,AD94,AE94,AF94)</f>
        <v>0</v>
      </c>
      <c r="AH94" s="788"/>
      <c r="AI94" s="789"/>
      <c r="AJ94" s="517"/>
      <c r="AK94" s="518"/>
      <c r="AL94" s="518">
        <v>0</v>
      </c>
      <c r="AM94" s="518"/>
      <c r="AN94" s="518">
        <v>7550000</v>
      </c>
      <c r="AO94" s="518">
        <v>7900000</v>
      </c>
      <c r="AP94" s="518">
        <v>3400000</v>
      </c>
      <c r="AQ94" s="518">
        <v>-4500000</v>
      </c>
      <c r="AR94" s="518"/>
      <c r="AS94" s="518"/>
      <c r="AT94" s="518"/>
      <c r="AU94" s="794">
        <v>5000000</v>
      </c>
      <c r="AV94" s="794">
        <v>5000000</v>
      </c>
      <c r="AW94" s="794">
        <v>5000000</v>
      </c>
      <c r="AX94" s="518">
        <f>SUM(AI94,AJ94,AK94,AL94,AM94,AN94,AO94,AP94,AQ94,AR94,AS94,AT94)</f>
        <v>14350000</v>
      </c>
      <c r="AY94" s="788"/>
      <c r="AZ94" s="789"/>
      <c r="BA94" s="517"/>
      <c r="BB94" s="518"/>
      <c r="BC94" s="518">
        <v>0</v>
      </c>
      <c r="BD94" s="518"/>
      <c r="BE94" s="518">
        <v>7550000</v>
      </c>
      <c r="BF94" s="518">
        <v>7900000</v>
      </c>
      <c r="BG94" s="518">
        <f>AP94</f>
        <v>3400000</v>
      </c>
      <c r="BH94" s="518">
        <v>10000000</v>
      </c>
      <c r="BI94" s="518">
        <v>20000000</v>
      </c>
      <c r="BJ94" s="518">
        <v>20000000</v>
      </c>
      <c r="BK94" s="518">
        <v>20000000</v>
      </c>
      <c r="BL94" s="518">
        <f>SUM(AZ94,BA94,BB94,BC94,BD94,BE94,BF94,BG94,BH94,BI94,BJ94,BK94)</f>
        <v>88850000</v>
      </c>
      <c r="BN94" s="518">
        <v>10000000</v>
      </c>
      <c r="BO94" s="518">
        <v>10000000</v>
      </c>
      <c r="BP94" s="518">
        <v>10000000</v>
      </c>
      <c r="BQ94" s="518">
        <v>10000000</v>
      </c>
      <c r="BR94" s="518">
        <v>10000000</v>
      </c>
      <c r="BS94" s="518">
        <v>10000000</v>
      </c>
      <c r="BT94" s="518">
        <v>10000000</v>
      </c>
      <c r="BU94" s="518">
        <v>10000000</v>
      </c>
      <c r="BV94" s="518">
        <v>10000000</v>
      </c>
      <c r="BW94" s="518">
        <v>10000000</v>
      </c>
      <c r="BX94" s="518">
        <v>10000000</v>
      </c>
      <c r="BY94" s="518">
        <v>10000000</v>
      </c>
      <c r="BZ94" s="791">
        <v>120000000</v>
      </c>
      <c r="CB94" s="518">
        <v>10000000</v>
      </c>
      <c r="CC94" s="518">
        <v>10000000</v>
      </c>
      <c r="CD94" s="518">
        <v>10000000</v>
      </c>
      <c r="CE94" s="518">
        <v>10000000</v>
      </c>
      <c r="CF94" s="518">
        <v>10000000</v>
      </c>
      <c r="CG94" s="518">
        <v>10000000</v>
      </c>
      <c r="CH94" s="518">
        <v>10000000</v>
      </c>
      <c r="CI94" s="518">
        <v>10000000</v>
      </c>
      <c r="CJ94" s="518">
        <v>10000000</v>
      </c>
      <c r="CK94" s="518">
        <v>10000000</v>
      </c>
      <c r="CL94" s="518">
        <v>10000000</v>
      </c>
      <c r="CM94" s="518">
        <v>10000000</v>
      </c>
      <c r="CN94" s="791">
        <v>120000000</v>
      </c>
      <c r="CP94" s="647"/>
      <c r="CQ94" s="647"/>
      <c r="CR94" s="518"/>
      <c r="CS94" s="647"/>
      <c r="CT94" s="518"/>
      <c r="CU94" s="647"/>
      <c r="CV94" s="518"/>
      <c r="CW94" s="647"/>
      <c r="CX94" s="518"/>
      <c r="CY94" s="647"/>
      <c r="CZ94" s="518"/>
      <c r="DA94" s="647"/>
      <c r="DB94" s="518"/>
      <c r="DC94" s="647">
        <v>0</v>
      </c>
      <c r="DD94" s="518"/>
      <c r="DE94" s="518"/>
      <c r="DF94" s="518"/>
      <c r="DG94" s="748"/>
      <c r="DH94" s="518"/>
      <c r="DI94" s="518"/>
      <c r="DJ94" s="748"/>
      <c r="DK94" s="518"/>
      <c r="DL94" s="518"/>
      <c r="DM94" s="748"/>
      <c r="DN94" s="518"/>
      <c r="DO94" s="518"/>
      <c r="DP94" s="748"/>
      <c r="DQ94" s="493">
        <f t="shared" si="31"/>
        <v>0</v>
      </c>
      <c r="DR94" s="479">
        <f t="shared" si="33"/>
        <v>0</v>
      </c>
      <c r="DS94" s="1163"/>
      <c r="DT94" s="1163"/>
      <c r="DU94" s="1163"/>
      <c r="DV94" s="1163"/>
      <c r="DW94" s="1163"/>
      <c r="DX94" s="1163"/>
      <c r="DY94" s="1163"/>
      <c r="DZ94" s="1163"/>
      <c r="EA94" s="1163"/>
      <c r="EB94" s="1163"/>
      <c r="EC94" s="1163"/>
      <c r="ED94" s="1163"/>
      <c r="EE94" s="1119">
        <f t="shared" si="28"/>
        <v>0</v>
      </c>
      <c r="EF94" s="443">
        <f t="shared" si="20"/>
        <v>0</v>
      </c>
      <c r="EG94" s="355">
        <f t="shared" si="21"/>
        <v>0</v>
      </c>
      <c r="EH94" s="443">
        <f t="shared" si="42"/>
        <v>0</v>
      </c>
      <c r="EI94" s="443">
        <f t="shared" si="42"/>
        <v>0</v>
      </c>
      <c r="EJ94" s="367">
        <v>3000019901</v>
      </c>
    </row>
    <row r="95" spans="1:140" ht="15.5" outlineLevel="2">
      <c r="A95" s="367" t="s">
        <v>43</v>
      </c>
      <c r="B95" s="378"/>
      <c r="C95" s="370" t="s">
        <v>358</v>
      </c>
      <c r="D95" s="370" t="s">
        <v>40</v>
      </c>
      <c r="E95" s="383" t="s">
        <v>420</v>
      </c>
      <c r="F95" s="380">
        <v>3000020472</v>
      </c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7"/>
      <c r="T95" s="179"/>
      <c r="U95" s="178"/>
      <c r="V95" s="9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518"/>
      <c r="AH95" s="788"/>
      <c r="AI95" s="789"/>
      <c r="AJ95" s="517"/>
      <c r="AK95" s="518"/>
      <c r="AL95" s="518"/>
      <c r="AM95" s="518"/>
      <c r="AN95" s="518"/>
      <c r="AO95" s="518"/>
      <c r="AP95" s="518"/>
      <c r="AQ95" s="518"/>
      <c r="AR95" s="518"/>
      <c r="AS95" s="518"/>
      <c r="AT95" s="518">
        <v>96000000</v>
      </c>
      <c r="AU95" s="518"/>
      <c r="AV95" s="518"/>
      <c r="AW95" s="518"/>
      <c r="AX95" s="518">
        <f>SUM(AI95,AJ95,AK95,AL95,AM95,AN95,AO95,AP95,AQ95,AR95,AS95,AT95)</f>
        <v>96000000</v>
      </c>
      <c r="AY95" s="788"/>
      <c r="AZ95" s="789"/>
      <c r="BA95" s="517"/>
      <c r="BB95" s="518"/>
      <c r="BC95" s="518"/>
      <c r="BD95" s="518"/>
      <c r="BE95" s="518"/>
      <c r="BF95" s="518"/>
      <c r="BG95" s="518"/>
      <c r="BH95" s="518"/>
      <c r="BI95" s="518"/>
      <c r="BJ95" s="518"/>
      <c r="BK95" s="518"/>
      <c r="BL95" s="518"/>
      <c r="BN95" s="516"/>
      <c r="BO95" s="517"/>
      <c r="BP95" s="518"/>
      <c r="BQ95" s="518"/>
      <c r="BR95" s="518"/>
      <c r="BS95" s="518"/>
      <c r="BT95" s="518"/>
      <c r="BU95" s="518"/>
      <c r="BV95" s="518"/>
      <c r="BW95" s="518"/>
      <c r="BX95" s="518"/>
      <c r="BY95" s="518"/>
      <c r="BZ95" s="791">
        <v>0</v>
      </c>
      <c r="CB95" s="516"/>
      <c r="CC95" s="517"/>
      <c r="CD95" s="518"/>
      <c r="CE95" s="518"/>
      <c r="CF95" s="518"/>
      <c r="CG95" s="518"/>
      <c r="CH95" s="518"/>
      <c r="CI95" s="518"/>
      <c r="CJ95" s="518"/>
      <c r="CK95" s="518"/>
      <c r="CL95" s="518"/>
      <c r="CM95" s="518"/>
      <c r="CN95" s="791">
        <v>0</v>
      </c>
      <c r="CP95" s="647">
        <v>76850000</v>
      </c>
      <c r="CQ95" s="647">
        <v>22600000</v>
      </c>
      <c r="CR95" s="518">
        <v>90000000</v>
      </c>
      <c r="CS95" s="647">
        <v>80700000</v>
      </c>
      <c r="CT95" s="518">
        <v>100000000</v>
      </c>
      <c r="CU95" s="647">
        <v>58100000</v>
      </c>
      <c r="CV95" s="518">
        <v>100000000</v>
      </c>
      <c r="CW95" s="647"/>
      <c r="CX95" s="518">
        <v>80000000</v>
      </c>
      <c r="CY95" s="647">
        <v>-500000</v>
      </c>
      <c r="CZ95" s="518">
        <v>100000000</v>
      </c>
      <c r="DA95" s="647"/>
      <c r="DB95" s="518">
        <v>100000000</v>
      </c>
      <c r="DC95" s="647">
        <v>0</v>
      </c>
      <c r="DD95" s="518">
        <v>100000000</v>
      </c>
      <c r="DE95" s="518"/>
      <c r="DF95" s="518">
        <v>100000000</v>
      </c>
      <c r="DG95" s="748">
        <v>50000000</v>
      </c>
      <c r="DH95" s="518"/>
      <c r="DI95" s="518">
        <v>150000000</v>
      </c>
      <c r="DJ95" s="748">
        <v>50000000</v>
      </c>
      <c r="DK95" s="518"/>
      <c r="DL95" s="518">
        <v>150000000</v>
      </c>
      <c r="DM95" s="748">
        <v>50000000</v>
      </c>
      <c r="DN95" s="518"/>
      <c r="DO95" s="518">
        <v>150000000</v>
      </c>
      <c r="DP95" s="748">
        <v>50000000</v>
      </c>
      <c r="DQ95" s="493">
        <f t="shared" si="31"/>
        <v>787750000</v>
      </c>
      <c r="DR95" s="479">
        <f t="shared" si="33"/>
        <v>818250000</v>
      </c>
      <c r="DS95" s="1163"/>
      <c r="DT95" s="1163"/>
      <c r="DU95" s="1163"/>
      <c r="DV95" s="1163"/>
      <c r="DW95" s="1163"/>
      <c r="DX95" s="1163"/>
      <c r="DY95" s="1163"/>
      <c r="DZ95" s="1163"/>
      <c r="EA95" s="1163"/>
      <c r="EB95" s="1163"/>
      <c r="EC95" s="1163"/>
      <c r="ED95" s="1163"/>
      <c r="EE95" s="1119">
        <f t="shared" si="28"/>
        <v>0</v>
      </c>
      <c r="EF95" s="443">
        <f t="shared" si="20"/>
        <v>0</v>
      </c>
      <c r="EG95" s="355">
        <f t="shared" si="21"/>
        <v>0</v>
      </c>
      <c r="EH95" s="443">
        <f t="shared" si="42"/>
        <v>0</v>
      </c>
      <c r="EI95" s="443">
        <f t="shared" si="42"/>
        <v>0</v>
      </c>
    </row>
    <row r="96" spans="1:140" ht="15.5" outlineLevel="2">
      <c r="A96" s="367" t="s">
        <v>43</v>
      </c>
      <c r="B96" s="378"/>
      <c r="C96" s="370" t="s">
        <v>358</v>
      </c>
      <c r="D96" s="370" t="s">
        <v>40</v>
      </c>
      <c r="E96" s="379" t="s">
        <v>87</v>
      </c>
      <c r="F96" s="380">
        <v>3000007550</v>
      </c>
      <c r="G96" s="178">
        <v>1340482772</v>
      </c>
      <c r="H96" s="178">
        <v>1479135979</v>
      </c>
      <c r="I96" s="178">
        <v>4475590012</v>
      </c>
      <c r="J96" s="178">
        <v>3624921979</v>
      </c>
      <c r="K96" s="178">
        <v>2736602511</v>
      </c>
      <c r="L96" s="178">
        <v>2620769313</v>
      </c>
      <c r="M96" s="178">
        <v>3066422263</v>
      </c>
      <c r="N96" s="178">
        <v>3369442270</v>
      </c>
      <c r="O96" s="178">
        <v>3189964512</v>
      </c>
      <c r="P96" s="178">
        <v>3858007776</v>
      </c>
      <c r="Q96" s="178">
        <v>3360293165</v>
      </c>
      <c r="R96" s="178">
        <v>4211101027</v>
      </c>
      <c r="S96" s="7">
        <f t="shared" si="4"/>
        <v>37332733579</v>
      </c>
      <c r="T96" s="179"/>
      <c r="U96" s="178">
        <v>2631584827</v>
      </c>
      <c r="V96" s="178">
        <v>1769789598</v>
      </c>
      <c r="W96" s="178">
        <v>1540442429</v>
      </c>
      <c r="X96" s="178">
        <v>1370336435</v>
      </c>
      <c r="Y96" s="178">
        <v>1429736291</v>
      </c>
      <c r="Z96" s="178">
        <v>1092714308</v>
      </c>
      <c r="AA96" s="178">
        <v>1310774936</v>
      </c>
      <c r="AB96" s="178">
        <v>1247080397</v>
      </c>
      <c r="AC96" s="178">
        <v>1199508646</v>
      </c>
      <c r="AD96" s="178">
        <v>1285900442</v>
      </c>
      <c r="AE96" s="178">
        <v>1261745591</v>
      </c>
      <c r="AF96" s="178">
        <v>1185106649</v>
      </c>
      <c r="AG96" s="518">
        <f t="shared" si="5"/>
        <v>17324720549</v>
      </c>
      <c r="AH96" s="788"/>
      <c r="AI96" s="789">
        <v>1304687478</v>
      </c>
      <c r="AJ96" s="517">
        <v>1351805347</v>
      </c>
      <c r="AK96" s="518">
        <v>1343024151</v>
      </c>
      <c r="AL96" s="518">
        <v>1249449199</v>
      </c>
      <c r="AM96" s="518">
        <v>1127662122</v>
      </c>
      <c r="AN96" s="518">
        <v>1204216074</v>
      </c>
      <c r="AO96" s="518">
        <v>391044859</v>
      </c>
      <c r="AP96" s="518">
        <v>349761507</v>
      </c>
      <c r="AQ96" s="518">
        <v>400066330</v>
      </c>
      <c r="AR96" s="759">
        <v>423265739</v>
      </c>
      <c r="AS96" s="759">
        <v>444751098</v>
      </c>
      <c r="AT96" s="759">
        <v>448808098</v>
      </c>
      <c r="AU96" s="518">
        <f>BI96</f>
        <v>400000000</v>
      </c>
      <c r="AV96" s="794">
        <f>500000000</f>
        <v>500000000</v>
      </c>
      <c r="AW96" s="794">
        <f>500000000</f>
        <v>500000000</v>
      </c>
      <c r="AX96" s="518">
        <f t="shared" ref="AX96:AX162" si="45">SUM(AI96,AJ96,AK96,AL96,AM96,AN96,AO96,AP96,AQ96,AR96,AS96,AT96)</f>
        <v>10038542002</v>
      </c>
      <c r="AY96" s="788"/>
      <c r="AZ96" s="789">
        <v>1304687478</v>
      </c>
      <c r="BA96" s="517">
        <v>1351805347</v>
      </c>
      <c r="BB96" s="518">
        <v>1343024151</v>
      </c>
      <c r="BC96" s="518">
        <v>1249449199</v>
      </c>
      <c r="BD96" s="518">
        <v>1127662122</v>
      </c>
      <c r="BE96" s="518">
        <v>1204216074</v>
      </c>
      <c r="BF96" s="518">
        <v>391044859</v>
      </c>
      <c r="BG96" s="518">
        <f t="shared" si="41"/>
        <v>349761507</v>
      </c>
      <c r="BH96" s="518">
        <v>400000000</v>
      </c>
      <c r="BI96" s="518">
        <v>400000000</v>
      </c>
      <c r="BJ96" s="518">
        <v>400000000</v>
      </c>
      <c r="BK96" s="518">
        <v>400000000</v>
      </c>
      <c r="BL96" s="518">
        <f t="shared" si="8"/>
        <v>9921650737</v>
      </c>
      <c r="BN96" s="518">
        <v>350000000</v>
      </c>
      <c r="BO96" s="518">
        <v>350000000</v>
      </c>
      <c r="BP96" s="518">
        <v>350000000</v>
      </c>
      <c r="BQ96" s="518">
        <v>350000000</v>
      </c>
      <c r="BR96" s="518">
        <v>350000000</v>
      </c>
      <c r="BS96" s="518">
        <v>350000000</v>
      </c>
      <c r="BT96" s="518">
        <v>350000000</v>
      </c>
      <c r="BU96" s="518">
        <v>350000000</v>
      </c>
      <c r="BV96" s="518">
        <v>350000000</v>
      </c>
      <c r="BW96" s="518">
        <v>350000000</v>
      </c>
      <c r="BX96" s="518">
        <v>350000000</v>
      </c>
      <c r="BY96" s="518">
        <v>350000000</v>
      </c>
      <c r="BZ96" s="791">
        <v>4200000000</v>
      </c>
      <c r="CB96" s="518">
        <v>350000000</v>
      </c>
      <c r="CC96" s="518">
        <v>350000000</v>
      </c>
      <c r="CD96" s="518">
        <v>350000000</v>
      </c>
      <c r="CE96" s="518">
        <v>350000000</v>
      </c>
      <c r="CF96" s="518">
        <v>350000000</v>
      </c>
      <c r="CG96" s="518">
        <v>350000000</v>
      </c>
      <c r="CH96" s="518">
        <v>350000000</v>
      </c>
      <c r="CI96" s="518">
        <v>350000000</v>
      </c>
      <c r="CJ96" s="518">
        <v>350000000</v>
      </c>
      <c r="CK96" s="518">
        <v>350000000</v>
      </c>
      <c r="CL96" s="518">
        <v>350000000</v>
      </c>
      <c r="CM96" s="518">
        <v>350000000</v>
      </c>
      <c r="CN96" s="791">
        <v>4200000000</v>
      </c>
      <c r="CP96" s="647">
        <v>453754302</v>
      </c>
      <c r="CQ96" s="647">
        <v>443883807</v>
      </c>
      <c r="CR96" s="518">
        <v>453754302</v>
      </c>
      <c r="CS96" s="647">
        <v>472924995</v>
      </c>
      <c r="CT96" s="518">
        <v>453754302</v>
      </c>
      <c r="CU96" s="647">
        <v>475907245</v>
      </c>
      <c r="CV96" s="518">
        <v>453754302</v>
      </c>
      <c r="CW96" s="647">
        <v>397045370</v>
      </c>
      <c r="CX96" s="518">
        <v>453754302</v>
      </c>
      <c r="CY96" s="647">
        <v>434362598</v>
      </c>
      <c r="CZ96" s="518">
        <v>453754302</v>
      </c>
      <c r="DA96" s="647">
        <v>446663095</v>
      </c>
      <c r="DB96" s="518">
        <v>453754302</v>
      </c>
      <c r="DC96" s="647">
        <v>404819453</v>
      </c>
      <c r="DD96" s="518">
        <v>453754302</v>
      </c>
      <c r="DE96" s="518"/>
      <c r="DF96" s="518">
        <v>453754302</v>
      </c>
      <c r="DG96" s="748">
        <v>453754302</v>
      </c>
      <c r="DH96" s="518"/>
      <c r="DI96" s="518">
        <v>453754302</v>
      </c>
      <c r="DJ96" s="748">
        <v>453754302</v>
      </c>
      <c r="DK96" s="518"/>
      <c r="DL96" s="518">
        <v>453754302</v>
      </c>
      <c r="DM96" s="748">
        <v>453754302</v>
      </c>
      <c r="DN96" s="518"/>
      <c r="DO96" s="518">
        <v>453754302</v>
      </c>
      <c r="DP96" s="748">
        <v>453754302</v>
      </c>
      <c r="DQ96" s="493">
        <f t="shared" si="31"/>
        <v>5344378073</v>
      </c>
      <c r="DR96" s="479">
        <f t="shared" si="33"/>
        <v>5476504765</v>
      </c>
      <c r="DS96" s="1163">
        <v>438000000</v>
      </c>
      <c r="DT96" s="1163">
        <v>438000000</v>
      </c>
      <c r="DU96" s="1163">
        <v>438000000</v>
      </c>
      <c r="DV96" s="1163">
        <v>438000000</v>
      </c>
      <c r="DW96" s="1163">
        <v>438000000</v>
      </c>
      <c r="DX96" s="1163">
        <v>438000000</v>
      </c>
      <c r="DY96" s="1163">
        <v>438000000</v>
      </c>
      <c r="DZ96" s="1163">
        <v>438000000</v>
      </c>
      <c r="EA96" s="1163">
        <v>438000000</v>
      </c>
      <c r="EB96" s="1163">
        <v>438000000</v>
      </c>
      <c r="EC96" s="1163">
        <v>438000000</v>
      </c>
      <c r="ED96" s="1163">
        <v>438000000</v>
      </c>
      <c r="EE96" s="1119">
        <f t="shared" si="28"/>
        <v>5256000000</v>
      </c>
      <c r="EF96" s="443">
        <f t="shared" si="20"/>
        <v>6149520000</v>
      </c>
      <c r="EG96" s="355">
        <f t="shared" si="21"/>
        <v>6641481600</v>
      </c>
      <c r="EH96" s="443">
        <f t="shared" si="42"/>
        <v>7239214944.000001</v>
      </c>
      <c r="EI96" s="443">
        <f t="shared" si="42"/>
        <v>7890744288.9600019</v>
      </c>
      <c r="EJ96" s="367">
        <v>3000007550</v>
      </c>
    </row>
    <row r="97" spans="1:156" ht="15.5" outlineLevel="2">
      <c r="A97" s="377" t="s">
        <v>59</v>
      </c>
      <c r="B97" s="378"/>
      <c r="C97" s="370" t="s">
        <v>358</v>
      </c>
      <c r="D97" s="370" t="s">
        <v>40</v>
      </c>
      <c r="E97" s="379" t="s">
        <v>421</v>
      </c>
      <c r="F97" s="380">
        <v>3000019957</v>
      </c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7"/>
      <c r="T97" s="179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518"/>
      <c r="AH97" s="788"/>
      <c r="AI97" s="789"/>
      <c r="AJ97" s="790"/>
      <c r="AK97" s="518"/>
      <c r="AL97" s="518"/>
      <c r="AM97" s="518"/>
      <c r="AN97" s="518"/>
      <c r="AO97" s="518"/>
      <c r="AP97" s="518"/>
      <c r="AQ97" s="518">
        <v>2840000</v>
      </c>
      <c r="AR97" s="759">
        <v>1660000</v>
      </c>
      <c r="AS97" s="759">
        <v>0</v>
      </c>
      <c r="AT97" s="759">
        <v>0</v>
      </c>
      <c r="AU97" s="518"/>
      <c r="AV97" s="518"/>
      <c r="AW97" s="518"/>
      <c r="AX97" s="518">
        <f>SUM(AI97,AJ97,AK97,AL97,AM97,AN97,AO97,AP97,AQ97,AR97,AS97,AT97)</f>
        <v>4500000</v>
      </c>
      <c r="AY97" s="788"/>
      <c r="AZ97" s="789"/>
      <c r="BA97" s="790"/>
      <c r="BB97" s="518"/>
      <c r="BC97" s="518"/>
      <c r="BD97" s="518"/>
      <c r="BE97" s="518"/>
      <c r="BF97" s="518"/>
      <c r="BG97" s="518"/>
      <c r="BH97" s="518"/>
      <c r="BI97" s="518"/>
      <c r="BJ97" s="518"/>
      <c r="BK97" s="518"/>
      <c r="BL97" s="518">
        <f>SUM(AZ97,BA97,BB97,BC97,BD97,BE97,BF97,BG97,BH97,BI97,BJ97,BK97)</f>
        <v>0</v>
      </c>
      <c r="BN97" s="516"/>
      <c r="BO97" s="517"/>
      <c r="BP97" s="518"/>
      <c r="BQ97" s="518"/>
      <c r="BR97" s="518"/>
      <c r="BS97" s="518"/>
      <c r="BT97" s="518"/>
      <c r="BU97" s="518"/>
      <c r="BV97" s="518"/>
      <c r="BW97" s="518"/>
      <c r="BX97" s="518"/>
      <c r="BY97" s="518"/>
      <c r="BZ97" s="791">
        <v>0</v>
      </c>
      <c r="CB97" s="516"/>
      <c r="CC97" s="517"/>
      <c r="CD97" s="518"/>
      <c r="CE97" s="518"/>
      <c r="CF97" s="518"/>
      <c r="CG97" s="518"/>
      <c r="CH97" s="518"/>
      <c r="CI97" s="518"/>
      <c r="CJ97" s="518"/>
      <c r="CK97" s="518"/>
      <c r="CL97" s="518"/>
      <c r="CM97" s="518"/>
      <c r="CN97" s="791">
        <v>0</v>
      </c>
      <c r="CP97" s="646">
        <v>0</v>
      </c>
      <c r="CQ97" s="646"/>
      <c r="CR97" s="516"/>
      <c r="CS97" s="646"/>
      <c r="CT97" s="516"/>
      <c r="CU97" s="646"/>
      <c r="CV97" s="516"/>
      <c r="CW97" s="646"/>
      <c r="CX97" s="516"/>
      <c r="CY97" s="646"/>
      <c r="CZ97" s="516"/>
      <c r="DA97" s="646"/>
      <c r="DB97" s="516"/>
      <c r="DC97" s="646">
        <v>0</v>
      </c>
      <c r="DD97" s="516"/>
      <c r="DE97" s="518"/>
      <c r="DF97" s="516"/>
      <c r="DG97" s="747"/>
      <c r="DH97" s="518"/>
      <c r="DI97" s="516"/>
      <c r="DJ97" s="747"/>
      <c r="DK97" s="518"/>
      <c r="DL97" s="516"/>
      <c r="DM97" s="747"/>
      <c r="DN97" s="518"/>
      <c r="DO97" s="516"/>
      <c r="DP97" s="747"/>
      <c r="DQ97" s="493">
        <f t="shared" si="31"/>
        <v>0</v>
      </c>
      <c r="DR97" s="479">
        <f t="shared" si="33"/>
        <v>0</v>
      </c>
      <c r="DS97" s="1162"/>
      <c r="DT97" s="1162"/>
      <c r="DU97" s="1162"/>
      <c r="DV97" s="1162"/>
      <c r="DW97" s="1162"/>
      <c r="DX97" s="1162"/>
      <c r="DY97" s="1162"/>
      <c r="DZ97" s="1162"/>
      <c r="EA97" s="1162"/>
      <c r="EB97" s="1162"/>
      <c r="EC97" s="1162"/>
      <c r="ED97" s="1162"/>
      <c r="EE97" s="1119">
        <f t="shared" si="28"/>
        <v>0</v>
      </c>
      <c r="EF97" s="443">
        <f t="shared" si="20"/>
        <v>0</v>
      </c>
      <c r="EG97" s="355">
        <f t="shared" si="21"/>
        <v>0</v>
      </c>
      <c r="EH97" s="443">
        <f t="shared" si="42"/>
        <v>0</v>
      </c>
      <c r="EI97" s="443">
        <f t="shared" si="42"/>
        <v>0</v>
      </c>
      <c r="EJ97" s="367">
        <v>3000019957</v>
      </c>
    </row>
    <row r="98" spans="1:156" ht="15.5" outlineLevel="2">
      <c r="A98" s="389" t="s">
        <v>39</v>
      </c>
      <c r="B98" s="378"/>
      <c r="C98" s="370" t="s">
        <v>358</v>
      </c>
      <c r="D98" s="370" t="s">
        <v>40</v>
      </c>
      <c r="E98" s="383" t="s">
        <v>89</v>
      </c>
      <c r="F98" s="380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7"/>
      <c r="T98" s="179"/>
      <c r="U98" s="178"/>
      <c r="V98" s="9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518"/>
      <c r="AH98" s="788"/>
      <c r="AI98" s="789"/>
      <c r="AJ98" s="517"/>
      <c r="AK98" s="518"/>
      <c r="AL98" s="518"/>
      <c r="AM98" s="518"/>
      <c r="AN98" s="518"/>
      <c r="AO98" s="518"/>
      <c r="AP98" s="518"/>
      <c r="AQ98" s="518"/>
      <c r="AR98" s="518"/>
      <c r="AS98" s="518">
        <v>5960000</v>
      </c>
      <c r="AT98" s="518">
        <v>0</v>
      </c>
      <c r="AU98" s="518"/>
      <c r="AV98" s="518"/>
      <c r="AW98" s="518"/>
      <c r="AX98" s="518">
        <f>SUM(AI98,AJ98,AK98,AL98,AM98,AN98,AO98,AP98,AQ98,AR98,AS98,AT98)</f>
        <v>5960000</v>
      </c>
      <c r="AY98" s="788"/>
      <c r="AZ98" s="789"/>
      <c r="BA98" s="517"/>
      <c r="BB98" s="518"/>
      <c r="BC98" s="518"/>
      <c r="BD98" s="518"/>
      <c r="BE98" s="518"/>
      <c r="BF98" s="518"/>
      <c r="BG98" s="518"/>
      <c r="BH98" s="518"/>
      <c r="BI98" s="518"/>
      <c r="BJ98" s="518"/>
      <c r="BK98" s="518"/>
      <c r="BL98" s="518"/>
      <c r="BN98" s="516"/>
      <c r="BO98" s="517"/>
      <c r="BP98" s="518"/>
      <c r="BQ98" s="518"/>
      <c r="BR98" s="518"/>
      <c r="BS98" s="518"/>
      <c r="BT98" s="518"/>
      <c r="BU98" s="518"/>
      <c r="BV98" s="518"/>
      <c r="BW98" s="518"/>
      <c r="BX98" s="518"/>
      <c r="BY98" s="518"/>
      <c r="BZ98" s="791">
        <v>0</v>
      </c>
      <c r="CB98" s="516"/>
      <c r="CC98" s="517"/>
      <c r="CD98" s="518"/>
      <c r="CE98" s="518"/>
      <c r="CF98" s="518"/>
      <c r="CG98" s="518"/>
      <c r="CH98" s="518"/>
      <c r="CI98" s="518"/>
      <c r="CJ98" s="518"/>
      <c r="CK98" s="518"/>
      <c r="CL98" s="518"/>
      <c r="CM98" s="518"/>
      <c r="CN98" s="791">
        <v>0</v>
      </c>
      <c r="CP98" s="646"/>
      <c r="CQ98" s="646"/>
      <c r="CR98" s="516"/>
      <c r="CS98" s="646"/>
      <c r="CT98" s="516"/>
      <c r="CU98" s="646"/>
      <c r="CV98" s="516"/>
      <c r="CW98" s="646"/>
      <c r="CX98" s="516"/>
      <c r="CY98" s="646"/>
      <c r="CZ98" s="516"/>
      <c r="DA98" s="646"/>
      <c r="DB98" s="516"/>
      <c r="DC98" s="646">
        <v>0</v>
      </c>
      <c r="DD98" s="516"/>
      <c r="DE98" s="518"/>
      <c r="DF98" s="516"/>
      <c r="DG98" s="747"/>
      <c r="DH98" s="518"/>
      <c r="DI98" s="516"/>
      <c r="DJ98" s="747"/>
      <c r="DK98" s="518"/>
      <c r="DL98" s="516"/>
      <c r="DM98" s="747"/>
      <c r="DN98" s="518"/>
      <c r="DO98" s="516"/>
      <c r="DP98" s="747"/>
      <c r="DQ98" s="493">
        <f t="shared" si="31"/>
        <v>0</v>
      </c>
      <c r="DR98" s="479">
        <f t="shared" si="33"/>
        <v>0</v>
      </c>
      <c r="DS98" s="1162"/>
      <c r="DT98" s="1162"/>
      <c r="DU98" s="1162"/>
      <c r="DV98" s="1162"/>
      <c r="DW98" s="1162"/>
      <c r="DX98" s="1162"/>
      <c r="DY98" s="1162"/>
      <c r="DZ98" s="1162"/>
      <c r="EA98" s="1162"/>
      <c r="EB98" s="1162"/>
      <c r="EC98" s="1162"/>
      <c r="ED98" s="1162"/>
      <c r="EE98" s="1119">
        <f t="shared" si="28"/>
        <v>0</v>
      </c>
      <c r="EF98" s="443">
        <f t="shared" si="20"/>
        <v>0</v>
      </c>
      <c r="EG98" s="355">
        <f t="shared" si="21"/>
        <v>0</v>
      </c>
      <c r="EH98" s="443">
        <f t="shared" si="42"/>
        <v>0</v>
      </c>
      <c r="EI98" s="443">
        <f t="shared" si="42"/>
        <v>0</v>
      </c>
    </row>
    <row r="99" spans="1:156" ht="15.5" outlineLevel="2">
      <c r="A99" s="367" t="s">
        <v>43</v>
      </c>
      <c r="B99" s="378"/>
      <c r="C99" s="370" t="s">
        <v>358</v>
      </c>
      <c r="D99" s="370" t="s">
        <v>40</v>
      </c>
      <c r="E99" s="379" t="s">
        <v>422</v>
      </c>
      <c r="F99" s="380">
        <v>3000019367</v>
      </c>
      <c r="G99" s="178">
        <v>0</v>
      </c>
      <c r="H99" s="178">
        <v>0</v>
      </c>
      <c r="I99" s="178">
        <v>0</v>
      </c>
      <c r="J99" s="178">
        <v>0</v>
      </c>
      <c r="K99" s="178">
        <v>0</v>
      </c>
      <c r="L99" s="178">
        <v>0</v>
      </c>
      <c r="M99" s="178">
        <v>0</v>
      </c>
      <c r="N99" s="178">
        <v>0</v>
      </c>
      <c r="O99" s="178">
        <v>0</v>
      </c>
      <c r="P99" s="178">
        <v>0</v>
      </c>
      <c r="Q99" s="178">
        <v>0</v>
      </c>
      <c r="R99" s="178">
        <v>0</v>
      </c>
      <c r="S99" s="7">
        <f t="shared" si="4"/>
        <v>0</v>
      </c>
      <c r="T99" s="179"/>
      <c r="U99" s="178">
        <v>0</v>
      </c>
      <c r="V99" s="178">
        <v>0</v>
      </c>
      <c r="W99" s="178">
        <v>0</v>
      </c>
      <c r="X99" s="178">
        <v>0</v>
      </c>
      <c r="Y99" s="178">
        <v>0</v>
      </c>
      <c r="Z99" s="178">
        <v>0</v>
      </c>
      <c r="AA99" s="178">
        <v>0</v>
      </c>
      <c r="AB99" s="178">
        <v>0</v>
      </c>
      <c r="AC99" s="178">
        <v>0</v>
      </c>
      <c r="AD99" s="178">
        <v>0</v>
      </c>
      <c r="AE99" s="178">
        <v>0</v>
      </c>
      <c r="AF99" s="178">
        <v>0</v>
      </c>
      <c r="AG99" s="518">
        <f t="shared" si="5"/>
        <v>0</v>
      </c>
      <c r="AH99" s="788"/>
      <c r="AI99" s="789">
        <v>260000000</v>
      </c>
      <c r="AJ99" s="790">
        <v>465450000</v>
      </c>
      <c r="AK99" s="518">
        <v>46200000</v>
      </c>
      <c r="AL99" s="518">
        <v>0</v>
      </c>
      <c r="AM99" s="518">
        <v>0</v>
      </c>
      <c r="AN99" s="518">
        <v>0</v>
      </c>
      <c r="AO99" s="518">
        <v>0</v>
      </c>
      <c r="AP99" s="518">
        <v>19800000</v>
      </c>
      <c r="AQ99" s="518">
        <v>63000000</v>
      </c>
      <c r="AR99" s="759">
        <v>122050000</v>
      </c>
      <c r="AS99" s="759">
        <v>105600000</v>
      </c>
      <c r="AT99" s="759">
        <v>158400000</v>
      </c>
      <c r="AU99" s="518">
        <f>BI99</f>
        <v>0</v>
      </c>
      <c r="AV99" s="518">
        <f>BJ99</f>
        <v>0</v>
      </c>
      <c r="AW99" s="518">
        <f>BK99</f>
        <v>0</v>
      </c>
      <c r="AX99" s="518">
        <f t="shared" si="45"/>
        <v>1240500000</v>
      </c>
      <c r="AY99" s="788"/>
      <c r="AZ99" s="789">
        <v>260000000</v>
      </c>
      <c r="BA99" s="790">
        <v>465450000</v>
      </c>
      <c r="BB99" s="518">
        <v>46200000</v>
      </c>
      <c r="BC99" s="518">
        <v>0</v>
      </c>
      <c r="BD99" s="518">
        <v>0</v>
      </c>
      <c r="BE99" s="518">
        <v>0</v>
      </c>
      <c r="BF99" s="518">
        <v>0</v>
      </c>
      <c r="BG99" s="518">
        <f t="shared" si="41"/>
        <v>19800000</v>
      </c>
      <c r="BH99" s="518">
        <v>0</v>
      </c>
      <c r="BI99" s="518">
        <v>0</v>
      </c>
      <c r="BJ99" s="518">
        <v>0</v>
      </c>
      <c r="BK99" s="518">
        <v>0</v>
      </c>
      <c r="BL99" s="518">
        <f t="shared" ref="BL99:BL161" si="46">SUM(AZ99,BA99,BB99,BC99,BD99,BE99,BF99,BG99,BH99,BI99,BJ99,BK99)</f>
        <v>791450000</v>
      </c>
      <c r="BN99" s="518">
        <v>0</v>
      </c>
      <c r="BO99" s="518">
        <v>0</v>
      </c>
      <c r="BP99" s="518">
        <v>0</v>
      </c>
      <c r="BQ99" s="518">
        <v>0</v>
      </c>
      <c r="BR99" s="518">
        <v>0</v>
      </c>
      <c r="BS99" s="518">
        <v>0</v>
      </c>
      <c r="BT99" s="518">
        <v>0</v>
      </c>
      <c r="BU99" s="518">
        <v>0</v>
      </c>
      <c r="BV99" s="518">
        <v>0</v>
      </c>
      <c r="BW99" s="518">
        <v>0</v>
      </c>
      <c r="BX99" s="518">
        <v>0</v>
      </c>
      <c r="BY99" s="518">
        <v>0</v>
      </c>
      <c r="BZ99" s="791">
        <v>0</v>
      </c>
      <c r="CB99" s="518">
        <v>0</v>
      </c>
      <c r="CC99" s="518">
        <v>0</v>
      </c>
      <c r="CD99" s="518">
        <v>0</v>
      </c>
      <c r="CE99" s="518">
        <v>0</v>
      </c>
      <c r="CF99" s="518">
        <v>0</v>
      </c>
      <c r="CG99" s="518">
        <v>0</v>
      </c>
      <c r="CH99" s="518">
        <v>0</v>
      </c>
      <c r="CI99" s="518">
        <v>0</v>
      </c>
      <c r="CJ99" s="518">
        <v>0</v>
      </c>
      <c r="CK99" s="518">
        <v>0</v>
      </c>
      <c r="CL99" s="518">
        <v>0</v>
      </c>
      <c r="CM99" s="518">
        <v>0</v>
      </c>
      <c r="CN99" s="791">
        <v>0</v>
      </c>
      <c r="CP99" s="647">
        <v>85800000</v>
      </c>
      <c r="CQ99" s="647">
        <v>59400000</v>
      </c>
      <c r="CR99" s="518">
        <v>85800000</v>
      </c>
      <c r="CS99" s="647">
        <v>6600000</v>
      </c>
      <c r="CT99" s="518">
        <v>100000000</v>
      </c>
      <c r="CU99" s="647"/>
      <c r="CV99" s="518">
        <v>100000000</v>
      </c>
      <c r="CW99" s="647"/>
      <c r="CX99" s="518">
        <v>100000000</v>
      </c>
      <c r="CY99" s="647"/>
      <c r="CZ99" s="518">
        <v>100000000</v>
      </c>
      <c r="DA99" s="647"/>
      <c r="DB99" s="518">
        <v>100000000</v>
      </c>
      <c r="DC99" s="647">
        <v>0</v>
      </c>
      <c r="DD99" s="518">
        <v>100000000</v>
      </c>
      <c r="DE99" s="518"/>
      <c r="DF99" s="518">
        <v>100000000</v>
      </c>
      <c r="DG99" s="748">
        <v>20000000</v>
      </c>
      <c r="DH99" s="518"/>
      <c r="DI99" s="518">
        <v>100000000</v>
      </c>
      <c r="DJ99" s="748">
        <v>20000000</v>
      </c>
      <c r="DK99" s="518"/>
      <c r="DL99" s="518">
        <v>100000000</v>
      </c>
      <c r="DM99" s="748">
        <v>20000000</v>
      </c>
      <c r="DN99" s="518"/>
      <c r="DO99" s="518">
        <v>100000000</v>
      </c>
      <c r="DP99" s="748">
        <v>20000000</v>
      </c>
      <c r="DQ99" s="493">
        <f t="shared" si="31"/>
        <v>551800000</v>
      </c>
      <c r="DR99" s="479">
        <f t="shared" si="33"/>
        <v>631800000</v>
      </c>
      <c r="DS99" s="1163"/>
      <c r="DT99" s="1163"/>
      <c r="DU99" s="1163"/>
      <c r="DV99" s="1163"/>
      <c r="DW99" s="1163"/>
      <c r="DX99" s="1163"/>
      <c r="DY99" s="1163"/>
      <c r="DZ99" s="1163"/>
      <c r="EA99" s="1163"/>
      <c r="EB99" s="1163"/>
      <c r="EC99" s="1163"/>
      <c r="ED99" s="1163"/>
      <c r="EE99" s="1119">
        <f t="shared" si="28"/>
        <v>0</v>
      </c>
      <c r="EF99" s="443">
        <f t="shared" si="20"/>
        <v>0</v>
      </c>
      <c r="EG99" s="355">
        <f t="shared" si="21"/>
        <v>0</v>
      </c>
      <c r="EH99" s="443">
        <f t="shared" si="42"/>
        <v>0</v>
      </c>
      <c r="EI99" s="443">
        <f t="shared" si="42"/>
        <v>0</v>
      </c>
      <c r="EJ99" s="367">
        <v>3000019367</v>
      </c>
    </row>
    <row r="100" spans="1:156" ht="15.5" outlineLevel="2">
      <c r="A100" s="367" t="s">
        <v>59</v>
      </c>
      <c r="B100" s="378"/>
      <c r="C100" s="370" t="s">
        <v>358</v>
      </c>
      <c r="D100" s="370" t="s">
        <v>40</v>
      </c>
      <c r="E100" s="383" t="s">
        <v>423</v>
      </c>
      <c r="F100" s="390" t="s">
        <v>424</v>
      </c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7"/>
      <c r="T100" s="179"/>
      <c r="U100" s="178"/>
      <c r="V100" s="9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518"/>
      <c r="AH100" s="788"/>
      <c r="AI100" s="789"/>
      <c r="AJ100" s="517"/>
      <c r="AK100" s="518"/>
      <c r="AL100" s="518"/>
      <c r="AM100" s="518"/>
      <c r="AN100" s="518"/>
      <c r="AO100" s="518"/>
      <c r="AP100" s="518"/>
      <c r="AQ100" s="518"/>
      <c r="AR100" s="518"/>
      <c r="AS100" s="518">
        <v>33984000</v>
      </c>
      <c r="AT100" s="518">
        <v>0</v>
      </c>
      <c r="AU100" s="518"/>
      <c r="AV100" s="518"/>
      <c r="AW100" s="518"/>
      <c r="AX100" s="518">
        <f>SUM(AI100,AJ100,AK100,AL100,AM100,AN100,AO100,AP100,AQ100,AR100,AS100,AT100)</f>
        <v>33984000</v>
      </c>
      <c r="AY100" s="788"/>
      <c r="AZ100" s="789"/>
      <c r="BA100" s="517"/>
      <c r="BB100" s="518"/>
      <c r="BC100" s="518"/>
      <c r="BD100" s="518"/>
      <c r="BE100" s="518"/>
      <c r="BF100" s="518"/>
      <c r="BG100" s="518"/>
      <c r="BH100" s="518"/>
      <c r="BI100" s="518"/>
      <c r="BJ100" s="518"/>
      <c r="BK100" s="518"/>
      <c r="BL100" s="518"/>
      <c r="BN100" s="516"/>
      <c r="BO100" s="517"/>
      <c r="BP100" s="518"/>
      <c r="BQ100" s="518"/>
      <c r="BR100" s="518"/>
      <c r="BS100" s="518"/>
      <c r="BT100" s="518"/>
      <c r="BU100" s="518"/>
      <c r="BV100" s="518"/>
      <c r="BW100" s="518"/>
      <c r="BX100" s="518"/>
      <c r="BY100" s="518"/>
      <c r="BZ100" s="791">
        <v>0</v>
      </c>
      <c r="CB100" s="516"/>
      <c r="CC100" s="517"/>
      <c r="CD100" s="518"/>
      <c r="CE100" s="518"/>
      <c r="CF100" s="518"/>
      <c r="CG100" s="518"/>
      <c r="CH100" s="518"/>
      <c r="CI100" s="518"/>
      <c r="CJ100" s="518"/>
      <c r="CK100" s="518"/>
      <c r="CL100" s="518"/>
      <c r="CM100" s="518"/>
      <c r="CN100" s="791">
        <v>0</v>
      </c>
      <c r="CP100" s="646"/>
      <c r="CQ100" s="646"/>
      <c r="CR100" s="516"/>
      <c r="CS100" s="646"/>
      <c r="CT100" s="516"/>
      <c r="CU100" s="646"/>
      <c r="CV100" s="516"/>
      <c r="CW100" s="646"/>
      <c r="CX100" s="516"/>
      <c r="CY100" s="646"/>
      <c r="CZ100" s="516"/>
      <c r="DA100" s="646"/>
      <c r="DB100" s="516"/>
      <c r="DC100" s="646">
        <v>0</v>
      </c>
      <c r="DD100" s="516"/>
      <c r="DE100" s="518"/>
      <c r="DF100" s="516"/>
      <c r="DG100" s="747"/>
      <c r="DH100" s="518"/>
      <c r="DI100" s="516"/>
      <c r="DJ100" s="747"/>
      <c r="DK100" s="518"/>
      <c r="DL100" s="516"/>
      <c r="DM100" s="747"/>
      <c r="DN100" s="518"/>
      <c r="DO100" s="516"/>
      <c r="DP100" s="747"/>
      <c r="DQ100" s="493">
        <f t="shared" si="31"/>
        <v>0</v>
      </c>
      <c r="DR100" s="479">
        <f t="shared" si="33"/>
        <v>0</v>
      </c>
      <c r="DS100" s="1162"/>
      <c r="DT100" s="1162"/>
      <c r="DU100" s="1162"/>
      <c r="DV100" s="1162"/>
      <c r="DW100" s="1162"/>
      <c r="DX100" s="1162"/>
      <c r="DY100" s="1162"/>
      <c r="DZ100" s="1162"/>
      <c r="EA100" s="1162"/>
      <c r="EB100" s="1162"/>
      <c r="EC100" s="1162"/>
      <c r="ED100" s="1162"/>
      <c r="EE100" s="1119">
        <f t="shared" si="28"/>
        <v>0</v>
      </c>
      <c r="EF100" s="443">
        <f t="shared" si="20"/>
        <v>0</v>
      </c>
      <c r="EG100" s="355">
        <f t="shared" si="21"/>
        <v>0</v>
      </c>
      <c r="EH100" s="443">
        <f t="shared" si="42"/>
        <v>0</v>
      </c>
      <c r="EI100" s="443">
        <f t="shared" si="42"/>
        <v>0</v>
      </c>
    </row>
    <row r="101" spans="1:156" ht="15.5" outlineLevel="2">
      <c r="A101" s="367" t="s">
        <v>39</v>
      </c>
      <c r="B101" s="378"/>
      <c r="C101" s="370" t="s">
        <v>358</v>
      </c>
      <c r="D101" s="370" t="s">
        <v>40</v>
      </c>
      <c r="E101" s="379" t="s">
        <v>425</v>
      </c>
      <c r="F101" s="380">
        <v>3000018032</v>
      </c>
      <c r="G101" s="178">
        <v>0</v>
      </c>
      <c r="H101" s="178">
        <v>0</v>
      </c>
      <c r="I101" s="178">
        <v>0</v>
      </c>
      <c r="J101" s="178">
        <v>0</v>
      </c>
      <c r="K101" s="178">
        <v>0</v>
      </c>
      <c r="L101" s="178">
        <v>0</v>
      </c>
      <c r="M101" s="178">
        <v>0</v>
      </c>
      <c r="N101" s="178">
        <v>0</v>
      </c>
      <c r="O101" s="178">
        <v>0</v>
      </c>
      <c r="P101" s="178">
        <v>0</v>
      </c>
      <c r="Q101" s="178">
        <v>0</v>
      </c>
      <c r="R101" s="178">
        <v>0</v>
      </c>
      <c r="S101" s="7">
        <f t="shared" si="4"/>
        <v>0</v>
      </c>
      <c r="T101" s="179"/>
      <c r="U101" s="178">
        <v>0</v>
      </c>
      <c r="V101" s="178">
        <v>0</v>
      </c>
      <c r="W101" s="178">
        <v>47350000</v>
      </c>
      <c r="X101" s="178">
        <v>31400000</v>
      </c>
      <c r="Y101" s="178">
        <v>0</v>
      </c>
      <c r="Z101" s="178">
        <v>7850000</v>
      </c>
      <c r="AA101" s="178">
        <v>62800000</v>
      </c>
      <c r="AB101" s="178">
        <v>39250000</v>
      </c>
      <c r="AC101" s="178">
        <v>0</v>
      </c>
      <c r="AD101" s="178">
        <v>7850000</v>
      </c>
      <c r="AE101" s="178">
        <v>76300000</v>
      </c>
      <c r="AF101" s="178">
        <v>184150000</v>
      </c>
      <c r="AG101" s="518">
        <f t="shared" si="5"/>
        <v>456950000</v>
      </c>
      <c r="AH101" s="788"/>
      <c r="AI101" s="789">
        <v>80850000</v>
      </c>
      <c r="AJ101" s="517">
        <v>81100000</v>
      </c>
      <c r="AK101" s="518">
        <v>144200000</v>
      </c>
      <c r="AL101" s="518">
        <v>195300000</v>
      </c>
      <c r="AM101" s="518">
        <v>63900000</v>
      </c>
      <c r="AN101" s="518">
        <v>65950000</v>
      </c>
      <c r="AO101" s="518">
        <v>80300000</v>
      </c>
      <c r="AP101" s="518">
        <v>36500000</v>
      </c>
      <c r="AQ101" s="518">
        <v>58400000</v>
      </c>
      <c r="AR101" s="759">
        <v>107950000</v>
      </c>
      <c r="AS101" s="759">
        <v>131650000</v>
      </c>
      <c r="AT101" s="759">
        <v>93100000</v>
      </c>
      <c r="AU101" s="794">
        <f>100000000</f>
        <v>100000000</v>
      </c>
      <c r="AV101" s="794">
        <f>100000000</f>
        <v>100000000</v>
      </c>
      <c r="AW101" s="794">
        <f>100000000</f>
        <v>100000000</v>
      </c>
      <c r="AX101" s="518">
        <f t="shared" si="45"/>
        <v>1139200000</v>
      </c>
      <c r="AY101" s="788"/>
      <c r="AZ101" s="789">
        <v>80850000</v>
      </c>
      <c r="BA101" s="517">
        <v>81100000</v>
      </c>
      <c r="BB101" s="518">
        <v>144200000</v>
      </c>
      <c r="BC101" s="518">
        <v>195300000</v>
      </c>
      <c r="BD101" s="518">
        <v>63900000</v>
      </c>
      <c r="BE101" s="518">
        <v>65950000</v>
      </c>
      <c r="BF101" s="518">
        <v>80300000</v>
      </c>
      <c r="BG101" s="518">
        <f t="shared" si="41"/>
        <v>36500000</v>
      </c>
      <c r="BH101" s="518">
        <v>100000000</v>
      </c>
      <c r="BI101" s="518">
        <v>200000000</v>
      </c>
      <c r="BJ101" s="518">
        <v>200000000</v>
      </c>
      <c r="BK101" s="518">
        <v>200000000</v>
      </c>
      <c r="BL101" s="518">
        <f t="shared" si="46"/>
        <v>1448100000</v>
      </c>
      <c r="BN101" s="518">
        <v>150000000</v>
      </c>
      <c r="BO101" s="518">
        <v>150000000</v>
      </c>
      <c r="BP101" s="518">
        <v>150000000</v>
      </c>
      <c r="BQ101" s="518">
        <v>200000000</v>
      </c>
      <c r="BR101" s="518">
        <v>100000000</v>
      </c>
      <c r="BS101" s="518">
        <v>100000000</v>
      </c>
      <c r="BT101" s="518">
        <v>150000000</v>
      </c>
      <c r="BU101" s="518">
        <v>150000000</v>
      </c>
      <c r="BV101" s="518">
        <v>200000000</v>
      </c>
      <c r="BW101" s="518">
        <v>200000000</v>
      </c>
      <c r="BX101" s="518">
        <v>220000000</v>
      </c>
      <c r="BY101" s="518">
        <v>220000000</v>
      </c>
      <c r="BZ101" s="791">
        <v>1990000000</v>
      </c>
      <c r="CB101" s="518">
        <v>150000000</v>
      </c>
      <c r="CC101" s="518">
        <v>150000000</v>
      </c>
      <c r="CD101" s="518">
        <v>150000000</v>
      </c>
      <c r="CE101" s="518">
        <v>200000000</v>
      </c>
      <c r="CF101" s="518">
        <v>100000000</v>
      </c>
      <c r="CG101" s="518">
        <v>100000000</v>
      </c>
      <c r="CH101" s="518">
        <v>150000000</v>
      </c>
      <c r="CI101" s="518">
        <v>150000000</v>
      </c>
      <c r="CJ101" s="518">
        <v>200000000</v>
      </c>
      <c r="CK101" s="518">
        <v>200000000</v>
      </c>
      <c r="CL101" s="518">
        <v>220000000</v>
      </c>
      <c r="CM101" s="518">
        <v>220000000</v>
      </c>
      <c r="CN101" s="791">
        <v>1990000000</v>
      </c>
      <c r="CP101" s="647">
        <v>122300000</v>
      </c>
      <c r="CQ101" s="647">
        <v>188250000</v>
      </c>
      <c r="CR101" s="518">
        <v>150000000</v>
      </c>
      <c r="CS101" s="647">
        <v>268100000</v>
      </c>
      <c r="CT101" s="518">
        <v>150000000</v>
      </c>
      <c r="CU101" s="647">
        <v>261000000</v>
      </c>
      <c r="CV101" s="518">
        <v>150000000</v>
      </c>
      <c r="CW101" s="647">
        <v>142400000</v>
      </c>
      <c r="CX101" s="518">
        <v>150000000</v>
      </c>
      <c r="CY101" s="647">
        <v>186000000</v>
      </c>
      <c r="CZ101" s="518">
        <v>150000000</v>
      </c>
      <c r="DA101" s="647">
        <v>210150000</v>
      </c>
      <c r="DB101" s="518">
        <v>150000000</v>
      </c>
      <c r="DC101" s="647">
        <v>178950000</v>
      </c>
      <c r="DD101" s="518">
        <v>150000000</v>
      </c>
      <c r="DE101" s="518"/>
      <c r="DF101" s="518">
        <v>150000000</v>
      </c>
      <c r="DG101" s="748">
        <v>150000000</v>
      </c>
      <c r="DH101" s="518"/>
      <c r="DI101" s="518">
        <v>150000000</v>
      </c>
      <c r="DJ101" s="748">
        <v>150000000</v>
      </c>
      <c r="DK101" s="518"/>
      <c r="DL101" s="518">
        <v>150000000</v>
      </c>
      <c r="DM101" s="748">
        <v>150000000</v>
      </c>
      <c r="DN101" s="518"/>
      <c r="DO101" s="518">
        <v>150000000</v>
      </c>
      <c r="DP101" s="748">
        <v>150000000</v>
      </c>
      <c r="DQ101" s="493">
        <f t="shared" si="31"/>
        <v>2157150000</v>
      </c>
      <c r="DR101" s="479">
        <f t="shared" si="33"/>
        <v>2039650000</v>
      </c>
      <c r="DS101" s="1163">
        <v>175000000</v>
      </c>
      <c r="DT101" s="1163">
        <v>175000000</v>
      </c>
      <c r="DU101" s="1163">
        <v>175000000</v>
      </c>
      <c r="DV101" s="1163">
        <v>175000000</v>
      </c>
      <c r="DW101" s="1163">
        <v>175000000</v>
      </c>
      <c r="DX101" s="1163">
        <v>175000000</v>
      </c>
      <c r="DY101" s="1163">
        <v>200000000</v>
      </c>
      <c r="DZ101" s="1163">
        <v>200000000</v>
      </c>
      <c r="EA101" s="1163">
        <v>200000000</v>
      </c>
      <c r="EB101" s="1163">
        <v>200000000</v>
      </c>
      <c r="EC101" s="1163">
        <v>200000000</v>
      </c>
      <c r="ED101" s="1163">
        <v>200000000</v>
      </c>
      <c r="EE101" s="1119">
        <f t="shared" si="28"/>
        <v>2250000000</v>
      </c>
      <c r="EF101" s="443">
        <f t="shared" si="20"/>
        <v>2632500000</v>
      </c>
      <c r="EG101" s="355">
        <f t="shared" si="21"/>
        <v>2843100000</v>
      </c>
      <c r="EH101" s="443">
        <f t="shared" si="42"/>
        <v>3098979000</v>
      </c>
      <c r="EI101" s="443">
        <f t="shared" si="42"/>
        <v>3377887110.0000005</v>
      </c>
      <c r="EJ101" s="367">
        <v>3000018032</v>
      </c>
    </row>
    <row r="102" spans="1:156" ht="15.5" outlineLevel="2">
      <c r="A102" s="367" t="s">
        <v>59</v>
      </c>
      <c r="B102" s="378"/>
      <c r="C102" s="370" t="s">
        <v>358</v>
      </c>
      <c r="D102" s="370" t="s">
        <v>108</v>
      </c>
      <c r="E102" s="379" t="s">
        <v>426</v>
      </c>
      <c r="F102" s="380" t="s">
        <v>427</v>
      </c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7"/>
      <c r="T102" s="179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518"/>
      <c r="AH102" s="788"/>
      <c r="AI102" s="789"/>
      <c r="AJ102" s="790"/>
      <c r="AK102" s="518"/>
      <c r="AL102" s="518"/>
      <c r="AM102" s="518"/>
      <c r="AN102" s="518"/>
      <c r="AO102" s="518"/>
      <c r="AP102" s="518"/>
      <c r="AQ102" s="518"/>
      <c r="AR102" s="759"/>
      <c r="AS102" s="759"/>
      <c r="AT102" s="759"/>
      <c r="AU102" s="794"/>
      <c r="AV102" s="794"/>
      <c r="AW102" s="794"/>
      <c r="AX102" s="518"/>
      <c r="AY102" s="788"/>
      <c r="AZ102" s="789"/>
      <c r="BA102" s="790"/>
      <c r="BB102" s="518"/>
      <c r="BC102" s="518"/>
      <c r="BD102" s="518"/>
      <c r="BE102" s="518"/>
      <c r="BF102" s="518"/>
      <c r="BG102" s="518"/>
      <c r="BH102" s="518"/>
      <c r="BI102" s="518"/>
      <c r="BJ102" s="518"/>
      <c r="BK102" s="518"/>
      <c r="BL102" s="518"/>
      <c r="BN102" s="518"/>
      <c r="BO102" s="518"/>
      <c r="BP102" s="518"/>
      <c r="BQ102" s="518"/>
      <c r="BR102" s="518"/>
      <c r="BS102" s="518"/>
      <c r="BT102" s="518"/>
      <c r="BU102" s="518"/>
      <c r="BV102" s="518"/>
      <c r="BW102" s="518"/>
      <c r="BX102" s="518"/>
      <c r="BY102" s="518"/>
      <c r="BZ102" s="791"/>
      <c r="CB102" s="518"/>
      <c r="CC102" s="518"/>
      <c r="CD102" s="518"/>
      <c r="CE102" s="518"/>
      <c r="CF102" s="518"/>
      <c r="CG102" s="518"/>
      <c r="CH102" s="518"/>
      <c r="CI102" s="518"/>
      <c r="CJ102" s="518"/>
      <c r="CK102" s="518"/>
      <c r="CL102" s="518"/>
      <c r="CM102" s="518"/>
      <c r="CN102" s="791"/>
      <c r="CP102" s="647"/>
      <c r="CQ102" s="647">
        <v>2400000</v>
      </c>
      <c r="CR102" s="518"/>
      <c r="CS102" s="647"/>
      <c r="CT102" s="518"/>
      <c r="CU102" s="647"/>
      <c r="CV102" s="518"/>
      <c r="CW102" s="647"/>
      <c r="CX102" s="518"/>
      <c r="CY102" s="647"/>
      <c r="CZ102" s="518"/>
      <c r="DA102" s="647">
        <v>2300000</v>
      </c>
      <c r="DB102" s="518"/>
      <c r="DC102" s="647">
        <v>0</v>
      </c>
      <c r="DD102" s="518"/>
      <c r="DE102" s="518"/>
      <c r="DF102" s="518"/>
      <c r="DG102" s="748"/>
      <c r="DH102" s="518"/>
      <c r="DI102" s="518"/>
      <c r="DJ102" s="748"/>
      <c r="DK102" s="518"/>
      <c r="DL102" s="518"/>
      <c r="DM102" s="748"/>
      <c r="DN102" s="518"/>
      <c r="DO102" s="518"/>
      <c r="DP102" s="748"/>
      <c r="DQ102" s="493">
        <f t="shared" si="31"/>
        <v>4700000</v>
      </c>
      <c r="DR102" s="479">
        <f t="shared" si="33"/>
        <v>2400000</v>
      </c>
      <c r="DS102" s="1163"/>
      <c r="DT102" s="1163"/>
      <c r="DU102" s="1163"/>
      <c r="DV102" s="1163"/>
      <c r="DW102" s="1163"/>
      <c r="DX102" s="1163"/>
      <c r="DY102" s="1163"/>
      <c r="DZ102" s="1163"/>
      <c r="EA102" s="1163"/>
      <c r="EB102" s="1163"/>
      <c r="EC102" s="1163"/>
      <c r="ED102" s="1163"/>
      <c r="EE102" s="1119">
        <f t="shared" si="28"/>
        <v>0</v>
      </c>
      <c r="EF102" s="443">
        <f t="shared" si="20"/>
        <v>0</v>
      </c>
      <c r="EG102" s="355">
        <f t="shared" si="21"/>
        <v>0</v>
      </c>
      <c r="EH102" s="443">
        <f t="shared" si="42"/>
        <v>0</v>
      </c>
      <c r="EI102" s="443">
        <f t="shared" si="42"/>
        <v>0</v>
      </c>
    </row>
    <row r="103" spans="1:156" ht="15.5" outlineLevel="2">
      <c r="A103" s="367" t="s">
        <v>43</v>
      </c>
      <c r="B103" s="378"/>
      <c r="C103" s="370" t="s">
        <v>358</v>
      </c>
      <c r="D103" s="370" t="s">
        <v>40</v>
      </c>
      <c r="E103" s="379" t="s">
        <v>103</v>
      </c>
      <c r="F103" s="380">
        <v>3000009257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7">
        <f t="shared" si="4"/>
        <v>0</v>
      </c>
      <c r="T103" s="179"/>
      <c r="U103" s="178">
        <v>0</v>
      </c>
      <c r="V103" s="178">
        <v>0</v>
      </c>
      <c r="W103" s="178">
        <v>0</v>
      </c>
      <c r="X103" s="178">
        <v>0</v>
      </c>
      <c r="Y103" s="178">
        <v>301444231</v>
      </c>
      <c r="Z103" s="178">
        <v>447646950</v>
      </c>
      <c r="AA103" s="178">
        <v>347658600</v>
      </c>
      <c r="AB103" s="178">
        <v>463373096</v>
      </c>
      <c r="AC103" s="178">
        <v>879967900</v>
      </c>
      <c r="AD103" s="178">
        <v>756054300</v>
      </c>
      <c r="AE103" s="178">
        <v>997589000</v>
      </c>
      <c r="AF103" s="178">
        <v>1483348000</v>
      </c>
      <c r="AG103" s="518">
        <f t="shared" si="5"/>
        <v>5677082077</v>
      </c>
      <c r="AH103" s="788"/>
      <c r="AI103" s="789">
        <v>1165806650</v>
      </c>
      <c r="AJ103" s="790">
        <v>-194301250</v>
      </c>
      <c r="AK103" s="518">
        <v>960541730</v>
      </c>
      <c r="AL103" s="518">
        <v>1292707110</v>
      </c>
      <c r="AM103" s="518">
        <v>585304930</v>
      </c>
      <c r="AN103" s="518">
        <v>215333110</v>
      </c>
      <c r="AO103" s="518">
        <v>142550000</v>
      </c>
      <c r="AP103" s="518">
        <v>358966000</v>
      </c>
      <c r="AQ103" s="518">
        <v>626860000</v>
      </c>
      <c r="AR103" s="759">
        <v>704850000</v>
      </c>
      <c r="AS103" s="759">
        <v>758434500</v>
      </c>
      <c r="AT103" s="759">
        <v>1088162038</v>
      </c>
      <c r="AU103" s="794">
        <v>626860000</v>
      </c>
      <c r="AV103" s="794">
        <v>626860000</v>
      </c>
      <c r="AW103" s="794">
        <v>626860000</v>
      </c>
      <c r="AX103" s="518">
        <f t="shared" si="45"/>
        <v>7705214818</v>
      </c>
      <c r="AY103" s="788"/>
      <c r="AZ103" s="789">
        <v>1165806650</v>
      </c>
      <c r="BA103" s="790">
        <v>-194301250</v>
      </c>
      <c r="BB103" s="518">
        <v>960541730</v>
      </c>
      <c r="BC103" s="518">
        <v>1292707110</v>
      </c>
      <c r="BD103" s="518">
        <v>585304930</v>
      </c>
      <c r="BE103" s="518">
        <v>215333110</v>
      </c>
      <c r="BF103" s="518">
        <v>142550000</v>
      </c>
      <c r="BG103" s="518">
        <f t="shared" si="41"/>
        <v>358966000</v>
      </c>
      <c r="BH103" s="518">
        <v>1100000000</v>
      </c>
      <c r="BI103" s="518">
        <v>1100000000</v>
      </c>
      <c r="BJ103" s="518">
        <v>1100000000</v>
      </c>
      <c r="BK103" s="518">
        <v>1000000000</v>
      </c>
      <c r="BL103" s="518">
        <f t="shared" si="46"/>
        <v>8826908280</v>
      </c>
      <c r="BN103" s="518">
        <v>800000000</v>
      </c>
      <c r="BO103" s="518">
        <v>800000000</v>
      </c>
      <c r="BP103" s="518">
        <v>1050000000</v>
      </c>
      <c r="BQ103" s="518">
        <v>1150000000</v>
      </c>
      <c r="BR103" s="518">
        <v>850000000</v>
      </c>
      <c r="BS103" s="518">
        <v>850000000</v>
      </c>
      <c r="BT103" s="518">
        <v>850000000</v>
      </c>
      <c r="BU103" s="518">
        <v>950000000</v>
      </c>
      <c r="BV103" s="518">
        <v>1000000000</v>
      </c>
      <c r="BW103" s="518">
        <v>1100000000</v>
      </c>
      <c r="BX103" s="518">
        <v>1000000000</v>
      </c>
      <c r="BY103" s="518">
        <v>1000000000</v>
      </c>
      <c r="BZ103" s="791">
        <v>11400000000</v>
      </c>
      <c r="CB103" s="518">
        <v>800000000</v>
      </c>
      <c r="CC103" s="518">
        <v>800000000</v>
      </c>
      <c r="CD103" s="518">
        <v>1050000000</v>
      </c>
      <c r="CE103" s="518">
        <v>1150000000</v>
      </c>
      <c r="CF103" s="518">
        <v>850000000</v>
      </c>
      <c r="CG103" s="518">
        <v>850000000</v>
      </c>
      <c r="CH103" s="518">
        <v>850000000</v>
      </c>
      <c r="CI103" s="518">
        <v>950000000</v>
      </c>
      <c r="CJ103" s="518">
        <v>1000000000</v>
      </c>
      <c r="CK103" s="518">
        <v>1100000000</v>
      </c>
      <c r="CL103" s="518">
        <v>1000000000</v>
      </c>
      <c r="CM103" s="518">
        <v>1000000000</v>
      </c>
      <c r="CN103" s="791">
        <v>11400000000</v>
      </c>
      <c r="CP103" s="647">
        <v>323632500</v>
      </c>
      <c r="CQ103" s="647">
        <v>270081462</v>
      </c>
      <c r="CR103" s="518">
        <v>400000000</v>
      </c>
      <c r="CS103" s="647">
        <v>148724538</v>
      </c>
      <c r="CT103" s="518">
        <v>500000000</v>
      </c>
      <c r="CU103" s="647">
        <v>152750020</v>
      </c>
      <c r="CV103" s="518">
        <v>500000000</v>
      </c>
      <c r="CW103" s="647">
        <v>180606154</v>
      </c>
      <c r="CX103" s="518">
        <v>300000000</v>
      </c>
      <c r="CY103" s="647">
        <v>343619686</v>
      </c>
      <c r="CZ103" s="518">
        <v>300000000</v>
      </c>
      <c r="DA103" s="647">
        <v>387439766</v>
      </c>
      <c r="DB103" s="518">
        <v>300000000</v>
      </c>
      <c r="DC103" s="647">
        <v>293950000</v>
      </c>
      <c r="DD103" s="518">
        <v>300000000</v>
      </c>
      <c r="DE103" s="518"/>
      <c r="DF103" s="518">
        <v>300000000</v>
      </c>
      <c r="DG103" s="748">
        <v>300000000</v>
      </c>
      <c r="DH103" s="518"/>
      <c r="DI103" s="518">
        <v>300000000</v>
      </c>
      <c r="DJ103" s="748">
        <v>400000000</v>
      </c>
      <c r="DK103" s="518"/>
      <c r="DL103" s="518">
        <v>300000000</v>
      </c>
      <c r="DM103" s="748">
        <v>400000000</v>
      </c>
      <c r="DN103" s="518"/>
      <c r="DO103" s="518">
        <v>300000000</v>
      </c>
      <c r="DP103" s="748">
        <v>500000000</v>
      </c>
      <c r="DQ103" s="493">
        <f t="shared" si="31"/>
        <v>3300804126</v>
      </c>
      <c r="DR103" s="479">
        <f t="shared" si="33"/>
        <v>3695188520</v>
      </c>
      <c r="DS103" s="1163">
        <v>314000000</v>
      </c>
      <c r="DT103" s="1163">
        <v>314000000</v>
      </c>
      <c r="DU103" s="1163">
        <v>314000000</v>
      </c>
      <c r="DV103" s="1163">
        <v>314000000</v>
      </c>
      <c r="DW103" s="1163">
        <v>314000000</v>
      </c>
      <c r="DX103" s="1163">
        <v>500000000</v>
      </c>
      <c r="DY103" s="1163">
        <v>500000000</v>
      </c>
      <c r="DZ103" s="1163">
        <v>500000000</v>
      </c>
      <c r="EA103" s="1163">
        <v>500000000</v>
      </c>
      <c r="EB103" s="1163">
        <v>500000000</v>
      </c>
      <c r="EC103" s="1163">
        <v>500000000</v>
      </c>
      <c r="ED103" s="1163">
        <v>500000000</v>
      </c>
      <c r="EE103" s="1119">
        <f t="shared" si="28"/>
        <v>5070000000</v>
      </c>
      <c r="EF103" s="443">
        <f t="shared" si="20"/>
        <v>5931900000</v>
      </c>
      <c r="EG103" s="355">
        <f t="shared" si="21"/>
        <v>6406452000</v>
      </c>
      <c r="EH103" s="443">
        <f t="shared" si="42"/>
        <v>6983032680.000001</v>
      </c>
      <c r="EI103" s="443">
        <f t="shared" si="42"/>
        <v>7611505621.2000017</v>
      </c>
      <c r="EJ103" s="367">
        <v>3000009257</v>
      </c>
      <c r="EK103" s="367">
        <v>1</v>
      </c>
    </row>
    <row r="104" spans="1:156" ht="15.5" outlineLevel="2">
      <c r="A104" s="367" t="s">
        <v>43</v>
      </c>
      <c r="B104" s="378"/>
      <c r="C104" s="370" t="s">
        <v>358</v>
      </c>
      <c r="D104" s="370" t="s">
        <v>40</v>
      </c>
      <c r="E104" s="379" t="s">
        <v>428</v>
      </c>
      <c r="F104" s="380">
        <v>3000018327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7">
        <f t="shared" si="4"/>
        <v>0</v>
      </c>
      <c r="T104" s="179"/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96150000</v>
      </c>
      <c r="AA104" s="178">
        <v>231450000</v>
      </c>
      <c r="AB104" s="178">
        <v>180450000</v>
      </c>
      <c r="AC104" s="178">
        <v>322750000</v>
      </c>
      <c r="AD104" s="178">
        <v>256686364</v>
      </c>
      <c r="AE104" s="178">
        <v>216100000</v>
      </c>
      <c r="AF104" s="178">
        <v>161800000</v>
      </c>
      <c r="AG104" s="518">
        <f t="shared" si="5"/>
        <v>1465386364</v>
      </c>
      <c r="AH104" s="788"/>
      <c r="AI104" s="789">
        <v>133500000</v>
      </c>
      <c r="AJ104" s="517">
        <v>278350000</v>
      </c>
      <c r="AK104" s="518">
        <v>136450000</v>
      </c>
      <c r="AL104" s="518">
        <v>378050000</v>
      </c>
      <c r="AM104" s="518">
        <v>2900000</v>
      </c>
      <c r="AN104" s="518">
        <v>0</v>
      </c>
      <c r="AO104" s="518">
        <v>0</v>
      </c>
      <c r="AP104" s="518">
        <v>0</v>
      </c>
      <c r="AQ104" s="518">
        <v>0</v>
      </c>
      <c r="AR104" s="518"/>
      <c r="AS104" s="518"/>
      <c r="AT104" s="518"/>
      <c r="AU104" s="518">
        <f>BI104</f>
        <v>0</v>
      </c>
      <c r="AV104" s="518">
        <f>BJ104</f>
        <v>0</v>
      </c>
      <c r="AW104" s="518">
        <f>BK104</f>
        <v>0</v>
      </c>
      <c r="AX104" s="518">
        <f t="shared" si="45"/>
        <v>929250000</v>
      </c>
      <c r="AY104" s="788"/>
      <c r="AZ104" s="789">
        <v>133500000</v>
      </c>
      <c r="BA104" s="517">
        <v>278350000</v>
      </c>
      <c r="BB104" s="518">
        <v>136450000</v>
      </c>
      <c r="BC104" s="518">
        <v>378050000</v>
      </c>
      <c r="BD104" s="518">
        <v>2900000</v>
      </c>
      <c r="BE104" s="518">
        <v>0</v>
      </c>
      <c r="BF104" s="518">
        <v>0</v>
      </c>
      <c r="BG104" s="518">
        <f t="shared" si="41"/>
        <v>0</v>
      </c>
      <c r="BH104" s="518">
        <v>0</v>
      </c>
      <c r="BI104" s="518">
        <v>0</v>
      </c>
      <c r="BJ104" s="518">
        <v>0</v>
      </c>
      <c r="BK104" s="518">
        <v>0</v>
      </c>
      <c r="BL104" s="518">
        <f t="shared" si="46"/>
        <v>929250000</v>
      </c>
      <c r="BN104" s="518">
        <v>0</v>
      </c>
      <c r="BO104" s="518">
        <v>0</v>
      </c>
      <c r="BP104" s="518">
        <v>0</v>
      </c>
      <c r="BQ104" s="518">
        <v>0</v>
      </c>
      <c r="BR104" s="518">
        <v>0</v>
      </c>
      <c r="BS104" s="518">
        <v>0</v>
      </c>
      <c r="BT104" s="518">
        <v>0</v>
      </c>
      <c r="BU104" s="518">
        <v>0</v>
      </c>
      <c r="BV104" s="518">
        <v>0</v>
      </c>
      <c r="BW104" s="518">
        <v>0</v>
      </c>
      <c r="BX104" s="518">
        <v>0</v>
      </c>
      <c r="BY104" s="518">
        <v>0</v>
      </c>
      <c r="BZ104" s="791">
        <v>0</v>
      </c>
      <c r="CB104" s="518">
        <v>0</v>
      </c>
      <c r="CC104" s="518">
        <v>0</v>
      </c>
      <c r="CD104" s="518">
        <v>0</v>
      </c>
      <c r="CE104" s="518">
        <v>0</v>
      </c>
      <c r="CF104" s="518">
        <v>0</v>
      </c>
      <c r="CG104" s="518">
        <v>0</v>
      </c>
      <c r="CH104" s="518">
        <v>0</v>
      </c>
      <c r="CI104" s="518">
        <v>0</v>
      </c>
      <c r="CJ104" s="518">
        <v>0</v>
      </c>
      <c r="CK104" s="518">
        <v>0</v>
      </c>
      <c r="CL104" s="518">
        <v>0</v>
      </c>
      <c r="CM104" s="518">
        <v>0</v>
      </c>
      <c r="CN104" s="791">
        <v>0</v>
      </c>
      <c r="CP104" s="647"/>
      <c r="CQ104" s="647"/>
      <c r="CR104" s="518"/>
      <c r="CS104" s="647"/>
      <c r="CT104" s="518"/>
      <c r="CU104" s="647"/>
      <c r="CV104" s="518"/>
      <c r="CW104" s="647"/>
      <c r="CX104" s="518"/>
      <c r="CY104" s="647"/>
      <c r="CZ104" s="518"/>
      <c r="DA104" s="647"/>
      <c r="DB104" s="518"/>
      <c r="DC104" s="647">
        <v>0</v>
      </c>
      <c r="DD104" s="518"/>
      <c r="DE104" s="518"/>
      <c r="DF104" s="518"/>
      <c r="DG104" s="748"/>
      <c r="DH104" s="518"/>
      <c r="DI104" s="518"/>
      <c r="DJ104" s="748"/>
      <c r="DK104" s="518"/>
      <c r="DL104" s="518"/>
      <c r="DM104" s="748"/>
      <c r="DN104" s="518"/>
      <c r="DO104" s="518"/>
      <c r="DP104" s="748"/>
      <c r="DQ104" s="493">
        <f t="shared" si="31"/>
        <v>0</v>
      </c>
      <c r="DR104" s="479">
        <f t="shared" si="33"/>
        <v>0</v>
      </c>
      <c r="DS104" s="1163"/>
      <c r="DT104" s="1163"/>
      <c r="DU104" s="1163"/>
      <c r="DV104" s="1163"/>
      <c r="DW104" s="1163"/>
      <c r="DX104" s="1163"/>
      <c r="DY104" s="1163"/>
      <c r="DZ104" s="1163"/>
      <c r="EA104" s="1163"/>
      <c r="EB104" s="1163"/>
      <c r="EC104" s="1163"/>
      <c r="ED104" s="1163"/>
      <c r="EE104" s="1119">
        <f t="shared" si="28"/>
        <v>0</v>
      </c>
      <c r="EF104" s="443">
        <f t="shared" si="20"/>
        <v>0</v>
      </c>
      <c r="EG104" s="355">
        <f t="shared" si="21"/>
        <v>0</v>
      </c>
      <c r="EH104" s="443">
        <f t="shared" si="42"/>
        <v>0</v>
      </c>
      <c r="EI104" s="443">
        <f t="shared" si="42"/>
        <v>0</v>
      </c>
      <c r="EJ104" s="367">
        <v>3000018327</v>
      </c>
    </row>
    <row r="105" spans="1:156" ht="15.5" outlineLevel="2">
      <c r="A105" s="367" t="s">
        <v>43</v>
      </c>
      <c r="B105" s="378"/>
      <c r="C105" s="370" t="s">
        <v>358</v>
      </c>
      <c r="D105" s="370" t="s">
        <v>40</v>
      </c>
      <c r="E105" s="379" t="s">
        <v>429</v>
      </c>
      <c r="F105" s="380">
        <v>3000019398</v>
      </c>
      <c r="G105" s="178">
        <v>0</v>
      </c>
      <c r="H105" s="178">
        <v>0</v>
      </c>
      <c r="I105" s="178">
        <v>0</v>
      </c>
      <c r="J105" s="178">
        <v>0</v>
      </c>
      <c r="K105" s="178">
        <v>0</v>
      </c>
      <c r="L105" s="178">
        <v>0</v>
      </c>
      <c r="M105" s="178">
        <v>0</v>
      </c>
      <c r="N105" s="178">
        <v>0</v>
      </c>
      <c r="O105" s="178">
        <v>0</v>
      </c>
      <c r="P105" s="178">
        <v>0</v>
      </c>
      <c r="Q105" s="178">
        <v>0</v>
      </c>
      <c r="R105" s="178">
        <v>0</v>
      </c>
      <c r="S105" s="7">
        <f t="shared" si="4"/>
        <v>0</v>
      </c>
      <c r="T105" s="179"/>
      <c r="U105" s="178">
        <v>0</v>
      </c>
      <c r="V105" s="178">
        <v>0</v>
      </c>
      <c r="W105" s="178">
        <v>0</v>
      </c>
      <c r="X105" s="178">
        <v>0</v>
      </c>
      <c r="Y105" s="178">
        <v>0</v>
      </c>
      <c r="Z105" s="178">
        <v>0</v>
      </c>
      <c r="AA105" s="178">
        <v>0</v>
      </c>
      <c r="AB105" s="178">
        <v>0</v>
      </c>
      <c r="AC105" s="178">
        <v>0</v>
      </c>
      <c r="AD105" s="178">
        <v>0</v>
      </c>
      <c r="AE105" s="178">
        <v>0</v>
      </c>
      <c r="AF105" s="178">
        <v>0</v>
      </c>
      <c r="AG105" s="518">
        <f t="shared" si="5"/>
        <v>0</v>
      </c>
      <c r="AH105" s="788"/>
      <c r="AI105" s="789"/>
      <c r="AJ105" s="517">
        <v>312500000</v>
      </c>
      <c r="AK105" s="518">
        <v>0</v>
      </c>
      <c r="AL105" s="518">
        <v>25400000</v>
      </c>
      <c r="AM105" s="518">
        <v>0</v>
      </c>
      <c r="AN105" s="518">
        <v>0</v>
      </c>
      <c r="AO105" s="518">
        <v>63500000</v>
      </c>
      <c r="AP105" s="518">
        <v>203200000</v>
      </c>
      <c r="AQ105" s="518">
        <v>241300000</v>
      </c>
      <c r="AR105" s="774">
        <v>165100000</v>
      </c>
      <c r="AS105" s="774">
        <v>139700000</v>
      </c>
      <c r="AT105" s="774">
        <v>266700000</v>
      </c>
      <c r="AU105" s="794">
        <f>AQ105</f>
        <v>241300000</v>
      </c>
      <c r="AV105" s="794">
        <f>AU105</f>
        <v>241300000</v>
      </c>
      <c r="AW105" s="794">
        <f>AV105</f>
        <v>241300000</v>
      </c>
      <c r="AX105" s="518">
        <f t="shared" si="45"/>
        <v>1417400000</v>
      </c>
      <c r="AY105" s="788"/>
      <c r="AZ105" s="789"/>
      <c r="BA105" s="517">
        <v>312500000</v>
      </c>
      <c r="BB105" s="518">
        <v>0</v>
      </c>
      <c r="BC105" s="518">
        <v>25400000</v>
      </c>
      <c r="BD105" s="518">
        <v>0</v>
      </c>
      <c r="BE105" s="518">
        <v>0</v>
      </c>
      <c r="BF105" s="518">
        <v>63500000</v>
      </c>
      <c r="BG105" s="518">
        <f t="shared" si="41"/>
        <v>203200000</v>
      </c>
      <c r="BH105" s="518">
        <v>100000000</v>
      </c>
      <c r="BI105" s="518">
        <v>200000000</v>
      </c>
      <c r="BJ105" s="518">
        <v>200000000</v>
      </c>
      <c r="BK105" s="518">
        <v>200000000</v>
      </c>
      <c r="BL105" s="518">
        <f t="shared" si="46"/>
        <v>1304600000</v>
      </c>
      <c r="BN105" s="518">
        <v>100000000</v>
      </c>
      <c r="BO105" s="518">
        <v>100000000</v>
      </c>
      <c r="BP105" s="518">
        <v>150000000</v>
      </c>
      <c r="BQ105" s="518">
        <v>200000000</v>
      </c>
      <c r="BR105" s="518">
        <v>50000000</v>
      </c>
      <c r="BS105" s="518">
        <v>150000000</v>
      </c>
      <c r="BT105" s="518">
        <v>150000000</v>
      </c>
      <c r="BU105" s="518">
        <v>150000000</v>
      </c>
      <c r="BV105" s="518">
        <v>200000000</v>
      </c>
      <c r="BW105" s="518">
        <v>200000000</v>
      </c>
      <c r="BX105" s="518">
        <v>200000000</v>
      </c>
      <c r="BY105" s="518">
        <v>200000000</v>
      </c>
      <c r="BZ105" s="791">
        <v>1850000000</v>
      </c>
      <c r="CB105" s="518">
        <v>100000000</v>
      </c>
      <c r="CC105" s="518">
        <v>100000000</v>
      </c>
      <c r="CD105" s="518">
        <v>150000000</v>
      </c>
      <c r="CE105" s="518">
        <v>200000000</v>
      </c>
      <c r="CF105" s="518">
        <v>50000000</v>
      </c>
      <c r="CG105" s="518">
        <v>150000000</v>
      </c>
      <c r="CH105" s="518">
        <v>150000000</v>
      </c>
      <c r="CI105" s="518">
        <v>150000000</v>
      </c>
      <c r="CJ105" s="518">
        <v>200000000</v>
      </c>
      <c r="CK105" s="518">
        <v>200000000</v>
      </c>
      <c r="CL105" s="518">
        <v>200000000</v>
      </c>
      <c r="CM105" s="518">
        <v>200000000</v>
      </c>
      <c r="CN105" s="791">
        <v>1850000000</v>
      </c>
      <c r="CP105" s="647">
        <v>165100000</v>
      </c>
      <c r="CQ105" s="647">
        <v>165100000</v>
      </c>
      <c r="CR105" s="518">
        <v>165100000</v>
      </c>
      <c r="CS105" s="647">
        <v>152400000</v>
      </c>
      <c r="CT105" s="518">
        <v>165100000</v>
      </c>
      <c r="CU105" s="647">
        <v>304800000</v>
      </c>
      <c r="CV105" s="518">
        <v>165100000</v>
      </c>
      <c r="CW105" s="647">
        <v>165100000</v>
      </c>
      <c r="CX105" s="518">
        <v>100000000</v>
      </c>
      <c r="CY105" s="647">
        <v>228600000</v>
      </c>
      <c r="CZ105" s="518">
        <v>165100000</v>
      </c>
      <c r="DA105" s="647">
        <v>279400000</v>
      </c>
      <c r="DB105" s="518">
        <v>165100000</v>
      </c>
      <c r="DC105" s="647">
        <v>177800000</v>
      </c>
      <c r="DD105" s="518">
        <v>165100000</v>
      </c>
      <c r="DE105" s="518"/>
      <c r="DF105" s="518">
        <v>165100000</v>
      </c>
      <c r="DG105" s="748">
        <v>165100000</v>
      </c>
      <c r="DH105" s="518"/>
      <c r="DI105" s="518">
        <v>165100000</v>
      </c>
      <c r="DJ105" s="748">
        <v>165100000</v>
      </c>
      <c r="DK105" s="518"/>
      <c r="DL105" s="518">
        <v>165100000</v>
      </c>
      <c r="DM105" s="748">
        <v>165100000</v>
      </c>
      <c r="DN105" s="518"/>
      <c r="DO105" s="518">
        <v>165100000</v>
      </c>
      <c r="DP105" s="748">
        <v>165100000</v>
      </c>
      <c r="DQ105" s="493">
        <f t="shared" si="31"/>
        <v>2298700000</v>
      </c>
      <c r="DR105" s="479">
        <f t="shared" si="33"/>
        <v>2043100000</v>
      </c>
      <c r="DS105" s="1163">
        <v>180000000</v>
      </c>
      <c r="DT105" s="1163">
        <v>180000000</v>
      </c>
      <c r="DU105" s="1163">
        <v>180000000</v>
      </c>
      <c r="DV105" s="1163">
        <v>180000000</v>
      </c>
      <c r="DW105" s="1163">
        <v>180000000</v>
      </c>
      <c r="DX105" s="1163">
        <v>250000000</v>
      </c>
      <c r="DY105" s="1163">
        <v>250000000</v>
      </c>
      <c r="DZ105" s="1163">
        <v>250000000</v>
      </c>
      <c r="EA105" s="1163">
        <v>250000000</v>
      </c>
      <c r="EB105" s="1163">
        <v>250000000</v>
      </c>
      <c r="EC105" s="1163">
        <v>250000000</v>
      </c>
      <c r="ED105" s="1163">
        <v>250000000</v>
      </c>
      <c r="EE105" s="1119">
        <f t="shared" si="28"/>
        <v>2650000000</v>
      </c>
      <c r="EF105" s="443">
        <f t="shared" si="20"/>
        <v>3100500000</v>
      </c>
      <c r="EG105" s="355">
        <f t="shared" si="21"/>
        <v>3348540000</v>
      </c>
      <c r="EH105" s="443">
        <f t="shared" si="42"/>
        <v>3649908600.0000005</v>
      </c>
      <c r="EI105" s="443">
        <f t="shared" si="42"/>
        <v>3978400374.000001</v>
      </c>
      <c r="EJ105" s="367">
        <v>3000019398</v>
      </c>
    </row>
    <row r="106" spans="1:156" ht="15.5" outlineLevel="2">
      <c r="A106" s="367" t="s">
        <v>43</v>
      </c>
      <c r="B106" s="378"/>
      <c r="C106" s="370" t="s">
        <v>358</v>
      </c>
      <c r="D106" s="370" t="s">
        <v>40</v>
      </c>
      <c r="E106" s="388" t="s">
        <v>430</v>
      </c>
      <c r="F106" s="380">
        <v>3000019386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7">
        <f t="shared" si="4"/>
        <v>0</v>
      </c>
      <c r="T106" s="179"/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518">
        <f t="shared" si="5"/>
        <v>0</v>
      </c>
      <c r="AH106" s="788"/>
      <c r="AI106" s="789"/>
      <c r="AJ106" s="517">
        <v>80650000</v>
      </c>
      <c r="AK106" s="518">
        <v>6600000</v>
      </c>
      <c r="AL106" s="518">
        <v>0</v>
      </c>
      <c r="AM106" s="518">
        <v>0</v>
      </c>
      <c r="AN106" s="518">
        <v>0</v>
      </c>
      <c r="AO106" s="518">
        <v>0</v>
      </c>
      <c r="AP106" s="518">
        <v>84000000</v>
      </c>
      <c r="AQ106" s="518">
        <v>0</v>
      </c>
      <c r="AR106" s="518"/>
      <c r="AS106" s="518"/>
      <c r="AT106" s="518"/>
      <c r="AU106" s="518">
        <f t="shared" ref="AU106:AW109" si="47">BI106</f>
        <v>0</v>
      </c>
      <c r="AV106" s="518">
        <f t="shared" si="47"/>
        <v>0</v>
      </c>
      <c r="AW106" s="518">
        <f t="shared" si="47"/>
        <v>0</v>
      </c>
      <c r="AX106" s="518">
        <f t="shared" si="45"/>
        <v>171250000</v>
      </c>
      <c r="AY106" s="788"/>
      <c r="AZ106" s="789"/>
      <c r="BA106" s="517">
        <v>80650000</v>
      </c>
      <c r="BB106" s="518">
        <v>6600000</v>
      </c>
      <c r="BC106" s="518">
        <v>0</v>
      </c>
      <c r="BD106" s="518">
        <v>0</v>
      </c>
      <c r="BE106" s="518">
        <v>0</v>
      </c>
      <c r="BF106" s="518">
        <v>0</v>
      </c>
      <c r="BG106" s="518">
        <f t="shared" si="41"/>
        <v>84000000</v>
      </c>
      <c r="BH106" s="518">
        <v>0</v>
      </c>
      <c r="BI106" s="518">
        <v>0</v>
      </c>
      <c r="BJ106" s="518">
        <v>0</v>
      </c>
      <c r="BK106" s="518">
        <v>0</v>
      </c>
      <c r="BL106" s="518">
        <f t="shared" si="46"/>
        <v>171250000</v>
      </c>
      <c r="BN106" s="518">
        <v>0</v>
      </c>
      <c r="BO106" s="518">
        <v>0</v>
      </c>
      <c r="BP106" s="518">
        <v>0</v>
      </c>
      <c r="BQ106" s="518">
        <v>0</v>
      </c>
      <c r="BR106" s="518">
        <v>0</v>
      </c>
      <c r="BS106" s="518">
        <v>0</v>
      </c>
      <c r="BT106" s="518">
        <v>0</v>
      </c>
      <c r="BU106" s="518">
        <v>0</v>
      </c>
      <c r="BV106" s="518">
        <v>0</v>
      </c>
      <c r="BW106" s="518">
        <v>0</v>
      </c>
      <c r="BX106" s="518">
        <v>0</v>
      </c>
      <c r="BY106" s="518">
        <v>0</v>
      </c>
      <c r="BZ106" s="791">
        <v>0</v>
      </c>
      <c r="CB106" s="518">
        <v>0</v>
      </c>
      <c r="CC106" s="518">
        <v>0</v>
      </c>
      <c r="CD106" s="518">
        <v>0</v>
      </c>
      <c r="CE106" s="518">
        <v>0</v>
      </c>
      <c r="CF106" s="518">
        <v>0</v>
      </c>
      <c r="CG106" s="518">
        <v>0</v>
      </c>
      <c r="CH106" s="518">
        <v>0</v>
      </c>
      <c r="CI106" s="518">
        <v>0</v>
      </c>
      <c r="CJ106" s="518">
        <v>0</v>
      </c>
      <c r="CK106" s="518">
        <v>0</v>
      </c>
      <c r="CL106" s="518">
        <v>0</v>
      </c>
      <c r="CM106" s="518">
        <v>0</v>
      </c>
      <c r="CN106" s="791">
        <v>0</v>
      </c>
      <c r="CP106" s="647"/>
      <c r="CQ106" s="647"/>
      <c r="CR106" s="518"/>
      <c r="CS106" s="647"/>
      <c r="CT106" s="518"/>
      <c r="CU106" s="647"/>
      <c r="CV106" s="518"/>
      <c r="CW106" s="647"/>
      <c r="CX106" s="518"/>
      <c r="CY106" s="647"/>
      <c r="CZ106" s="518"/>
      <c r="DA106" s="647"/>
      <c r="DB106" s="518"/>
      <c r="DC106" s="647">
        <v>0</v>
      </c>
      <c r="DD106" s="518"/>
      <c r="DE106" s="518"/>
      <c r="DF106" s="518"/>
      <c r="DG106" s="748"/>
      <c r="DH106" s="518"/>
      <c r="DI106" s="518"/>
      <c r="DJ106" s="748"/>
      <c r="DK106" s="518"/>
      <c r="DL106" s="518"/>
      <c r="DM106" s="748"/>
      <c r="DN106" s="518"/>
      <c r="DO106" s="518"/>
      <c r="DP106" s="748"/>
      <c r="DQ106" s="493">
        <f t="shared" si="31"/>
        <v>0</v>
      </c>
      <c r="DR106" s="479">
        <f t="shared" si="33"/>
        <v>0</v>
      </c>
      <c r="DS106" s="1163"/>
      <c r="DT106" s="1163"/>
      <c r="DU106" s="1163"/>
      <c r="DV106" s="1163"/>
      <c r="DW106" s="1163"/>
      <c r="DX106" s="1163"/>
      <c r="DY106" s="1163"/>
      <c r="DZ106" s="1163"/>
      <c r="EA106" s="1163"/>
      <c r="EB106" s="1163"/>
      <c r="EC106" s="1163"/>
      <c r="ED106" s="1163"/>
      <c r="EE106" s="1119">
        <f t="shared" si="28"/>
        <v>0</v>
      </c>
      <c r="EF106" s="443">
        <f t="shared" si="20"/>
        <v>0</v>
      </c>
      <c r="EG106" s="355">
        <f t="shared" si="21"/>
        <v>0</v>
      </c>
      <c r="EH106" s="443">
        <f t="shared" si="42"/>
        <v>0</v>
      </c>
      <c r="EI106" s="443">
        <f t="shared" si="42"/>
        <v>0</v>
      </c>
      <c r="EJ106" s="367">
        <v>3000019386</v>
      </c>
    </row>
    <row r="107" spans="1:156" ht="15.5" outlineLevel="2">
      <c r="A107" s="367" t="s">
        <v>43</v>
      </c>
      <c r="B107" s="378"/>
      <c r="C107" s="370" t="s">
        <v>358</v>
      </c>
      <c r="D107" s="370" t="s">
        <v>40</v>
      </c>
      <c r="E107" s="379" t="s">
        <v>431</v>
      </c>
      <c r="F107" s="380">
        <v>3000019392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7">
        <f t="shared" si="4"/>
        <v>0</v>
      </c>
      <c r="T107" s="179"/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518">
        <f t="shared" si="5"/>
        <v>0</v>
      </c>
      <c r="AH107" s="788"/>
      <c r="AI107" s="789"/>
      <c r="AJ107" s="517">
        <v>42650000</v>
      </c>
      <c r="AK107" s="518">
        <v>0</v>
      </c>
      <c r="AL107" s="518">
        <v>0</v>
      </c>
      <c r="AM107" s="518">
        <v>0</v>
      </c>
      <c r="AN107" s="518">
        <v>0</v>
      </c>
      <c r="AO107" s="518">
        <v>0</v>
      </c>
      <c r="AP107" s="518">
        <v>0</v>
      </c>
      <c r="AQ107" s="518">
        <v>0</v>
      </c>
      <c r="AR107" s="518"/>
      <c r="AS107" s="518"/>
      <c r="AT107" s="518"/>
      <c r="AU107" s="518">
        <f t="shared" si="47"/>
        <v>0</v>
      </c>
      <c r="AV107" s="518">
        <f t="shared" si="47"/>
        <v>0</v>
      </c>
      <c r="AW107" s="518">
        <f t="shared" si="47"/>
        <v>0</v>
      </c>
      <c r="AX107" s="518">
        <f t="shared" si="45"/>
        <v>42650000</v>
      </c>
      <c r="AY107" s="788"/>
      <c r="AZ107" s="789"/>
      <c r="BA107" s="517">
        <v>42650000</v>
      </c>
      <c r="BB107" s="518">
        <v>0</v>
      </c>
      <c r="BC107" s="518">
        <v>0</v>
      </c>
      <c r="BD107" s="518">
        <v>0</v>
      </c>
      <c r="BE107" s="518">
        <v>0</v>
      </c>
      <c r="BF107" s="518">
        <v>0</v>
      </c>
      <c r="BG107" s="518">
        <f t="shared" si="41"/>
        <v>0</v>
      </c>
      <c r="BH107" s="518">
        <v>0</v>
      </c>
      <c r="BI107" s="518">
        <v>0</v>
      </c>
      <c r="BJ107" s="518">
        <v>0</v>
      </c>
      <c r="BK107" s="518">
        <v>0</v>
      </c>
      <c r="BL107" s="518">
        <f t="shared" si="46"/>
        <v>42650000</v>
      </c>
      <c r="BN107" s="518">
        <v>0</v>
      </c>
      <c r="BO107" s="518">
        <v>0</v>
      </c>
      <c r="BP107" s="518">
        <v>0</v>
      </c>
      <c r="BQ107" s="518">
        <v>0</v>
      </c>
      <c r="BR107" s="518">
        <v>0</v>
      </c>
      <c r="BS107" s="518">
        <v>0</v>
      </c>
      <c r="BT107" s="518">
        <v>0</v>
      </c>
      <c r="BU107" s="518">
        <v>0</v>
      </c>
      <c r="BV107" s="518">
        <v>0</v>
      </c>
      <c r="BW107" s="518">
        <v>0</v>
      </c>
      <c r="BX107" s="518">
        <v>0</v>
      </c>
      <c r="BY107" s="518">
        <v>0</v>
      </c>
      <c r="BZ107" s="791">
        <v>0</v>
      </c>
      <c r="CB107" s="518">
        <v>0</v>
      </c>
      <c r="CC107" s="518">
        <v>0</v>
      </c>
      <c r="CD107" s="518">
        <v>0</v>
      </c>
      <c r="CE107" s="518">
        <v>0</v>
      </c>
      <c r="CF107" s="518">
        <v>0</v>
      </c>
      <c r="CG107" s="518">
        <v>0</v>
      </c>
      <c r="CH107" s="518">
        <v>0</v>
      </c>
      <c r="CI107" s="518">
        <v>0</v>
      </c>
      <c r="CJ107" s="518">
        <v>0</v>
      </c>
      <c r="CK107" s="518">
        <v>0</v>
      </c>
      <c r="CL107" s="518">
        <v>0</v>
      </c>
      <c r="CM107" s="518">
        <v>0</v>
      </c>
      <c r="CN107" s="791">
        <v>0</v>
      </c>
      <c r="CP107" s="647"/>
      <c r="CQ107" s="647"/>
      <c r="CR107" s="518"/>
      <c r="CS107" s="647"/>
      <c r="CT107" s="518"/>
      <c r="CU107" s="647"/>
      <c r="CV107" s="518"/>
      <c r="CW107" s="647"/>
      <c r="CX107" s="518"/>
      <c r="CY107" s="647"/>
      <c r="CZ107" s="518"/>
      <c r="DA107" s="647"/>
      <c r="DB107" s="518"/>
      <c r="DC107" s="647">
        <v>0</v>
      </c>
      <c r="DD107" s="518"/>
      <c r="DE107" s="518"/>
      <c r="DF107" s="518"/>
      <c r="DG107" s="748"/>
      <c r="DH107" s="518"/>
      <c r="DI107" s="518"/>
      <c r="DJ107" s="748"/>
      <c r="DK107" s="518"/>
      <c r="DL107" s="518"/>
      <c r="DM107" s="748"/>
      <c r="DN107" s="518"/>
      <c r="DO107" s="518"/>
      <c r="DP107" s="748"/>
      <c r="DQ107" s="493">
        <f t="shared" si="31"/>
        <v>0</v>
      </c>
      <c r="DR107" s="479">
        <f t="shared" si="33"/>
        <v>0</v>
      </c>
      <c r="DS107" s="1163"/>
      <c r="DT107" s="1163"/>
      <c r="DU107" s="1163"/>
      <c r="DV107" s="1163"/>
      <c r="DW107" s="1163"/>
      <c r="DX107" s="1163"/>
      <c r="DY107" s="1163"/>
      <c r="DZ107" s="1163"/>
      <c r="EA107" s="1163"/>
      <c r="EB107" s="1163"/>
      <c r="EC107" s="1163"/>
      <c r="ED107" s="1163"/>
      <c r="EE107" s="1119">
        <f t="shared" si="28"/>
        <v>0</v>
      </c>
      <c r="EF107" s="443">
        <f t="shared" si="20"/>
        <v>0</v>
      </c>
      <c r="EG107" s="355">
        <f t="shared" si="21"/>
        <v>0</v>
      </c>
      <c r="EH107" s="443">
        <f t="shared" si="42"/>
        <v>0</v>
      </c>
      <c r="EI107" s="443">
        <f t="shared" si="42"/>
        <v>0</v>
      </c>
      <c r="EJ107" s="367">
        <v>3000019392</v>
      </c>
    </row>
    <row r="108" spans="1:156" s="8" customFormat="1" ht="15.5" outlineLevel="2">
      <c r="A108" s="367" t="s">
        <v>43</v>
      </c>
      <c r="B108" s="378"/>
      <c r="C108" s="370" t="s">
        <v>358</v>
      </c>
      <c r="D108" s="370" t="s">
        <v>40</v>
      </c>
      <c r="E108" s="379" t="s">
        <v>432</v>
      </c>
      <c r="F108" s="380">
        <v>3000019454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7">
        <f t="shared" si="4"/>
        <v>0</v>
      </c>
      <c r="T108" s="179"/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518">
        <f t="shared" si="5"/>
        <v>0</v>
      </c>
      <c r="AH108" s="788"/>
      <c r="AI108" s="789"/>
      <c r="AJ108" s="517">
        <v>11600000</v>
      </c>
      <c r="AK108" s="518">
        <v>0</v>
      </c>
      <c r="AL108" s="518">
        <v>0</v>
      </c>
      <c r="AM108" s="518">
        <v>0</v>
      </c>
      <c r="AN108" s="518">
        <v>0</v>
      </c>
      <c r="AO108" s="518">
        <v>0</v>
      </c>
      <c r="AP108" s="518">
        <v>0</v>
      </c>
      <c r="AQ108" s="518">
        <v>0</v>
      </c>
      <c r="AR108" s="518"/>
      <c r="AS108" s="518"/>
      <c r="AT108" s="518"/>
      <c r="AU108" s="518">
        <f t="shared" si="47"/>
        <v>0</v>
      </c>
      <c r="AV108" s="518">
        <f t="shared" si="47"/>
        <v>0</v>
      </c>
      <c r="AW108" s="518">
        <f t="shared" si="47"/>
        <v>0</v>
      </c>
      <c r="AX108" s="518">
        <f t="shared" si="45"/>
        <v>11600000</v>
      </c>
      <c r="AY108" s="788"/>
      <c r="AZ108" s="789"/>
      <c r="BA108" s="517">
        <v>11600000</v>
      </c>
      <c r="BB108" s="518">
        <v>0</v>
      </c>
      <c r="BC108" s="518">
        <v>0</v>
      </c>
      <c r="BD108" s="518">
        <v>0</v>
      </c>
      <c r="BE108" s="518">
        <v>0</v>
      </c>
      <c r="BF108" s="518">
        <v>0</v>
      </c>
      <c r="BG108" s="518">
        <f t="shared" si="41"/>
        <v>0</v>
      </c>
      <c r="BH108" s="518">
        <v>0</v>
      </c>
      <c r="BI108" s="518">
        <v>0</v>
      </c>
      <c r="BJ108" s="518">
        <v>0</v>
      </c>
      <c r="BK108" s="518">
        <v>0</v>
      </c>
      <c r="BL108" s="518">
        <f t="shared" si="46"/>
        <v>11600000</v>
      </c>
      <c r="BM108" s="3"/>
      <c r="BN108" s="518">
        <v>0</v>
      </c>
      <c r="BO108" s="518">
        <v>0</v>
      </c>
      <c r="BP108" s="518">
        <v>0</v>
      </c>
      <c r="BQ108" s="518">
        <v>0</v>
      </c>
      <c r="BR108" s="518">
        <v>0</v>
      </c>
      <c r="BS108" s="518">
        <v>0</v>
      </c>
      <c r="BT108" s="518">
        <v>0</v>
      </c>
      <c r="BU108" s="518">
        <v>0</v>
      </c>
      <c r="BV108" s="518">
        <v>0</v>
      </c>
      <c r="BW108" s="518">
        <v>0</v>
      </c>
      <c r="BX108" s="518">
        <v>0</v>
      </c>
      <c r="BY108" s="518">
        <v>0</v>
      </c>
      <c r="BZ108" s="791">
        <v>0</v>
      </c>
      <c r="CA108" s="3"/>
      <c r="CB108" s="518">
        <v>0</v>
      </c>
      <c r="CC108" s="518">
        <v>0</v>
      </c>
      <c r="CD108" s="518">
        <v>0</v>
      </c>
      <c r="CE108" s="518">
        <v>0</v>
      </c>
      <c r="CF108" s="518">
        <v>0</v>
      </c>
      <c r="CG108" s="518">
        <v>0</v>
      </c>
      <c r="CH108" s="518">
        <v>0</v>
      </c>
      <c r="CI108" s="518">
        <v>0</v>
      </c>
      <c r="CJ108" s="518">
        <v>0</v>
      </c>
      <c r="CK108" s="518">
        <v>0</v>
      </c>
      <c r="CL108" s="518">
        <v>0</v>
      </c>
      <c r="CM108" s="518">
        <v>0</v>
      </c>
      <c r="CN108" s="791">
        <v>0</v>
      </c>
      <c r="CO108" s="3"/>
      <c r="CP108" s="647"/>
      <c r="CQ108" s="647"/>
      <c r="CR108" s="518"/>
      <c r="CS108" s="647"/>
      <c r="CT108" s="518"/>
      <c r="CU108" s="647"/>
      <c r="CV108" s="518"/>
      <c r="CW108" s="647"/>
      <c r="CX108" s="518"/>
      <c r="CY108" s="647"/>
      <c r="CZ108" s="518"/>
      <c r="DA108" s="647"/>
      <c r="DB108" s="518"/>
      <c r="DC108" s="647">
        <v>0</v>
      </c>
      <c r="DD108" s="518"/>
      <c r="DE108" s="518"/>
      <c r="DF108" s="518"/>
      <c r="DG108" s="748"/>
      <c r="DH108" s="518"/>
      <c r="DI108" s="518"/>
      <c r="DJ108" s="748"/>
      <c r="DK108" s="518"/>
      <c r="DL108" s="518"/>
      <c r="DM108" s="748"/>
      <c r="DN108" s="518"/>
      <c r="DO108" s="518"/>
      <c r="DP108" s="748"/>
      <c r="DQ108" s="493">
        <f t="shared" si="31"/>
        <v>0</v>
      </c>
      <c r="DR108" s="479">
        <f t="shared" si="33"/>
        <v>0</v>
      </c>
      <c r="DS108" s="1163"/>
      <c r="DT108" s="1163"/>
      <c r="DU108" s="1163"/>
      <c r="DV108" s="1163"/>
      <c r="DW108" s="1163"/>
      <c r="DX108" s="1163"/>
      <c r="DY108" s="1163"/>
      <c r="DZ108" s="1163"/>
      <c r="EA108" s="1163"/>
      <c r="EB108" s="1163"/>
      <c r="EC108" s="1163"/>
      <c r="ED108" s="1163"/>
      <c r="EE108" s="1119">
        <f t="shared" si="28"/>
        <v>0</v>
      </c>
      <c r="EF108" s="443">
        <f t="shared" si="20"/>
        <v>0</v>
      </c>
      <c r="EG108" s="355">
        <f t="shared" si="21"/>
        <v>0</v>
      </c>
      <c r="EH108" s="443">
        <f t="shared" si="42"/>
        <v>0</v>
      </c>
      <c r="EI108" s="443">
        <f t="shared" si="42"/>
        <v>0</v>
      </c>
      <c r="EJ108" s="367">
        <v>3000019454</v>
      </c>
      <c r="EK108" s="367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</row>
    <row r="109" spans="1:156" s="8" customFormat="1" ht="15.5" outlineLevel="2">
      <c r="A109" s="367" t="s">
        <v>43</v>
      </c>
      <c r="B109" s="378"/>
      <c r="C109" s="370" t="s">
        <v>358</v>
      </c>
      <c r="D109" s="370" t="s">
        <v>40</v>
      </c>
      <c r="E109" s="379" t="s">
        <v>433</v>
      </c>
      <c r="F109" s="380">
        <v>3000019420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7">
        <f t="shared" si="4"/>
        <v>0</v>
      </c>
      <c r="T109" s="179"/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518">
        <f t="shared" si="5"/>
        <v>0</v>
      </c>
      <c r="AH109" s="788"/>
      <c r="AI109" s="789"/>
      <c r="AJ109" s="517">
        <v>41100000</v>
      </c>
      <c r="AK109" s="518">
        <v>6850000</v>
      </c>
      <c r="AL109" s="518">
        <v>0</v>
      </c>
      <c r="AM109" s="518">
        <v>0</v>
      </c>
      <c r="AN109" s="518">
        <v>0</v>
      </c>
      <c r="AO109" s="518">
        <v>0</v>
      </c>
      <c r="AP109" s="518">
        <v>0</v>
      </c>
      <c r="AQ109" s="518">
        <v>0</v>
      </c>
      <c r="AR109" s="518"/>
      <c r="AS109" s="518"/>
      <c r="AT109" s="518"/>
      <c r="AU109" s="518">
        <f t="shared" si="47"/>
        <v>0</v>
      </c>
      <c r="AV109" s="518">
        <f t="shared" si="47"/>
        <v>0</v>
      </c>
      <c r="AW109" s="518">
        <f t="shared" si="47"/>
        <v>0</v>
      </c>
      <c r="AX109" s="518">
        <f t="shared" si="45"/>
        <v>47950000</v>
      </c>
      <c r="AY109" s="788"/>
      <c r="AZ109" s="789"/>
      <c r="BA109" s="517">
        <v>41100000</v>
      </c>
      <c r="BB109" s="518">
        <v>6850000</v>
      </c>
      <c r="BC109" s="518">
        <v>0</v>
      </c>
      <c r="BD109" s="518">
        <v>0</v>
      </c>
      <c r="BE109" s="518">
        <v>0</v>
      </c>
      <c r="BF109" s="518">
        <v>0</v>
      </c>
      <c r="BG109" s="518">
        <f t="shared" si="41"/>
        <v>0</v>
      </c>
      <c r="BH109" s="518">
        <v>0</v>
      </c>
      <c r="BI109" s="518">
        <v>0</v>
      </c>
      <c r="BJ109" s="518">
        <v>0</v>
      </c>
      <c r="BK109" s="518">
        <v>0</v>
      </c>
      <c r="BL109" s="518">
        <f t="shared" si="46"/>
        <v>47950000</v>
      </c>
      <c r="BM109" s="3"/>
      <c r="BN109" s="518">
        <v>0</v>
      </c>
      <c r="BO109" s="518">
        <v>0</v>
      </c>
      <c r="BP109" s="518">
        <v>0</v>
      </c>
      <c r="BQ109" s="518">
        <v>0</v>
      </c>
      <c r="BR109" s="518">
        <v>0</v>
      </c>
      <c r="BS109" s="518">
        <v>0</v>
      </c>
      <c r="BT109" s="518">
        <v>0</v>
      </c>
      <c r="BU109" s="518">
        <v>0</v>
      </c>
      <c r="BV109" s="518">
        <v>0</v>
      </c>
      <c r="BW109" s="518">
        <v>0</v>
      </c>
      <c r="BX109" s="518">
        <v>0</v>
      </c>
      <c r="BY109" s="518">
        <v>0</v>
      </c>
      <c r="BZ109" s="791">
        <v>0</v>
      </c>
      <c r="CA109" s="3"/>
      <c r="CB109" s="518">
        <v>0</v>
      </c>
      <c r="CC109" s="518">
        <v>0</v>
      </c>
      <c r="CD109" s="518">
        <v>0</v>
      </c>
      <c r="CE109" s="518">
        <v>0</v>
      </c>
      <c r="CF109" s="518">
        <v>0</v>
      </c>
      <c r="CG109" s="518">
        <v>0</v>
      </c>
      <c r="CH109" s="518">
        <v>0</v>
      </c>
      <c r="CI109" s="518">
        <v>0</v>
      </c>
      <c r="CJ109" s="518">
        <v>0</v>
      </c>
      <c r="CK109" s="518">
        <v>0</v>
      </c>
      <c r="CL109" s="518">
        <v>0</v>
      </c>
      <c r="CM109" s="518">
        <v>0</v>
      </c>
      <c r="CN109" s="791">
        <v>0</v>
      </c>
      <c r="CO109" s="3"/>
      <c r="CP109" s="647"/>
      <c r="CQ109" s="647"/>
      <c r="CR109" s="518"/>
      <c r="CS109" s="647"/>
      <c r="CT109" s="518"/>
      <c r="CU109" s="647"/>
      <c r="CV109" s="518"/>
      <c r="CW109" s="647"/>
      <c r="CX109" s="518"/>
      <c r="CY109" s="647"/>
      <c r="CZ109" s="518"/>
      <c r="DA109" s="647"/>
      <c r="DB109" s="518"/>
      <c r="DC109" s="647">
        <v>0</v>
      </c>
      <c r="DD109" s="518"/>
      <c r="DE109" s="518"/>
      <c r="DF109" s="518"/>
      <c r="DG109" s="748"/>
      <c r="DH109" s="518"/>
      <c r="DI109" s="518"/>
      <c r="DJ109" s="748"/>
      <c r="DK109" s="518"/>
      <c r="DL109" s="518"/>
      <c r="DM109" s="748"/>
      <c r="DN109" s="518"/>
      <c r="DO109" s="518"/>
      <c r="DP109" s="748"/>
      <c r="DQ109" s="493">
        <f t="shared" si="31"/>
        <v>0</v>
      </c>
      <c r="DR109" s="479">
        <f t="shared" si="33"/>
        <v>0</v>
      </c>
      <c r="DS109" s="1163"/>
      <c r="DT109" s="1163"/>
      <c r="DU109" s="1163"/>
      <c r="DV109" s="1163"/>
      <c r="DW109" s="1163"/>
      <c r="DX109" s="1163"/>
      <c r="DY109" s="1163"/>
      <c r="DZ109" s="1163"/>
      <c r="EA109" s="1163"/>
      <c r="EB109" s="1163"/>
      <c r="EC109" s="1163"/>
      <c r="ED109" s="1163"/>
      <c r="EE109" s="1119">
        <f t="shared" si="28"/>
        <v>0</v>
      </c>
      <c r="EF109" s="443">
        <f t="shared" si="20"/>
        <v>0</v>
      </c>
      <c r="EG109" s="355">
        <f t="shared" si="21"/>
        <v>0</v>
      </c>
      <c r="EH109" s="443">
        <f t="shared" si="42"/>
        <v>0</v>
      </c>
      <c r="EI109" s="443">
        <f t="shared" si="42"/>
        <v>0</v>
      </c>
      <c r="EJ109" s="367">
        <v>3000019420</v>
      </c>
      <c r="EK109" s="367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</row>
    <row r="110" spans="1:156" ht="15.5" outlineLevel="2">
      <c r="A110" s="367" t="s">
        <v>39</v>
      </c>
      <c r="B110" s="378"/>
      <c r="C110" s="370" t="s">
        <v>358</v>
      </c>
      <c r="D110" s="370" t="s">
        <v>40</v>
      </c>
      <c r="E110" s="379" t="s">
        <v>171</v>
      </c>
      <c r="F110" s="380">
        <v>3000020764</v>
      </c>
      <c r="G110" s="180"/>
      <c r="H110" s="180"/>
      <c r="I110" s="180"/>
      <c r="J110" s="180"/>
      <c r="K110" s="180"/>
      <c r="L110" s="180"/>
      <c r="M110" s="180"/>
      <c r="N110" s="180"/>
      <c r="O110" s="180"/>
      <c r="P110" s="180"/>
      <c r="Q110" s="180"/>
      <c r="R110" s="180"/>
      <c r="S110" s="6"/>
      <c r="T110" s="181"/>
      <c r="U110" s="180"/>
      <c r="V110" s="9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181"/>
      <c r="AI110" s="180"/>
      <c r="AJ110" s="517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518">
        <f>SUM(AI110,AJ110,AK110,AL110,AM110,AN110,AO110,AP110,AQ110,AR110,AS110,AT110)</f>
        <v>0</v>
      </c>
      <c r="AY110" s="181"/>
      <c r="AZ110" s="180"/>
      <c r="BA110" s="517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N110" s="19"/>
      <c r="BO110" s="517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799"/>
      <c r="CB110" s="19"/>
      <c r="CC110" s="517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P110" s="649"/>
      <c r="CQ110" s="649"/>
      <c r="CR110" s="609"/>
      <c r="CS110" s="649">
        <v>24000000</v>
      </c>
      <c r="CT110" s="609"/>
      <c r="CU110" s="649">
        <v>5000000</v>
      </c>
      <c r="CV110" s="609">
        <v>24000000</v>
      </c>
      <c r="CW110" s="649">
        <v>8900000</v>
      </c>
      <c r="CX110" s="609">
        <v>12000000</v>
      </c>
      <c r="CY110" s="649"/>
      <c r="CZ110" s="609">
        <v>24000000</v>
      </c>
      <c r="DA110" s="649">
        <v>5750000</v>
      </c>
      <c r="DB110" s="609">
        <v>24000000</v>
      </c>
      <c r="DC110" s="649">
        <v>0</v>
      </c>
      <c r="DD110" s="609">
        <v>24000000</v>
      </c>
      <c r="DE110" s="518"/>
      <c r="DF110" s="609">
        <v>24000000</v>
      </c>
      <c r="DG110" s="748">
        <v>24000000</v>
      </c>
      <c r="DH110" s="518"/>
      <c r="DI110" s="609">
        <v>24000000</v>
      </c>
      <c r="DJ110" s="748">
        <v>24000000</v>
      </c>
      <c r="DK110" s="518"/>
      <c r="DL110" s="609">
        <v>24000000</v>
      </c>
      <c r="DM110" s="748">
        <v>24000000</v>
      </c>
      <c r="DN110" s="518"/>
      <c r="DO110" s="609">
        <v>24000000</v>
      </c>
      <c r="DP110" s="748">
        <v>24000000</v>
      </c>
      <c r="DQ110" s="493">
        <f t="shared" si="31"/>
        <v>139650000</v>
      </c>
      <c r="DR110" s="479">
        <f t="shared" ref="DR110:DR141" si="48">SUM(CP110,CQ110,CS110,CU110,CX110,CZ110,DB110,DD110,DG110,DJ110,DM110,DP110)</f>
        <v>209000000</v>
      </c>
      <c r="DS110" s="1162">
        <v>5000000</v>
      </c>
      <c r="DT110" s="1162">
        <v>5000000</v>
      </c>
      <c r="DU110" s="1162">
        <v>5000000</v>
      </c>
      <c r="DV110" s="1162">
        <v>5000000</v>
      </c>
      <c r="DW110" s="1162">
        <v>5000000</v>
      </c>
      <c r="DX110" s="1162">
        <v>5000000</v>
      </c>
      <c r="DY110" s="1162">
        <v>5000000</v>
      </c>
      <c r="DZ110" s="1162">
        <v>5000000</v>
      </c>
      <c r="EA110" s="1162">
        <v>5000000</v>
      </c>
      <c r="EB110" s="1162">
        <v>5000000</v>
      </c>
      <c r="EC110" s="1162">
        <v>5000000</v>
      </c>
      <c r="ED110" s="1162">
        <v>5000000</v>
      </c>
      <c r="EE110" s="1119">
        <f t="shared" si="28"/>
        <v>60000000</v>
      </c>
      <c r="EF110" s="443">
        <f t="shared" si="20"/>
        <v>70200000</v>
      </c>
      <c r="EG110" s="355">
        <f t="shared" si="21"/>
        <v>75816000</v>
      </c>
      <c r="EH110" s="443">
        <f t="shared" si="42"/>
        <v>82639440</v>
      </c>
      <c r="EI110" s="443">
        <f t="shared" si="42"/>
        <v>90076989.600000009</v>
      </c>
    </row>
    <row r="111" spans="1:156" ht="15.5" outlineLevel="2">
      <c r="A111" s="367" t="s">
        <v>43</v>
      </c>
      <c r="B111" s="378"/>
      <c r="C111" s="370" t="s">
        <v>358</v>
      </c>
      <c r="D111" s="370" t="s">
        <v>40</v>
      </c>
      <c r="E111" s="379" t="s">
        <v>434</v>
      </c>
      <c r="F111" s="380">
        <v>3000014770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7">
        <f t="shared" si="4"/>
        <v>0</v>
      </c>
      <c r="T111" s="179"/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518">
        <f t="shared" si="5"/>
        <v>0</v>
      </c>
      <c r="AH111" s="788"/>
      <c r="AI111" s="789"/>
      <c r="AJ111" s="517">
        <v>3500000</v>
      </c>
      <c r="AK111" s="518">
        <v>0</v>
      </c>
      <c r="AL111" s="518">
        <v>0</v>
      </c>
      <c r="AM111" s="518">
        <v>0</v>
      </c>
      <c r="AN111" s="518">
        <v>0</v>
      </c>
      <c r="AO111" s="518">
        <v>0</v>
      </c>
      <c r="AP111" s="518">
        <v>0</v>
      </c>
      <c r="AQ111" s="518">
        <v>0</v>
      </c>
      <c r="AR111" s="518"/>
      <c r="AS111" s="518"/>
      <c r="AT111" s="518"/>
      <c r="AU111" s="518">
        <f>BI111</f>
        <v>0</v>
      </c>
      <c r="AV111" s="518">
        <f>BJ111</f>
        <v>0</v>
      </c>
      <c r="AW111" s="518">
        <f>BK111</f>
        <v>0</v>
      </c>
      <c r="AX111" s="518">
        <f t="shared" si="45"/>
        <v>3500000</v>
      </c>
      <c r="AY111" s="788"/>
      <c r="AZ111" s="789"/>
      <c r="BA111" s="517">
        <v>3500000</v>
      </c>
      <c r="BB111" s="518">
        <v>0</v>
      </c>
      <c r="BC111" s="518">
        <v>0</v>
      </c>
      <c r="BD111" s="518">
        <v>0</v>
      </c>
      <c r="BE111" s="518">
        <v>0</v>
      </c>
      <c r="BF111" s="518">
        <v>0</v>
      </c>
      <c r="BG111" s="518">
        <f t="shared" si="41"/>
        <v>0</v>
      </c>
      <c r="BH111" s="518">
        <v>0</v>
      </c>
      <c r="BI111" s="518">
        <v>0</v>
      </c>
      <c r="BJ111" s="518">
        <v>0</v>
      </c>
      <c r="BK111" s="518">
        <v>0</v>
      </c>
      <c r="BL111" s="518">
        <f t="shared" si="46"/>
        <v>3500000</v>
      </c>
      <c r="BN111" s="518">
        <v>0</v>
      </c>
      <c r="BO111" s="518">
        <v>0</v>
      </c>
      <c r="BP111" s="518">
        <v>0</v>
      </c>
      <c r="BQ111" s="518">
        <v>0</v>
      </c>
      <c r="BR111" s="518">
        <v>0</v>
      </c>
      <c r="BS111" s="518">
        <v>0</v>
      </c>
      <c r="BT111" s="518">
        <v>0</v>
      </c>
      <c r="BU111" s="518">
        <v>0</v>
      </c>
      <c r="BV111" s="518">
        <v>0</v>
      </c>
      <c r="BW111" s="518">
        <v>0</v>
      </c>
      <c r="BX111" s="518">
        <v>0</v>
      </c>
      <c r="BY111" s="518">
        <v>0</v>
      </c>
      <c r="BZ111" s="791">
        <v>0</v>
      </c>
      <c r="CB111" s="518">
        <v>0</v>
      </c>
      <c r="CC111" s="518">
        <v>0</v>
      </c>
      <c r="CD111" s="518">
        <v>0</v>
      </c>
      <c r="CE111" s="518">
        <v>0</v>
      </c>
      <c r="CF111" s="518">
        <v>0</v>
      </c>
      <c r="CG111" s="518">
        <v>0</v>
      </c>
      <c r="CH111" s="518">
        <v>0</v>
      </c>
      <c r="CI111" s="518">
        <v>0</v>
      </c>
      <c r="CJ111" s="518">
        <v>0</v>
      </c>
      <c r="CK111" s="518">
        <v>0</v>
      </c>
      <c r="CL111" s="518">
        <v>0</v>
      </c>
      <c r="CM111" s="518">
        <v>0</v>
      </c>
      <c r="CN111" s="791">
        <v>0</v>
      </c>
      <c r="CP111" s="647"/>
      <c r="CQ111" s="647"/>
      <c r="CR111" s="518"/>
      <c r="CS111" s="647">
        <v>6500000</v>
      </c>
      <c r="CT111" s="518"/>
      <c r="CU111" s="647"/>
      <c r="CV111" s="518"/>
      <c r="CW111" s="647"/>
      <c r="CX111" s="518"/>
      <c r="CY111" s="647"/>
      <c r="CZ111" s="518"/>
      <c r="DA111" s="647"/>
      <c r="DB111" s="518"/>
      <c r="DC111" s="647">
        <v>0</v>
      </c>
      <c r="DD111" s="518"/>
      <c r="DE111" s="518"/>
      <c r="DF111" s="518"/>
      <c r="DG111" s="748"/>
      <c r="DH111" s="518"/>
      <c r="DI111" s="518"/>
      <c r="DJ111" s="748"/>
      <c r="DK111" s="518"/>
      <c r="DL111" s="518"/>
      <c r="DM111" s="748"/>
      <c r="DN111" s="518"/>
      <c r="DO111" s="518"/>
      <c r="DP111" s="748"/>
      <c r="DQ111" s="493">
        <f t="shared" si="31"/>
        <v>6500000</v>
      </c>
      <c r="DR111" s="479">
        <f t="shared" si="48"/>
        <v>6500000</v>
      </c>
      <c r="DS111" s="1163"/>
      <c r="DT111" s="1163"/>
      <c r="DU111" s="1163"/>
      <c r="DV111" s="1163"/>
      <c r="DW111" s="1163"/>
      <c r="DX111" s="1163"/>
      <c r="DY111" s="1163"/>
      <c r="DZ111" s="1163"/>
      <c r="EA111" s="1163"/>
      <c r="EB111" s="1163"/>
      <c r="EC111" s="1163"/>
      <c r="ED111" s="1163"/>
      <c r="EE111" s="1119">
        <f t="shared" si="28"/>
        <v>0</v>
      </c>
      <c r="EF111" s="443">
        <f t="shared" ref="EF111:EF174" si="49">EE111*1.17</f>
        <v>0</v>
      </c>
      <c r="EG111" s="355">
        <f t="shared" ref="EG111:EG174" si="50">EF111*1.08</f>
        <v>0</v>
      </c>
      <c r="EH111" s="443">
        <f t="shared" si="42"/>
        <v>0</v>
      </c>
      <c r="EI111" s="443">
        <f t="shared" si="42"/>
        <v>0</v>
      </c>
      <c r="EJ111" s="367">
        <v>3000014770</v>
      </c>
    </row>
    <row r="112" spans="1:156" ht="15.5" outlineLevel="2">
      <c r="A112" s="367" t="s">
        <v>59</v>
      </c>
      <c r="B112" s="378"/>
      <c r="C112" s="370" t="s">
        <v>358</v>
      </c>
      <c r="D112" s="370" t="s">
        <v>108</v>
      </c>
      <c r="E112" s="379" t="s">
        <v>435</v>
      </c>
      <c r="F112" s="380" t="s">
        <v>436</v>
      </c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7"/>
      <c r="T112" s="179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518"/>
      <c r="AH112" s="788"/>
      <c r="AI112" s="789"/>
      <c r="AJ112" s="517"/>
      <c r="AK112" s="518"/>
      <c r="AL112" s="518"/>
      <c r="AM112" s="518"/>
      <c r="AN112" s="518"/>
      <c r="AO112" s="518"/>
      <c r="AP112" s="518"/>
      <c r="AQ112" s="518"/>
      <c r="AR112" s="518"/>
      <c r="AS112" s="518"/>
      <c r="AT112" s="518"/>
      <c r="AU112" s="518"/>
      <c r="AV112" s="518"/>
      <c r="AW112" s="518"/>
      <c r="AX112" s="518"/>
      <c r="AY112" s="788"/>
      <c r="AZ112" s="789"/>
      <c r="BA112" s="517"/>
      <c r="BB112" s="518"/>
      <c r="BC112" s="518"/>
      <c r="BD112" s="518"/>
      <c r="BE112" s="518"/>
      <c r="BF112" s="518"/>
      <c r="BG112" s="518"/>
      <c r="BH112" s="518"/>
      <c r="BI112" s="518"/>
      <c r="BJ112" s="518"/>
      <c r="BK112" s="518"/>
      <c r="BL112" s="518"/>
      <c r="BN112" s="518"/>
      <c r="BO112" s="518"/>
      <c r="BP112" s="518"/>
      <c r="BQ112" s="518"/>
      <c r="BR112" s="518"/>
      <c r="BS112" s="518"/>
      <c r="BT112" s="518"/>
      <c r="BU112" s="518"/>
      <c r="BV112" s="518"/>
      <c r="BW112" s="518"/>
      <c r="BX112" s="518"/>
      <c r="BY112" s="518"/>
      <c r="BZ112" s="791"/>
      <c r="CB112" s="518"/>
      <c r="CC112" s="518"/>
      <c r="CD112" s="518"/>
      <c r="CE112" s="518"/>
      <c r="CF112" s="518"/>
      <c r="CG112" s="518"/>
      <c r="CH112" s="518"/>
      <c r="CI112" s="518"/>
      <c r="CJ112" s="518"/>
      <c r="CK112" s="518"/>
      <c r="CL112" s="518"/>
      <c r="CM112" s="518"/>
      <c r="CN112" s="791"/>
      <c r="CP112" s="647"/>
      <c r="CQ112" s="647">
        <v>5400000</v>
      </c>
      <c r="CR112" s="518"/>
      <c r="CS112" s="647"/>
      <c r="CT112" s="518"/>
      <c r="CU112" s="647"/>
      <c r="CV112" s="518"/>
      <c r="CW112" s="647"/>
      <c r="CX112" s="518"/>
      <c r="CY112" s="647"/>
      <c r="CZ112" s="518"/>
      <c r="DA112" s="647"/>
      <c r="DB112" s="518"/>
      <c r="DC112" s="647">
        <v>0</v>
      </c>
      <c r="DD112" s="518"/>
      <c r="DE112" s="518"/>
      <c r="DF112" s="518"/>
      <c r="DG112" s="748"/>
      <c r="DH112" s="518"/>
      <c r="DI112" s="518"/>
      <c r="DJ112" s="748"/>
      <c r="DK112" s="518"/>
      <c r="DL112" s="518"/>
      <c r="DM112" s="748"/>
      <c r="DN112" s="518"/>
      <c r="DO112" s="518"/>
      <c r="DP112" s="748"/>
      <c r="DQ112" s="493">
        <f t="shared" si="31"/>
        <v>5400000</v>
      </c>
      <c r="DR112" s="479">
        <f t="shared" si="48"/>
        <v>5400000</v>
      </c>
      <c r="DS112" s="1163"/>
      <c r="DT112" s="1163"/>
      <c r="DU112" s="1163"/>
      <c r="DV112" s="1163"/>
      <c r="DW112" s="1163"/>
      <c r="DX112" s="1163"/>
      <c r="DY112" s="1163"/>
      <c r="DZ112" s="1163"/>
      <c r="EA112" s="1163"/>
      <c r="EB112" s="1163"/>
      <c r="EC112" s="1163"/>
      <c r="ED112" s="1163"/>
      <c r="EE112" s="1119">
        <f t="shared" si="28"/>
        <v>0</v>
      </c>
      <c r="EF112" s="443">
        <f t="shared" si="49"/>
        <v>0</v>
      </c>
      <c r="EG112" s="355">
        <f t="shared" si="50"/>
        <v>0</v>
      </c>
      <c r="EH112" s="443">
        <f t="shared" si="42"/>
        <v>0</v>
      </c>
      <c r="EI112" s="443">
        <f t="shared" si="42"/>
        <v>0</v>
      </c>
    </row>
    <row r="113" spans="1:156" ht="15.5" outlineLevel="2">
      <c r="A113" s="377" t="s">
        <v>59</v>
      </c>
      <c r="B113" s="378"/>
      <c r="C113" s="370" t="s">
        <v>358</v>
      </c>
      <c r="D113" s="370" t="s">
        <v>40</v>
      </c>
      <c r="E113" s="379" t="s">
        <v>97</v>
      </c>
      <c r="F113" s="380">
        <v>3000019632</v>
      </c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7"/>
      <c r="T113" s="179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518"/>
      <c r="AH113" s="788"/>
      <c r="AI113" s="789"/>
      <c r="AJ113" s="790"/>
      <c r="AK113" s="518"/>
      <c r="AL113" s="518"/>
      <c r="AM113" s="518"/>
      <c r="AN113" s="518"/>
      <c r="AO113" s="518"/>
      <c r="AP113" s="518"/>
      <c r="AQ113" s="518">
        <v>1400000</v>
      </c>
      <c r="AR113" s="759">
        <v>2100000</v>
      </c>
      <c r="AS113" s="759">
        <v>7400000</v>
      </c>
      <c r="AT113" s="759">
        <v>8400000</v>
      </c>
      <c r="AU113" s="518"/>
      <c r="AV113" s="518"/>
      <c r="AW113" s="518"/>
      <c r="AX113" s="518">
        <f>SUM(AI113,AJ113,AK113,AL113,AM113,AN113,AO113,AP113,AQ113,AR113,AS113,AT113)</f>
        <v>19300000</v>
      </c>
      <c r="AY113" s="788"/>
      <c r="AZ113" s="789"/>
      <c r="BA113" s="790"/>
      <c r="BB113" s="518"/>
      <c r="BC113" s="518"/>
      <c r="BD113" s="518"/>
      <c r="BE113" s="518"/>
      <c r="BF113" s="518"/>
      <c r="BG113" s="518"/>
      <c r="BH113" s="518"/>
      <c r="BI113" s="518"/>
      <c r="BJ113" s="518"/>
      <c r="BK113" s="518"/>
      <c r="BL113" s="518">
        <f>SUM(AZ113,BA113,BB113,BC113,BD113,BE113,BF113,BG113,BH113,BI113,BJ113,BK113)</f>
        <v>0</v>
      </c>
      <c r="BN113" s="516"/>
      <c r="BO113" s="517"/>
      <c r="BP113" s="518"/>
      <c r="BQ113" s="518"/>
      <c r="BR113" s="518"/>
      <c r="BS113" s="518"/>
      <c r="BT113" s="518"/>
      <c r="BU113" s="518"/>
      <c r="BV113" s="518"/>
      <c r="BW113" s="518"/>
      <c r="BX113" s="518"/>
      <c r="BY113" s="518"/>
      <c r="BZ113" s="791">
        <v>0</v>
      </c>
      <c r="CB113" s="516"/>
      <c r="CC113" s="517"/>
      <c r="CD113" s="518"/>
      <c r="CE113" s="518"/>
      <c r="CF113" s="518"/>
      <c r="CG113" s="518"/>
      <c r="CH113" s="518"/>
      <c r="CI113" s="518"/>
      <c r="CJ113" s="518"/>
      <c r="CK113" s="518"/>
      <c r="CL113" s="518"/>
      <c r="CM113" s="518"/>
      <c r="CN113" s="791">
        <v>0</v>
      </c>
      <c r="CP113" s="648">
        <v>3500000</v>
      </c>
      <c r="CQ113" s="648"/>
      <c r="CR113" s="519">
        <v>3500000</v>
      </c>
      <c r="CS113" s="648"/>
      <c r="CT113" s="519">
        <v>3500000</v>
      </c>
      <c r="CU113" s="648"/>
      <c r="CV113" s="519">
        <v>3500000</v>
      </c>
      <c r="CW113" s="648"/>
      <c r="CX113" s="519">
        <v>3500000</v>
      </c>
      <c r="CY113" s="648"/>
      <c r="CZ113" s="519">
        <v>3500000</v>
      </c>
      <c r="DA113" s="648"/>
      <c r="DB113" s="519">
        <v>3500000</v>
      </c>
      <c r="DC113" s="648">
        <v>0</v>
      </c>
      <c r="DD113" s="519">
        <v>3500000</v>
      </c>
      <c r="DE113" s="518"/>
      <c r="DF113" s="519">
        <v>3500000</v>
      </c>
      <c r="DG113" s="749">
        <v>3500000</v>
      </c>
      <c r="DH113" s="518"/>
      <c r="DI113" s="519">
        <v>3500000</v>
      </c>
      <c r="DJ113" s="749">
        <v>3500000</v>
      </c>
      <c r="DK113" s="518"/>
      <c r="DL113" s="519">
        <v>3500000</v>
      </c>
      <c r="DM113" s="749">
        <v>3500000</v>
      </c>
      <c r="DN113" s="518"/>
      <c r="DO113" s="519">
        <v>3500000</v>
      </c>
      <c r="DP113" s="749">
        <v>3500000</v>
      </c>
      <c r="DQ113" s="493">
        <f t="shared" si="31"/>
        <v>17500000</v>
      </c>
      <c r="DR113" s="479">
        <f t="shared" si="48"/>
        <v>31500000</v>
      </c>
      <c r="DS113" s="1162"/>
      <c r="DT113" s="1162"/>
      <c r="DU113" s="1162"/>
      <c r="DV113" s="1162"/>
      <c r="DW113" s="1162"/>
      <c r="DX113" s="1162"/>
      <c r="DY113" s="1162"/>
      <c r="DZ113" s="1162"/>
      <c r="EA113" s="1162"/>
      <c r="EB113" s="1162"/>
      <c r="EC113" s="1162"/>
      <c r="ED113" s="1162"/>
      <c r="EE113" s="1119">
        <f t="shared" si="28"/>
        <v>0</v>
      </c>
      <c r="EF113" s="443">
        <f t="shared" si="49"/>
        <v>0</v>
      </c>
      <c r="EG113" s="355">
        <f t="shared" si="50"/>
        <v>0</v>
      </c>
      <c r="EH113" s="443">
        <f t="shared" si="42"/>
        <v>0</v>
      </c>
      <c r="EI113" s="443">
        <f t="shared" si="42"/>
        <v>0</v>
      </c>
      <c r="EJ113" s="367">
        <v>3000019632</v>
      </c>
    </row>
    <row r="114" spans="1:156" ht="15.5" outlineLevel="2">
      <c r="A114" s="367" t="s">
        <v>39</v>
      </c>
      <c r="B114" s="378"/>
      <c r="C114" s="370" t="s">
        <v>358</v>
      </c>
      <c r="D114" s="370" t="s">
        <v>40</v>
      </c>
      <c r="E114" s="384" t="s">
        <v>437</v>
      </c>
      <c r="F114" s="380">
        <v>3000004821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7">
        <f>SUM(G114,H114,I114,J114,K114,L114,M114,N114,O114,P114,Q114,R114)</f>
        <v>0</v>
      </c>
      <c r="T114" s="179"/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518">
        <f>SUM(U114,V114,W114,X114,Y114,Z114,AA114,AB114,AC114,AD114,AE114,AF114)</f>
        <v>0</v>
      </c>
      <c r="AH114" s="788"/>
      <c r="AI114" s="789"/>
      <c r="AJ114" s="517"/>
      <c r="AK114" s="518"/>
      <c r="AL114" s="518">
        <v>0</v>
      </c>
      <c r="AM114" s="518"/>
      <c r="AN114" s="518">
        <v>6960000</v>
      </c>
      <c r="AO114" s="518">
        <v>36380000</v>
      </c>
      <c r="AP114" s="518">
        <v>63240000</v>
      </c>
      <c r="AQ114" s="518">
        <v>53940000</v>
      </c>
      <c r="AR114" s="759">
        <v>74820000</v>
      </c>
      <c r="AS114" s="759">
        <v>92980000</v>
      </c>
      <c r="AT114" s="759">
        <v>72050000</v>
      </c>
      <c r="AU114" s="794">
        <f>AQ114</f>
        <v>53940000</v>
      </c>
      <c r="AV114" s="794">
        <f>AU114</f>
        <v>53940000</v>
      </c>
      <c r="AW114" s="794">
        <f>AV114</f>
        <v>53940000</v>
      </c>
      <c r="AX114" s="518">
        <f>SUM(AI114,AJ114,AK114,AL114,AM114,AN114,AO114,AP114,AQ114,AR114,AS114,AT114)</f>
        <v>400370000</v>
      </c>
      <c r="AY114" s="788"/>
      <c r="AZ114" s="789"/>
      <c r="BA114" s="517"/>
      <c r="BB114" s="518"/>
      <c r="BC114" s="518">
        <v>0</v>
      </c>
      <c r="BD114" s="518"/>
      <c r="BE114" s="518">
        <v>6960000</v>
      </c>
      <c r="BF114" s="518">
        <v>36380000</v>
      </c>
      <c r="BG114" s="518">
        <f>AP114</f>
        <v>63240000</v>
      </c>
      <c r="BH114" s="518">
        <v>160000000</v>
      </c>
      <c r="BI114" s="518">
        <v>180000000</v>
      </c>
      <c r="BJ114" s="518">
        <v>200000000</v>
      </c>
      <c r="BK114" s="518">
        <v>200000000</v>
      </c>
      <c r="BL114" s="518">
        <f>SUM(AZ114,BA114,BB114,BC114,BD114,BE114,BF114,BG114,BH114,BI114,BJ114,BK114)</f>
        <v>846580000</v>
      </c>
      <c r="BN114" s="518">
        <f>150000000</f>
        <v>150000000</v>
      </c>
      <c r="BO114" s="518">
        <f t="shared" ref="BO114:BY114" si="51">150000000</f>
        <v>150000000</v>
      </c>
      <c r="BP114" s="518">
        <f t="shared" si="51"/>
        <v>150000000</v>
      </c>
      <c r="BQ114" s="518">
        <f t="shared" si="51"/>
        <v>150000000</v>
      </c>
      <c r="BR114" s="518">
        <f>100000000</f>
        <v>100000000</v>
      </c>
      <c r="BS114" s="518">
        <f t="shared" si="51"/>
        <v>150000000</v>
      </c>
      <c r="BT114" s="518">
        <f t="shared" si="51"/>
        <v>150000000</v>
      </c>
      <c r="BU114" s="518">
        <f t="shared" si="51"/>
        <v>150000000</v>
      </c>
      <c r="BV114" s="518">
        <f t="shared" si="51"/>
        <v>150000000</v>
      </c>
      <c r="BW114" s="518">
        <f t="shared" si="51"/>
        <v>150000000</v>
      </c>
      <c r="BX114" s="518">
        <f t="shared" si="51"/>
        <v>150000000</v>
      </c>
      <c r="BY114" s="518">
        <f t="shared" si="51"/>
        <v>150000000</v>
      </c>
      <c r="BZ114" s="791">
        <v>1750000000</v>
      </c>
      <c r="CB114" s="518">
        <f>150000000</f>
        <v>150000000</v>
      </c>
      <c r="CC114" s="518">
        <f t="shared" ref="CC114:CM114" si="52">150000000</f>
        <v>150000000</v>
      </c>
      <c r="CD114" s="518">
        <f t="shared" si="52"/>
        <v>150000000</v>
      </c>
      <c r="CE114" s="518">
        <f t="shared" si="52"/>
        <v>150000000</v>
      </c>
      <c r="CF114" s="518">
        <f>100000000</f>
        <v>100000000</v>
      </c>
      <c r="CG114" s="518">
        <f t="shared" si="52"/>
        <v>150000000</v>
      </c>
      <c r="CH114" s="518">
        <f t="shared" si="52"/>
        <v>150000000</v>
      </c>
      <c r="CI114" s="518">
        <f t="shared" si="52"/>
        <v>150000000</v>
      </c>
      <c r="CJ114" s="518">
        <f t="shared" si="52"/>
        <v>150000000</v>
      </c>
      <c r="CK114" s="518">
        <f t="shared" si="52"/>
        <v>150000000</v>
      </c>
      <c r="CL114" s="518">
        <f t="shared" si="52"/>
        <v>150000000</v>
      </c>
      <c r="CM114" s="518">
        <f t="shared" si="52"/>
        <v>150000000</v>
      </c>
      <c r="CN114" s="791">
        <v>1750000000</v>
      </c>
      <c r="CP114" s="647">
        <v>39320000</v>
      </c>
      <c r="CQ114" s="647">
        <v>21650000</v>
      </c>
      <c r="CR114" s="518">
        <v>39320000</v>
      </c>
      <c r="CS114" s="647">
        <v>4940000</v>
      </c>
      <c r="CT114" s="518">
        <v>80000000</v>
      </c>
      <c r="CU114" s="647"/>
      <c r="CV114" s="518">
        <v>20000000</v>
      </c>
      <c r="CW114" s="647"/>
      <c r="CX114" s="518">
        <v>20000000</v>
      </c>
      <c r="CY114" s="647"/>
      <c r="CZ114" s="518">
        <v>20000000</v>
      </c>
      <c r="DA114" s="647"/>
      <c r="DB114" s="518">
        <v>20000000</v>
      </c>
      <c r="DC114" s="647">
        <v>0</v>
      </c>
      <c r="DD114" s="518">
        <v>20000000</v>
      </c>
      <c r="DE114" s="518"/>
      <c r="DF114" s="518">
        <v>20000000</v>
      </c>
      <c r="DG114" s="748">
        <v>20000000</v>
      </c>
      <c r="DH114" s="518"/>
      <c r="DI114" s="518">
        <v>20000000</v>
      </c>
      <c r="DJ114" s="748">
        <v>20000000</v>
      </c>
      <c r="DK114" s="518"/>
      <c r="DL114" s="518">
        <v>20000000</v>
      </c>
      <c r="DM114" s="748">
        <v>20000000</v>
      </c>
      <c r="DN114" s="518"/>
      <c r="DO114" s="518">
        <v>20000000</v>
      </c>
      <c r="DP114" s="748">
        <v>20000000</v>
      </c>
      <c r="DQ114" s="493">
        <f t="shared" si="31"/>
        <v>145910000</v>
      </c>
      <c r="DR114" s="479">
        <f t="shared" si="48"/>
        <v>225910000</v>
      </c>
      <c r="DS114" s="1163"/>
      <c r="DT114" s="1163"/>
      <c r="DU114" s="1163"/>
      <c r="DV114" s="1163"/>
      <c r="DW114" s="1163"/>
      <c r="DX114" s="1163"/>
      <c r="DY114" s="1163"/>
      <c r="DZ114" s="1163"/>
      <c r="EA114" s="1163"/>
      <c r="EB114" s="1163"/>
      <c r="EC114" s="1163"/>
      <c r="ED114" s="1163"/>
      <c r="EE114" s="1119">
        <f t="shared" si="28"/>
        <v>0</v>
      </c>
      <c r="EF114" s="443">
        <f t="shared" si="49"/>
        <v>0</v>
      </c>
      <c r="EG114" s="355">
        <f t="shared" si="50"/>
        <v>0</v>
      </c>
      <c r="EH114" s="443">
        <f t="shared" si="42"/>
        <v>0</v>
      </c>
      <c r="EI114" s="443">
        <f t="shared" si="42"/>
        <v>0</v>
      </c>
      <c r="EJ114" s="367">
        <v>3000004821</v>
      </c>
    </row>
    <row r="115" spans="1:156" ht="15.5" outlineLevel="2">
      <c r="A115" s="367" t="s">
        <v>59</v>
      </c>
      <c r="B115" s="378"/>
      <c r="C115" s="370" t="s">
        <v>358</v>
      </c>
      <c r="D115" s="370" t="s">
        <v>40</v>
      </c>
      <c r="E115" s="383" t="s">
        <v>438</v>
      </c>
      <c r="F115" s="380">
        <v>3000020314</v>
      </c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7"/>
      <c r="T115" s="179"/>
      <c r="U115" s="178"/>
      <c r="V115" s="9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518"/>
      <c r="AH115" s="788"/>
      <c r="AI115" s="789"/>
      <c r="AJ115" s="517"/>
      <c r="AK115" s="518"/>
      <c r="AL115" s="518"/>
      <c r="AM115" s="518"/>
      <c r="AN115" s="518"/>
      <c r="AO115" s="518"/>
      <c r="AP115" s="518"/>
      <c r="AQ115" s="518"/>
      <c r="AR115" s="518">
        <v>40700000</v>
      </c>
      <c r="AS115" s="518">
        <v>39040000</v>
      </c>
      <c r="AT115" s="518">
        <v>23990000</v>
      </c>
      <c r="AU115" s="518"/>
      <c r="AV115" s="518"/>
      <c r="AW115" s="518"/>
      <c r="AX115" s="518">
        <f>SUM(AI115,AJ115,AK115,AL115,AM115,AN115,AO115,AP115,AQ115,AR115,AS115,AT115)</f>
        <v>103730000</v>
      </c>
      <c r="AY115" s="788"/>
      <c r="AZ115" s="789"/>
      <c r="BA115" s="517"/>
      <c r="BB115" s="518"/>
      <c r="BC115" s="518"/>
      <c r="BD115" s="518"/>
      <c r="BE115" s="518"/>
      <c r="BF115" s="518"/>
      <c r="BG115" s="518"/>
      <c r="BH115" s="518"/>
      <c r="BI115" s="518"/>
      <c r="BJ115" s="518"/>
      <c r="BK115" s="518"/>
      <c r="BL115" s="518"/>
      <c r="BN115" s="516"/>
      <c r="BO115" s="517"/>
      <c r="BP115" s="518"/>
      <c r="BQ115" s="518"/>
      <c r="BR115" s="518"/>
      <c r="BS115" s="518"/>
      <c r="BT115" s="518"/>
      <c r="BU115" s="518"/>
      <c r="BV115" s="518"/>
      <c r="BW115" s="518"/>
      <c r="BX115" s="518"/>
      <c r="BY115" s="518"/>
      <c r="BZ115" s="791">
        <v>0</v>
      </c>
      <c r="CB115" s="516"/>
      <c r="CC115" s="517"/>
      <c r="CD115" s="518"/>
      <c r="CE115" s="518"/>
      <c r="CF115" s="518"/>
      <c r="CG115" s="518"/>
      <c r="CH115" s="518"/>
      <c r="CI115" s="518"/>
      <c r="CJ115" s="518"/>
      <c r="CK115" s="518"/>
      <c r="CL115" s="518"/>
      <c r="CM115" s="518"/>
      <c r="CN115" s="791">
        <v>0</v>
      </c>
      <c r="CP115" s="648">
        <v>40350000</v>
      </c>
      <c r="CQ115" s="648">
        <v>57640000</v>
      </c>
      <c r="CR115" s="519">
        <v>50000000</v>
      </c>
      <c r="CS115" s="648">
        <v>146970000</v>
      </c>
      <c r="CT115" s="519">
        <v>60000000</v>
      </c>
      <c r="CU115" s="648">
        <v>174510000</v>
      </c>
      <c r="CV115" s="519">
        <v>120000000</v>
      </c>
      <c r="CW115" s="648">
        <v>138820000</v>
      </c>
      <c r="CX115" s="519">
        <v>100000000</v>
      </c>
      <c r="CY115" s="648">
        <v>193820065</v>
      </c>
      <c r="CZ115" s="519">
        <v>150000000</v>
      </c>
      <c r="DA115" s="648">
        <v>104199975</v>
      </c>
      <c r="DB115" s="519">
        <v>150000000</v>
      </c>
      <c r="DC115" s="648">
        <v>97600000</v>
      </c>
      <c r="DD115" s="519">
        <v>150000000</v>
      </c>
      <c r="DE115" s="518"/>
      <c r="DF115" s="519">
        <v>150000000</v>
      </c>
      <c r="DG115" s="749">
        <v>150000000</v>
      </c>
      <c r="DH115" s="518"/>
      <c r="DI115" s="519">
        <v>150000000</v>
      </c>
      <c r="DJ115" s="749">
        <v>150000000</v>
      </c>
      <c r="DK115" s="518"/>
      <c r="DL115" s="519">
        <v>150000000</v>
      </c>
      <c r="DM115" s="749">
        <v>150000000</v>
      </c>
      <c r="DN115" s="518"/>
      <c r="DO115" s="519">
        <v>150000000</v>
      </c>
      <c r="DP115" s="749">
        <v>150000000</v>
      </c>
      <c r="DQ115" s="493">
        <f t="shared" si="31"/>
        <v>1553910040</v>
      </c>
      <c r="DR115" s="479">
        <f t="shared" si="48"/>
        <v>1569470000</v>
      </c>
      <c r="DS115" s="1162">
        <v>100000000</v>
      </c>
      <c r="DT115" s="1162">
        <v>100000000</v>
      </c>
      <c r="DU115" s="1162">
        <v>100000000</v>
      </c>
      <c r="DV115" s="1162">
        <v>100000000</v>
      </c>
      <c r="DW115" s="1162">
        <v>120000000</v>
      </c>
      <c r="DX115" s="1162">
        <v>120000000</v>
      </c>
      <c r="DY115" s="1162">
        <v>150000000</v>
      </c>
      <c r="DZ115" s="1162">
        <v>150000000</v>
      </c>
      <c r="EA115" s="1162">
        <v>150000000</v>
      </c>
      <c r="EB115" s="1162">
        <v>150000000</v>
      </c>
      <c r="EC115" s="1162">
        <v>120000000</v>
      </c>
      <c r="ED115" s="1162">
        <v>120000000</v>
      </c>
      <c r="EE115" s="1119">
        <f t="shared" si="28"/>
        <v>1480000000</v>
      </c>
      <c r="EF115" s="443">
        <f t="shared" si="49"/>
        <v>1731600000</v>
      </c>
      <c r="EG115" s="355">
        <f t="shared" si="50"/>
        <v>1870128000.0000002</v>
      </c>
      <c r="EH115" s="443">
        <f t="shared" si="42"/>
        <v>2038439520.0000005</v>
      </c>
      <c r="EI115" s="443">
        <f t="shared" si="42"/>
        <v>2221899076.8000007</v>
      </c>
    </row>
    <row r="116" spans="1:156" ht="15.5" outlineLevel="2">
      <c r="A116" s="367" t="s">
        <v>59</v>
      </c>
      <c r="B116" s="378"/>
      <c r="C116" s="370" t="s">
        <v>358</v>
      </c>
      <c r="D116" s="370" t="s">
        <v>40</v>
      </c>
      <c r="E116" s="383" t="s">
        <v>274</v>
      </c>
      <c r="F116" s="380">
        <v>3000011817</v>
      </c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7"/>
      <c r="T116" s="179"/>
      <c r="U116" s="178"/>
      <c r="V116" s="9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518"/>
      <c r="AH116" s="788"/>
      <c r="AI116" s="789"/>
      <c r="AJ116" s="517"/>
      <c r="AK116" s="518"/>
      <c r="AL116" s="518"/>
      <c r="AM116" s="518"/>
      <c r="AN116" s="518"/>
      <c r="AO116" s="518"/>
      <c r="AP116" s="518"/>
      <c r="AQ116" s="518"/>
      <c r="AR116" s="518"/>
      <c r="AS116" s="518"/>
      <c r="AT116" s="518">
        <v>3000000</v>
      </c>
      <c r="AU116" s="518"/>
      <c r="AV116" s="518"/>
      <c r="AW116" s="518"/>
      <c r="AX116" s="518">
        <f>SUM(AI116,AJ116,AK116,AL116,AM116,AN116,AO116,AP116,AQ116,AR116,AS116,AT116)</f>
        <v>3000000</v>
      </c>
      <c r="AY116" s="788"/>
      <c r="AZ116" s="789"/>
      <c r="BA116" s="517"/>
      <c r="BB116" s="518"/>
      <c r="BC116" s="518"/>
      <c r="BD116" s="518"/>
      <c r="BE116" s="518"/>
      <c r="BF116" s="518"/>
      <c r="BG116" s="518"/>
      <c r="BH116" s="518"/>
      <c r="BI116" s="518"/>
      <c r="BJ116" s="518"/>
      <c r="BK116" s="518"/>
      <c r="BL116" s="518"/>
      <c r="BN116" s="516"/>
      <c r="BO116" s="517"/>
      <c r="BP116" s="518"/>
      <c r="BQ116" s="518"/>
      <c r="BR116" s="518"/>
      <c r="BS116" s="518"/>
      <c r="BT116" s="518"/>
      <c r="BU116" s="518"/>
      <c r="BV116" s="518"/>
      <c r="BW116" s="518"/>
      <c r="BX116" s="518"/>
      <c r="BY116" s="518"/>
      <c r="BZ116" s="791">
        <v>0</v>
      </c>
      <c r="CB116" s="516"/>
      <c r="CC116" s="517"/>
      <c r="CD116" s="518"/>
      <c r="CE116" s="518"/>
      <c r="CF116" s="518"/>
      <c r="CG116" s="518"/>
      <c r="CH116" s="518"/>
      <c r="CI116" s="518"/>
      <c r="CJ116" s="518"/>
      <c r="CK116" s="518"/>
      <c r="CL116" s="518"/>
      <c r="CM116" s="518"/>
      <c r="CN116" s="791">
        <v>0</v>
      </c>
      <c r="CP116" s="648">
        <v>1500000</v>
      </c>
      <c r="CQ116" s="648">
        <v>4900000</v>
      </c>
      <c r="CR116" s="519">
        <v>1500000</v>
      </c>
      <c r="CS116" s="648">
        <v>3000000</v>
      </c>
      <c r="CT116" s="519"/>
      <c r="CU116" s="648">
        <v>12280000</v>
      </c>
      <c r="CV116" s="519"/>
      <c r="CW116" s="648">
        <v>14300000</v>
      </c>
      <c r="CX116" s="519"/>
      <c r="CY116" s="648">
        <v>26350000</v>
      </c>
      <c r="CZ116" s="519"/>
      <c r="DA116" s="648">
        <v>56270000</v>
      </c>
      <c r="DB116" s="519"/>
      <c r="DC116" s="648">
        <v>39540000</v>
      </c>
      <c r="DD116" s="519"/>
      <c r="DE116" s="518"/>
      <c r="DF116" s="519"/>
      <c r="DG116" s="749"/>
      <c r="DH116" s="518"/>
      <c r="DI116" s="519"/>
      <c r="DJ116" s="749"/>
      <c r="DK116" s="518"/>
      <c r="DL116" s="519"/>
      <c r="DM116" s="749"/>
      <c r="DN116" s="518"/>
      <c r="DO116" s="519"/>
      <c r="DP116" s="749"/>
      <c r="DQ116" s="493">
        <f t="shared" si="31"/>
        <v>158140000</v>
      </c>
      <c r="DR116" s="479">
        <f t="shared" si="48"/>
        <v>21680000</v>
      </c>
      <c r="DS116" s="1162"/>
      <c r="DT116" s="1162"/>
      <c r="DU116" s="1162"/>
      <c r="DV116" s="1162"/>
      <c r="DW116" s="1162"/>
      <c r="DX116" s="1162"/>
      <c r="DY116" s="1162"/>
      <c r="DZ116" s="1162"/>
      <c r="EA116" s="1162"/>
      <c r="EB116" s="1162"/>
      <c r="EC116" s="1162"/>
      <c r="ED116" s="1162"/>
      <c r="EE116" s="1119">
        <f t="shared" si="28"/>
        <v>0</v>
      </c>
      <c r="EF116" s="443">
        <f t="shared" si="49"/>
        <v>0</v>
      </c>
      <c r="EG116" s="355">
        <f t="shared" si="50"/>
        <v>0</v>
      </c>
      <c r="EH116" s="443">
        <f t="shared" si="42"/>
        <v>0</v>
      </c>
      <c r="EI116" s="443">
        <f t="shared" si="42"/>
        <v>0</v>
      </c>
    </row>
    <row r="117" spans="1:156" ht="15.5" outlineLevel="2">
      <c r="A117" s="377" t="s">
        <v>59</v>
      </c>
      <c r="B117" s="378"/>
      <c r="C117" s="370" t="s">
        <v>358</v>
      </c>
      <c r="D117" s="370" t="s">
        <v>40</v>
      </c>
      <c r="E117" s="379" t="s">
        <v>439</v>
      </c>
      <c r="F117" s="380">
        <v>3000004855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7">
        <f>SUM(G117,H117,I117,J117,K117,L117,M117,N117,O117,P117,Q117,R117)</f>
        <v>0</v>
      </c>
      <c r="T117" s="179"/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518">
        <f>SUM(U117,V117,W117,X117,Y117,Z117,AA117,AB117,AC117,AD117,AE117,AF117)</f>
        <v>0</v>
      </c>
      <c r="AH117" s="788"/>
      <c r="AI117" s="789"/>
      <c r="AJ117" s="790"/>
      <c r="AK117" s="518"/>
      <c r="AL117" s="518"/>
      <c r="AM117" s="518"/>
      <c r="AN117" s="518"/>
      <c r="AO117" s="518"/>
      <c r="AP117" s="518"/>
      <c r="AQ117" s="518">
        <v>0</v>
      </c>
      <c r="AR117" s="518"/>
      <c r="AS117" s="518"/>
      <c r="AT117" s="518"/>
      <c r="AU117" s="518">
        <f>BI117</f>
        <v>0</v>
      </c>
      <c r="AV117" s="518">
        <f>BJ117</f>
        <v>0</v>
      </c>
      <c r="AW117" s="518"/>
      <c r="AX117" s="518">
        <f>SUM(AI117,AJ117,AK117,AL117,AM117,AN117,AO117,AP117,AQ117,AR117,AS117,AT117)</f>
        <v>0</v>
      </c>
      <c r="AY117" s="788"/>
      <c r="AZ117" s="789"/>
      <c r="BA117" s="790"/>
      <c r="BB117" s="518"/>
      <c r="BC117" s="518"/>
      <c r="BD117" s="518"/>
      <c r="BE117" s="518"/>
      <c r="BF117" s="518"/>
      <c r="BG117" s="518">
        <f>AP117</f>
        <v>0</v>
      </c>
      <c r="BH117" s="518">
        <v>0</v>
      </c>
      <c r="BI117" s="518">
        <v>0</v>
      </c>
      <c r="BJ117" s="518">
        <v>0</v>
      </c>
      <c r="BK117" s="518">
        <v>200000000</v>
      </c>
      <c r="BL117" s="518">
        <f>SUM(AZ117,BA117,BB117,BC117,BD117,BE117,BF117,BG117,BH117,BI117,BJ117,BK117)</f>
        <v>200000000</v>
      </c>
      <c r="BN117" s="516">
        <v>30000000</v>
      </c>
      <c r="BO117" s="517">
        <v>30000000</v>
      </c>
      <c r="BP117" s="518">
        <v>50000000</v>
      </c>
      <c r="BQ117" s="518">
        <v>50000000</v>
      </c>
      <c r="BR117" s="518">
        <v>30000000</v>
      </c>
      <c r="BS117" s="518">
        <v>30000000</v>
      </c>
      <c r="BT117" s="518">
        <v>50000000</v>
      </c>
      <c r="BU117" s="518">
        <v>50000000</v>
      </c>
      <c r="BV117" s="518">
        <v>50000000</v>
      </c>
      <c r="BW117" s="518">
        <v>50000000</v>
      </c>
      <c r="BX117" s="518">
        <v>50000000</v>
      </c>
      <c r="BY117" s="518">
        <v>50000000</v>
      </c>
      <c r="BZ117" s="791">
        <v>520000000</v>
      </c>
      <c r="CB117" s="516">
        <v>30000000</v>
      </c>
      <c r="CC117" s="517">
        <v>30000000</v>
      </c>
      <c r="CD117" s="518">
        <v>50000000</v>
      </c>
      <c r="CE117" s="518">
        <v>50000000</v>
      </c>
      <c r="CF117" s="518">
        <v>30000000</v>
      </c>
      <c r="CG117" s="518">
        <v>30000000</v>
      </c>
      <c r="CH117" s="518">
        <v>50000000</v>
      </c>
      <c r="CI117" s="518">
        <v>50000000</v>
      </c>
      <c r="CJ117" s="518">
        <v>50000000</v>
      </c>
      <c r="CK117" s="518">
        <v>50000000</v>
      </c>
      <c r="CL117" s="518">
        <v>50000000</v>
      </c>
      <c r="CM117" s="518">
        <v>50000000</v>
      </c>
      <c r="CN117" s="791">
        <v>520000000</v>
      </c>
      <c r="CP117" s="646"/>
      <c r="CQ117" s="646">
        <v>21328848</v>
      </c>
      <c r="CR117" s="516">
        <v>5000000</v>
      </c>
      <c r="CS117" s="646">
        <v>12394515</v>
      </c>
      <c r="CT117" s="516">
        <v>8000000</v>
      </c>
      <c r="CU117" s="646">
        <v>7694840</v>
      </c>
      <c r="CV117" s="516">
        <v>8000000</v>
      </c>
      <c r="CW117" s="646">
        <v>1776491</v>
      </c>
      <c r="CX117" s="516">
        <v>8000000</v>
      </c>
      <c r="CY117" s="646"/>
      <c r="CZ117" s="516">
        <v>12000000</v>
      </c>
      <c r="DA117" s="646"/>
      <c r="DB117" s="516">
        <v>12000000</v>
      </c>
      <c r="DC117" s="646">
        <v>0</v>
      </c>
      <c r="DD117" s="516">
        <v>12000000</v>
      </c>
      <c r="DE117" s="518"/>
      <c r="DF117" s="516">
        <v>12000000</v>
      </c>
      <c r="DG117" s="747">
        <v>12000000</v>
      </c>
      <c r="DH117" s="518"/>
      <c r="DI117" s="516">
        <v>12000000</v>
      </c>
      <c r="DJ117" s="747">
        <v>12000000</v>
      </c>
      <c r="DK117" s="518"/>
      <c r="DL117" s="516">
        <v>12000000</v>
      </c>
      <c r="DM117" s="747">
        <v>12000000</v>
      </c>
      <c r="DN117" s="518"/>
      <c r="DO117" s="516">
        <v>12000000</v>
      </c>
      <c r="DP117" s="747">
        <v>12000000</v>
      </c>
      <c r="DQ117" s="493">
        <f t="shared" si="31"/>
        <v>91194694</v>
      </c>
      <c r="DR117" s="479">
        <f t="shared" si="48"/>
        <v>133418203</v>
      </c>
      <c r="DS117" s="1162"/>
      <c r="DT117" s="1162"/>
      <c r="DU117" s="1162"/>
      <c r="DV117" s="1162"/>
      <c r="DW117" s="1162"/>
      <c r="DX117" s="1162"/>
      <c r="DY117" s="1162"/>
      <c r="DZ117" s="1162"/>
      <c r="EA117" s="1162"/>
      <c r="EB117" s="1162"/>
      <c r="EC117" s="1162"/>
      <c r="ED117" s="1162"/>
      <c r="EE117" s="1119">
        <f t="shared" si="28"/>
        <v>0</v>
      </c>
      <c r="EF117" s="443">
        <f t="shared" si="49"/>
        <v>0</v>
      </c>
      <c r="EG117" s="355">
        <f t="shared" si="50"/>
        <v>0</v>
      </c>
      <c r="EH117" s="443">
        <f t="shared" si="42"/>
        <v>0</v>
      </c>
      <c r="EI117" s="443">
        <f t="shared" si="42"/>
        <v>0</v>
      </c>
      <c r="EJ117" s="367">
        <v>3000004855</v>
      </c>
    </row>
    <row r="118" spans="1:156" ht="15.5" outlineLevel="2">
      <c r="A118" s="367" t="s">
        <v>43</v>
      </c>
      <c r="B118" s="378"/>
      <c r="C118" s="370" t="s">
        <v>358</v>
      </c>
      <c r="D118" s="370" t="s">
        <v>40</v>
      </c>
      <c r="E118" s="379" t="s">
        <v>99</v>
      </c>
      <c r="F118" s="380">
        <v>3000007662</v>
      </c>
      <c r="G118" s="178">
        <v>108158000</v>
      </c>
      <c r="H118" s="178">
        <v>69000000</v>
      </c>
      <c r="I118" s="178">
        <v>124808000</v>
      </c>
      <c r="J118" s="178">
        <v>211541000</v>
      </c>
      <c r="K118" s="178">
        <v>96939000</v>
      </c>
      <c r="L118" s="178">
        <v>245110000</v>
      </c>
      <c r="M118" s="178">
        <v>187630000</v>
      </c>
      <c r="N118" s="178">
        <v>197624000</v>
      </c>
      <c r="O118" s="178">
        <v>198956000</v>
      </c>
      <c r="P118" s="178">
        <v>60532000</v>
      </c>
      <c r="Q118" s="178">
        <v>20369000</v>
      </c>
      <c r="R118" s="178">
        <v>192770000</v>
      </c>
      <c r="S118" s="7">
        <f t="shared" si="4"/>
        <v>1713437000</v>
      </c>
      <c r="T118" s="179"/>
      <c r="U118" s="178">
        <v>132122000</v>
      </c>
      <c r="V118" s="178">
        <v>150057000</v>
      </c>
      <c r="W118" s="178">
        <v>212289000</v>
      </c>
      <c r="X118" s="178">
        <v>207078000</v>
      </c>
      <c r="Y118" s="178">
        <v>209500500</v>
      </c>
      <c r="Z118" s="178">
        <v>225682000</v>
      </c>
      <c r="AA118" s="178">
        <v>204774000</v>
      </c>
      <c r="AB118" s="178">
        <v>221086000</v>
      </c>
      <c r="AC118" s="178">
        <v>192520000</v>
      </c>
      <c r="AD118" s="178">
        <v>191388000</v>
      </c>
      <c r="AE118" s="178">
        <v>203576000</v>
      </c>
      <c r="AF118" s="178">
        <v>210216000</v>
      </c>
      <c r="AG118" s="518">
        <f t="shared" si="5"/>
        <v>2360288500</v>
      </c>
      <c r="AH118" s="788"/>
      <c r="AI118" s="789">
        <v>173459000</v>
      </c>
      <c r="AJ118" s="517">
        <v>179969000</v>
      </c>
      <c r="AK118" s="518">
        <v>113676000</v>
      </c>
      <c r="AL118" s="518">
        <v>73506000</v>
      </c>
      <c r="AM118" s="518">
        <v>71373000</v>
      </c>
      <c r="AN118" s="518">
        <v>49554000</v>
      </c>
      <c r="AO118" s="518">
        <v>48916000</v>
      </c>
      <c r="AP118" s="518">
        <v>66907000</v>
      </c>
      <c r="AQ118" s="518">
        <v>64593000</v>
      </c>
      <c r="AR118" s="759">
        <v>63655000</v>
      </c>
      <c r="AS118" s="759">
        <v>73714000</v>
      </c>
      <c r="AT118" s="759">
        <v>77743000</v>
      </c>
      <c r="AU118" s="794">
        <f>AQ118</f>
        <v>64593000</v>
      </c>
      <c r="AV118" s="794">
        <f>AU118</f>
        <v>64593000</v>
      </c>
      <c r="AW118" s="794">
        <f>AV118</f>
        <v>64593000</v>
      </c>
      <c r="AX118" s="518">
        <f t="shared" si="45"/>
        <v>1057065000</v>
      </c>
      <c r="AY118" s="788"/>
      <c r="AZ118" s="789">
        <v>173459000</v>
      </c>
      <c r="BA118" s="517">
        <v>179969000</v>
      </c>
      <c r="BB118" s="518">
        <v>113676000</v>
      </c>
      <c r="BC118" s="518">
        <v>73506000</v>
      </c>
      <c r="BD118" s="518">
        <v>71373000</v>
      </c>
      <c r="BE118" s="518">
        <v>49554000</v>
      </c>
      <c r="BF118" s="518">
        <v>48916000</v>
      </c>
      <c r="BG118" s="518">
        <f t="shared" si="41"/>
        <v>66907000</v>
      </c>
      <c r="BH118" s="518">
        <v>76006000</v>
      </c>
      <c r="BI118" s="518">
        <v>83506000</v>
      </c>
      <c r="BJ118" s="518">
        <v>83506000</v>
      </c>
      <c r="BK118" s="518">
        <v>83506000</v>
      </c>
      <c r="BL118" s="518">
        <f t="shared" si="46"/>
        <v>1103884000</v>
      </c>
      <c r="BN118" s="518">
        <f>AW118</f>
        <v>64593000</v>
      </c>
      <c r="BO118" s="518">
        <f>BN118</f>
        <v>64593000</v>
      </c>
      <c r="BP118" s="518">
        <f>BO118</f>
        <v>64593000</v>
      </c>
      <c r="BQ118" s="518">
        <v>132000000</v>
      </c>
      <c r="BR118" s="518">
        <v>122000000</v>
      </c>
      <c r="BS118" s="518">
        <v>132000000</v>
      </c>
      <c r="BT118" s="518">
        <v>132000000</v>
      </c>
      <c r="BU118" s="518">
        <v>132000000</v>
      </c>
      <c r="BV118" s="518">
        <v>132000000</v>
      </c>
      <c r="BW118" s="518">
        <v>132000000</v>
      </c>
      <c r="BX118" s="518">
        <v>132000000</v>
      </c>
      <c r="BY118" s="518">
        <v>132000000</v>
      </c>
      <c r="BZ118" s="791">
        <v>1371779000</v>
      </c>
      <c r="CB118" s="518">
        <v>64593000</v>
      </c>
      <c r="CC118" s="518">
        <f>CB118</f>
        <v>64593000</v>
      </c>
      <c r="CD118" s="518">
        <f>CC118</f>
        <v>64593000</v>
      </c>
      <c r="CE118" s="518">
        <v>132000000</v>
      </c>
      <c r="CF118" s="518">
        <v>122000000</v>
      </c>
      <c r="CG118" s="518">
        <v>132000000</v>
      </c>
      <c r="CH118" s="518">
        <v>132000000</v>
      </c>
      <c r="CI118" s="518">
        <v>132000000</v>
      </c>
      <c r="CJ118" s="518">
        <v>132000000</v>
      </c>
      <c r="CK118" s="518">
        <v>132000000</v>
      </c>
      <c r="CL118" s="518">
        <v>132000000</v>
      </c>
      <c r="CM118" s="518">
        <v>132000000</v>
      </c>
      <c r="CN118" s="791">
        <v>1371779000</v>
      </c>
      <c r="CP118" s="647">
        <v>76500000</v>
      </c>
      <c r="CQ118" s="647">
        <v>71854000</v>
      </c>
      <c r="CR118" s="518">
        <v>76500000</v>
      </c>
      <c r="CS118" s="647">
        <v>73362000</v>
      </c>
      <c r="CT118" s="518">
        <v>76500000</v>
      </c>
      <c r="CU118" s="647">
        <v>71302000</v>
      </c>
      <c r="CV118" s="518">
        <v>76500000</v>
      </c>
      <c r="CW118" s="647">
        <v>47630000</v>
      </c>
      <c r="CX118" s="518">
        <v>76500000</v>
      </c>
      <c r="CY118" s="647">
        <v>46863000</v>
      </c>
      <c r="CZ118" s="518">
        <v>76500000</v>
      </c>
      <c r="DA118" s="647">
        <v>43368000</v>
      </c>
      <c r="DB118" s="518">
        <v>76500000</v>
      </c>
      <c r="DC118" s="647">
        <v>42439000</v>
      </c>
      <c r="DD118" s="518">
        <v>76500000</v>
      </c>
      <c r="DE118" s="518"/>
      <c r="DF118" s="518">
        <v>76500000</v>
      </c>
      <c r="DG118" s="748">
        <v>76500000</v>
      </c>
      <c r="DH118" s="518"/>
      <c r="DI118" s="518">
        <v>76500000</v>
      </c>
      <c r="DJ118" s="748">
        <v>76500000</v>
      </c>
      <c r="DK118" s="518"/>
      <c r="DL118" s="518">
        <v>76500000</v>
      </c>
      <c r="DM118" s="748">
        <v>76500000</v>
      </c>
      <c r="DN118" s="518"/>
      <c r="DO118" s="518">
        <v>76500000</v>
      </c>
      <c r="DP118" s="748">
        <v>76500000</v>
      </c>
      <c r="DQ118" s="493">
        <f t="shared" si="31"/>
        <v>779318000</v>
      </c>
      <c r="DR118" s="479">
        <f t="shared" si="48"/>
        <v>905018000</v>
      </c>
      <c r="DS118" s="1163">
        <v>50000000</v>
      </c>
      <c r="DT118" s="1163">
        <v>50000000</v>
      </c>
      <c r="DU118" s="1163">
        <v>50000000</v>
      </c>
      <c r="DV118" s="1163">
        <v>50000000</v>
      </c>
      <c r="DW118" s="1163">
        <v>70000000</v>
      </c>
      <c r="DX118" s="1163">
        <v>70000000</v>
      </c>
      <c r="DY118" s="1163">
        <v>150000000</v>
      </c>
      <c r="DZ118" s="1163">
        <v>150000000</v>
      </c>
      <c r="EA118" s="1163">
        <v>150000000</v>
      </c>
      <c r="EB118" s="1163">
        <v>150000000</v>
      </c>
      <c r="EC118" s="1163">
        <v>150000000</v>
      </c>
      <c r="ED118" s="1163">
        <v>150000000</v>
      </c>
      <c r="EE118" s="1119">
        <f t="shared" si="28"/>
        <v>1240000000</v>
      </c>
      <c r="EF118" s="443">
        <f t="shared" si="49"/>
        <v>1450800000</v>
      </c>
      <c r="EG118" s="355">
        <f t="shared" si="50"/>
        <v>1566864000</v>
      </c>
      <c r="EH118" s="443">
        <f t="shared" si="42"/>
        <v>1707881760.0000002</v>
      </c>
      <c r="EI118" s="443">
        <f t="shared" si="42"/>
        <v>1861591118.4000003</v>
      </c>
      <c r="EJ118" s="367">
        <v>3000007662</v>
      </c>
    </row>
    <row r="119" spans="1:156" ht="15.5" outlineLevel="2">
      <c r="A119" s="367" t="s">
        <v>43</v>
      </c>
      <c r="B119" s="378"/>
      <c r="C119" s="370" t="s">
        <v>358</v>
      </c>
      <c r="D119" s="370" t="s">
        <v>40</v>
      </c>
      <c r="E119" s="383" t="s">
        <v>440</v>
      </c>
      <c r="F119" s="380">
        <v>3000020613</v>
      </c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7"/>
      <c r="T119" s="179"/>
      <c r="U119" s="178"/>
      <c r="V119" s="9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518"/>
      <c r="AH119" s="788"/>
      <c r="AI119" s="789"/>
      <c r="AJ119" s="517"/>
      <c r="AK119" s="518"/>
      <c r="AL119" s="518"/>
      <c r="AM119" s="518"/>
      <c r="AN119" s="518"/>
      <c r="AO119" s="518"/>
      <c r="AP119" s="518"/>
      <c r="AQ119" s="518"/>
      <c r="AR119" s="518"/>
      <c r="AS119" s="518"/>
      <c r="AT119" s="518"/>
      <c r="AU119" s="518"/>
      <c r="AV119" s="518"/>
      <c r="AW119" s="518"/>
      <c r="AX119" s="518"/>
      <c r="AY119" s="788"/>
      <c r="AZ119" s="789"/>
      <c r="BA119" s="517"/>
      <c r="BB119" s="518"/>
      <c r="BC119" s="518"/>
      <c r="BD119" s="518"/>
      <c r="BE119" s="518"/>
      <c r="BF119" s="518"/>
      <c r="BG119" s="518"/>
      <c r="BH119" s="518"/>
      <c r="BI119" s="518"/>
      <c r="BJ119" s="518"/>
      <c r="BK119" s="518"/>
      <c r="BL119" s="518"/>
      <c r="BN119" s="518">
        <f>350000000</f>
        <v>350000000</v>
      </c>
      <c r="BO119" s="518">
        <f t="shared" ref="BO119:BY119" si="53">350000000</f>
        <v>350000000</v>
      </c>
      <c r="BP119" s="518">
        <f t="shared" si="53"/>
        <v>350000000</v>
      </c>
      <c r="BQ119" s="518">
        <f t="shared" si="53"/>
        <v>350000000</v>
      </c>
      <c r="BR119" s="518">
        <f>250000000</f>
        <v>250000000</v>
      </c>
      <c r="BS119" s="518">
        <f t="shared" si="53"/>
        <v>350000000</v>
      </c>
      <c r="BT119" s="518">
        <f t="shared" si="53"/>
        <v>350000000</v>
      </c>
      <c r="BU119" s="518">
        <f t="shared" si="53"/>
        <v>350000000</v>
      </c>
      <c r="BV119" s="518">
        <f t="shared" si="53"/>
        <v>350000000</v>
      </c>
      <c r="BW119" s="518">
        <f t="shared" si="53"/>
        <v>350000000</v>
      </c>
      <c r="BX119" s="518">
        <f t="shared" si="53"/>
        <v>350000000</v>
      </c>
      <c r="BY119" s="518">
        <f t="shared" si="53"/>
        <v>350000000</v>
      </c>
      <c r="BZ119" s="791">
        <v>4100000000</v>
      </c>
      <c r="CB119" s="518">
        <f>350000000</f>
        <v>350000000</v>
      </c>
      <c r="CC119" s="518">
        <f t="shared" ref="CC119:CM119" si="54">350000000</f>
        <v>350000000</v>
      </c>
      <c r="CD119" s="518">
        <f t="shared" si="54"/>
        <v>350000000</v>
      </c>
      <c r="CE119" s="518">
        <f t="shared" si="54"/>
        <v>350000000</v>
      </c>
      <c r="CF119" s="518">
        <f>250000000</f>
        <v>250000000</v>
      </c>
      <c r="CG119" s="518">
        <f t="shared" si="54"/>
        <v>350000000</v>
      </c>
      <c r="CH119" s="518">
        <f t="shared" si="54"/>
        <v>350000000</v>
      </c>
      <c r="CI119" s="518">
        <f t="shared" si="54"/>
        <v>350000000</v>
      </c>
      <c r="CJ119" s="518">
        <f t="shared" si="54"/>
        <v>350000000</v>
      </c>
      <c r="CK119" s="518">
        <f t="shared" si="54"/>
        <v>350000000</v>
      </c>
      <c r="CL119" s="518">
        <f t="shared" si="54"/>
        <v>350000000</v>
      </c>
      <c r="CM119" s="518">
        <f t="shared" si="54"/>
        <v>350000000</v>
      </c>
      <c r="CN119" s="791">
        <v>4100000000</v>
      </c>
      <c r="CP119" s="647">
        <v>173850000</v>
      </c>
      <c r="CQ119" s="647">
        <v>200710000</v>
      </c>
      <c r="CR119" s="518">
        <v>200000000</v>
      </c>
      <c r="CS119" s="647">
        <v>311645000</v>
      </c>
      <c r="CT119" s="518">
        <v>300000000</v>
      </c>
      <c r="CU119" s="647">
        <v>-59650000</v>
      </c>
      <c r="CV119" s="518">
        <v>300000000</v>
      </c>
      <c r="CW119" s="647"/>
      <c r="CX119" s="518">
        <v>200000000</v>
      </c>
      <c r="CY119" s="647">
        <v>171375000</v>
      </c>
      <c r="CZ119" s="518">
        <v>300000000</v>
      </c>
      <c r="DA119" s="647">
        <v>196725000</v>
      </c>
      <c r="DB119" s="518">
        <v>300000000</v>
      </c>
      <c r="DC119" s="647">
        <v>0</v>
      </c>
      <c r="DD119" s="518">
        <v>300000000</v>
      </c>
      <c r="DE119" s="518"/>
      <c r="DF119" s="518">
        <v>300000000</v>
      </c>
      <c r="DG119" s="748">
        <v>200000000</v>
      </c>
      <c r="DH119" s="518"/>
      <c r="DI119" s="518">
        <v>300000000</v>
      </c>
      <c r="DJ119" s="748">
        <v>200000000</v>
      </c>
      <c r="DK119" s="518"/>
      <c r="DL119" s="518">
        <v>300000000</v>
      </c>
      <c r="DM119" s="748">
        <v>200000000</v>
      </c>
      <c r="DN119" s="518"/>
      <c r="DO119" s="518">
        <v>300000000</v>
      </c>
      <c r="DP119" s="748">
        <v>200000000</v>
      </c>
      <c r="DQ119" s="493">
        <f t="shared" si="31"/>
        <v>2194655000</v>
      </c>
      <c r="DR119" s="479">
        <f t="shared" si="48"/>
        <v>2526555000</v>
      </c>
      <c r="DS119" s="1163">
        <v>200000000</v>
      </c>
      <c r="DT119" s="1163">
        <v>200000000</v>
      </c>
      <c r="DU119" s="1163">
        <v>200000000</v>
      </c>
      <c r="DV119" s="1163">
        <v>200000000</v>
      </c>
      <c r="DW119" s="1163">
        <v>200000000</v>
      </c>
      <c r="DX119" s="1163">
        <v>200000000</v>
      </c>
      <c r="DY119" s="1163">
        <v>250000000</v>
      </c>
      <c r="DZ119" s="1163">
        <v>250000000</v>
      </c>
      <c r="EA119" s="1163">
        <v>250000000</v>
      </c>
      <c r="EB119" s="1163">
        <v>250000000</v>
      </c>
      <c r="EC119" s="1163">
        <v>250000000</v>
      </c>
      <c r="ED119" s="1163">
        <v>250000000</v>
      </c>
      <c r="EE119" s="1119">
        <f t="shared" si="28"/>
        <v>2700000000</v>
      </c>
      <c r="EF119" s="443">
        <f t="shared" si="49"/>
        <v>3159000000</v>
      </c>
      <c r="EG119" s="355">
        <f t="shared" si="50"/>
        <v>3411720000</v>
      </c>
      <c r="EH119" s="443">
        <f t="shared" si="42"/>
        <v>3718774800.0000005</v>
      </c>
      <c r="EI119" s="443">
        <f t="shared" si="42"/>
        <v>4053464532.000001</v>
      </c>
    </row>
    <row r="120" spans="1:156" ht="15.5" outlineLevel="2">
      <c r="A120" s="367" t="s">
        <v>43</v>
      </c>
      <c r="B120" s="378"/>
      <c r="C120" s="370" t="s">
        <v>358</v>
      </c>
      <c r="D120" s="370" t="s">
        <v>40</v>
      </c>
      <c r="E120" s="384" t="s">
        <v>441</v>
      </c>
      <c r="F120" s="380">
        <v>3000004898</v>
      </c>
      <c r="G120" s="178">
        <v>0</v>
      </c>
      <c r="H120" s="178">
        <v>0</v>
      </c>
      <c r="I120" s="178">
        <v>0</v>
      </c>
      <c r="J120" s="178">
        <v>0</v>
      </c>
      <c r="K120" s="178">
        <v>0</v>
      </c>
      <c r="L120" s="178">
        <v>0</v>
      </c>
      <c r="M120" s="178">
        <v>0</v>
      </c>
      <c r="N120" s="178">
        <v>0</v>
      </c>
      <c r="O120" s="178">
        <v>0</v>
      </c>
      <c r="P120" s="178">
        <v>0</v>
      </c>
      <c r="Q120" s="178">
        <v>0</v>
      </c>
      <c r="R120" s="178">
        <v>0</v>
      </c>
      <c r="S120" s="7">
        <f>SUM(G120,H120,I120,J120,K120,L120,M120,N120,O120,P120,Q120,R120)</f>
        <v>0</v>
      </c>
      <c r="T120" s="179"/>
      <c r="U120" s="178">
        <v>0</v>
      </c>
      <c r="V120" s="178">
        <v>0</v>
      </c>
      <c r="W120" s="178">
        <v>0</v>
      </c>
      <c r="X120" s="178">
        <v>0</v>
      </c>
      <c r="Y120" s="178">
        <v>0</v>
      </c>
      <c r="Z120" s="178">
        <v>0</v>
      </c>
      <c r="AA120" s="178">
        <v>0</v>
      </c>
      <c r="AB120" s="178">
        <v>0</v>
      </c>
      <c r="AC120" s="178">
        <v>0</v>
      </c>
      <c r="AD120" s="178">
        <v>0</v>
      </c>
      <c r="AE120" s="178">
        <v>0</v>
      </c>
      <c r="AF120" s="178">
        <v>0</v>
      </c>
      <c r="AG120" s="518">
        <f>SUM(U120,V120,W120,X120,Y120,Z120,AA120,AB120,AC120,AD120,AE120,AF120)</f>
        <v>0</v>
      </c>
      <c r="AH120" s="788"/>
      <c r="AI120" s="789"/>
      <c r="AJ120" s="517"/>
      <c r="AK120" s="518"/>
      <c r="AL120" s="518">
        <v>66420000</v>
      </c>
      <c r="AM120" s="518">
        <v>238290000</v>
      </c>
      <c r="AN120" s="518">
        <v>280790000</v>
      </c>
      <c r="AO120" s="518">
        <v>118750000</v>
      </c>
      <c r="AP120" s="518">
        <v>229070000</v>
      </c>
      <c r="AQ120" s="518">
        <v>324380000</v>
      </c>
      <c r="AR120" s="759">
        <v>378840000</v>
      </c>
      <c r="AS120" s="759">
        <v>320210000</v>
      </c>
      <c r="AT120" s="759">
        <v>227360000</v>
      </c>
      <c r="AU120" s="794">
        <f>AQ120</f>
        <v>324380000</v>
      </c>
      <c r="AV120" s="794">
        <f>AU120</f>
        <v>324380000</v>
      </c>
      <c r="AW120" s="794">
        <f>AV120</f>
        <v>324380000</v>
      </c>
      <c r="AX120" s="518">
        <f>SUM(AI120,AJ120,AK120,AL120,AM120,AN120,AO120,AP120,AQ120,AR120,AS120,AT120)</f>
        <v>2184110000</v>
      </c>
      <c r="AY120" s="788"/>
      <c r="AZ120" s="789"/>
      <c r="BA120" s="517"/>
      <c r="BB120" s="518"/>
      <c r="BC120" s="518">
        <v>66420000</v>
      </c>
      <c r="BD120" s="518">
        <v>238290000</v>
      </c>
      <c r="BE120" s="518">
        <v>280790000</v>
      </c>
      <c r="BF120" s="518">
        <v>118750000</v>
      </c>
      <c r="BG120" s="518">
        <f>AP120</f>
        <v>229070000</v>
      </c>
      <c r="BH120" s="518">
        <v>350000000</v>
      </c>
      <c r="BI120" s="518">
        <v>500000000</v>
      </c>
      <c r="BJ120" s="518">
        <v>500000000</v>
      </c>
      <c r="BK120" s="518">
        <v>500000000</v>
      </c>
      <c r="BL120" s="518">
        <f>SUM(AZ120,BA120,BB120,BC120,BD120,BE120,BF120,BG120,BH120,BI120,BJ120,BK120)</f>
        <v>2783320000</v>
      </c>
      <c r="BN120" s="518">
        <f t="shared" ref="BN120:BY120" si="55">350000000*0</f>
        <v>0</v>
      </c>
      <c r="BO120" s="518">
        <f t="shared" si="55"/>
        <v>0</v>
      </c>
      <c r="BP120" s="518">
        <f t="shared" si="55"/>
        <v>0</v>
      </c>
      <c r="BQ120" s="518">
        <f t="shared" si="55"/>
        <v>0</v>
      </c>
      <c r="BR120" s="518">
        <f>250000000*0</f>
        <v>0</v>
      </c>
      <c r="BS120" s="518">
        <f t="shared" si="55"/>
        <v>0</v>
      </c>
      <c r="BT120" s="518">
        <f t="shared" si="55"/>
        <v>0</v>
      </c>
      <c r="BU120" s="518">
        <f t="shared" si="55"/>
        <v>0</v>
      </c>
      <c r="BV120" s="518">
        <f t="shared" si="55"/>
        <v>0</v>
      </c>
      <c r="BW120" s="518">
        <f t="shared" si="55"/>
        <v>0</v>
      </c>
      <c r="BX120" s="518">
        <f t="shared" si="55"/>
        <v>0</v>
      </c>
      <c r="BY120" s="518">
        <f t="shared" si="55"/>
        <v>0</v>
      </c>
      <c r="BZ120" s="791">
        <v>0</v>
      </c>
      <c r="CB120" s="518">
        <f>350000000*0</f>
        <v>0</v>
      </c>
      <c r="CC120" s="518">
        <f t="shared" ref="CC120:CM120" si="56">350000000*0</f>
        <v>0</v>
      </c>
      <c r="CD120" s="518">
        <f t="shared" si="56"/>
        <v>0</v>
      </c>
      <c r="CE120" s="518">
        <f t="shared" si="56"/>
        <v>0</v>
      </c>
      <c r="CF120" s="518">
        <f>250000000*0</f>
        <v>0</v>
      </c>
      <c r="CG120" s="518">
        <f t="shared" si="56"/>
        <v>0</v>
      </c>
      <c r="CH120" s="518">
        <f t="shared" si="56"/>
        <v>0</v>
      </c>
      <c r="CI120" s="518">
        <f t="shared" si="56"/>
        <v>0</v>
      </c>
      <c r="CJ120" s="518">
        <f t="shared" si="56"/>
        <v>0</v>
      </c>
      <c r="CK120" s="518">
        <f t="shared" si="56"/>
        <v>0</v>
      </c>
      <c r="CL120" s="518">
        <f t="shared" si="56"/>
        <v>0</v>
      </c>
      <c r="CM120" s="518">
        <f t="shared" si="56"/>
        <v>0</v>
      </c>
      <c r="CN120" s="791">
        <v>0</v>
      </c>
      <c r="CP120" s="647">
        <v>168755000</v>
      </c>
      <c r="CQ120" s="647"/>
      <c r="CR120" s="518"/>
      <c r="CS120" s="647">
        <v>300000</v>
      </c>
      <c r="CT120" s="518">
        <v>0</v>
      </c>
      <c r="CU120" s="647">
        <v>257745000</v>
      </c>
      <c r="CV120" s="518"/>
      <c r="CW120" s="647">
        <v>213910000</v>
      </c>
      <c r="CX120" s="518">
        <v>0</v>
      </c>
      <c r="CY120" s="647"/>
      <c r="CZ120" s="518">
        <v>0</v>
      </c>
      <c r="DA120" s="647"/>
      <c r="DB120" s="518">
        <v>0</v>
      </c>
      <c r="DC120" s="647">
        <v>148435000</v>
      </c>
      <c r="DD120" s="518">
        <v>0</v>
      </c>
      <c r="DE120" s="518"/>
      <c r="DF120" s="518">
        <v>0</v>
      </c>
      <c r="DG120" s="748">
        <v>0</v>
      </c>
      <c r="DH120" s="518"/>
      <c r="DI120" s="518">
        <v>0</v>
      </c>
      <c r="DJ120" s="748">
        <v>0</v>
      </c>
      <c r="DK120" s="518"/>
      <c r="DL120" s="518">
        <v>0</v>
      </c>
      <c r="DM120" s="748">
        <v>0</v>
      </c>
      <c r="DN120" s="518"/>
      <c r="DO120" s="518">
        <v>0</v>
      </c>
      <c r="DP120" s="748">
        <v>0</v>
      </c>
      <c r="DQ120" s="493">
        <f t="shared" si="31"/>
        <v>789145000</v>
      </c>
      <c r="DR120" s="479">
        <f t="shared" si="48"/>
        <v>426800000</v>
      </c>
      <c r="DS120" s="1163"/>
      <c r="DT120" s="1163"/>
      <c r="DU120" s="1163"/>
      <c r="DV120" s="1163"/>
      <c r="DW120" s="1163"/>
      <c r="DX120" s="1163"/>
      <c r="DY120" s="1163"/>
      <c r="DZ120" s="1163"/>
      <c r="EA120" s="1163"/>
      <c r="EB120" s="1163"/>
      <c r="EC120" s="1163"/>
      <c r="ED120" s="1163"/>
      <c r="EE120" s="1119">
        <f t="shared" si="28"/>
        <v>0</v>
      </c>
      <c r="EF120" s="443">
        <f t="shared" si="49"/>
        <v>0</v>
      </c>
      <c r="EG120" s="355">
        <f t="shared" si="50"/>
        <v>0</v>
      </c>
      <c r="EH120" s="443">
        <f t="shared" si="42"/>
        <v>0</v>
      </c>
      <c r="EI120" s="443">
        <f t="shared" si="42"/>
        <v>0</v>
      </c>
      <c r="EJ120" s="367">
        <v>3000004898</v>
      </c>
    </row>
    <row r="121" spans="1:156" ht="15.5" outlineLevel="2">
      <c r="A121" s="367" t="s">
        <v>39</v>
      </c>
      <c r="B121" s="378"/>
      <c r="C121" s="370" t="s">
        <v>358</v>
      </c>
      <c r="D121" s="370" t="s">
        <v>40</v>
      </c>
      <c r="E121" s="379" t="s">
        <v>442</v>
      </c>
      <c r="F121" s="380">
        <v>3000018601</v>
      </c>
      <c r="G121" s="178">
        <v>0</v>
      </c>
      <c r="H121" s="178">
        <v>0</v>
      </c>
      <c r="I121" s="178">
        <v>0</v>
      </c>
      <c r="J121" s="178">
        <v>0</v>
      </c>
      <c r="K121" s="178">
        <v>0</v>
      </c>
      <c r="L121" s="178">
        <v>0</v>
      </c>
      <c r="M121" s="178">
        <v>0</v>
      </c>
      <c r="N121" s="178">
        <v>0</v>
      </c>
      <c r="O121" s="178">
        <v>0</v>
      </c>
      <c r="P121" s="178">
        <v>0</v>
      </c>
      <c r="Q121" s="178">
        <v>0</v>
      </c>
      <c r="R121" s="178">
        <v>0</v>
      </c>
      <c r="S121" s="7">
        <f t="shared" si="4"/>
        <v>0</v>
      </c>
      <c r="T121" s="179"/>
      <c r="U121" s="178">
        <v>0</v>
      </c>
      <c r="V121" s="178">
        <v>0</v>
      </c>
      <c r="W121" s="178">
        <v>0</v>
      </c>
      <c r="X121" s="178">
        <v>0</v>
      </c>
      <c r="Y121" s="178">
        <v>0</v>
      </c>
      <c r="Z121" s="178">
        <v>0</v>
      </c>
      <c r="AA121" s="178">
        <v>0</v>
      </c>
      <c r="AB121" s="178">
        <v>0</v>
      </c>
      <c r="AC121" s="178">
        <v>83881720</v>
      </c>
      <c r="AD121" s="178">
        <v>65642246</v>
      </c>
      <c r="AE121" s="178">
        <v>192229568</v>
      </c>
      <c r="AF121" s="178">
        <v>85325596</v>
      </c>
      <c r="AG121" s="518">
        <f t="shared" si="5"/>
        <v>427079130</v>
      </c>
      <c r="AH121" s="788"/>
      <c r="AI121" s="789">
        <v>28188204</v>
      </c>
      <c r="AJ121" s="517"/>
      <c r="AK121" s="518">
        <v>0</v>
      </c>
      <c r="AL121" s="518">
        <v>0</v>
      </c>
      <c r="AM121" s="518">
        <v>0</v>
      </c>
      <c r="AN121" s="518">
        <v>0</v>
      </c>
      <c r="AO121" s="518">
        <v>-96000</v>
      </c>
      <c r="AP121" s="518">
        <v>0</v>
      </c>
      <c r="AQ121" s="518">
        <v>0</v>
      </c>
      <c r="AR121" s="518"/>
      <c r="AS121" s="518"/>
      <c r="AT121" s="518"/>
      <c r="AU121" s="518">
        <f t="shared" ref="AU121:AW122" si="57">BI121</f>
        <v>0</v>
      </c>
      <c r="AV121" s="518">
        <f t="shared" si="57"/>
        <v>0</v>
      </c>
      <c r="AW121" s="518">
        <f t="shared" si="57"/>
        <v>0</v>
      </c>
      <c r="AX121" s="518">
        <f t="shared" si="45"/>
        <v>28092204</v>
      </c>
      <c r="AY121" s="788"/>
      <c r="AZ121" s="789">
        <v>28188204</v>
      </c>
      <c r="BA121" s="517"/>
      <c r="BB121" s="518">
        <v>0</v>
      </c>
      <c r="BC121" s="518">
        <v>0</v>
      </c>
      <c r="BD121" s="518">
        <v>0</v>
      </c>
      <c r="BE121" s="518">
        <v>0</v>
      </c>
      <c r="BF121" s="518">
        <v>-96000</v>
      </c>
      <c r="BG121" s="518">
        <f t="shared" si="41"/>
        <v>0</v>
      </c>
      <c r="BH121" s="518">
        <v>0</v>
      </c>
      <c r="BI121" s="518">
        <v>0</v>
      </c>
      <c r="BJ121" s="518">
        <v>0</v>
      </c>
      <c r="BK121" s="518">
        <v>0</v>
      </c>
      <c r="BL121" s="518">
        <f t="shared" si="46"/>
        <v>28092204</v>
      </c>
      <c r="BN121" s="518">
        <v>0</v>
      </c>
      <c r="BO121" s="518">
        <v>0</v>
      </c>
      <c r="BP121" s="518">
        <v>0</v>
      </c>
      <c r="BQ121" s="518">
        <v>0</v>
      </c>
      <c r="BR121" s="518">
        <v>0</v>
      </c>
      <c r="BS121" s="518">
        <v>0</v>
      </c>
      <c r="BT121" s="518">
        <v>0</v>
      </c>
      <c r="BU121" s="518">
        <v>0</v>
      </c>
      <c r="BV121" s="518">
        <v>0</v>
      </c>
      <c r="BW121" s="518">
        <v>0</v>
      </c>
      <c r="BX121" s="518">
        <v>0</v>
      </c>
      <c r="BY121" s="518">
        <v>0</v>
      </c>
      <c r="BZ121" s="791">
        <v>0</v>
      </c>
      <c r="CB121" s="518">
        <v>0</v>
      </c>
      <c r="CC121" s="518">
        <v>0</v>
      </c>
      <c r="CD121" s="518">
        <v>0</v>
      </c>
      <c r="CE121" s="518">
        <v>0</v>
      </c>
      <c r="CF121" s="518">
        <v>0</v>
      </c>
      <c r="CG121" s="518">
        <v>0</v>
      </c>
      <c r="CH121" s="518">
        <v>0</v>
      </c>
      <c r="CI121" s="518">
        <v>0</v>
      </c>
      <c r="CJ121" s="518">
        <v>0</v>
      </c>
      <c r="CK121" s="518">
        <v>0</v>
      </c>
      <c r="CL121" s="518">
        <v>0</v>
      </c>
      <c r="CM121" s="518">
        <v>0</v>
      </c>
      <c r="CN121" s="791">
        <v>0</v>
      </c>
      <c r="CP121" s="647"/>
      <c r="CQ121" s="647">
        <v>37773326</v>
      </c>
      <c r="CR121" s="518"/>
      <c r="CS121" s="647">
        <v>266661727</v>
      </c>
      <c r="CT121" s="518"/>
      <c r="CU121" s="647">
        <v>350477595</v>
      </c>
      <c r="CV121" s="518"/>
      <c r="CW121" s="647">
        <v>285194717</v>
      </c>
      <c r="CX121" s="518"/>
      <c r="CY121" s="647">
        <v>303743537</v>
      </c>
      <c r="CZ121" s="518"/>
      <c r="DA121" s="647">
        <v>178037705</v>
      </c>
      <c r="DB121" s="518"/>
      <c r="DC121" s="647">
        <v>229732452</v>
      </c>
      <c r="DD121" s="518"/>
      <c r="DE121" s="518"/>
      <c r="DF121" s="518"/>
      <c r="DG121" s="748">
        <v>300000000</v>
      </c>
      <c r="DH121" s="518"/>
      <c r="DI121" s="518"/>
      <c r="DJ121" s="748">
        <v>300000000</v>
      </c>
      <c r="DK121" s="518"/>
      <c r="DL121" s="518"/>
      <c r="DM121" s="748">
        <v>300000000</v>
      </c>
      <c r="DN121" s="518"/>
      <c r="DO121" s="518"/>
      <c r="DP121" s="748">
        <v>300000000</v>
      </c>
      <c r="DQ121" s="493">
        <f t="shared" si="31"/>
        <v>1651621059</v>
      </c>
      <c r="DR121" s="479">
        <f t="shared" si="48"/>
        <v>1854912648</v>
      </c>
      <c r="DS121" s="1163">
        <v>450000000</v>
      </c>
      <c r="DT121" s="1163">
        <v>450000000</v>
      </c>
      <c r="DU121" s="1163">
        <v>450000000</v>
      </c>
      <c r="DV121" s="1163">
        <v>350000000</v>
      </c>
      <c r="DW121" s="1163">
        <v>500000000</v>
      </c>
      <c r="DX121" s="1163">
        <v>500000000</v>
      </c>
      <c r="DY121" s="1163">
        <v>500000000</v>
      </c>
      <c r="DZ121" s="1163">
        <v>500000000</v>
      </c>
      <c r="EA121" s="1163">
        <v>500000000</v>
      </c>
      <c r="EB121" s="1163">
        <v>500000000</v>
      </c>
      <c r="EC121" s="1163">
        <v>500000000</v>
      </c>
      <c r="ED121" s="1163">
        <v>500000000</v>
      </c>
      <c r="EE121" s="1119">
        <f t="shared" si="28"/>
        <v>5700000000</v>
      </c>
      <c r="EF121" s="443">
        <f t="shared" si="49"/>
        <v>6669000000</v>
      </c>
      <c r="EG121" s="355">
        <f t="shared" si="50"/>
        <v>7202520000</v>
      </c>
      <c r="EH121" s="443">
        <f t="shared" si="42"/>
        <v>7850746800.000001</v>
      </c>
      <c r="EI121" s="443">
        <f t="shared" si="42"/>
        <v>8557314012.0000019</v>
      </c>
      <c r="EJ121" s="367">
        <v>3000018601</v>
      </c>
    </row>
    <row r="122" spans="1:156" ht="15.5" outlineLevel="2">
      <c r="A122" s="367" t="s">
        <v>39</v>
      </c>
      <c r="B122" s="378"/>
      <c r="C122" s="370" t="s">
        <v>358</v>
      </c>
      <c r="D122" s="370" t="s">
        <v>40</v>
      </c>
      <c r="E122" s="379" t="s">
        <v>443</v>
      </c>
      <c r="F122" s="380">
        <v>3000018742</v>
      </c>
      <c r="G122" s="178">
        <v>0</v>
      </c>
      <c r="H122" s="178">
        <v>0</v>
      </c>
      <c r="I122" s="178">
        <v>0</v>
      </c>
      <c r="J122" s="178">
        <v>0</v>
      </c>
      <c r="K122" s="178">
        <v>0</v>
      </c>
      <c r="L122" s="178">
        <v>0</v>
      </c>
      <c r="M122" s="178">
        <v>0</v>
      </c>
      <c r="N122" s="178">
        <v>0</v>
      </c>
      <c r="O122" s="178">
        <v>0</v>
      </c>
      <c r="P122" s="178">
        <v>0</v>
      </c>
      <c r="Q122" s="178">
        <v>0</v>
      </c>
      <c r="R122" s="178">
        <v>0</v>
      </c>
      <c r="S122" s="7">
        <f t="shared" si="4"/>
        <v>0</v>
      </c>
      <c r="T122" s="179"/>
      <c r="U122" s="178">
        <v>0</v>
      </c>
      <c r="V122" s="178">
        <v>0</v>
      </c>
      <c r="W122" s="178">
        <v>0</v>
      </c>
      <c r="X122" s="178">
        <v>0</v>
      </c>
      <c r="Y122" s="178">
        <v>0</v>
      </c>
      <c r="Z122" s="178">
        <v>0</v>
      </c>
      <c r="AA122" s="178">
        <v>0</v>
      </c>
      <c r="AB122" s="178">
        <v>0</v>
      </c>
      <c r="AC122" s="178">
        <v>49472000</v>
      </c>
      <c r="AD122" s="178">
        <v>91264000</v>
      </c>
      <c r="AE122" s="178">
        <v>29576000</v>
      </c>
      <c r="AF122" s="178">
        <v>33728000</v>
      </c>
      <c r="AG122" s="518">
        <f t="shared" si="5"/>
        <v>204040000</v>
      </c>
      <c r="AH122" s="788"/>
      <c r="AI122" s="789">
        <v>33728000</v>
      </c>
      <c r="AJ122" s="517">
        <v>39680000</v>
      </c>
      <c r="AK122" s="518">
        <v>25792000</v>
      </c>
      <c r="AL122" s="518">
        <v>31744000</v>
      </c>
      <c r="AM122" s="518">
        <v>9920000</v>
      </c>
      <c r="AN122" s="518">
        <v>53568000</v>
      </c>
      <c r="AO122" s="518">
        <v>87048000</v>
      </c>
      <c r="AP122" s="518">
        <v>79360000</v>
      </c>
      <c r="AQ122" s="518">
        <v>144564000</v>
      </c>
      <c r="AR122" s="759">
        <v>290859600</v>
      </c>
      <c r="AS122" s="759">
        <v>255868000</v>
      </c>
      <c r="AT122" s="759">
        <v>231372800</v>
      </c>
      <c r="AU122" s="518">
        <f t="shared" si="57"/>
        <v>100000000</v>
      </c>
      <c r="AV122" s="518">
        <f t="shared" si="57"/>
        <v>200000000</v>
      </c>
      <c r="AW122" s="518">
        <f t="shared" si="57"/>
        <v>200000000</v>
      </c>
      <c r="AX122" s="518">
        <f t="shared" si="45"/>
        <v>1283504400</v>
      </c>
      <c r="AY122" s="788"/>
      <c r="AZ122" s="789">
        <v>33728000</v>
      </c>
      <c r="BA122" s="517">
        <v>39680000</v>
      </c>
      <c r="BB122" s="518">
        <v>25792000</v>
      </c>
      <c r="BC122" s="518">
        <v>31744000</v>
      </c>
      <c r="BD122" s="518">
        <v>9920000</v>
      </c>
      <c r="BE122" s="518">
        <v>53568000</v>
      </c>
      <c r="BF122" s="518">
        <v>87048000</v>
      </c>
      <c r="BG122" s="518">
        <f t="shared" si="41"/>
        <v>79360000</v>
      </c>
      <c r="BH122" s="518">
        <v>100000000</v>
      </c>
      <c r="BI122" s="518">
        <v>100000000</v>
      </c>
      <c r="BJ122" s="518">
        <v>200000000</v>
      </c>
      <c r="BK122" s="518">
        <v>200000000</v>
      </c>
      <c r="BL122" s="518">
        <f t="shared" si="46"/>
        <v>960840000</v>
      </c>
      <c r="BN122" s="518">
        <v>180000000</v>
      </c>
      <c r="BO122" s="518">
        <v>180000000</v>
      </c>
      <c r="BP122" s="518">
        <v>180000000</v>
      </c>
      <c r="BQ122" s="518">
        <v>180000000</v>
      </c>
      <c r="BR122" s="518">
        <v>100000000</v>
      </c>
      <c r="BS122" s="518">
        <v>120000000</v>
      </c>
      <c r="BT122" s="518">
        <v>150000000</v>
      </c>
      <c r="BU122" s="518">
        <v>180000000</v>
      </c>
      <c r="BV122" s="518">
        <v>180000000</v>
      </c>
      <c r="BW122" s="518">
        <v>180000000</v>
      </c>
      <c r="BX122" s="518">
        <v>150000000</v>
      </c>
      <c r="BY122" s="518">
        <v>150000000</v>
      </c>
      <c r="BZ122" s="791">
        <v>1930000000</v>
      </c>
      <c r="CB122" s="518">
        <v>180000000</v>
      </c>
      <c r="CC122" s="518">
        <v>180000000</v>
      </c>
      <c r="CD122" s="518">
        <v>180000000</v>
      </c>
      <c r="CE122" s="518">
        <v>180000000</v>
      </c>
      <c r="CF122" s="518">
        <v>100000000</v>
      </c>
      <c r="CG122" s="518">
        <v>120000000</v>
      </c>
      <c r="CH122" s="518">
        <v>150000000</v>
      </c>
      <c r="CI122" s="518">
        <v>180000000</v>
      </c>
      <c r="CJ122" s="518">
        <v>180000000</v>
      </c>
      <c r="CK122" s="518">
        <v>180000000</v>
      </c>
      <c r="CL122" s="518">
        <v>150000000</v>
      </c>
      <c r="CM122" s="518">
        <v>150000000</v>
      </c>
      <c r="CN122" s="791">
        <v>1930000000</v>
      </c>
      <c r="CP122" s="647">
        <v>233491200</v>
      </c>
      <c r="CQ122" s="647">
        <v>209196800</v>
      </c>
      <c r="CR122" s="518">
        <v>233491200</v>
      </c>
      <c r="CS122" s="647">
        <v>308581600</v>
      </c>
      <c r="CT122" s="518">
        <v>233491200</v>
      </c>
      <c r="CU122" s="647">
        <v>318796800</v>
      </c>
      <c r="CV122" s="518">
        <v>233491200</v>
      </c>
      <c r="CW122" s="647">
        <v>127196080</v>
      </c>
      <c r="CX122" s="518">
        <v>200000000</v>
      </c>
      <c r="CY122" s="647">
        <v>368417200</v>
      </c>
      <c r="CZ122" s="518">
        <v>250000000</v>
      </c>
      <c r="DA122" s="647">
        <v>309670800</v>
      </c>
      <c r="DB122" s="518">
        <v>250000000</v>
      </c>
      <c r="DC122" s="647">
        <v>330573000</v>
      </c>
      <c r="DD122" s="518">
        <v>250000000</v>
      </c>
      <c r="DE122" s="518"/>
      <c r="DF122" s="518">
        <v>250000000</v>
      </c>
      <c r="DG122" s="748">
        <v>250000000</v>
      </c>
      <c r="DH122" s="518"/>
      <c r="DI122" s="518">
        <v>250000000</v>
      </c>
      <c r="DJ122" s="748">
        <v>250000000</v>
      </c>
      <c r="DK122" s="518"/>
      <c r="DL122" s="518">
        <v>250000000</v>
      </c>
      <c r="DM122" s="748">
        <v>250000000</v>
      </c>
      <c r="DN122" s="518"/>
      <c r="DO122" s="518">
        <v>250000000</v>
      </c>
      <c r="DP122" s="748">
        <v>250000000</v>
      </c>
      <c r="DQ122" s="493">
        <f t="shared" si="31"/>
        <v>3205923480</v>
      </c>
      <c r="DR122" s="479">
        <f t="shared" si="48"/>
        <v>3020066400</v>
      </c>
      <c r="DS122" s="1163">
        <v>300000000</v>
      </c>
      <c r="DT122" s="1163">
        <v>300000000</v>
      </c>
      <c r="DU122" s="1163">
        <v>300000000</v>
      </c>
      <c r="DV122" s="1163">
        <v>300000000</v>
      </c>
      <c r="DW122" s="1163">
        <v>250000000</v>
      </c>
      <c r="DX122" s="1163">
        <v>350000000</v>
      </c>
      <c r="DY122" s="1163">
        <v>350000000</v>
      </c>
      <c r="DZ122" s="1163">
        <v>350000000</v>
      </c>
      <c r="EA122" s="1163">
        <v>350000000</v>
      </c>
      <c r="EB122" s="1163">
        <v>350000000</v>
      </c>
      <c r="EC122" s="1163">
        <v>350000000</v>
      </c>
      <c r="ED122" s="1163">
        <v>350000000</v>
      </c>
      <c r="EE122" s="1119">
        <f t="shared" si="28"/>
        <v>3900000000</v>
      </c>
      <c r="EF122" s="443">
        <f t="shared" si="49"/>
        <v>4563000000</v>
      </c>
      <c r="EG122" s="355">
        <f t="shared" si="50"/>
        <v>4928040000</v>
      </c>
      <c r="EH122" s="443">
        <f t="shared" si="42"/>
        <v>5371563600</v>
      </c>
      <c r="EI122" s="443">
        <f t="shared" si="42"/>
        <v>5855004324</v>
      </c>
      <c r="EJ122" s="367">
        <v>3000018742</v>
      </c>
    </row>
    <row r="123" spans="1:156" ht="15.5" outlineLevel="2">
      <c r="A123" s="367" t="s">
        <v>39</v>
      </c>
      <c r="B123" s="378"/>
      <c r="C123" s="370" t="s">
        <v>358</v>
      </c>
      <c r="D123" s="370" t="s">
        <v>40</v>
      </c>
      <c r="E123" s="379" t="s">
        <v>444</v>
      </c>
      <c r="F123" s="380">
        <v>3000005135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7">
        <f t="shared" si="4"/>
        <v>0</v>
      </c>
      <c r="T123" s="179"/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11510000</v>
      </c>
      <c r="AC123" s="178">
        <v>22335000</v>
      </c>
      <c r="AD123" s="178">
        <v>45115000</v>
      </c>
      <c r="AE123" s="178">
        <v>33184091</v>
      </c>
      <c r="AF123" s="178">
        <v>34835000</v>
      </c>
      <c r="AG123" s="518">
        <f t="shared" si="5"/>
        <v>146979091</v>
      </c>
      <c r="AH123" s="788"/>
      <c r="AI123" s="789">
        <v>25910000</v>
      </c>
      <c r="AJ123" s="517">
        <v>156470000</v>
      </c>
      <c r="AK123" s="518">
        <v>103190000</v>
      </c>
      <c r="AL123" s="518">
        <v>49335000</v>
      </c>
      <c r="AM123" s="518">
        <v>30145000</v>
      </c>
      <c r="AN123" s="518">
        <v>61495000</v>
      </c>
      <c r="AO123" s="518">
        <v>68960000</v>
      </c>
      <c r="AP123" s="518">
        <v>102055000</v>
      </c>
      <c r="AQ123" s="518">
        <v>140065000</v>
      </c>
      <c r="AR123" s="759">
        <v>84580000</v>
      </c>
      <c r="AS123" s="759">
        <v>96060000</v>
      </c>
      <c r="AT123" s="759">
        <v>32700000</v>
      </c>
      <c r="AU123" s="794">
        <f>AQ123</f>
        <v>140065000</v>
      </c>
      <c r="AV123" s="794">
        <f>AU123</f>
        <v>140065000</v>
      </c>
      <c r="AW123" s="794">
        <f>AV123</f>
        <v>140065000</v>
      </c>
      <c r="AX123" s="518">
        <f t="shared" si="45"/>
        <v>950965000</v>
      </c>
      <c r="AY123" s="788"/>
      <c r="AZ123" s="789">
        <v>25910000</v>
      </c>
      <c r="BA123" s="517">
        <v>156470000</v>
      </c>
      <c r="BB123" s="518">
        <v>103190000</v>
      </c>
      <c r="BC123" s="518">
        <v>49335000</v>
      </c>
      <c r="BD123" s="518">
        <v>30145000</v>
      </c>
      <c r="BE123" s="518">
        <v>61495000</v>
      </c>
      <c r="BF123" s="518">
        <v>68960000</v>
      </c>
      <c r="BG123" s="518">
        <f t="shared" si="41"/>
        <v>102055000</v>
      </c>
      <c r="BH123" s="518">
        <v>150000000</v>
      </c>
      <c r="BI123" s="518">
        <v>150000000</v>
      </c>
      <c r="BJ123" s="518">
        <v>150000000</v>
      </c>
      <c r="BK123" s="518">
        <v>150000000</v>
      </c>
      <c r="BL123" s="518">
        <f t="shared" si="46"/>
        <v>1197560000</v>
      </c>
      <c r="BN123" s="518">
        <v>150000000</v>
      </c>
      <c r="BO123" s="518">
        <v>150000000</v>
      </c>
      <c r="BP123" s="518">
        <v>150000000</v>
      </c>
      <c r="BQ123" s="518">
        <v>150000000</v>
      </c>
      <c r="BR123" s="518">
        <v>100000000</v>
      </c>
      <c r="BS123" s="518">
        <v>100000000</v>
      </c>
      <c r="BT123" s="518">
        <v>150000000</v>
      </c>
      <c r="BU123" s="518">
        <v>150000000</v>
      </c>
      <c r="BV123" s="518">
        <v>150000000</v>
      </c>
      <c r="BW123" s="518">
        <v>150000000</v>
      </c>
      <c r="BX123" s="518">
        <v>150000000</v>
      </c>
      <c r="BY123" s="518">
        <v>150000000</v>
      </c>
      <c r="BZ123" s="791">
        <v>1700000000</v>
      </c>
      <c r="CB123" s="518">
        <v>150000000</v>
      </c>
      <c r="CC123" s="518">
        <v>150000000</v>
      </c>
      <c r="CD123" s="518">
        <v>150000000</v>
      </c>
      <c r="CE123" s="518">
        <v>150000000</v>
      </c>
      <c r="CF123" s="518">
        <v>100000000</v>
      </c>
      <c r="CG123" s="518">
        <v>100000000</v>
      </c>
      <c r="CH123" s="518">
        <v>150000000</v>
      </c>
      <c r="CI123" s="518">
        <v>150000000</v>
      </c>
      <c r="CJ123" s="518">
        <v>150000000</v>
      </c>
      <c r="CK123" s="518">
        <v>150000000</v>
      </c>
      <c r="CL123" s="518">
        <v>150000000</v>
      </c>
      <c r="CM123" s="518">
        <v>150000000</v>
      </c>
      <c r="CN123" s="791">
        <v>1700000000</v>
      </c>
      <c r="CP123" s="647">
        <v>113780000</v>
      </c>
      <c r="CQ123" s="647">
        <v>104805000</v>
      </c>
      <c r="CR123" s="518">
        <v>120000000</v>
      </c>
      <c r="CS123" s="647">
        <v>90220000</v>
      </c>
      <c r="CT123" s="518">
        <v>120000000</v>
      </c>
      <c r="CU123" s="647">
        <v>48000000</v>
      </c>
      <c r="CV123" s="518">
        <v>120000000</v>
      </c>
      <c r="CW123" s="647">
        <v>21475000</v>
      </c>
      <c r="CX123" s="518">
        <v>120000000</v>
      </c>
      <c r="CY123" s="647">
        <v>37450000</v>
      </c>
      <c r="CZ123" s="518">
        <v>120000000</v>
      </c>
      <c r="DA123" s="647">
        <v>35410000</v>
      </c>
      <c r="DB123" s="518">
        <v>120000000</v>
      </c>
      <c r="DC123" s="647">
        <v>35185000</v>
      </c>
      <c r="DD123" s="518">
        <v>120000000</v>
      </c>
      <c r="DE123" s="518"/>
      <c r="DF123" s="518">
        <v>120000000</v>
      </c>
      <c r="DG123" s="748">
        <v>50000000</v>
      </c>
      <c r="DH123" s="518"/>
      <c r="DI123" s="518">
        <v>120000000</v>
      </c>
      <c r="DJ123" s="748">
        <v>75000000</v>
      </c>
      <c r="DK123" s="518"/>
      <c r="DL123" s="518">
        <v>120000000</v>
      </c>
      <c r="DM123" s="748">
        <v>75000000</v>
      </c>
      <c r="DN123" s="518"/>
      <c r="DO123" s="518">
        <v>120000000</v>
      </c>
      <c r="DP123" s="748">
        <v>100000000</v>
      </c>
      <c r="DQ123" s="493">
        <f t="shared" si="31"/>
        <v>966325000</v>
      </c>
      <c r="DR123" s="479">
        <f t="shared" si="48"/>
        <v>1136805000</v>
      </c>
      <c r="DS123" s="1163">
        <v>80000000</v>
      </c>
      <c r="DT123" s="1163">
        <v>80000000</v>
      </c>
      <c r="DU123" s="1163">
        <v>80000000</v>
      </c>
      <c r="DV123" s="1163">
        <v>80000000</v>
      </c>
      <c r="DW123" s="1163">
        <v>80000000</v>
      </c>
      <c r="DX123" s="1163">
        <v>80000000</v>
      </c>
      <c r="DY123" s="1163">
        <v>80000000</v>
      </c>
      <c r="DZ123" s="1163">
        <v>80000000</v>
      </c>
      <c r="EA123" s="1163">
        <v>80000000</v>
      </c>
      <c r="EB123" s="1163">
        <v>80000000</v>
      </c>
      <c r="EC123" s="1163">
        <v>80000000</v>
      </c>
      <c r="ED123" s="1163">
        <v>80000000</v>
      </c>
      <c r="EE123" s="1119">
        <f t="shared" si="28"/>
        <v>960000000</v>
      </c>
      <c r="EF123" s="443">
        <f t="shared" si="49"/>
        <v>1123200000</v>
      </c>
      <c r="EG123" s="355">
        <f t="shared" si="50"/>
        <v>1213056000</v>
      </c>
      <c r="EH123" s="443">
        <f t="shared" si="42"/>
        <v>1322231040</v>
      </c>
      <c r="EI123" s="443">
        <f t="shared" si="42"/>
        <v>1441231833.6000001</v>
      </c>
      <c r="EJ123" s="367">
        <v>3000005135</v>
      </c>
    </row>
    <row r="124" spans="1:156" s="8" customFormat="1" ht="15.5" outlineLevel="2">
      <c r="A124" s="367" t="s">
        <v>39</v>
      </c>
      <c r="B124" s="378"/>
      <c r="C124" s="370" t="s">
        <v>358</v>
      </c>
      <c r="D124" s="370" t="s">
        <v>40</v>
      </c>
      <c r="E124" s="379" t="s">
        <v>204</v>
      </c>
      <c r="F124" s="380">
        <v>3000005193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7">
        <f t="shared" si="4"/>
        <v>0</v>
      </c>
      <c r="T124" s="179"/>
      <c r="U124" s="178">
        <v>1422000</v>
      </c>
      <c r="V124" s="178">
        <v>42929449</v>
      </c>
      <c r="W124" s="178">
        <v>10982440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518">
        <f t="shared" si="5"/>
        <v>55333889</v>
      </c>
      <c r="AH124" s="788"/>
      <c r="AI124" s="789">
        <v>39000000</v>
      </c>
      <c r="AJ124" s="517">
        <v>38250000</v>
      </c>
      <c r="AK124" s="518">
        <v>77423472</v>
      </c>
      <c r="AL124" s="518">
        <v>281639288</v>
      </c>
      <c r="AM124" s="518">
        <v>159787920</v>
      </c>
      <c r="AN124" s="518">
        <v>150438616</v>
      </c>
      <c r="AO124" s="518">
        <v>129660162</v>
      </c>
      <c r="AP124" s="518">
        <v>266823411</v>
      </c>
      <c r="AQ124" s="518">
        <v>167756179</v>
      </c>
      <c r="AR124" s="774">
        <v>180751836</v>
      </c>
      <c r="AS124" s="774">
        <v>193610754</v>
      </c>
      <c r="AT124" s="774">
        <v>188187512</v>
      </c>
      <c r="AU124" s="794">
        <f>AQ124</f>
        <v>167756179</v>
      </c>
      <c r="AV124" s="794">
        <f>AU124</f>
        <v>167756179</v>
      </c>
      <c r="AW124" s="794">
        <f>AV124</f>
        <v>167756179</v>
      </c>
      <c r="AX124" s="518">
        <f t="shared" si="45"/>
        <v>1873329150</v>
      </c>
      <c r="AY124" s="788"/>
      <c r="AZ124" s="789">
        <v>39000000</v>
      </c>
      <c r="BA124" s="517">
        <v>38250000</v>
      </c>
      <c r="BB124" s="518">
        <v>77423472</v>
      </c>
      <c r="BC124" s="518">
        <v>281639288</v>
      </c>
      <c r="BD124" s="518">
        <v>159787920</v>
      </c>
      <c r="BE124" s="518">
        <v>150438616</v>
      </c>
      <c r="BF124" s="518">
        <v>129660162</v>
      </c>
      <c r="BG124" s="518">
        <f t="shared" si="41"/>
        <v>266823411</v>
      </c>
      <c r="BH124" s="518">
        <v>177563577</v>
      </c>
      <c r="BI124" s="518">
        <v>177563577</v>
      </c>
      <c r="BJ124" s="518">
        <v>177563577</v>
      </c>
      <c r="BK124" s="518">
        <v>177563577</v>
      </c>
      <c r="BL124" s="518">
        <f t="shared" si="46"/>
        <v>1853277177</v>
      </c>
      <c r="BM124" s="3"/>
      <c r="BN124" s="518">
        <v>178695657</v>
      </c>
      <c r="BO124" s="518">
        <v>178695657</v>
      </c>
      <c r="BP124" s="518">
        <v>178695657</v>
      </c>
      <c r="BQ124" s="518">
        <v>178695657</v>
      </c>
      <c r="BR124" s="518">
        <v>149095450</v>
      </c>
      <c r="BS124" s="518">
        <v>153695657</v>
      </c>
      <c r="BT124" s="518">
        <v>173695657</v>
      </c>
      <c r="BU124" s="518">
        <v>173695657</v>
      </c>
      <c r="BV124" s="518">
        <v>173695657</v>
      </c>
      <c r="BW124" s="518">
        <v>173695657</v>
      </c>
      <c r="BX124" s="518">
        <v>173695657</v>
      </c>
      <c r="BY124" s="518">
        <v>173695657</v>
      </c>
      <c r="BZ124" s="791">
        <v>2059747677</v>
      </c>
      <c r="CA124" s="3"/>
      <c r="CB124" s="518">
        <v>178695657</v>
      </c>
      <c r="CC124" s="518">
        <v>178695657</v>
      </c>
      <c r="CD124" s="518">
        <v>178695657</v>
      </c>
      <c r="CE124" s="518">
        <v>178695657</v>
      </c>
      <c r="CF124" s="518">
        <v>149095450</v>
      </c>
      <c r="CG124" s="518">
        <v>153695657</v>
      </c>
      <c r="CH124" s="518">
        <v>173695657</v>
      </c>
      <c r="CI124" s="518">
        <v>173695657</v>
      </c>
      <c r="CJ124" s="518">
        <v>173695657</v>
      </c>
      <c r="CK124" s="518">
        <v>173695657</v>
      </c>
      <c r="CL124" s="518">
        <v>173695657</v>
      </c>
      <c r="CM124" s="518">
        <v>173695657</v>
      </c>
      <c r="CN124" s="791">
        <v>2059747677</v>
      </c>
      <c r="CO124" s="3"/>
      <c r="CP124" s="647">
        <v>285505579</v>
      </c>
      <c r="CQ124" s="647">
        <v>290440873</v>
      </c>
      <c r="CR124" s="518">
        <v>285505579</v>
      </c>
      <c r="CS124" s="647">
        <v>581321600</v>
      </c>
      <c r="CT124" s="518">
        <v>350000000</v>
      </c>
      <c r="CU124" s="647">
        <v>460641408</v>
      </c>
      <c r="CV124" s="518">
        <v>350000000</v>
      </c>
      <c r="CW124" s="647">
        <v>517178600</v>
      </c>
      <c r="CX124" s="518">
        <v>350000000</v>
      </c>
      <c r="CY124" s="647">
        <v>479166800</v>
      </c>
      <c r="CZ124" s="518">
        <v>350000000</v>
      </c>
      <c r="DA124" s="647">
        <v>586984100</v>
      </c>
      <c r="DB124" s="518">
        <v>350000000</v>
      </c>
      <c r="DC124" s="647">
        <v>692071700</v>
      </c>
      <c r="DD124" s="518">
        <v>350000000</v>
      </c>
      <c r="DE124" s="518"/>
      <c r="DF124" s="518">
        <v>350000000</v>
      </c>
      <c r="DG124" s="748">
        <v>350000000</v>
      </c>
      <c r="DH124" s="518"/>
      <c r="DI124" s="518">
        <v>350000000</v>
      </c>
      <c r="DJ124" s="748">
        <v>350000000</v>
      </c>
      <c r="DK124" s="518"/>
      <c r="DL124" s="518">
        <v>350000000</v>
      </c>
      <c r="DM124" s="748">
        <v>350000000</v>
      </c>
      <c r="DN124" s="518"/>
      <c r="DO124" s="518">
        <v>350000000</v>
      </c>
      <c r="DP124" s="748">
        <v>350000000</v>
      </c>
      <c r="DQ124" s="493">
        <f t="shared" si="31"/>
        <v>5293310660</v>
      </c>
      <c r="DR124" s="479">
        <f t="shared" si="48"/>
        <v>4417909460</v>
      </c>
      <c r="DS124" s="1163">
        <v>400000000</v>
      </c>
      <c r="DT124" s="1163">
        <v>400000000</v>
      </c>
      <c r="DU124" s="1163">
        <v>450000000</v>
      </c>
      <c r="DV124" s="1163">
        <v>450000000</v>
      </c>
      <c r="DW124" s="1163">
        <v>450000000</v>
      </c>
      <c r="DX124" s="1163">
        <v>450000000</v>
      </c>
      <c r="DY124" s="1163">
        <v>500000000</v>
      </c>
      <c r="DZ124" s="1163">
        <v>500000000</v>
      </c>
      <c r="EA124" s="1163">
        <v>450000000</v>
      </c>
      <c r="EB124" s="1163">
        <v>450000000</v>
      </c>
      <c r="EC124" s="1163">
        <v>450000000</v>
      </c>
      <c r="ED124" s="1163">
        <v>450000000</v>
      </c>
      <c r="EE124" s="1119">
        <f t="shared" si="28"/>
        <v>5400000000</v>
      </c>
      <c r="EF124" s="443">
        <f t="shared" si="49"/>
        <v>6318000000</v>
      </c>
      <c r="EG124" s="355">
        <f t="shared" si="50"/>
        <v>6823440000</v>
      </c>
      <c r="EH124" s="443">
        <f t="shared" si="42"/>
        <v>7437549600.000001</v>
      </c>
      <c r="EI124" s="443">
        <f t="shared" si="42"/>
        <v>8106929064.0000019</v>
      </c>
      <c r="EJ124" s="367">
        <v>3000005193</v>
      </c>
      <c r="EK124" s="367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</row>
    <row r="125" spans="1:156" ht="15.5" outlineLevel="2">
      <c r="A125" s="367" t="s">
        <v>39</v>
      </c>
      <c r="B125" s="378"/>
      <c r="C125" s="370" t="s">
        <v>358</v>
      </c>
      <c r="D125" s="370" t="s">
        <v>40</v>
      </c>
      <c r="E125" s="379" t="s">
        <v>445</v>
      </c>
      <c r="F125" s="380">
        <v>3000005194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7">
        <f t="shared" si="4"/>
        <v>0</v>
      </c>
      <c r="T125" s="179"/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518">
        <f t="shared" si="5"/>
        <v>0</v>
      </c>
      <c r="AH125" s="788"/>
      <c r="AI125" s="789">
        <v>22444625</v>
      </c>
      <c r="AJ125" s="517">
        <v>14833524</v>
      </c>
      <c r="AK125" s="518">
        <v>7771540</v>
      </c>
      <c r="AL125" s="518">
        <v>11196900</v>
      </c>
      <c r="AM125" s="518">
        <v>6241800</v>
      </c>
      <c r="AN125" s="518">
        <v>4687400</v>
      </c>
      <c r="AO125" s="518">
        <v>1016400</v>
      </c>
      <c r="AP125" s="518">
        <v>7491900</v>
      </c>
      <c r="AQ125" s="518">
        <v>11860100</v>
      </c>
      <c r="AR125" s="759">
        <v>29752600</v>
      </c>
      <c r="AS125" s="759">
        <v>68021700</v>
      </c>
      <c r="AT125" s="759">
        <v>60329700</v>
      </c>
      <c r="AU125" s="518">
        <f>BI125</f>
        <v>15000000</v>
      </c>
      <c r="AV125" s="518">
        <f>BJ125</f>
        <v>15000000</v>
      </c>
      <c r="AW125" s="518">
        <f>BK125</f>
        <v>15000000</v>
      </c>
      <c r="AX125" s="518">
        <f t="shared" si="45"/>
        <v>245648189</v>
      </c>
      <c r="AY125" s="788"/>
      <c r="AZ125" s="789">
        <v>22444625</v>
      </c>
      <c r="BA125" s="517">
        <v>14833524</v>
      </c>
      <c r="BB125" s="518">
        <v>7771540</v>
      </c>
      <c r="BC125" s="518">
        <v>11196900</v>
      </c>
      <c r="BD125" s="518">
        <v>6241800</v>
      </c>
      <c r="BE125" s="518">
        <v>4687400</v>
      </c>
      <c r="BF125" s="518">
        <v>1016400</v>
      </c>
      <c r="BG125" s="518">
        <f t="shared" si="41"/>
        <v>7491900</v>
      </c>
      <c r="BH125" s="518">
        <v>15000000</v>
      </c>
      <c r="BI125" s="518">
        <v>15000000</v>
      </c>
      <c r="BJ125" s="518">
        <v>15000000</v>
      </c>
      <c r="BK125" s="518">
        <v>15000000</v>
      </c>
      <c r="BL125" s="518">
        <f t="shared" si="46"/>
        <v>135684089</v>
      </c>
      <c r="BN125" s="518">
        <v>15000000</v>
      </c>
      <c r="BO125" s="518">
        <v>15000000</v>
      </c>
      <c r="BP125" s="518">
        <v>15000000</v>
      </c>
      <c r="BQ125" s="518">
        <v>15000000</v>
      </c>
      <c r="BR125" s="518">
        <v>10000000</v>
      </c>
      <c r="BS125" s="518">
        <v>10000000</v>
      </c>
      <c r="BT125" s="518">
        <v>15000000</v>
      </c>
      <c r="BU125" s="518">
        <v>15000000</v>
      </c>
      <c r="BV125" s="518">
        <v>15000000</v>
      </c>
      <c r="BW125" s="518">
        <v>15000000</v>
      </c>
      <c r="BX125" s="518">
        <v>15000000</v>
      </c>
      <c r="BY125" s="518">
        <v>15000000</v>
      </c>
      <c r="BZ125" s="791">
        <v>170000000</v>
      </c>
      <c r="CB125" s="518">
        <v>15000000</v>
      </c>
      <c r="CC125" s="518">
        <v>15000000</v>
      </c>
      <c r="CD125" s="518">
        <v>15000000</v>
      </c>
      <c r="CE125" s="518">
        <v>15000000</v>
      </c>
      <c r="CF125" s="518">
        <v>10000000</v>
      </c>
      <c r="CG125" s="518">
        <v>10000000</v>
      </c>
      <c r="CH125" s="518">
        <v>15000000</v>
      </c>
      <c r="CI125" s="518">
        <v>15000000</v>
      </c>
      <c r="CJ125" s="518">
        <v>15000000</v>
      </c>
      <c r="CK125" s="518">
        <v>15000000</v>
      </c>
      <c r="CL125" s="518">
        <v>15000000</v>
      </c>
      <c r="CM125" s="518">
        <v>15000000</v>
      </c>
      <c r="CN125" s="791">
        <v>170000000</v>
      </c>
      <c r="CP125" s="647">
        <v>135290400</v>
      </c>
      <c r="CQ125" s="647">
        <v>47982300</v>
      </c>
      <c r="CR125" s="518">
        <v>135290400</v>
      </c>
      <c r="CS125" s="647">
        <v>51259445</v>
      </c>
      <c r="CT125" s="518">
        <v>150000000</v>
      </c>
      <c r="CU125" s="647">
        <v>43981150</v>
      </c>
      <c r="CV125" s="518">
        <v>150000000</v>
      </c>
      <c r="CW125" s="647">
        <v>27816840</v>
      </c>
      <c r="CX125" s="518">
        <v>150000000</v>
      </c>
      <c r="CY125" s="647">
        <v>64972500</v>
      </c>
      <c r="CZ125" s="518">
        <v>150000000</v>
      </c>
      <c r="DA125" s="647">
        <v>209485065</v>
      </c>
      <c r="DB125" s="518">
        <v>150000000</v>
      </c>
      <c r="DC125" s="647">
        <v>147953025</v>
      </c>
      <c r="DD125" s="518">
        <v>150000000</v>
      </c>
      <c r="DE125" s="518"/>
      <c r="DF125" s="518">
        <v>150000000</v>
      </c>
      <c r="DG125" s="748">
        <v>150000000</v>
      </c>
      <c r="DH125" s="518"/>
      <c r="DI125" s="518">
        <v>150000000</v>
      </c>
      <c r="DJ125" s="748">
        <v>150000000</v>
      </c>
      <c r="DK125" s="518"/>
      <c r="DL125" s="518">
        <v>150000000</v>
      </c>
      <c r="DM125" s="748">
        <v>150000000</v>
      </c>
      <c r="DN125" s="518"/>
      <c r="DO125" s="518">
        <v>150000000</v>
      </c>
      <c r="DP125" s="748">
        <v>150000000</v>
      </c>
      <c r="DQ125" s="493">
        <f t="shared" si="31"/>
        <v>1328740725</v>
      </c>
      <c r="DR125" s="479">
        <f t="shared" si="48"/>
        <v>1478513295</v>
      </c>
      <c r="DS125" s="1163">
        <v>150000000</v>
      </c>
      <c r="DT125" s="1163">
        <v>150000000</v>
      </c>
      <c r="DU125" s="1163">
        <v>150000000</v>
      </c>
      <c r="DV125" s="1163">
        <v>150000000</v>
      </c>
      <c r="DW125" s="1163">
        <v>150000000</v>
      </c>
      <c r="DX125" s="1163">
        <v>200000000</v>
      </c>
      <c r="DY125" s="1163">
        <v>200000000</v>
      </c>
      <c r="DZ125" s="1163">
        <v>200000000</v>
      </c>
      <c r="EA125" s="1163">
        <v>200000000</v>
      </c>
      <c r="EB125" s="1163">
        <v>200000000</v>
      </c>
      <c r="EC125" s="1163">
        <v>200000000</v>
      </c>
      <c r="ED125" s="1163">
        <v>200000000</v>
      </c>
      <c r="EE125" s="1119">
        <f t="shared" si="28"/>
        <v>2150000000</v>
      </c>
      <c r="EF125" s="443">
        <f t="shared" si="49"/>
        <v>2515500000</v>
      </c>
      <c r="EG125" s="355">
        <f t="shared" si="50"/>
        <v>2716740000</v>
      </c>
      <c r="EH125" s="443">
        <f t="shared" si="42"/>
        <v>2961246600</v>
      </c>
      <c r="EI125" s="443">
        <f t="shared" si="42"/>
        <v>3227758794</v>
      </c>
      <c r="EJ125" s="367">
        <v>3000005194</v>
      </c>
    </row>
    <row r="126" spans="1:156" ht="15.5" outlineLevel="2">
      <c r="A126" s="367" t="s">
        <v>43</v>
      </c>
      <c r="B126" s="378"/>
      <c r="C126" s="370" t="s">
        <v>358</v>
      </c>
      <c r="D126" s="370" t="s">
        <v>40</v>
      </c>
      <c r="E126" s="379" t="s">
        <v>446</v>
      </c>
      <c r="F126" s="380">
        <v>3000005216</v>
      </c>
      <c r="G126" s="178">
        <v>0</v>
      </c>
      <c r="H126" s="178">
        <v>0</v>
      </c>
      <c r="I126" s="178">
        <v>0</v>
      </c>
      <c r="J126" s="178">
        <v>0</v>
      </c>
      <c r="K126" s="178">
        <v>0</v>
      </c>
      <c r="L126" s="178">
        <v>0</v>
      </c>
      <c r="M126" s="178">
        <v>0</v>
      </c>
      <c r="N126" s="178">
        <v>0</v>
      </c>
      <c r="O126" s="178">
        <v>0</v>
      </c>
      <c r="P126" s="178">
        <v>0</v>
      </c>
      <c r="Q126" s="178">
        <v>0</v>
      </c>
      <c r="R126" s="178">
        <v>0</v>
      </c>
      <c r="S126" s="7">
        <f t="shared" si="4"/>
        <v>0</v>
      </c>
      <c r="T126" s="179"/>
      <c r="U126" s="178">
        <v>0</v>
      </c>
      <c r="V126" s="178">
        <v>0</v>
      </c>
      <c r="W126" s="178">
        <v>0</v>
      </c>
      <c r="X126" s="178">
        <v>0</v>
      </c>
      <c r="Y126" s="178">
        <v>0</v>
      </c>
      <c r="Z126" s="178">
        <v>0</v>
      </c>
      <c r="AA126" s="178">
        <v>0</v>
      </c>
      <c r="AB126" s="178">
        <v>0</v>
      </c>
      <c r="AC126" s="178">
        <v>0</v>
      </c>
      <c r="AD126" s="178">
        <v>0</v>
      </c>
      <c r="AE126" s="178">
        <v>0</v>
      </c>
      <c r="AF126" s="178">
        <v>30000000</v>
      </c>
      <c r="AG126" s="518">
        <f t="shared" si="5"/>
        <v>30000000</v>
      </c>
      <c r="AH126" s="788"/>
      <c r="AI126" s="789">
        <v>13000000</v>
      </c>
      <c r="AJ126" s="517">
        <v>20150000</v>
      </c>
      <c r="AK126" s="518">
        <v>40950000</v>
      </c>
      <c r="AL126" s="518">
        <v>0</v>
      </c>
      <c r="AM126" s="518">
        <v>69250000</v>
      </c>
      <c r="AN126" s="518">
        <v>71750000</v>
      </c>
      <c r="AO126" s="518">
        <v>5950000</v>
      </c>
      <c r="AP126" s="518">
        <v>-8750000</v>
      </c>
      <c r="AQ126" s="518">
        <v>0</v>
      </c>
      <c r="AR126" s="518"/>
      <c r="AS126" s="518"/>
      <c r="AT126" s="518"/>
      <c r="AU126" s="794"/>
      <c r="AV126" s="794"/>
      <c r="AW126" s="794"/>
      <c r="AX126" s="518">
        <f t="shared" si="45"/>
        <v>212300000</v>
      </c>
      <c r="AY126" s="788"/>
      <c r="AZ126" s="789">
        <v>13000000</v>
      </c>
      <c r="BA126" s="517">
        <v>20150000</v>
      </c>
      <c r="BB126" s="518">
        <v>40950000</v>
      </c>
      <c r="BC126" s="518">
        <v>0</v>
      </c>
      <c r="BD126" s="518">
        <v>69250000</v>
      </c>
      <c r="BE126" s="518">
        <v>71750000</v>
      </c>
      <c r="BF126" s="518">
        <v>5950000</v>
      </c>
      <c r="BG126" s="518">
        <f t="shared" si="41"/>
        <v>-8750000</v>
      </c>
      <c r="BH126" s="518">
        <v>80000000</v>
      </c>
      <c r="BI126" s="518">
        <v>400000000</v>
      </c>
      <c r="BJ126" s="518">
        <v>400000000</v>
      </c>
      <c r="BK126" s="518">
        <v>400000000</v>
      </c>
      <c r="BL126" s="518">
        <f t="shared" si="46"/>
        <v>1492300000</v>
      </c>
      <c r="BN126" s="518"/>
      <c r="BO126" s="518"/>
      <c r="BP126" s="518"/>
      <c r="BQ126" s="518"/>
      <c r="BR126" s="518"/>
      <c r="BS126" s="518"/>
      <c r="BT126" s="518"/>
      <c r="BU126" s="518"/>
      <c r="BV126" s="518"/>
      <c r="BW126" s="518"/>
      <c r="BX126" s="518"/>
      <c r="BY126" s="518"/>
      <c r="BZ126" s="791">
        <v>0</v>
      </c>
      <c r="CB126" s="518"/>
      <c r="CC126" s="518"/>
      <c r="CD126" s="518"/>
      <c r="CE126" s="518"/>
      <c r="CF126" s="518"/>
      <c r="CG126" s="518"/>
      <c r="CH126" s="518"/>
      <c r="CI126" s="518"/>
      <c r="CJ126" s="518"/>
      <c r="CK126" s="518"/>
      <c r="CL126" s="518"/>
      <c r="CM126" s="518"/>
      <c r="CN126" s="791">
        <v>0</v>
      </c>
      <c r="CP126" s="647"/>
      <c r="CQ126" s="647"/>
      <c r="CR126" s="518"/>
      <c r="CS126" s="647"/>
      <c r="CT126" s="518"/>
      <c r="CU126" s="647"/>
      <c r="CV126" s="518"/>
      <c r="CW126" s="647"/>
      <c r="CX126" s="518"/>
      <c r="CY126" s="647"/>
      <c r="CZ126" s="518">
        <v>50000000</v>
      </c>
      <c r="DA126" s="647">
        <v>1200000</v>
      </c>
      <c r="DB126" s="518">
        <v>50000000</v>
      </c>
      <c r="DC126" s="647">
        <v>1700000</v>
      </c>
      <c r="DD126" s="518">
        <v>50000000</v>
      </c>
      <c r="DE126" s="518"/>
      <c r="DF126" s="518">
        <v>50000000</v>
      </c>
      <c r="DG126" s="748">
        <v>20000000</v>
      </c>
      <c r="DH126" s="518"/>
      <c r="DI126" s="518">
        <v>50000000</v>
      </c>
      <c r="DJ126" s="748">
        <v>30000000</v>
      </c>
      <c r="DK126" s="518"/>
      <c r="DL126" s="518">
        <v>50000000</v>
      </c>
      <c r="DM126" s="748">
        <v>40000000</v>
      </c>
      <c r="DN126" s="518"/>
      <c r="DO126" s="518">
        <v>50000000</v>
      </c>
      <c r="DP126" s="748">
        <v>40000000</v>
      </c>
      <c r="DQ126" s="493">
        <f t="shared" si="31"/>
        <v>202900000</v>
      </c>
      <c r="DR126" s="479">
        <f t="shared" si="48"/>
        <v>280000000</v>
      </c>
      <c r="DS126" s="1163"/>
      <c r="DT126" s="1163">
        <v>50000000</v>
      </c>
      <c r="DU126" s="1163">
        <v>50000000</v>
      </c>
      <c r="DV126" s="1163">
        <v>50000000</v>
      </c>
      <c r="DW126" s="1163">
        <v>50000000</v>
      </c>
      <c r="DX126" s="1163">
        <v>50000000</v>
      </c>
      <c r="DY126" s="1163">
        <v>50000000</v>
      </c>
      <c r="DZ126" s="1163">
        <v>50000000</v>
      </c>
      <c r="EA126" s="1163">
        <v>50000000</v>
      </c>
      <c r="EB126" s="1163">
        <v>50000000</v>
      </c>
      <c r="EC126" s="1163">
        <v>50000000</v>
      </c>
      <c r="ED126" s="1163">
        <v>50000000</v>
      </c>
      <c r="EE126" s="1119">
        <f t="shared" si="28"/>
        <v>550000000</v>
      </c>
      <c r="EF126" s="443">
        <f t="shared" si="49"/>
        <v>643500000</v>
      </c>
      <c r="EG126" s="355">
        <f t="shared" si="50"/>
        <v>694980000</v>
      </c>
      <c r="EH126" s="443">
        <f t="shared" si="42"/>
        <v>757528200</v>
      </c>
      <c r="EI126" s="443">
        <f t="shared" si="42"/>
        <v>825705738.00000012</v>
      </c>
      <c r="EJ126" s="367">
        <v>3000005216</v>
      </c>
    </row>
    <row r="127" spans="1:156" s="8" customFormat="1" ht="15.5" outlineLevel="2">
      <c r="A127" s="367" t="s">
        <v>39</v>
      </c>
      <c r="B127" s="378"/>
      <c r="C127" s="370" t="s">
        <v>358</v>
      </c>
      <c r="D127" s="370" t="s">
        <v>40</v>
      </c>
      <c r="E127" s="379" t="s">
        <v>447</v>
      </c>
      <c r="F127" s="380">
        <v>3000013775</v>
      </c>
      <c r="G127" s="178">
        <v>0</v>
      </c>
      <c r="H127" s="178">
        <v>0</v>
      </c>
      <c r="I127" s="178">
        <v>39451860</v>
      </c>
      <c r="J127" s="178">
        <v>47367025</v>
      </c>
      <c r="K127" s="178">
        <v>298809508</v>
      </c>
      <c r="L127" s="178">
        <v>131778522</v>
      </c>
      <c r="M127" s="178">
        <v>433655908</v>
      </c>
      <c r="N127" s="178">
        <v>257850585</v>
      </c>
      <c r="O127" s="178">
        <v>419029545</v>
      </c>
      <c r="P127" s="178">
        <v>222636971</v>
      </c>
      <c r="Q127" s="178">
        <v>501966093</v>
      </c>
      <c r="R127" s="178">
        <v>411046068</v>
      </c>
      <c r="S127" s="7">
        <f t="shared" si="4"/>
        <v>2763592085</v>
      </c>
      <c r="T127" s="179"/>
      <c r="U127" s="178">
        <v>253384000</v>
      </c>
      <c r="V127" s="178">
        <v>270858150</v>
      </c>
      <c r="W127" s="178">
        <v>243382500</v>
      </c>
      <c r="X127" s="178">
        <v>446874300</v>
      </c>
      <c r="Y127" s="178">
        <v>279196700</v>
      </c>
      <c r="Z127" s="178">
        <v>440307900</v>
      </c>
      <c r="AA127" s="178">
        <v>293265900</v>
      </c>
      <c r="AB127" s="178">
        <v>259677900</v>
      </c>
      <c r="AC127" s="178">
        <v>149586400</v>
      </c>
      <c r="AD127" s="178">
        <v>215047400</v>
      </c>
      <c r="AE127" s="178">
        <v>224078250</v>
      </c>
      <c r="AF127" s="178">
        <v>120265900</v>
      </c>
      <c r="AG127" s="518">
        <f t="shared" si="5"/>
        <v>3195925300</v>
      </c>
      <c r="AH127" s="788"/>
      <c r="AI127" s="789">
        <v>109503000</v>
      </c>
      <c r="AJ127" s="517"/>
      <c r="AK127" s="518">
        <v>58850000</v>
      </c>
      <c r="AL127" s="518">
        <v>13355000</v>
      </c>
      <c r="AM127" s="518">
        <v>-1245000</v>
      </c>
      <c r="AN127" s="518">
        <v>0</v>
      </c>
      <c r="AO127" s="518">
        <v>0</v>
      </c>
      <c r="AP127" s="518">
        <v>0</v>
      </c>
      <c r="AQ127" s="518">
        <v>0</v>
      </c>
      <c r="AR127" s="518"/>
      <c r="AS127" s="518"/>
      <c r="AT127" s="518"/>
      <c r="AU127" s="518">
        <f t="shared" ref="AU127:AW130" si="58">BI127</f>
        <v>0</v>
      </c>
      <c r="AV127" s="518">
        <f t="shared" si="58"/>
        <v>0</v>
      </c>
      <c r="AW127" s="518">
        <f t="shared" si="58"/>
        <v>0</v>
      </c>
      <c r="AX127" s="518">
        <f t="shared" si="45"/>
        <v>180463000</v>
      </c>
      <c r="AY127" s="788"/>
      <c r="AZ127" s="789">
        <v>109503000</v>
      </c>
      <c r="BA127" s="517"/>
      <c r="BB127" s="518">
        <v>58850000</v>
      </c>
      <c r="BC127" s="518">
        <v>13355000</v>
      </c>
      <c r="BD127" s="518">
        <v>-1245000</v>
      </c>
      <c r="BE127" s="518">
        <v>0</v>
      </c>
      <c r="BF127" s="518">
        <v>0</v>
      </c>
      <c r="BG127" s="518">
        <f t="shared" si="41"/>
        <v>0</v>
      </c>
      <c r="BH127" s="518">
        <v>0</v>
      </c>
      <c r="BI127" s="518">
        <v>0</v>
      </c>
      <c r="BJ127" s="518">
        <v>0</v>
      </c>
      <c r="BK127" s="518">
        <v>0</v>
      </c>
      <c r="BL127" s="518">
        <f t="shared" si="46"/>
        <v>180463000</v>
      </c>
      <c r="BM127" s="3"/>
      <c r="BN127" s="518">
        <v>0</v>
      </c>
      <c r="BO127" s="518">
        <v>0</v>
      </c>
      <c r="BP127" s="518">
        <v>0</v>
      </c>
      <c r="BQ127" s="518">
        <v>0</v>
      </c>
      <c r="BR127" s="518">
        <v>0</v>
      </c>
      <c r="BS127" s="518">
        <v>0</v>
      </c>
      <c r="BT127" s="518">
        <v>0</v>
      </c>
      <c r="BU127" s="518">
        <v>0</v>
      </c>
      <c r="BV127" s="518">
        <v>0</v>
      </c>
      <c r="BW127" s="518">
        <v>0</v>
      </c>
      <c r="BX127" s="518">
        <v>0</v>
      </c>
      <c r="BY127" s="518">
        <v>0</v>
      </c>
      <c r="BZ127" s="791">
        <v>0</v>
      </c>
      <c r="CA127" s="3"/>
      <c r="CB127" s="518">
        <v>0</v>
      </c>
      <c r="CC127" s="518">
        <v>0</v>
      </c>
      <c r="CD127" s="518">
        <v>0</v>
      </c>
      <c r="CE127" s="518">
        <v>0</v>
      </c>
      <c r="CF127" s="518">
        <v>0</v>
      </c>
      <c r="CG127" s="518">
        <v>0</v>
      </c>
      <c r="CH127" s="518">
        <v>0</v>
      </c>
      <c r="CI127" s="518">
        <v>0</v>
      </c>
      <c r="CJ127" s="518">
        <v>0</v>
      </c>
      <c r="CK127" s="518">
        <v>0</v>
      </c>
      <c r="CL127" s="518">
        <v>0</v>
      </c>
      <c r="CM127" s="518">
        <v>0</v>
      </c>
      <c r="CN127" s="791">
        <v>0</v>
      </c>
      <c r="CO127" s="3"/>
      <c r="CP127" s="647"/>
      <c r="CQ127" s="647"/>
      <c r="CR127" s="518"/>
      <c r="CS127" s="647">
        <v>375000</v>
      </c>
      <c r="CT127" s="518"/>
      <c r="CU127" s="647"/>
      <c r="CV127" s="518"/>
      <c r="CW127" s="647"/>
      <c r="CX127" s="518"/>
      <c r="CY127" s="647"/>
      <c r="CZ127" s="518"/>
      <c r="DA127" s="647"/>
      <c r="DB127" s="518"/>
      <c r="DC127" s="647">
        <v>0</v>
      </c>
      <c r="DD127" s="518"/>
      <c r="DE127" s="518"/>
      <c r="DF127" s="518"/>
      <c r="DG127" s="748"/>
      <c r="DH127" s="518"/>
      <c r="DI127" s="518"/>
      <c r="DJ127" s="748"/>
      <c r="DK127" s="518"/>
      <c r="DL127" s="518"/>
      <c r="DM127" s="748"/>
      <c r="DN127" s="518"/>
      <c r="DO127" s="518"/>
      <c r="DP127" s="748"/>
      <c r="DQ127" s="493">
        <f t="shared" si="31"/>
        <v>375000</v>
      </c>
      <c r="DR127" s="479">
        <f t="shared" si="48"/>
        <v>375000</v>
      </c>
      <c r="DS127" s="1163"/>
      <c r="DT127" s="1163"/>
      <c r="DU127" s="1163"/>
      <c r="DV127" s="1163"/>
      <c r="DW127" s="1163"/>
      <c r="DX127" s="1163"/>
      <c r="DY127" s="1163"/>
      <c r="DZ127" s="1163"/>
      <c r="EA127" s="1163"/>
      <c r="EB127" s="1163"/>
      <c r="EC127" s="1163"/>
      <c r="ED127" s="1163"/>
      <c r="EE127" s="1119">
        <f t="shared" si="28"/>
        <v>0</v>
      </c>
      <c r="EF127" s="443">
        <f t="shared" si="49"/>
        <v>0</v>
      </c>
      <c r="EG127" s="355">
        <f t="shared" si="50"/>
        <v>0</v>
      </c>
      <c r="EH127" s="443">
        <f t="shared" si="42"/>
        <v>0</v>
      </c>
      <c r="EI127" s="443">
        <f t="shared" si="42"/>
        <v>0</v>
      </c>
      <c r="EJ127" s="367">
        <v>3000013775</v>
      </c>
      <c r="EK127" s="367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</row>
    <row r="128" spans="1:156" s="8" customFormat="1" ht="15.5" outlineLevel="2">
      <c r="A128" s="367" t="s">
        <v>39</v>
      </c>
      <c r="B128" s="378"/>
      <c r="C128" s="370" t="s">
        <v>358</v>
      </c>
      <c r="D128" s="370" t="s">
        <v>40</v>
      </c>
      <c r="E128" s="379" t="s">
        <v>261</v>
      </c>
      <c r="F128" s="380">
        <v>3000018166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7">
        <f t="shared" si="4"/>
        <v>0</v>
      </c>
      <c r="T128" s="179"/>
      <c r="U128" s="178">
        <v>0</v>
      </c>
      <c r="V128" s="178">
        <v>0</v>
      </c>
      <c r="W128" s="178">
        <v>0</v>
      </c>
      <c r="X128" s="178">
        <v>565620640</v>
      </c>
      <c r="Y128" s="178">
        <v>706445413</v>
      </c>
      <c r="Z128" s="178">
        <v>404451200</v>
      </c>
      <c r="AA128" s="178">
        <v>214203869</v>
      </c>
      <c r="AB128" s="178">
        <v>234609494</v>
      </c>
      <c r="AC128" s="178">
        <v>268506985</v>
      </c>
      <c r="AD128" s="178">
        <v>308760516</v>
      </c>
      <c r="AE128" s="178">
        <v>274650898</v>
      </c>
      <c r="AF128" s="178">
        <v>256900771</v>
      </c>
      <c r="AG128" s="518">
        <f t="shared" si="5"/>
        <v>3234149786</v>
      </c>
      <c r="AH128" s="788"/>
      <c r="AI128" s="789">
        <v>263123527</v>
      </c>
      <c r="AJ128" s="517">
        <v>266180582</v>
      </c>
      <c r="AK128" s="518">
        <v>222626240</v>
      </c>
      <c r="AL128" s="518">
        <v>178903571</v>
      </c>
      <c r="AM128" s="518">
        <v>60024305</v>
      </c>
      <c r="AN128" s="518">
        <v>164647739</v>
      </c>
      <c r="AO128" s="518">
        <v>98682270</v>
      </c>
      <c r="AP128" s="518">
        <v>114259840</v>
      </c>
      <c r="AQ128" s="518">
        <v>175748896</v>
      </c>
      <c r="AR128" s="518">
        <v>176052576</v>
      </c>
      <c r="AS128" s="518">
        <v>142966464</v>
      </c>
      <c r="AT128" s="518">
        <v>125583912</v>
      </c>
      <c r="AU128" s="518">
        <f t="shared" si="58"/>
        <v>200000000</v>
      </c>
      <c r="AV128" s="518">
        <f t="shared" si="58"/>
        <v>200000000</v>
      </c>
      <c r="AW128" s="518">
        <f t="shared" si="58"/>
        <v>200000000</v>
      </c>
      <c r="AX128" s="518">
        <f t="shared" si="45"/>
        <v>1988799922</v>
      </c>
      <c r="AY128" s="788"/>
      <c r="AZ128" s="789">
        <v>263123527</v>
      </c>
      <c r="BA128" s="517">
        <v>266180582</v>
      </c>
      <c r="BB128" s="518">
        <v>222626240</v>
      </c>
      <c r="BC128" s="518">
        <v>178903571</v>
      </c>
      <c r="BD128" s="518">
        <v>60024305</v>
      </c>
      <c r="BE128" s="518">
        <v>164647739</v>
      </c>
      <c r="BF128" s="518">
        <v>98682270</v>
      </c>
      <c r="BG128" s="518">
        <f t="shared" si="41"/>
        <v>114259840</v>
      </c>
      <c r="BH128" s="518">
        <v>180000000</v>
      </c>
      <c r="BI128" s="518">
        <v>200000000</v>
      </c>
      <c r="BJ128" s="518">
        <v>200000000</v>
      </c>
      <c r="BK128" s="518">
        <v>200000000</v>
      </c>
      <c r="BL128" s="518">
        <f t="shared" si="46"/>
        <v>2148448074</v>
      </c>
      <c r="BM128" s="3"/>
      <c r="BN128" s="518">
        <v>200000000</v>
      </c>
      <c r="BO128" s="518">
        <v>200000000</v>
      </c>
      <c r="BP128" s="518">
        <v>200000000</v>
      </c>
      <c r="BQ128" s="518">
        <v>200000000</v>
      </c>
      <c r="BR128" s="518">
        <v>120000000</v>
      </c>
      <c r="BS128" s="518">
        <v>150000000</v>
      </c>
      <c r="BT128" s="518">
        <v>200000000</v>
      </c>
      <c r="BU128" s="518">
        <v>250000000</v>
      </c>
      <c r="BV128" s="518">
        <v>250000000</v>
      </c>
      <c r="BW128" s="518">
        <v>250000000</v>
      </c>
      <c r="BX128" s="518">
        <v>200000000</v>
      </c>
      <c r="BY128" s="518">
        <v>200000000</v>
      </c>
      <c r="BZ128" s="791">
        <v>2420000000</v>
      </c>
      <c r="CA128" s="3"/>
      <c r="CB128" s="518">
        <v>200000000</v>
      </c>
      <c r="CC128" s="518">
        <v>200000000</v>
      </c>
      <c r="CD128" s="518">
        <v>200000000</v>
      </c>
      <c r="CE128" s="518">
        <v>200000000</v>
      </c>
      <c r="CF128" s="518">
        <v>120000000</v>
      </c>
      <c r="CG128" s="518">
        <v>150000000</v>
      </c>
      <c r="CH128" s="518">
        <v>200000000</v>
      </c>
      <c r="CI128" s="518">
        <v>250000000</v>
      </c>
      <c r="CJ128" s="518">
        <v>250000000</v>
      </c>
      <c r="CK128" s="518">
        <v>250000000</v>
      </c>
      <c r="CL128" s="518">
        <v>200000000</v>
      </c>
      <c r="CM128" s="518">
        <v>200000000</v>
      </c>
      <c r="CN128" s="791">
        <v>2420000000</v>
      </c>
      <c r="CO128" s="3"/>
      <c r="CP128" s="647">
        <v>122324680</v>
      </c>
      <c r="CQ128" s="647">
        <v>134877840</v>
      </c>
      <c r="CR128" s="518">
        <v>122324680</v>
      </c>
      <c r="CS128" s="647">
        <v>131774520</v>
      </c>
      <c r="CT128" s="518">
        <v>130000000</v>
      </c>
      <c r="CU128" s="647">
        <v>49128960</v>
      </c>
      <c r="CV128" s="518">
        <v>130000000</v>
      </c>
      <c r="CW128" s="647">
        <v>84789200</v>
      </c>
      <c r="CX128" s="518">
        <v>130000000</v>
      </c>
      <c r="CY128" s="647">
        <v>103184000</v>
      </c>
      <c r="CZ128" s="518">
        <v>130000000</v>
      </c>
      <c r="DA128" s="647">
        <v>90442280</v>
      </c>
      <c r="DB128" s="518">
        <v>130000000</v>
      </c>
      <c r="DC128" s="647">
        <v>119770880</v>
      </c>
      <c r="DD128" s="518">
        <v>130000000</v>
      </c>
      <c r="DE128" s="518"/>
      <c r="DF128" s="518">
        <v>130000000</v>
      </c>
      <c r="DG128" s="748">
        <v>130000000</v>
      </c>
      <c r="DH128" s="518"/>
      <c r="DI128" s="518">
        <v>130000000</v>
      </c>
      <c r="DJ128" s="748">
        <v>130000000</v>
      </c>
      <c r="DK128" s="518"/>
      <c r="DL128" s="518">
        <v>130000000</v>
      </c>
      <c r="DM128" s="748">
        <v>130000000</v>
      </c>
      <c r="DN128" s="518"/>
      <c r="DO128" s="518">
        <v>130000000</v>
      </c>
      <c r="DP128" s="748">
        <v>130000000</v>
      </c>
      <c r="DQ128" s="493">
        <f t="shared" si="31"/>
        <v>1356292360</v>
      </c>
      <c r="DR128" s="479">
        <f t="shared" si="48"/>
        <v>1478106000</v>
      </c>
      <c r="DS128" s="1163">
        <v>200000000</v>
      </c>
      <c r="DT128" s="1163">
        <v>200000000</v>
      </c>
      <c r="DU128" s="1163">
        <v>200000000</v>
      </c>
      <c r="DV128" s="1163">
        <v>120000000</v>
      </c>
      <c r="DW128" s="1163">
        <v>120000000</v>
      </c>
      <c r="DX128" s="1163">
        <v>250000000</v>
      </c>
      <c r="DY128" s="1163">
        <v>250000000</v>
      </c>
      <c r="DZ128" s="1163">
        <v>250000000</v>
      </c>
      <c r="EA128" s="1163">
        <v>250000000</v>
      </c>
      <c r="EB128" s="1163">
        <v>250000000</v>
      </c>
      <c r="EC128" s="1163">
        <v>250000000</v>
      </c>
      <c r="ED128" s="1163">
        <v>250000000</v>
      </c>
      <c r="EE128" s="1119">
        <f t="shared" si="28"/>
        <v>2590000000</v>
      </c>
      <c r="EF128" s="443">
        <f t="shared" si="49"/>
        <v>3030300000</v>
      </c>
      <c r="EG128" s="355">
        <f t="shared" si="50"/>
        <v>3272724000</v>
      </c>
      <c r="EH128" s="443">
        <f t="shared" si="42"/>
        <v>3567269160.0000005</v>
      </c>
      <c r="EI128" s="443">
        <f t="shared" si="42"/>
        <v>3888323384.4000006</v>
      </c>
      <c r="EJ128" s="367">
        <v>3000018166</v>
      </c>
      <c r="EK128" s="367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</row>
    <row r="129" spans="1:156" ht="15.5" outlineLevel="2">
      <c r="A129" s="367" t="s">
        <v>39</v>
      </c>
      <c r="B129" s="378"/>
      <c r="C129" s="370" t="s">
        <v>358</v>
      </c>
      <c r="D129" s="370" t="s">
        <v>40</v>
      </c>
      <c r="E129" s="379" t="s">
        <v>448</v>
      </c>
      <c r="F129" s="380">
        <v>3000007757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226260995</v>
      </c>
      <c r="P129" s="178">
        <v>194854655</v>
      </c>
      <c r="Q129" s="178">
        <v>410844835</v>
      </c>
      <c r="R129" s="178">
        <v>158421911</v>
      </c>
      <c r="S129" s="7">
        <f t="shared" si="4"/>
        <v>990382396</v>
      </c>
      <c r="T129" s="179"/>
      <c r="U129" s="178">
        <v>215055136</v>
      </c>
      <c r="V129" s="178">
        <v>134909982</v>
      </c>
      <c r="W129" s="178">
        <v>134874268</v>
      </c>
      <c r="X129" s="178">
        <v>77200290</v>
      </c>
      <c r="Y129" s="178">
        <v>104031070</v>
      </c>
      <c r="Z129" s="178">
        <v>137056417</v>
      </c>
      <c r="AA129" s="178">
        <v>181728197</v>
      </c>
      <c r="AB129" s="178">
        <v>107925638</v>
      </c>
      <c r="AC129" s="178">
        <v>91369067</v>
      </c>
      <c r="AD129" s="178">
        <v>75833392</v>
      </c>
      <c r="AE129" s="178">
        <v>26734898</v>
      </c>
      <c r="AF129" s="178">
        <v>65151610</v>
      </c>
      <c r="AG129" s="518">
        <f t="shared" si="5"/>
        <v>1351869965</v>
      </c>
      <c r="AH129" s="788"/>
      <c r="AI129" s="789">
        <v>92408274</v>
      </c>
      <c r="AJ129" s="517">
        <v>53626830</v>
      </c>
      <c r="AK129" s="518">
        <v>79454525</v>
      </c>
      <c r="AL129" s="518">
        <v>77254903</v>
      </c>
      <c r="AM129" s="518">
        <v>15250000</v>
      </c>
      <c r="AN129" s="518">
        <v>6134565</v>
      </c>
      <c r="AO129" s="518">
        <v>1955669</v>
      </c>
      <c r="AP129" s="518">
        <v>8344991</v>
      </c>
      <c r="AQ129" s="518">
        <v>3911338</v>
      </c>
      <c r="AR129" s="518">
        <v>5081700</v>
      </c>
      <c r="AS129" s="518">
        <v>9055831</v>
      </c>
      <c r="AT129" s="518">
        <v>11318345</v>
      </c>
      <c r="AU129" s="518">
        <f t="shared" si="58"/>
        <v>6134565</v>
      </c>
      <c r="AV129" s="518">
        <f t="shared" si="58"/>
        <v>6134565</v>
      </c>
      <c r="AW129" s="518">
        <f t="shared" si="58"/>
        <v>6134565</v>
      </c>
      <c r="AX129" s="518">
        <f t="shared" si="45"/>
        <v>363796971</v>
      </c>
      <c r="AY129" s="788"/>
      <c r="AZ129" s="789">
        <v>92408274</v>
      </c>
      <c r="BA129" s="517">
        <v>53626830</v>
      </c>
      <c r="BB129" s="518">
        <v>79454525</v>
      </c>
      <c r="BC129" s="518">
        <v>77254903</v>
      </c>
      <c r="BD129" s="518">
        <v>15250000</v>
      </c>
      <c r="BE129" s="518">
        <v>6134565</v>
      </c>
      <c r="BF129" s="518">
        <v>1955669</v>
      </c>
      <c r="BG129" s="518">
        <f t="shared" si="41"/>
        <v>8344991</v>
      </c>
      <c r="BH129" s="518">
        <v>6134565</v>
      </c>
      <c r="BI129" s="518">
        <v>6134565</v>
      </c>
      <c r="BJ129" s="518">
        <v>6134565</v>
      </c>
      <c r="BK129" s="518">
        <v>6134565</v>
      </c>
      <c r="BL129" s="518">
        <f t="shared" si="46"/>
        <v>358968017</v>
      </c>
      <c r="BN129" s="518">
        <v>7000000</v>
      </c>
      <c r="BO129" s="518">
        <v>7000000</v>
      </c>
      <c r="BP129" s="518">
        <v>7000000</v>
      </c>
      <c r="BQ129" s="518">
        <v>7000000</v>
      </c>
      <c r="BR129" s="518">
        <v>7000000</v>
      </c>
      <c r="BS129" s="518">
        <v>7000000</v>
      </c>
      <c r="BT129" s="518">
        <v>7000000</v>
      </c>
      <c r="BU129" s="518">
        <v>7000000</v>
      </c>
      <c r="BV129" s="518">
        <v>7000000</v>
      </c>
      <c r="BW129" s="518">
        <v>7000000</v>
      </c>
      <c r="BX129" s="518">
        <v>7000000</v>
      </c>
      <c r="BY129" s="518">
        <v>7000000</v>
      </c>
      <c r="BZ129" s="791">
        <v>84000000</v>
      </c>
      <c r="CB129" s="518">
        <v>7000000</v>
      </c>
      <c r="CC129" s="518">
        <v>7000000</v>
      </c>
      <c r="CD129" s="518">
        <v>7000000</v>
      </c>
      <c r="CE129" s="518">
        <v>7000000</v>
      </c>
      <c r="CF129" s="518">
        <v>7000000</v>
      </c>
      <c r="CG129" s="518">
        <v>7000000</v>
      </c>
      <c r="CH129" s="518">
        <v>7000000</v>
      </c>
      <c r="CI129" s="518">
        <v>7000000</v>
      </c>
      <c r="CJ129" s="518">
        <v>7000000</v>
      </c>
      <c r="CK129" s="518">
        <v>7000000</v>
      </c>
      <c r="CL129" s="518">
        <v>7000000</v>
      </c>
      <c r="CM129" s="518">
        <v>7000000</v>
      </c>
      <c r="CN129" s="791">
        <v>84000000</v>
      </c>
      <c r="CP129" s="647">
        <v>14021063</v>
      </c>
      <c r="CQ129" s="647">
        <v>36459052</v>
      </c>
      <c r="CR129" s="518">
        <v>14021063</v>
      </c>
      <c r="CS129" s="647">
        <v>50995778</v>
      </c>
      <c r="CT129" s="518">
        <v>14021063</v>
      </c>
      <c r="CU129" s="647">
        <v>131832409</v>
      </c>
      <c r="CV129" s="518">
        <v>14021063</v>
      </c>
      <c r="CW129" s="647">
        <v>78436141</v>
      </c>
      <c r="CX129" s="518">
        <v>14021063</v>
      </c>
      <c r="CY129" s="647">
        <v>74588349</v>
      </c>
      <c r="CZ129" s="518">
        <v>14021063</v>
      </c>
      <c r="DA129" s="647">
        <v>108190122</v>
      </c>
      <c r="DB129" s="518">
        <v>14021063</v>
      </c>
      <c r="DC129" s="647">
        <v>69806692</v>
      </c>
      <c r="DD129" s="518">
        <v>14021063</v>
      </c>
      <c r="DE129" s="518"/>
      <c r="DF129" s="518">
        <v>14021063</v>
      </c>
      <c r="DG129" s="748">
        <v>70000000</v>
      </c>
      <c r="DH129" s="518"/>
      <c r="DI129" s="518">
        <v>14021063</v>
      </c>
      <c r="DJ129" s="748">
        <v>70000000</v>
      </c>
      <c r="DK129" s="518"/>
      <c r="DL129" s="518">
        <v>14021063</v>
      </c>
      <c r="DM129" s="748">
        <v>70000000</v>
      </c>
      <c r="DN129" s="518"/>
      <c r="DO129" s="518">
        <v>14021063</v>
      </c>
      <c r="DP129" s="748">
        <v>70000000</v>
      </c>
      <c r="DQ129" s="493">
        <f t="shared" si="31"/>
        <v>620413858</v>
      </c>
      <c r="DR129" s="479">
        <f t="shared" si="48"/>
        <v>569392554</v>
      </c>
      <c r="DS129" s="1163">
        <v>80000000</v>
      </c>
      <c r="DT129" s="1163">
        <v>80000000</v>
      </c>
      <c r="DU129" s="1163">
        <v>80000000</v>
      </c>
      <c r="DV129" s="1163">
        <v>80000000</v>
      </c>
      <c r="DW129" s="1163">
        <v>60000000</v>
      </c>
      <c r="DX129" s="1163">
        <v>70000000</v>
      </c>
      <c r="DY129" s="1163">
        <v>90000000</v>
      </c>
      <c r="DZ129" s="1163">
        <v>90000000</v>
      </c>
      <c r="EA129" s="1163">
        <v>90000000</v>
      </c>
      <c r="EB129" s="1163">
        <v>80000000</v>
      </c>
      <c r="EC129" s="1163">
        <v>80000000</v>
      </c>
      <c r="ED129" s="1163">
        <v>80000000</v>
      </c>
      <c r="EE129" s="1119">
        <f t="shared" si="28"/>
        <v>960000000</v>
      </c>
      <c r="EF129" s="443">
        <f t="shared" si="49"/>
        <v>1123200000</v>
      </c>
      <c r="EG129" s="355">
        <f t="shared" si="50"/>
        <v>1213056000</v>
      </c>
      <c r="EH129" s="443">
        <f t="shared" si="42"/>
        <v>1322231040</v>
      </c>
      <c r="EI129" s="443">
        <f t="shared" si="42"/>
        <v>1441231833.6000001</v>
      </c>
      <c r="EJ129" s="367">
        <v>3000007757</v>
      </c>
    </row>
    <row r="130" spans="1:156" ht="15.5" outlineLevel="2">
      <c r="A130" s="367" t="s">
        <v>39</v>
      </c>
      <c r="B130" s="378"/>
      <c r="C130" s="370" t="s">
        <v>358</v>
      </c>
      <c r="D130" s="370" t="s">
        <v>40</v>
      </c>
      <c r="E130" s="379" t="s">
        <v>449</v>
      </c>
      <c r="F130" s="380">
        <v>8000000031</v>
      </c>
      <c r="G130" s="178">
        <v>13020000</v>
      </c>
      <c r="H130" s="178">
        <v>13020000</v>
      </c>
      <c r="I130" s="178">
        <v>13020000</v>
      </c>
      <c r="J130" s="178">
        <v>13020000</v>
      </c>
      <c r="K130" s="178">
        <v>13020000</v>
      </c>
      <c r="L130" s="178">
        <v>13020000</v>
      </c>
      <c r="M130" s="178">
        <v>13020000</v>
      </c>
      <c r="N130" s="178">
        <v>13020000</v>
      </c>
      <c r="O130" s="178">
        <v>13020000</v>
      </c>
      <c r="P130" s="178">
        <v>13020000</v>
      </c>
      <c r="Q130" s="178">
        <v>13020000</v>
      </c>
      <c r="R130" s="178">
        <v>13020000</v>
      </c>
      <c r="S130" s="7">
        <f t="shared" si="4"/>
        <v>156240000</v>
      </c>
      <c r="T130" s="179"/>
      <c r="U130" s="178">
        <v>13020000</v>
      </c>
      <c r="V130" s="178">
        <v>13020000</v>
      </c>
      <c r="W130" s="178">
        <v>13020000</v>
      </c>
      <c r="X130" s="178">
        <v>13020000</v>
      </c>
      <c r="Y130" s="178">
        <v>13020000</v>
      </c>
      <c r="Z130" s="178">
        <v>13020000</v>
      </c>
      <c r="AA130" s="178">
        <v>13020000</v>
      </c>
      <c r="AB130" s="178">
        <v>13020000</v>
      </c>
      <c r="AC130" s="178">
        <v>13020000</v>
      </c>
      <c r="AD130" s="178">
        <v>13020000</v>
      </c>
      <c r="AE130" s="178">
        <v>13020000</v>
      </c>
      <c r="AF130" s="178">
        <v>13020000</v>
      </c>
      <c r="AG130" s="518">
        <f t="shared" si="5"/>
        <v>156240000</v>
      </c>
      <c r="AH130" s="788"/>
      <c r="AI130" s="789">
        <v>13020000</v>
      </c>
      <c r="AJ130" s="517">
        <v>6830000</v>
      </c>
      <c r="AK130" s="518">
        <v>0</v>
      </c>
      <c r="AL130" s="518">
        <v>0</v>
      </c>
      <c r="AM130" s="518">
        <v>0</v>
      </c>
      <c r="AN130" s="518">
        <v>0</v>
      </c>
      <c r="AO130" s="518">
        <v>0</v>
      </c>
      <c r="AP130" s="518">
        <v>0</v>
      </c>
      <c r="AQ130" s="518">
        <v>0</v>
      </c>
      <c r="AR130" s="518"/>
      <c r="AS130" s="518"/>
      <c r="AT130" s="518"/>
      <c r="AU130" s="518">
        <f t="shared" si="58"/>
        <v>0</v>
      </c>
      <c r="AV130" s="518">
        <f t="shared" si="58"/>
        <v>0</v>
      </c>
      <c r="AW130" s="518">
        <f t="shared" si="58"/>
        <v>0</v>
      </c>
      <c r="AX130" s="518">
        <f t="shared" si="45"/>
        <v>19850000</v>
      </c>
      <c r="AY130" s="788"/>
      <c r="AZ130" s="789">
        <v>13020000</v>
      </c>
      <c r="BA130" s="517">
        <v>6830000</v>
      </c>
      <c r="BB130" s="518">
        <v>0</v>
      </c>
      <c r="BC130" s="518">
        <v>0</v>
      </c>
      <c r="BD130" s="518">
        <v>0</v>
      </c>
      <c r="BE130" s="518">
        <v>0</v>
      </c>
      <c r="BF130" s="518">
        <v>0</v>
      </c>
      <c r="BG130" s="518">
        <f t="shared" si="41"/>
        <v>0</v>
      </c>
      <c r="BH130" s="518">
        <v>0</v>
      </c>
      <c r="BI130" s="518">
        <v>0</v>
      </c>
      <c r="BJ130" s="518">
        <v>0</v>
      </c>
      <c r="BK130" s="518">
        <v>0</v>
      </c>
      <c r="BL130" s="518">
        <f t="shared" si="46"/>
        <v>19850000</v>
      </c>
      <c r="BN130" s="518">
        <v>0</v>
      </c>
      <c r="BO130" s="518">
        <v>0</v>
      </c>
      <c r="BP130" s="518">
        <v>0</v>
      </c>
      <c r="BQ130" s="518">
        <v>0</v>
      </c>
      <c r="BR130" s="518">
        <v>0</v>
      </c>
      <c r="BS130" s="518">
        <v>0</v>
      </c>
      <c r="BT130" s="518">
        <v>0</v>
      </c>
      <c r="BU130" s="518">
        <v>0</v>
      </c>
      <c r="BV130" s="518">
        <v>0</v>
      </c>
      <c r="BW130" s="518">
        <v>0</v>
      </c>
      <c r="BX130" s="518">
        <v>0</v>
      </c>
      <c r="BY130" s="518">
        <v>0</v>
      </c>
      <c r="BZ130" s="791">
        <v>0</v>
      </c>
      <c r="CB130" s="518">
        <v>0</v>
      </c>
      <c r="CC130" s="518">
        <v>0</v>
      </c>
      <c r="CD130" s="518">
        <v>0</v>
      </c>
      <c r="CE130" s="518">
        <v>0</v>
      </c>
      <c r="CF130" s="518">
        <v>0</v>
      </c>
      <c r="CG130" s="518">
        <v>0</v>
      </c>
      <c r="CH130" s="518">
        <v>0</v>
      </c>
      <c r="CI130" s="518">
        <v>0</v>
      </c>
      <c r="CJ130" s="518">
        <v>0</v>
      </c>
      <c r="CK130" s="518">
        <v>0</v>
      </c>
      <c r="CL130" s="518">
        <v>0</v>
      </c>
      <c r="CM130" s="518">
        <v>0</v>
      </c>
      <c r="CN130" s="791">
        <v>0</v>
      </c>
      <c r="CP130" s="647"/>
      <c r="CQ130" s="647"/>
      <c r="CR130" s="518"/>
      <c r="CS130" s="647"/>
      <c r="CT130" s="518"/>
      <c r="CU130" s="647"/>
      <c r="CV130" s="518"/>
      <c r="CW130" s="647"/>
      <c r="CX130" s="518"/>
      <c r="CY130" s="647"/>
      <c r="CZ130" s="518"/>
      <c r="DA130" s="647"/>
      <c r="DB130" s="518"/>
      <c r="DC130" s="647">
        <v>0</v>
      </c>
      <c r="DD130" s="518"/>
      <c r="DE130" s="518"/>
      <c r="DF130" s="518"/>
      <c r="DG130" s="748"/>
      <c r="DH130" s="518"/>
      <c r="DI130" s="518"/>
      <c r="DJ130" s="748"/>
      <c r="DK130" s="518"/>
      <c r="DL130" s="518"/>
      <c r="DM130" s="748"/>
      <c r="DN130" s="518"/>
      <c r="DO130" s="518"/>
      <c r="DP130" s="748"/>
      <c r="DQ130" s="493">
        <f t="shared" si="31"/>
        <v>0</v>
      </c>
      <c r="DR130" s="479">
        <f t="shared" si="48"/>
        <v>0</v>
      </c>
      <c r="DS130" s="1163"/>
      <c r="DT130" s="1163"/>
      <c r="DU130" s="1163"/>
      <c r="DV130" s="1163"/>
      <c r="DW130" s="1163"/>
      <c r="DX130" s="1163"/>
      <c r="DY130" s="1163"/>
      <c r="DZ130" s="1163"/>
      <c r="EA130" s="1163"/>
      <c r="EB130" s="1163"/>
      <c r="EC130" s="1163"/>
      <c r="ED130" s="1163"/>
      <c r="EE130" s="1119">
        <f t="shared" si="28"/>
        <v>0</v>
      </c>
      <c r="EF130" s="443">
        <f t="shared" si="49"/>
        <v>0</v>
      </c>
      <c r="EG130" s="355">
        <f t="shared" si="50"/>
        <v>0</v>
      </c>
      <c r="EH130" s="443">
        <f t="shared" si="42"/>
        <v>0</v>
      </c>
      <c r="EI130" s="443">
        <f t="shared" si="42"/>
        <v>0</v>
      </c>
      <c r="EJ130" s="367">
        <v>8000000031</v>
      </c>
    </row>
    <row r="131" spans="1:156" ht="15.5" outlineLevel="2">
      <c r="A131" s="367" t="s">
        <v>39</v>
      </c>
      <c r="B131" s="378"/>
      <c r="C131" s="370" t="s">
        <v>358</v>
      </c>
      <c r="D131" s="370" t="s">
        <v>108</v>
      </c>
      <c r="E131" s="379" t="s">
        <v>450</v>
      </c>
      <c r="F131" s="380" t="s">
        <v>451</v>
      </c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7"/>
      <c r="T131" s="179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518"/>
      <c r="AH131" s="788"/>
      <c r="AI131" s="789"/>
      <c r="AJ131" s="517"/>
      <c r="AK131" s="518"/>
      <c r="AL131" s="518"/>
      <c r="AM131" s="518"/>
      <c r="AN131" s="518"/>
      <c r="AO131" s="518"/>
      <c r="AP131" s="518"/>
      <c r="AQ131" s="518"/>
      <c r="AR131" s="518"/>
      <c r="AS131" s="518"/>
      <c r="AT131" s="518"/>
      <c r="AU131" s="518"/>
      <c r="AV131" s="518"/>
      <c r="AW131" s="518"/>
      <c r="AX131" s="518"/>
      <c r="AY131" s="788"/>
      <c r="AZ131" s="789"/>
      <c r="BA131" s="517"/>
      <c r="BB131" s="518"/>
      <c r="BC131" s="518"/>
      <c r="BD131" s="518"/>
      <c r="BE131" s="518"/>
      <c r="BF131" s="518"/>
      <c r="BG131" s="518"/>
      <c r="BH131" s="518"/>
      <c r="BI131" s="518"/>
      <c r="BJ131" s="518"/>
      <c r="BK131" s="518"/>
      <c r="BL131" s="518"/>
      <c r="BN131" s="518"/>
      <c r="BO131" s="518"/>
      <c r="BP131" s="518"/>
      <c r="BQ131" s="518"/>
      <c r="BR131" s="518"/>
      <c r="BS131" s="518"/>
      <c r="BT131" s="518"/>
      <c r="BU131" s="518"/>
      <c r="BV131" s="518"/>
      <c r="BW131" s="518"/>
      <c r="BX131" s="518"/>
      <c r="BY131" s="518"/>
      <c r="BZ131" s="791"/>
      <c r="CB131" s="518"/>
      <c r="CC131" s="518"/>
      <c r="CD131" s="518"/>
      <c r="CE131" s="518"/>
      <c r="CF131" s="518"/>
      <c r="CG131" s="518"/>
      <c r="CH131" s="518"/>
      <c r="CI131" s="518"/>
      <c r="CJ131" s="518"/>
      <c r="CK131" s="518"/>
      <c r="CL131" s="518"/>
      <c r="CM131" s="518"/>
      <c r="CN131" s="791"/>
      <c r="CP131" s="647"/>
      <c r="CQ131" s="647">
        <v>20320000</v>
      </c>
      <c r="CR131" s="518"/>
      <c r="CS131" s="647">
        <v>26010000</v>
      </c>
      <c r="CT131" s="518"/>
      <c r="CU131" s="647">
        <v>32790000</v>
      </c>
      <c r="CV131" s="518"/>
      <c r="CW131" s="647">
        <v>28670000</v>
      </c>
      <c r="CX131" s="518"/>
      <c r="CY131" s="647">
        <v>28850000</v>
      </c>
      <c r="CZ131" s="518"/>
      <c r="DA131" s="647">
        <v>14620000</v>
      </c>
      <c r="DB131" s="518"/>
      <c r="DC131" s="647">
        <v>1400000</v>
      </c>
      <c r="DD131" s="518"/>
      <c r="DE131" s="518"/>
      <c r="DF131" s="518"/>
      <c r="DG131" s="748"/>
      <c r="DH131" s="518"/>
      <c r="DI131" s="518"/>
      <c r="DJ131" s="748"/>
      <c r="DK131" s="518"/>
      <c r="DL131" s="518"/>
      <c r="DM131" s="748"/>
      <c r="DN131" s="518"/>
      <c r="DO131" s="518"/>
      <c r="DP131" s="748"/>
      <c r="DQ131" s="493">
        <f t="shared" si="31"/>
        <v>152660000</v>
      </c>
      <c r="DR131" s="479">
        <f t="shared" si="48"/>
        <v>79120000</v>
      </c>
      <c r="DS131" s="1163"/>
      <c r="DT131" s="1163"/>
      <c r="DU131" s="1163"/>
      <c r="DV131" s="1163"/>
      <c r="DW131" s="1163"/>
      <c r="DX131" s="1163"/>
      <c r="DY131" s="1163"/>
      <c r="DZ131" s="1163"/>
      <c r="EA131" s="1163"/>
      <c r="EB131" s="1163"/>
      <c r="EC131" s="1163"/>
      <c r="ED131" s="1163"/>
      <c r="EE131" s="1119">
        <f t="shared" si="28"/>
        <v>0</v>
      </c>
      <c r="EF131" s="443">
        <f t="shared" si="49"/>
        <v>0</v>
      </c>
      <c r="EG131" s="355">
        <f t="shared" si="50"/>
        <v>0</v>
      </c>
      <c r="EH131" s="443">
        <f t="shared" si="42"/>
        <v>0</v>
      </c>
      <c r="EI131" s="443">
        <f t="shared" si="42"/>
        <v>0</v>
      </c>
    </row>
    <row r="132" spans="1:156" s="8" customFormat="1" ht="15.5" outlineLevel="2">
      <c r="A132" s="367" t="s">
        <v>43</v>
      </c>
      <c r="B132" s="378"/>
      <c r="C132" s="370" t="s">
        <v>358</v>
      </c>
      <c r="D132" s="370" t="s">
        <v>40</v>
      </c>
      <c r="E132" s="379" t="s">
        <v>452</v>
      </c>
      <c r="F132" s="380">
        <v>3000019439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7">
        <f>SUM(G132,H132,I132,J132,K132,L132,M132,N132,O132,P132,Q132,R132)</f>
        <v>0</v>
      </c>
      <c r="T132" s="179"/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518">
        <f>SUM(U132,V132,W132,X132,Y132,Z132,AA132,AB132,AC132,AD132,AE132,AF132)</f>
        <v>0</v>
      </c>
      <c r="AH132" s="788"/>
      <c r="AI132" s="789"/>
      <c r="AJ132" s="517">
        <v>25000000</v>
      </c>
      <c r="AK132" s="518">
        <v>0</v>
      </c>
      <c r="AL132" s="518">
        <v>0</v>
      </c>
      <c r="AM132" s="518">
        <v>0</v>
      </c>
      <c r="AN132" s="518">
        <v>0</v>
      </c>
      <c r="AO132" s="518">
        <v>0</v>
      </c>
      <c r="AP132" s="518">
        <v>0</v>
      </c>
      <c r="AQ132" s="518">
        <v>0</v>
      </c>
      <c r="AR132" s="518"/>
      <c r="AS132" s="518"/>
      <c r="AT132" s="518"/>
      <c r="AU132" s="518">
        <f t="shared" ref="AU132:AW135" si="59">BI132</f>
        <v>0</v>
      </c>
      <c r="AV132" s="518">
        <f t="shared" si="59"/>
        <v>0</v>
      </c>
      <c r="AW132" s="518">
        <f t="shared" si="59"/>
        <v>0</v>
      </c>
      <c r="AX132" s="518">
        <f>SUM(AI132,AJ132,AK132,AL132,AM132,AN132,AO132,AP132,AQ132,AR132,AS132,AT132)</f>
        <v>25000000</v>
      </c>
      <c r="AY132" s="788"/>
      <c r="AZ132" s="789"/>
      <c r="BA132" s="517">
        <v>25000000</v>
      </c>
      <c r="BB132" s="518">
        <v>0</v>
      </c>
      <c r="BC132" s="518">
        <v>0</v>
      </c>
      <c r="BD132" s="518">
        <v>0</v>
      </c>
      <c r="BE132" s="518">
        <v>0</v>
      </c>
      <c r="BF132" s="518">
        <v>0</v>
      </c>
      <c r="BG132" s="518">
        <f>AP132</f>
        <v>0</v>
      </c>
      <c r="BH132" s="518">
        <v>0</v>
      </c>
      <c r="BI132" s="518">
        <v>0</v>
      </c>
      <c r="BJ132" s="518">
        <v>0</v>
      </c>
      <c r="BK132" s="518">
        <v>0</v>
      </c>
      <c r="BL132" s="518">
        <f>SUM(AZ132,BA132,BB132,BC132,BD132,BE132,BF132,BG132,BH132,BI132,BJ132,BK132)</f>
        <v>25000000</v>
      </c>
      <c r="BM132" s="3"/>
      <c r="BN132" s="518">
        <v>0</v>
      </c>
      <c r="BO132" s="518">
        <v>0</v>
      </c>
      <c r="BP132" s="518">
        <v>0</v>
      </c>
      <c r="BQ132" s="518">
        <v>0</v>
      </c>
      <c r="BR132" s="518">
        <v>0</v>
      </c>
      <c r="BS132" s="518">
        <v>0</v>
      </c>
      <c r="BT132" s="518">
        <v>0</v>
      </c>
      <c r="BU132" s="518">
        <v>0</v>
      </c>
      <c r="BV132" s="518">
        <v>0</v>
      </c>
      <c r="BW132" s="518">
        <v>0</v>
      </c>
      <c r="BX132" s="518">
        <v>0</v>
      </c>
      <c r="BY132" s="518">
        <v>0</v>
      </c>
      <c r="BZ132" s="791">
        <v>0</v>
      </c>
      <c r="CA132" s="3"/>
      <c r="CB132" s="518">
        <v>0</v>
      </c>
      <c r="CC132" s="518">
        <v>0</v>
      </c>
      <c r="CD132" s="518">
        <v>0</v>
      </c>
      <c r="CE132" s="518">
        <v>0</v>
      </c>
      <c r="CF132" s="518">
        <v>0</v>
      </c>
      <c r="CG132" s="518">
        <v>0</v>
      </c>
      <c r="CH132" s="518">
        <v>0</v>
      </c>
      <c r="CI132" s="518">
        <v>0</v>
      </c>
      <c r="CJ132" s="518">
        <v>0</v>
      </c>
      <c r="CK132" s="518">
        <v>0</v>
      </c>
      <c r="CL132" s="518">
        <v>0</v>
      </c>
      <c r="CM132" s="518">
        <v>0</v>
      </c>
      <c r="CN132" s="791">
        <v>0</v>
      </c>
      <c r="CO132" s="3"/>
      <c r="CP132" s="647"/>
      <c r="CQ132" s="647"/>
      <c r="CR132" s="518"/>
      <c r="CS132" s="647"/>
      <c r="CT132" s="518"/>
      <c r="CU132" s="647">
        <v>12700000</v>
      </c>
      <c r="CV132" s="518"/>
      <c r="CW132" s="647"/>
      <c r="CX132" s="518"/>
      <c r="CY132" s="647">
        <v>25400000</v>
      </c>
      <c r="CZ132" s="518"/>
      <c r="DA132" s="647">
        <v>12700000</v>
      </c>
      <c r="DB132" s="518"/>
      <c r="DC132" s="647">
        <v>12700000</v>
      </c>
      <c r="DD132" s="518"/>
      <c r="DE132" s="518"/>
      <c r="DF132" s="518"/>
      <c r="DG132" s="748"/>
      <c r="DH132" s="518"/>
      <c r="DI132" s="518"/>
      <c r="DJ132" s="748"/>
      <c r="DK132" s="518"/>
      <c r="DL132" s="518"/>
      <c r="DM132" s="748"/>
      <c r="DN132" s="518"/>
      <c r="DO132" s="518"/>
      <c r="DP132" s="748"/>
      <c r="DQ132" s="493">
        <f t="shared" si="31"/>
        <v>63500000</v>
      </c>
      <c r="DR132" s="479">
        <f t="shared" si="48"/>
        <v>12700000</v>
      </c>
      <c r="DS132" s="1163"/>
      <c r="DT132" s="1163"/>
      <c r="DU132" s="1163"/>
      <c r="DV132" s="1163"/>
      <c r="DW132" s="1163"/>
      <c r="DX132" s="1163"/>
      <c r="DY132" s="1163"/>
      <c r="DZ132" s="1163"/>
      <c r="EA132" s="1163"/>
      <c r="EB132" s="1163"/>
      <c r="EC132" s="1163"/>
      <c r="ED132" s="1163"/>
      <c r="EE132" s="1119">
        <f t="shared" si="28"/>
        <v>0</v>
      </c>
      <c r="EF132" s="443">
        <f t="shared" si="49"/>
        <v>0</v>
      </c>
      <c r="EG132" s="355">
        <f t="shared" si="50"/>
        <v>0</v>
      </c>
      <c r="EH132" s="443">
        <f t="shared" si="42"/>
        <v>0</v>
      </c>
      <c r="EI132" s="443">
        <f t="shared" si="42"/>
        <v>0</v>
      </c>
      <c r="EJ132" s="367">
        <v>3000019439</v>
      </c>
      <c r="EK132" s="367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</row>
    <row r="133" spans="1:156" ht="15.5" outlineLevel="2">
      <c r="A133" s="367" t="s">
        <v>39</v>
      </c>
      <c r="B133" s="378"/>
      <c r="C133" s="370" t="s">
        <v>358</v>
      </c>
      <c r="D133" s="370" t="s">
        <v>40</v>
      </c>
      <c r="E133" s="379" t="s">
        <v>453</v>
      </c>
      <c r="F133" s="380">
        <v>3000006108</v>
      </c>
      <c r="G133" s="178">
        <v>33600000</v>
      </c>
      <c r="H133" s="178">
        <v>33600000</v>
      </c>
      <c r="I133" s="178">
        <v>33600000</v>
      </c>
      <c r="J133" s="178">
        <v>33600000</v>
      </c>
      <c r="K133" s="178">
        <v>33600000</v>
      </c>
      <c r="L133" s="178">
        <v>33600000</v>
      </c>
      <c r="M133" s="178">
        <v>33600000</v>
      </c>
      <c r="N133" s="178">
        <v>33600000</v>
      </c>
      <c r="O133" s="178">
        <v>33600000</v>
      </c>
      <c r="P133" s="178">
        <v>33600000</v>
      </c>
      <c r="Q133" s="178">
        <v>32640000</v>
      </c>
      <c r="R133" s="178">
        <v>33600000</v>
      </c>
      <c r="S133" s="7">
        <f t="shared" si="4"/>
        <v>402240000</v>
      </c>
      <c r="T133" s="179"/>
      <c r="U133" s="178">
        <v>33600000</v>
      </c>
      <c r="V133" s="178">
        <v>33600000</v>
      </c>
      <c r="W133" s="178">
        <v>48300000</v>
      </c>
      <c r="X133" s="178">
        <v>48300000</v>
      </c>
      <c r="Y133" s="178">
        <v>48145161</v>
      </c>
      <c r="Z133" s="178">
        <v>48300000</v>
      </c>
      <c r="AA133" s="178">
        <v>48300000</v>
      </c>
      <c r="AB133" s="178">
        <v>48300000</v>
      </c>
      <c r="AC133" s="178">
        <v>48300000</v>
      </c>
      <c r="AD133" s="178">
        <v>48300000</v>
      </c>
      <c r="AE133" s="178">
        <v>48300000</v>
      </c>
      <c r="AF133" s="178">
        <v>48300000</v>
      </c>
      <c r="AG133" s="518">
        <f t="shared" si="5"/>
        <v>550045161</v>
      </c>
      <c r="AH133" s="788"/>
      <c r="AI133" s="789">
        <v>48300000</v>
      </c>
      <c r="AJ133" s="517">
        <v>48300000</v>
      </c>
      <c r="AK133" s="518">
        <v>48300000</v>
      </c>
      <c r="AL133" s="518">
        <v>48300000</v>
      </c>
      <c r="AM133" s="518">
        <v>48300000</v>
      </c>
      <c r="AN133" s="518">
        <v>48300000</v>
      </c>
      <c r="AO133" s="518">
        <v>48300000</v>
      </c>
      <c r="AP133" s="518">
        <v>48300000</v>
      </c>
      <c r="AQ133" s="518">
        <v>48300000</v>
      </c>
      <c r="AR133" s="759">
        <v>48300000</v>
      </c>
      <c r="AS133" s="759">
        <v>48300000</v>
      </c>
      <c r="AT133" s="759">
        <v>48300000</v>
      </c>
      <c r="AU133" s="518">
        <f t="shared" si="59"/>
        <v>48300000</v>
      </c>
      <c r="AV133" s="518">
        <f t="shared" si="59"/>
        <v>48300000</v>
      </c>
      <c r="AW133" s="518">
        <f t="shared" si="59"/>
        <v>48300000</v>
      </c>
      <c r="AX133" s="518">
        <f t="shared" si="45"/>
        <v>579600000</v>
      </c>
      <c r="AY133" s="788"/>
      <c r="AZ133" s="789">
        <v>48300000</v>
      </c>
      <c r="BA133" s="517">
        <v>48300000</v>
      </c>
      <c r="BB133" s="518">
        <v>48300000</v>
      </c>
      <c r="BC133" s="518">
        <v>48300000</v>
      </c>
      <c r="BD133" s="518">
        <v>48300000</v>
      </c>
      <c r="BE133" s="518">
        <v>48300000</v>
      </c>
      <c r="BF133" s="518">
        <v>48300000</v>
      </c>
      <c r="BG133" s="518">
        <f t="shared" si="41"/>
        <v>48300000</v>
      </c>
      <c r="BH133" s="518">
        <v>48300000</v>
      </c>
      <c r="BI133" s="518">
        <v>48300000</v>
      </c>
      <c r="BJ133" s="518">
        <v>48300000</v>
      </c>
      <c r="BK133" s="518">
        <v>48300000</v>
      </c>
      <c r="BL133" s="518">
        <f t="shared" si="46"/>
        <v>579600000</v>
      </c>
      <c r="BN133" s="518">
        <v>48300000</v>
      </c>
      <c r="BO133" s="518">
        <v>48300000</v>
      </c>
      <c r="BP133" s="518">
        <v>48300000</v>
      </c>
      <c r="BQ133" s="518">
        <v>48300000</v>
      </c>
      <c r="BR133" s="518">
        <v>48300000</v>
      </c>
      <c r="BS133" s="518">
        <v>48300000</v>
      </c>
      <c r="BT133" s="518">
        <v>48300000</v>
      </c>
      <c r="BU133" s="518">
        <v>48300000</v>
      </c>
      <c r="BV133" s="518">
        <v>48300000</v>
      </c>
      <c r="BW133" s="518">
        <v>48300000</v>
      </c>
      <c r="BX133" s="518">
        <v>48300000</v>
      </c>
      <c r="BY133" s="518">
        <v>48300000</v>
      </c>
      <c r="BZ133" s="791">
        <v>579600000</v>
      </c>
      <c r="CB133" s="518">
        <v>48300000</v>
      </c>
      <c r="CC133" s="518">
        <v>48300000</v>
      </c>
      <c r="CD133" s="518">
        <v>48300000</v>
      </c>
      <c r="CE133" s="518">
        <v>48300000</v>
      </c>
      <c r="CF133" s="518">
        <v>48300000</v>
      </c>
      <c r="CG133" s="518">
        <v>48300000</v>
      </c>
      <c r="CH133" s="518">
        <v>48300000</v>
      </c>
      <c r="CI133" s="518">
        <v>48300000</v>
      </c>
      <c r="CJ133" s="518">
        <v>48300000</v>
      </c>
      <c r="CK133" s="518">
        <v>48300000</v>
      </c>
      <c r="CL133" s="518">
        <v>48300000</v>
      </c>
      <c r="CM133" s="518">
        <v>48300000</v>
      </c>
      <c r="CN133" s="791">
        <v>579600000</v>
      </c>
      <c r="CP133" s="647">
        <v>47525806</v>
      </c>
      <c r="CQ133" s="647">
        <v>48300000</v>
      </c>
      <c r="CR133" s="518">
        <v>47525806</v>
      </c>
      <c r="CS133" s="647">
        <v>47957144</v>
      </c>
      <c r="CT133" s="518">
        <v>47525806</v>
      </c>
      <c r="CU133" s="647">
        <v>47614286</v>
      </c>
      <c r="CV133" s="518">
        <v>47525806</v>
      </c>
      <c r="CW133" s="647">
        <v>48145161</v>
      </c>
      <c r="CX133" s="518">
        <v>47525806</v>
      </c>
      <c r="CY133" s="647">
        <v>48300000</v>
      </c>
      <c r="CZ133" s="518">
        <v>47525806</v>
      </c>
      <c r="DA133" s="647">
        <v>48300000</v>
      </c>
      <c r="DB133" s="518">
        <v>47525806</v>
      </c>
      <c r="DC133" s="647">
        <v>48300000</v>
      </c>
      <c r="DD133" s="518">
        <v>47525806</v>
      </c>
      <c r="DE133" s="518"/>
      <c r="DF133" s="518">
        <v>47525806</v>
      </c>
      <c r="DG133" s="748">
        <v>47525806</v>
      </c>
      <c r="DH133" s="518"/>
      <c r="DI133" s="518">
        <v>47525806</v>
      </c>
      <c r="DJ133" s="748">
        <v>47525806</v>
      </c>
      <c r="DK133" s="518"/>
      <c r="DL133" s="518">
        <v>47525806</v>
      </c>
      <c r="DM133" s="748">
        <v>47525806</v>
      </c>
      <c r="DN133" s="518"/>
      <c r="DO133" s="518">
        <v>47525806</v>
      </c>
      <c r="DP133" s="748">
        <v>47525806</v>
      </c>
      <c r="DQ133" s="493">
        <f t="shared" si="31"/>
        <v>574545621</v>
      </c>
      <c r="DR133" s="479">
        <f t="shared" si="48"/>
        <v>571603684</v>
      </c>
      <c r="DS133" s="1163">
        <v>48300000</v>
      </c>
      <c r="DT133" s="1163">
        <v>48300000</v>
      </c>
      <c r="DU133" s="1163">
        <v>128000000</v>
      </c>
      <c r="DV133" s="1163">
        <v>128000000</v>
      </c>
      <c r="DW133" s="1163">
        <v>128000000</v>
      </c>
      <c r="DX133" s="1163">
        <v>128000000</v>
      </c>
      <c r="DY133" s="1163">
        <v>128000000</v>
      </c>
      <c r="DZ133" s="1163">
        <v>128000000</v>
      </c>
      <c r="EA133" s="1163">
        <v>128000000</v>
      </c>
      <c r="EB133" s="1163">
        <v>128000000</v>
      </c>
      <c r="EC133" s="1163">
        <v>128000000</v>
      </c>
      <c r="ED133" s="1163">
        <v>128000000</v>
      </c>
      <c r="EE133" s="1119">
        <f t="shared" si="28"/>
        <v>1376600000</v>
      </c>
      <c r="EF133" s="443">
        <f t="shared" si="49"/>
        <v>1610622000</v>
      </c>
      <c r="EG133" s="355">
        <f t="shared" si="50"/>
        <v>1739471760</v>
      </c>
      <c r="EH133" s="443">
        <f t="shared" si="42"/>
        <v>1896024218.4000001</v>
      </c>
      <c r="EI133" s="443">
        <f t="shared" si="42"/>
        <v>2066666398.0560002</v>
      </c>
      <c r="EJ133" s="367">
        <v>3000006108</v>
      </c>
    </row>
    <row r="134" spans="1:156" ht="15.5" outlineLevel="2">
      <c r="A134" s="367" t="s">
        <v>43</v>
      </c>
      <c r="B134" s="378"/>
      <c r="C134" s="370" t="s">
        <v>358</v>
      </c>
      <c r="D134" s="370" t="s">
        <v>40</v>
      </c>
      <c r="E134" s="379" t="s">
        <v>105</v>
      </c>
      <c r="F134" s="380">
        <v>3000015942</v>
      </c>
      <c r="G134" s="178">
        <v>0</v>
      </c>
      <c r="H134" s="178">
        <v>0</v>
      </c>
      <c r="I134" s="178">
        <v>28500000</v>
      </c>
      <c r="J134" s="178">
        <v>28500000</v>
      </c>
      <c r="K134" s="178">
        <v>28500000</v>
      </c>
      <c r="L134" s="178">
        <v>28500000</v>
      </c>
      <c r="M134" s="178">
        <v>28500000</v>
      </c>
      <c r="N134" s="178">
        <v>28500000</v>
      </c>
      <c r="O134" s="178">
        <v>28500000</v>
      </c>
      <c r="P134" s="178">
        <v>28500000</v>
      </c>
      <c r="Q134" s="178">
        <v>28500000</v>
      </c>
      <c r="R134" s="178">
        <v>28500000</v>
      </c>
      <c r="S134" s="7">
        <f t="shared" si="4"/>
        <v>285000000</v>
      </c>
      <c r="T134" s="179"/>
      <c r="U134" s="178">
        <v>28500000</v>
      </c>
      <c r="V134" s="178">
        <v>28903125</v>
      </c>
      <c r="W134" s="178">
        <v>28856250</v>
      </c>
      <c r="X134" s="178">
        <v>28781250</v>
      </c>
      <c r="Y134" s="178">
        <v>29306250</v>
      </c>
      <c r="Z134" s="178">
        <v>29034375</v>
      </c>
      <c r="AA134" s="178">
        <v>28790625</v>
      </c>
      <c r="AB134" s="178">
        <v>28500000</v>
      </c>
      <c r="AC134" s="178">
        <v>28500000</v>
      </c>
      <c r="AD134" s="178">
        <v>28500000</v>
      </c>
      <c r="AE134" s="178">
        <v>28500000</v>
      </c>
      <c r="AF134" s="178">
        <v>1500000</v>
      </c>
      <c r="AG134" s="518">
        <f t="shared" si="5"/>
        <v>317671875</v>
      </c>
      <c r="AH134" s="788"/>
      <c r="AI134" s="789">
        <v>15000000</v>
      </c>
      <c r="AJ134" s="517">
        <v>15000000</v>
      </c>
      <c r="AK134" s="518">
        <v>15000000</v>
      </c>
      <c r="AL134" s="518">
        <v>-7500000</v>
      </c>
      <c r="AM134" s="518">
        <v>0</v>
      </c>
      <c r="AN134" s="518">
        <v>0</v>
      </c>
      <c r="AO134" s="518">
        <v>0</v>
      </c>
      <c r="AP134" s="518">
        <v>0</v>
      </c>
      <c r="AQ134" s="518">
        <v>0</v>
      </c>
      <c r="AR134" s="518"/>
      <c r="AS134" s="518"/>
      <c r="AT134" s="518"/>
      <c r="AU134" s="518">
        <f t="shared" si="59"/>
        <v>0</v>
      </c>
      <c r="AV134" s="518">
        <f t="shared" si="59"/>
        <v>0</v>
      </c>
      <c r="AW134" s="518">
        <f t="shared" si="59"/>
        <v>0</v>
      </c>
      <c r="AX134" s="518">
        <f t="shared" si="45"/>
        <v>37500000</v>
      </c>
      <c r="AY134" s="788"/>
      <c r="AZ134" s="789">
        <v>15000000</v>
      </c>
      <c r="BA134" s="517">
        <v>15000000</v>
      </c>
      <c r="BB134" s="518">
        <v>15000000</v>
      </c>
      <c r="BC134" s="518">
        <v>-7500000</v>
      </c>
      <c r="BD134" s="518">
        <v>0</v>
      </c>
      <c r="BE134" s="518">
        <v>0</v>
      </c>
      <c r="BF134" s="518">
        <v>0</v>
      </c>
      <c r="BG134" s="518">
        <f t="shared" si="41"/>
        <v>0</v>
      </c>
      <c r="BH134" s="518">
        <v>0</v>
      </c>
      <c r="BI134" s="518">
        <v>0</v>
      </c>
      <c r="BJ134" s="518">
        <v>0</v>
      </c>
      <c r="BK134" s="518">
        <v>0</v>
      </c>
      <c r="BL134" s="518">
        <f t="shared" si="46"/>
        <v>37500000</v>
      </c>
      <c r="BN134" s="518">
        <v>0</v>
      </c>
      <c r="BO134" s="518">
        <v>0</v>
      </c>
      <c r="BP134" s="518">
        <v>0</v>
      </c>
      <c r="BQ134" s="518">
        <v>0</v>
      </c>
      <c r="BR134" s="518">
        <v>0</v>
      </c>
      <c r="BS134" s="518">
        <v>0</v>
      </c>
      <c r="BT134" s="518">
        <v>0</v>
      </c>
      <c r="BU134" s="518">
        <v>0</v>
      </c>
      <c r="BV134" s="518">
        <v>0</v>
      </c>
      <c r="BW134" s="518">
        <v>0</v>
      </c>
      <c r="BX134" s="518">
        <v>0</v>
      </c>
      <c r="BY134" s="518">
        <v>0</v>
      </c>
      <c r="BZ134" s="791">
        <v>0</v>
      </c>
      <c r="CB134" s="518">
        <v>0</v>
      </c>
      <c r="CC134" s="518">
        <v>0</v>
      </c>
      <c r="CD134" s="518">
        <v>0</v>
      </c>
      <c r="CE134" s="518">
        <v>0</v>
      </c>
      <c r="CF134" s="518">
        <v>0</v>
      </c>
      <c r="CG134" s="518">
        <v>0</v>
      </c>
      <c r="CH134" s="518">
        <v>0</v>
      </c>
      <c r="CI134" s="518">
        <v>0</v>
      </c>
      <c r="CJ134" s="518">
        <v>0</v>
      </c>
      <c r="CK134" s="518">
        <v>0</v>
      </c>
      <c r="CL134" s="518">
        <v>0</v>
      </c>
      <c r="CM134" s="518">
        <v>0</v>
      </c>
      <c r="CN134" s="791">
        <v>0</v>
      </c>
      <c r="CP134" s="647"/>
      <c r="CQ134" s="647"/>
      <c r="CR134" s="518"/>
      <c r="CS134" s="647"/>
      <c r="CT134" s="518"/>
      <c r="CU134" s="647"/>
      <c r="CV134" s="518"/>
      <c r="CW134" s="647"/>
      <c r="CX134" s="518"/>
      <c r="CY134" s="647"/>
      <c r="CZ134" s="518"/>
      <c r="DA134" s="647"/>
      <c r="DB134" s="518"/>
      <c r="DC134" s="647">
        <v>0</v>
      </c>
      <c r="DD134" s="518"/>
      <c r="DE134" s="518"/>
      <c r="DF134" s="518"/>
      <c r="DG134" s="748"/>
      <c r="DH134" s="518"/>
      <c r="DI134" s="518"/>
      <c r="DJ134" s="748"/>
      <c r="DK134" s="518"/>
      <c r="DL134" s="518"/>
      <c r="DM134" s="748"/>
      <c r="DN134" s="518"/>
      <c r="DO134" s="518"/>
      <c r="DP134" s="748"/>
      <c r="DQ134" s="493">
        <f t="shared" si="31"/>
        <v>0</v>
      </c>
      <c r="DR134" s="479">
        <f t="shared" si="48"/>
        <v>0</v>
      </c>
      <c r="DS134" s="1163"/>
      <c r="DT134" s="1163"/>
      <c r="DU134" s="1163"/>
      <c r="DV134" s="1163"/>
      <c r="DW134" s="1163"/>
      <c r="DX134" s="1163"/>
      <c r="DY134" s="1163"/>
      <c r="DZ134" s="1163"/>
      <c r="EA134" s="1163"/>
      <c r="EB134" s="1163"/>
      <c r="EC134" s="1163"/>
      <c r="ED134" s="1163"/>
      <c r="EE134" s="1119">
        <f t="shared" si="28"/>
        <v>0</v>
      </c>
      <c r="EF134" s="443">
        <f t="shared" si="49"/>
        <v>0</v>
      </c>
      <c r="EG134" s="355">
        <f t="shared" si="50"/>
        <v>0</v>
      </c>
      <c r="EH134" s="443">
        <f t="shared" si="42"/>
        <v>0</v>
      </c>
      <c r="EI134" s="443">
        <f t="shared" si="42"/>
        <v>0</v>
      </c>
      <c r="EJ134" s="367">
        <v>3000015942</v>
      </c>
    </row>
    <row r="135" spans="1:156" ht="15.5" outlineLevel="2">
      <c r="A135" s="367" t="s">
        <v>43</v>
      </c>
      <c r="B135" s="378"/>
      <c r="C135" s="370" t="s">
        <v>358</v>
      </c>
      <c r="D135" s="370" t="s">
        <v>40</v>
      </c>
      <c r="E135" s="379" t="s">
        <v>454</v>
      </c>
      <c r="F135" s="380">
        <v>3000014546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7">
        <f t="shared" si="4"/>
        <v>0</v>
      </c>
      <c r="T135" s="179"/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9500000</v>
      </c>
      <c r="AF135" s="178">
        <v>3800000</v>
      </c>
      <c r="AG135" s="518">
        <f t="shared" si="5"/>
        <v>13300000</v>
      </c>
      <c r="AH135" s="788"/>
      <c r="AI135" s="789">
        <v>7900000</v>
      </c>
      <c r="AJ135" s="517"/>
      <c r="AK135" s="518">
        <v>0</v>
      </c>
      <c r="AL135" s="518">
        <v>0</v>
      </c>
      <c r="AM135" s="518">
        <v>0</v>
      </c>
      <c r="AN135" s="518">
        <v>0</v>
      </c>
      <c r="AO135" s="518">
        <v>0</v>
      </c>
      <c r="AP135" s="518">
        <v>0</v>
      </c>
      <c r="AQ135" s="518">
        <v>0</v>
      </c>
      <c r="AR135" s="518"/>
      <c r="AS135" s="518"/>
      <c r="AT135" s="518"/>
      <c r="AU135" s="518">
        <f t="shared" si="59"/>
        <v>0</v>
      </c>
      <c r="AV135" s="518">
        <f t="shared" si="59"/>
        <v>0</v>
      </c>
      <c r="AW135" s="518">
        <f t="shared" si="59"/>
        <v>0</v>
      </c>
      <c r="AX135" s="518">
        <f t="shared" si="45"/>
        <v>7900000</v>
      </c>
      <c r="AY135" s="788"/>
      <c r="AZ135" s="789">
        <v>7900000</v>
      </c>
      <c r="BA135" s="517"/>
      <c r="BB135" s="518">
        <v>0</v>
      </c>
      <c r="BC135" s="518">
        <v>0</v>
      </c>
      <c r="BD135" s="518">
        <v>0</v>
      </c>
      <c r="BE135" s="518">
        <v>0</v>
      </c>
      <c r="BF135" s="518">
        <v>0</v>
      </c>
      <c r="BG135" s="518">
        <f t="shared" si="41"/>
        <v>0</v>
      </c>
      <c r="BH135" s="518">
        <v>0</v>
      </c>
      <c r="BI135" s="518">
        <v>0</v>
      </c>
      <c r="BJ135" s="518">
        <v>0</v>
      </c>
      <c r="BK135" s="518">
        <v>0</v>
      </c>
      <c r="BL135" s="518">
        <f t="shared" si="46"/>
        <v>7900000</v>
      </c>
      <c r="BN135" s="518">
        <v>0</v>
      </c>
      <c r="BO135" s="518">
        <v>0</v>
      </c>
      <c r="BP135" s="518">
        <v>0</v>
      </c>
      <c r="BQ135" s="518">
        <v>0</v>
      </c>
      <c r="BR135" s="518">
        <v>0</v>
      </c>
      <c r="BS135" s="518">
        <v>0</v>
      </c>
      <c r="BT135" s="518">
        <v>0</v>
      </c>
      <c r="BU135" s="518">
        <v>0</v>
      </c>
      <c r="BV135" s="518">
        <v>0</v>
      </c>
      <c r="BW135" s="518">
        <v>0</v>
      </c>
      <c r="BX135" s="518">
        <v>0</v>
      </c>
      <c r="BY135" s="518">
        <v>0</v>
      </c>
      <c r="BZ135" s="791">
        <v>0</v>
      </c>
      <c r="CB135" s="518">
        <v>0</v>
      </c>
      <c r="CC135" s="518">
        <v>0</v>
      </c>
      <c r="CD135" s="518">
        <v>0</v>
      </c>
      <c r="CE135" s="518">
        <v>0</v>
      </c>
      <c r="CF135" s="518">
        <v>0</v>
      </c>
      <c r="CG135" s="518">
        <v>0</v>
      </c>
      <c r="CH135" s="518">
        <v>0</v>
      </c>
      <c r="CI135" s="518">
        <v>0</v>
      </c>
      <c r="CJ135" s="518">
        <v>0</v>
      </c>
      <c r="CK135" s="518">
        <v>0</v>
      </c>
      <c r="CL135" s="518">
        <v>0</v>
      </c>
      <c r="CM135" s="518">
        <v>0</v>
      </c>
      <c r="CN135" s="791">
        <v>0</v>
      </c>
      <c r="CP135" s="647"/>
      <c r="CQ135" s="647"/>
      <c r="CR135" s="518"/>
      <c r="CS135" s="647"/>
      <c r="CT135" s="518"/>
      <c r="CU135" s="647"/>
      <c r="CV135" s="518"/>
      <c r="CW135" s="647"/>
      <c r="CX135" s="518"/>
      <c r="CY135" s="647"/>
      <c r="CZ135" s="518"/>
      <c r="DA135" s="647"/>
      <c r="DB135" s="518"/>
      <c r="DC135" s="647">
        <v>0</v>
      </c>
      <c r="DD135" s="518"/>
      <c r="DE135" s="518"/>
      <c r="DF135" s="518"/>
      <c r="DG135" s="748"/>
      <c r="DH135" s="518"/>
      <c r="DI135" s="518"/>
      <c r="DJ135" s="748"/>
      <c r="DK135" s="518"/>
      <c r="DL135" s="518"/>
      <c r="DM135" s="748"/>
      <c r="DN135" s="518"/>
      <c r="DO135" s="518"/>
      <c r="DP135" s="748"/>
      <c r="DQ135" s="493">
        <f t="shared" si="31"/>
        <v>0</v>
      </c>
      <c r="DR135" s="479">
        <f t="shared" si="48"/>
        <v>0</v>
      </c>
      <c r="DS135" s="1163"/>
      <c r="DT135" s="1163"/>
      <c r="DU135" s="1163"/>
      <c r="DV135" s="1163"/>
      <c r="DW135" s="1163"/>
      <c r="DX135" s="1163"/>
      <c r="DY135" s="1163"/>
      <c r="DZ135" s="1163"/>
      <c r="EA135" s="1163"/>
      <c r="EB135" s="1163"/>
      <c r="EC135" s="1163"/>
      <c r="ED135" s="1163"/>
      <c r="EE135" s="1119">
        <f t="shared" si="28"/>
        <v>0</v>
      </c>
      <c r="EF135" s="443">
        <f t="shared" si="49"/>
        <v>0</v>
      </c>
      <c r="EG135" s="355">
        <f t="shared" si="50"/>
        <v>0</v>
      </c>
      <c r="EH135" s="443">
        <f t="shared" si="42"/>
        <v>0</v>
      </c>
      <c r="EI135" s="443">
        <f t="shared" si="42"/>
        <v>0</v>
      </c>
      <c r="EJ135" s="367">
        <v>3000014546</v>
      </c>
    </row>
    <row r="136" spans="1:156" ht="15.5" outlineLevel="2">
      <c r="A136" s="367" t="s">
        <v>39</v>
      </c>
      <c r="B136" s="378"/>
      <c r="C136" s="370" t="s">
        <v>358</v>
      </c>
      <c r="D136" s="370" t="s">
        <v>40</v>
      </c>
      <c r="E136" s="379" t="s">
        <v>455</v>
      </c>
      <c r="F136" s="380">
        <v>3000000215</v>
      </c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7">
        <f t="shared" si="4"/>
        <v>0</v>
      </c>
      <c r="T136" s="179"/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6750000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518">
        <f t="shared" si="5"/>
        <v>6750000</v>
      </c>
      <c r="AH136" s="788"/>
      <c r="AI136" s="789"/>
      <c r="AJ136" s="517"/>
      <c r="AK136" s="518"/>
      <c r="AL136" s="518"/>
      <c r="AM136" s="518"/>
      <c r="AN136" s="518"/>
      <c r="AO136" s="518"/>
      <c r="AP136" s="518"/>
      <c r="AQ136" s="518">
        <v>17100000</v>
      </c>
      <c r="AR136" s="759">
        <v>13300000</v>
      </c>
      <c r="AS136" s="759">
        <v>7600000</v>
      </c>
      <c r="AT136" s="518"/>
      <c r="AU136" s="518"/>
      <c r="AV136" s="518"/>
      <c r="AW136" s="518"/>
      <c r="AX136" s="518">
        <f t="shared" si="45"/>
        <v>38000000</v>
      </c>
      <c r="AY136" s="788"/>
      <c r="AZ136" s="789"/>
      <c r="BA136" s="517"/>
      <c r="BB136" s="518"/>
      <c r="BC136" s="518"/>
      <c r="BD136" s="518"/>
      <c r="BE136" s="518"/>
      <c r="BF136" s="518"/>
      <c r="BG136" s="518">
        <f t="shared" si="41"/>
        <v>0</v>
      </c>
      <c r="BH136" s="518">
        <v>0</v>
      </c>
      <c r="BI136" s="518">
        <v>0</v>
      </c>
      <c r="BJ136" s="518">
        <v>0</v>
      </c>
      <c r="BK136" s="518">
        <v>0</v>
      </c>
      <c r="BL136" s="518">
        <f t="shared" si="46"/>
        <v>0</v>
      </c>
      <c r="BN136" s="518"/>
      <c r="BO136" s="518"/>
      <c r="BP136" s="518"/>
      <c r="BQ136" s="518"/>
      <c r="BR136" s="518"/>
      <c r="BS136" s="518"/>
      <c r="BT136" s="518"/>
      <c r="BU136" s="518"/>
      <c r="BV136" s="518"/>
      <c r="BW136" s="518"/>
      <c r="BX136" s="518"/>
      <c r="BY136" s="518"/>
      <c r="BZ136" s="791">
        <v>0</v>
      </c>
      <c r="CB136" s="518"/>
      <c r="CC136" s="518"/>
      <c r="CD136" s="518"/>
      <c r="CE136" s="518"/>
      <c r="CF136" s="518"/>
      <c r="CG136" s="518"/>
      <c r="CH136" s="518"/>
      <c r="CI136" s="518"/>
      <c r="CJ136" s="518"/>
      <c r="CK136" s="518"/>
      <c r="CL136" s="518"/>
      <c r="CM136" s="518"/>
      <c r="CN136" s="791">
        <v>0</v>
      </c>
      <c r="CP136" s="647"/>
      <c r="CQ136" s="647"/>
      <c r="CR136" s="518"/>
      <c r="CS136" s="647"/>
      <c r="CT136" s="518"/>
      <c r="CU136" s="647"/>
      <c r="CV136" s="518"/>
      <c r="CW136" s="647"/>
      <c r="CX136" s="518"/>
      <c r="CY136" s="647"/>
      <c r="CZ136" s="518"/>
      <c r="DA136" s="647"/>
      <c r="DB136" s="518"/>
      <c r="DC136" s="647">
        <v>0</v>
      </c>
      <c r="DD136" s="518"/>
      <c r="DE136" s="518"/>
      <c r="DF136" s="518"/>
      <c r="DG136" s="748"/>
      <c r="DH136" s="518"/>
      <c r="DI136" s="518"/>
      <c r="DJ136" s="748"/>
      <c r="DK136" s="518"/>
      <c r="DL136" s="518"/>
      <c r="DM136" s="748"/>
      <c r="DN136" s="518"/>
      <c r="DO136" s="518"/>
      <c r="DP136" s="748"/>
      <c r="DQ136" s="493">
        <f t="shared" si="31"/>
        <v>0</v>
      </c>
      <c r="DR136" s="479">
        <f t="shared" si="48"/>
        <v>0</v>
      </c>
      <c r="DS136" s="1163"/>
      <c r="DT136" s="1163"/>
      <c r="DU136" s="1163"/>
      <c r="DV136" s="1163"/>
      <c r="DW136" s="1163"/>
      <c r="DX136" s="1163"/>
      <c r="DY136" s="1163"/>
      <c r="DZ136" s="1163"/>
      <c r="EA136" s="1163"/>
      <c r="EB136" s="1163"/>
      <c r="EC136" s="1163"/>
      <c r="ED136" s="1163"/>
      <c r="EE136" s="1119">
        <f t="shared" si="28"/>
        <v>0</v>
      </c>
      <c r="EF136" s="443">
        <f t="shared" si="49"/>
        <v>0</v>
      </c>
      <c r="EG136" s="355">
        <f t="shared" si="50"/>
        <v>0</v>
      </c>
      <c r="EH136" s="443">
        <f t="shared" si="42"/>
        <v>0</v>
      </c>
      <c r="EI136" s="443">
        <f t="shared" si="42"/>
        <v>0</v>
      </c>
      <c r="EJ136" s="367">
        <v>3000000215</v>
      </c>
    </row>
    <row r="137" spans="1:156" ht="15.5" outlineLevel="2">
      <c r="A137" s="367" t="s">
        <v>39</v>
      </c>
      <c r="B137" s="378"/>
      <c r="C137" s="370" t="s">
        <v>358</v>
      </c>
      <c r="E137" s="379" t="s">
        <v>456</v>
      </c>
      <c r="F137" s="380">
        <v>3000004415</v>
      </c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7">
        <f t="shared" si="4"/>
        <v>0</v>
      </c>
      <c r="T137" s="179"/>
      <c r="U137" s="178">
        <v>0</v>
      </c>
      <c r="V137" s="178">
        <v>0</v>
      </c>
      <c r="W137" s="178">
        <v>140308024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518">
        <f t="shared" si="5"/>
        <v>140308024</v>
      </c>
      <c r="AH137" s="788"/>
      <c r="AI137" s="789"/>
      <c r="AJ137" s="517"/>
      <c r="AK137" s="518"/>
      <c r="AL137" s="518"/>
      <c r="AM137" s="518"/>
      <c r="AN137" s="518"/>
      <c r="AO137" s="518"/>
      <c r="AP137" s="518"/>
      <c r="AQ137" s="518">
        <v>0</v>
      </c>
      <c r="AR137" s="518"/>
      <c r="AS137" s="518"/>
      <c r="AT137" s="518"/>
      <c r="AU137" s="518"/>
      <c r="AV137" s="518"/>
      <c r="AW137" s="518"/>
      <c r="AX137" s="518">
        <f t="shared" si="45"/>
        <v>0</v>
      </c>
      <c r="AY137" s="788"/>
      <c r="AZ137" s="789"/>
      <c r="BA137" s="517"/>
      <c r="BB137" s="518"/>
      <c r="BC137" s="518"/>
      <c r="BD137" s="518"/>
      <c r="BE137" s="518"/>
      <c r="BF137" s="518"/>
      <c r="BG137" s="518">
        <f t="shared" si="41"/>
        <v>0</v>
      </c>
      <c r="BH137" s="518">
        <v>0</v>
      </c>
      <c r="BI137" s="518">
        <v>0</v>
      </c>
      <c r="BJ137" s="518">
        <v>0</v>
      </c>
      <c r="BK137" s="518">
        <v>0</v>
      </c>
      <c r="BL137" s="518">
        <f t="shared" si="46"/>
        <v>0</v>
      </c>
      <c r="BN137" s="518"/>
      <c r="BO137" s="518"/>
      <c r="BP137" s="518"/>
      <c r="BQ137" s="518"/>
      <c r="BR137" s="518"/>
      <c r="BS137" s="518"/>
      <c r="BT137" s="518"/>
      <c r="BU137" s="518"/>
      <c r="BV137" s="518"/>
      <c r="BW137" s="518"/>
      <c r="BX137" s="518"/>
      <c r="BY137" s="518"/>
      <c r="BZ137" s="791">
        <v>0</v>
      </c>
      <c r="CB137" s="518"/>
      <c r="CC137" s="518"/>
      <c r="CD137" s="518"/>
      <c r="CE137" s="518"/>
      <c r="CF137" s="518"/>
      <c r="CG137" s="518"/>
      <c r="CH137" s="518"/>
      <c r="CI137" s="518"/>
      <c r="CJ137" s="518"/>
      <c r="CK137" s="518"/>
      <c r="CL137" s="518"/>
      <c r="CM137" s="518"/>
      <c r="CN137" s="791">
        <v>0</v>
      </c>
      <c r="CP137" s="647"/>
      <c r="CQ137" s="647"/>
      <c r="CR137" s="518"/>
      <c r="CS137" s="647"/>
      <c r="CT137" s="518"/>
      <c r="CU137" s="647"/>
      <c r="CV137" s="518"/>
      <c r="CW137" s="647"/>
      <c r="CX137" s="518"/>
      <c r="CY137" s="647"/>
      <c r="CZ137" s="518"/>
      <c r="DA137" s="647"/>
      <c r="DB137" s="518"/>
      <c r="DC137" s="647">
        <v>0</v>
      </c>
      <c r="DD137" s="518"/>
      <c r="DE137" s="518"/>
      <c r="DF137" s="518"/>
      <c r="DG137" s="748"/>
      <c r="DH137" s="518"/>
      <c r="DI137" s="518"/>
      <c r="DJ137" s="748"/>
      <c r="DK137" s="518"/>
      <c r="DL137" s="518"/>
      <c r="DM137" s="748"/>
      <c r="DN137" s="518"/>
      <c r="DO137" s="518"/>
      <c r="DP137" s="748"/>
      <c r="DQ137" s="493">
        <f t="shared" si="31"/>
        <v>0</v>
      </c>
      <c r="DR137" s="479">
        <f t="shared" si="48"/>
        <v>0</v>
      </c>
      <c r="DS137" s="1163"/>
      <c r="DT137" s="1163"/>
      <c r="DU137" s="1163"/>
      <c r="DV137" s="1163"/>
      <c r="DW137" s="1163"/>
      <c r="DX137" s="1163"/>
      <c r="DY137" s="1163"/>
      <c r="DZ137" s="1163"/>
      <c r="EA137" s="1163"/>
      <c r="EB137" s="1163"/>
      <c r="EC137" s="1163"/>
      <c r="ED137" s="1163"/>
      <c r="EE137" s="1119">
        <f t="shared" si="28"/>
        <v>0</v>
      </c>
      <c r="EF137" s="443">
        <f t="shared" si="49"/>
        <v>0</v>
      </c>
      <c r="EG137" s="355">
        <f t="shared" si="50"/>
        <v>0</v>
      </c>
      <c r="EH137" s="443">
        <f t="shared" si="42"/>
        <v>0</v>
      </c>
      <c r="EI137" s="443">
        <f t="shared" si="42"/>
        <v>0</v>
      </c>
      <c r="EJ137" s="367">
        <v>3000004415</v>
      </c>
    </row>
    <row r="138" spans="1:156" ht="15.5" outlineLevel="2">
      <c r="A138" s="367" t="s">
        <v>39</v>
      </c>
      <c r="B138" s="378"/>
      <c r="C138" s="370" t="s">
        <v>358</v>
      </c>
      <c r="E138" s="379" t="s">
        <v>457</v>
      </c>
      <c r="F138" s="380">
        <v>3000005833</v>
      </c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7">
        <f t="shared" si="4"/>
        <v>0</v>
      </c>
      <c r="T138" s="179"/>
      <c r="U138" s="178">
        <v>17966000</v>
      </c>
      <c r="V138" s="178">
        <v>165067523</v>
      </c>
      <c r="W138" s="178">
        <v>289896388</v>
      </c>
      <c r="X138" s="178">
        <v>390301597</v>
      </c>
      <c r="Y138" s="178">
        <v>445276041</v>
      </c>
      <c r="Z138" s="178">
        <v>408908754</v>
      </c>
      <c r="AA138" s="178">
        <v>380871443</v>
      </c>
      <c r="AB138" s="178">
        <v>514240700</v>
      </c>
      <c r="AC138" s="178">
        <v>311831572</v>
      </c>
      <c r="AD138" s="178">
        <v>317886538</v>
      </c>
      <c r="AE138" s="178">
        <v>364436548</v>
      </c>
      <c r="AF138" s="178">
        <v>0</v>
      </c>
      <c r="AG138" s="518">
        <f t="shared" si="5"/>
        <v>3606683104</v>
      </c>
      <c r="AH138" s="788"/>
      <c r="AI138" s="789"/>
      <c r="AJ138" s="517"/>
      <c r="AK138" s="518"/>
      <c r="AL138" s="518"/>
      <c r="AM138" s="518"/>
      <c r="AN138" s="518"/>
      <c r="AO138" s="518"/>
      <c r="AP138" s="518"/>
      <c r="AQ138" s="518">
        <v>0</v>
      </c>
      <c r="AR138" s="518"/>
      <c r="AS138" s="518"/>
      <c r="AT138" s="518"/>
      <c r="AU138" s="518"/>
      <c r="AV138" s="518"/>
      <c r="AW138" s="518"/>
      <c r="AX138" s="518">
        <f t="shared" si="45"/>
        <v>0</v>
      </c>
      <c r="AY138" s="788"/>
      <c r="AZ138" s="789"/>
      <c r="BA138" s="517"/>
      <c r="BB138" s="518"/>
      <c r="BC138" s="518"/>
      <c r="BD138" s="518"/>
      <c r="BE138" s="518"/>
      <c r="BF138" s="518"/>
      <c r="BG138" s="518">
        <f t="shared" si="41"/>
        <v>0</v>
      </c>
      <c r="BH138" s="518">
        <v>0</v>
      </c>
      <c r="BI138" s="518">
        <v>0</v>
      </c>
      <c r="BJ138" s="518">
        <v>0</v>
      </c>
      <c r="BK138" s="518">
        <v>0</v>
      </c>
      <c r="BL138" s="518">
        <f t="shared" si="46"/>
        <v>0</v>
      </c>
      <c r="BN138" s="518"/>
      <c r="BO138" s="518"/>
      <c r="BP138" s="518"/>
      <c r="BQ138" s="518"/>
      <c r="BR138" s="518"/>
      <c r="BS138" s="518"/>
      <c r="BT138" s="518"/>
      <c r="BU138" s="518"/>
      <c r="BV138" s="518"/>
      <c r="BW138" s="518"/>
      <c r="BX138" s="518"/>
      <c r="BY138" s="518"/>
      <c r="BZ138" s="791">
        <v>0</v>
      </c>
      <c r="CB138" s="518"/>
      <c r="CC138" s="518"/>
      <c r="CD138" s="518"/>
      <c r="CE138" s="518"/>
      <c r="CF138" s="518"/>
      <c r="CG138" s="518"/>
      <c r="CH138" s="518"/>
      <c r="CI138" s="518"/>
      <c r="CJ138" s="518"/>
      <c r="CK138" s="518"/>
      <c r="CL138" s="518"/>
      <c r="CM138" s="518"/>
      <c r="CN138" s="791">
        <v>0</v>
      </c>
      <c r="CP138" s="647"/>
      <c r="CQ138" s="647"/>
      <c r="CR138" s="518"/>
      <c r="CS138" s="647"/>
      <c r="CT138" s="518"/>
      <c r="CU138" s="647"/>
      <c r="CV138" s="518"/>
      <c r="CW138" s="647"/>
      <c r="CX138" s="518"/>
      <c r="CY138" s="647"/>
      <c r="CZ138" s="518"/>
      <c r="DA138" s="647"/>
      <c r="DB138" s="518"/>
      <c r="DC138" s="647">
        <v>0</v>
      </c>
      <c r="DD138" s="518"/>
      <c r="DE138" s="518"/>
      <c r="DF138" s="518"/>
      <c r="DG138" s="748"/>
      <c r="DH138" s="518"/>
      <c r="DI138" s="518"/>
      <c r="DJ138" s="748"/>
      <c r="DK138" s="518"/>
      <c r="DL138" s="518"/>
      <c r="DM138" s="748"/>
      <c r="DN138" s="518"/>
      <c r="DO138" s="518"/>
      <c r="DP138" s="748"/>
      <c r="DQ138" s="493">
        <f t="shared" si="31"/>
        <v>0</v>
      </c>
      <c r="DR138" s="479">
        <f t="shared" si="48"/>
        <v>0</v>
      </c>
      <c r="DS138" s="1163"/>
      <c r="DT138" s="1163"/>
      <c r="DU138" s="1163"/>
      <c r="DV138" s="1163"/>
      <c r="DW138" s="1163"/>
      <c r="DX138" s="1163"/>
      <c r="DY138" s="1163"/>
      <c r="DZ138" s="1163"/>
      <c r="EA138" s="1163"/>
      <c r="EB138" s="1163"/>
      <c r="EC138" s="1163"/>
      <c r="ED138" s="1163"/>
      <c r="EE138" s="1119">
        <f t="shared" si="28"/>
        <v>0</v>
      </c>
      <c r="EF138" s="443">
        <f t="shared" si="49"/>
        <v>0</v>
      </c>
      <c r="EG138" s="355">
        <f t="shared" si="50"/>
        <v>0</v>
      </c>
      <c r="EH138" s="443">
        <f t="shared" si="42"/>
        <v>0</v>
      </c>
      <c r="EI138" s="443">
        <f t="shared" si="42"/>
        <v>0</v>
      </c>
      <c r="EJ138" s="367">
        <v>3000005833</v>
      </c>
    </row>
    <row r="139" spans="1:156" ht="15.5" outlineLevel="2">
      <c r="A139" s="367" t="s">
        <v>39</v>
      </c>
      <c r="B139" s="378"/>
      <c r="C139" s="370" t="s">
        <v>358</v>
      </c>
      <c r="D139" s="370" t="s">
        <v>40</v>
      </c>
      <c r="E139" s="379" t="s">
        <v>92</v>
      </c>
      <c r="F139" s="380">
        <v>3000007612</v>
      </c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7">
        <f t="shared" si="4"/>
        <v>0</v>
      </c>
      <c r="T139" s="179"/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3300000</v>
      </c>
      <c r="AG139" s="518">
        <f t="shared" si="5"/>
        <v>3300000</v>
      </c>
      <c r="AH139" s="788"/>
      <c r="AI139" s="789"/>
      <c r="AJ139" s="517"/>
      <c r="AK139" s="518"/>
      <c r="AL139" s="518"/>
      <c r="AM139" s="518"/>
      <c r="AN139" s="518"/>
      <c r="AO139" s="518"/>
      <c r="AP139" s="518"/>
      <c r="AQ139" s="518">
        <v>0</v>
      </c>
      <c r="AR139" s="518"/>
      <c r="AS139" s="518"/>
      <c r="AT139" s="518"/>
      <c r="AU139" s="518"/>
      <c r="AV139" s="518"/>
      <c r="AW139" s="518"/>
      <c r="AX139" s="518">
        <f t="shared" si="45"/>
        <v>0</v>
      </c>
      <c r="AY139" s="788"/>
      <c r="AZ139" s="789"/>
      <c r="BA139" s="517"/>
      <c r="BB139" s="518"/>
      <c r="BC139" s="518"/>
      <c r="BD139" s="518"/>
      <c r="BE139" s="518"/>
      <c r="BF139" s="518"/>
      <c r="BG139" s="518">
        <f t="shared" si="41"/>
        <v>0</v>
      </c>
      <c r="BH139" s="518">
        <v>0</v>
      </c>
      <c r="BI139" s="518">
        <v>0</v>
      </c>
      <c r="BJ139" s="518">
        <v>0</v>
      </c>
      <c r="BK139" s="518">
        <v>0</v>
      </c>
      <c r="BL139" s="518">
        <f t="shared" si="46"/>
        <v>0</v>
      </c>
      <c r="BN139" s="518"/>
      <c r="BO139" s="518"/>
      <c r="BP139" s="518"/>
      <c r="BQ139" s="518"/>
      <c r="BR139" s="518"/>
      <c r="BS139" s="518"/>
      <c r="BT139" s="518"/>
      <c r="BU139" s="518"/>
      <c r="BV139" s="518"/>
      <c r="BW139" s="518"/>
      <c r="BX139" s="518"/>
      <c r="BY139" s="518"/>
      <c r="BZ139" s="791">
        <v>0</v>
      </c>
      <c r="CB139" s="518"/>
      <c r="CC139" s="518"/>
      <c r="CD139" s="518"/>
      <c r="CE139" s="518"/>
      <c r="CF139" s="518"/>
      <c r="CG139" s="518"/>
      <c r="CH139" s="518"/>
      <c r="CI139" s="518"/>
      <c r="CJ139" s="518"/>
      <c r="CK139" s="518"/>
      <c r="CL139" s="518"/>
      <c r="CM139" s="518"/>
      <c r="CN139" s="791">
        <v>0</v>
      </c>
      <c r="CP139" s="647"/>
      <c r="CQ139" s="647"/>
      <c r="CR139" s="518"/>
      <c r="CS139" s="647"/>
      <c r="CT139" s="518"/>
      <c r="CU139" s="647"/>
      <c r="CV139" s="518"/>
      <c r="CW139" s="647"/>
      <c r="CX139" s="518"/>
      <c r="CY139" s="647"/>
      <c r="CZ139" s="518"/>
      <c r="DA139" s="647"/>
      <c r="DB139" s="518"/>
      <c r="DC139" s="647">
        <v>0</v>
      </c>
      <c r="DD139" s="518"/>
      <c r="DE139" s="518"/>
      <c r="DF139" s="518"/>
      <c r="DG139" s="748"/>
      <c r="DH139" s="518"/>
      <c r="DI139" s="518"/>
      <c r="DJ139" s="748"/>
      <c r="DK139" s="518"/>
      <c r="DL139" s="518"/>
      <c r="DM139" s="748"/>
      <c r="DN139" s="518"/>
      <c r="DO139" s="518"/>
      <c r="DP139" s="748"/>
      <c r="DQ139" s="493">
        <f t="shared" si="31"/>
        <v>0</v>
      </c>
      <c r="DR139" s="479">
        <f t="shared" si="48"/>
        <v>0</v>
      </c>
      <c r="DS139" s="1163"/>
      <c r="DT139" s="1163"/>
      <c r="DU139" s="1163"/>
      <c r="DV139" s="1163"/>
      <c r="DW139" s="1163"/>
      <c r="DX139" s="1163"/>
      <c r="DY139" s="1163"/>
      <c r="DZ139" s="1163"/>
      <c r="EA139" s="1163"/>
      <c r="EB139" s="1163"/>
      <c r="EC139" s="1163"/>
      <c r="ED139" s="1163"/>
      <c r="EE139" s="1119">
        <f t="shared" ref="EE139:EE162" si="60">SUM(DS139,DT139,DU139,DV139,DW139,DX139,DY139,DZ139,EA139,EB139,EC139,ED139)</f>
        <v>0</v>
      </c>
      <c r="EF139" s="443">
        <f t="shared" si="49"/>
        <v>0</v>
      </c>
      <c r="EG139" s="355">
        <f t="shared" si="50"/>
        <v>0</v>
      </c>
      <c r="EH139" s="443">
        <f t="shared" si="42"/>
        <v>0</v>
      </c>
      <c r="EI139" s="443">
        <f t="shared" si="42"/>
        <v>0</v>
      </c>
      <c r="EJ139" s="367">
        <v>3000007612</v>
      </c>
    </row>
    <row r="140" spans="1:156" ht="15.5" outlineLevel="2">
      <c r="A140" s="367" t="s">
        <v>39</v>
      </c>
      <c r="B140" s="378"/>
      <c r="C140" s="370" t="s">
        <v>358</v>
      </c>
      <c r="E140" s="379" t="s">
        <v>458</v>
      </c>
      <c r="F140" s="380">
        <v>3000014355</v>
      </c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7">
        <f t="shared" si="4"/>
        <v>0</v>
      </c>
      <c r="T140" s="179"/>
      <c r="U140" s="178">
        <v>0</v>
      </c>
      <c r="V140" s="178">
        <v>0</v>
      </c>
      <c r="W140" s="178">
        <v>0</v>
      </c>
      <c r="X140" s="178">
        <v>0</v>
      </c>
      <c r="Y140" s="178">
        <v>0</v>
      </c>
      <c r="Z140" s="178">
        <v>0</v>
      </c>
      <c r="AA140" s="178">
        <v>0</v>
      </c>
      <c r="AB140" s="178">
        <v>0</v>
      </c>
      <c r="AC140" s="178">
        <v>1595000</v>
      </c>
      <c r="AD140" s="178">
        <v>0</v>
      </c>
      <c r="AE140" s="178">
        <v>0</v>
      </c>
      <c r="AF140" s="178">
        <v>0</v>
      </c>
      <c r="AG140" s="518">
        <f t="shared" si="5"/>
        <v>1595000</v>
      </c>
      <c r="AH140" s="788"/>
      <c r="AI140" s="789"/>
      <c r="AJ140" s="517"/>
      <c r="AK140" s="518"/>
      <c r="AL140" s="518"/>
      <c r="AM140" s="518"/>
      <c r="AN140" s="518"/>
      <c r="AO140" s="518"/>
      <c r="AP140" s="518"/>
      <c r="AQ140" s="518">
        <v>0</v>
      </c>
      <c r="AR140" s="518"/>
      <c r="AS140" s="518"/>
      <c r="AT140" s="518"/>
      <c r="AU140" s="518"/>
      <c r="AV140" s="518"/>
      <c r="AW140" s="518"/>
      <c r="AX140" s="518">
        <f t="shared" si="45"/>
        <v>0</v>
      </c>
      <c r="AY140" s="788"/>
      <c r="AZ140" s="789"/>
      <c r="BA140" s="517"/>
      <c r="BB140" s="518"/>
      <c r="BC140" s="518"/>
      <c r="BD140" s="518"/>
      <c r="BE140" s="518"/>
      <c r="BF140" s="518"/>
      <c r="BG140" s="518">
        <f t="shared" ref="BG140:BG162" si="61">AP140</f>
        <v>0</v>
      </c>
      <c r="BH140" s="518">
        <v>0</v>
      </c>
      <c r="BI140" s="518">
        <v>0</v>
      </c>
      <c r="BJ140" s="518">
        <v>0</v>
      </c>
      <c r="BK140" s="518">
        <v>0</v>
      </c>
      <c r="BL140" s="518">
        <f t="shared" si="46"/>
        <v>0</v>
      </c>
      <c r="BN140" s="518"/>
      <c r="BO140" s="518"/>
      <c r="BP140" s="518"/>
      <c r="BQ140" s="518"/>
      <c r="BR140" s="518"/>
      <c r="BS140" s="518"/>
      <c r="BT140" s="518"/>
      <c r="BU140" s="518"/>
      <c r="BV140" s="518"/>
      <c r="BW140" s="518"/>
      <c r="BX140" s="518"/>
      <c r="BY140" s="518"/>
      <c r="BZ140" s="791">
        <v>0</v>
      </c>
      <c r="CB140" s="518"/>
      <c r="CC140" s="518"/>
      <c r="CD140" s="518"/>
      <c r="CE140" s="518"/>
      <c r="CF140" s="518"/>
      <c r="CG140" s="518"/>
      <c r="CH140" s="518"/>
      <c r="CI140" s="518"/>
      <c r="CJ140" s="518"/>
      <c r="CK140" s="518"/>
      <c r="CL140" s="518"/>
      <c r="CM140" s="518"/>
      <c r="CN140" s="791">
        <v>0</v>
      </c>
      <c r="CP140" s="647"/>
      <c r="CQ140" s="647"/>
      <c r="CR140" s="518"/>
      <c r="CS140" s="647"/>
      <c r="CT140" s="518"/>
      <c r="CU140" s="647"/>
      <c r="CV140" s="518"/>
      <c r="CW140" s="647"/>
      <c r="CX140" s="518"/>
      <c r="CY140" s="647"/>
      <c r="CZ140" s="518"/>
      <c r="DA140" s="647"/>
      <c r="DB140" s="518"/>
      <c r="DC140" s="647">
        <v>0</v>
      </c>
      <c r="DD140" s="518"/>
      <c r="DE140" s="518"/>
      <c r="DF140" s="518"/>
      <c r="DG140" s="748"/>
      <c r="DH140" s="518"/>
      <c r="DI140" s="518"/>
      <c r="DJ140" s="748"/>
      <c r="DK140" s="518"/>
      <c r="DL140" s="518"/>
      <c r="DM140" s="748"/>
      <c r="DN140" s="518"/>
      <c r="DO140" s="518"/>
      <c r="DP140" s="748"/>
      <c r="DQ140" s="493">
        <f t="shared" ref="DQ140:DQ161" si="62">SUM(CP140,CQ140,CS140,CU140,CW140,CY140,DA140,DC140,DF140,DI140,DL140,DO140)</f>
        <v>0</v>
      </c>
      <c r="DR140" s="479">
        <f t="shared" si="48"/>
        <v>0</v>
      </c>
      <c r="DS140" s="1163"/>
      <c r="DT140" s="1163"/>
      <c r="DU140" s="1163"/>
      <c r="DV140" s="1163"/>
      <c r="DW140" s="1163"/>
      <c r="DX140" s="1163"/>
      <c r="DY140" s="1163"/>
      <c r="DZ140" s="1163"/>
      <c r="EA140" s="1163"/>
      <c r="EB140" s="1163"/>
      <c r="EC140" s="1163"/>
      <c r="ED140" s="1163"/>
      <c r="EE140" s="1119">
        <f t="shared" si="60"/>
        <v>0</v>
      </c>
      <c r="EF140" s="443">
        <f t="shared" si="49"/>
        <v>0</v>
      </c>
      <c r="EG140" s="355">
        <f t="shared" si="50"/>
        <v>0</v>
      </c>
      <c r="EH140" s="443">
        <f t="shared" si="42"/>
        <v>0</v>
      </c>
      <c r="EI140" s="443">
        <f t="shared" si="42"/>
        <v>0</v>
      </c>
      <c r="EJ140" s="367">
        <v>3000014355</v>
      </c>
    </row>
    <row r="141" spans="1:156" ht="15.5" outlineLevel="2">
      <c r="A141" s="367" t="s">
        <v>39</v>
      </c>
      <c r="B141" s="378"/>
      <c r="C141" s="370" t="s">
        <v>358</v>
      </c>
      <c r="E141" s="379" t="s">
        <v>459</v>
      </c>
      <c r="F141" s="380">
        <v>3000015347</v>
      </c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7">
        <f t="shared" si="4"/>
        <v>0</v>
      </c>
      <c r="T141" s="179"/>
      <c r="U141" s="178">
        <v>0</v>
      </c>
      <c r="V141" s="178">
        <v>0</v>
      </c>
      <c r="W141" s="178">
        <v>0</v>
      </c>
      <c r="X141" s="178">
        <v>0</v>
      </c>
      <c r="Y141" s="178">
        <v>10400000</v>
      </c>
      <c r="Z141" s="178">
        <v>6500000</v>
      </c>
      <c r="AA141" s="178">
        <v>0</v>
      </c>
      <c r="AB141" s="178">
        <v>0</v>
      </c>
      <c r="AC141" s="178">
        <v>0</v>
      </c>
      <c r="AD141" s="178">
        <v>0</v>
      </c>
      <c r="AE141" s="178">
        <v>0</v>
      </c>
      <c r="AF141" s="178">
        <v>0</v>
      </c>
      <c r="AG141" s="518">
        <f t="shared" si="5"/>
        <v>16900000</v>
      </c>
      <c r="AH141" s="788"/>
      <c r="AI141" s="789"/>
      <c r="AJ141" s="517"/>
      <c r="AK141" s="518"/>
      <c r="AL141" s="518"/>
      <c r="AM141" s="518"/>
      <c r="AN141" s="518"/>
      <c r="AO141" s="518"/>
      <c r="AP141" s="518"/>
      <c r="AQ141" s="518">
        <v>0</v>
      </c>
      <c r="AR141" s="518"/>
      <c r="AS141" s="518"/>
      <c r="AT141" s="518"/>
      <c r="AU141" s="518"/>
      <c r="AV141" s="518"/>
      <c r="AW141" s="518"/>
      <c r="AX141" s="518">
        <f t="shared" si="45"/>
        <v>0</v>
      </c>
      <c r="AY141" s="788"/>
      <c r="AZ141" s="789"/>
      <c r="BA141" s="517"/>
      <c r="BB141" s="518"/>
      <c r="BC141" s="518"/>
      <c r="BD141" s="518"/>
      <c r="BE141" s="518"/>
      <c r="BF141" s="518"/>
      <c r="BG141" s="518">
        <f t="shared" si="61"/>
        <v>0</v>
      </c>
      <c r="BH141" s="518">
        <v>0</v>
      </c>
      <c r="BI141" s="518">
        <v>0</v>
      </c>
      <c r="BJ141" s="518">
        <v>0</v>
      </c>
      <c r="BK141" s="518">
        <v>0</v>
      </c>
      <c r="BL141" s="518">
        <f t="shared" si="46"/>
        <v>0</v>
      </c>
      <c r="BN141" s="518"/>
      <c r="BO141" s="518"/>
      <c r="BP141" s="518"/>
      <c r="BQ141" s="518"/>
      <c r="BR141" s="518"/>
      <c r="BS141" s="518"/>
      <c r="BT141" s="518"/>
      <c r="BU141" s="518"/>
      <c r="BV141" s="518"/>
      <c r="BW141" s="518"/>
      <c r="BX141" s="518"/>
      <c r="BY141" s="518"/>
      <c r="BZ141" s="791">
        <v>0</v>
      </c>
      <c r="CB141" s="518"/>
      <c r="CC141" s="518"/>
      <c r="CD141" s="518"/>
      <c r="CE141" s="518"/>
      <c r="CF141" s="518"/>
      <c r="CG141" s="518"/>
      <c r="CH141" s="518"/>
      <c r="CI141" s="518"/>
      <c r="CJ141" s="518"/>
      <c r="CK141" s="518"/>
      <c r="CL141" s="518"/>
      <c r="CM141" s="518"/>
      <c r="CN141" s="791">
        <v>0</v>
      </c>
      <c r="CP141" s="647"/>
      <c r="CQ141" s="647"/>
      <c r="CR141" s="518"/>
      <c r="CS141" s="647"/>
      <c r="CT141" s="518"/>
      <c r="CU141" s="647"/>
      <c r="CV141" s="518"/>
      <c r="CW141" s="647"/>
      <c r="CX141" s="518"/>
      <c r="CY141" s="647"/>
      <c r="CZ141" s="518"/>
      <c r="DA141" s="647"/>
      <c r="DB141" s="518"/>
      <c r="DC141" s="647">
        <v>0</v>
      </c>
      <c r="DD141" s="518"/>
      <c r="DE141" s="518"/>
      <c r="DF141" s="518"/>
      <c r="DG141" s="748"/>
      <c r="DH141" s="518"/>
      <c r="DI141" s="518"/>
      <c r="DJ141" s="748"/>
      <c r="DK141" s="518"/>
      <c r="DL141" s="518"/>
      <c r="DM141" s="748"/>
      <c r="DN141" s="518"/>
      <c r="DO141" s="518"/>
      <c r="DP141" s="748"/>
      <c r="DQ141" s="493">
        <f t="shared" si="62"/>
        <v>0</v>
      </c>
      <c r="DR141" s="479">
        <f t="shared" si="48"/>
        <v>0</v>
      </c>
      <c r="DS141" s="1163"/>
      <c r="DT141" s="1163"/>
      <c r="DU141" s="1163"/>
      <c r="DV141" s="1163"/>
      <c r="DW141" s="1163"/>
      <c r="DX141" s="1163"/>
      <c r="DY141" s="1163"/>
      <c r="DZ141" s="1163"/>
      <c r="EA141" s="1163"/>
      <c r="EB141" s="1163"/>
      <c r="EC141" s="1163"/>
      <c r="ED141" s="1163"/>
      <c r="EE141" s="1119">
        <f t="shared" si="60"/>
        <v>0</v>
      </c>
      <c r="EF141" s="443">
        <f t="shared" si="49"/>
        <v>0</v>
      </c>
      <c r="EG141" s="355">
        <f t="shared" si="50"/>
        <v>0</v>
      </c>
      <c r="EH141" s="443">
        <f t="shared" si="42"/>
        <v>0</v>
      </c>
      <c r="EI141" s="443">
        <f t="shared" si="42"/>
        <v>0</v>
      </c>
      <c r="EJ141" s="367">
        <v>3000015347</v>
      </c>
    </row>
    <row r="142" spans="1:156" ht="15.5" outlineLevel="2">
      <c r="A142" s="367" t="s">
        <v>43</v>
      </c>
      <c r="B142" s="378"/>
      <c r="C142" s="370" t="s">
        <v>358</v>
      </c>
      <c r="E142" s="379" t="s">
        <v>54</v>
      </c>
      <c r="F142" s="380">
        <v>3000017600</v>
      </c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7">
        <f t="shared" si="4"/>
        <v>0</v>
      </c>
      <c r="T142" s="179"/>
      <c r="U142" s="178">
        <v>0</v>
      </c>
      <c r="V142" s="178">
        <v>0</v>
      </c>
      <c r="W142" s="178">
        <v>0</v>
      </c>
      <c r="X142" s="178">
        <v>0</v>
      </c>
      <c r="Y142" s="178">
        <v>2760000</v>
      </c>
      <c r="Z142" s="178">
        <v>0</v>
      </c>
      <c r="AA142" s="178">
        <v>0</v>
      </c>
      <c r="AB142" s="178">
        <v>0</v>
      </c>
      <c r="AC142" s="178">
        <v>0</v>
      </c>
      <c r="AD142" s="178">
        <v>0</v>
      </c>
      <c r="AE142" s="178">
        <v>0</v>
      </c>
      <c r="AF142" s="178">
        <v>0</v>
      </c>
      <c r="AG142" s="518">
        <f t="shared" si="5"/>
        <v>2760000</v>
      </c>
      <c r="AH142" s="788"/>
      <c r="AI142" s="789"/>
      <c r="AJ142" s="517"/>
      <c r="AK142" s="518"/>
      <c r="AL142" s="518"/>
      <c r="AM142" s="518"/>
      <c r="AN142" s="518"/>
      <c r="AO142" s="518"/>
      <c r="AP142" s="518"/>
      <c r="AQ142" s="518">
        <v>0</v>
      </c>
      <c r="AR142" s="518"/>
      <c r="AS142" s="518"/>
      <c r="AT142" s="518"/>
      <c r="AU142" s="518"/>
      <c r="AV142" s="518"/>
      <c r="AW142" s="518"/>
      <c r="AX142" s="518">
        <f t="shared" si="45"/>
        <v>0</v>
      </c>
      <c r="AY142" s="788"/>
      <c r="AZ142" s="789"/>
      <c r="BA142" s="517"/>
      <c r="BB142" s="518"/>
      <c r="BC142" s="518"/>
      <c r="BD142" s="518"/>
      <c r="BE142" s="518"/>
      <c r="BF142" s="518"/>
      <c r="BG142" s="518">
        <f t="shared" si="61"/>
        <v>0</v>
      </c>
      <c r="BH142" s="518">
        <v>0</v>
      </c>
      <c r="BI142" s="518">
        <v>0</v>
      </c>
      <c r="BJ142" s="518">
        <v>0</v>
      </c>
      <c r="BK142" s="518">
        <v>0</v>
      </c>
      <c r="BL142" s="518">
        <f t="shared" si="46"/>
        <v>0</v>
      </c>
      <c r="BN142" s="518"/>
      <c r="BO142" s="518"/>
      <c r="BP142" s="518"/>
      <c r="BQ142" s="518"/>
      <c r="BR142" s="518"/>
      <c r="BS142" s="518"/>
      <c r="BT142" s="518"/>
      <c r="BU142" s="518"/>
      <c r="BV142" s="518"/>
      <c r="BW142" s="518"/>
      <c r="BX142" s="518"/>
      <c r="BY142" s="518"/>
      <c r="BZ142" s="791">
        <v>0</v>
      </c>
      <c r="CB142" s="518"/>
      <c r="CC142" s="518"/>
      <c r="CD142" s="518"/>
      <c r="CE142" s="518"/>
      <c r="CF142" s="518"/>
      <c r="CG142" s="518"/>
      <c r="CH142" s="518"/>
      <c r="CI142" s="518"/>
      <c r="CJ142" s="518"/>
      <c r="CK142" s="518"/>
      <c r="CL142" s="518"/>
      <c r="CM142" s="518"/>
      <c r="CN142" s="791">
        <v>0</v>
      </c>
      <c r="CP142" s="647"/>
      <c r="CQ142" s="647"/>
      <c r="CR142" s="518"/>
      <c r="CS142" s="647"/>
      <c r="CT142" s="518"/>
      <c r="CU142" s="647"/>
      <c r="CV142" s="518"/>
      <c r="CW142" s="647"/>
      <c r="CX142" s="518"/>
      <c r="CY142" s="647"/>
      <c r="CZ142" s="518"/>
      <c r="DA142" s="647"/>
      <c r="DB142" s="518"/>
      <c r="DC142" s="647">
        <v>0</v>
      </c>
      <c r="DD142" s="518"/>
      <c r="DE142" s="518"/>
      <c r="DF142" s="518"/>
      <c r="DG142" s="748"/>
      <c r="DH142" s="518"/>
      <c r="DI142" s="518"/>
      <c r="DJ142" s="748"/>
      <c r="DK142" s="518"/>
      <c r="DL142" s="518"/>
      <c r="DM142" s="748"/>
      <c r="DN142" s="518"/>
      <c r="DO142" s="518"/>
      <c r="DP142" s="748"/>
      <c r="DQ142" s="493">
        <f t="shared" si="62"/>
        <v>0</v>
      </c>
      <c r="DR142" s="479">
        <f t="shared" ref="DR142:DR151" si="63">SUM(CP142,CQ142,CS142,CU142,CX142,CZ142,DB142,DD142,DG142,DJ142,DM142,DP142)</f>
        <v>0</v>
      </c>
      <c r="DS142" s="1163"/>
      <c r="DT142" s="1163"/>
      <c r="DU142" s="1163"/>
      <c r="DV142" s="1163"/>
      <c r="DW142" s="1163"/>
      <c r="DX142" s="1163"/>
      <c r="DY142" s="1163"/>
      <c r="DZ142" s="1163"/>
      <c r="EA142" s="1163"/>
      <c r="EB142" s="1163"/>
      <c r="EC142" s="1163"/>
      <c r="ED142" s="1163"/>
      <c r="EE142" s="1119">
        <f t="shared" si="60"/>
        <v>0</v>
      </c>
      <c r="EF142" s="443">
        <f t="shared" si="49"/>
        <v>0</v>
      </c>
      <c r="EG142" s="355">
        <f t="shared" si="50"/>
        <v>0</v>
      </c>
      <c r="EH142" s="443">
        <f t="shared" si="42"/>
        <v>0</v>
      </c>
      <c r="EI142" s="443">
        <f t="shared" si="42"/>
        <v>0</v>
      </c>
      <c r="EJ142" s="367">
        <v>3000017600</v>
      </c>
    </row>
    <row r="143" spans="1:156" ht="15.5" outlineLevel="2">
      <c r="A143" s="367" t="s">
        <v>43</v>
      </c>
      <c r="B143" s="378"/>
      <c r="C143" s="370" t="s">
        <v>358</v>
      </c>
      <c r="E143" s="379" t="s">
        <v>95</v>
      </c>
      <c r="F143" s="380">
        <v>3000017774</v>
      </c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7">
        <f t="shared" si="4"/>
        <v>0</v>
      </c>
      <c r="T143" s="179"/>
      <c r="U143" s="178">
        <v>36870000</v>
      </c>
      <c r="V143" s="178">
        <v>48100000</v>
      </c>
      <c r="W143" s="178">
        <v>16000000</v>
      </c>
      <c r="X143" s="178">
        <v>120550000</v>
      </c>
      <c r="Y143" s="178">
        <v>24350000</v>
      </c>
      <c r="Z143" s="178">
        <v>40800000</v>
      </c>
      <c r="AA143" s="178">
        <v>38240000</v>
      </c>
      <c r="AB143" s="178">
        <v>14750000</v>
      </c>
      <c r="AC143" s="178">
        <v>9800000</v>
      </c>
      <c r="AD143" s="178">
        <v>0</v>
      </c>
      <c r="AE143" s="178">
        <v>0</v>
      </c>
      <c r="AF143" s="178">
        <v>0</v>
      </c>
      <c r="AG143" s="518">
        <f t="shared" si="5"/>
        <v>349460000</v>
      </c>
      <c r="AH143" s="788"/>
      <c r="AI143" s="789"/>
      <c r="AJ143" s="517"/>
      <c r="AK143" s="518"/>
      <c r="AL143" s="518"/>
      <c r="AM143" s="518"/>
      <c r="AN143" s="518"/>
      <c r="AO143" s="518"/>
      <c r="AP143" s="518"/>
      <c r="AQ143" s="518">
        <v>0</v>
      </c>
      <c r="AR143" s="518"/>
      <c r="AS143" s="518"/>
      <c r="AT143" s="518"/>
      <c r="AU143" s="518"/>
      <c r="AV143" s="518"/>
      <c r="AW143" s="518"/>
      <c r="AX143" s="518">
        <f t="shared" si="45"/>
        <v>0</v>
      </c>
      <c r="AY143" s="788"/>
      <c r="AZ143" s="789"/>
      <c r="BA143" s="517"/>
      <c r="BB143" s="518"/>
      <c r="BC143" s="518"/>
      <c r="BD143" s="518"/>
      <c r="BE143" s="518"/>
      <c r="BF143" s="518"/>
      <c r="BG143" s="518">
        <f t="shared" si="61"/>
        <v>0</v>
      </c>
      <c r="BH143" s="518">
        <v>0</v>
      </c>
      <c r="BI143" s="518">
        <v>0</v>
      </c>
      <c r="BJ143" s="518">
        <v>0</v>
      </c>
      <c r="BK143" s="518">
        <v>0</v>
      </c>
      <c r="BL143" s="518">
        <f t="shared" si="46"/>
        <v>0</v>
      </c>
      <c r="BN143" s="518"/>
      <c r="BO143" s="518"/>
      <c r="BP143" s="518"/>
      <c r="BQ143" s="518"/>
      <c r="BR143" s="518"/>
      <c r="BS143" s="518"/>
      <c r="BT143" s="518"/>
      <c r="BU143" s="518"/>
      <c r="BV143" s="518"/>
      <c r="BW143" s="518"/>
      <c r="BX143" s="518"/>
      <c r="BY143" s="518"/>
      <c r="BZ143" s="791">
        <v>0</v>
      </c>
      <c r="CB143" s="518"/>
      <c r="CC143" s="518"/>
      <c r="CD143" s="518"/>
      <c r="CE143" s="518"/>
      <c r="CF143" s="518"/>
      <c r="CG143" s="518"/>
      <c r="CH143" s="518"/>
      <c r="CI143" s="518"/>
      <c r="CJ143" s="518"/>
      <c r="CK143" s="518"/>
      <c r="CL143" s="518"/>
      <c r="CM143" s="518"/>
      <c r="CN143" s="791">
        <v>0</v>
      </c>
      <c r="CP143" s="647"/>
      <c r="CQ143" s="647"/>
      <c r="CR143" s="518"/>
      <c r="CS143" s="647"/>
      <c r="CT143" s="518"/>
      <c r="CU143" s="647"/>
      <c r="CV143" s="518"/>
      <c r="CW143" s="647"/>
      <c r="CX143" s="518"/>
      <c r="CY143" s="647"/>
      <c r="CZ143" s="518"/>
      <c r="DA143" s="647"/>
      <c r="DB143" s="518"/>
      <c r="DC143" s="647">
        <v>0</v>
      </c>
      <c r="DD143" s="518"/>
      <c r="DE143" s="518"/>
      <c r="DF143" s="518"/>
      <c r="DG143" s="748"/>
      <c r="DH143" s="518"/>
      <c r="DI143" s="518"/>
      <c r="DJ143" s="748"/>
      <c r="DK143" s="518"/>
      <c r="DL143" s="518"/>
      <c r="DM143" s="748"/>
      <c r="DN143" s="518"/>
      <c r="DO143" s="518"/>
      <c r="DP143" s="748"/>
      <c r="DQ143" s="493">
        <f t="shared" si="62"/>
        <v>0</v>
      </c>
      <c r="DR143" s="479">
        <f t="shared" si="63"/>
        <v>0</v>
      </c>
      <c r="DS143" s="1163"/>
      <c r="DT143" s="1163"/>
      <c r="DU143" s="1163"/>
      <c r="DV143" s="1163"/>
      <c r="DW143" s="1163"/>
      <c r="DX143" s="1163"/>
      <c r="DY143" s="1163"/>
      <c r="DZ143" s="1163"/>
      <c r="EA143" s="1163"/>
      <c r="EB143" s="1163"/>
      <c r="EC143" s="1163"/>
      <c r="ED143" s="1163"/>
      <c r="EE143" s="1119">
        <f t="shared" si="60"/>
        <v>0</v>
      </c>
      <c r="EF143" s="443">
        <f t="shared" si="49"/>
        <v>0</v>
      </c>
      <c r="EG143" s="355">
        <f t="shared" si="50"/>
        <v>0</v>
      </c>
      <c r="EH143" s="443">
        <f t="shared" si="42"/>
        <v>0</v>
      </c>
      <c r="EI143" s="443">
        <f t="shared" si="42"/>
        <v>0</v>
      </c>
      <c r="EJ143" s="367">
        <v>3000017774</v>
      </c>
    </row>
    <row r="144" spans="1:156" ht="15.5" outlineLevel="2">
      <c r="A144" s="367" t="s">
        <v>43</v>
      </c>
      <c r="B144" s="378"/>
      <c r="C144" s="370" t="s">
        <v>358</v>
      </c>
      <c r="E144" s="379" t="s">
        <v>460</v>
      </c>
      <c r="F144" s="380">
        <v>3000017874</v>
      </c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7">
        <f t="shared" si="4"/>
        <v>0</v>
      </c>
      <c r="T144" s="179"/>
      <c r="U144" s="178">
        <v>7567224</v>
      </c>
      <c r="V144" s="178">
        <v>0</v>
      </c>
      <c r="W144" s="178">
        <v>0</v>
      </c>
      <c r="X144" s="178">
        <v>0</v>
      </c>
      <c r="Y144" s="178">
        <v>0</v>
      </c>
      <c r="Z144" s="178">
        <v>0</v>
      </c>
      <c r="AA144" s="178">
        <v>0</v>
      </c>
      <c r="AB144" s="178">
        <v>0</v>
      </c>
      <c r="AC144" s="178">
        <v>0</v>
      </c>
      <c r="AD144" s="178">
        <v>0</v>
      </c>
      <c r="AE144" s="178">
        <v>0</v>
      </c>
      <c r="AF144" s="178">
        <v>0</v>
      </c>
      <c r="AG144" s="518">
        <f t="shared" si="5"/>
        <v>7567224</v>
      </c>
      <c r="AH144" s="788"/>
      <c r="AI144" s="789"/>
      <c r="AJ144" s="517"/>
      <c r="AK144" s="518"/>
      <c r="AL144" s="518"/>
      <c r="AM144" s="518"/>
      <c r="AN144" s="518"/>
      <c r="AO144" s="518"/>
      <c r="AP144" s="518"/>
      <c r="AQ144" s="518">
        <v>0</v>
      </c>
      <c r="AR144" s="518"/>
      <c r="AS144" s="518"/>
      <c r="AT144" s="518"/>
      <c r="AU144" s="518"/>
      <c r="AV144" s="518"/>
      <c r="AW144" s="518"/>
      <c r="AX144" s="518">
        <f t="shared" si="45"/>
        <v>0</v>
      </c>
      <c r="AY144" s="788"/>
      <c r="AZ144" s="789"/>
      <c r="BA144" s="517"/>
      <c r="BB144" s="518"/>
      <c r="BC144" s="518"/>
      <c r="BD144" s="518"/>
      <c r="BE144" s="518"/>
      <c r="BF144" s="518"/>
      <c r="BG144" s="518">
        <f t="shared" si="61"/>
        <v>0</v>
      </c>
      <c r="BH144" s="518">
        <v>0</v>
      </c>
      <c r="BI144" s="518">
        <v>0</v>
      </c>
      <c r="BJ144" s="518">
        <v>0</v>
      </c>
      <c r="BK144" s="518">
        <v>0</v>
      </c>
      <c r="BL144" s="518">
        <f t="shared" si="46"/>
        <v>0</v>
      </c>
      <c r="BN144" s="518"/>
      <c r="BO144" s="518"/>
      <c r="BP144" s="518"/>
      <c r="BQ144" s="518"/>
      <c r="BR144" s="518"/>
      <c r="BS144" s="518"/>
      <c r="BT144" s="518"/>
      <c r="BU144" s="518"/>
      <c r="BV144" s="518"/>
      <c r="BW144" s="518"/>
      <c r="BX144" s="518"/>
      <c r="BY144" s="518"/>
      <c r="BZ144" s="791">
        <v>0</v>
      </c>
      <c r="CB144" s="518"/>
      <c r="CC144" s="518"/>
      <c r="CD144" s="518"/>
      <c r="CE144" s="518"/>
      <c r="CF144" s="518"/>
      <c r="CG144" s="518"/>
      <c r="CH144" s="518"/>
      <c r="CI144" s="518"/>
      <c r="CJ144" s="518"/>
      <c r="CK144" s="518"/>
      <c r="CL144" s="518"/>
      <c r="CM144" s="518"/>
      <c r="CN144" s="791">
        <v>0</v>
      </c>
      <c r="CP144" s="647"/>
      <c r="CQ144" s="647"/>
      <c r="CR144" s="518"/>
      <c r="CS144" s="647"/>
      <c r="CT144" s="518"/>
      <c r="CU144" s="647"/>
      <c r="CV144" s="518"/>
      <c r="CW144" s="647"/>
      <c r="CX144" s="518"/>
      <c r="CY144" s="647"/>
      <c r="CZ144" s="518"/>
      <c r="DA144" s="647"/>
      <c r="DB144" s="518"/>
      <c r="DC144" s="647">
        <v>0</v>
      </c>
      <c r="DD144" s="518"/>
      <c r="DE144" s="518"/>
      <c r="DF144" s="518"/>
      <c r="DG144" s="748"/>
      <c r="DH144" s="518"/>
      <c r="DI144" s="518"/>
      <c r="DJ144" s="748"/>
      <c r="DK144" s="518"/>
      <c r="DL144" s="518"/>
      <c r="DM144" s="748"/>
      <c r="DN144" s="518"/>
      <c r="DO144" s="518"/>
      <c r="DP144" s="748"/>
      <c r="DQ144" s="493">
        <f t="shared" si="62"/>
        <v>0</v>
      </c>
      <c r="DR144" s="479">
        <f t="shared" si="63"/>
        <v>0</v>
      </c>
      <c r="DS144" s="1163"/>
      <c r="DT144" s="1163"/>
      <c r="DU144" s="1163"/>
      <c r="DV144" s="1163"/>
      <c r="DW144" s="1163"/>
      <c r="DX144" s="1163"/>
      <c r="DY144" s="1163"/>
      <c r="DZ144" s="1163"/>
      <c r="EA144" s="1163"/>
      <c r="EB144" s="1163"/>
      <c r="EC144" s="1163"/>
      <c r="ED144" s="1163"/>
      <c r="EE144" s="1119">
        <f t="shared" si="60"/>
        <v>0</v>
      </c>
      <c r="EF144" s="443">
        <f t="shared" si="49"/>
        <v>0</v>
      </c>
      <c r="EG144" s="355">
        <f t="shared" si="50"/>
        <v>0</v>
      </c>
      <c r="EH144" s="443">
        <f t="shared" si="42"/>
        <v>0</v>
      </c>
      <c r="EI144" s="443">
        <f t="shared" si="42"/>
        <v>0</v>
      </c>
      <c r="EJ144" s="367">
        <v>3000017874</v>
      </c>
    </row>
    <row r="145" spans="1:140" ht="15.5" outlineLevel="2">
      <c r="A145" s="367" t="s">
        <v>39</v>
      </c>
      <c r="B145" s="378"/>
      <c r="C145" s="370" t="s">
        <v>358</v>
      </c>
      <c r="E145" s="379" t="s">
        <v>74</v>
      </c>
      <c r="F145" s="380">
        <v>3000018034</v>
      </c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7">
        <f t="shared" si="4"/>
        <v>0</v>
      </c>
      <c r="T145" s="179"/>
      <c r="U145" s="178">
        <v>0</v>
      </c>
      <c r="V145" s="178">
        <v>2200000</v>
      </c>
      <c r="W145" s="178">
        <v>13200000</v>
      </c>
      <c r="X145" s="178">
        <v>61600000</v>
      </c>
      <c r="Y145" s="178">
        <v>2200000</v>
      </c>
      <c r="Z145" s="178">
        <v>0</v>
      </c>
      <c r="AA145" s="178">
        <v>0</v>
      </c>
      <c r="AB145" s="178">
        <v>0</v>
      </c>
      <c r="AC145" s="178">
        <v>0</v>
      </c>
      <c r="AD145" s="178">
        <v>0</v>
      </c>
      <c r="AE145" s="178">
        <v>1900000</v>
      </c>
      <c r="AF145" s="178">
        <v>0</v>
      </c>
      <c r="AG145" s="518">
        <f t="shared" si="5"/>
        <v>81100000</v>
      </c>
      <c r="AH145" s="788"/>
      <c r="AI145" s="789"/>
      <c r="AJ145" s="517"/>
      <c r="AK145" s="518"/>
      <c r="AL145" s="518"/>
      <c r="AM145" s="518"/>
      <c r="AN145" s="518"/>
      <c r="AO145" s="518"/>
      <c r="AP145" s="518"/>
      <c r="AQ145" s="518">
        <v>0</v>
      </c>
      <c r="AR145" s="518"/>
      <c r="AS145" s="518"/>
      <c r="AT145" s="518"/>
      <c r="AU145" s="518"/>
      <c r="AV145" s="518"/>
      <c r="AW145" s="518"/>
      <c r="AX145" s="518">
        <f t="shared" si="45"/>
        <v>0</v>
      </c>
      <c r="AY145" s="788"/>
      <c r="AZ145" s="789"/>
      <c r="BA145" s="517"/>
      <c r="BB145" s="518"/>
      <c r="BC145" s="518"/>
      <c r="BD145" s="518"/>
      <c r="BE145" s="518"/>
      <c r="BF145" s="518"/>
      <c r="BG145" s="518">
        <f t="shared" si="61"/>
        <v>0</v>
      </c>
      <c r="BH145" s="518">
        <v>0</v>
      </c>
      <c r="BI145" s="518">
        <v>0</v>
      </c>
      <c r="BJ145" s="518">
        <v>0</v>
      </c>
      <c r="BK145" s="518">
        <v>0</v>
      </c>
      <c r="BL145" s="518">
        <f t="shared" si="46"/>
        <v>0</v>
      </c>
      <c r="BN145" s="518"/>
      <c r="BO145" s="518"/>
      <c r="BP145" s="518"/>
      <c r="BQ145" s="518"/>
      <c r="BR145" s="518"/>
      <c r="BS145" s="518"/>
      <c r="BT145" s="518"/>
      <c r="BU145" s="518"/>
      <c r="BV145" s="518"/>
      <c r="BW145" s="518"/>
      <c r="BX145" s="518"/>
      <c r="BY145" s="518"/>
      <c r="BZ145" s="791">
        <v>0</v>
      </c>
      <c r="CB145" s="518"/>
      <c r="CC145" s="518"/>
      <c r="CD145" s="518"/>
      <c r="CE145" s="518"/>
      <c r="CF145" s="518"/>
      <c r="CG145" s="518"/>
      <c r="CH145" s="518"/>
      <c r="CI145" s="518"/>
      <c r="CJ145" s="518"/>
      <c r="CK145" s="518"/>
      <c r="CL145" s="518"/>
      <c r="CM145" s="518"/>
      <c r="CN145" s="791">
        <v>0</v>
      </c>
      <c r="CP145" s="647"/>
      <c r="CQ145" s="647"/>
      <c r="CR145" s="518"/>
      <c r="CS145" s="647"/>
      <c r="CT145" s="518"/>
      <c r="CU145" s="647"/>
      <c r="CV145" s="518"/>
      <c r="CW145" s="647"/>
      <c r="CX145" s="518"/>
      <c r="CY145" s="647"/>
      <c r="CZ145" s="518"/>
      <c r="DA145" s="647"/>
      <c r="DB145" s="518"/>
      <c r="DC145" s="647">
        <v>0</v>
      </c>
      <c r="DD145" s="518"/>
      <c r="DE145" s="518"/>
      <c r="DF145" s="518"/>
      <c r="DG145" s="748"/>
      <c r="DH145" s="518"/>
      <c r="DI145" s="518"/>
      <c r="DJ145" s="748"/>
      <c r="DK145" s="518"/>
      <c r="DL145" s="518"/>
      <c r="DM145" s="748"/>
      <c r="DN145" s="518"/>
      <c r="DO145" s="518"/>
      <c r="DP145" s="748"/>
      <c r="DQ145" s="493">
        <f t="shared" si="62"/>
        <v>0</v>
      </c>
      <c r="DR145" s="479">
        <f t="shared" si="63"/>
        <v>0</v>
      </c>
      <c r="DS145" s="1163"/>
      <c r="DT145" s="1163"/>
      <c r="DU145" s="1163"/>
      <c r="DV145" s="1163"/>
      <c r="DW145" s="1163"/>
      <c r="DX145" s="1163"/>
      <c r="DY145" s="1163"/>
      <c r="DZ145" s="1163"/>
      <c r="EA145" s="1163"/>
      <c r="EB145" s="1163"/>
      <c r="EC145" s="1163"/>
      <c r="ED145" s="1163"/>
      <c r="EE145" s="1119">
        <f t="shared" si="60"/>
        <v>0</v>
      </c>
      <c r="EF145" s="443">
        <f t="shared" si="49"/>
        <v>0</v>
      </c>
      <c r="EG145" s="355">
        <f t="shared" si="50"/>
        <v>0</v>
      </c>
      <c r="EH145" s="443">
        <f t="shared" si="42"/>
        <v>0</v>
      </c>
      <c r="EI145" s="443">
        <f t="shared" si="42"/>
        <v>0</v>
      </c>
      <c r="EJ145" s="367">
        <v>3000018034</v>
      </c>
    </row>
    <row r="146" spans="1:140" ht="15.5" outlineLevel="2">
      <c r="A146" s="367" t="s">
        <v>43</v>
      </c>
      <c r="B146" s="378"/>
      <c r="C146" s="370" t="s">
        <v>358</v>
      </c>
      <c r="E146" s="379" t="s">
        <v>461</v>
      </c>
      <c r="F146" s="380">
        <v>3000018515</v>
      </c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7">
        <f t="shared" si="4"/>
        <v>0</v>
      </c>
      <c r="T146" s="179"/>
      <c r="U146" s="178">
        <v>0</v>
      </c>
      <c r="V146" s="178">
        <v>0</v>
      </c>
      <c r="W146" s="178">
        <v>0</v>
      </c>
      <c r="X146" s="178">
        <v>0</v>
      </c>
      <c r="Y146" s="178">
        <v>0</v>
      </c>
      <c r="Z146" s="178">
        <v>0</v>
      </c>
      <c r="AA146" s="178">
        <v>1500000</v>
      </c>
      <c r="AB146" s="178">
        <v>0</v>
      </c>
      <c r="AC146" s="178">
        <v>0</v>
      </c>
      <c r="AD146" s="178">
        <v>0</v>
      </c>
      <c r="AE146" s="178">
        <v>4350000</v>
      </c>
      <c r="AF146" s="178">
        <v>0</v>
      </c>
      <c r="AG146" s="518">
        <f t="shared" si="5"/>
        <v>5850000</v>
      </c>
      <c r="AH146" s="788"/>
      <c r="AI146" s="789"/>
      <c r="AJ146" s="517"/>
      <c r="AK146" s="518"/>
      <c r="AL146" s="518"/>
      <c r="AM146" s="518"/>
      <c r="AN146" s="518"/>
      <c r="AO146" s="518"/>
      <c r="AP146" s="518"/>
      <c r="AQ146" s="518">
        <v>0</v>
      </c>
      <c r="AR146" s="518"/>
      <c r="AS146" s="518"/>
      <c r="AT146" s="518"/>
      <c r="AU146" s="518"/>
      <c r="AV146" s="518"/>
      <c r="AW146" s="518"/>
      <c r="AX146" s="518">
        <f t="shared" si="45"/>
        <v>0</v>
      </c>
      <c r="AY146" s="788"/>
      <c r="AZ146" s="789"/>
      <c r="BA146" s="517"/>
      <c r="BB146" s="518"/>
      <c r="BC146" s="518"/>
      <c r="BD146" s="518"/>
      <c r="BE146" s="518"/>
      <c r="BF146" s="518"/>
      <c r="BG146" s="518">
        <f t="shared" si="61"/>
        <v>0</v>
      </c>
      <c r="BH146" s="518">
        <v>0</v>
      </c>
      <c r="BI146" s="518">
        <v>0</v>
      </c>
      <c r="BJ146" s="518">
        <v>0</v>
      </c>
      <c r="BK146" s="518">
        <v>0</v>
      </c>
      <c r="BL146" s="518">
        <f t="shared" si="46"/>
        <v>0</v>
      </c>
      <c r="BN146" s="518"/>
      <c r="BO146" s="518"/>
      <c r="BP146" s="518"/>
      <c r="BQ146" s="518"/>
      <c r="BR146" s="518"/>
      <c r="BS146" s="518"/>
      <c r="BT146" s="518"/>
      <c r="BU146" s="518"/>
      <c r="BV146" s="518"/>
      <c r="BW146" s="518"/>
      <c r="BX146" s="518"/>
      <c r="BY146" s="518"/>
      <c r="BZ146" s="791">
        <v>0</v>
      </c>
      <c r="CB146" s="518"/>
      <c r="CC146" s="518"/>
      <c r="CD146" s="518"/>
      <c r="CE146" s="518"/>
      <c r="CF146" s="518"/>
      <c r="CG146" s="518"/>
      <c r="CH146" s="518"/>
      <c r="CI146" s="518"/>
      <c r="CJ146" s="518"/>
      <c r="CK146" s="518"/>
      <c r="CL146" s="518"/>
      <c r="CM146" s="518"/>
      <c r="CN146" s="791">
        <v>0</v>
      </c>
      <c r="CP146" s="647"/>
      <c r="CQ146" s="647"/>
      <c r="CR146" s="518"/>
      <c r="CS146" s="647"/>
      <c r="CT146" s="518"/>
      <c r="CU146" s="647"/>
      <c r="CV146" s="518"/>
      <c r="CW146" s="647"/>
      <c r="CX146" s="518"/>
      <c r="CY146" s="647"/>
      <c r="CZ146" s="518"/>
      <c r="DA146" s="647"/>
      <c r="DB146" s="518"/>
      <c r="DC146" s="647">
        <v>0</v>
      </c>
      <c r="DD146" s="518"/>
      <c r="DE146" s="518"/>
      <c r="DF146" s="518"/>
      <c r="DG146" s="748"/>
      <c r="DH146" s="518"/>
      <c r="DI146" s="518"/>
      <c r="DJ146" s="748"/>
      <c r="DK146" s="518"/>
      <c r="DL146" s="518"/>
      <c r="DM146" s="748"/>
      <c r="DN146" s="518"/>
      <c r="DO146" s="518"/>
      <c r="DP146" s="748"/>
      <c r="DQ146" s="493">
        <f t="shared" si="62"/>
        <v>0</v>
      </c>
      <c r="DR146" s="479">
        <f t="shared" si="63"/>
        <v>0</v>
      </c>
      <c r="DS146" s="1163"/>
      <c r="DT146" s="1163"/>
      <c r="DU146" s="1163"/>
      <c r="DV146" s="1163"/>
      <c r="DW146" s="1163"/>
      <c r="DX146" s="1163"/>
      <c r="DY146" s="1163"/>
      <c r="DZ146" s="1163"/>
      <c r="EA146" s="1163"/>
      <c r="EB146" s="1163"/>
      <c r="EC146" s="1163"/>
      <c r="ED146" s="1163"/>
      <c r="EE146" s="1119">
        <f t="shared" si="60"/>
        <v>0</v>
      </c>
      <c r="EF146" s="443">
        <f t="shared" si="49"/>
        <v>0</v>
      </c>
      <c r="EG146" s="355">
        <f t="shared" si="50"/>
        <v>0</v>
      </c>
      <c r="EH146" s="443">
        <f t="shared" si="42"/>
        <v>0</v>
      </c>
      <c r="EI146" s="443">
        <f t="shared" si="42"/>
        <v>0</v>
      </c>
      <c r="EJ146" s="367">
        <v>3000018515</v>
      </c>
    </row>
    <row r="147" spans="1:140" ht="15.5" outlineLevel="2">
      <c r="A147" s="367" t="s">
        <v>39</v>
      </c>
      <c r="B147" s="378"/>
      <c r="C147" s="370" t="s">
        <v>358</v>
      </c>
      <c r="E147" s="379" t="s">
        <v>462</v>
      </c>
      <c r="F147" s="380">
        <v>3000018535</v>
      </c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7">
        <f t="shared" si="4"/>
        <v>0</v>
      </c>
      <c r="T147" s="179"/>
      <c r="U147" s="178">
        <v>0</v>
      </c>
      <c r="V147" s="178">
        <v>0</v>
      </c>
      <c r="W147" s="178">
        <v>0</v>
      </c>
      <c r="X147" s="178">
        <v>0</v>
      </c>
      <c r="Y147" s="178">
        <v>0</v>
      </c>
      <c r="Z147" s="178">
        <v>0</v>
      </c>
      <c r="AA147" s="178">
        <v>370000</v>
      </c>
      <c r="AB147" s="178">
        <v>0</v>
      </c>
      <c r="AC147" s="178">
        <v>0</v>
      </c>
      <c r="AD147" s="178">
        <v>0</v>
      </c>
      <c r="AE147" s="178">
        <v>0</v>
      </c>
      <c r="AF147" s="178">
        <v>0</v>
      </c>
      <c r="AG147" s="518">
        <f t="shared" si="5"/>
        <v>370000</v>
      </c>
      <c r="AH147" s="788"/>
      <c r="AI147" s="789"/>
      <c r="AJ147" s="517"/>
      <c r="AK147" s="518"/>
      <c r="AL147" s="518"/>
      <c r="AM147" s="518"/>
      <c r="AN147" s="518"/>
      <c r="AO147" s="518"/>
      <c r="AP147" s="518"/>
      <c r="AQ147" s="518">
        <v>0</v>
      </c>
      <c r="AR147" s="518"/>
      <c r="AS147" s="518"/>
      <c r="AT147" s="518"/>
      <c r="AU147" s="518"/>
      <c r="AV147" s="518"/>
      <c r="AW147" s="518"/>
      <c r="AX147" s="518">
        <f t="shared" si="45"/>
        <v>0</v>
      </c>
      <c r="AY147" s="788"/>
      <c r="AZ147" s="789"/>
      <c r="BA147" s="517"/>
      <c r="BB147" s="518"/>
      <c r="BC147" s="518"/>
      <c r="BD147" s="518"/>
      <c r="BE147" s="518"/>
      <c r="BF147" s="518"/>
      <c r="BG147" s="518">
        <f t="shared" si="61"/>
        <v>0</v>
      </c>
      <c r="BH147" s="518">
        <v>0</v>
      </c>
      <c r="BI147" s="518">
        <v>0</v>
      </c>
      <c r="BJ147" s="518">
        <v>0</v>
      </c>
      <c r="BK147" s="518">
        <v>0</v>
      </c>
      <c r="BL147" s="518">
        <f t="shared" si="46"/>
        <v>0</v>
      </c>
      <c r="BN147" s="518"/>
      <c r="BO147" s="518"/>
      <c r="BP147" s="518"/>
      <c r="BQ147" s="518"/>
      <c r="BR147" s="518"/>
      <c r="BS147" s="518"/>
      <c r="BT147" s="518"/>
      <c r="BU147" s="518"/>
      <c r="BV147" s="518"/>
      <c r="BW147" s="518"/>
      <c r="BX147" s="518"/>
      <c r="BY147" s="518"/>
      <c r="BZ147" s="791">
        <v>0</v>
      </c>
      <c r="CB147" s="518"/>
      <c r="CC147" s="518"/>
      <c r="CD147" s="518"/>
      <c r="CE147" s="518"/>
      <c r="CF147" s="518"/>
      <c r="CG147" s="518"/>
      <c r="CH147" s="518"/>
      <c r="CI147" s="518"/>
      <c r="CJ147" s="518"/>
      <c r="CK147" s="518"/>
      <c r="CL147" s="518"/>
      <c r="CM147" s="518"/>
      <c r="CN147" s="791">
        <v>0</v>
      </c>
      <c r="CP147" s="647"/>
      <c r="CQ147" s="647"/>
      <c r="CR147" s="518"/>
      <c r="CS147" s="647"/>
      <c r="CT147" s="518"/>
      <c r="CU147" s="647"/>
      <c r="CV147" s="518"/>
      <c r="CW147" s="647"/>
      <c r="CX147" s="518"/>
      <c r="CY147" s="647"/>
      <c r="CZ147" s="518"/>
      <c r="DA147" s="647"/>
      <c r="DB147" s="518"/>
      <c r="DC147" s="647">
        <v>0</v>
      </c>
      <c r="DD147" s="518"/>
      <c r="DE147" s="518"/>
      <c r="DF147" s="518"/>
      <c r="DG147" s="748"/>
      <c r="DH147" s="518"/>
      <c r="DI147" s="518"/>
      <c r="DJ147" s="748"/>
      <c r="DK147" s="518"/>
      <c r="DL147" s="518"/>
      <c r="DM147" s="748"/>
      <c r="DN147" s="518"/>
      <c r="DO147" s="518"/>
      <c r="DP147" s="748"/>
      <c r="DQ147" s="493">
        <f t="shared" si="62"/>
        <v>0</v>
      </c>
      <c r="DR147" s="479">
        <f t="shared" si="63"/>
        <v>0</v>
      </c>
      <c r="DS147" s="1163"/>
      <c r="DT147" s="1163"/>
      <c r="DU147" s="1163"/>
      <c r="DV147" s="1163"/>
      <c r="DW147" s="1163"/>
      <c r="DX147" s="1163"/>
      <c r="DY147" s="1163"/>
      <c r="DZ147" s="1163"/>
      <c r="EA147" s="1163"/>
      <c r="EB147" s="1163"/>
      <c r="EC147" s="1163"/>
      <c r="ED147" s="1163"/>
      <c r="EE147" s="1119">
        <f t="shared" si="60"/>
        <v>0</v>
      </c>
      <c r="EF147" s="443">
        <f t="shared" si="49"/>
        <v>0</v>
      </c>
      <c r="EG147" s="355">
        <f t="shared" si="50"/>
        <v>0</v>
      </c>
      <c r="EH147" s="443">
        <f t="shared" si="42"/>
        <v>0</v>
      </c>
      <c r="EI147" s="443">
        <f t="shared" si="42"/>
        <v>0</v>
      </c>
      <c r="EJ147" s="367">
        <v>3000018535</v>
      </c>
    </row>
    <row r="148" spans="1:140" ht="15.5" outlineLevel="2">
      <c r="A148" s="367" t="s">
        <v>43</v>
      </c>
      <c r="B148" s="378"/>
      <c r="C148" s="370" t="s">
        <v>358</v>
      </c>
      <c r="E148" s="379" t="s">
        <v>463</v>
      </c>
      <c r="F148" s="380">
        <v>3000018615</v>
      </c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7">
        <f t="shared" si="4"/>
        <v>0</v>
      </c>
      <c r="T148" s="179"/>
      <c r="U148" s="178">
        <v>0</v>
      </c>
      <c r="V148" s="178">
        <v>0</v>
      </c>
      <c r="W148" s="178">
        <v>0</v>
      </c>
      <c r="X148" s="178">
        <v>0</v>
      </c>
      <c r="Y148" s="178">
        <v>0</v>
      </c>
      <c r="Z148" s="178">
        <v>0</v>
      </c>
      <c r="AA148" s="178">
        <v>0</v>
      </c>
      <c r="AB148" s="178">
        <v>38700000</v>
      </c>
      <c r="AC148" s="178">
        <v>1800000</v>
      </c>
      <c r="AD148" s="178">
        <v>0</v>
      </c>
      <c r="AE148" s="178">
        <v>0</v>
      </c>
      <c r="AF148" s="178">
        <v>0</v>
      </c>
      <c r="AG148" s="518">
        <f t="shared" si="5"/>
        <v>40500000</v>
      </c>
      <c r="AH148" s="788"/>
      <c r="AI148" s="789"/>
      <c r="AJ148" s="517"/>
      <c r="AK148" s="518"/>
      <c r="AL148" s="518"/>
      <c r="AM148" s="518"/>
      <c r="AN148" s="518"/>
      <c r="AO148" s="518"/>
      <c r="AP148" s="518"/>
      <c r="AQ148" s="518">
        <v>0</v>
      </c>
      <c r="AR148" s="518"/>
      <c r="AS148" s="518"/>
      <c r="AT148" s="518"/>
      <c r="AU148" s="518"/>
      <c r="AV148" s="518"/>
      <c r="AW148" s="518"/>
      <c r="AX148" s="518">
        <f t="shared" si="45"/>
        <v>0</v>
      </c>
      <c r="AY148" s="788"/>
      <c r="AZ148" s="789"/>
      <c r="BA148" s="517"/>
      <c r="BB148" s="518"/>
      <c r="BC148" s="518"/>
      <c r="BD148" s="518"/>
      <c r="BE148" s="518"/>
      <c r="BF148" s="518"/>
      <c r="BG148" s="518">
        <f t="shared" si="61"/>
        <v>0</v>
      </c>
      <c r="BH148" s="518">
        <v>0</v>
      </c>
      <c r="BI148" s="518">
        <v>0</v>
      </c>
      <c r="BJ148" s="518">
        <v>0</v>
      </c>
      <c r="BK148" s="518">
        <v>0</v>
      </c>
      <c r="BL148" s="518">
        <f t="shared" si="46"/>
        <v>0</v>
      </c>
      <c r="BN148" s="518"/>
      <c r="BO148" s="518"/>
      <c r="BP148" s="518"/>
      <c r="BQ148" s="518"/>
      <c r="BR148" s="518"/>
      <c r="BS148" s="518"/>
      <c r="BT148" s="518"/>
      <c r="BU148" s="518"/>
      <c r="BV148" s="518"/>
      <c r="BW148" s="518"/>
      <c r="BX148" s="518"/>
      <c r="BY148" s="518"/>
      <c r="BZ148" s="791">
        <v>0</v>
      </c>
      <c r="CB148" s="518"/>
      <c r="CC148" s="518"/>
      <c r="CD148" s="518"/>
      <c r="CE148" s="518"/>
      <c r="CF148" s="518"/>
      <c r="CG148" s="518"/>
      <c r="CH148" s="518"/>
      <c r="CI148" s="518"/>
      <c r="CJ148" s="518"/>
      <c r="CK148" s="518"/>
      <c r="CL148" s="518"/>
      <c r="CM148" s="518"/>
      <c r="CN148" s="791">
        <v>0</v>
      </c>
      <c r="CP148" s="647"/>
      <c r="CQ148" s="647"/>
      <c r="CR148" s="518"/>
      <c r="CS148" s="647"/>
      <c r="CT148" s="518"/>
      <c r="CU148" s="647"/>
      <c r="CV148" s="518"/>
      <c r="CW148" s="647"/>
      <c r="CX148" s="518"/>
      <c r="CY148" s="647"/>
      <c r="CZ148" s="518"/>
      <c r="DA148" s="647"/>
      <c r="DB148" s="518"/>
      <c r="DC148" s="647">
        <v>0</v>
      </c>
      <c r="DD148" s="518"/>
      <c r="DE148" s="518"/>
      <c r="DF148" s="518"/>
      <c r="DG148" s="748"/>
      <c r="DH148" s="518"/>
      <c r="DI148" s="518"/>
      <c r="DJ148" s="748"/>
      <c r="DK148" s="518"/>
      <c r="DL148" s="518"/>
      <c r="DM148" s="748"/>
      <c r="DN148" s="518"/>
      <c r="DO148" s="518"/>
      <c r="DP148" s="748"/>
      <c r="DQ148" s="493">
        <f t="shared" si="62"/>
        <v>0</v>
      </c>
      <c r="DR148" s="479">
        <f t="shared" si="63"/>
        <v>0</v>
      </c>
      <c r="DS148" s="1163"/>
      <c r="DT148" s="1163"/>
      <c r="DU148" s="1163"/>
      <c r="DV148" s="1163"/>
      <c r="DW148" s="1163"/>
      <c r="DX148" s="1163"/>
      <c r="DY148" s="1163"/>
      <c r="DZ148" s="1163"/>
      <c r="EA148" s="1163"/>
      <c r="EB148" s="1163"/>
      <c r="EC148" s="1163"/>
      <c r="ED148" s="1163"/>
      <c r="EE148" s="1119">
        <f t="shared" si="60"/>
        <v>0</v>
      </c>
      <c r="EF148" s="443">
        <f t="shared" si="49"/>
        <v>0</v>
      </c>
      <c r="EG148" s="355">
        <f t="shared" si="50"/>
        <v>0</v>
      </c>
      <c r="EH148" s="443">
        <f t="shared" si="42"/>
        <v>0</v>
      </c>
      <c r="EI148" s="443">
        <f t="shared" si="42"/>
        <v>0</v>
      </c>
      <c r="EJ148" s="367">
        <v>3000018615</v>
      </c>
    </row>
    <row r="149" spans="1:140" ht="15.5" outlineLevel="2">
      <c r="A149" s="367" t="s">
        <v>43</v>
      </c>
      <c r="B149" s="378"/>
      <c r="C149" s="370" t="s">
        <v>358</v>
      </c>
      <c r="E149" s="379" t="s">
        <v>464</v>
      </c>
      <c r="F149" s="380">
        <v>3000019176</v>
      </c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7">
        <f t="shared" si="4"/>
        <v>0</v>
      </c>
      <c r="T149" s="179"/>
      <c r="U149" s="178">
        <v>0</v>
      </c>
      <c r="V149" s="178">
        <v>0</v>
      </c>
      <c r="W149" s="178">
        <v>0</v>
      </c>
      <c r="X149" s="178">
        <v>0</v>
      </c>
      <c r="Y149" s="178">
        <v>0</v>
      </c>
      <c r="Z149" s="178">
        <v>0</v>
      </c>
      <c r="AA149" s="178">
        <v>0</v>
      </c>
      <c r="AB149" s="178">
        <v>0</v>
      </c>
      <c r="AC149" s="178">
        <v>0</v>
      </c>
      <c r="AD149" s="178">
        <v>0</v>
      </c>
      <c r="AE149" s="178">
        <v>0</v>
      </c>
      <c r="AF149" s="178">
        <v>16286542</v>
      </c>
      <c r="AG149" s="518">
        <f t="shared" si="5"/>
        <v>16286542</v>
      </c>
      <c r="AH149" s="788"/>
      <c r="AI149" s="789"/>
      <c r="AJ149" s="517"/>
      <c r="AK149" s="518"/>
      <c r="AL149" s="518"/>
      <c r="AM149" s="518"/>
      <c r="AN149" s="518"/>
      <c r="AO149" s="518"/>
      <c r="AP149" s="518"/>
      <c r="AQ149" s="518">
        <v>0</v>
      </c>
      <c r="AR149" s="518"/>
      <c r="AS149" s="518"/>
      <c r="AT149" s="518"/>
      <c r="AU149" s="518"/>
      <c r="AV149" s="518"/>
      <c r="AW149" s="518"/>
      <c r="AX149" s="518">
        <f t="shared" si="45"/>
        <v>0</v>
      </c>
      <c r="AY149" s="788"/>
      <c r="AZ149" s="789"/>
      <c r="BA149" s="517"/>
      <c r="BB149" s="518"/>
      <c r="BC149" s="518"/>
      <c r="BD149" s="518"/>
      <c r="BE149" s="518"/>
      <c r="BF149" s="518"/>
      <c r="BG149" s="518">
        <f t="shared" si="61"/>
        <v>0</v>
      </c>
      <c r="BH149" s="518">
        <v>0</v>
      </c>
      <c r="BI149" s="518">
        <v>0</v>
      </c>
      <c r="BJ149" s="518">
        <v>0</v>
      </c>
      <c r="BK149" s="518">
        <v>0</v>
      </c>
      <c r="BL149" s="518">
        <f t="shared" si="46"/>
        <v>0</v>
      </c>
      <c r="BN149" s="518"/>
      <c r="BO149" s="518"/>
      <c r="BP149" s="518"/>
      <c r="BQ149" s="518"/>
      <c r="BR149" s="518"/>
      <c r="BS149" s="518"/>
      <c r="BT149" s="518"/>
      <c r="BU149" s="518"/>
      <c r="BV149" s="518"/>
      <c r="BW149" s="518"/>
      <c r="BX149" s="518"/>
      <c r="BY149" s="518"/>
      <c r="BZ149" s="791">
        <v>0</v>
      </c>
      <c r="CB149" s="518"/>
      <c r="CC149" s="518"/>
      <c r="CD149" s="518"/>
      <c r="CE149" s="518"/>
      <c r="CF149" s="518"/>
      <c r="CG149" s="518"/>
      <c r="CH149" s="518"/>
      <c r="CI149" s="518"/>
      <c r="CJ149" s="518"/>
      <c r="CK149" s="518"/>
      <c r="CL149" s="518"/>
      <c r="CM149" s="518"/>
      <c r="CN149" s="791">
        <v>0</v>
      </c>
      <c r="CP149" s="647"/>
      <c r="CQ149" s="647"/>
      <c r="CR149" s="518"/>
      <c r="CS149" s="647"/>
      <c r="CT149" s="518"/>
      <c r="CU149" s="647"/>
      <c r="CV149" s="518"/>
      <c r="CW149" s="647"/>
      <c r="CX149" s="518"/>
      <c r="CY149" s="647"/>
      <c r="CZ149" s="518"/>
      <c r="DA149" s="647"/>
      <c r="DB149" s="518"/>
      <c r="DC149" s="647">
        <v>0</v>
      </c>
      <c r="DD149" s="518"/>
      <c r="DE149" s="518"/>
      <c r="DF149" s="518"/>
      <c r="DG149" s="748"/>
      <c r="DH149" s="518"/>
      <c r="DI149" s="518"/>
      <c r="DJ149" s="748"/>
      <c r="DK149" s="518"/>
      <c r="DL149" s="518"/>
      <c r="DM149" s="748"/>
      <c r="DN149" s="518"/>
      <c r="DO149" s="518"/>
      <c r="DP149" s="748"/>
      <c r="DQ149" s="493">
        <f t="shared" si="62"/>
        <v>0</v>
      </c>
      <c r="DR149" s="479">
        <f t="shared" si="63"/>
        <v>0</v>
      </c>
      <c r="DS149" s="1163"/>
      <c r="DT149" s="1163"/>
      <c r="DU149" s="1163"/>
      <c r="DV149" s="1163"/>
      <c r="DW149" s="1163"/>
      <c r="DX149" s="1163"/>
      <c r="DY149" s="1163"/>
      <c r="DZ149" s="1163"/>
      <c r="EA149" s="1163"/>
      <c r="EB149" s="1163"/>
      <c r="EC149" s="1163"/>
      <c r="ED149" s="1163"/>
      <c r="EE149" s="1119">
        <f t="shared" si="60"/>
        <v>0</v>
      </c>
      <c r="EF149" s="443">
        <f t="shared" si="49"/>
        <v>0</v>
      </c>
      <c r="EG149" s="355">
        <f t="shared" si="50"/>
        <v>0</v>
      </c>
      <c r="EH149" s="443">
        <f t="shared" si="42"/>
        <v>0</v>
      </c>
      <c r="EI149" s="443">
        <f t="shared" si="42"/>
        <v>0</v>
      </c>
      <c r="EJ149" s="367">
        <v>3000019176</v>
      </c>
    </row>
    <row r="150" spans="1:140" ht="15.5" outlineLevel="2">
      <c r="A150" s="367" t="s">
        <v>39</v>
      </c>
      <c r="B150" s="378"/>
      <c r="C150" s="370" t="s">
        <v>358</v>
      </c>
      <c r="E150" s="379" t="s">
        <v>465</v>
      </c>
      <c r="F150" s="380">
        <v>8000000030</v>
      </c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7">
        <f t="shared" si="4"/>
        <v>0</v>
      </c>
      <c r="T150" s="179"/>
      <c r="U150" s="178">
        <v>0</v>
      </c>
      <c r="V150" s="178">
        <v>0</v>
      </c>
      <c r="W150" s="178">
        <v>0</v>
      </c>
      <c r="X150" s="178">
        <v>0</v>
      </c>
      <c r="Y150" s="178">
        <v>0</v>
      </c>
      <c r="Z150" s="178">
        <v>0</v>
      </c>
      <c r="AA150" s="178">
        <v>0</v>
      </c>
      <c r="AB150" s="178">
        <v>0</v>
      </c>
      <c r="AC150" s="178">
        <v>0</v>
      </c>
      <c r="AD150" s="178">
        <v>1100000</v>
      </c>
      <c r="AE150" s="178">
        <v>0</v>
      </c>
      <c r="AF150" s="178">
        <v>0</v>
      </c>
      <c r="AG150" s="518">
        <f t="shared" si="5"/>
        <v>1100000</v>
      </c>
      <c r="AH150" s="788"/>
      <c r="AI150" s="789"/>
      <c r="AJ150" s="517"/>
      <c r="AK150" s="518"/>
      <c r="AL150" s="518"/>
      <c r="AM150" s="518"/>
      <c r="AN150" s="518"/>
      <c r="AO150" s="518"/>
      <c r="AP150" s="518"/>
      <c r="AQ150" s="518">
        <v>0</v>
      </c>
      <c r="AR150" s="518"/>
      <c r="AS150" s="518"/>
      <c r="AT150" s="518"/>
      <c r="AU150" s="518"/>
      <c r="AV150" s="518"/>
      <c r="AW150" s="518"/>
      <c r="AX150" s="518">
        <f t="shared" si="45"/>
        <v>0</v>
      </c>
      <c r="AY150" s="788"/>
      <c r="AZ150" s="789"/>
      <c r="BA150" s="517"/>
      <c r="BB150" s="518"/>
      <c r="BC150" s="518"/>
      <c r="BD150" s="518"/>
      <c r="BE150" s="518"/>
      <c r="BF150" s="518"/>
      <c r="BG150" s="518">
        <f t="shared" si="61"/>
        <v>0</v>
      </c>
      <c r="BH150" s="518">
        <v>0</v>
      </c>
      <c r="BI150" s="518">
        <v>0</v>
      </c>
      <c r="BJ150" s="518">
        <v>0</v>
      </c>
      <c r="BK150" s="518">
        <v>0</v>
      </c>
      <c r="BL150" s="518">
        <f t="shared" si="46"/>
        <v>0</v>
      </c>
      <c r="BN150" s="518"/>
      <c r="BO150" s="518"/>
      <c r="BP150" s="518"/>
      <c r="BQ150" s="518"/>
      <c r="BR150" s="518"/>
      <c r="BS150" s="518"/>
      <c r="BT150" s="518"/>
      <c r="BU150" s="518"/>
      <c r="BV150" s="518"/>
      <c r="BW150" s="518"/>
      <c r="BX150" s="518"/>
      <c r="BY150" s="518"/>
      <c r="BZ150" s="791">
        <v>0</v>
      </c>
      <c r="CB150" s="518"/>
      <c r="CC150" s="518"/>
      <c r="CD150" s="518"/>
      <c r="CE150" s="518"/>
      <c r="CF150" s="518"/>
      <c r="CG150" s="518"/>
      <c r="CH150" s="518"/>
      <c r="CI150" s="518"/>
      <c r="CJ150" s="518"/>
      <c r="CK150" s="518"/>
      <c r="CL150" s="518"/>
      <c r="CM150" s="518"/>
      <c r="CN150" s="791">
        <v>0</v>
      </c>
      <c r="CP150" s="647"/>
      <c r="CQ150" s="647"/>
      <c r="CR150" s="518"/>
      <c r="CS150" s="647"/>
      <c r="CT150" s="518"/>
      <c r="CU150" s="647"/>
      <c r="CV150" s="518"/>
      <c r="CW150" s="647"/>
      <c r="CX150" s="518"/>
      <c r="CY150" s="647"/>
      <c r="CZ150" s="518"/>
      <c r="DA150" s="647"/>
      <c r="DB150" s="518"/>
      <c r="DC150" s="647">
        <v>0</v>
      </c>
      <c r="DD150" s="518"/>
      <c r="DE150" s="518"/>
      <c r="DF150" s="518"/>
      <c r="DG150" s="748"/>
      <c r="DH150" s="518"/>
      <c r="DI150" s="518"/>
      <c r="DJ150" s="748"/>
      <c r="DK150" s="518"/>
      <c r="DL150" s="518"/>
      <c r="DM150" s="748"/>
      <c r="DN150" s="518"/>
      <c r="DO150" s="518"/>
      <c r="DP150" s="748"/>
      <c r="DQ150" s="493">
        <f t="shared" si="62"/>
        <v>0</v>
      </c>
      <c r="DR150" s="479">
        <f t="shared" si="63"/>
        <v>0</v>
      </c>
      <c r="DS150" s="1163"/>
      <c r="DT150" s="1163"/>
      <c r="DU150" s="1163"/>
      <c r="DV150" s="1163"/>
      <c r="DW150" s="1163"/>
      <c r="DX150" s="1163"/>
      <c r="DY150" s="1163"/>
      <c r="DZ150" s="1163"/>
      <c r="EA150" s="1163"/>
      <c r="EB150" s="1163"/>
      <c r="EC150" s="1163"/>
      <c r="ED150" s="1163"/>
      <c r="EE150" s="1119">
        <f t="shared" si="60"/>
        <v>0</v>
      </c>
      <c r="EF150" s="443">
        <f t="shared" si="49"/>
        <v>0</v>
      </c>
      <c r="EG150" s="355">
        <f t="shared" si="50"/>
        <v>0</v>
      </c>
      <c r="EH150" s="443">
        <f t="shared" si="42"/>
        <v>0</v>
      </c>
      <c r="EI150" s="443">
        <f t="shared" si="42"/>
        <v>0</v>
      </c>
      <c r="EJ150" s="367">
        <v>8000000030</v>
      </c>
    </row>
    <row r="151" spans="1:140" ht="15.5" outlineLevel="2">
      <c r="A151" s="367" t="s">
        <v>39</v>
      </c>
      <c r="B151" s="378"/>
      <c r="C151" s="370" t="s">
        <v>358</v>
      </c>
      <c r="E151" s="379" t="s">
        <v>62</v>
      </c>
      <c r="F151" s="380">
        <v>8000000065</v>
      </c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7">
        <f t="shared" si="4"/>
        <v>0</v>
      </c>
      <c r="T151" s="179"/>
      <c r="U151" s="178">
        <v>0</v>
      </c>
      <c r="V151" s="178">
        <v>0</v>
      </c>
      <c r="W151" s="178">
        <v>0</v>
      </c>
      <c r="X151" s="178">
        <v>0</v>
      </c>
      <c r="Y151" s="178">
        <v>0</v>
      </c>
      <c r="Z151" s="178">
        <v>0</v>
      </c>
      <c r="AA151" s="178">
        <v>0</v>
      </c>
      <c r="AB151" s="178">
        <v>0</v>
      </c>
      <c r="AC151" s="178">
        <v>0</v>
      </c>
      <c r="AD151" s="178">
        <v>2956000</v>
      </c>
      <c r="AE151" s="178">
        <v>1636000</v>
      </c>
      <c r="AF151" s="178">
        <v>0</v>
      </c>
      <c r="AG151" s="518">
        <f t="shared" si="5"/>
        <v>4592000</v>
      </c>
      <c r="AH151" s="788"/>
      <c r="AI151" s="789"/>
      <c r="AJ151" s="517"/>
      <c r="AK151" s="518"/>
      <c r="AL151" s="518"/>
      <c r="AM151" s="518"/>
      <c r="AN151" s="518"/>
      <c r="AO151" s="518"/>
      <c r="AP151" s="518"/>
      <c r="AQ151" s="518">
        <v>0</v>
      </c>
      <c r="AR151" s="518"/>
      <c r="AS151" s="518"/>
      <c r="AT151" s="518"/>
      <c r="AU151" s="518"/>
      <c r="AV151" s="518"/>
      <c r="AW151" s="518"/>
      <c r="AX151" s="518">
        <f t="shared" si="45"/>
        <v>0</v>
      </c>
      <c r="AY151" s="788"/>
      <c r="AZ151" s="789"/>
      <c r="BA151" s="517"/>
      <c r="BB151" s="518"/>
      <c r="BC151" s="518"/>
      <c r="BD151" s="518"/>
      <c r="BE151" s="518"/>
      <c r="BF151" s="518"/>
      <c r="BG151" s="518">
        <f t="shared" si="61"/>
        <v>0</v>
      </c>
      <c r="BH151" s="518">
        <v>0</v>
      </c>
      <c r="BI151" s="518">
        <v>0</v>
      </c>
      <c r="BJ151" s="518">
        <v>0</v>
      </c>
      <c r="BK151" s="518">
        <v>0</v>
      </c>
      <c r="BL151" s="518">
        <f t="shared" si="46"/>
        <v>0</v>
      </c>
      <c r="BN151" s="518"/>
      <c r="BO151" s="518"/>
      <c r="BP151" s="518"/>
      <c r="BQ151" s="518"/>
      <c r="BR151" s="518"/>
      <c r="BS151" s="518"/>
      <c r="BT151" s="518"/>
      <c r="BU151" s="518"/>
      <c r="BV151" s="518"/>
      <c r="BW151" s="518"/>
      <c r="BX151" s="518"/>
      <c r="BY151" s="518"/>
      <c r="BZ151" s="791">
        <v>0</v>
      </c>
      <c r="CB151" s="518"/>
      <c r="CC151" s="518"/>
      <c r="CD151" s="518"/>
      <c r="CE151" s="518"/>
      <c r="CF151" s="518"/>
      <c r="CG151" s="518"/>
      <c r="CH151" s="518"/>
      <c r="CI151" s="518"/>
      <c r="CJ151" s="518"/>
      <c r="CK151" s="518"/>
      <c r="CL151" s="518"/>
      <c r="CM151" s="518"/>
      <c r="CN151" s="791">
        <v>0</v>
      </c>
      <c r="CP151" s="647"/>
      <c r="CQ151" s="647"/>
      <c r="CR151" s="518"/>
      <c r="CS151" s="647"/>
      <c r="CT151" s="518"/>
      <c r="CU151" s="647"/>
      <c r="CV151" s="518"/>
      <c r="CW151" s="647"/>
      <c r="CX151" s="518"/>
      <c r="CY151" s="647"/>
      <c r="CZ151" s="518"/>
      <c r="DA151" s="647"/>
      <c r="DB151" s="518"/>
      <c r="DC151" s="647">
        <v>0</v>
      </c>
      <c r="DD151" s="518"/>
      <c r="DE151" s="518"/>
      <c r="DF151" s="518"/>
      <c r="DG151" s="748"/>
      <c r="DH151" s="518"/>
      <c r="DI151" s="518"/>
      <c r="DJ151" s="748"/>
      <c r="DK151" s="518"/>
      <c r="DL151" s="518"/>
      <c r="DM151" s="748"/>
      <c r="DN151" s="518"/>
      <c r="DO151" s="518"/>
      <c r="DP151" s="748"/>
      <c r="DQ151" s="493">
        <f t="shared" si="62"/>
        <v>0</v>
      </c>
      <c r="DR151" s="479">
        <f t="shared" si="63"/>
        <v>0</v>
      </c>
      <c r="DS151" s="1163"/>
      <c r="DT151" s="1163"/>
      <c r="DU151" s="1163"/>
      <c r="DV151" s="1163"/>
      <c r="DW151" s="1163"/>
      <c r="DX151" s="1163"/>
      <c r="DY151" s="1163"/>
      <c r="DZ151" s="1163"/>
      <c r="EA151" s="1163"/>
      <c r="EB151" s="1163"/>
      <c r="EC151" s="1163"/>
      <c r="ED151" s="1163"/>
      <c r="EE151" s="1119">
        <f t="shared" si="60"/>
        <v>0</v>
      </c>
      <c r="EF151" s="443">
        <f t="shared" si="49"/>
        <v>0</v>
      </c>
      <c r="EG151" s="355">
        <f t="shared" si="50"/>
        <v>0</v>
      </c>
      <c r="EH151" s="443">
        <f t="shared" si="42"/>
        <v>0</v>
      </c>
      <c r="EI151" s="443">
        <f t="shared" si="42"/>
        <v>0</v>
      </c>
      <c r="EJ151" s="367">
        <v>8000000065</v>
      </c>
    </row>
    <row r="152" spans="1:140" ht="15.5" outlineLevel="2">
      <c r="A152" s="367" t="s">
        <v>39</v>
      </c>
      <c r="B152" s="378"/>
      <c r="C152" s="370" t="s">
        <v>358</v>
      </c>
      <c r="D152" s="370" t="s">
        <v>40</v>
      </c>
      <c r="E152" s="379" t="s">
        <v>119</v>
      </c>
      <c r="F152" s="380">
        <v>3000017758</v>
      </c>
      <c r="G152" s="178">
        <v>0</v>
      </c>
      <c r="H152" s="178">
        <v>0</v>
      </c>
      <c r="I152" s="178">
        <v>0</v>
      </c>
      <c r="J152" s="178">
        <v>0</v>
      </c>
      <c r="K152" s="178">
        <v>0</v>
      </c>
      <c r="L152" s="178">
        <v>0</v>
      </c>
      <c r="M152" s="178">
        <v>0</v>
      </c>
      <c r="N152" s="178">
        <v>0</v>
      </c>
      <c r="O152" s="178">
        <v>0</v>
      </c>
      <c r="P152" s="178">
        <v>0</v>
      </c>
      <c r="Q152" s="178">
        <v>0</v>
      </c>
      <c r="R152" s="178">
        <v>1250000</v>
      </c>
      <c r="S152" s="7">
        <f t="shared" si="4"/>
        <v>1250000</v>
      </c>
      <c r="T152" s="179"/>
      <c r="U152" s="178">
        <v>2130000</v>
      </c>
      <c r="V152" s="178">
        <v>11100000</v>
      </c>
      <c r="W152" s="178">
        <v>0</v>
      </c>
      <c r="X152" s="178">
        <v>48300000</v>
      </c>
      <c r="Y152" s="178">
        <v>0</v>
      </c>
      <c r="Z152" s="178">
        <v>150077250</v>
      </c>
      <c r="AA152" s="178">
        <v>0</v>
      </c>
      <c r="AB152" s="178">
        <v>0</v>
      </c>
      <c r="AC152" s="178">
        <v>0</v>
      </c>
      <c r="AD152" s="178">
        <v>0</v>
      </c>
      <c r="AE152" s="178">
        <v>0</v>
      </c>
      <c r="AF152" s="178">
        <v>0</v>
      </c>
      <c r="AG152" s="518">
        <f t="shared" si="5"/>
        <v>211607250</v>
      </c>
      <c r="AH152" s="788"/>
      <c r="AI152" s="789">
        <v>0</v>
      </c>
      <c r="AJ152" s="517"/>
      <c r="AK152" s="518">
        <v>0</v>
      </c>
      <c r="AL152" s="518">
        <v>0</v>
      </c>
      <c r="AM152" s="518">
        <v>3575000</v>
      </c>
      <c r="AN152" s="518">
        <v>2450000</v>
      </c>
      <c r="AO152" s="518">
        <v>850000</v>
      </c>
      <c r="AP152" s="518">
        <v>4665700</v>
      </c>
      <c r="AQ152" s="518">
        <v>0</v>
      </c>
      <c r="AR152" s="759">
        <v>3650000</v>
      </c>
      <c r="AS152" s="759">
        <v>0</v>
      </c>
      <c r="AT152" s="759">
        <v>0</v>
      </c>
      <c r="AU152" s="794"/>
      <c r="AV152" s="794"/>
      <c r="AW152" s="794"/>
      <c r="AX152" s="518">
        <f t="shared" si="45"/>
        <v>15190700</v>
      </c>
      <c r="AY152" s="788"/>
      <c r="AZ152" s="789">
        <v>0</v>
      </c>
      <c r="BA152" s="517"/>
      <c r="BB152" s="518">
        <v>0</v>
      </c>
      <c r="BC152" s="518">
        <v>0</v>
      </c>
      <c r="BD152" s="518">
        <v>3575000</v>
      </c>
      <c r="BE152" s="518">
        <v>2450000</v>
      </c>
      <c r="BF152" s="518">
        <v>850000</v>
      </c>
      <c r="BG152" s="518">
        <f t="shared" si="61"/>
        <v>4665700</v>
      </c>
      <c r="BH152" s="518">
        <v>10000000</v>
      </c>
      <c r="BI152" s="518">
        <v>50000000</v>
      </c>
      <c r="BJ152" s="518">
        <v>50000000</v>
      </c>
      <c r="BK152" s="518">
        <v>50000000</v>
      </c>
      <c r="BL152" s="518">
        <f t="shared" si="46"/>
        <v>171540700</v>
      </c>
      <c r="BN152" s="518">
        <v>30000000</v>
      </c>
      <c r="BO152" s="518">
        <v>30000000</v>
      </c>
      <c r="BP152" s="518">
        <v>50000000</v>
      </c>
      <c r="BQ152" s="518">
        <v>50000000</v>
      </c>
      <c r="BR152" s="518">
        <v>20000000</v>
      </c>
      <c r="BS152" s="518">
        <v>30000000</v>
      </c>
      <c r="BT152" s="518">
        <v>30000000</v>
      </c>
      <c r="BU152" s="518">
        <v>50000000</v>
      </c>
      <c r="BV152" s="518">
        <v>50000000</v>
      </c>
      <c r="BW152" s="518">
        <v>50000000</v>
      </c>
      <c r="BX152" s="518">
        <v>50000000</v>
      </c>
      <c r="BY152" s="518">
        <v>50000000</v>
      </c>
      <c r="BZ152" s="791">
        <v>490000000</v>
      </c>
      <c r="CB152" s="518">
        <v>30000000</v>
      </c>
      <c r="CC152" s="518">
        <v>30000000</v>
      </c>
      <c r="CD152" s="518">
        <v>50000000</v>
      </c>
      <c r="CE152" s="518">
        <v>50000000</v>
      </c>
      <c r="CF152" s="518">
        <v>20000000</v>
      </c>
      <c r="CG152" s="518">
        <v>30000000</v>
      </c>
      <c r="CH152" s="518">
        <v>30000000</v>
      </c>
      <c r="CI152" s="518">
        <v>50000000</v>
      </c>
      <c r="CJ152" s="518">
        <v>50000000</v>
      </c>
      <c r="CK152" s="518">
        <v>50000000</v>
      </c>
      <c r="CL152" s="518">
        <v>50000000</v>
      </c>
      <c r="CM152" s="518">
        <v>50000000</v>
      </c>
      <c r="CN152" s="791">
        <v>490000000</v>
      </c>
      <c r="CP152" s="647">
        <v>5497000</v>
      </c>
      <c r="CQ152" s="647">
        <v>29025000</v>
      </c>
      <c r="CR152" s="518">
        <v>33000000</v>
      </c>
      <c r="CS152" s="647">
        <v>149900000</v>
      </c>
      <c r="CT152" s="518">
        <v>60000000</v>
      </c>
      <c r="CU152" s="647">
        <v>471950700</v>
      </c>
      <c r="CV152" s="518">
        <v>60000000</v>
      </c>
      <c r="CW152" s="647">
        <v>54467000</v>
      </c>
      <c r="CX152" s="518">
        <v>60000000</v>
      </c>
      <c r="CY152" s="647">
        <v>37578000</v>
      </c>
      <c r="CZ152" s="518">
        <v>100000000</v>
      </c>
      <c r="DA152" s="647">
        <v>56967000</v>
      </c>
      <c r="DB152" s="518">
        <v>100000000</v>
      </c>
      <c r="DC152" s="647">
        <v>187590000</v>
      </c>
      <c r="DD152" s="518">
        <v>100000000</v>
      </c>
      <c r="DE152" s="518"/>
      <c r="DF152" s="518">
        <v>100000000</v>
      </c>
      <c r="DG152" s="748">
        <v>100000000</v>
      </c>
      <c r="DH152" s="518"/>
      <c r="DI152" s="518">
        <v>100000000</v>
      </c>
      <c r="DJ152" s="748">
        <v>100000000</v>
      </c>
      <c r="DK152" s="518"/>
      <c r="DL152" s="518">
        <v>100000000</v>
      </c>
      <c r="DM152" s="748">
        <v>100000000</v>
      </c>
      <c r="DN152" s="518"/>
      <c r="DO152" s="518">
        <v>100000000</v>
      </c>
      <c r="DP152" s="748">
        <v>100000000</v>
      </c>
      <c r="DQ152" s="493">
        <f t="shared" si="62"/>
        <v>1392974700</v>
      </c>
      <c r="DR152" s="479">
        <f t="shared" ref="DR152:DR153" si="64">SUM(CP152,CQ152,CS152,CU152,CW152,CY152,DA152,DC152,DG152,DJ152,DM152,DP152)</f>
        <v>1392974700</v>
      </c>
      <c r="DS152" s="1163">
        <v>150000000</v>
      </c>
      <c r="DT152" s="1163">
        <v>150000000</v>
      </c>
      <c r="DU152" s="1163">
        <v>200000000</v>
      </c>
      <c r="DV152" s="1163">
        <v>200000000</v>
      </c>
      <c r="DW152" s="1163">
        <v>150000000</v>
      </c>
      <c r="DX152" s="1163">
        <v>150000000</v>
      </c>
      <c r="DY152" s="1163">
        <v>200000000</v>
      </c>
      <c r="DZ152" s="1163">
        <v>200000000</v>
      </c>
      <c r="EA152" s="1163">
        <v>200000000</v>
      </c>
      <c r="EB152" s="1163">
        <v>150000000</v>
      </c>
      <c r="EC152" s="1163">
        <v>150000000</v>
      </c>
      <c r="ED152" s="1163">
        <v>150000000</v>
      </c>
      <c r="EE152" s="1119">
        <f t="shared" si="60"/>
        <v>2050000000</v>
      </c>
      <c r="EF152" s="443">
        <f t="shared" si="49"/>
        <v>2398500000</v>
      </c>
      <c r="EG152" s="355">
        <f t="shared" si="50"/>
        <v>2590380000</v>
      </c>
      <c r="EH152" s="443">
        <f t="shared" si="42"/>
        <v>2823514200</v>
      </c>
      <c r="EI152" s="443">
        <f t="shared" si="42"/>
        <v>3077630478</v>
      </c>
      <c r="EJ152" s="367">
        <v>3000017758</v>
      </c>
    </row>
    <row r="153" spans="1:140" ht="15.5" outlineLevel="2">
      <c r="A153" s="367" t="s">
        <v>43</v>
      </c>
      <c r="B153" s="378"/>
      <c r="C153" s="370" t="s">
        <v>358</v>
      </c>
      <c r="D153" s="370" t="s">
        <v>40</v>
      </c>
      <c r="E153" s="379" t="s">
        <v>466</v>
      </c>
      <c r="F153" s="380">
        <v>3000019492</v>
      </c>
      <c r="G153" s="178">
        <v>0</v>
      </c>
      <c r="H153" s="178">
        <v>0</v>
      </c>
      <c r="I153" s="178">
        <v>0</v>
      </c>
      <c r="J153" s="178">
        <v>0</v>
      </c>
      <c r="K153" s="178">
        <v>0</v>
      </c>
      <c r="L153" s="178">
        <v>0</v>
      </c>
      <c r="M153" s="178">
        <v>0</v>
      </c>
      <c r="N153" s="178">
        <v>0</v>
      </c>
      <c r="O153" s="178">
        <v>0</v>
      </c>
      <c r="P153" s="178">
        <v>0</v>
      </c>
      <c r="Q153" s="178">
        <v>0</v>
      </c>
      <c r="R153" s="178">
        <v>0</v>
      </c>
      <c r="S153" s="7">
        <f t="shared" si="4"/>
        <v>0</v>
      </c>
      <c r="T153" s="179"/>
      <c r="U153" s="178">
        <v>0</v>
      </c>
      <c r="V153" s="178">
        <v>0</v>
      </c>
      <c r="W153" s="178">
        <v>0</v>
      </c>
      <c r="X153" s="178">
        <v>0</v>
      </c>
      <c r="Y153" s="178">
        <v>0</v>
      </c>
      <c r="Z153" s="178">
        <v>0</v>
      </c>
      <c r="AA153" s="178">
        <v>0</v>
      </c>
      <c r="AB153" s="178">
        <v>0</v>
      </c>
      <c r="AC153" s="178">
        <v>0</v>
      </c>
      <c r="AD153" s="178">
        <v>0</v>
      </c>
      <c r="AE153" s="178">
        <v>0</v>
      </c>
      <c r="AF153" s="178">
        <v>0</v>
      </c>
      <c r="AG153" s="518">
        <f t="shared" si="5"/>
        <v>0</v>
      </c>
      <c r="AH153" s="788"/>
      <c r="AI153" s="789"/>
      <c r="AJ153" s="517">
        <v>38600000</v>
      </c>
      <c r="AK153" s="518">
        <v>6600000</v>
      </c>
      <c r="AL153" s="518">
        <v>0</v>
      </c>
      <c r="AM153" s="518">
        <v>0</v>
      </c>
      <c r="AN153" s="518">
        <v>0</v>
      </c>
      <c r="AO153" s="518">
        <v>0</v>
      </c>
      <c r="AP153" s="518">
        <v>12000000</v>
      </c>
      <c r="AQ153" s="518">
        <v>26400000</v>
      </c>
      <c r="AR153" s="759">
        <v>3600000</v>
      </c>
      <c r="AS153" s="759">
        <v>19200000</v>
      </c>
      <c r="AT153" s="759">
        <v>16800000</v>
      </c>
      <c r="AU153" s="518">
        <f>BI153</f>
        <v>0</v>
      </c>
      <c r="AV153" s="518">
        <f>BJ153</f>
        <v>0</v>
      </c>
      <c r="AW153" s="518">
        <f>BK153</f>
        <v>0</v>
      </c>
      <c r="AX153" s="518">
        <f t="shared" si="45"/>
        <v>123200000</v>
      </c>
      <c r="AY153" s="788"/>
      <c r="AZ153" s="789"/>
      <c r="BA153" s="517">
        <v>38600000</v>
      </c>
      <c r="BB153" s="518">
        <v>6600000</v>
      </c>
      <c r="BC153" s="518">
        <v>0</v>
      </c>
      <c r="BD153" s="518">
        <v>0</v>
      </c>
      <c r="BE153" s="518">
        <v>0</v>
      </c>
      <c r="BF153" s="518">
        <v>0</v>
      </c>
      <c r="BG153" s="518">
        <f t="shared" si="61"/>
        <v>12000000</v>
      </c>
      <c r="BH153" s="518">
        <v>0</v>
      </c>
      <c r="BI153" s="518">
        <v>0</v>
      </c>
      <c r="BJ153" s="518">
        <v>0</v>
      </c>
      <c r="BK153" s="518">
        <v>0</v>
      </c>
      <c r="BL153" s="518">
        <f t="shared" si="46"/>
        <v>57200000</v>
      </c>
      <c r="BN153" s="518">
        <v>0</v>
      </c>
      <c r="BO153" s="518">
        <v>0</v>
      </c>
      <c r="BP153" s="518">
        <v>0</v>
      </c>
      <c r="BQ153" s="518">
        <v>0</v>
      </c>
      <c r="BR153" s="518">
        <v>0</v>
      </c>
      <c r="BS153" s="518">
        <v>0</v>
      </c>
      <c r="BT153" s="518">
        <v>0</v>
      </c>
      <c r="BU153" s="518">
        <v>0</v>
      </c>
      <c r="BV153" s="518">
        <v>0</v>
      </c>
      <c r="BW153" s="518">
        <v>0</v>
      </c>
      <c r="BX153" s="518">
        <v>0</v>
      </c>
      <c r="BY153" s="518">
        <v>0</v>
      </c>
      <c r="BZ153" s="791">
        <v>0</v>
      </c>
      <c r="CB153" s="518">
        <v>0</v>
      </c>
      <c r="CC153" s="518">
        <v>0</v>
      </c>
      <c r="CD153" s="518">
        <v>0</v>
      </c>
      <c r="CE153" s="518">
        <v>0</v>
      </c>
      <c r="CF153" s="518">
        <v>0</v>
      </c>
      <c r="CG153" s="518">
        <v>0</v>
      </c>
      <c r="CH153" s="518">
        <v>0</v>
      </c>
      <c r="CI153" s="518">
        <v>0</v>
      </c>
      <c r="CJ153" s="518">
        <v>0</v>
      </c>
      <c r="CK153" s="518">
        <v>0</v>
      </c>
      <c r="CL153" s="518">
        <v>0</v>
      </c>
      <c r="CM153" s="518">
        <v>0</v>
      </c>
      <c r="CN153" s="791">
        <v>0</v>
      </c>
      <c r="CP153" s="647">
        <v>12000000</v>
      </c>
      <c r="CQ153" s="647">
        <v>6000000</v>
      </c>
      <c r="CR153" s="518">
        <v>12000000</v>
      </c>
      <c r="CS153" s="647">
        <v>30000000</v>
      </c>
      <c r="CT153" s="518">
        <v>12000000</v>
      </c>
      <c r="CU153" s="647">
        <v>18000000</v>
      </c>
      <c r="CV153" s="518">
        <v>12000000</v>
      </c>
      <c r="CW153" s="647">
        <v>6000000</v>
      </c>
      <c r="CX153" s="518">
        <v>12000000</v>
      </c>
      <c r="CY153" s="647">
        <v>24000000</v>
      </c>
      <c r="CZ153" s="518">
        <v>12000000</v>
      </c>
      <c r="DA153" s="647">
        <v>12000000</v>
      </c>
      <c r="DB153" s="518">
        <v>12000000</v>
      </c>
      <c r="DC153" s="647">
        <v>6000000</v>
      </c>
      <c r="DD153" s="518">
        <v>12000000</v>
      </c>
      <c r="DE153" s="518"/>
      <c r="DF153" s="518">
        <v>12000000</v>
      </c>
      <c r="DG153" s="748">
        <v>12000000</v>
      </c>
      <c r="DH153" s="518"/>
      <c r="DI153" s="518">
        <v>12000000</v>
      </c>
      <c r="DJ153" s="748">
        <v>12000000</v>
      </c>
      <c r="DK153" s="518"/>
      <c r="DL153" s="518">
        <v>12000000</v>
      </c>
      <c r="DM153" s="748">
        <v>12000000</v>
      </c>
      <c r="DN153" s="518"/>
      <c r="DO153" s="518">
        <v>12000000</v>
      </c>
      <c r="DP153" s="748">
        <v>12000000</v>
      </c>
      <c r="DQ153" s="493">
        <f t="shared" si="62"/>
        <v>162000000</v>
      </c>
      <c r="DR153" s="479">
        <f t="shared" si="64"/>
        <v>162000000</v>
      </c>
      <c r="DS153" s="1163">
        <v>13000000</v>
      </c>
      <c r="DT153" s="1163">
        <v>13000000</v>
      </c>
      <c r="DU153" s="1163">
        <v>13000000</v>
      </c>
      <c r="DV153" s="1163">
        <v>13000000</v>
      </c>
      <c r="DW153" s="1163">
        <v>13000000</v>
      </c>
      <c r="DX153" s="1163">
        <v>13000000</v>
      </c>
      <c r="DY153" s="1163">
        <v>13000000</v>
      </c>
      <c r="DZ153" s="1163">
        <v>13000000</v>
      </c>
      <c r="EA153" s="1163">
        <v>13000000</v>
      </c>
      <c r="EB153" s="1163">
        <v>13000000</v>
      </c>
      <c r="EC153" s="1163">
        <v>13000000</v>
      </c>
      <c r="ED153" s="1163">
        <v>13000000</v>
      </c>
      <c r="EE153" s="1119">
        <f t="shared" si="60"/>
        <v>156000000</v>
      </c>
      <c r="EF153" s="443">
        <f t="shared" si="49"/>
        <v>182520000</v>
      </c>
      <c r="EG153" s="355">
        <f t="shared" si="50"/>
        <v>197121600</v>
      </c>
      <c r="EH153" s="443">
        <f t="shared" si="42"/>
        <v>214862544.00000003</v>
      </c>
      <c r="EI153" s="443">
        <f t="shared" si="42"/>
        <v>234200172.96000004</v>
      </c>
      <c r="EJ153" s="367">
        <v>3000019492</v>
      </c>
    </row>
    <row r="154" spans="1:140" ht="15.5" outlineLevel="2">
      <c r="A154" s="367" t="s">
        <v>39</v>
      </c>
      <c r="B154" s="378"/>
      <c r="C154" s="370" t="s">
        <v>358</v>
      </c>
      <c r="D154" s="370" t="s">
        <v>40</v>
      </c>
      <c r="E154" s="379" t="s">
        <v>106</v>
      </c>
      <c r="F154" s="380">
        <v>3000018702</v>
      </c>
      <c r="G154" s="178">
        <v>0</v>
      </c>
      <c r="H154" s="178">
        <v>0</v>
      </c>
      <c r="I154" s="178">
        <v>0</v>
      </c>
      <c r="J154" s="178">
        <v>0</v>
      </c>
      <c r="K154" s="178">
        <v>0</v>
      </c>
      <c r="L154" s="178">
        <v>0</v>
      </c>
      <c r="M154" s="178">
        <v>0</v>
      </c>
      <c r="N154" s="178">
        <v>0</v>
      </c>
      <c r="O154" s="178">
        <v>0</v>
      </c>
      <c r="P154" s="178">
        <v>0</v>
      </c>
      <c r="Q154" s="178">
        <v>0</v>
      </c>
      <c r="R154" s="178">
        <v>0</v>
      </c>
      <c r="S154" s="7">
        <f t="shared" si="4"/>
        <v>0</v>
      </c>
      <c r="T154" s="179"/>
      <c r="U154" s="178">
        <v>0</v>
      </c>
      <c r="V154" s="178">
        <v>0</v>
      </c>
      <c r="W154" s="178">
        <v>0</v>
      </c>
      <c r="X154" s="178">
        <v>0</v>
      </c>
      <c r="Y154" s="178">
        <v>0</v>
      </c>
      <c r="Z154" s="178">
        <v>0</v>
      </c>
      <c r="AA154" s="178">
        <v>0</v>
      </c>
      <c r="AB154" s="178">
        <v>0</v>
      </c>
      <c r="AC154" s="178">
        <v>0</v>
      </c>
      <c r="AD154" s="178">
        <v>23750000</v>
      </c>
      <c r="AE154" s="178">
        <v>23750000</v>
      </c>
      <c r="AF154" s="178">
        <v>54840000</v>
      </c>
      <c r="AG154" s="518">
        <f t="shared" si="5"/>
        <v>102340000</v>
      </c>
      <c r="AH154" s="788"/>
      <c r="AI154" s="789">
        <v>71010000</v>
      </c>
      <c r="AJ154" s="517">
        <v>23750000</v>
      </c>
      <c r="AK154" s="518">
        <v>60270000</v>
      </c>
      <c r="AL154" s="518">
        <v>37559000</v>
      </c>
      <c r="AM154" s="518">
        <v>24616000</v>
      </c>
      <c r="AN154" s="518">
        <v>27648000</v>
      </c>
      <c r="AO154" s="518">
        <v>29501000</v>
      </c>
      <c r="AP154" s="518">
        <v>62822000</v>
      </c>
      <c r="AQ154" s="518">
        <v>34514000</v>
      </c>
      <c r="AR154" s="759">
        <v>66256000</v>
      </c>
      <c r="AS154" s="759">
        <v>55197000</v>
      </c>
      <c r="AT154" s="759">
        <v>131512000</v>
      </c>
      <c r="AU154" s="794">
        <f>AQ154</f>
        <v>34514000</v>
      </c>
      <c r="AV154" s="794">
        <f>AU154</f>
        <v>34514000</v>
      </c>
      <c r="AW154" s="794">
        <f>AV154</f>
        <v>34514000</v>
      </c>
      <c r="AX154" s="518">
        <f t="shared" si="45"/>
        <v>624655000</v>
      </c>
      <c r="AY154" s="788"/>
      <c r="AZ154" s="789">
        <v>71010000</v>
      </c>
      <c r="BA154" s="517">
        <v>23750000</v>
      </c>
      <c r="BB154" s="518">
        <v>60270000</v>
      </c>
      <c r="BC154" s="518">
        <v>37559000</v>
      </c>
      <c r="BD154" s="518">
        <v>24616000</v>
      </c>
      <c r="BE154" s="518">
        <v>27648000</v>
      </c>
      <c r="BF154" s="518">
        <v>29501000</v>
      </c>
      <c r="BG154" s="518">
        <f t="shared" si="61"/>
        <v>62822000</v>
      </c>
      <c r="BH154" s="518">
        <v>29501000</v>
      </c>
      <c r="BI154" s="518">
        <v>29501000</v>
      </c>
      <c r="BJ154" s="518">
        <v>50000000</v>
      </c>
      <c r="BK154" s="518">
        <v>50000000</v>
      </c>
      <c r="BL154" s="518">
        <f t="shared" si="46"/>
        <v>496178000</v>
      </c>
      <c r="BN154" s="518">
        <v>35000000</v>
      </c>
      <c r="BO154" s="518">
        <v>35000000</v>
      </c>
      <c r="BP154" s="518">
        <v>35000000</v>
      </c>
      <c r="BQ154" s="518">
        <v>35000000</v>
      </c>
      <c r="BR154" s="518">
        <v>35000000</v>
      </c>
      <c r="BS154" s="518">
        <v>35000000</v>
      </c>
      <c r="BT154" s="518">
        <v>35000000</v>
      </c>
      <c r="BU154" s="518">
        <v>35000000</v>
      </c>
      <c r="BV154" s="518">
        <v>35000000</v>
      </c>
      <c r="BW154" s="518">
        <v>35000000</v>
      </c>
      <c r="BX154" s="518">
        <v>35000000</v>
      </c>
      <c r="BY154" s="518">
        <v>35000000</v>
      </c>
      <c r="BZ154" s="791">
        <v>420000000</v>
      </c>
      <c r="CB154" s="518">
        <v>35000000</v>
      </c>
      <c r="CC154" s="518">
        <v>35000000</v>
      </c>
      <c r="CD154" s="518">
        <v>35000000</v>
      </c>
      <c r="CE154" s="518">
        <v>35000000</v>
      </c>
      <c r="CF154" s="518">
        <v>35000000</v>
      </c>
      <c r="CG154" s="518">
        <v>35000000</v>
      </c>
      <c r="CH154" s="518">
        <v>35000000</v>
      </c>
      <c r="CI154" s="518">
        <v>35000000</v>
      </c>
      <c r="CJ154" s="518">
        <v>35000000</v>
      </c>
      <c r="CK154" s="518">
        <v>35000000</v>
      </c>
      <c r="CL154" s="518">
        <v>35000000</v>
      </c>
      <c r="CM154" s="518">
        <v>35000000</v>
      </c>
      <c r="CN154" s="791">
        <v>420000000</v>
      </c>
      <c r="CP154" s="647">
        <v>54938000</v>
      </c>
      <c r="CQ154" s="647">
        <v>54900010</v>
      </c>
      <c r="CR154" s="518">
        <v>54938000</v>
      </c>
      <c r="CS154" s="647">
        <v>63541500</v>
      </c>
      <c r="CT154" s="518">
        <v>54938000</v>
      </c>
      <c r="CU154" s="647">
        <v>50848500</v>
      </c>
      <c r="CV154" s="518">
        <v>54938000</v>
      </c>
      <c r="CW154" s="647">
        <v>60517000</v>
      </c>
      <c r="CX154" s="518">
        <v>54938000</v>
      </c>
      <c r="CY154" s="647">
        <v>60385500</v>
      </c>
      <c r="CZ154" s="518">
        <v>54938000</v>
      </c>
      <c r="DA154" s="647">
        <v>62999200</v>
      </c>
      <c r="DB154" s="518">
        <v>54938000</v>
      </c>
      <c r="DC154" s="647">
        <v>60254000</v>
      </c>
      <c r="DD154" s="518">
        <v>54938000</v>
      </c>
      <c r="DE154" s="518"/>
      <c r="DF154" s="518">
        <v>54938000</v>
      </c>
      <c r="DG154" s="748">
        <v>54938000</v>
      </c>
      <c r="DH154" s="518"/>
      <c r="DI154" s="518">
        <v>54938000</v>
      </c>
      <c r="DJ154" s="748">
        <v>54938000</v>
      </c>
      <c r="DK154" s="518"/>
      <c r="DL154" s="518">
        <v>54938000</v>
      </c>
      <c r="DM154" s="748">
        <v>54938000</v>
      </c>
      <c r="DN154" s="518"/>
      <c r="DO154" s="518">
        <v>54938000</v>
      </c>
      <c r="DP154" s="748">
        <v>54938000</v>
      </c>
      <c r="DQ154" s="493">
        <f t="shared" si="62"/>
        <v>688135710</v>
      </c>
      <c r="DR154" s="479">
        <f>SUM(CP154,CQ154,CS154,CU154,CW154,CY154,DA154,DC154,DG154,DJ154,DM154,DP154)</f>
        <v>688135710</v>
      </c>
      <c r="DS154" s="1163">
        <v>60000000</v>
      </c>
      <c r="DT154" s="1163">
        <v>60000000</v>
      </c>
      <c r="DU154" s="1163">
        <v>60000000</v>
      </c>
      <c r="DV154" s="1163">
        <v>60000000</v>
      </c>
      <c r="DW154" s="1163">
        <v>50000000</v>
      </c>
      <c r="DX154" s="1163">
        <v>65000000</v>
      </c>
      <c r="DY154" s="1163">
        <v>65000000</v>
      </c>
      <c r="DZ154" s="1163">
        <v>60000000</v>
      </c>
      <c r="EA154" s="1163">
        <v>60000000</v>
      </c>
      <c r="EB154" s="1163">
        <v>60000000</v>
      </c>
      <c r="EC154" s="1163">
        <v>60000000</v>
      </c>
      <c r="ED154" s="1163">
        <v>60000000</v>
      </c>
      <c r="EE154" s="1119">
        <f t="shared" si="60"/>
        <v>720000000</v>
      </c>
      <c r="EF154" s="443">
        <f t="shared" si="49"/>
        <v>842400000</v>
      </c>
      <c r="EG154" s="355">
        <f t="shared" si="50"/>
        <v>909792000.00000012</v>
      </c>
      <c r="EH154" s="443">
        <f t="shared" ref="EH154:EI217" si="65">EG154*1.09</f>
        <v>991673280.00000024</v>
      </c>
      <c r="EI154" s="443">
        <f t="shared" si="65"/>
        <v>1080923875.2000003</v>
      </c>
      <c r="EJ154" s="367">
        <v>3000018702</v>
      </c>
    </row>
    <row r="155" spans="1:140" ht="15.5" outlineLevel="2">
      <c r="A155" s="367" t="s">
        <v>43</v>
      </c>
      <c r="B155" s="378"/>
      <c r="C155" s="370" t="s">
        <v>358</v>
      </c>
      <c r="D155" s="370" t="s">
        <v>40</v>
      </c>
      <c r="E155" s="379" t="s">
        <v>467</v>
      </c>
      <c r="F155" s="380">
        <v>3000019652</v>
      </c>
      <c r="G155" s="178">
        <v>0</v>
      </c>
      <c r="H155" s="178">
        <v>0</v>
      </c>
      <c r="I155" s="178">
        <v>0</v>
      </c>
      <c r="J155" s="178">
        <v>0</v>
      </c>
      <c r="K155" s="178">
        <v>0</v>
      </c>
      <c r="L155" s="178">
        <v>0</v>
      </c>
      <c r="M155" s="178">
        <v>0</v>
      </c>
      <c r="N155" s="178">
        <v>0</v>
      </c>
      <c r="O155" s="178">
        <v>0</v>
      </c>
      <c r="P155" s="178">
        <v>0</v>
      </c>
      <c r="Q155" s="178">
        <v>0</v>
      </c>
      <c r="R155" s="178">
        <v>0</v>
      </c>
      <c r="S155" s="7">
        <f t="shared" si="4"/>
        <v>0</v>
      </c>
      <c r="T155" s="179"/>
      <c r="U155" s="178">
        <v>0</v>
      </c>
      <c r="V155" s="178">
        <v>0</v>
      </c>
      <c r="W155" s="178">
        <v>0</v>
      </c>
      <c r="X155" s="178">
        <v>0</v>
      </c>
      <c r="Y155" s="178">
        <v>0</v>
      </c>
      <c r="Z155" s="178">
        <v>0</v>
      </c>
      <c r="AA155" s="178">
        <v>0</v>
      </c>
      <c r="AB155" s="178">
        <v>0</v>
      </c>
      <c r="AC155" s="178">
        <v>0</v>
      </c>
      <c r="AD155" s="178">
        <v>0</v>
      </c>
      <c r="AE155" s="178">
        <v>0</v>
      </c>
      <c r="AF155" s="178">
        <v>0</v>
      </c>
      <c r="AG155" s="518">
        <f t="shared" si="5"/>
        <v>0</v>
      </c>
      <c r="AH155" s="788"/>
      <c r="AI155" s="789"/>
      <c r="AJ155" s="517"/>
      <c r="AK155" s="518"/>
      <c r="AL155" s="518">
        <v>6600000</v>
      </c>
      <c r="AM155" s="518">
        <v>0</v>
      </c>
      <c r="AN155" s="518">
        <v>0</v>
      </c>
      <c r="AO155" s="518">
        <v>0</v>
      </c>
      <c r="AP155" s="518">
        <v>0</v>
      </c>
      <c r="AQ155" s="518">
        <v>0</v>
      </c>
      <c r="AR155" s="759">
        <v>0</v>
      </c>
      <c r="AS155" s="759">
        <v>0</v>
      </c>
      <c r="AT155" s="759">
        <v>0</v>
      </c>
      <c r="AU155" s="518">
        <f t="shared" ref="AU155:AW156" si="66">BI155</f>
        <v>0</v>
      </c>
      <c r="AV155" s="518">
        <f t="shared" si="66"/>
        <v>0</v>
      </c>
      <c r="AW155" s="518">
        <f t="shared" si="66"/>
        <v>0</v>
      </c>
      <c r="AX155" s="518">
        <f t="shared" si="45"/>
        <v>6600000</v>
      </c>
      <c r="AY155" s="788"/>
      <c r="AZ155" s="789"/>
      <c r="BA155" s="517"/>
      <c r="BB155" s="518"/>
      <c r="BC155" s="518">
        <v>6600000</v>
      </c>
      <c r="BD155" s="518">
        <v>0</v>
      </c>
      <c r="BE155" s="518">
        <v>0</v>
      </c>
      <c r="BF155" s="518">
        <v>0</v>
      </c>
      <c r="BG155" s="518">
        <f t="shared" si="61"/>
        <v>0</v>
      </c>
      <c r="BH155" s="518">
        <v>0</v>
      </c>
      <c r="BI155" s="518">
        <v>0</v>
      </c>
      <c r="BJ155" s="518">
        <v>0</v>
      </c>
      <c r="BK155" s="518">
        <v>0</v>
      </c>
      <c r="BL155" s="518">
        <f t="shared" si="46"/>
        <v>6600000</v>
      </c>
      <c r="BN155" s="518">
        <v>0</v>
      </c>
      <c r="BO155" s="518">
        <v>0</v>
      </c>
      <c r="BP155" s="518">
        <v>0</v>
      </c>
      <c r="BQ155" s="518">
        <v>0</v>
      </c>
      <c r="BR155" s="518">
        <v>0</v>
      </c>
      <c r="BS155" s="518">
        <v>0</v>
      </c>
      <c r="BT155" s="518">
        <v>0</v>
      </c>
      <c r="BU155" s="518">
        <v>0</v>
      </c>
      <c r="BV155" s="518">
        <v>0</v>
      </c>
      <c r="BW155" s="518">
        <v>0</v>
      </c>
      <c r="BX155" s="518">
        <v>0</v>
      </c>
      <c r="BY155" s="518">
        <v>0</v>
      </c>
      <c r="BZ155" s="791">
        <v>0</v>
      </c>
      <c r="CB155" s="518">
        <v>0</v>
      </c>
      <c r="CC155" s="518">
        <v>0</v>
      </c>
      <c r="CD155" s="518">
        <v>0</v>
      </c>
      <c r="CE155" s="518">
        <v>0</v>
      </c>
      <c r="CF155" s="518">
        <v>0</v>
      </c>
      <c r="CG155" s="518">
        <v>0</v>
      </c>
      <c r="CH155" s="518">
        <v>0</v>
      </c>
      <c r="CI155" s="518">
        <v>0</v>
      </c>
      <c r="CJ155" s="518">
        <v>0</v>
      </c>
      <c r="CK155" s="518">
        <v>0</v>
      </c>
      <c r="CL155" s="518">
        <v>0</v>
      </c>
      <c r="CM155" s="518">
        <v>0</v>
      </c>
      <c r="CN155" s="791">
        <v>0</v>
      </c>
      <c r="CP155" s="647"/>
      <c r="CQ155" s="647"/>
      <c r="CR155" s="518"/>
      <c r="CS155" s="647"/>
      <c r="CT155" s="518"/>
      <c r="CU155" s="647"/>
      <c r="CV155" s="518"/>
      <c r="CW155" s="647"/>
      <c r="CX155" s="518"/>
      <c r="CY155" s="647"/>
      <c r="CZ155" s="518"/>
      <c r="DA155" s="647"/>
      <c r="DB155" s="518"/>
      <c r="DC155" s="647">
        <v>0</v>
      </c>
      <c r="DD155" s="518"/>
      <c r="DE155" s="518"/>
      <c r="DF155" s="518"/>
      <c r="DG155" s="748"/>
      <c r="DH155" s="518"/>
      <c r="DI155" s="518"/>
      <c r="DJ155" s="748"/>
      <c r="DK155" s="518"/>
      <c r="DL155" s="518"/>
      <c r="DM155" s="748"/>
      <c r="DN155" s="518"/>
      <c r="DO155" s="518"/>
      <c r="DP155" s="748"/>
      <c r="DQ155" s="493">
        <f t="shared" si="62"/>
        <v>0</v>
      </c>
      <c r="DR155" s="479">
        <f t="shared" ref="DR155:DR161" si="67">SUM(CR155,CT155,CV155,CX155,CZ155,DB155,DD155,DG155,DJ155,DM155,DP155)</f>
        <v>0</v>
      </c>
      <c r="DS155" s="1163"/>
      <c r="DT155" s="1163"/>
      <c r="DU155" s="1163"/>
      <c r="DV155" s="1163"/>
      <c r="DW155" s="1163"/>
      <c r="DX155" s="1163"/>
      <c r="DY155" s="1163"/>
      <c r="DZ155" s="1163"/>
      <c r="EA155" s="1163"/>
      <c r="EB155" s="1163"/>
      <c r="EC155" s="1163"/>
      <c r="ED155" s="1163"/>
      <c r="EE155" s="1119">
        <f t="shared" si="60"/>
        <v>0</v>
      </c>
      <c r="EF155" s="443">
        <f t="shared" si="49"/>
        <v>0</v>
      </c>
      <c r="EG155" s="355">
        <f t="shared" si="50"/>
        <v>0</v>
      </c>
      <c r="EH155" s="443">
        <f t="shared" si="65"/>
        <v>0</v>
      </c>
      <c r="EI155" s="443">
        <f t="shared" si="65"/>
        <v>0</v>
      </c>
      <c r="EJ155" s="367">
        <v>3000019652</v>
      </c>
    </row>
    <row r="156" spans="1:140" ht="15.5" outlineLevel="2">
      <c r="A156" s="367" t="s">
        <v>39</v>
      </c>
      <c r="B156" s="378"/>
      <c r="C156" s="370" t="s">
        <v>358</v>
      </c>
      <c r="D156" s="370" t="s">
        <v>40</v>
      </c>
      <c r="E156" s="379" t="s">
        <v>46</v>
      </c>
      <c r="F156" s="380">
        <v>3000007157</v>
      </c>
      <c r="G156" s="178">
        <v>0</v>
      </c>
      <c r="H156" s="178">
        <v>0</v>
      </c>
      <c r="I156" s="178">
        <v>0</v>
      </c>
      <c r="J156" s="178">
        <v>0</v>
      </c>
      <c r="K156" s="178">
        <v>0</v>
      </c>
      <c r="L156" s="178">
        <v>0</v>
      </c>
      <c r="M156" s="178">
        <v>0</v>
      </c>
      <c r="N156" s="178">
        <v>0</v>
      </c>
      <c r="O156" s="178">
        <v>0</v>
      </c>
      <c r="P156" s="178">
        <v>0</v>
      </c>
      <c r="Q156" s="178">
        <v>0</v>
      </c>
      <c r="R156" s="178">
        <v>0</v>
      </c>
      <c r="S156" s="7">
        <f t="shared" si="4"/>
        <v>0</v>
      </c>
      <c r="T156" s="179"/>
      <c r="U156" s="178">
        <v>0</v>
      </c>
      <c r="V156" s="178">
        <v>0</v>
      </c>
      <c r="W156" s="178">
        <v>0</v>
      </c>
      <c r="X156" s="178">
        <v>0</v>
      </c>
      <c r="Y156" s="178">
        <v>0</v>
      </c>
      <c r="Z156" s="178">
        <v>0</v>
      </c>
      <c r="AA156" s="178">
        <v>0</v>
      </c>
      <c r="AB156" s="178">
        <v>0</v>
      </c>
      <c r="AC156" s="178">
        <v>0</v>
      </c>
      <c r="AD156" s="178">
        <v>0</v>
      </c>
      <c r="AE156" s="178">
        <v>0</v>
      </c>
      <c r="AF156" s="178">
        <v>0</v>
      </c>
      <c r="AG156" s="518">
        <f t="shared" si="5"/>
        <v>0</v>
      </c>
      <c r="AH156" s="788"/>
      <c r="AI156" s="789"/>
      <c r="AJ156" s="517"/>
      <c r="AK156" s="518"/>
      <c r="AL156" s="518">
        <v>0</v>
      </c>
      <c r="AM156" s="518"/>
      <c r="AN156" s="518">
        <v>110500000</v>
      </c>
      <c r="AO156" s="518">
        <v>154700000</v>
      </c>
      <c r="AP156" s="518">
        <v>22300000</v>
      </c>
      <c r="AQ156" s="518">
        <v>11900000</v>
      </c>
      <c r="AR156" s="759">
        <v>0</v>
      </c>
      <c r="AS156" s="759">
        <v>5300000</v>
      </c>
      <c r="AT156" s="759">
        <v>0</v>
      </c>
      <c r="AU156" s="518">
        <f t="shared" si="66"/>
        <v>0</v>
      </c>
      <c r="AV156" s="518">
        <f t="shared" si="66"/>
        <v>0</v>
      </c>
      <c r="AW156" s="518">
        <f t="shared" si="66"/>
        <v>0</v>
      </c>
      <c r="AX156" s="518">
        <f t="shared" si="45"/>
        <v>304700000</v>
      </c>
      <c r="AY156" s="788"/>
      <c r="AZ156" s="789"/>
      <c r="BA156" s="517"/>
      <c r="BB156" s="518"/>
      <c r="BC156" s="518">
        <v>0</v>
      </c>
      <c r="BD156" s="518"/>
      <c r="BE156" s="518">
        <v>110500000</v>
      </c>
      <c r="BF156" s="518">
        <v>154700000</v>
      </c>
      <c r="BG156" s="518">
        <f t="shared" si="61"/>
        <v>22300000</v>
      </c>
      <c r="BH156" s="518">
        <v>0</v>
      </c>
      <c r="BI156" s="518">
        <v>0</v>
      </c>
      <c r="BJ156" s="518">
        <v>0</v>
      </c>
      <c r="BK156" s="518">
        <v>0</v>
      </c>
      <c r="BL156" s="518">
        <f t="shared" si="46"/>
        <v>287500000</v>
      </c>
      <c r="BN156" s="518">
        <v>0</v>
      </c>
      <c r="BO156" s="518">
        <v>0</v>
      </c>
      <c r="BP156" s="518">
        <v>0</v>
      </c>
      <c r="BQ156" s="518">
        <v>0</v>
      </c>
      <c r="BR156" s="518">
        <v>0</v>
      </c>
      <c r="BS156" s="518">
        <v>0</v>
      </c>
      <c r="BT156" s="518">
        <v>0</v>
      </c>
      <c r="BU156" s="518">
        <v>0</v>
      </c>
      <c r="BV156" s="518">
        <v>0</v>
      </c>
      <c r="BW156" s="518">
        <v>0</v>
      </c>
      <c r="BX156" s="518">
        <v>0</v>
      </c>
      <c r="BY156" s="518">
        <v>0</v>
      </c>
      <c r="BZ156" s="791">
        <v>0</v>
      </c>
      <c r="CB156" s="518">
        <v>0</v>
      </c>
      <c r="CC156" s="518">
        <v>0</v>
      </c>
      <c r="CD156" s="518">
        <v>0</v>
      </c>
      <c r="CE156" s="518">
        <v>0</v>
      </c>
      <c r="CF156" s="518">
        <v>0</v>
      </c>
      <c r="CG156" s="518">
        <v>0</v>
      </c>
      <c r="CH156" s="518">
        <v>0</v>
      </c>
      <c r="CI156" s="518">
        <v>0</v>
      </c>
      <c r="CJ156" s="518">
        <v>0</v>
      </c>
      <c r="CK156" s="518">
        <v>0</v>
      </c>
      <c r="CL156" s="518">
        <v>0</v>
      </c>
      <c r="CM156" s="518">
        <v>0</v>
      </c>
      <c r="CN156" s="791">
        <v>0</v>
      </c>
      <c r="CP156" s="647"/>
      <c r="CQ156" s="647"/>
      <c r="CR156" s="518"/>
      <c r="CS156" s="647"/>
      <c r="CT156" s="518"/>
      <c r="CU156" s="647"/>
      <c r="CV156" s="518"/>
      <c r="CW156" s="647"/>
      <c r="CX156" s="518"/>
      <c r="CY156" s="647"/>
      <c r="CZ156" s="518"/>
      <c r="DA156" s="647"/>
      <c r="DB156" s="518"/>
      <c r="DC156" s="647">
        <v>0</v>
      </c>
      <c r="DD156" s="518"/>
      <c r="DE156" s="518"/>
      <c r="DF156" s="518"/>
      <c r="DG156" s="748"/>
      <c r="DH156" s="518"/>
      <c r="DI156" s="518"/>
      <c r="DJ156" s="748"/>
      <c r="DK156" s="518"/>
      <c r="DL156" s="518"/>
      <c r="DM156" s="748"/>
      <c r="DN156" s="518"/>
      <c r="DO156" s="518"/>
      <c r="DP156" s="748"/>
      <c r="DQ156" s="493">
        <f t="shared" si="62"/>
        <v>0</v>
      </c>
      <c r="DR156" s="479">
        <f t="shared" si="67"/>
        <v>0</v>
      </c>
      <c r="DS156" s="1163"/>
      <c r="DT156" s="1163"/>
      <c r="DU156" s="1163"/>
      <c r="DV156" s="1163"/>
      <c r="DW156" s="1163"/>
      <c r="DX156" s="1163"/>
      <c r="DY156" s="1163"/>
      <c r="DZ156" s="1163"/>
      <c r="EA156" s="1163"/>
      <c r="EB156" s="1163"/>
      <c r="EC156" s="1163"/>
      <c r="ED156" s="1163"/>
      <c r="EE156" s="1119">
        <f t="shared" si="60"/>
        <v>0</v>
      </c>
      <c r="EF156" s="443">
        <f t="shared" si="49"/>
        <v>0</v>
      </c>
      <c r="EG156" s="355">
        <f t="shared" si="50"/>
        <v>0</v>
      </c>
      <c r="EH156" s="443">
        <f t="shared" si="65"/>
        <v>0</v>
      </c>
      <c r="EI156" s="443">
        <f t="shared" si="65"/>
        <v>0</v>
      </c>
      <c r="EJ156" s="367">
        <v>3000007157</v>
      </c>
    </row>
    <row r="157" spans="1:140" ht="15.5" outlineLevel="2">
      <c r="A157" s="367" t="s">
        <v>39</v>
      </c>
      <c r="B157" s="378"/>
      <c r="C157" s="370" t="s">
        <v>358</v>
      </c>
      <c r="D157" s="370" t="s">
        <v>40</v>
      </c>
      <c r="E157" s="379" t="s">
        <v>96</v>
      </c>
      <c r="F157" s="380">
        <v>3000012909</v>
      </c>
      <c r="G157" s="178">
        <v>0</v>
      </c>
      <c r="H157" s="178">
        <v>0</v>
      </c>
      <c r="I157" s="178">
        <v>0</v>
      </c>
      <c r="J157" s="178">
        <v>0</v>
      </c>
      <c r="K157" s="178">
        <v>0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78">
        <v>0</v>
      </c>
      <c r="S157" s="7">
        <f>SUM(G157,H157,I157,J157,K157,L157,M157,N157,O157,P157,Q157,R157)</f>
        <v>0</v>
      </c>
      <c r="T157" s="179"/>
      <c r="U157" s="178">
        <v>0</v>
      </c>
      <c r="V157" s="178">
        <v>0</v>
      </c>
      <c r="W157" s="178">
        <v>0</v>
      </c>
      <c r="X157" s="178">
        <v>0</v>
      </c>
      <c r="Y157" s="178">
        <v>0</v>
      </c>
      <c r="Z157" s="178">
        <v>0</v>
      </c>
      <c r="AA157" s="178">
        <v>0</v>
      </c>
      <c r="AB157" s="178">
        <v>0</v>
      </c>
      <c r="AC157" s="178">
        <v>0</v>
      </c>
      <c r="AD157" s="178">
        <v>0</v>
      </c>
      <c r="AE157" s="178">
        <v>0</v>
      </c>
      <c r="AF157" s="178">
        <v>0</v>
      </c>
      <c r="AG157" s="518">
        <f>SUM(U157,V157,W157,X157,Y157,Z157,AA157,AB157,AC157,AD157,AE157,AF157)</f>
        <v>0</v>
      </c>
      <c r="AH157" s="788"/>
      <c r="AI157" s="789"/>
      <c r="AJ157" s="517"/>
      <c r="AK157" s="518"/>
      <c r="AL157" s="518">
        <v>0</v>
      </c>
      <c r="AM157" s="518"/>
      <c r="AN157" s="518">
        <v>4500000</v>
      </c>
      <c r="AO157" s="518">
        <v>56600000</v>
      </c>
      <c r="AP157" s="518">
        <v>0</v>
      </c>
      <c r="AQ157" s="518">
        <v>4500000</v>
      </c>
      <c r="AR157" s="759">
        <v>0</v>
      </c>
      <c r="AS157" s="759">
        <v>0</v>
      </c>
      <c r="AT157" s="759">
        <v>0</v>
      </c>
      <c r="AU157" s="794"/>
      <c r="AV157" s="794"/>
      <c r="AW157" s="794"/>
      <c r="AX157" s="518">
        <f t="shared" si="45"/>
        <v>65600000</v>
      </c>
      <c r="AY157" s="788"/>
      <c r="AZ157" s="789"/>
      <c r="BA157" s="517"/>
      <c r="BB157" s="518"/>
      <c r="BC157" s="518">
        <v>0</v>
      </c>
      <c r="BD157" s="518"/>
      <c r="BE157" s="518">
        <v>4500000</v>
      </c>
      <c r="BF157" s="518">
        <v>56600000</v>
      </c>
      <c r="BG157" s="518">
        <f t="shared" si="61"/>
        <v>0</v>
      </c>
      <c r="BH157" s="518">
        <v>56600000</v>
      </c>
      <c r="BI157" s="518">
        <v>80000000</v>
      </c>
      <c r="BJ157" s="518">
        <v>100000000</v>
      </c>
      <c r="BK157" s="518">
        <v>100000000</v>
      </c>
      <c r="BL157" s="518">
        <f t="shared" si="46"/>
        <v>397700000</v>
      </c>
      <c r="BN157" s="518">
        <v>0</v>
      </c>
      <c r="BO157" s="518">
        <v>0</v>
      </c>
      <c r="BP157" s="518">
        <v>0</v>
      </c>
      <c r="BQ157" s="518">
        <v>0</v>
      </c>
      <c r="BR157" s="518">
        <v>0</v>
      </c>
      <c r="BS157" s="518">
        <v>0</v>
      </c>
      <c r="BT157" s="518">
        <v>0</v>
      </c>
      <c r="BU157" s="518">
        <v>0</v>
      </c>
      <c r="BV157" s="518">
        <v>0</v>
      </c>
      <c r="BW157" s="518">
        <v>0</v>
      </c>
      <c r="BX157" s="518">
        <v>0</v>
      </c>
      <c r="BY157" s="518">
        <v>0</v>
      </c>
      <c r="BZ157" s="791">
        <v>0</v>
      </c>
      <c r="CB157" s="518">
        <v>0</v>
      </c>
      <c r="CC157" s="518">
        <v>0</v>
      </c>
      <c r="CD157" s="518">
        <v>0</v>
      </c>
      <c r="CE157" s="518">
        <v>0</v>
      </c>
      <c r="CF157" s="518">
        <v>0</v>
      </c>
      <c r="CG157" s="518">
        <v>0</v>
      </c>
      <c r="CH157" s="518">
        <v>0</v>
      </c>
      <c r="CI157" s="518">
        <v>0</v>
      </c>
      <c r="CJ157" s="518">
        <v>0</v>
      </c>
      <c r="CK157" s="518">
        <v>0</v>
      </c>
      <c r="CL157" s="518">
        <v>0</v>
      </c>
      <c r="CM157" s="518">
        <v>0</v>
      </c>
      <c r="CN157" s="791">
        <v>0</v>
      </c>
      <c r="CP157" s="647"/>
      <c r="CQ157" s="647"/>
      <c r="CR157" s="518"/>
      <c r="CS157" s="647"/>
      <c r="CT157" s="518"/>
      <c r="CU157" s="647"/>
      <c r="CV157" s="518"/>
      <c r="CW157" s="647"/>
      <c r="CX157" s="518"/>
      <c r="CY157" s="647"/>
      <c r="CZ157" s="518"/>
      <c r="DA157" s="647"/>
      <c r="DB157" s="518"/>
      <c r="DC157" s="647">
        <v>0</v>
      </c>
      <c r="DD157" s="518"/>
      <c r="DE157" s="518"/>
      <c r="DF157" s="518"/>
      <c r="DG157" s="748"/>
      <c r="DH157" s="518"/>
      <c r="DI157" s="518"/>
      <c r="DJ157" s="748"/>
      <c r="DK157" s="518"/>
      <c r="DL157" s="518"/>
      <c r="DM157" s="748"/>
      <c r="DN157" s="518"/>
      <c r="DO157" s="518"/>
      <c r="DP157" s="748"/>
      <c r="DQ157" s="493">
        <f t="shared" si="62"/>
        <v>0</v>
      </c>
      <c r="DR157" s="479">
        <f t="shared" si="67"/>
        <v>0</v>
      </c>
      <c r="DS157" s="1163"/>
      <c r="DT157" s="1163"/>
      <c r="DU157" s="1163"/>
      <c r="DV157" s="1163"/>
      <c r="DW157" s="1163"/>
      <c r="DX157" s="1163"/>
      <c r="DY157" s="1163"/>
      <c r="DZ157" s="1163"/>
      <c r="EA157" s="1163"/>
      <c r="EB157" s="1163"/>
      <c r="EC157" s="1163"/>
      <c r="ED157" s="1163"/>
      <c r="EE157" s="1119">
        <f t="shared" si="60"/>
        <v>0</v>
      </c>
      <c r="EF157" s="443">
        <f t="shared" si="49"/>
        <v>0</v>
      </c>
      <c r="EG157" s="355">
        <f t="shared" si="50"/>
        <v>0</v>
      </c>
      <c r="EH157" s="443">
        <f t="shared" si="65"/>
        <v>0</v>
      </c>
      <c r="EI157" s="443">
        <f t="shared" si="65"/>
        <v>0</v>
      </c>
      <c r="EJ157" s="367">
        <v>3000012909</v>
      </c>
    </row>
    <row r="158" spans="1:140" ht="15.5" outlineLevel="2">
      <c r="A158" s="367" t="s">
        <v>59</v>
      </c>
      <c r="B158" s="378"/>
      <c r="C158" s="370" t="s">
        <v>358</v>
      </c>
      <c r="D158" s="370" t="s">
        <v>40</v>
      </c>
      <c r="E158" s="384" t="s">
        <v>468</v>
      </c>
      <c r="F158" s="380">
        <v>3000019758</v>
      </c>
      <c r="G158" s="178">
        <v>0</v>
      </c>
      <c r="H158" s="178">
        <v>0</v>
      </c>
      <c r="I158" s="178">
        <v>0</v>
      </c>
      <c r="J158" s="178">
        <v>0</v>
      </c>
      <c r="K158" s="178">
        <v>0</v>
      </c>
      <c r="L158" s="178">
        <v>0</v>
      </c>
      <c r="M158" s="178">
        <v>0</v>
      </c>
      <c r="N158" s="178">
        <v>0</v>
      </c>
      <c r="O158" s="178">
        <v>0</v>
      </c>
      <c r="P158" s="178">
        <v>0</v>
      </c>
      <c r="Q158" s="178">
        <v>0</v>
      </c>
      <c r="R158" s="178">
        <v>0</v>
      </c>
      <c r="S158" s="7">
        <f>SUM(G158,H158,I158,J158,K158,L158,M158,N158,O158,P158,Q158,R158)</f>
        <v>0</v>
      </c>
      <c r="T158" s="179"/>
      <c r="U158" s="178">
        <v>0</v>
      </c>
      <c r="V158" s="178">
        <v>0</v>
      </c>
      <c r="W158" s="178">
        <v>0</v>
      </c>
      <c r="X158" s="178">
        <v>0</v>
      </c>
      <c r="Y158" s="178">
        <v>0</v>
      </c>
      <c r="Z158" s="178">
        <v>0</v>
      </c>
      <c r="AA158" s="178">
        <v>0</v>
      </c>
      <c r="AB158" s="178">
        <v>0</v>
      </c>
      <c r="AC158" s="178">
        <v>0</v>
      </c>
      <c r="AD158" s="178">
        <v>0</v>
      </c>
      <c r="AE158" s="178">
        <v>0</v>
      </c>
      <c r="AF158" s="178">
        <v>0</v>
      </c>
      <c r="AG158" s="518">
        <f>SUM(U158,V158,W158,X158,Y158,Z158,AA158,AB158,AC158,AD158,AE158,AF158)</f>
        <v>0</v>
      </c>
      <c r="AH158" s="788"/>
      <c r="AI158" s="789"/>
      <c r="AJ158" s="517"/>
      <c r="AK158" s="518"/>
      <c r="AL158" s="518">
        <v>0</v>
      </c>
      <c r="AM158" s="518"/>
      <c r="AN158" s="518">
        <v>13897545</v>
      </c>
      <c r="AO158" s="518">
        <v>1893636</v>
      </c>
      <c r="AP158" s="518">
        <v>0</v>
      </c>
      <c r="AQ158" s="518">
        <v>0</v>
      </c>
      <c r="AR158" s="518"/>
      <c r="AS158" s="518"/>
      <c r="AT158" s="518"/>
      <c r="AU158" s="518">
        <f t="shared" ref="AU158:AW160" si="68">BI158</f>
        <v>0</v>
      </c>
      <c r="AV158" s="518">
        <f t="shared" si="68"/>
        <v>0</v>
      </c>
      <c r="AW158" s="518">
        <f t="shared" si="68"/>
        <v>0</v>
      </c>
      <c r="AX158" s="518">
        <f t="shared" si="45"/>
        <v>15791181</v>
      </c>
      <c r="AY158" s="788"/>
      <c r="AZ158" s="789"/>
      <c r="BA158" s="517"/>
      <c r="BB158" s="518"/>
      <c r="BC158" s="518">
        <v>0</v>
      </c>
      <c r="BD158" s="518"/>
      <c r="BE158" s="518">
        <v>13897545</v>
      </c>
      <c r="BF158" s="518">
        <v>1893636</v>
      </c>
      <c r="BG158" s="518">
        <f t="shared" si="61"/>
        <v>0</v>
      </c>
      <c r="BH158" s="518">
        <v>0</v>
      </c>
      <c r="BI158" s="518">
        <v>0</v>
      </c>
      <c r="BJ158" s="518">
        <v>0</v>
      </c>
      <c r="BK158" s="518">
        <v>0</v>
      </c>
      <c r="BL158" s="518">
        <f t="shared" si="46"/>
        <v>15791181</v>
      </c>
      <c r="BN158" s="518">
        <v>0</v>
      </c>
      <c r="BO158" s="518">
        <v>0</v>
      </c>
      <c r="BP158" s="518">
        <v>0</v>
      </c>
      <c r="BQ158" s="518">
        <v>0</v>
      </c>
      <c r="BR158" s="518">
        <v>0</v>
      </c>
      <c r="BS158" s="518">
        <v>0</v>
      </c>
      <c r="BT158" s="518">
        <v>0</v>
      </c>
      <c r="BU158" s="518">
        <v>0</v>
      </c>
      <c r="BV158" s="518">
        <v>0</v>
      </c>
      <c r="BW158" s="518">
        <v>0</v>
      </c>
      <c r="BX158" s="518">
        <v>0</v>
      </c>
      <c r="BY158" s="518">
        <v>0</v>
      </c>
      <c r="BZ158" s="791">
        <v>0</v>
      </c>
      <c r="CB158" s="518">
        <v>0</v>
      </c>
      <c r="CC158" s="518">
        <v>0</v>
      </c>
      <c r="CD158" s="518">
        <v>0</v>
      </c>
      <c r="CE158" s="518">
        <v>0</v>
      </c>
      <c r="CF158" s="518">
        <v>0</v>
      </c>
      <c r="CG158" s="518">
        <v>0</v>
      </c>
      <c r="CH158" s="518">
        <v>0</v>
      </c>
      <c r="CI158" s="518">
        <v>0</v>
      </c>
      <c r="CJ158" s="518">
        <v>0</v>
      </c>
      <c r="CK158" s="518">
        <v>0</v>
      </c>
      <c r="CL158" s="518">
        <v>0</v>
      </c>
      <c r="CM158" s="518">
        <v>0</v>
      </c>
      <c r="CN158" s="791">
        <v>0</v>
      </c>
      <c r="CP158" s="647"/>
      <c r="CQ158" s="647"/>
      <c r="CR158" s="518"/>
      <c r="CS158" s="647"/>
      <c r="CT158" s="518"/>
      <c r="CU158" s="647"/>
      <c r="CV158" s="518"/>
      <c r="CW158" s="647"/>
      <c r="CX158" s="518"/>
      <c r="CY158" s="647"/>
      <c r="CZ158" s="518"/>
      <c r="DA158" s="647"/>
      <c r="DB158" s="518"/>
      <c r="DC158" s="647">
        <v>0</v>
      </c>
      <c r="DD158" s="518"/>
      <c r="DE158" s="518"/>
      <c r="DF158" s="518"/>
      <c r="DG158" s="748"/>
      <c r="DH158" s="518"/>
      <c r="DI158" s="518"/>
      <c r="DJ158" s="748"/>
      <c r="DK158" s="518"/>
      <c r="DL158" s="518"/>
      <c r="DM158" s="748"/>
      <c r="DN158" s="518"/>
      <c r="DO158" s="518"/>
      <c r="DP158" s="748"/>
      <c r="DQ158" s="493">
        <f t="shared" si="62"/>
        <v>0</v>
      </c>
      <c r="DR158" s="479">
        <f t="shared" si="67"/>
        <v>0</v>
      </c>
      <c r="DS158" s="1163"/>
      <c r="DT158" s="1163"/>
      <c r="DU158" s="1163"/>
      <c r="DV158" s="1163"/>
      <c r="DW158" s="1163"/>
      <c r="DX158" s="1163"/>
      <c r="DY158" s="1163"/>
      <c r="DZ158" s="1163"/>
      <c r="EA158" s="1163"/>
      <c r="EB158" s="1163"/>
      <c r="EC158" s="1163"/>
      <c r="ED158" s="1163"/>
      <c r="EE158" s="1119">
        <f t="shared" si="60"/>
        <v>0</v>
      </c>
      <c r="EF158" s="443">
        <f t="shared" si="49"/>
        <v>0</v>
      </c>
      <c r="EG158" s="355">
        <f t="shared" si="50"/>
        <v>0</v>
      </c>
      <c r="EH158" s="443">
        <f t="shared" si="65"/>
        <v>0</v>
      </c>
      <c r="EI158" s="443">
        <f t="shared" si="65"/>
        <v>0</v>
      </c>
      <c r="EJ158" s="367">
        <v>3000019758</v>
      </c>
    </row>
    <row r="159" spans="1:140" ht="15.5" outlineLevel="2">
      <c r="A159" s="367" t="s">
        <v>39</v>
      </c>
      <c r="B159" s="378"/>
      <c r="C159" s="370" t="s">
        <v>358</v>
      </c>
      <c r="D159" s="370" t="s">
        <v>40</v>
      </c>
      <c r="E159" s="384" t="s">
        <v>469</v>
      </c>
      <c r="F159" s="380">
        <v>3000019777</v>
      </c>
      <c r="G159" s="178">
        <v>0</v>
      </c>
      <c r="H159" s="178">
        <v>0</v>
      </c>
      <c r="I159" s="178">
        <v>0</v>
      </c>
      <c r="J159" s="178">
        <v>0</v>
      </c>
      <c r="K159" s="178">
        <v>0</v>
      </c>
      <c r="L159" s="178">
        <v>0</v>
      </c>
      <c r="M159" s="178">
        <v>0</v>
      </c>
      <c r="N159" s="178">
        <v>0</v>
      </c>
      <c r="O159" s="178">
        <v>0</v>
      </c>
      <c r="P159" s="178">
        <v>0</v>
      </c>
      <c r="Q159" s="178">
        <v>0</v>
      </c>
      <c r="R159" s="178">
        <v>0</v>
      </c>
      <c r="S159" s="7">
        <f>SUM(G159,H159,I159,J159,K159,L159,M159,N159,O159,P159,Q159,R159)</f>
        <v>0</v>
      </c>
      <c r="T159" s="179"/>
      <c r="U159" s="178">
        <v>0</v>
      </c>
      <c r="V159" s="178">
        <v>0</v>
      </c>
      <c r="W159" s="178">
        <v>0</v>
      </c>
      <c r="X159" s="178">
        <v>0</v>
      </c>
      <c r="Y159" s="178">
        <v>0</v>
      </c>
      <c r="Z159" s="178">
        <v>0</v>
      </c>
      <c r="AA159" s="178">
        <v>0</v>
      </c>
      <c r="AB159" s="178">
        <v>0</v>
      </c>
      <c r="AC159" s="178">
        <v>0</v>
      </c>
      <c r="AD159" s="178">
        <v>0</v>
      </c>
      <c r="AE159" s="178">
        <v>0</v>
      </c>
      <c r="AF159" s="178">
        <v>0</v>
      </c>
      <c r="AG159" s="518">
        <f>SUM(U159,V159,W159,X159,Y159,Z159,AA159,AB159,AC159,AD159,AE159,AF159)</f>
        <v>0</v>
      </c>
      <c r="AH159" s="788"/>
      <c r="AI159" s="789"/>
      <c r="AJ159" s="517"/>
      <c r="AK159" s="518"/>
      <c r="AL159" s="518">
        <v>0</v>
      </c>
      <c r="AM159" s="518"/>
      <c r="AN159" s="518">
        <v>10128000</v>
      </c>
      <c r="AO159" s="518">
        <v>0</v>
      </c>
      <c r="AP159" s="518">
        <v>0</v>
      </c>
      <c r="AQ159" s="518">
        <v>0</v>
      </c>
      <c r="AR159" s="518"/>
      <c r="AS159" s="518"/>
      <c r="AT159" s="518"/>
      <c r="AU159" s="518">
        <f t="shared" si="68"/>
        <v>0</v>
      </c>
      <c r="AV159" s="518">
        <f t="shared" si="68"/>
        <v>0</v>
      </c>
      <c r="AW159" s="518">
        <f t="shared" si="68"/>
        <v>0</v>
      </c>
      <c r="AX159" s="518">
        <f t="shared" si="45"/>
        <v>10128000</v>
      </c>
      <c r="AY159" s="788"/>
      <c r="AZ159" s="789"/>
      <c r="BA159" s="517"/>
      <c r="BB159" s="518"/>
      <c r="BC159" s="518">
        <v>0</v>
      </c>
      <c r="BD159" s="518"/>
      <c r="BE159" s="518">
        <v>10128000</v>
      </c>
      <c r="BF159" s="518">
        <v>0</v>
      </c>
      <c r="BG159" s="518">
        <f t="shared" si="61"/>
        <v>0</v>
      </c>
      <c r="BH159" s="518">
        <v>0</v>
      </c>
      <c r="BI159" s="518">
        <v>0</v>
      </c>
      <c r="BJ159" s="518">
        <v>0</v>
      </c>
      <c r="BK159" s="518">
        <v>0</v>
      </c>
      <c r="BL159" s="518">
        <f t="shared" si="46"/>
        <v>10128000</v>
      </c>
      <c r="BN159" s="518">
        <v>0</v>
      </c>
      <c r="BO159" s="518">
        <v>0</v>
      </c>
      <c r="BP159" s="518">
        <v>0</v>
      </c>
      <c r="BQ159" s="518">
        <v>0</v>
      </c>
      <c r="BR159" s="518">
        <v>0</v>
      </c>
      <c r="BS159" s="518">
        <v>0</v>
      </c>
      <c r="BT159" s="518">
        <v>0</v>
      </c>
      <c r="BU159" s="518">
        <v>0</v>
      </c>
      <c r="BV159" s="518">
        <v>0</v>
      </c>
      <c r="BW159" s="518">
        <v>0</v>
      </c>
      <c r="BX159" s="518">
        <v>0</v>
      </c>
      <c r="BY159" s="518">
        <v>0</v>
      </c>
      <c r="BZ159" s="791">
        <v>0</v>
      </c>
      <c r="CB159" s="518">
        <v>0</v>
      </c>
      <c r="CC159" s="518">
        <v>0</v>
      </c>
      <c r="CD159" s="518">
        <v>0</v>
      </c>
      <c r="CE159" s="518">
        <v>0</v>
      </c>
      <c r="CF159" s="518">
        <v>0</v>
      </c>
      <c r="CG159" s="518">
        <v>0</v>
      </c>
      <c r="CH159" s="518">
        <v>0</v>
      </c>
      <c r="CI159" s="518">
        <v>0</v>
      </c>
      <c r="CJ159" s="518">
        <v>0</v>
      </c>
      <c r="CK159" s="518">
        <v>0</v>
      </c>
      <c r="CL159" s="518">
        <v>0</v>
      </c>
      <c r="CM159" s="518">
        <v>0</v>
      </c>
      <c r="CN159" s="791">
        <v>0</v>
      </c>
      <c r="CP159" s="647"/>
      <c r="CQ159" s="647"/>
      <c r="CR159" s="518"/>
      <c r="CS159" s="647"/>
      <c r="CT159" s="518"/>
      <c r="CU159" s="647"/>
      <c r="CV159" s="518"/>
      <c r="CW159" s="647"/>
      <c r="CX159" s="518"/>
      <c r="CY159" s="647"/>
      <c r="CZ159" s="518"/>
      <c r="DA159" s="647"/>
      <c r="DB159" s="518"/>
      <c r="DC159" s="647">
        <v>0</v>
      </c>
      <c r="DD159" s="518"/>
      <c r="DE159" s="518"/>
      <c r="DF159" s="518"/>
      <c r="DG159" s="748"/>
      <c r="DH159" s="518"/>
      <c r="DI159" s="518"/>
      <c r="DJ159" s="748"/>
      <c r="DK159" s="518"/>
      <c r="DL159" s="518"/>
      <c r="DM159" s="748"/>
      <c r="DN159" s="518"/>
      <c r="DO159" s="518"/>
      <c r="DP159" s="748"/>
      <c r="DQ159" s="493">
        <f t="shared" si="62"/>
        <v>0</v>
      </c>
      <c r="DR159" s="479">
        <f t="shared" si="67"/>
        <v>0</v>
      </c>
      <c r="DS159" s="1163"/>
      <c r="DT159" s="1163"/>
      <c r="DU159" s="1163"/>
      <c r="DV159" s="1163"/>
      <c r="DW159" s="1163"/>
      <c r="DX159" s="1163"/>
      <c r="DY159" s="1163"/>
      <c r="DZ159" s="1163"/>
      <c r="EA159" s="1163"/>
      <c r="EB159" s="1163"/>
      <c r="EC159" s="1163"/>
      <c r="ED159" s="1163"/>
      <c r="EE159" s="1119">
        <f t="shared" si="60"/>
        <v>0</v>
      </c>
      <c r="EF159" s="443">
        <f t="shared" si="49"/>
        <v>0</v>
      </c>
      <c r="EG159" s="355">
        <f t="shared" si="50"/>
        <v>0</v>
      </c>
      <c r="EH159" s="443">
        <f t="shared" si="65"/>
        <v>0</v>
      </c>
      <c r="EI159" s="443">
        <f t="shared" si="65"/>
        <v>0</v>
      </c>
      <c r="EJ159" s="367">
        <v>3000019777</v>
      </c>
    </row>
    <row r="160" spans="1:140" ht="15.5" outlineLevel="2">
      <c r="A160" s="391" t="s">
        <v>470</v>
      </c>
      <c r="B160" s="378"/>
      <c r="C160" s="370" t="s">
        <v>358</v>
      </c>
      <c r="D160" s="370" t="s">
        <v>40</v>
      </c>
      <c r="E160" s="382" t="s">
        <v>471</v>
      </c>
      <c r="F160" s="380" t="s">
        <v>472</v>
      </c>
      <c r="G160" s="178">
        <v>0</v>
      </c>
      <c r="H160" s="178">
        <v>0</v>
      </c>
      <c r="I160" s="178">
        <v>0</v>
      </c>
      <c r="J160" s="178">
        <v>0</v>
      </c>
      <c r="K160" s="178">
        <v>0</v>
      </c>
      <c r="L160" s="178">
        <v>0</v>
      </c>
      <c r="M160" s="178">
        <v>0</v>
      </c>
      <c r="N160" s="178">
        <v>0</v>
      </c>
      <c r="O160" s="178">
        <v>0</v>
      </c>
      <c r="P160" s="178">
        <v>0</v>
      </c>
      <c r="Q160" s="178">
        <v>0</v>
      </c>
      <c r="R160" s="178">
        <v>0</v>
      </c>
      <c r="S160" s="7">
        <f>SUM(G160,H160,I160,J160,K160,L160,M160,N160,O160,P160,Q160,R160)</f>
        <v>0</v>
      </c>
      <c r="T160" s="179"/>
      <c r="U160" s="178">
        <v>0</v>
      </c>
      <c r="V160" s="178">
        <v>0</v>
      </c>
      <c r="W160" s="178">
        <v>0</v>
      </c>
      <c r="X160" s="178">
        <v>0</v>
      </c>
      <c r="Y160" s="178">
        <v>0</v>
      </c>
      <c r="Z160" s="178">
        <v>0</v>
      </c>
      <c r="AA160" s="178">
        <v>0</v>
      </c>
      <c r="AB160" s="178">
        <v>0</v>
      </c>
      <c r="AC160" s="178">
        <v>0</v>
      </c>
      <c r="AD160" s="178">
        <v>0</v>
      </c>
      <c r="AE160" s="178">
        <v>0</v>
      </c>
      <c r="AF160" s="178">
        <v>0</v>
      </c>
      <c r="AG160" s="518">
        <f>SUM(U160,V160,W160,X160,Y160,Z160,AA160,AB160,AC160,AD160,AE160,AF160)</f>
        <v>0</v>
      </c>
      <c r="AH160" s="788"/>
      <c r="AI160" s="789"/>
      <c r="AJ160" s="517"/>
      <c r="AK160" s="518"/>
      <c r="AL160" s="518">
        <v>0</v>
      </c>
      <c r="AM160" s="518"/>
      <c r="AN160" s="518"/>
      <c r="AO160" s="518">
        <v>500000</v>
      </c>
      <c r="AP160" s="518">
        <v>16800000</v>
      </c>
      <c r="AQ160" s="518">
        <v>12600000</v>
      </c>
      <c r="AR160" s="518"/>
      <c r="AS160" s="759">
        <v>350000</v>
      </c>
      <c r="AT160" s="518"/>
      <c r="AU160" s="518">
        <f t="shared" si="68"/>
        <v>0</v>
      </c>
      <c r="AV160" s="518">
        <f t="shared" si="68"/>
        <v>0</v>
      </c>
      <c r="AW160" s="518">
        <f t="shared" si="68"/>
        <v>0</v>
      </c>
      <c r="AX160" s="518">
        <f t="shared" si="45"/>
        <v>30250000</v>
      </c>
      <c r="AY160" s="788"/>
      <c r="AZ160" s="789"/>
      <c r="BA160" s="517"/>
      <c r="BB160" s="518"/>
      <c r="BC160" s="518">
        <v>0</v>
      </c>
      <c r="BD160" s="518"/>
      <c r="BE160" s="518"/>
      <c r="BF160" s="518">
        <v>500000</v>
      </c>
      <c r="BG160" s="518">
        <f t="shared" si="61"/>
        <v>16800000</v>
      </c>
      <c r="BH160" s="518">
        <v>0</v>
      </c>
      <c r="BI160" s="518">
        <v>0</v>
      </c>
      <c r="BJ160" s="518">
        <v>0</v>
      </c>
      <c r="BK160" s="518">
        <v>0</v>
      </c>
      <c r="BL160" s="518">
        <f t="shared" si="46"/>
        <v>17300000</v>
      </c>
      <c r="BN160" s="518">
        <v>0</v>
      </c>
      <c r="BO160" s="518">
        <v>0</v>
      </c>
      <c r="BP160" s="518">
        <v>0</v>
      </c>
      <c r="BQ160" s="518">
        <v>0</v>
      </c>
      <c r="BR160" s="518">
        <v>0</v>
      </c>
      <c r="BS160" s="518">
        <v>0</v>
      </c>
      <c r="BT160" s="518">
        <v>0</v>
      </c>
      <c r="BU160" s="518">
        <v>0</v>
      </c>
      <c r="BV160" s="518">
        <v>0</v>
      </c>
      <c r="BW160" s="518">
        <v>0</v>
      </c>
      <c r="BX160" s="518">
        <v>0</v>
      </c>
      <c r="BY160" s="518">
        <v>0</v>
      </c>
      <c r="BZ160" s="791">
        <v>0</v>
      </c>
      <c r="CB160" s="518">
        <v>0</v>
      </c>
      <c r="CC160" s="518">
        <v>0</v>
      </c>
      <c r="CD160" s="518">
        <v>0</v>
      </c>
      <c r="CE160" s="518">
        <v>0</v>
      </c>
      <c r="CF160" s="518">
        <v>0</v>
      </c>
      <c r="CG160" s="518">
        <v>0</v>
      </c>
      <c r="CH160" s="518">
        <v>0</v>
      </c>
      <c r="CI160" s="518">
        <v>0</v>
      </c>
      <c r="CJ160" s="518">
        <v>0</v>
      </c>
      <c r="CK160" s="518">
        <v>0</v>
      </c>
      <c r="CL160" s="518">
        <v>0</v>
      </c>
      <c r="CM160" s="518">
        <v>0</v>
      </c>
      <c r="CN160" s="791">
        <v>0</v>
      </c>
      <c r="CP160" s="647"/>
      <c r="CQ160" s="647"/>
      <c r="CR160" s="518"/>
      <c r="CS160" s="647"/>
      <c r="CT160" s="518"/>
      <c r="CU160" s="647"/>
      <c r="CV160" s="518"/>
      <c r="CW160" s="647"/>
      <c r="CX160" s="518"/>
      <c r="CY160" s="647"/>
      <c r="CZ160" s="518"/>
      <c r="DA160" s="647"/>
      <c r="DB160" s="518"/>
      <c r="DC160" s="647">
        <v>0</v>
      </c>
      <c r="DD160" s="518"/>
      <c r="DE160" s="518"/>
      <c r="DF160" s="518"/>
      <c r="DG160" s="748"/>
      <c r="DH160" s="518"/>
      <c r="DI160" s="518"/>
      <c r="DJ160" s="748"/>
      <c r="DK160" s="518"/>
      <c r="DL160" s="518"/>
      <c r="DM160" s="748"/>
      <c r="DN160" s="518"/>
      <c r="DO160" s="518"/>
      <c r="DP160" s="748"/>
      <c r="DQ160" s="493">
        <f t="shared" si="62"/>
        <v>0</v>
      </c>
      <c r="DR160" s="479">
        <f t="shared" si="67"/>
        <v>0</v>
      </c>
      <c r="DS160" s="1163"/>
      <c r="DT160" s="1163"/>
      <c r="DU160" s="1163"/>
      <c r="DV160" s="1163"/>
      <c r="DW160" s="1163"/>
      <c r="DX160" s="1163"/>
      <c r="DY160" s="1163"/>
      <c r="DZ160" s="1163"/>
      <c r="EA160" s="1163"/>
      <c r="EB160" s="1163"/>
      <c r="EC160" s="1163"/>
      <c r="ED160" s="1163"/>
      <c r="EE160" s="1119">
        <f t="shared" si="60"/>
        <v>0</v>
      </c>
      <c r="EF160" s="443">
        <f t="shared" si="49"/>
        <v>0</v>
      </c>
      <c r="EG160" s="355">
        <f t="shared" si="50"/>
        <v>0</v>
      </c>
      <c r="EH160" s="443">
        <f t="shared" si="65"/>
        <v>0</v>
      </c>
      <c r="EI160" s="443">
        <f t="shared" si="65"/>
        <v>0</v>
      </c>
      <c r="EJ160" s="367" t="s">
        <v>472</v>
      </c>
    </row>
    <row r="161" spans="1:156" ht="15.5" outlineLevel="2">
      <c r="A161" s="389"/>
      <c r="B161" s="378"/>
      <c r="C161" s="370" t="s">
        <v>358</v>
      </c>
      <c r="E161" s="392" t="s">
        <v>473</v>
      </c>
      <c r="F161" s="380">
        <v>3000016019</v>
      </c>
      <c r="G161" s="178">
        <v>-22070354</v>
      </c>
      <c r="H161" s="178">
        <v>0</v>
      </c>
      <c r="I161" s="178">
        <v>0</v>
      </c>
      <c r="J161" s="178">
        <v>22070354</v>
      </c>
      <c r="K161" s="178">
        <v>0</v>
      </c>
      <c r="L161" s="178">
        <v>0</v>
      </c>
      <c r="M161" s="178">
        <v>0</v>
      </c>
      <c r="N161" s="178">
        <v>0</v>
      </c>
      <c r="O161" s="178">
        <v>0</v>
      </c>
      <c r="P161" s="178">
        <v>0</v>
      </c>
      <c r="Q161" s="178">
        <v>0</v>
      </c>
      <c r="R161" s="178">
        <v>0</v>
      </c>
      <c r="S161" s="7">
        <f>SUM(G161,H161,I161,J161,K161,L161,M161,N161,O161,P161,Q161,R161)</f>
        <v>0</v>
      </c>
      <c r="T161" s="179"/>
      <c r="U161" s="178">
        <v>0</v>
      </c>
      <c r="V161" s="178">
        <v>0</v>
      </c>
      <c r="W161" s="178">
        <v>0</v>
      </c>
      <c r="X161" s="178">
        <v>0</v>
      </c>
      <c r="Y161" s="178">
        <v>0</v>
      </c>
      <c r="Z161" s="178">
        <v>0</v>
      </c>
      <c r="AA161" s="178">
        <v>0</v>
      </c>
      <c r="AB161" s="178">
        <v>0</v>
      </c>
      <c r="AC161" s="178">
        <v>0</v>
      </c>
      <c r="AD161" s="178">
        <v>0</v>
      </c>
      <c r="AE161" s="178">
        <v>0</v>
      </c>
      <c r="AF161" s="178">
        <v>0</v>
      </c>
      <c r="AG161" s="518">
        <f>SUM(U161,V161,W161,X161,Y161,Z161,AA161,AB161,AC161,AD161,AE161,AF161)</f>
        <v>0</v>
      </c>
      <c r="AH161" s="788"/>
      <c r="AI161" s="789"/>
      <c r="AJ161" s="790"/>
      <c r="AK161" s="518"/>
      <c r="AL161" s="518"/>
      <c r="AM161" s="518"/>
      <c r="AN161" s="518"/>
      <c r="AO161" s="518"/>
      <c r="AP161" s="518"/>
      <c r="AQ161" s="518">
        <v>0</v>
      </c>
      <c r="AR161" s="518"/>
      <c r="AS161" s="518"/>
      <c r="AT161" s="518"/>
      <c r="AU161" s="518"/>
      <c r="AV161" s="518"/>
      <c r="AW161" s="518"/>
      <c r="AX161" s="518">
        <f t="shared" si="45"/>
        <v>0</v>
      </c>
      <c r="AY161" s="788"/>
      <c r="AZ161" s="789"/>
      <c r="BA161" s="790"/>
      <c r="BB161" s="518"/>
      <c r="BC161" s="518"/>
      <c r="BD161" s="518"/>
      <c r="BE161" s="518"/>
      <c r="BF161" s="518"/>
      <c r="BG161" s="518">
        <f t="shared" si="61"/>
        <v>0</v>
      </c>
      <c r="BH161" s="518">
        <v>0</v>
      </c>
      <c r="BI161" s="518">
        <v>0</v>
      </c>
      <c r="BJ161" s="518">
        <v>0</v>
      </c>
      <c r="BK161" s="518">
        <v>0</v>
      </c>
      <c r="BL161" s="518">
        <f t="shared" si="46"/>
        <v>0</v>
      </c>
      <c r="BN161" s="516"/>
      <c r="BO161" s="517"/>
      <c r="BP161" s="518"/>
      <c r="BQ161" s="518"/>
      <c r="BR161" s="518"/>
      <c r="BS161" s="518"/>
      <c r="BT161" s="518"/>
      <c r="BU161" s="518"/>
      <c r="BV161" s="518"/>
      <c r="BW161" s="518"/>
      <c r="BX161" s="518"/>
      <c r="BY161" s="518"/>
      <c r="BZ161" s="791">
        <v>0</v>
      </c>
      <c r="CB161" s="516"/>
      <c r="CC161" s="517"/>
      <c r="CD161" s="518"/>
      <c r="CE161" s="518"/>
      <c r="CF161" s="518"/>
      <c r="CG161" s="518"/>
      <c r="CH161" s="518"/>
      <c r="CI161" s="518"/>
      <c r="CJ161" s="518"/>
      <c r="CK161" s="518"/>
      <c r="CL161" s="518"/>
      <c r="CM161" s="518"/>
      <c r="CN161" s="791">
        <v>0</v>
      </c>
      <c r="CP161" s="646"/>
      <c r="CQ161" s="646"/>
      <c r="CR161" s="516"/>
      <c r="CS161" s="646"/>
      <c r="CT161" s="516"/>
      <c r="CU161" s="646"/>
      <c r="CV161" s="516"/>
      <c r="CW161" s="646"/>
      <c r="CX161" s="516"/>
      <c r="CY161" s="646"/>
      <c r="CZ161" s="516"/>
      <c r="DA161" s="646"/>
      <c r="DB161" s="516"/>
      <c r="DC161" s="646">
        <v>0</v>
      </c>
      <c r="DD161" s="516"/>
      <c r="DE161" s="518"/>
      <c r="DF161" s="516"/>
      <c r="DG161" s="747"/>
      <c r="DH161" s="518"/>
      <c r="DI161" s="516"/>
      <c r="DJ161" s="747"/>
      <c r="DK161" s="518"/>
      <c r="DL161" s="516"/>
      <c r="DM161" s="747"/>
      <c r="DN161" s="518"/>
      <c r="DO161" s="516"/>
      <c r="DP161" s="747"/>
      <c r="DQ161" s="493">
        <f t="shared" si="62"/>
        <v>0</v>
      </c>
      <c r="DR161" s="479">
        <f t="shared" si="67"/>
        <v>0</v>
      </c>
      <c r="DS161" s="1162"/>
      <c r="DT161" s="1162"/>
      <c r="DU161" s="1162"/>
      <c r="DV161" s="1162"/>
      <c r="DW161" s="1162"/>
      <c r="DX161" s="1162"/>
      <c r="DY161" s="1162"/>
      <c r="DZ161" s="1162"/>
      <c r="EA161" s="1162"/>
      <c r="EB161" s="1162"/>
      <c r="EC161" s="1162"/>
      <c r="ED161" s="1162"/>
      <c r="EE161" s="1119">
        <f t="shared" si="60"/>
        <v>0</v>
      </c>
      <c r="EF161" s="443">
        <f t="shared" si="49"/>
        <v>0</v>
      </c>
      <c r="EG161" s="355">
        <f t="shared" si="50"/>
        <v>0</v>
      </c>
      <c r="EH161" s="443">
        <f t="shared" si="65"/>
        <v>0</v>
      </c>
      <c r="EI161" s="443">
        <f t="shared" si="65"/>
        <v>0</v>
      </c>
      <c r="EJ161" s="367">
        <v>3000016019</v>
      </c>
    </row>
    <row r="162" spans="1:156" ht="15.5" outlineLevel="2">
      <c r="B162" s="378"/>
      <c r="E162" s="392"/>
      <c r="F162" s="380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7"/>
      <c r="T162" s="179"/>
      <c r="U162" s="178">
        <v>0</v>
      </c>
      <c r="V162" s="178">
        <v>0</v>
      </c>
      <c r="W162" s="178">
        <v>0</v>
      </c>
      <c r="X162" s="178">
        <v>0</v>
      </c>
      <c r="Y162" s="178">
        <v>0</v>
      </c>
      <c r="Z162" s="178">
        <v>0</v>
      </c>
      <c r="AA162" s="178">
        <v>0</v>
      </c>
      <c r="AB162" s="178">
        <v>0</v>
      </c>
      <c r="AC162" s="178">
        <v>0</v>
      </c>
      <c r="AD162" s="178">
        <v>0</v>
      </c>
      <c r="AE162" s="178">
        <v>0</v>
      </c>
      <c r="AF162" s="178">
        <v>0</v>
      </c>
      <c r="AG162" s="518"/>
      <c r="AH162" s="788"/>
      <c r="AI162" s="789"/>
      <c r="AJ162" s="790"/>
      <c r="AK162" s="518"/>
      <c r="AL162" s="518"/>
      <c r="AM162" s="518"/>
      <c r="AN162" s="518"/>
      <c r="AO162" s="518"/>
      <c r="AP162" s="518"/>
      <c r="AQ162" s="518">
        <v>0</v>
      </c>
      <c r="AR162" s="518"/>
      <c r="AS162" s="518"/>
      <c r="AT162" s="518"/>
      <c r="AU162" s="518"/>
      <c r="AV162" s="518"/>
      <c r="AW162" s="518"/>
      <c r="AX162" s="518">
        <f t="shared" si="45"/>
        <v>0</v>
      </c>
      <c r="AY162" s="788"/>
      <c r="AZ162" s="789"/>
      <c r="BA162" s="790"/>
      <c r="BB162" s="518"/>
      <c r="BC162" s="518"/>
      <c r="BD162" s="518"/>
      <c r="BE162" s="518"/>
      <c r="BF162" s="518"/>
      <c r="BG162" s="518">
        <f t="shared" si="61"/>
        <v>0</v>
      </c>
      <c r="BH162" s="518"/>
      <c r="BI162" s="518"/>
      <c r="BJ162" s="518"/>
      <c r="BK162" s="518"/>
      <c r="BL162" s="518"/>
      <c r="BN162" s="516"/>
      <c r="BO162" s="517"/>
      <c r="BP162" s="518"/>
      <c r="BQ162" s="518"/>
      <c r="BR162" s="518"/>
      <c r="BS162" s="518"/>
      <c r="BT162" s="518"/>
      <c r="BU162" s="518"/>
      <c r="BV162" s="518"/>
      <c r="BW162" s="518"/>
      <c r="BX162" s="518"/>
      <c r="BY162" s="518"/>
      <c r="BZ162" s="791">
        <v>0</v>
      </c>
      <c r="CB162" s="516"/>
      <c r="CC162" s="517"/>
      <c r="CD162" s="518"/>
      <c r="CE162" s="518"/>
      <c r="CF162" s="518"/>
      <c r="CG162" s="518"/>
      <c r="CH162" s="518"/>
      <c r="CI162" s="518"/>
      <c r="CJ162" s="518"/>
      <c r="CK162" s="518"/>
      <c r="CL162" s="518"/>
      <c r="CM162" s="518"/>
      <c r="CN162" s="791">
        <v>0</v>
      </c>
      <c r="CP162" s="646"/>
      <c r="CQ162" s="646"/>
      <c r="CR162" s="516"/>
      <c r="CS162" s="646"/>
      <c r="CT162" s="516"/>
      <c r="CU162" s="646"/>
      <c r="CV162" s="516"/>
      <c r="CW162" s="646"/>
      <c r="CX162" s="516"/>
      <c r="CY162" s="646"/>
      <c r="CZ162" s="516"/>
      <c r="DA162" s="646"/>
      <c r="DB162" s="516"/>
      <c r="DC162" s="646"/>
      <c r="DD162" s="516"/>
      <c r="DE162" s="518"/>
      <c r="DF162" s="516"/>
      <c r="DG162" s="747"/>
      <c r="DH162" s="518"/>
      <c r="DI162" s="516"/>
      <c r="DJ162" s="747"/>
      <c r="DK162" s="518"/>
      <c r="DL162" s="516"/>
      <c r="DM162" s="747"/>
      <c r="DN162" s="518"/>
      <c r="DO162" s="516"/>
      <c r="DP162" s="747"/>
      <c r="DQ162" s="493"/>
      <c r="DR162" s="479">
        <f>SUM(CR162,CT162,CV162,CX162,CZ162,DB162,DD162,DG162,DJ162,DM162,DP162)</f>
        <v>0</v>
      </c>
      <c r="DS162" s="1162"/>
      <c r="DT162" s="1162"/>
      <c r="DU162" s="1162"/>
      <c r="DV162" s="1162"/>
      <c r="DW162" s="1162"/>
      <c r="DX162" s="1162"/>
      <c r="DY162" s="1162"/>
      <c r="DZ162" s="1162"/>
      <c r="EA162" s="1162"/>
      <c r="EB162" s="1162"/>
      <c r="EC162" s="1162"/>
      <c r="ED162" s="1162"/>
      <c r="EE162" s="1119">
        <f t="shared" si="60"/>
        <v>0</v>
      </c>
      <c r="EF162" s="443">
        <f t="shared" si="49"/>
        <v>0</v>
      </c>
      <c r="EG162" s="355">
        <f t="shared" si="50"/>
        <v>0</v>
      </c>
      <c r="EH162" s="443">
        <f t="shared" si="65"/>
        <v>0</v>
      </c>
      <c r="EI162" s="443">
        <f t="shared" si="65"/>
        <v>0</v>
      </c>
      <c r="EJ162" s="367" t="e">
        <v>#N/A</v>
      </c>
    </row>
    <row r="163" spans="1:156" s="255" customFormat="1" ht="18.5" outlineLevel="2">
      <c r="A163" s="981"/>
      <c r="B163" s="393"/>
      <c r="C163" s="394"/>
      <c r="D163" s="394"/>
      <c r="E163" s="395" t="s">
        <v>474</v>
      </c>
      <c r="F163" s="982"/>
      <c r="G163" s="256"/>
      <c r="H163" s="256"/>
      <c r="I163" s="256"/>
      <c r="J163" s="256"/>
      <c r="K163" s="256"/>
      <c r="L163" s="256"/>
      <c r="M163" s="256"/>
      <c r="N163" s="256"/>
      <c r="O163" s="256"/>
      <c r="P163" s="256"/>
      <c r="Q163" s="256"/>
      <c r="R163" s="256"/>
      <c r="S163" s="257"/>
      <c r="T163" s="258"/>
      <c r="U163" s="256"/>
      <c r="V163" s="256"/>
      <c r="W163" s="256"/>
      <c r="X163" s="256"/>
      <c r="Y163" s="256"/>
      <c r="Z163" s="256"/>
      <c r="AA163" s="256"/>
      <c r="AB163" s="256"/>
      <c r="AC163" s="256"/>
      <c r="AD163" s="256"/>
      <c r="AE163" s="256"/>
      <c r="AF163" s="256"/>
      <c r="AG163" s="800"/>
      <c r="AH163" s="801"/>
      <c r="AI163" s="802"/>
      <c r="AJ163" s="803"/>
      <c r="AK163" s="800"/>
      <c r="AL163" s="800"/>
      <c r="AM163" s="800"/>
      <c r="AN163" s="800"/>
      <c r="AO163" s="800"/>
      <c r="AP163" s="800"/>
      <c r="AQ163" s="800"/>
      <c r="AR163" s="800"/>
      <c r="AS163" s="800"/>
      <c r="AT163" s="800"/>
      <c r="AU163" s="800"/>
      <c r="AV163" s="800"/>
      <c r="AW163" s="800"/>
      <c r="AX163" s="800"/>
      <c r="AY163" s="801"/>
      <c r="AZ163" s="802"/>
      <c r="BA163" s="803"/>
      <c r="BB163" s="800"/>
      <c r="BC163" s="800"/>
      <c r="BD163" s="800"/>
      <c r="BE163" s="800"/>
      <c r="BF163" s="800"/>
      <c r="BG163" s="800"/>
      <c r="BH163" s="800"/>
      <c r="BI163" s="800"/>
      <c r="BJ163" s="800"/>
      <c r="BK163" s="800"/>
      <c r="BL163" s="800"/>
      <c r="BM163" s="983"/>
      <c r="BN163" s="467">
        <f t="shared" ref="BN163:BZ163" si="69">SUM(BN164:BN207)</f>
        <v>0</v>
      </c>
      <c r="BO163" s="467">
        <f t="shared" si="69"/>
        <v>0</v>
      </c>
      <c r="BP163" s="467">
        <f t="shared" si="69"/>
        <v>0</v>
      </c>
      <c r="BQ163" s="467">
        <f t="shared" si="69"/>
        <v>0</v>
      </c>
      <c r="BR163" s="467">
        <f t="shared" si="69"/>
        <v>0</v>
      </c>
      <c r="BS163" s="467">
        <f t="shared" si="69"/>
        <v>0</v>
      </c>
      <c r="BT163" s="467">
        <f t="shared" si="69"/>
        <v>0</v>
      </c>
      <c r="BU163" s="467">
        <f t="shared" si="69"/>
        <v>0</v>
      </c>
      <c r="BV163" s="467">
        <f t="shared" si="69"/>
        <v>0</v>
      </c>
      <c r="BW163" s="467">
        <f t="shared" si="69"/>
        <v>0</v>
      </c>
      <c r="BX163" s="467">
        <f t="shared" si="69"/>
        <v>0</v>
      </c>
      <c r="BY163" s="467">
        <f t="shared" si="69"/>
        <v>0</v>
      </c>
      <c r="BZ163" s="467">
        <f t="shared" si="69"/>
        <v>0</v>
      </c>
      <c r="CA163" s="3"/>
      <c r="CB163" s="467">
        <f t="shared" ref="CB163:CN163" si="70">SUM(CB164:CB207)</f>
        <v>0</v>
      </c>
      <c r="CC163" s="467">
        <f t="shared" si="70"/>
        <v>0</v>
      </c>
      <c r="CD163" s="467">
        <f t="shared" si="70"/>
        <v>0</v>
      </c>
      <c r="CE163" s="467">
        <f t="shared" si="70"/>
        <v>0</v>
      </c>
      <c r="CF163" s="467">
        <f t="shared" si="70"/>
        <v>0</v>
      </c>
      <c r="CG163" s="467">
        <f t="shared" si="70"/>
        <v>0</v>
      </c>
      <c r="CH163" s="467">
        <f t="shared" si="70"/>
        <v>0</v>
      </c>
      <c r="CI163" s="467">
        <f t="shared" si="70"/>
        <v>0</v>
      </c>
      <c r="CJ163" s="467">
        <f t="shared" si="70"/>
        <v>0</v>
      </c>
      <c r="CK163" s="467">
        <f t="shared" si="70"/>
        <v>0</v>
      </c>
      <c r="CL163" s="467">
        <f t="shared" si="70"/>
        <v>0</v>
      </c>
      <c r="CM163" s="467">
        <f t="shared" si="70"/>
        <v>0</v>
      </c>
      <c r="CN163" s="467">
        <f t="shared" si="70"/>
        <v>0</v>
      </c>
      <c r="CO163" s="983"/>
      <c r="CP163" s="467">
        <f t="shared" ref="CP163:DP163" si="71">SUM(CP164:CP207)</f>
        <v>147940000</v>
      </c>
      <c r="CQ163" s="467">
        <f t="shared" si="71"/>
        <v>279105200</v>
      </c>
      <c r="CR163" s="467">
        <f t="shared" si="71"/>
        <v>489190000</v>
      </c>
      <c r="CS163" s="467">
        <f t="shared" si="71"/>
        <v>447151650</v>
      </c>
      <c r="CT163" s="467">
        <f t="shared" si="71"/>
        <v>1234210000</v>
      </c>
      <c r="CU163" s="467">
        <f t="shared" si="71"/>
        <v>242779330</v>
      </c>
      <c r="CV163" s="467">
        <f t="shared" si="71"/>
        <v>1115897500</v>
      </c>
      <c r="CW163" s="467">
        <f t="shared" si="71"/>
        <v>162709988</v>
      </c>
      <c r="CX163" s="467">
        <f t="shared" si="71"/>
        <v>654890000</v>
      </c>
      <c r="CY163" s="467">
        <f t="shared" si="71"/>
        <v>323172935</v>
      </c>
      <c r="CZ163" s="467">
        <f t="shared" si="71"/>
        <v>962297500</v>
      </c>
      <c r="DA163" s="467">
        <f t="shared" si="71"/>
        <v>277175868</v>
      </c>
      <c r="DB163" s="467">
        <f t="shared" si="71"/>
        <v>1262297500</v>
      </c>
      <c r="DC163" s="467">
        <f t="shared" si="71"/>
        <v>459469795</v>
      </c>
      <c r="DD163" s="467">
        <f t="shared" si="71"/>
        <v>1262297500</v>
      </c>
      <c r="DE163" s="467">
        <f t="shared" si="71"/>
        <v>0</v>
      </c>
      <c r="DF163" s="467">
        <f>SUM(DF164:DF207)</f>
        <v>1262297500</v>
      </c>
      <c r="DG163" s="467">
        <f t="shared" si="71"/>
        <v>1200270000</v>
      </c>
      <c r="DH163" s="467">
        <f t="shared" si="71"/>
        <v>0</v>
      </c>
      <c r="DI163" s="467">
        <f>SUM(DI164:DI207)</f>
        <v>1262297500</v>
      </c>
      <c r="DJ163" s="467">
        <f t="shared" si="71"/>
        <v>1200270000</v>
      </c>
      <c r="DK163" s="467">
        <f t="shared" si="71"/>
        <v>0</v>
      </c>
      <c r="DL163" s="467">
        <f>SUM(DL164:DL207)</f>
        <v>1262297500</v>
      </c>
      <c r="DM163" s="467">
        <f>SUM(DM164:DM207)</f>
        <v>1200270000</v>
      </c>
      <c r="DN163" s="467">
        <f t="shared" si="71"/>
        <v>0</v>
      </c>
      <c r="DO163" s="467">
        <f>SUM(DO164:DO207)</f>
        <v>1262297500</v>
      </c>
      <c r="DP163" s="467">
        <f t="shared" si="71"/>
        <v>1200270000</v>
      </c>
      <c r="DQ163" s="467">
        <f>SUM(DQ164:DQ207)</f>
        <v>7388694766</v>
      </c>
      <c r="DR163" s="467">
        <f>SUM(DR164:DR207)</f>
        <v>7140584766</v>
      </c>
      <c r="DS163" s="444">
        <f>SUM(DS164:DS207)</f>
        <v>355200000</v>
      </c>
      <c r="DT163" s="444">
        <f t="shared" ref="DT163:EC163" si="72">SUM(DT164:DT207)</f>
        <v>365200000</v>
      </c>
      <c r="DU163" s="444">
        <f t="shared" si="72"/>
        <v>386200000</v>
      </c>
      <c r="DV163" s="444">
        <f t="shared" si="72"/>
        <v>345200000</v>
      </c>
      <c r="DW163" s="444">
        <f t="shared" si="72"/>
        <v>324200000</v>
      </c>
      <c r="DX163" s="444">
        <f t="shared" si="72"/>
        <v>475200000</v>
      </c>
      <c r="DY163" s="444">
        <f t="shared" si="72"/>
        <v>485200000</v>
      </c>
      <c r="DZ163" s="444">
        <f t="shared" si="72"/>
        <v>485200000</v>
      </c>
      <c r="EA163" s="444">
        <f t="shared" si="72"/>
        <v>485200000</v>
      </c>
      <c r="EB163" s="444">
        <f t="shared" si="72"/>
        <v>535200000</v>
      </c>
      <c r="EC163" s="444">
        <f t="shared" si="72"/>
        <v>535200000</v>
      </c>
      <c r="ED163" s="444">
        <f>SUM(ED164:ED207)</f>
        <v>535200000</v>
      </c>
      <c r="EE163" s="1119">
        <f t="shared" ref="EE163:EE207" si="73">SUM(DS163,DT163,DU163,DV163,DW163,DX163,DY163,DZ163,EA163,EB163,EC163,ED163)</f>
        <v>5312400000</v>
      </c>
      <c r="EF163" s="443">
        <f t="shared" si="49"/>
        <v>6215508000</v>
      </c>
      <c r="EG163" s="355">
        <f t="shared" si="50"/>
        <v>6712748640</v>
      </c>
      <c r="EH163" s="443">
        <f t="shared" si="65"/>
        <v>7316896017.6000004</v>
      </c>
      <c r="EI163" s="443">
        <f t="shared" si="65"/>
        <v>7975416659.184001</v>
      </c>
      <c r="EJ163" s="981"/>
      <c r="EK163" s="981"/>
      <c r="EL163" s="984"/>
      <c r="EM163" s="984"/>
      <c r="EN163" s="984"/>
      <c r="EO163" s="984"/>
      <c r="EP163" s="984"/>
      <c r="EQ163" s="984"/>
      <c r="ER163" s="984"/>
      <c r="ES163" s="984"/>
      <c r="ET163" s="984"/>
      <c r="EU163" s="984"/>
      <c r="EV163" s="984"/>
      <c r="EW163" s="984"/>
      <c r="EX163" s="984"/>
      <c r="EY163" s="984"/>
      <c r="EZ163" s="984"/>
    </row>
    <row r="164" spans="1:156" ht="15.5" outlineLevel="2">
      <c r="A164" s="367" t="s">
        <v>43</v>
      </c>
      <c r="B164" s="378"/>
      <c r="C164" s="370" t="s">
        <v>358</v>
      </c>
      <c r="D164" s="370" t="s">
        <v>108</v>
      </c>
      <c r="E164" s="379" t="s">
        <v>475</v>
      </c>
      <c r="F164" s="380">
        <v>3000016669</v>
      </c>
      <c r="G164" s="178">
        <v>0</v>
      </c>
      <c r="H164" s="178">
        <v>0</v>
      </c>
      <c r="I164" s="178">
        <v>10750000</v>
      </c>
      <c r="J164" s="178">
        <v>4500000</v>
      </c>
      <c r="K164" s="178">
        <v>42326500</v>
      </c>
      <c r="L164" s="178">
        <v>15560150</v>
      </c>
      <c r="M164" s="178">
        <v>0</v>
      </c>
      <c r="N164" s="178">
        <v>0</v>
      </c>
      <c r="O164" s="178">
        <v>24802800</v>
      </c>
      <c r="P164" s="178">
        <v>13708000</v>
      </c>
      <c r="Q164" s="178">
        <v>16433000</v>
      </c>
      <c r="R164" s="178">
        <v>-250000</v>
      </c>
      <c r="S164" s="7">
        <f>SUM(G164,H164,I164,J164,K164,L164,M164,N164,O164,P164,Q164,R164)</f>
        <v>127830450</v>
      </c>
      <c r="T164" s="179"/>
      <c r="U164" s="178">
        <v>28281500</v>
      </c>
      <c r="V164" s="178">
        <v>-250000</v>
      </c>
      <c r="W164" s="178">
        <v>4785000</v>
      </c>
      <c r="X164" s="178">
        <v>5400100</v>
      </c>
      <c r="Y164" s="178">
        <v>0</v>
      </c>
      <c r="Z164" s="178">
        <v>13728500</v>
      </c>
      <c r="AA164" s="178">
        <v>0</v>
      </c>
      <c r="AB164" s="178">
        <v>0</v>
      </c>
      <c r="AC164" s="178">
        <v>0</v>
      </c>
      <c r="AD164" s="178">
        <v>0</v>
      </c>
      <c r="AE164" s="178">
        <v>0</v>
      </c>
      <c r="AF164" s="178">
        <v>0</v>
      </c>
      <c r="AG164" s="518">
        <f>SUM(U164,V164,W164,X164,Y164,Z164,AA164,AB164,AC164,AD164,AE164,AF164)</f>
        <v>51945100</v>
      </c>
      <c r="AH164" s="788"/>
      <c r="AI164" s="789"/>
      <c r="AJ164" s="792"/>
      <c r="AK164" s="518"/>
      <c r="AL164" s="518"/>
      <c r="AM164" s="518"/>
      <c r="AN164" s="518"/>
      <c r="AO164" s="518"/>
      <c r="AP164" s="518"/>
      <c r="AQ164" s="518">
        <v>0</v>
      </c>
      <c r="AR164" s="518"/>
      <c r="AS164" s="518"/>
      <c r="AT164" s="518"/>
      <c r="AU164" s="518"/>
      <c r="AV164" s="518"/>
      <c r="AW164" s="518"/>
      <c r="AX164" s="518">
        <f>SUM(AI164,AJ164,AK164,AL164,AM164,AN164,AO164,AP164,AQ164,AR164,AS164,AT164)</f>
        <v>0</v>
      </c>
      <c r="AY164" s="788"/>
      <c r="AZ164" s="789"/>
      <c r="BA164" s="792"/>
      <c r="BB164" s="518"/>
      <c r="BC164" s="518"/>
      <c r="BD164" s="518"/>
      <c r="BE164" s="518"/>
      <c r="BF164" s="518"/>
      <c r="BG164" s="518">
        <f>AP164</f>
        <v>0</v>
      </c>
      <c r="BH164" s="518">
        <v>0</v>
      </c>
      <c r="BI164" s="518">
        <v>0</v>
      </c>
      <c r="BJ164" s="518">
        <v>0</v>
      </c>
      <c r="BK164" s="518">
        <v>0</v>
      </c>
      <c r="BL164" s="518">
        <f>SUM(AZ164,BA164,BB164,BC164,BD164,BE164,BF164,BG164,BH164,BI164,BJ164,BK164)</f>
        <v>0</v>
      </c>
      <c r="BN164" s="518"/>
      <c r="BO164" s="518"/>
      <c r="BP164" s="518"/>
      <c r="BQ164" s="518"/>
      <c r="BR164" s="518"/>
      <c r="BS164" s="518"/>
      <c r="BT164" s="518"/>
      <c r="BU164" s="518"/>
      <c r="BV164" s="518"/>
      <c r="BW164" s="518"/>
      <c r="BX164" s="518"/>
      <c r="BY164" s="518"/>
      <c r="BZ164" s="791">
        <v>0</v>
      </c>
      <c r="CB164" s="518"/>
      <c r="CC164" s="518"/>
      <c r="CD164" s="518"/>
      <c r="CE164" s="518"/>
      <c r="CF164" s="518"/>
      <c r="CG164" s="518"/>
      <c r="CH164" s="518"/>
      <c r="CI164" s="518"/>
      <c r="CJ164" s="518"/>
      <c r="CK164" s="518"/>
      <c r="CL164" s="518"/>
      <c r="CM164" s="518"/>
      <c r="CN164" s="791">
        <v>0</v>
      </c>
      <c r="CP164" s="647"/>
      <c r="CQ164" s="647"/>
      <c r="CR164" s="518"/>
      <c r="CS164" s="647"/>
      <c r="CT164" s="518"/>
      <c r="CU164" s="647">
        <v>22184000</v>
      </c>
      <c r="CV164" s="518">
        <v>20000000</v>
      </c>
      <c r="CW164" s="647">
        <v>21595000</v>
      </c>
      <c r="CX164" s="518">
        <v>20000000</v>
      </c>
      <c r="CY164" s="647">
        <v>12866273</v>
      </c>
      <c r="CZ164" s="518">
        <v>20000000</v>
      </c>
      <c r="DA164" s="647">
        <v>3370500</v>
      </c>
      <c r="DB164" s="518">
        <v>20000000</v>
      </c>
      <c r="DC164" s="647">
        <v>0</v>
      </c>
      <c r="DD164" s="518">
        <v>20000000</v>
      </c>
      <c r="DE164" s="518"/>
      <c r="DF164" s="518">
        <v>20000000</v>
      </c>
      <c r="DG164" s="748">
        <v>20000000</v>
      </c>
      <c r="DH164" s="518"/>
      <c r="DI164" s="518">
        <v>20000000</v>
      </c>
      <c r="DJ164" s="748">
        <v>20000000</v>
      </c>
      <c r="DK164" s="518"/>
      <c r="DL164" s="518">
        <v>20000000</v>
      </c>
      <c r="DM164" s="748">
        <v>20000000</v>
      </c>
      <c r="DN164" s="518"/>
      <c r="DO164" s="518">
        <v>20000000</v>
      </c>
      <c r="DP164" s="748">
        <v>20000000</v>
      </c>
      <c r="DQ164" s="493">
        <f t="shared" ref="DQ164:DQ227" si="74">SUM(CP164,CQ164,CS164,CU164,CW164,CY164,DA164,DC164,DF164,DI164,DL164,DO164)</f>
        <v>140015773</v>
      </c>
      <c r="DR164" s="479">
        <f t="shared" ref="DR164:DR207" si="75">SUM(CP164,CQ164,CS164,CU164,CW164,CY164,DA164,DC164,DG164,DJ164,DM164,DP164)</f>
        <v>140015773</v>
      </c>
      <c r="DS164" s="1163"/>
      <c r="DT164" s="1163"/>
      <c r="DU164" s="1163"/>
      <c r="DV164" s="1163"/>
      <c r="DW164" s="1163"/>
      <c r="DX164" s="1163"/>
      <c r="DY164" s="1163"/>
      <c r="DZ164" s="1163"/>
      <c r="EA164" s="1163"/>
      <c r="EB164" s="1163"/>
      <c r="EC164" s="1163"/>
      <c r="ED164" s="1163"/>
      <c r="EE164" s="1119">
        <f t="shared" si="73"/>
        <v>0</v>
      </c>
      <c r="EF164" s="443">
        <f t="shared" si="49"/>
        <v>0</v>
      </c>
      <c r="EG164" s="355">
        <f t="shared" si="50"/>
        <v>0</v>
      </c>
      <c r="EH164" s="443">
        <f t="shared" si="65"/>
        <v>0</v>
      </c>
      <c r="EI164" s="443">
        <f t="shared" si="65"/>
        <v>0</v>
      </c>
      <c r="EJ164" s="367">
        <v>3000016669</v>
      </c>
    </row>
    <row r="165" spans="1:156" ht="15.5" outlineLevel="2">
      <c r="B165" s="378"/>
      <c r="C165" s="370" t="s">
        <v>358</v>
      </c>
      <c r="D165" s="370" t="s">
        <v>108</v>
      </c>
      <c r="E165" s="379" t="s">
        <v>476</v>
      </c>
      <c r="F165" s="380" t="s">
        <v>477</v>
      </c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7"/>
      <c r="T165" s="179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518"/>
      <c r="AH165" s="788"/>
      <c r="AI165" s="789"/>
      <c r="AJ165" s="792"/>
      <c r="AK165" s="518"/>
      <c r="AL165" s="518"/>
      <c r="AM165" s="518"/>
      <c r="AN165" s="518"/>
      <c r="AO165" s="518"/>
      <c r="AP165" s="518"/>
      <c r="AQ165" s="518"/>
      <c r="AR165" s="518"/>
      <c r="AS165" s="518"/>
      <c r="AT165" s="518"/>
      <c r="AU165" s="518"/>
      <c r="AV165" s="518"/>
      <c r="AW165" s="518"/>
      <c r="AX165" s="518"/>
      <c r="AY165" s="788"/>
      <c r="AZ165" s="789"/>
      <c r="BA165" s="792"/>
      <c r="BB165" s="518"/>
      <c r="BC165" s="518"/>
      <c r="BD165" s="518"/>
      <c r="BE165" s="518"/>
      <c r="BF165" s="518"/>
      <c r="BG165" s="518"/>
      <c r="BH165" s="518"/>
      <c r="BI165" s="518"/>
      <c r="BJ165" s="518"/>
      <c r="BK165" s="518"/>
      <c r="BL165" s="518"/>
      <c r="BN165" s="518"/>
      <c r="BO165" s="518"/>
      <c r="BP165" s="518"/>
      <c r="BQ165" s="518"/>
      <c r="BR165" s="518"/>
      <c r="BS165" s="518"/>
      <c r="BT165" s="518"/>
      <c r="BU165" s="518"/>
      <c r="BV165" s="518"/>
      <c r="BW165" s="518"/>
      <c r="BX165" s="518"/>
      <c r="BY165" s="518"/>
      <c r="BZ165" s="791"/>
      <c r="CB165" s="518"/>
      <c r="CC165" s="518"/>
      <c r="CD165" s="518"/>
      <c r="CE165" s="518"/>
      <c r="CF165" s="518"/>
      <c r="CG165" s="518"/>
      <c r="CH165" s="518"/>
      <c r="CI165" s="518"/>
      <c r="CJ165" s="518"/>
      <c r="CK165" s="518"/>
      <c r="CL165" s="518"/>
      <c r="CM165" s="518"/>
      <c r="CN165" s="791"/>
      <c r="CP165" s="647"/>
      <c r="CQ165" s="647"/>
      <c r="CR165" s="518"/>
      <c r="CS165" s="647"/>
      <c r="CT165" s="518"/>
      <c r="CU165" s="647"/>
      <c r="CV165" s="518"/>
      <c r="CW165" s="647"/>
      <c r="CX165" s="518"/>
      <c r="CY165" s="647"/>
      <c r="CZ165" s="518"/>
      <c r="DA165" s="647"/>
      <c r="DB165" s="518"/>
      <c r="DC165" s="647">
        <v>29000000</v>
      </c>
      <c r="DD165" s="518"/>
      <c r="DE165" s="518"/>
      <c r="DF165" s="518"/>
      <c r="DG165" s="748"/>
      <c r="DH165" s="518"/>
      <c r="DI165" s="518"/>
      <c r="DJ165" s="748"/>
      <c r="DK165" s="518"/>
      <c r="DL165" s="518"/>
      <c r="DM165" s="748"/>
      <c r="DN165" s="518"/>
      <c r="DO165" s="518"/>
      <c r="DP165" s="748"/>
      <c r="DQ165" s="493">
        <f t="shared" si="74"/>
        <v>29000000</v>
      </c>
      <c r="DR165" s="479">
        <f t="shared" si="75"/>
        <v>29000000</v>
      </c>
      <c r="DS165" s="1163"/>
      <c r="DT165" s="1163"/>
      <c r="DU165" s="1163"/>
      <c r="DV165" s="1163"/>
      <c r="DW165" s="1163"/>
      <c r="DX165" s="1163"/>
      <c r="DY165" s="1163"/>
      <c r="DZ165" s="1163"/>
      <c r="EA165" s="1163"/>
      <c r="EB165" s="1163"/>
      <c r="EC165" s="1163"/>
      <c r="ED165" s="1163"/>
      <c r="EE165" s="1119">
        <f t="shared" si="73"/>
        <v>0</v>
      </c>
      <c r="EF165" s="443">
        <f t="shared" si="49"/>
        <v>0</v>
      </c>
      <c r="EG165" s="355">
        <f t="shared" si="50"/>
        <v>0</v>
      </c>
      <c r="EH165" s="443">
        <f t="shared" si="65"/>
        <v>0</v>
      </c>
      <c r="EI165" s="443">
        <f t="shared" si="65"/>
        <v>0</v>
      </c>
    </row>
    <row r="166" spans="1:156" ht="15.5" outlineLevel="2">
      <c r="A166" s="367" t="s">
        <v>43</v>
      </c>
      <c r="B166" s="378"/>
      <c r="C166" s="370" t="s">
        <v>358</v>
      </c>
      <c r="D166" s="370" t="s">
        <v>108</v>
      </c>
      <c r="E166" s="388" t="s">
        <v>49</v>
      </c>
      <c r="F166" s="380" t="s">
        <v>478</v>
      </c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7"/>
      <c r="T166" s="179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518"/>
      <c r="AH166" s="788"/>
      <c r="AI166" s="789"/>
      <c r="AJ166" s="792"/>
      <c r="AK166" s="518"/>
      <c r="AL166" s="518"/>
      <c r="AM166" s="518"/>
      <c r="AN166" s="518"/>
      <c r="AO166" s="518"/>
      <c r="AP166" s="518"/>
      <c r="AQ166" s="518"/>
      <c r="AR166" s="518"/>
      <c r="AS166" s="518"/>
      <c r="AT166" s="518"/>
      <c r="AU166" s="518"/>
      <c r="AV166" s="518"/>
      <c r="AW166" s="518"/>
      <c r="AX166" s="518"/>
      <c r="AY166" s="788"/>
      <c r="AZ166" s="789"/>
      <c r="BA166" s="792"/>
      <c r="BB166" s="518"/>
      <c r="BC166" s="518"/>
      <c r="BD166" s="518"/>
      <c r="BE166" s="518"/>
      <c r="BF166" s="518"/>
      <c r="BG166" s="518"/>
      <c r="BH166" s="518"/>
      <c r="BI166" s="518"/>
      <c r="BJ166" s="518"/>
      <c r="BK166" s="518"/>
      <c r="BL166" s="518"/>
      <c r="BN166" s="518"/>
      <c r="BO166" s="518"/>
      <c r="BP166" s="518"/>
      <c r="BQ166" s="518"/>
      <c r="BR166" s="518"/>
      <c r="BS166" s="518"/>
      <c r="BT166" s="518"/>
      <c r="BU166" s="518"/>
      <c r="BV166" s="518"/>
      <c r="BW166" s="518"/>
      <c r="BX166" s="518"/>
      <c r="BY166" s="518"/>
      <c r="BZ166" s="791"/>
      <c r="CB166" s="518"/>
      <c r="CC166" s="518"/>
      <c r="CD166" s="518"/>
      <c r="CE166" s="518"/>
      <c r="CF166" s="518"/>
      <c r="CG166" s="518"/>
      <c r="CH166" s="518"/>
      <c r="CI166" s="518"/>
      <c r="CJ166" s="518"/>
      <c r="CK166" s="518"/>
      <c r="CL166" s="518"/>
      <c r="CM166" s="518"/>
      <c r="CN166" s="791"/>
      <c r="CP166" s="647"/>
      <c r="CQ166" s="647"/>
      <c r="CR166" s="518"/>
      <c r="CS166" s="647"/>
      <c r="CT166" s="518"/>
      <c r="CU166" s="647"/>
      <c r="CV166" s="518"/>
      <c r="CW166" s="647"/>
      <c r="CX166" s="518"/>
      <c r="CY166" s="647"/>
      <c r="CZ166" s="518"/>
      <c r="DA166" s="647">
        <v>7440000</v>
      </c>
      <c r="DB166" s="518"/>
      <c r="DC166" s="647">
        <v>1610000</v>
      </c>
      <c r="DD166" s="518"/>
      <c r="DE166" s="518"/>
      <c r="DF166" s="518"/>
      <c r="DG166" s="748"/>
      <c r="DH166" s="518"/>
      <c r="DI166" s="518"/>
      <c r="DJ166" s="748"/>
      <c r="DK166" s="518"/>
      <c r="DL166" s="518"/>
      <c r="DM166" s="748"/>
      <c r="DN166" s="518"/>
      <c r="DO166" s="518"/>
      <c r="DP166" s="748"/>
      <c r="DQ166" s="493">
        <f t="shared" si="74"/>
        <v>9050000</v>
      </c>
      <c r="DR166" s="479">
        <f t="shared" si="75"/>
        <v>9050000</v>
      </c>
      <c r="DS166" s="1163"/>
      <c r="DT166" s="1163"/>
      <c r="DU166" s="1163"/>
      <c r="DV166" s="1163"/>
      <c r="DW166" s="1163"/>
      <c r="DX166" s="1163"/>
      <c r="DY166" s="1163"/>
      <c r="DZ166" s="1163"/>
      <c r="EA166" s="1163"/>
      <c r="EB166" s="1163"/>
      <c r="EC166" s="1163"/>
      <c r="ED166" s="1163"/>
      <c r="EE166" s="1119">
        <f t="shared" si="73"/>
        <v>0</v>
      </c>
      <c r="EF166" s="443">
        <f t="shared" si="49"/>
        <v>0</v>
      </c>
      <c r="EG166" s="355">
        <f t="shared" si="50"/>
        <v>0</v>
      </c>
      <c r="EH166" s="443">
        <f t="shared" si="65"/>
        <v>0</v>
      </c>
      <c r="EI166" s="443">
        <f t="shared" si="65"/>
        <v>0</v>
      </c>
    </row>
    <row r="167" spans="1:156" ht="15.5" outlineLevel="2">
      <c r="A167" s="367" t="s">
        <v>39</v>
      </c>
      <c r="B167" s="378"/>
      <c r="C167" s="370" t="s">
        <v>358</v>
      </c>
      <c r="D167" s="370" t="s">
        <v>108</v>
      </c>
      <c r="E167" s="383" t="s">
        <v>243</v>
      </c>
      <c r="F167" s="380">
        <v>3000019640</v>
      </c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7"/>
      <c r="T167" s="179"/>
      <c r="U167" s="178"/>
      <c r="V167" s="9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518"/>
      <c r="AH167" s="788"/>
      <c r="AI167" s="789"/>
      <c r="AJ167" s="517"/>
      <c r="AK167" s="518"/>
      <c r="AL167" s="518"/>
      <c r="AM167" s="518"/>
      <c r="AN167" s="518"/>
      <c r="AO167" s="518"/>
      <c r="AP167" s="518"/>
      <c r="AQ167" s="518"/>
      <c r="AR167" s="518"/>
      <c r="AS167" s="518"/>
      <c r="AT167" s="518"/>
      <c r="AU167" s="518"/>
      <c r="AV167" s="518"/>
      <c r="AW167" s="518"/>
      <c r="AX167" s="518"/>
      <c r="AY167" s="788"/>
      <c r="AZ167" s="789"/>
      <c r="BA167" s="517"/>
      <c r="BB167" s="518"/>
      <c r="BC167" s="518"/>
      <c r="BD167" s="518"/>
      <c r="BE167" s="518"/>
      <c r="BF167" s="518"/>
      <c r="BG167" s="518"/>
      <c r="BH167" s="518"/>
      <c r="BI167" s="518"/>
      <c r="BJ167" s="518"/>
      <c r="BK167" s="518"/>
      <c r="BL167" s="518"/>
      <c r="BN167" s="516"/>
      <c r="BO167" s="517"/>
      <c r="BP167" s="518"/>
      <c r="BQ167" s="518"/>
      <c r="BR167" s="518"/>
      <c r="BS167" s="518"/>
      <c r="BT167" s="518"/>
      <c r="BU167" s="518"/>
      <c r="BV167" s="518"/>
      <c r="BW167" s="518"/>
      <c r="BX167" s="518"/>
      <c r="BY167" s="518"/>
      <c r="BZ167" s="791">
        <v>0</v>
      </c>
      <c r="CB167" s="516"/>
      <c r="CC167" s="517"/>
      <c r="CD167" s="518"/>
      <c r="CE167" s="518"/>
      <c r="CF167" s="518"/>
      <c r="CG167" s="518"/>
      <c r="CH167" s="518"/>
      <c r="CI167" s="518"/>
      <c r="CJ167" s="518"/>
      <c r="CK167" s="518"/>
      <c r="CL167" s="518"/>
      <c r="CM167" s="518"/>
      <c r="CN167" s="791">
        <v>0</v>
      </c>
      <c r="CP167" s="647">
        <v>14750000</v>
      </c>
      <c r="CQ167" s="647">
        <v>35550000</v>
      </c>
      <c r="CR167" s="518">
        <v>16000000</v>
      </c>
      <c r="CS167" s="647">
        <v>24550000</v>
      </c>
      <c r="CT167" s="518">
        <v>16000000</v>
      </c>
      <c r="CU167" s="647">
        <v>33900000</v>
      </c>
      <c r="CV167" s="518">
        <v>16000000</v>
      </c>
      <c r="CW167" s="647">
        <v>44750000</v>
      </c>
      <c r="CX167" s="518">
        <v>16000000</v>
      </c>
      <c r="CY167" s="647">
        <v>32900000</v>
      </c>
      <c r="CZ167" s="518">
        <v>16000000</v>
      </c>
      <c r="DA167" s="647">
        <v>22950000</v>
      </c>
      <c r="DB167" s="518">
        <v>16000000</v>
      </c>
      <c r="DC167" s="647">
        <v>24750000</v>
      </c>
      <c r="DD167" s="518">
        <v>16000000</v>
      </c>
      <c r="DE167" s="518"/>
      <c r="DF167" s="518">
        <v>16000000</v>
      </c>
      <c r="DG167" s="748">
        <v>20000000</v>
      </c>
      <c r="DH167" s="518"/>
      <c r="DI167" s="518">
        <v>16000000</v>
      </c>
      <c r="DJ167" s="748">
        <v>20000000</v>
      </c>
      <c r="DK167" s="518"/>
      <c r="DL167" s="518">
        <v>16000000</v>
      </c>
      <c r="DM167" s="748">
        <v>20000000</v>
      </c>
      <c r="DN167" s="518"/>
      <c r="DO167" s="518">
        <v>16000000</v>
      </c>
      <c r="DP167" s="748">
        <v>20000000</v>
      </c>
      <c r="DQ167" s="493">
        <f t="shared" si="74"/>
        <v>298100000</v>
      </c>
      <c r="DR167" s="479">
        <f t="shared" si="75"/>
        <v>314100000</v>
      </c>
      <c r="DS167" s="1163">
        <v>30000000</v>
      </c>
      <c r="DT167" s="1163">
        <v>30000000</v>
      </c>
      <c r="DU167" s="1163">
        <v>30000000</v>
      </c>
      <c r="DV167" s="1163">
        <v>30000000</v>
      </c>
      <c r="DW167" s="1163">
        <v>30000000</v>
      </c>
      <c r="DX167" s="1163">
        <v>30000000</v>
      </c>
      <c r="DY167" s="1163">
        <v>30000000</v>
      </c>
      <c r="DZ167" s="1163">
        <v>30000000</v>
      </c>
      <c r="EA167" s="1163">
        <v>30000000</v>
      </c>
      <c r="EB167" s="1163">
        <v>30000000</v>
      </c>
      <c r="EC167" s="1163">
        <v>30000000</v>
      </c>
      <c r="ED167" s="1163">
        <v>30000000</v>
      </c>
      <c r="EE167" s="1119">
        <f t="shared" si="73"/>
        <v>360000000</v>
      </c>
      <c r="EF167" s="443">
        <f t="shared" si="49"/>
        <v>421200000</v>
      </c>
      <c r="EG167" s="355">
        <f t="shared" si="50"/>
        <v>454896000.00000006</v>
      </c>
      <c r="EH167" s="443">
        <f t="shared" si="65"/>
        <v>495836640.00000012</v>
      </c>
      <c r="EI167" s="443">
        <f t="shared" si="65"/>
        <v>540461937.60000014</v>
      </c>
    </row>
    <row r="168" spans="1:156" ht="15.5" outlineLevel="2">
      <c r="A168" s="367" t="s">
        <v>39</v>
      </c>
      <c r="B168" s="378"/>
      <c r="C168" s="370" t="s">
        <v>358</v>
      </c>
      <c r="D168" s="370" t="s">
        <v>108</v>
      </c>
      <c r="E168" s="383" t="s">
        <v>479</v>
      </c>
      <c r="F168" s="380">
        <v>3211070000</v>
      </c>
      <c r="G168" s="180"/>
      <c r="H168" s="180"/>
      <c r="I168" s="180"/>
      <c r="J168" s="180"/>
      <c r="K168" s="180"/>
      <c r="L168" s="180"/>
      <c r="M168" s="180"/>
      <c r="N168" s="180"/>
      <c r="O168" s="180"/>
      <c r="P168" s="180"/>
      <c r="Q168" s="180"/>
      <c r="R168" s="180"/>
      <c r="S168" s="6"/>
      <c r="T168" s="181"/>
      <c r="U168" s="180"/>
      <c r="V168" s="9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181"/>
      <c r="AI168" s="180"/>
      <c r="AJ168" s="517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518">
        <f>SUM(AI168,AJ168,AK168,AL168,AM168,AN168,AO168,AP168,AQ168,AR168,AS168,AT168)</f>
        <v>0</v>
      </c>
      <c r="AY168" s="181"/>
      <c r="AZ168" s="180"/>
      <c r="BA168" s="517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N168" s="19"/>
      <c r="BO168" s="517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799"/>
      <c r="CB168" s="19"/>
      <c r="CC168" s="517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P168" s="649"/>
      <c r="CQ168" s="649"/>
      <c r="CR168" s="609"/>
      <c r="CS168" s="985"/>
      <c r="CT168" s="986"/>
      <c r="CU168" s="985">
        <v>6600000</v>
      </c>
      <c r="CV168" s="986"/>
      <c r="CW168" s="985">
        <v>33000000</v>
      </c>
      <c r="CX168" s="986"/>
      <c r="CY168" s="985">
        <v>39600000</v>
      </c>
      <c r="CZ168" s="986"/>
      <c r="DA168" s="985">
        <v>44900000</v>
      </c>
      <c r="DB168" s="986"/>
      <c r="DC168" s="985">
        <v>40500000</v>
      </c>
      <c r="DD168" s="609"/>
      <c r="DE168" s="518"/>
      <c r="DF168" s="609"/>
      <c r="DG168" s="750"/>
      <c r="DH168" s="518"/>
      <c r="DI168" s="609"/>
      <c r="DJ168" s="750"/>
      <c r="DK168" s="518"/>
      <c r="DL168" s="609"/>
      <c r="DM168" s="750"/>
      <c r="DN168" s="518"/>
      <c r="DO168" s="609"/>
      <c r="DP168" s="750"/>
      <c r="DQ168" s="493">
        <f t="shared" si="74"/>
        <v>164600000</v>
      </c>
      <c r="DR168" s="479">
        <f t="shared" si="75"/>
        <v>164600000</v>
      </c>
      <c r="DS168" s="1162"/>
      <c r="DT168" s="1162"/>
      <c r="DU168" s="1162"/>
      <c r="DV168" s="1162"/>
      <c r="DW168" s="1162"/>
      <c r="DX168" s="1162"/>
      <c r="DY168" s="1162"/>
      <c r="DZ168" s="1162"/>
      <c r="EA168" s="1162"/>
      <c r="EB168" s="1162"/>
      <c r="EC168" s="1162"/>
      <c r="ED168" s="1162"/>
      <c r="EE168" s="1119">
        <f t="shared" si="73"/>
        <v>0</v>
      </c>
      <c r="EF168" s="443">
        <f t="shared" si="49"/>
        <v>0</v>
      </c>
      <c r="EG168" s="355">
        <f t="shared" si="50"/>
        <v>0</v>
      </c>
      <c r="EH168" s="443">
        <f t="shared" si="65"/>
        <v>0</v>
      </c>
      <c r="EI168" s="443">
        <f t="shared" si="65"/>
        <v>0</v>
      </c>
    </row>
    <row r="169" spans="1:156" ht="15.5" outlineLevel="2">
      <c r="A169" s="367" t="s">
        <v>39</v>
      </c>
      <c r="B169" s="378"/>
      <c r="C169" s="370" t="s">
        <v>358</v>
      </c>
      <c r="D169" s="370" t="s">
        <v>108</v>
      </c>
      <c r="E169" s="383" t="s">
        <v>480</v>
      </c>
      <c r="F169" s="380">
        <v>3211020000</v>
      </c>
      <c r="G169" s="180"/>
      <c r="H169" s="180"/>
      <c r="I169" s="180"/>
      <c r="J169" s="180"/>
      <c r="K169" s="180"/>
      <c r="L169" s="180"/>
      <c r="M169" s="180"/>
      <c r="N169" s="180"/>
      <c r="O169" s="180"/>
      <c r="P169" s="180"/>
      <c r="Q169" s="180"/>
      <c r="R169" s="180"/>
      <c r="S169" s="6"/>
      <c r="T169" s="181"/>
      <c r="U169" s="180"/>
      <c r="V169" s="9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181"/>
      <c r="AI169" s="180"/>
      <c r="AJ169" s="517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518">
        <f>SUM(AI169,AJ169,AK169,AL169,AM169,AN169,AO169,AP169,AQ169,AR169,AS169,AT169)</f>
        <v>0</v>
      </c>
      <c r="AY169" s="181"/>
      <c r="AZ169" s="180"/>
      <c r="BA169" s="517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N169" s="19"/>
      <c r="BO169" s="517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799"/>
      <c r="CB169" s="19"/>
      <c r="CC169" s="517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P169" s="649"/>
      <c r="CQ169" s="649"/>
      <c r="CR169" s="609"/>
      <c r="CS169" s="985"/>
      <c r="CT169" s="986"/>
      <c r="CU169" s="985">
        <v>1750000</v>
      </c>
      <c r="CV169" s="986"/>
      <c r="CW169" s="985"/>
      <c r="CX169" s="986"/>
      <c r="CY169" s="985"/>
      <c r="CZ169" s="986"/>
      <c r="DA169" s="985"/>
      <c r="DB169" s="986"/>
      <c r="DC169" s="985">
        <v>0</v>
      </c>
      <c r="DD169" s="609"/>
      <c r="DE169" s="518"/>
      <c r="DF169" s="609"/>
      <c r="DG169" s="750"/>
      <c r="DH169" s="518"/>
      <c r="DI169" s="609"/>
      <c r="DJ169" s="750"/>
      <c r="DK169" s="518"/>
      <c r="DL169" s="609"/>
      <c r="DM169" s="750"/>
      <c r="DN169" s="518"/>
      <c r="DO169" s="609"/>
      <c r="DP169" s="750"/>
      <c r="DQ169" s="493">
        <f t="shared" si="74"/>
        <v>1750000</v>
      </c>
      <c r="DR169" s="479">
        <f t="shared" si="75"/>
        <v>1750000</v>
      </c>
      <c r="DS169" s="1162"/>
      <c r="DT169" s="1162"/>
      <c r="DU169" s="1162"/>
      <c r="DV169" s="1162"/>
      <c r="DW169" s="1162"/>
      <c r="DX169" s="1162"/>
      <c r="DY169" s="1162"/>
      <c r="DZ169" s="1162"/>
      <c r="EA169" s="1162"/>
      <c r="EB169" s="1162"/>
      <c r="EC169" s="1162"/>
      <c r="ED169" s="1162"/>
      <c r="EE169" s="1119">
        <f t="shared" si="73"/>
        <v>0</v>
      </c>
      <c r="EF169" s="443">
        <f t="shared" si="49"/>
        <v>0</v>
      </c>
      <c r="EG169" s="355">
        <f t="shared" si="50"/>
        <v>0</v>
      </c>
      <c r="EH169" s="443">
        <f t="shared" si="65"/>
        <v>0</v>
      </c>
      <c r="EI169" s="443">
        <f t="shared" si="65"/>
        <v>0</v>
      </c>
    </row>
    <row r="170" spans="1:156" ht="15.5" outlineLevel="2">
      <c r="A170" s="367" t="s">
        <v>59</v>
      </c>
      <c r="B170" s="378"/>
      <c r="C170" s="370" t="s">
        <v>358</v>
      </c>
      <c r="D170" s="370" t="s">
        <v>108</v>
      </c>
      <c r="E170" s="383" t="s">
        <v>481</v>
      </c>
      <c r="F170" s="380" t="s">
        <v>482</v>
      </c>
      <c r="G170" s="180"/>
      <c r="H170" s="180"/>
      <c r="I170" s="180"/>
      <c r="J170" s="180"/>
      <c r="K170" s="180"/>
      <c r="L170" s="180"/>
      <c r="M170" s="180"/>
      <c r="N170" s="180"/>
      <c r="O170" s="180"/>
      <c r="P170" s="180"/>
      <c r="Q170" s="180"/>
      <c r="R170" s="180"/>
      <c r="S170" s="6"/>
      <c r="T170" s="181"/>
      <c r="U170" s="180"/>
      <c r="V170" s="9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181"/>
      <c r="AI170" s="180"/>
      <c r="AJ170" s="517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518"/>
      <c r="AY170" s="181"/>
      <c r="AZ170" s="180"/>
      <c r="BA170" s="517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N170" s="19"/>
      <c r="BO170" s="517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799"/>
      <c r="CB170" s="19"/>
      <c r="CC170" s="517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P170" s="649"/>
      <c r="CQ170" s="649"/>
      <c r="CR170" s="609"/>
      <c r="CS170" s="985"/>
      <c r="CT170" s="986"/>
      <c r="CU170" s="985"/>
      <c r="CV170" s="986"/>
      <c r="CW170" s="985"/>
      <c r="CX170" s="986"/>
      <c r="CY170" s="985">
        <v>2706912</v>
      </c>
      <c r="CZ170" s="986"/>
      <c r="DA170" s="985">
        <v>24096096</v>
      </c>
      <c r="DB170" s="986"/>
      <c r="DC170" s="985">
        <v>104071486</v>
      </c>
      <c r="DD170" s="609"/>
      <c r="DE170" s="518"/>
      <c r="DF170" s="609"/>
      <c r="DG170" s="750"/>
      <c r="DH170" s="518"/>
      <c r="DI170" s="609"/>
      <c r="DJ170" s="750"/>
      <c r="DK170" s="518"/>
      <c r="DL170" s="609"/>
      <c r="DM170" s="750"/>
      <c r="DN170" s="518"/>
      <c r="DO170" s="609"/>
      <c r="DP170" s="750"/>
      <c r="DQ170" s="493">
        <f t="shared" si="74"/>
        <v>130874494</v>
      </c>
      <c r="DR170" s="479">
        <f t="shared" si="75"/>
        <v>130874494</v>
      </c>
      <c r="DS170" s="1162">
        <v>100000000</v>
      </c>
      <c r="DT170" s="1162">
        <v>100000000</v>
      </c>
      <c r="DU170" s="1162">
        <v>100000000</v>
      </c>
      <c r="DV170" s="1162">
        <v>100000000</v>
      </c>
      <c r="DW170" s="1162">
        <v>100000000</v>
      </c>
      <c r="DX170" s="1162">
        <v>150000000</v>
      </c>
      <c r="DY170" s="1162">
        <v>150000000</v>
      </c>
      <c r="DZ170" s="1162">
        <v>150000000</v>
      </c>
      <c r="EA170" s="1162">
        <v>150000000</v>
      </c>
      <c r="EB170" s="1162">
        <v>150000000</v>
      </c>
      <c r="EC170" s="1162">
        <v>150000000</v>
      </c>
      <c r="ED170" s="1162">
        <v>150000000</v>
      </c>
      <c r="EE170" s="1119">
        <f t="shared" si="73"/>
        <v>1550000000</v>
      </c>
      <c r="EF170" s="443">
        <f t="shared" si="49"/>
        <v>1813500000</v>
      </c>
      <c r="EG170" s="355">
        <f t="shared" si="50"/>
        <v>1958580000.0000002</v>
      </c>
      <c r="EH170" s="443">
        <f t="shared" si="65"/>
        <v>2134852200.0000005</v>
      </c>
      <c r="EI170" s="443">
        <f t="shared" si="65"/>
        <v>2326988898.0000005</v>
      </c>
    </row>
    <row r="171" spans="1:156" ht="15.5" outlineLevel="2">
      <c r="A171" s="367" t="s">
        <v>39</v>
      </c>
      <c r="B171" s="378"/>
      <c r="C171" s="370" t="s">
        <v>358</v>
      </c>
      <c r="D171" s="370" t="s">
        <v>108</v>
      </c>
      <c r="E171" s="383" t="s">
        <v>483</v>
      </c>
      <c r="F171" s="380" t="s">
        <v>484</v>
      </c>
      <c r="G171" s="180"/>
      <c r="H171" s="180"/>
      <c r="I171" s="180"/>
      <c r="J171" s="180"/>
      <c r="K171" s="180"/>
      <c r="L171" s="180"/>
      <c r="M171" s="180"/>
      <c r="N171" s="180"/>
      <c r="O171" s="180"/>
      <c r="P171" s="180"/>
      <c r="Q171" s="180"/>
      <c r="R171" s="180"/>
      <c r="S171" s="6"/>
      <c r="T171" s="181"/>
      <c r="U171" s="180"/>
      <c r="V171" s="9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181"/>
      <c r="AI171" s="180"/>
      <c r="AJ171" s="517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518"/>
      <c r="AY171" s="181"/>
      <c r="AZ171" s="180"/>
      <c r="BA171" s="517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N171" s="19"/>
      <c r="BO171" s="517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799"/>
      <c r="CB171" s="19"/>
      <c r="CC171" s="517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P171" s="649"/>
      <c r="CQ171" s="649"/>
      <c r="CR171" s="609"/>
      <c r="CS171" s="985"/>
      <c r="CT171" s="986"/>
      <c r="CU171" s="985"/>
      <c r="CV171" s="986"/>
      <c r="CW171" s="985"/>
      <c r="CX171" s="986"/>
      <c r="CY171" s="985"/>
      <c r="CZ171" s="986"/>
      <c r="DA171" s="985"/>
      <c r="DB171" s="986"/>
      <c r="DC171" s="985">
        <v>6800000</v>
      </c>
      <c r="DD171" s="609"/>
      <c r="DE171" s="518"/>
      <c r="DF171" s="609"/>
      <c r="DG171" s="750"/>
      <c r="DH171" s="518"/>
      <c r="DI171" s="609"/>
      <c r="DJ171" s="750"/>
      <c r="DK171" s="518"/>
      <c r="DL171" s="609"/>
      <c r="DM171" s="750"/>
      <c r="DN171" s="518"/>
      <c r="DO171" s="609"/>
      <c r="DP171" s="750"/>
      <c r="DQ171" s="493">
        <f t="shared" si="74"/>
        <v>6800000</v>
      </c>
      <c r="DR171" s="479">
        <f t="shared" si="75"/>
        <v>6800000</v>
      </c>
      <c r="DS171" s="1162"/>
      <c r="DT171" s="1162"/>
      <c r="DU171" s="1162"/>
      <c r="DV171" s="1162"/>
      <c r="DW171" s="1162"/>
      <c r="DX171" s="1162"/>
      <c r="DY171" s="1162"/>
      <c r="DZ171" s="1162"/>
      <c r="EA171" s="1162"/>
      <c r="EB171" s="1162"/>
      <c r="EC171" s="1162"/>
      <c r="ED171" s="1162"/>
      <c r="EE171" s="1119">
        <f t="shared" si="73"/>
        <v>0</v>
      </c>
      <c r="EF171" s="443">
        <f t="shared" si="49"/>
        <v>0</v>
      </c>
      <c r="EG171" s="355">
        <f t="shared" si="50"/>
        <v>0</v>
      </c>
      <c r="EH171" s="443">
        <f t="shared" si="65"/>
        <v>0</v>
      </c>
      <c r="EI171" s="443">
        <f t="shared" si="65"/>
        <v>0</v>
      </c>
    </row>
    <row r="172" spans="1:156" ht="15.5" outlineLevel="2">
      <c r="A172" s="367" t="s">
        <v>43</v>
      </c>
      <c r="B172" s="378"/>
      <c r="C172" s="370" t="s">
        <v>358</v>
      </c>
      <c r="D172" s="370" t="s">
        <v>108</v>
      </c>
      <c r="E172" s="383" t="s">
        <v>485</v>
      </c>
      <c r="F172" s="380">
        <v>3000015702</v>
      </c>
      <c r="G172" s="180"/>
      <c r="H172" s="180"/>
      <c r="I172" s="180"/>
      <c r="J172" s="180"/>
      <c r="K172" s="180"/>
      <c r="L172" s="180"/>
      <c r="M172" s="180"/>
      <c r="N172" s="180"/>
      <c r="O172" s="180"/>
      <c r="P172" s="180"/>
      <c r="Q172" s="180"/>
      <c r="R172" s="180"/>
      <c r="S172" s="6"/>
      <c r="T172" s="181"/>
      <c r="U172" s="180"/>
      <c r="V172" s="9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181"/>
      <c r="AI172" s="180"/>
      <c r="AJ172" s="517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518">
        <f>SUM(AI172,AJ172,AK172,AL172,AM172,AN172,AO172,AP172,AQ172,AR172,AS172,AT172)</f>
        <v>0</v>
      </c>
      <c r="AY172" s="181"/>
      <c r="AZ172" s="180"/>
      <c r="BA172" s="517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N172" s="19"/>
      <c r="BO172" s="517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799"/>
      <c r="CB172" s="19"/>
      <c r="CC172" s="517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P172" s="649"/>
      <c r="CQ172" s="649"/>
      <c r="CR172" s="609"/>
      <c r="CS172" s="985">
        <v>1900000</v>
      </c>
      <c r="CT172" s="986"/>
      <c r="CU172" s="985">
        <v>530000</v>
      </c>
      <c r="CV172" s="986">
        <v>1900000</v>
      </c>
      <c r="CW172" s="985"/>
      <c r="CX172" s="986">
        <v>1900000</v>
      </c>
      <c r="CY172" s="985"/>
      <c r="CZ172" s="986">
        <v>1900000</v>
      </c>
      <c r="DA172" s="985"/>
      <c r="DB172" s="986">
        <v>1900000</v>
      </c>
      <c r="DC172" s="985">
        <v>0</v>
      </c>
      <c r="DD172" s="609">
        <v>1900000</v>
      </c>
      <c r="DE172" s="518"/>
      <c r="DF172" s="609">
        <v>1900000</v>
      </c>
      <c r="DG172" s="748">
        <v>1900000</v>
      </c>
      <c r="DH172" s="518"/>
      <c r="DI172" s="609">
        <v>1900000</v>
      </c>
      <c r="DJ172" s="748">
        <v>1900000</v>
      </c>
      <c r="DK172" s="518"/>
      <c r="DL172" s="609">
        <v>1900000</v>
      </c>
      <c r="DM172" s="748">
        <v>1900000</v>
      </c>
      <c r="DN172" s="518"/>
      <c r="DO172" s="609">
        <v>1900000</v>
      </c>
      <c r="DP172" s="748">
        <v>1900000</v>
      </c>
      <c r="DQ172" s="493">
        <f t="shared" si="74"/>
        <v>10030000</v>
      </c>
      <c r="DR172" s="479">
        <f t="shared" si="75"/>
        <v>10030000</v>
      </c>
      <c r="DS172" s="1162"/>
      <c r="DT172" s="1162"/>
      <c r="DU172" s="1162"/>
      <c r="DV172" s="1162"/>
      <c r="DW172" s="1162"/>
      <c r="DX172" s="1162"/>
      <c r="DY172" s="1162"/>
      <c r="DZ172" s="1162"/>
      <c r="EA172" s="1162"/>
      <c r="EB172" s="1162"/>
      <c r="EC172" s="1162"/>
      <c r="ED172" s="1162"/>
      <c r="EE172" s="1119">
        <f t="shared" si="73"/>
        <v>0</v>
      </c>
      <c r="EF172" s="443">
        <f t="shared" si="49"/>
        <v>0</v>
      </c>
      <c r="EG172" s="355">
        <f t="shared" si="50"/>
        <v>0</v>
      </c>
      <c r="EH172" s="443">
        <f t="shared" si="65"/>
        <v>0</v>
      </c>
      <c r="EI172" s="443">
        <f t="shared" si="65"/>
        <v>0</v>
      </c>
    </row>
    <row r="173" spans="1:156" ht="15.5" outlineLevel="2">
      <c r="A173" s="367" t="s">
        <v>39</v>
      </c>
      <c r="B173" s="378"/>
      <c r="C173" s="370" t="s">
        <v>358</v>
      </c>
      <c r="D173" s="370" t="s">
        <v>108</v>
      </c>
      <c r="E173" s="383" t="s">
        <v>486</v>
      </c>
      <c r="F173" s="380">
        <v>3211010000</v>
      </c>
      <c r="G173" s="180"/>
      <c r="H173" s="180"/>
      <c r="I173" s="180"/>
      <c r="J173" s="180"/>
      <c r="K173" s="180"/>
      <c r="L173" s="180"/>
      <c r="M173" s="180"/>
      <c r="N173" s="180"/>
      <c r="O173" s="180"/>
      <c r="P173" s="180"/>
      <c r="Q173" s="180"/>
      <c r="R173" s="180"/>
      <c r="S173" s="6"/>
      <c r="T173" s="181"/>
      <c r="U173" s="180"/>
      <c r="V173" s="9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181"/>
      <c r="AI173" s="180"/>
      <c r="AJ173" s="517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518">
        <f>SUM(AI173,AJ173,AK173,AL173,AM173,AN173,AO173,AP173,AQ173,AR173,AS173,AT173)</f>
        <v>0</v>
      </c>
      <c r="AY173" s="181"/>
      <c r="AZ173" s="180"/>
      <c r="BA173" s="517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N173" s="19"/>
      <c r="BO173" s="517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799"/>
      <c r="CB173" s="19"/>
      <c r="CC173" s="517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P173" s="649"/>
      <c r="CQ173" s="649"/>
      <c r="CR173" s="609"/>
      <c r="CS173" s="985"/>
      <c r="CT173" s="986"/>
      <c r="CU173" s="985">
        <v>2500000</v>
      </c>
      <c r="CV173" s="986"/>
      <c r="CW173" s="985">
        <v>2500000</v>
      </c>
      <c r="CX173" s="986"/>
      <c r="CY173" s="985"/>
      <c r="CZ173" s="986"/>
      <c r="DA173" s="985"/>
      <c r="DB173" s="986"/>
      <c r="DC173" s="985">
        <v>3000000</v>
      </c>
      <c r="DD173" s="609"/>
      <c r="DE173" s="518"/>
      <c r="DF173" s="609"/>
      <c r="DG173" s="750"/>
      <c r="DH173" s="518"/>
      <c r="DI173" s="609"/>
      <c r="DJ173" s="750"/>
      <c r="DK173" s="518"/>
      <c r="DL173" s="609"/>
      <c r="DM173" s="750"/>
      <c r="DN173" s="518"/>
      <c r="DO173" s="609"/>
      <c r="DP173" s="750"/>
      <c r="DQ173" s="493">
        <f t="shared" si="74"/>
        <v>8000000</v>
      </c>
      <c r="DR173" s="479">
        <f t="shared" si="75"/>
        <v>8000000</v>
      </c>
      <c r="DS173" s="1162"/>
      <c r="DT173" s="1162"/>
      <c r="DU173" s="1162"/>
      <c r="DV173" s="1162"/>
      <c r="DW173" s="1162"/>
      <c r="DX173" s="1162"/>
      <c r="DY173" s="1162"/>
      <c r="DZ173" s="1162"/>
      <c r="EA173" s="1162"/>
      <c r="EB173" s="1162"/>
      <c r="EC173" s="1162"/>
      <c r="ED173" s="1162"/>
      <c r="EE173" s="1119">
        <f t="shared" si="73"/>
        <v>0</v>
      </c>
      <c r="EF173" s="443">
        <f t="shared" si="49"/>
        <v>0</v>
      </c>
      <c r="EG173" s="355">
        <f t="shared" si="50"/>
        <v>0</v>
      </c>
      <c r="EH173" s="443">
        <f t="shared" si="65"/>
        <v>0</v>
      </c>
      <c r="EI173" s="443">
        <f t="shared" si="65"/>
        <v>0</v>
      </c>
    </row>
    <row r="174" spans="1:156" ht="15.5" outlineLevel="2">
      <c r="A174" s="367" t="s">
        <v>39</v>
      </c>
      <c r="B174" s="378"/>
      <c r="C174" s="370" t="s">
        <v>358</v>
      </c>
      <c r="D174" s="370" t="s">
        <v>108</v>
      </c>
      <c r="E174" s="383" t="s">
        <v>63</v>
      </c>
      <c r="F174" s="380">
        <v>3000013310</v>
      </c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7"/>
      <c r="T174" s="179"/>
      <c r="U174" s="178"/>
      <c r="V174" s="9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518"/>
      <c r="AH174" s="788"/>
      <c r="AI174" s="789"/>
      <c r="AJ174" s="517"/>
      <c r="AK174" s="518"/>
      <c r="AL174" s="518"/>
      <c r="AM174" s="518"/>
      <c r="AN174" s="518"/>
      <c r="AO174" s="518"/>
      <c r="AP174" s="518"/>
      <c r="AQ174" s="518"/>
      <c r="AR174" s="518"/>
      <c r="AS174" s="518"/>
      <c r="AT174" s="518"/>
      <c r="AU174" s="518"/>
      <c r="AV174" s="518"/>
      <c r="AW174" s="518"/>
      <c r="AX174" s="518"/>
      <c r="AY174" s="788"/>
      <c r="AZ174" s="789"/>
      <c r="BA174" s="517"/>
      <c r="BB174" s="518"/>
      <c r="BC174" s="518"/>
      <c r="BD174" s="518"/>
      <c r="BE174" s="518"/>
      <c r="BF174" s="518"/>
      <c r="BG174" s="518"/>
      <c r="BH174" s="518"/>
      <c r="BI174" s="518"/>
      <c r="BJ174" s="518"/>
      <c r="BK174" s="518"/>
      <c r="BL174" s="518"/>
      <c r="BN174" s="516"/>
      <c r="BO174" s="517"/>
      <c r="BP174" s="518"/>
      <c r="BQ174" s="518"/>
      <c r="BR174" s="518"/>
      <c r="BS174" s="518"/>
      <c r="BT174" s="518"/>
      <c r="BU174" s="518"/>
      <c r="BV174" s="518"/>
      <c r="BW174" s="518"/>
      <c r="BX174" s="518"/>
      <c r="BY174" s="518"/>
      <c r="BZ174" s="791">
        <v>0</v>
      </c>
      <c r="CB174" s="516"/>
      <c r="CC174" s="517"/>
      <c r="CD174" s="518"/>
      <c r="CE174" s="518"/>
      <c r="CF174" s="518"/>
      <c r="CG174" s="518"/>
      <c r="CH174" s="518"/>
      <c r="CI174" s="518"/>
      <c r="CJ174" s="518"/>
      <c r="CK174" s="518"/>
      <c r="CL174" s="518"/>
      <c r="CM174" s="518"/>
      <c r="CN174" s="791">
        <v>0</v>
      </c>
      <c r="CP174" s="647">
        <v>2000000</v>
      </c>
      <c r="CQ174" s="647"/>
      <c r="CR174" s="518">
        <v>2000000</v>
      </c>
      <c r="CS174" s="647">
        <v>2000000</v>
      </c>
      <c r="CT174" s="518">
        <v>2000000</v>
      </c>
      <c r="CU174" s="647"/>
      <c r="CV174" s="518">
        <v>2000000</v>
      </c>
      <c r="CW174" s="647">
        <v>2000000</v>
      </c>
      <c r="CX174" s="518">
        <v>2000000</v>
      </c>
      <c r="CY174" s="647">
        <v>2000000</v>
      </c>
      <c r="CZ174" s="518">
        <v>2000000</v>
      </c>
      <c r="DA174" s="647">
        <v>4000000</v>
      </c>
      <c r="DB174" s="518">
        <v>2000000</v>
      </c>
      <c r="DC174" s="647">
        <v>0</v>
      </c>
      <c r="DD174" s="518">
        <v>2000000</v>
      </c>
      <c r="DE174" s="518"/>
      <c r="DF174" s="518">
        <v>2000000</v>
      </c>
      <c r="DG174" s="748">
        <v>2000000</v>
      </c>
      <c r="DH174" s="518"/>
      <c r="DI174" s="518">
        <v>2000000</v>
      </c>
      <c r="DJ174" s="748">
        <v>2000000</v>
      </c>
      <c r="DK174" s="518"/>
      <c r="DL174" s="518">
        <v>2000000</v>
      </c>
      <c r="DM174" s="748">
        <v>2000000</v>
      </c>
      <c r="DN174" s="518"/>
      <c r="DO174" s="518">
        <v>2000000</v>
      </c>
      <c r="DP174" s="748">
        <v>2000000</v>
      </c>
      <c r="DQ174" s="493">
        <f t="shared" si="74"/>
        <v>20000000</v>
      </c>
      <c r="DR174" s="479">
        <f t="shared" si="75"/>
        <v>20000000</v>
      </c>
      <c r="DS174" s="1163">
        <v>5000000</v>
      </c>
      <c r="DT174" s="1163">
        <v>5000000</v>
      </c>
      <c r="DU174" s="1163">
        <v>5000000</v>
      </c>
      <c r="DV174" s="1163">
        <v>5000000</v>
      </c>
      <c r="DW174" s="1163">
        <v>5000000</v>
      </c>
      <c r="DX174" s="1163">
        <v>5000000</v>
      </c>
      <c r="DY174" s="1163">
        <v>5000000</v>
      </c>
      <c r="DZ174" s="1163">
        <v>5000000</v>
      </c>
      <c r="EA174" s="1163">
        <v>5000000</v>
      </c>
      <c r="EB174" s="1163">
        <v>5000000</v>
      </c>
      <c r="EC174" s="1163">
        <v>5000000</v>
      </c>
      <c r="ED174" s="1163">
        <v>5000000</v>
      </c>
      <c r="EE174" s="1119">
        <f t="shared" si="73"/>
        <v>60000000</v>
      </c>
      <c r="EF174" s="443">
        <f t="shared" si="49"/>
        <v>70200000</v>
      </c>
      <c r="EG174" s="355">
        <f t="shared" si="50"/>
        <v>75816000</v>
      </c>
      <c r="EH174" s="443">
        <f t="shared" si="65"/>
        <v>82639440</v>
      </c>
      <c r="EI174" s="443">
        <f t="shared" si="65"/>
        <v>90076989.600000009</v>
      </c>
    </row>
    <row r="175" spans="1:156" ht="15.5" outlineLevel="2">
      <c r="A175" s="367" t="s">
        <v>59</v>
      </c>
      <c r="B175" s="378"/>
      <c r="C175" s="370" t="s">
        <v>358</v>
      </c>
      <c r="D175" s="370" t="s">
        <v>108</v>
      </c>
      <c r="E175" s="383" t="s">
        <v>487</v>
      </c>
      <c r="F175" s="380" t="s">
        <v>488</v>
      </c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7"/>
      <c r="T175" s="179"/>
      <c r="U175" s="178"/>
      <c r="V175" s="9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518"/>
      <c r="AH175" s="788"/>
      <c r="AI175" s="789"/>
      <c r="AJ175" s="517"/>
      <c r="AK175" s="518"/>
      <c r="AL175" s="518"/>
      <c r="AM175" s="518"/>
      <c r="AN175" s="518"/>
      <c r="AO175" s="518"/>
      <c r="AP175" s="518"/>
      <c r="AQ175" s="518"/>
      <c r="AR175" s="518"/>
      <c r="AS175" s="518"/>
      <c r="AT175" s="518"/>
      <c r="AU175" s="518"/>
      <c r="AV175" s="518"/>
      <c r="AW175" s="518"/>
      <c r="AX175" s="518"/>
      <c r="AY175" s="788"/>
      <c r="AZ175" s="789"/>
      <c r="BA175" s="517"/>
      <c r="BB175" s="518"/>
      <c r="BC175" s="518"/>
      <c r="BD175" s="518"/>
      <c r="BE175" s="518"/>
      <c r="BF175" s="518"/>
      <c r="BG175" s="518"/>
      <c r="BH175" s="518"/>
      <c r="BI175" s="518"/>
      <c r="BJ175" s="518"/>
      <c r="BK175" s="518"/>
      <c r="BL175" s="518"/>
      <c r="BN175" s="516"/>
      <c r="BO175" s="517"/>
      <c r="BP175" s="518"/>
      <c r="BQ175" s="518"/>
      <c r="BR175" s="518"/>
      <c r="BS175" s="518"/>
      <c r="BT175" s="518"/>
      <c r="BU175" s="518"/>
      <c r="BV175" s="518"/>
      <c r="BW175" s="518"/>
      <c r="BX175" s="518"/>
      <c r="BY175" s="518"/>
      <c r="BZ175" s="791"/>
      <c r="CB175" s="516"/>
      <c r="CC175" s="517"/>
      <c r="CD175" s="518"/>
      <c r="CE175" s="518"/>
      <c r="CF175" s="518"/>
      <c r="CG175" s="518"/>
      <c r="CH175" s="518"/>
      <c r="CI175" s="518"/>
      <c r="CJ175" s="518"/>
      <c r="CK175" s="518"/>
      <c r="CL175" s="518"/>
      <c r="CM175" s="518"/>
      <c r="CN175" s="791"/>
      <c r="CP175" s="647"/>
      <c r="CQ175" s="647">
        <v>29105200</v>
      </c>
      <c r="CR175" s="518">
        <f>10*600000*10</f>
        <v>60000000</v>
      </c>
      <c r="CS175" s="647">
        <v>127369150</v>
      </c>
      <c r="CT175" s="518">
        <v>200000000</v>
      </c>
      <c r="CU175" s="647">
        <v>103271705</v>
      </c>
      <c r="CV175" s="518">
        <v>200000000</v>
      </c>
      <c r="CW175" s="647">
        <v>92988</v>
      </c>
      <c r="CX175" s="518">
        <v>50000000</v>
      </c>
      <c r="CY175" s="647">
        <v>7706910</v>
      </c>
      <c r="CZ175" s="518">
        <v>50000000</v>
      </c>
      <c r="DA175" s="647"/>
      <c r="DB175" s="518">
        <v>50000000</v>
      </c>
      <c r="DC175" s="647">
        <v>0</v>
      </c>
      <c r="DD175" s="518">
        <v>50000000</v>
      </c>
      <c r="DE175" s="518"/>
      <c r="DF175" s="518">
        <v>50000000</v>
      </c>
      <c r="DG175" s="748">
        <v>50000000</v>
      </c>
      <c r="DH175" s="518"/>
      <c r="DI175" s="518">
        <v>50000000</v>
      </c>
      <c r="DJ175" s="748">
        <v>50000000</v>
      </c>
      <c r="DK175" s="518"/>
      <c r="DL175" s="518">
        <v>50000000</v>
      </c>
      <c r="DM175" s="748">
        <v>50000000</v>
      </c>
      <c r="DN175" s="518"/>
      <c r="DO175" s="518">
        <v>50000000</v>
      </c>
      <c r="DP175" s="748">
        <v>50000000</v>
      </c>
      <c r="DQ175" s="493">
        <f t="shared" si="74"/>
        <v>467545953</v>
      </c>
      <c r="DR175" s="479">
        <f t="shared" si="75"/>
        <v>467545953</v>
      </c>
      <c r="DS175" s="1163">
        <v>20000000</v>
      </c>
      <c r="DT175" s="1163">
        <v>20000000</v>
      </c>
      <c r="DU175" s="1163">
        <v>20000000</v>
      </c>
      <c r="DV175" s="1163">
        <v>20000000</v>
      </c>
      <c r="DW175" s="1163">
        <v>20000000</v>
      </c>
      <c r="DX175" s="1163">
        <v>20000000</v>
      </c>
      <c r="DY175" s="1163">
        <v>20000000</v>
      </c>
      <c r="DZ175" s="1163">
        <v>20000000</v>
      </c>
      <c r="EA175" s="1163">
        <v>20000000</v>
      </c>
      <c r="EB175" s="1163">
        <v>20000000</v>
      </c>
      <c r="EC175" s="1163">
        <v>20000000</v>
      </c>
      <c r="ED175" s="1163">
        <v>20000000</v>
      </c>
      <c r="EE175" s="1119">
        <f t="shared" si="73"/>
        <v>240000000</v>
      </c>
      <c r="EF175" s="443">
        <f t="shared" ref="EF175:EF237" si="76">EE175*1.17</f>
        <v>280800000</v>
      </c>
      <c r="EG175" s="355">
        <f t="shared" ref="EG175:EG237" si="77">EF175*1.08</f>
        <v>303264000</v>
      </c>
      <c r="EH175" s="443">
        <f t="shared" si="65"/>
        <v>330557760</v>
      </c>
      <c r="EI175" s="443">
        <f t="shared" si="65"/>
        <v>360307958.40000004</v>
      </c>
    </row>
    <row r="176" spans="1:156" ht="15.5" outlineLevel="2">
      <c r="A176" s="367" t="s">
        <v>59</v>
      </c>
      <c r="B176" s="378"/>
      <c r="C176" s="370" t="s">
        <v>358</v>
      </c>
      <c r="D176" s="370" t="s">
        <v>108</v>
      </c>
      <c r="E176" s="383" t="s">
        <v>489</v>
      </c>
      <c r="F176" s="380" t="s">
        <v>490</v>
      </c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7"/>
      <c r="T176" s="179"/>
      <c r="U176" s="178"/>
      <c r="V176" s="9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518"/>
      <c r="AH176" s="788"/>
      <c r="AI176" s="789"/>
      <c r="AJ176" s="517"/>
      <c r="AK176" s="518"/>
      <c r="AL176" s="518"/>
      <c r="AM176" s="518"/>
      <c r="AN176" s="518"/>
      <c r="AO176" s="518"/>
      <c r="AP176" s="518"/>
      <c r="AQ176" s="518"/>
      <c r="AR176" s="518"/>
      <c r="AS176" s="518"/>
      <c r="AT176" s="518"/>
      <c r="AU176" s="518"/>
      <c r="AV176" s="518"/>
      <c r="AW176" s="518"/>
      <c r="AX176" s="518"/>
      <c r="AY176" s="788"/>
      <c r="AZ176" s="789"/>
      <c r="BA176" s="517"/>
      <c r="BB176" s="518"/>
      <c r="BC176" s="518"/>
      <c r="BD176" s="518"/>
      <c r="BE176" s="518"/>
      <c r="BF176" s="518"/>
      <c r="BG176" s="518"/>
      <c r="BH176" s="518"/>
      <c r="BI176" s="518"/>
      <c r="BJ176" s="518"/>
      <c r="BK176" s="518"/>
      <c r="BL176" s="518"/>
      <c r="BN176" s="516"/>
      <c r="BO176" s="517"/>
      <c r="BP176" s="518"/>
      <c r="BQ176" s="518"/>
      <c r="BR176" s="518"/>
      <c r="BS176" s="518"/>
      <c r="BT176" s="518"/>
      <c r="BU176" s="518"/>
      <c r="BV176" s="518"/>
      <c r="BW176" s="518"/>
      <c r="BX176" s="518"/>
      <c r="BY176" s="518"/>
      <c r="BZ176" s="791"/>
      <c r="CB176" s="516"/>
      <c r="CC176" s="517"/>
      <c r="CD176" s="518"/>
      <c r="CE176" s="518"/>
      <c r="CF176" s="518"/>
      <c r="CG176" s="518"/>
      <c r="CH176" s="518"/>
      <c r="CI176" s="518"/>
      <c r="CJ176" s="518"/>
      <c r="CK176" s="518"/>
      <c r="CL176" s="518"/>
      <c r="CM176" s="518"/>
      <c r="CN176" s="791"/>
      <c r="CP176" s="647"/>
      <c r="CQ176" s="647"/>
      <c r="CR176" s="518"/>
      <c r="CS176" s="647"/>
      <c r="CT176" s="518"/>
      <c r="CU176" s="647">
        <v>11200000</v>
      </c>
      <c r="CV176" s="518">
        <v>12000000</v>
      </c>
      <c r="CW176" s="647">
        <v>11200000</v>
      </c>
      <c r="CX176" s="518">
        <v>15000000</v>
      </c>
      <c r="CY176" s="647">
        <v>11200000</v>
      </c>
      <c r="CZ176" s="518">
        <v>18000000</v>
      </c>
      <c r="DA176" s="647">
        <v>11200000</v>
      </c>
      <c r="DB176" s="518">
        <v>18000000</v>
      </c>
      <c r="DC176" s="647">
        <v>11200000</v>
      </c>
      <c r="DD176" s="518">
        <v>18000000</v>
      </c>
      <c r="DE176" s="518"/>
      <c r="DF176" s="518">
        <v>18000000</v>
      </c>
      <c r="DG176" s="748">
        <v>15000000</v>
      </c>
      <c r="DH176" s="518"/>
      <c r="DI176" s="518">
        <v>18000000</v>
      </c>
      <c r="DJ176" s="748">
        <v>15000000</v>
      </c>
      <c r="DK176" s="518"/>
      <c r="DL176" s="518">
        <v>18000000</v>
      </c>
      <c r="DM176" s="748">
        <v>15000000</v>
      </c>
      <c r="DN176" s="518"/>
      <c r="DO176" s="518">
        <v>18000000</v>
      </c>
      <c r="DP176" s="748">
        <v>15000000</v>
      </c>
      <c r="DQ176" s="493">
        <f t="shared" si="74"/>
        <v>128000000</v>
      </c>
      <c r="DR176" s="479">
        <f t="shared" si="75"/>
        <v>116000000</v>
      </c>
      <c r="DS176" s="1163">
        <v>11200000</v>
      </c>
      <c r="DT176" s="1163">
        <v>11200000</v>
      </c>
      <c r="DU176" s="1163">
        <v>11200000</v>
      </c>
      <c r="DV176" s="1163">
        <v>11200000</v>
      </c>
      <c r="DW176" s="1163">
        <v>11200000</v>
      </c>
      <c r="DX176" s="1163">
        <v>11200000</v>
      </c>
      <c r="DY176" s="1163">
        <v>11200000</v>
      </c>
      <c r="DZ176" s="1163">
        <v>11200000</v>
      </c>
      <c r="EA176" s="1163">
        <v>11200000</v>
      </c>
      <c r="EB176" s="1163">
        <v>11200000</v>
      </c>
      <c r="EC176" s="1163">
        <v>11200000</v>
      </c>
      <c r="ED176" s="1163">
        <v>11200000</v>
      </c>
      <c r="EE176" s="1119">
        <f t="shared" si="73"/>
        <v>134400000</v>
      </c>
      <c r="EF176" s="443">
        <f t="shared" si="76"/>
        <v>157248000</v>
      </c>
      <c r="EG176" s="355">
        <f t="shared" si="77"/>
        <v>169827840</v>
      </c>
      <c r="EH176" s="443">
        <f t="shared" si="65"/>
        <v>185112345.60000002</v>
      </c>
      <c r="EI176" s="443">
        <f t="shared" si="65"/>
        <v>201772456.70400003</v>
      </c>
    </row>
    <row r="177" spans="1:139" ht="15.5" outlineLevel="2">
      <c r="A177" s="367" t="s">
        <v>43</v>
      </c>
      <c r="B177" s="378"/>
      <c r="C177" s="370" t="s">
        <v>358</v>
      </c>
      <c r="D177" s="370" t="s">
        <v>108</v>
      </c>
      <c r="E177" s="383" t="s">
        <v>491</v>
      </c>
      <c r="F177" s="380">
        <v>3000015742</v>
      </c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7"/>
      <c r="T177" s="179"/>
      <c r="U177" s="178"/>
      <c r="V177" s="9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518"/>
      <c r="AH177" s="788"/>
      <c r="AI177" s="789"/>
      <c r="AJ177" s="517"/>
      <c r="AK177" s="518"/>
      <c r="AL177" s="518"/>
      <c r="AM177" s="518"/>
      <c r="AN177" s="518"/>
      <c r="AO177" s="518"/>
      <c r="AP177" s="518"/>
      <c r="AQ177" s="518"/>
      <c r="AR177" s="518"/>
      <c r="AS177" s="518"/>
      <c r="AT177" s="518"/>
      <c r="AU177" s="518"/>
      <c r="AV177" s="518"/>
      <c r="AW177" s="518"/>
      <c r="AX177" s="518"/>
      <c r="AY177" s="788"/>
      <c r="AZ177" s="789"/>
      <c r="BA177" s="517"/>
      <c r="BB177" s="518"/>
      <c r="BC177" s="518"/>
      <c r="BD177" s="518"/>
      <c r="BE177" s="518"/>
      <c r="BF177" s="518"/>
      <c r="BG177" s="518"/>
      <c r="BH177" s="518"/>
      <c r="BI177" s="518"/>
      <c r="BJ177" s="518"/>
      <c r="BK177" s="518"/>
      <c r="BL177" s="518"/>
      <c r="BN177" s="516"/>
      <c r="BO177" s="517"/>
      <c r="BP177" s="518"/>
      <c r="BQ177" s="518"/>
      <c r="BR177" s="518"/>
      <c r="BS177" s="518"/>
      <c r="BT177" s="518"/>
      <c r="BU177" s="518"/>
      <c r="BV177" s="518"/>
      <c r="BW177" s="518"/>
      <c r="BX177" s="518"/>
      <c r="BY177" s="518"/>
      <c r="BZ177" s="791">
        <v>0</v>
      </c>
      <c r="CB177" s="516"/>
      <c r="CC177" s="517"/>
      <c r="CD177" s="518"/>
      <c r="CE177" s="518"/>
      <c r="CF177" s="518"/>
      <c r="CG177" s="518"/>
      <c r="CH177" s="518"/>
      <c r="CI177" s="518"/>
      <c r="CJ177" s="518"/>
      <c r="CK177" s="518"/>
      <c r="CL177" s="518"/>
      <c r="CM177" s="518"/>
      <c r="CN177" s="791">
        <v>0</v>
      </c>
      <c r="CP177" s="647">
        <v>112000000</v>
      </c>
      <c r="CQ177" s="647">
        <v>156000000</v>
      </c>
      <c r="CR177" s="518">
        <v>162000000</v>
      </c>
      <c r="CS177" s="647">
        <v>159500000</v>
      </c>
      <c r="CT177" s="518">
        <v>162000000</v>
      </c>
      <c r="CU177" s="647"/>
      <c r="CV177" s="518"/>
      <c r="CW177" s="647"/>
      <c r="CX177" s="518"/>
      <c r="CY177" s="647"/>
      <c r="CZ177" s="518"/>
      <c r="DA177" s="647"/>
      <c r="DB177" s="518"/>
      <c r="DC177" s="647">
        <v>0</v>
      </c>
      <c r="DD177" s="518"/>
      <c r="DE177" s="518"/>
      <c r="DF177" s="518"/>
      <c r="DG177" s="748"/>
      <c r="DH177" s="518"/>
      <c r="DI177" s="518"/>
      <c r="DJ177" s="748"/>
      <c r="DK177" s="518"/>
      <c r="DL177" s="518"/>
      <c r="DM177" s="748"/>
      <c r="DN177" s="518"/>
      <c r="DO177" s="518"/>
      <c r="DP177" s="748"/>
      <c r="DQ177" s="493">
        <f t="shared" si="74"/>
        <v>427500000</v>
      </c>
      <c r="DR177" s="479">
        <f t="shared" si="75"/>
        <v>427500000</v>
      </c>
      <c r="DS177" s="1163"/>
      <c r="DT177" s="1163"/>
      <c r="DU177" s="1163"/>
      <c r="DV177" s="1163"/>
      <c r="DW177" s="1163"/>
      <c r="DX177" s="1163"/>
      <c r="DY177" s="1163"/>
      <c r="DZ177" s="1163"/>
      <c r="EA177" s="1163"/>
      <c r="EB177" s="1163"/>
      <c r="EC177" s="1163"/>
      <c r="ED177" s="1163"/>
      <c r="EE177" s="1119">
        <f t="shared" si="73"/>
        <v>0</v>
      </c>
      <c r="EF177" s="443">
        <f t="shared" si="76"/>
        <v>0</v>
      </c>
      <c r="EG177" s="355">
        <f t="shared" si="77"/>
        <v>0</v>
      </c>
      <c r="EH177" s="443">
        <f t="shared" si="65"/>
        <v>0</v>
      </c>
      <c r="EI177" s="443">
        <f t="shared" si="65"/>
        <v>0</v>
      </c>
    </row>
    <row r="178" spans="1:139" ht="15.5" outlineLevel="2">
      <c r="A178" s="367" t="s">
        <v>59</v>
      </c>
      <c r="B178" s="378"/>
      <c r="C178" s="370" t="s">
        <v>358</v>
      </c>
      <c r="D178" s="370" t="s">
        <v>108</v>
      </c>
      <c r="E178" s="396" t="s">
        <v>492</v>
      </c>
      <c r="F178" s="380" t="s">
        <v>493</v>
      </c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7"/>
      <c r="T178" s="179"/>
      <c r="U178" s="178"/>
      <c r="V178" s="9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518"/>
      <c r="AH178" s="788"/>
      <c r="AI178" s="789"/>
      <c r="AJ178" s="517"/>
      <c r="AK178" s="518"/>
      <c r="AL178" s="518"/>
      <c r="AM178" s="518"/>
      <c r="AN178" s="518"/>
      <c r="AO178" s="518"/>
      <c r="AP178" s="518"/>
      <c r="AQ178" s="518"/>
      <c r="AR178" s="518"/>
      <c r="AS178" s="518"/>
      <c r="AT178" s="518"/>
      <c r="AU178" s="518"/>
      <c r="AV178" s="518"/>
      <c r="AW178" s="518"/>
      <c r="AX178" s="518"/>
      <c r="AY178" s="788"/>
      <c r="AZ178" s="789"/>
      <c r="BA178" s="517"/>
      <c r="BB178" s="518"/>
      <c r="BC178" s="518"/>
      <c r="BD178" s="518"/>
      <c r="BE178" s="518"/>
      <c r="BF178" s="518"/>
      <c r="BG178" s="518"/>
      <c r="BH178" s="518"/>
      <c r="BI178" s="518"/>
      <c r="BJ178" s="518"/>
      <c r="BK178" s="518"/>
      <c r="BL178" s="518"/>
      <c r="BN178" s="516"/>
      <c r="BO178" s="517"/>
      <c r="BP178" s="518"/>
      <c r="BQ178" s="518"/>
      <c r="BR178" s="518"/>
      <c r="BS178" s="518"/>
      <c r="BT178" s="518"/>
      <c r="BU178" s="518"/>
      <c r="BV178" s="518"/>
      <c r="BW178" s="518"/>
      <c r="BX178" s="518"/>
      <c r="BY178" s="518"/>
      <c r="BZ178" s="791"/>
      <c r="CB178" s="516"/>
      <c r="CC178" s="517"/>
      <c r="CD178" s="518"/>
      <c r="CE178" s="518"/>
      <c r="CF178" s="518"/>
      <c r="CG178" s="518"/>
      <c r="CH178" s="518"/>
      <c r="CI178" s="518"/>
      <c r="CJ178" s="518"/>
      <c r="CK178" s="518"/>
      <c r="CL178" s="518"/>
      <c r="CM178" s="518"/>
      <c r="CN178" s="791"/>
      <c r="CP178" s="647"/>
      <c r="CQ178" s="647"/>
      <c r="CR178" s="518"/>
      <c r="CS178" s="647"/>
      <c r="CT178" s="518"/>
      <c r="CU178" s="647"/>
      <c r="CV178" s="518"/>
      <c r="CW178" s="647"/>
      <c r="CX178" s="518"/>
      <c r="CY178" s="647"/>
      <c r="CZ178" s="518"/>
      <c r="DA178" s="647">
        <v>15727272</v>
      </c>
      <c r="DB178" s="518"/>
      <c r="DC178" s="647">
        <v>0</v>
      </c>
      <c r="DD178" s="518"/>
      <c r="DE178" s="518"/>
      <c r="DF178" s="518"/>
      <c r="DG178" s="748"/>
      <c r="DH178" s="518"/>
      <c r="DI178" s="518"/>
      <c r="DJ178" s="748"/>
      <c r="DK178" s="518"/>
      <c r="DL178" s="518"/>
      <c r="DM178" s="748"/>
      <c r="DN178" s="518"/>
      <c r="DO178" s="518"/>
      <c r="DP178" s="748"/>
      <c r="DQ178" s="493">
        <f t="shared" si="74"/>
        <v>15727272</v>
      </c>
      <c r="DR178" s="479">
        <f t="shared" si="75"/>
        <v>15727272</v>
      </c>
      <c r="DS178" s="1163"/>
      <c r="DT178" s="1163"/>
      <c r="DU178" s="1163"/>
      <c r="DV178" s="1163"/>
      <c r="DW178" s="1163"/>
      <c r="DX178" s="1163"/>
      <c r="DY178" s="1163"/>
      <c r="DZ178" s="1163"/>
      <c r="EA178" s="1163"/>
      <c r="EB178" s="1163"/>
      <c r="EC178" s="1163"/>
      <c r="ED178" s="1163"/>
      <c r="EE178" s="1119">
        <f t="shared" si="73"/>
        <v>0</v>
      </c>
      <c r="EF178" s="443">
        <f t="shared" si="76"/>
        <v>0</v>
      </c>
      <c r="EG178" s="355">
        <f t="shared" si="77"/>
        <v>0</v>
      </c>
      <c r="EH178" s="443">
        <f t="shared" si="65"/>
        <v>0</v>
      </c>
      <c r="EI178" s="443">
        <f t="shared" si="65"/>
        <v>0</v>
      </c>
    </row>
    <row r="179" spans="1:139" ht="15.5" outlineLevel="2">
      <c r="A179" s="367" t="s">
        <v>43</v>
      </c>
      <c r="B179" s="378"/>
      <c r="C179" s="370" t="s">
        <v>358</v>
      </c>
      <c r="D179" s="370" t="s">
        <v>108</v>
      </c>
      <c r="E179" s="383" t="s">
        <v>494</v>
      </c>
      <c r="F179" s="380" t="s">
        <v>495</v>
      </c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7"/>
      <c r="T179" s="179"/>
      <c r="U179" s="178"/>
      <c r="V179" s="9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518"/>
      <c r="AH179" s="788"/>
      <c r="AI179" s="789"/>
      <c r="AJ179" s="517"/>
      <c r="AK179" s="518"/>
      <c r="AL179" s="518"/>
      <c r="AM179" s="518"/>
      <c r="AN179" s="518"/>
      <c r="AO179" s="518"/>
      <c r="AP179" s="518"/>
      <c r="AQ179" s="518"/>
      <c r="AR179" s="518"/>
      <c r="AS179" s="518"/>
      <c r="AT179" s="518"/>
      <c r="AU179" s="518"/>
      <c r="AV179" s="518"/>
      <c r="AW179" s="518"/>
      <c r="AX179" s="518"/>
      <c r="AY179" s="788"/>
      <c r="AZ179" s="789"/>
      <c r="BA179" s="517"/>
      <c r="BB179" s="518"/>
      <c r="BC179" s="518"/>
      <c r="BD179" s="518"/>
      <c r="BE179" s="518"/>
      <c r="BF179" s="518"/>
      <c r="BG179" s="518"/>
      <c r="BH179" s="518"/>
      <c r="BI179" s="518"/>
      <c r="BJ179" s="518"/>
      <c r="BK179" s="518"/>
      <c r="BL179" s="518"/>
      <c r="BN179" s="516"/>
      <c r="BO179" s="517"/>
      <c r="BP179" s="518"/>
      <c r="BQ179" s="518"/>
      <c r="BR179" s="518"/>
      <c r="BS179" s="518"/>
      <c r="BT179" s="518"/>
      <c r="BU179" s="518"/>
      <c r="BV179" s="518"/>
      <c r="BW179" s="518"/>
      <c r="BX179" s="518"/>
      <c r="BY179" s="518"/>
      <c r="BZ179" s="791"/>
      <c r="CB179" s="516"/>
      <c r="CC179" s="517"/>
      <c r="CD179" s="518"/>
      <c r="CE179" s="518"/>
      <c r="CF179" s="518"/>
      <c r="CG179" s="518"/>
      <c r="CH179" s="518"/>
      <c r="CI179" s="518"/>
      <c r="CJ179" s="518"/>
      <c r="CK179" s="518"/>
      <c r="CL179" s="518"/>
      <c r="CM179" s="518"/>
      <c r="CN179" s="791"/>
      <c r="CP179" s="647"/>
      <c r="CQ179" s="647"/>
      <c r="CR179" s="518"/>
      <c r="CS179" s="647"/>
      <c r="CT179" s="518"/>
      <c r="CU179" s="647"/>
      <c r="CV179" s="518"/>
      <c r="CW179" s="647"/>
      <c r="CX179" s="518"/>
      <c r="CY179" s="647">
        <v>20905000</v>
      </c>
      <c r="CZ179" s="518"/>
      <c r="DA179" s="647">
        <v>58845000</v>
      </c>
      <c r="DB179" s="518"/>
      <c r="DC179" s="647">
        <v>74750000</v>
      </c>
      <c r="DD179" s="518"/>
      <c r="DE179" s="518"/>
      <c r="DF179" s="518"/>
      <c r="DG179" s="748"/>
      <c r="DH179" s="518"/>
      <c r="DI179" s="518"/>
      <c r="DJ179" s="748"/>
      <c r="DK179" s="518"/>
      <c r="DL179" s="518"/>
      <c r="DM179" s="748"/>
      <c r="DN179" s="518"/>
      <c r="DO179" s="518"/>
      <c r="DP179" s="748"/>
      <c r="DQ179" s="493">
        <f t="shared" si="74"/>
        <v>154500000</v>
      </c>
      <c r="DR179" s="479">
        <f t="shared" si="75"/>
        <v>154500000</v>
      </c>
      <c r="DS179" s="1163"/>
      <c r="DT179" s="1163"/>
      <c r="DU179" s="1163"/>
      <c r="DV179" s="1163"/>
      <c r="DW179" s="1163"/>
      <c r="DX179" s="1163"/>
      <c r="DY179" s="1163"/>
      <c r="DZ179" s="1163"/>
      <c r="EA179" s="1163"/>
      <c r="EB179" s="1163"/>
      <c r="EC179" s="1163"/>
      <c r="ED179" s="1163"/>
      <c r="EE179" s="1119">
        <f t="shared" si="73"/>
        <v>0</v>
      </c>
      <c r="EF179" s="443">
        <f t="shared" si="76"/>
        <v>0</v>
      </c>
      <c r="EG179" s="355">
        <f t="shared" si="77"/>
        <v>0</v>
      </c>
      <c r="EH179" s="443">
        <f t="shared" si="65"/>
        <v>0</v>
      </c>
      <c r="EI179" s="443">
        <f t="shared" si="65"/>
        <v>0</v>
      </c>
    </row>
    <row r="180" spans="1:139" ht="15.5" outlineLevel="2">
      <c r="A180" s="367" t="s">
        <v>59</v>
      </c>
      <c r="B180" s="378"/>
      <c r="C180" s="370" t="s">
        <v>358</v>
      </c>
      <c r="D180" s="370" t="s">
        <v>108</v>
      </c>
      <c r="E180" s="383" t="s">
        <v>496</v>
      </c>
      <c r="F180" s="380">
        <v>3000020491</v>
      </c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7"/>
      <c r="T180" s="179"/>
      <c r="U180" s="178"/>
      <c r="V180" s="9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518"/>
      <c r="AH180" s="788"/>
      <c r="AI180" s="789"/>
      <c r="AJ180" s="517"/>
      <c r="AK180" s="518"/>
      <c r="AL180" s="518"/>
      <c r="AM180" s="518"/>
      <c r="AN180" s="518"/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788"/>
      <c r="AZ180" s="789"/>
      <c r="BA180" s="517"/>
      <c r="BB180" s="518"/>
      <c r="BC180" s="518"/>
      <c r="BD180" s="518"/>
      <c r="BE180" s="518"/>
      <c r="BF180" s="518"/>
      <c r="BG180" s="518"/>
      <c r="BH180" s="518"/>
      <c r="BI180" s="518"/>
      <c r="BJ180" s="518"/>
      <c r="BK180" s="518"/>
      <c r="BL180" s="518"/>
      <c r="BN180" s="516"/>
      <c r="BO180" s="517"/>
      <c r="BP180" s="518"/>
      <c r="BQ180" s="518"/>
      <c r="BR180" s="518"/>
      <c r="BS180" s="518"/>
      <c r="BT180" s="518"/>
      <c r="BU180" s="518"/>
      <c r="BV180" s="518"/>
      <c r="BW180" s="518"/>
      <c r="BX180" s="518"/>
      <c r="BY180" s="518"/>
      <c r="BZ180" s="791"/>
      <c r="CB180" s="516"/>
      <c r="CC180" s="517"/>
      <c r="CD180" s="518"/>
      <c r="CE180" s="518"/>
      <c r="CF180" s="518"/>
      <c r="CG180" s="518"/>
      <c r="CH180" s="518"/>
      <c r="CI180" s="518"/>
      <c r="CJ180" s="518"/>
      <c r="CK180" s="518"/>
      <c r="CL180" s="518"/>
      <c r="CM180" s="518"/>
      <c r="CN180" s="791"/>
      <c r="CP180" s="648"/>
      <c r="CQ180" s="648">
        <v>950000</v>
      </c>
      <c r="CR180" s="519"/>
      <c r="CS180" s="648"/>
      <c r="CT180" s="519"/>
      <c r="CU180" s="648"/>
      <c r="CV180" s="519"/>
      <c r="CW180" s="648"/>
      <c r="CX180" s="519"/>
      <c r="CY180" s="648"/>
      <c r="CZ180" s="519"/>
      <c r="DA180" s="648"/>
      <c r="DB180" s="519"/>
      <c r="DC180" s="648">
        <v>0</v>
      </c>
      <c r="DD180" s="519"/>
      <c r="DE180" s="518"/>
      <c r="DF180" s="519"/>
      <c r="DG180" s="749"/>
      <c r="DH180" s="518"/>
      <c r="DI180" s="519"/>
      <c r="DJ180" s="749"/>
      <c r="DK180" s="518"/>
      <c r="DL180" s="519"/>
      <c r="DM180" s="749"/>
      <c r="DN180" s="518"/>
      <c r="DO180" s="519"/>
      <c r="DP180" s="749"/>
      <c r="DQ180" s="493">
        <f t="shared" si="74"/>
        <v>950000</v>
      </c>
      <c r="DR180" s="479">
        <f t="shared" si="75"/>
        <v>950000</v>
      </c>
      <c r="DS180" s="1162"/>
      <c r="DT180" s="1162"/>
      <c r="DU180" s="1162"/>
      <c r="DV180" s="1162"/>
      <c r="DW180" s="1162"/>
      <c r="DX180" s="1162"/>
      <c r="DY180" s="1162"/>
      <c r="DZ180" s="1162"/>
      <c r="EA180" s="1162"/>
      <c r="EB180" s="1162"/>
      <c r="EC180" s="1162"/>
      <c r="ED180" s="1162"/>
      <c r="EE180" s="1119">
        <f t="shared" si="73"/>
        <v>0</v>
      </c>
      <c r="EF180" s="443">
        <f t="shared" si="76"/>
        <v>0</v>
      </c>
      <c r="EG180" s="355">
        <f t="shared" si="77"/>
        <v>0</v>
      </c>
      <c r="EH180" s="443">
        <f t="shared" si="65"/>
        <v>0</v>
      </c>
      <c r="EI180" s="443">
        <f t="shared" si="65"/>
        <v>0</v>
      </c>
    </row>
    <row r="181" spans="1:139" ht="15.5" outlineLevel="2">
      <c r="A181" s="367" t="s">
        <v>43</v>
      </c>
      <c r="B181" s="378"/>
      <c r="C181" s="370" t="s">
        <v>358</v>
      </c>
      <c r="D181" s="370" t="s">
        <v>108</v>
      </c>
      <c r="E181" s="383" t="s">
        <v>497</v>
      </c>
      <c r="F181" s="380">
        <v>3000002182</v>
      </c>
      <c r="G181" s="180"/>
      <c r="H181" s="180"/>
      <c r="I181" s="180"/>
      <c r="J181" s="180"/>
      <c r="K181" s="180"/>
      <c r="L181" s="180"/>
      <c r="M181" s="180"/>
      <c r="N181" s="180"/>
      <c r="O181" s="180"/>
      <c r="P181" s="180"/>
      <c r="Q181" s="180"/>
      <c r="R181" s="180"/>
      <c r="S181" s="6"/>
      <c r="T181" s="181"/>
      <c r="U181" s="180"/>
      <c r="V181" s="9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181"/>
      <c r="AI181" s="180"/>
      <c r="AJ181" s="517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518">
        <f t="shared" ref="AX181:AX188" si="78">SUM(AI181,AJ181,AK181,AL181,AM181,AN181,AO181,AP181,AQ181,AR181,AS181,AT181)</f>
        <v>0</v>
      </c>
      <c r="AY181" s="181"/>
      <c r="AZ181" s="180"/>
      <c r="BA181" s="517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N181" s="19"/>
      <c r="BO181" s="517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799"/>
      <c r="CB181" s="19"/>
      <c r="CC181" s="517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P181" s="649"/>
      <c r="CQ181" s="985">
        <v>6800000</v>
      </c>
      <c r="CR181" s="986">
        <v>15000000</v>
      </c>
      <c r="CS181" s="985">
        <v>13650000</v>
      </c>
      <c r="CT181" s="986">
        <v>70000000</v>
      </c>
      <c r="CU181" s="985">
        <v>11400000</v>
      </c>
      <c r="CV181" s="986">
        <v>30000000</v>
      </c>
      <c r="CW181" s="985"/>
      <c r="CX181" s="986">
        <v>30000000</v>
      </c>
      <c r="CY181" s="985"/>
      <c r="CZ181" s="986">
        <v>50000000</v>
      </c>
      <c r="DA181" s="985"/>
      <c r="DB181" s="986">
        <v>50000000</v>
      </c>
      <c r="DC181" s="985">
        <v>12500000</v>
      </c>
      <c r="DD181" s="609">
        <v>50000000</v>
      </c>
      <c r="DE181" s="518"/>
      <c r="DF181" s="609">
        <v>50000000</v>
      </c>
      <c r="DG181" s="750">
        <v>50000000</v>
      </c>
      <c r="DH181" s="518"/>
      <c r="DI181" s="609">
        <v>50000000</v>
      </c>
      <c r="DJ181" s="750">
        <v>50000000</v>
      </c>
      <c r="DK181" s="518"/>
      <c r="DL181" s="609">
        <v>50000000</v>
      </c>
      <c r="DM181" s="750">
        <v>50000000</v>
      </c>
      <c r="DN181" s="518"/>
      <c r="DO181" s="609">
        <v>50000000</v>
      </c>
      <c r="DP181" s="750">
        <v>50000000</v>
      </c>
      <c r="DQ181" s="493">
        <f t="shared" si="74"/>
        <v>244350000</v>
      </c>
      <c r="DR181" s="479">
        <f t="shared" si="75"/>
        <v>244350000</v>
      </c>
      <c r="DS181" s="1162">
        <v>10000000</v>
      </c>
      <c r="DT181" s="1162">
        <v>10000000</v>
      </c>
      <c r="DU181" s="1162">
        <v>10000000</v>
      </c>
      <c r="DV181" s="1162">
        <v>10000000</v>
      </c>
      <c r="DW181" s="1162">
        <v>10000000</v>
      </c>
      <c r="DX181" s="1162">
        <v>10000000</v>
      </c>
      <c r="DY181" s="1162">
        <v>10000000</v>
      </c>
      <c r="DZ181" s="1162">
        <v>10000000</v>
      </c>
      <c r="EA181" s="1162">
        <v>10000000</v>
      </c>
      <c r="EB181" s="1162">
        <v>10000000</v>
      </c>
      <c r="EC181" s="1162">
        <v>10000000</v>
      </c>
      <c r="ED181" s="1162">
        <v>10000000</v>
      </c>
      <c r="EE181" s="1119">
        <f t="shared" si="73"/>
        <v>120000000</v>
      </c>
      <c r="EF181" s="443">
        <f t="shared" si="76"/>
        <v>140400000</v>
      </c>
      <c r="EG181" s="355">
        <f t="shared" si="77"/>
        <v>151632000</v>
      </c>
      <c r="EH181" s="443">
        <f t="shared" si="65"/>
        <v>165278880</v>
      </c>
      <c r="EI181" s="443">
        <f t="shared" si="65"/>
        <v>180153979.20000002</v>
      </c>
    </row>
    <row r="182" spans="1:139" ht="15.5" outlineLevel="2">
      <c r="A182" s="367" t="s">
        <v>43</v>
      </c>
      <c r="B182" s="378"/>
      <c r="C182" s="370" t="s">
        <v>358</v>
      </c>
      <c r="D182" s="370" t="s">
        <v>108</v>
      </c>
      <c r="E182" s="396" t="s">
        <v>463</v>
      </c>
      <c r="F182" s="380" t="s">
        <v>498</v>
      </c>
      <c r="G182" s="180"/>
      <c r="H182" s="180"/>
      <c r="I182" s="180"/>
      <c r="J182" s="180"/>
      <c r="K182" s="180"/>
      <c r="L182" s="180"/>
      <c r="M182" s="180"/>
      <c r="N182" s="180"/>
      <c r="O182" s="180"/>
      <c r="P182" s="180"/>
      <c r="Q182" s="180"/>
      <c r="R182" s="180"/>
      <c r="S182" s="6"/>
      <c r="T182" s="181"/>
      <c r="U182" s="180"/>
      <c r="V182" s="9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181"/>
      <c r="AI182" s="180"/>
      <c r="AJ182" s="517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518"/>
      <c r="AY182" s="181"/>
      <c r="AZ182" s="180"/>
      <c r="BA182" s="517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N182" s="19"/>
      <c r="BO182" s="517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799"/>
      <c r="CB182" s="19"/>
      <c r="CC182" s="517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P182" s="649"/>
      <c r="CQ182" s="985"/>
      <c r="CR182" s="986"/>
      <c r="CS182" s="985"/>
      <c r="CT182" s="986"/>
      <c r="CU182" s="985"/>
      <c r="CV182" s="986"/>
      <c r="CW182" s="985">
        <v>21872000</v>
      </c>
      <c r="CX182" s="986"/>
      <c r="CY182" s="985">
        <v>112102000</v>
      </c>
      <c r="CZ182" s="986"/>
      <c r="DA182" s="985">
        <v>35237000</v>
      </c>
      <c r="DB182" s="986"/>
      <c r="DC182" s="985">
        <v>117395000</v>
      </c>
      <c r="DD182" s="609"/>
      <c r="DE182" s="751"/>
      <c r="DF182" s="609"/>
      <c r="DG182" s="750"/>
      <c r="DH182" s="751"/>
      <c r="DI182" s="609"/>
      <c r="DJ182" s="750"/>
      <c r="DK182" s="751"/>
      <c r="DL182" s="609"/>
      <c r="DM182" s="750"/>
      <c r="DN182" s="751"/>
      <c r="DO182" s="609"/>
      <c r="DP182" s="750"/>
      <c r="DQ182" s="493">
        <f t="shared" si="74"/>
        <v>286606000</v>
      </c>
      <c r="DR182" s="479">
        <f t="shared" si="75"/>
        <v>286606000</v>
      </c>
      <c r="DS182" s="1162">
        <v>40000000</v>
      </c>
      <c r="DT182" s="1162">
        <v>50000000</v>
      </c>
      <c r="DU182" s="1162">
        <v>70000000</v>
      </c>
      <c r="DV182" s="1162">
        <v>60000000</v>
      </c>
      <c r="DW182" s="1162">
        <v>40000000</v>
      </c>
      <c r="DX182" s="1162">
        <v>40000000</v>
      </c>
      <c r="DY182" s="1162">
        <v>50000000</v>
      </c>
      <c r="DZ182" s="1162">
        <v>50000000</v>
      </c>
      <c r="EA182" s="1162">
        <v>50000000</v>
      </c>
      <c r="EB182" s="1162">
        <v>50000000</v>
      </c>
      <c r="EC182" s="1162">
        <v>50000000</v>
      </c>
      <c r="ED182" s="1162">
        <v>50000000</v>
      </c>
      <c r="EE182" s="1119">
        <f t="shared" si="73"/>
        <v>600000000</v>
      </c>
      <c r="EF182" s="443">
        <f t="shared" si="76"/>
        <v>702000000</v>
      </c>
      <c r="EG182" s="355">
        <f t="shared" si="77"/>
        <v>758160000</v>
      </c>
      <c r="EH182" s="443">
        <f t="shared" si="65"/>
        <v>826394400.00000012</v>
      </c>
      <c r="EI182" s="443">
        <f t="shared" si="65"/>
        <v>900769896.00000024</v>
      </c>
    </row>
    <row r="183" spans="1:139" ht="15.5" outlineLevel="2">
      <c r="A183" s="367" t="s">
        <v>59</v>
      </c>
      <c r="B183" s="378"/>
      <c r="C183" s="370" t="s">
        <v>358</v>
      </c>
      <c r="D183" s="370" t="s">
        <v>108</v>
      </c>
      <c r="E183" s="383" t="s">
        <v>499</v>
      </c>
      <c r="F183" s="380">
        <v>3000020689</v>
      </c>
      <c r="G183" s="180"/>
      <c r="H183" s="180"/>
      <c r="I183" s="180"/>
      <c r="J183" s="180"/>
      <c r="K183" s="180"/>
      <c r="L183" s="180"/>
      <c r="M183" s="180"/>
      <c r="N183" s="180"/>
      <c r="O183" s="180"/>
      <c r="P183" s="180"/>
      <c r="Q183" s="180"/>
      <c r="R183" s="180"/>
      <c r="S183" s="6"/>
      <c r="T183" s="181"/>
      <c r="U183" s="180"/>
      <c r="V183" s="9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181"/>
      <c r="AI183" s="180"/>
      <c r="AJ183" s="517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518">
        <f t="shared" si="78"/>
        <v>0</v>
      </c>
      <c r="AY183" s="181"/>
      <c r="AZ183" s="180"/>
      <c r="BA183" s="517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N183" s="19"/>
      <c r="BO183" s="517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799"/>
      <c r="CB183" s="19"/>
      <c r="CC183" s="517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P183" s="649"/>
      <c r="CQ183" s="985"/>
      <c r="CR183" s="986"/>
      <c r="CS183" s="985">
        <v>2050000</v>
      </c>
      <c r="CT183" s="986"/>
      <c r="CU183" s="985"/>
      <c r="CV183" s="986">
        <v>2050000</v>
      </c>
      <c r="CW183" s="985"/>
      <c r="CX183" s="986">
        <v>2050000</v>
      </c>
      <c r="CY183" s="985"/>
      <c r="CZ183" s="986">
        <v>2050000</v>
      </c>
      <c r="DA183" s="985"/>
      <c r="DB183" s="986">
        <v>2050000</v>
      </c>
      <c r="DC183" s="985">
        <v>0</v>
      </c>
      <c r="DD183" s="609">
        <v>2050000</v>
      </c>
      <c r="DF183" s="609">
        <v>2050000</v>
      </c>
      <c r="DG183" s="748">
        <v>2000000</v>
      </c>
      <c r="DI183" s="609">
        <v>2050000</v>
      </c>
      <c r="DJ183" s="748">
        <v>2000000</v>
      </c>
      <c r="DL183" s="609">
        <v>2050000</v>
      </c>
      <c r="DM183" s="748">
        <v>2000000</v>
      </c>
      <c r="DO183" s="609">
        <v>2050000</v>
      </c>
      <c r="DP183" s="748">
        <v>2000000</v>
      </c>
      <c r="DQ183" s="493">
        <f t="shared" si="74"/>
        <v>10250000</v>
      </c>
      <c r="DR183" s="479">
        <f t="shared" si="75"/>
        <v>10050000</v>
      </c>
      <c r="DS183" s="1162"/>
      <c r="DT183" s="1162"/>
      <c r="DU183" s="1162"/>
      <c r="DV183" s="1162"/>
      <c r="DW183" s="1162"/>
      <c r="DX183" s="1162"/>
      <c r="DY183" s="1162"/>
      <c r="DZ183" s="1162"/>
      <c r="EA183" s="1162"/>
      <c r="EB183" s="1162"/>
      <c r="EC183" s="1162"/>
      <c r="ED183" s="1162"/>
      <c r="EE183" s="1119">
        <f t="shared" si="73"/>
        <v>0</v>
      </c>
      <c r="EF183" s="443">
        <f t="shared" si="76"/>
        <v>0</v>
      </c>
      <c r="EG183" s="355">
        <f t="shared" si="77"/>
        <v>0</v>
      </c>
      <c r="EH183" s="443">
        <f t="shared" si="65"/>
        <v>0</v>
      </c>
      <c r="EI183" s="443">
        <f t="shared" si="65"/>
        <v>0</v>
      </c>
    </row>
    <row r="184" spans="1:139" ht="15.5" outlineLevel="2">
      <c r="A184" s="367" t="s">
        <v>43</v>
      </c>
      <c r="B184" s="378"/>
      <c r="C184" s="370" t="s">
        <v>358</v>
      </c>
      <c r="D184" s="370" t="s">
        <v>108</v>
      </c>
      <c r="E184" s="383" t="s">
        <v>500</v>
      </c>
      <c r="F184" s="380">
        <v>3000014327</v>
      </c>
      <c r="G184" s="180"/>
      <c r="H184" s="180"/>
      <c r="I184" s="180"/>
      <c r="J184" s="180"/>
      <c r="K184" s="180"/>
      <c r="L184" s="180"/>
      <c r="M184" s="180"/>
      <c r="N184" s="180"/>
      <c r="O184" s="180"/>
      <c r="P184" s="180"/>
      <c r="Q184" s="180"/>
      <c r="R184" s="180"/>
      <c r="S184" s="6"/>
      <c r="T184" s="181"/>
      <c r="U184" s="180"/>
      <c r="V184" s="9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181"/>
      <c r="AI184" s="180"/>
      <c r="AJ184" s="517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518">
        <f t="shared" si="78"/>
        <v>0</v>
      </c>
      <c r="AY184" s="181"/>
      <c r="AZ184" s="180"/>
      <c r="BA184" s="517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N184" s="19"/>
      <c r="BO184" s="517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799"/>
      <c r="CB184" s="19"/>
      <c r="CC184" s="517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P184" s="649"/>
      <c r="CQ184" s="985"/>
      <c r="CR184" s="986"/>
      <c r="CS184" s="985">
        <v>5000000</v>
      </c>
      <c r="CT184" s="986"/>
      <c r="CU184" s="985">
        <v>7000000</v>
      </c>
      <c r="CV184" s="986">
        <v>5000000</v>
      </c>
      <c r="CW184" s="985"/>
      <c r="CX184" s="986">
        <v>5000000</v>
      </c>
      <c r="CY184" s="985"/>
      <c r="CZ184" s="986">
        <v>5000000</v>
      </c>
      <c r="DA184" s="985"/>
      <c r="DB184" s="986">
        <v>5000000</v>
      </c>
      <c r="DC184" s="985">
        <v>0</v>
      </c>
      <c r="DD184" s="609">
        <v>5000000</v>
      </c>
      <c r="DE184" s="518"/>
      <c r="DF184" s="609">
        <v>5000000</v>
      </c>
      <c r="DG184" s="748">
        <v>2000000</v>
      </c>
      <c r="DH184" s="518"/>
      <c r="DI184" s="609">
        <v>5000000</v>
      </c>
      <c r="DJ184" s="748">
        <v>2000000</v>
      </c>
      <c r="DK184" s="518"/>
      <c r="DL184" s="609">
        <v>5000000</v>
      </c>
      <c r="DM184" s="748">
        <v>2000000</v>
      </c>
      <c r="DN184" s="518"/>
      <c r="DO184" s="609">
        <v>5000000</v>
      </c>
      <c r="DP184" s="748">
        <v>2000000</v>
      </c>
      <c r="DQ184" s="493">
        <f t="shared" si="74"/>
        <v>32000000</v>
      </c>
      <c r="DR184" s="479">
        <f t="shared" si="75"/>
        <v>20000000</v>
      </c>
      <c r="DS184" s="1162"/>
      <c r="DT184" s="1162"/>
      <c r="DU184" s="1162"/>
      <c r="DV184" s="1162"/>
      <c r="DW184" s="1162"/>
      <c r="DX184" s="1162"/>
      <c r="DY184" s="1162"/>
      <c r="DZ184" s="1162"/>
      <c r="EA184" s="1162"/>
      <c r="EB184" s="1162"/>
      <c r="EC184" s="1162"/>
      <c r="ED184" s="1162"/>
      <c r="EE184" s="1119">
        <f t="shared" si="73"/>
        <v>0</v>
      </c>
      <c r="EF184" s="443">
        <f t="shared" si="76"/>
        <v>0</v>
      </c>
      <c r="EG184" s="355">
        <f t="shared" si="77"/>
        <v>0</v>
      </c>
      <c r="EH184" s="443">
        <f t="shared" si="65"/>
        <v>0</v>
      </c>
      <c r="EI184" s="443">
        <f t="shared" si="65"/>
        <v>0</v>
      </c>
    </row>
    <row r="185" spans="1:139" ht="15.5" outlineLevel="2">
      <c r="A185" s="367" t="s">
        <v>59</v>
      </c>
      <c r="B185" s="378"/>
      <c r="C185" s="370" t="s">
        <v>358</v>
      </c>
      <c r="D185" s="370" t="s">
        <v>108</v>
      </c>
      <c r="E185" s="383" t="s">
        <v>501</v>
      </c>
      <c r="F185" s="380">
        <v>3000020744</v>
      </c>
      <c r="G185" s="180"/>
      <c r="H185" s="180"/>
      <c r="I185" s="180"/>
      <c r="J185" s="180"/>
      <c r="K185" s="180"/>
      <c r="L185" s="180"/>
      <c r="M185" s="180"/>
      <c r="N185" s="180"/>
      <c r="O185" s="180"/>
      <c r="P185" s="180"/>
      <c r="Q185" s="180"/>
      <c r="R185" s="180"/>
      <c r="S185" s="6"/>
      <c r="T185" s="181"/>
      <c r="U185" s="180"/>
      <c r="V185" s="9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181"/>
      <c r="AI185" s="180"/>
      <c r="AJ185" s="517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518">
        <f t="shared" si="78"/>
        <v>0</v>
      </c>
      <c r="AY185" s="181"/>
      <c r="AZ185" s="180"/>
      <c r="BA185" s="517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N185" s="19"/>
      <c r="BO185" s="517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799"/>
      <c r="CB185" s="19"/>
      <c r="CC185" s="517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P185" s="649"/>
      <c r="CQ185" s="985"/>
      <c r="CR185" s="986"/>
      <c r="CS185" s="985">
        <v>7012500</v>
      </c>
      <c r="CT185" s="986"/>
      <c r="CU185" s="985">
        <v>-120000</v>
      </c>
      <c r="CV185" s="986">
        <v>7012500</v>
      </c>
      <c r="CW185" s="985">
        <v>3400000</v>
      </c>
      <c r="CX185" s="986"/>
      <c r="CY185" s="985"/>
      <c r="CZ185" s="986">
        <v>7012500</v>
      </c>
      <c r="DA185" s="985"/>
      <c r="DB185" s="986">
        <v>7012500</v>
      </c>
      <c r="DC185" s="985">
        <v>0</v>
      </c>
      <c r="DD185" s="609">
        <v>7012500</v>
      </c>
      <c r="DE185" s="518"/>
      <c r="DF185" s="609">
        <v>7012500</v>
      </c>
      <c r="DG185" s="748">
        <v>2000000</v>
      </c>
      <c r="DH185" s="518"/>
      <c r="DI185" s="609">
        <v>7012500</v>
      </c>
      <c r="DJ185" s="748">
        <v>2000000</v>
      </c>
      <c r="DK185" s="518"/>
      <c r="DL185" s="609">
        <v>7012500</v>
      </c>
      <c r="DM185" s="748">
        <v>2000000</v>
      </c>
      <c r="DN185" s="518"/>
      <c r="DO185" s="609">
        <v>7012500</v>
      </c>
      <c r="DP185" s="748">
        <v>2000000</v>
      </c>
      <c r="DQ185" s="493">
        <f t="shared" si="74"/>
        <v>38342500</v>
      </c>
      <c r="DR185" s="479">
        <f t="shared" si="75"/>
        <v>18292500</v>
      </c>
      <c r="DS185" s="1162">
        <v>2000000</v>
      </c>
      <c r="DT185" s="1162">
        <v>2000000</v>
      </c>
      <c r="DU185" s="1162">
        <v>2000000</v>
      </c>
      <c r="DV185" s="1162">
        <v>2000000</v>
      </c>
      <c r="DW185" s="1162">
        <v>2000000</v>
      </c>
      <c r="DX185" s="1162">
        <v>2000000</v>
      </c>
      <c r="DY185" s="1162">
        <v>2000000</v>
      </c>
      <c r="DZ185" s="1162">
        <v>2000000</v>
      </c>
      <c r="EA185" s="1162">
        <v>2000000</v>
      </c>
      <c r="EB185" s="1162">
        <v>2000000</v>
      </c>
      <c r="EC185" s="1162">
        <v>2000000</v>
      </c>
      <c r="ED185" s="1162">
        <v>2000000</v>
      </c>
      <c r="EE185" s="1119">
        <f t="shared" si="73"/>
        <v>24000000</v>
      </c>
      <c r="EF185" s="443">
        <f t="shared" si="76"/>
        <v>28080000</v>
      </c>
      <c r="EG185" s="355">
        <f t="shared" si="77"/>
        <v>30326400.000000004</v>
      </c>
      <c r="EH185" s="443">
        <f t="shared" si="65"/>
        <v>33055776.000000007</v>
      </c>
      <c r="EI185" s="443">
        <f t="shared" si="65"/>
        <v>36030795.840000011</v>
      </c>
    </row>
    <row r="186" spans="1:139" ht="15.5" outlineLevel="2">
      <c r="A186" s="367" t="s">
        <v>43</v>
      </c>
      <c r="B186" s="378"/>
      <c r="C186" s="370" t="s">
        <v>358</v>
      </c>
      <c r="D186" s="370" t="s">
        <v>108</v>
      </c>
      <c r="E186" s="383" t="s">
        <v>502</v>
      </c>
      <c r="F186" s="380">
        <v>3000020728</v>
      </c>
      <c r="G186" s="180"/>
      <c r="H186" s="180"/>
      <c r="I186" s="180"/>
      <c r="J186" s="180"/>
      <c r="K186" s="180"/>
      <c r="L186" s="180"/>
      <c r="M186" s="180"/>
      <c r="N186" s="180"/>
      <c r="O186" s="180"/>
      <c r="P186" s="180"/>
      <c r="Q186" s="180"/>
      <c r="R186" s="180"/>
      <c r="S186" s="6"/>
      <c r="T186" s="181"/>
      <c r="U186" s="180"/>
      <c r="V186" s="9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181"/>
      <c r="AI186" s="180"/>
      <c r="AJ186" s="517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518">
        <f t="shared" si="78"/>
        <v>0</v>
      </c>
      <c r="AY186" s="181"/>
      <c r="AZ186" s="180"/>
      <c r="BA186" s="517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N186" s="19"/>
      <c r="BO186" s="517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799"/>
      <c r="CB186" s="19"/>
      <c r="CC186" s="517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P186" s="649"/>
      <c r="CQ186" s="985"/>
      <c r="CR186" s="986"/>
      <c r="CS186" s="985">
        <v>3600000</v>
      </c>
      <c r="CT186" s="986"/>
      <c r="CU186" s="985">
        <v>4287625</v>
      </c>
      <c r="CV186" s="986">
        <v>3600000</v>
      </c>
      <c r="CW186" s="985"/>
      <c r="CX186" s="986">
        <v>0</v>
      </c>
      <c r="CY186" s="985"/>
      <c r="CZ186" s="986">
        <v>0</v>
      </c>
      <c r="DA186" s="985"/>
      <c r="DB186" s="986">
        <v>0</v>
      </c>
      <c r="DC186" s="985">
        <v>0</v>
      </c>
      <c r="DD186" s="609">
        <v>0</v>
      </c>
      <c r="DE186" s="518"/>
      <c r="DF186" s="609">
        <v>0</v>
      </c>
      <c r="DG186" s="748">
        <v>0</v>
      </c>
      <c r="DH186" s="518"/>
      <c r="DI186" s="609">
        <v>0</v>
      </c>
      <c r="DJ186" s="748">
        <v>0</v>
      </c>
      <c r="DK186" s="518"/>
      <c r="DL186" s="609">
        <v>0</v>
      </c>
      <c r="DM186" s="748">
        <v>0</v>
      </c>
      <c r="DN186" s="518"/>
      <c r="DO186" s="609">
        <v>0</v>
      </c>
      <c r="DP186" s="748">
        <v>0</v>
      </c>
      <c r="DQ186" s="493">
        <f t="shared" si="74"/>
        <v>7887625</v>
      </c>
      <c r="DR186" s="479">
        <f t="shared" si="75"/>
        <v>7887625</v>
      </c>
      <c r="DS186" s="1162"/>
      <c r="DT186" s="1162"/>
      <c r="DU186" s="1162"/>
      <c r="DV186" s="1162"/>
      <c r="DW186" s="1162"/>
      <c r="DX186" s="1162"/>
      <c r="DY186" s="1162"/>
      <c r="DZ186" s="1162"/>
      <c r="EA186" s="1162"/>
      <c r="EB186" s="1162"/>
      <c r="EC186" s="1162"/>
      <c r="ED186" s="1162"/>
      <c r="EE186" s="1119">
        <f t="shared" si="73"/>
        <v>0</v>
      </c>
      <c r="EF186" s="443">
        <f t="shared" si="76"/>
        <v>0</v>
      </c>
      <c r="EG186" s="355">
        <f t="shared" si="77"/>
        <v>0</v>
      </c>
      <c r="EH186" s="443">
        <f t="shared" si="65"/>
        <v>0</v>
      </c>
      <c r="EI186" s="443">
        <f t="shared" si="65"/>
        <v>0</v>
      </c>
    </row>
    <row r="187" spans="1:139" ht="15.5" outlineLevel="2">
      <c r="A187" s="367" t="s">
        <v>59</v>
      </c>
      <c r="B187" s="378"/>
      <c r="C187" s="370" t="s">
        <v>358</v>
      </c>
      <c r="D187" s="370" t="s">
        <v>108</v>
      </c>
      <c r="E187" s="383" t="s">
        <v>503</v>
      </c>
      <c r="F187" s="380">
        <v>3211020000</v>
      </c>
      <c r="G187" s="180"/>
      <c r="H187" s="180"/>
      <c r="I187" s="180"/>
      <c r="J187" s="180"/>
      <c r="K187" s="180"/>
      <c r="L187" s="180"/>
      <c r="M187" s="180"/>
      <c r="N187" s="180"/>
      <c r="O187" s="180"/>
      <c r="P187" s="180"/>
      <c r="Q187" s="180"/>
      <c r="R187" s="180"/>
      <c r="S187" s="6"/>
      <c r="T187" s="181"/>
      <c r="U187" s="180"/>
      <c r="V187" s="9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181"/>
      <c r="AI187" s="180"/>
      <c r="AJ187" s="517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518">
        <f t="shared" si="78"/>
        <v>0</v>
      </c>
      <c r="AY187" s="181"/>
      <c r="AZ187" s="180"/>
      <c r="BA187" s="517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N187" s="19"/>
      <c r="BO187" s="517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799"/>
      <c r="CB187" s="19"/>
      <c r="CC187" s="517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P187" s="649"/>
      <c r="CQ187" s="985"/>
      <c r="CR187" s="986"/>
      <c r="CS187" s="985"/>
      <c r="CT187" s="986"/>
      <c r="CU187" s="985">
        <v>13400000</v>
      </c>
      <c r="CV187" s="986"/>
      <c r="CW187" s="985"/>
      <c r="CX187" s="986"/>
      <c r="CY187" s="985"/>
      <c r="CZ187" s="986"/>
      <c r="DA187" s="985"/>
      <c r="DB187" s="986"/>
      <c r="DC187" s="985">
        <v>0</v>
      </c>
      <c r="DD187" s="609"/>
      <c r="DE187" s="518"/>
      <c r="DF187" s="609"/>
      <c r="DG187" s="748"/>
      <c r="DH187" s="518"/>
      <c r="DI187" s="609"/>
      <c r="DJ187" s="748"/>
      <c r="DK187" s="518"/>
      <c r="DL187" s="609"/>
      <c r="DM187" s="748"/>
      <c r="DN187" s="518"/>
      <c r="DO187" s="609"/>
      <c r="DP187" s="748"/>
      <c r="DQ187" s="493">
        <f t="shared" si="74"/>
        <v>13400000</v>
      </c>
      <c r="DR187" s="479">
        <f t="shared" si="75"/>
        <v>13400000</v>
      </c>
      <c r="DS187" s="1162"/>
      <c r="DT187" s="1162"/>
      <c r="DU187" s="1162"/>
      <c r="DV187" s="1162"/>
      <c r="DW187" s="1162"/>
      <c r="DX187" s="1162"/>
      <c r="DY187" s="1162"/>
      <c r="DZ187" s="1162"/>
      <c r="EA187" s="1162"/>
      <c r="EB187" s="1162"/>
      <c r="EC187" s="1162"/>
      <c r="ED187" s="1162"/>
      <c r="EE187" s="1119">
        <f t="shared" si="73"/>
        <v>0</v>
      </c>
      <c r="EF187" s="443">
        <f t="shared" si="76"/>
        <v>0</v>
      </c>
      <c r="EG187" s="355">
        <f t="shared" si="77"/>
        <v>0</v>
      </c>
      <c r="EH187" s="443">
        <f t="shared" si="65"/>
        <v>0</v>
      </c>
      <c r="EI187" s="443">
        <f t="shared" si="65"/>
        <v>0</v>
      </c>
    </row>
    <row r="188" spans="1:139" ht="15.5" outlineLevel="2">
      <c r="A188" s="367" t="s">
        <v>59</v>
      </c>
      <c r="B188" s="378"/>
      <c r="C188" s="370" t="s">
        <v>358</v>
      </c>
      <c r="D188" s="370" t="s">
        <v>108</v>
      </c>
      <c r="E188" s="383" t="s">
        <v>504</v>
      </c>
      <c r="F188" s="380">
        <v>3000003715</v>
      </c>
      <c r="G188" s="180"/>
      <c r="H188" s="180"/>
      <c r="I188" s="180"/>
      <c r="J188" s="180"/>
      <c r="K188" s="180"/>
      <c r="L188" s="180"/>
      <c r="M188" s="180"/>
      <c r="N188" s="180"/>
      <c r="O188" s="180"/>
      <c r="P188" s="180"/>
      <c r="Q188" s="180"/>
      <c r="R188" s="180"/>
      <c r="S188" s="6"/>
      <c r="T188" s="181"/>
      <c r="U188" s="180"/>
      <c r="V188" s="9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181"/>
      <c r="AI188" s="180"/>
      <c r="AJ188" s="517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518">
        <f t="shared" si="78"/>
        <v>0</v>
      </c>
      <c r="AY188" s="181"/>
      <c r="AZ188" s="180"/>
      <c r="BA188" s="517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N188" s="19"/>
      <c r="BO188" s="517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799"/>
      <c r="CB188" s="19"/>
      <c r="CC188" s="517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P188" s="649"/>
      <c r="CQ188" s="985"/>
      <c r="CR188" s="986"/>
      <c r="CS188" s="985">
        <v>6000000</v>
      </c>
      <c r="CT188" s="986"/>
      <c r="CU188" s="985">
        <v>6000000</v>
      </c>
      <c r="CV188" s="986">
        <v>6000000</v>
      </c>
      <c r="CW188" s="985">
        <v>3000000</v>
      </c>
      <c r="CX188" s="986">
        <v>0</v>
      </c>
      <c r="CY188" s="985">
        <v>6000000</v>
      </c>
      <c r="CZ188" s="986">
        <v>0</v>
      </c>
      <c r="DA188" s="985">
        <v>3000000</v>
      </c>
      <c r="DB188" s="986">
        <v>0</v>
      </c>
      <c r="DC188" s="985">
        <v>3000000</v>
      </c>
      <c r="DD188" s="609">
        <v>0</v>
      </c>
      <c r="DE188" s="518"/>
      <c r="DF188" s="609">
        <v>0</v>
      </c>
      <c r="DG188" s="748">
        <v>0</v>
      </c>
      <c r="DH188" s="518"/>
      <c r="DI188" s="609">
        <v>0</v>
      </c>
      <c r="DJ188" s="748">
        <v>0</v>
      </c>
      <c r="DK188" s="518"/>
      <c r="DL188" s="609">
        <v>0</v>
      </c>
      <c r="DM188" s="748">
        <v>0</v>
      </c>
      <c r="DN188" s="518"/>
      <c r="DO188" s="609">
        <v>0</v>
      </c>
      <c r="DP188" s="748">
        <v>0</v>
      </c>
      <c r="DQ188" s="493">
        <f t="shared" si="74"/>
        <v>27000000</v>
      </c>
      <c r="DR188" s="479">
        <f t="shared" si="75"/>
        <v>27000000</v>
      </c>
      <c r="DS188" s="1162"/>
      <c r="DT188" s="1162"/>
      <c r="DU188" s="1162"/>
      <c r="DV188" s="1162"/>
      <c r="DW188" s="1162"/>
      <c r="DX188" s="1162"/>
      <c r="DY188" s="1162"/>
      <c r="DZ188" s="1162"/>
      <c r="EA188" s="1162"/>
      <c r="EB188" s="1162"/>
      <c r="EC188" s="1162"/>
      <c r="ED188" s="1162"/>
      <c r="EE188" s="1119">
        <f t="shared" si="73"/>
        <v>0</v>
      </c>
      <c r="EF188" s="443">
        <f t="shared" si="76"/>
        <v>0</v>
      </c>
      <c r="EG188" s="355">
        <f t="shared" si="77"/>
        <v>0</v>
      </c>
      <c r="EH188" s="443">
        <f t="shared" si="65"/>
        <v>0</v>
      </c>
      <c r="EI188" s="443">
        <f t="shared" si="65"/>
        <v>0</v>
      </c>
    </row>
    <row r="189" spans="1:139" ht="15.5" outlineLevel="2">
      <c r="A189" s="367" t="s">
        <v>59</v>
      </c>
      <c r="B189" s="378"/>
      <c r="C189" s="370" t="s">
        <v>358</v>
      </c>
      <c r="D189" s="370" t="s">
        <v>108</v>
      </c>
      <c r="E189" s="383" t="s">
        <v>505</v>
      </c>
      <c r="F189" s="380" t="s">
        <v>506</v>
      </c>
      <c r="G189" s="180"/>
      <c r="H189" s="180"/>
      <c r="I189" s="180"/>
      <c r="J189" s="180"/>
      <c r="K189" s="180"/>
      <c r="L189" s="180"/>
      <c r="M189" s="180"/>
      <c r="N189" s="180"/>
      <c r="O189" s="180"/>
      <c r="P189" s="180"/>
      <c r="Q189" s="180"/>
      <c r="R189" s="180"/>
      <c r="S189" s="6"/>
      <c r="T189" s="181"/>
      <c r="U189" s="180"/>
      <c r="V189" s="9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181"/>
      <c r="AI189" s="180"/>
      <c r="AJ189" s="517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518"/>
      <c r="AY189" s="181"/>
      <c r="AZ189" s="180"/>
      <c r="BA189" s="517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N189" s="19"/>
      <c r="BO189" s="517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799"/>
      <c r="CB189" s="19"/>
      <c r="CC189" s="517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P189" s="649"/>
      <c r="CQ189" s="985"/>
      <c r="CR189" s="986"/>
      <c r="CS189" s="985"/>
      <c r="CT189" s="986"/>
      <c r="CU189" s="985"/>
      <c r="CV189" s="986"/>
      <c r="CW189" s="985"/>
      <c r="CX189" s="986"/>
      <c r="CY189" s="985"/>
      <c r="CZ189" s="986"/>
      <c r="DA189" s="985"/>
      <c r="DB189" s="986"/>
      <c r="DC189" s="985">
        <v>911200</v>
      </c>
      <c r="DD189" s="609"/>
      <c r="DE189" s="518"/>
      <c r="DF189" s="609"/>
      <c r="DG189" s="748"/>
      <c r="DH189" s="518"/>
      <c r="DI189" s="609"/>
      <c r="DJ189" s="748"/>
      <c r="DK189" s="518"/>
      <c r="DL189" s="609"/>
      <c r="DM189" s="748"/>
      <c r="DN189" s="518"/>
      <c r="DO189" s="609"/>
      <c r="DP189" s="748"/>
      <c r="DQ189" s="493">
        <f t="shared" si="74"/>
        <v>911200</v>
      </c>
      <c r="DR189" s="479">
        <f t="shared" si="75"/>
        <v>911200</v>
      </c>
      <c r="DS189" s="1162"/>
      <c r="DT189" s="1162"/>
      <c r="DU189" s="1162"/>
      <c r="DV189" s="1162"/>
      <c r="DW189" s="1162"/>
      <c r="DX189" s="1162"/>
      <c r="DY189" s="1162"/>
      <c r="DZ189" s="1162"/>
      <c r="EA189" s="1162"/>
      <c r="EB189" s="1162"/>
      <c r="EC189" s="1162"/>
      <c r="ED189" s="1162"/>
      <c r="EE189" s="1119">
        <f t="shared" si="73"/>
        <v>0</v>
      </c>
      <c r="EF189" s="443">
        <f t="shared" si="76"/>
        <v>0</v>
      </c>
      <c r="EG189" s="355">
        <f t="shared" si="77"/>
        <v>0</v>
      </c>
      <c r="EH189" s="443">
        <f t="shared" si="65"/>
        <v>0</v>
      </c>
      <c r="EI189" s="443">
        <f t="shared" si="65"/>
        <v>0</v>
      </c>
    </row>
    <row r="190" spans="1:139" ht="15.5" outlineLevel="2">
      <c r="A190" s="367" t="s">
        <v>43</v>
      </c>
      <c r="B190" s="378"/>
      <c r="C190" s="370" t="s">
        <v>358</v>
      </c>
      <c r="D190" s="370" t="s">
        <v>108</v>
      </c>
      <c r="E190" s="383" t="s">
        <v>507</v>
      </c>
      <c r="F190" s="380" t="s">
        <v>508</v>
      </c>
      <c r="G190" s="180"/>
      <c r="H190" s="180"/>
      <c r="I190" s="180"/>
      <c r="J190" s="180"/>
      <c r="K190" s="180"/>
      <c r="L190" s="180"/>
      <c r="M190" s="180"/>
      <c r="N190" s="180"/>
      <c r="O190" s="180"/>
      <c r="P190" s="180"/>
      <c r="Q190" s="180"/>
      <c r="R190" s="180"/>
      <c r="S190" s="6"/>
      <c r="T190" s="181"/>
      <c r="U190" s="180"/>
      <c r="V190" s="9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181"/>
      <c r="AI190" s="180"/>
      <c r="AJ190" s="517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518"/>
      <c r="AY190" s="181"/>
      <c r="AZ190" s="180"/>
      <c r="BA190" s="517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N190" s="19"/>
      <c r="BO190" s="517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799"/>
      <c r="CB190" s="19"/>
      <c r="CC190" s="517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P190" s="649"/>
      <c r="CQ190" s="985"/>
      <c r="CR190" s="986"/>
      <c r="CS190" s="985"/>
      <c r="CT190" s="986"/>
      <c r="CU190" s="985"/>
      <c r="CV190" s="986"/>
      <c r="CW190" s="985"/>
      <c r="CX190" s="986"/>
      <c r="CY190" s="985">
        <v>3400000</v>
      </c>
      <c r="CZ190" s="986"/>
      <c r="DA190" s="985">
        <v>25160000</v>
      </c>
      <c r="DB190" s="986"/>
      <c r="DC190" s="985">
        <v>10600000</v>
      </c>
      <c r="DD190" s="609"/>
      <c r="DE190" s="518"/>
      <c r="DF190" s="609"/>
      <c r="DG190" s="748"/>
      <c r="DH190" s="518"/>
      <c r="DI190" s="609"/>
      <c r="DJ190" s="748"/>
      <c r="DK190" s="518"/>
      <c r="DL190" s="609"/>
      <c r="DM190" s="748"/>
      <c r="DN190" s="518"/>
      <c r="DO190" s="609"/>
      <c r="DP190" s="748"/>
      <c r="DQ190" s="493">
        <f t="shared" si="74"/>
        <v>39160000</v>
      </c>
      <c r="DR190" s="479">
        <f t="shared" si="75"/>
        <v>39160000</v>
      </c>
      <c r="DS190" s="1162">
        <v>30000000</v>
      </c>
      <c r="DT190" s="1162">
        <v>30000000</v>
      </c>
      <c r="DU190" s="1162">
        <v>30000000</v>
      </c>
      <c r="DV190" s="1162">
        <v>50000000</v>
      </c>
      <c r="DW190" s="1162">
        <v>50000000</v>
      </c>
      <c r="DX190" s="1162">
        <v>50000000</v>
      </c>
      <c r="DY190" s="1162">
        <v>50000000</v>
      </c>
      <c r="DZ190" s="1162">
        <v>50000000</v>
      </c>
      <c r="EA190" s="1162">
        <v>50000000</v>
      </c>
      <c r="EB190" s="1162">
        <v>50000000</v>
      </c>
      <c r="EC190" s="1162">
        <v>50000000</v>
      </c>
      <c r="ED190" s="1162">
        <v>50000000</v>
      </c>
      <c r="EE190" s="1119">
        <f t="shared" si="73"/>
        <v>540000000</v>
      </c>
      <c r="EF190" s="443">
        <f t="shared" si="76"/>
        <v>631800000</v>
      </c>
      <c r="EG190" s="355">
        <f t="shared" si="77"/>
        <v>682344000</v>
      </c>
      <c r="EH190" s="443">
        <f t="shared" si="65"/>
        <v>743754960</v>
      </c>
      <c r="EI190" s="443">
        <f t="shared" si="65"/>
        <v>810692906.4000001</v>
      </c>
    </row>
    <row r="191" spans="1:139" ht="15.5" outlineLevel="2">
      <c r="A191" s="367" t="s">
        <v>43</v>
      </c>
      <c r="B191" s="378"/>
      <c r="C191" s="370" t="s">
        <v>358</v>
      </c>
      <c r="D191" s="370" t="s">
        <v>108</v>
      </c>
      <c r="E191" s="383" t="s">
        <v>509</v>
      </c>
      <c r="F191" s="380" t="s">
        <v>510</v>
      </c>
      <c r="G191" s="180"/>
      <c r="H191" s="180"/>
      <c r="I191" s="180"/>
      <c r="J191" s="180"/>
      <c r="K191" s="180"/>
      <c r="L191" s="180"/>
      <c r="M191" s="180"/>
      <c r="N191" s="180"/>
      <c r="O191" s="180"/>
      <c r="P191" s="180"/>
      <c r="Q191" s="180"/>
      <c r="R191" s="180"/>
      <c r="S191" s="6"/>
      <c r="T191" s="181"/>
      <c r="U191" s="180"/>
      <c r="V191" s="9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181"/>
      <c r="AI191" s="180"/>
      <c r="AJ191" s="517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518"/>
      <c r="AY191" s="181"/>
      <c r="AZ191" s="180"/>
      <c r="BA191" s="517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N191" s="19"/>
      <c r="BO191" s="517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799"/>
      <c r="CB191" s="19"/>
      <c r="CC191" s="517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P191" s="649"/>
      <c r="CQ191" s="985"/>
      <c r="CR191" s="986"/>
      <c r="CS191" s="985"/>
      <c r="CT191" s="986"/>
      <c r="CU191" s="985"/>
      <c r="CV191" s="986"/>
      <c r="CW191" s="985"/>
      <c r="CX191" s="986"/>
      <c r="CY191" s="985"/>
      <c r="CZ191" s="986"/>
      <c r="DA191" s="985"/>
      <c r="DB191" s="986"/>
      <c r="DC191" s="985">
        <v>4090909</v>
      </c>
      <c r="DD191" s="609"/>
      <c r="DE191" s="518"/>
      <c r="DF191" s="609"/>
      <c r="DG191" s="748"/>
      <c r="DH191" s="518"/>
      <c r="DI191" s="609"/>
      <c r="DJ191" s="748"/>
      <c r="DK191" s="518"/>
      <c r="DL191" s="609"/>
      <c r="DM191" s="748"/>
      <c r="DN191" s="518"/>
      <c r="DO191" s="609"/>
      <c r="DP191" s="748"/>
      <c r="DQ191" s="493">
        <f t="shared" si="74"/>
        <v>4090909</v>
      </c>
      <c r="DR191" s="479">
        <f t="shared" si="75"/>
        <v>4090909</v>
      </c>
      <c r="DS191" s="1162"/>
      <c r="DT191" s="1162"/>
      <c r="DU191" s="1162"/>
      <c r="DV191" s="1162"/>
      <c r="DW191" s="1162"/>
      <c r="DX191" s="1162"/>
      <c r="DY191" s="1162"/>
      <c r="DZ191" s="1162"/>
      <c r="EA191" s="1162"/>
      <c r="EB191" s="1162"/>
      <c r="EC191" s="1162"/>
      <c r="ED191" s="1162"/>
      <c r="EE191" s="1119">
        <f t="shared" si="73"/>
        <v>0</v>
      </c>
      <c r="EF191" s="443">
        <f t="shared" si="76"/>
        <v>0</v>
      </c>
      <c r="EG191" s="355">
        <f t="shared" si="77"/>
        <v>0</v>
      </c>
      <c r="EH191" s="443">
        <f t="shared" si="65"/>
        <v>0</v>
      </c>
      <c r="EI191" s="443">
        <f t="shared" si="65"/>
        <v>0</v>
      </c>
    </row>
    <row r="192" spans="1:139" ht="15.5" outlineLevel="2">
      <c r="A192" s="367" t="s">
        <v>43</v>
      </c>
      <c r="B192" s="378"/>
      <c r="C192" s="370" t="s">
        <v>358</v>
      </c>
      <c r="D192" s="370" t="s">
        <v>108</v>
      </c>
      <c r="E192" s="383" t="s">
        <v>511</v>
      </c>
      <c r="F192" s="380" t="s">
        <v>512</v>
      </c>
      <c r="G192" s="180"/>
      <c r="H192" s="180"/>
      <c r="I192" s="180"/>
      <c r="J192" s="180"/>
      <c r="K192" s="180"/>
      <c r="L192" s="180"/>
      <c r="M192" s="180"/>
      <c r="N192" s="180"/>
      <c r="O192" s="180"/>
      <c r="P192" s="180"/>
      <c r="Q192" s="180"/>
      <c r="R192" s="180"/>
      <c r="S192" s="6"/>
      <c r="T192" s="181"/>
      <c r="U192" s="180"/>
      <c r="V192" s="9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181"/>
      <c r="AI192" s="180"/>
      <c r="AJ192" s="517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518"/>
      <c r="AY192" s="181"/>
      <c r="AZ192" s="180"/>
      <c r="BA192" s="517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N192" s="19"/>
      <c r="BO192" s="517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799"/>
      <c r="CB192" s="19"/>
      <c r="CC192" s="517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P192" s="649"/>
      <c r="CQ192" s="985"/>
      <c r="CR192" s="986"/>
      <c r="CS192" s="985"/>
      <c r="CT192" s="986"/>
      <c r="CU192" s="985"/>
      <c r="CV192" s="986"/>
      <c r="CW192" s="985"/>
      <c r="CX192" s="986"/>
      <c r="CY192" s="985"/>
      <c r="CZ192" s="986"/>
      <c r="DA192" s="985"/>
      <c r="DB192" s="986"/>
      <c r="DC192" s="985">
        <v>1150000</v>
      </c>
      <c r="DD192" s="609"/>
      <c r="DE192" s="518"/>
      <c r="DF192" s="609"/>
      <c r="DG192" s="748"/>
      <c r="DH192" s="518"/>
      <c r="DI192" s="609"/>
      <c r="DJ192" s="748"/>
      <c r="DK192" s="518"/>
      <c r="DL192" s="609"/>
      <c r="DM192" s="748"/>
      <c r="DN192" s="518"/>
      <c r="DO192" s="609"/>
      <c r="DP192" s="748"/>
      <c r="DQ192" s="493">
        <f t="shared" si="74"/>
        <v>1150000</v>
      </c>
      <c r="DR192" s="479">
        <f t="shared" si="75"/>
        <v>1150000</v>
      </c>
      <c r="DS192" s="1162"/>
      <c r="DT192" s="1162"/>
      <c r="DU192" s="1162"/>
      <c r="DV192" s="1162"/>
      <c r="DW192" s="1162"/>
      <c r="DX192" s="1162"/>
      <c r="DY192" s="1162"/>
      <c r="DZ192" s="1162"/>
      <c r="EA192" s="1162"/>
      <c r="EB192" s="1162"/>
      <c r="EC192" s="1162"/>
      <c r="ED192" s="1162"/>
      <c r="EE192" s="1119">
        <f t="shared" si="73"/>
        <v>0</v>
      </c>
      <c r="EF192" s="443">
        <f t="shared" si="76"/>
        <v>0</v>
      </c>
      <c r="EG192" s="355">
        <f t="shared" si="77"/>
        <v>0</v>
      </c>
      <c r="EH192" s="443">
        <f t="shared" si="65"/>
        <v>0</v>
      </c>
      <c r="EI192" s="443">
        <f t="shared" si="65"/>
        <v>0</v>
      </c>
    </row>
    <row r="193" spans="1:156" ht="15.5" outlineLevel="2">
      <c r="A193" s="367" t="s">
        <v>43</v>
      </c>
      <c r="B193" s="378"/>
      <c r="C193" s="370" t="s">
        <v>358</v>
      </c>
      <c r="D193" s="370" t="s">
        <v>108</v>
      </c>
      <c r="E193" s="379" t="s">
        <v>174</v>
      </c>
      <c r="F193" s="380" t="s">
        <v>513</v>
      </c>
      <c r="G193" s="180"/>
      <c r="H193" s="180"/>
      <c r="I193" s="180"/>
      <c r="J193" s="180"/>
      <c r="K193" s="180"/>
      <c r="L193" s="180"/>
      <c r="M193" s="180"/>
      <c r="N193" s="180"/>
      <c r="O193" s="180"/>
      <c r="P193" s="180"/>
      <c r="Q193" s="180"/>
      <c r="R193" s="180"/>
      <c r="S193" s="6"/>
      <c r="T193" s="181"/>
      <c r="U193" s="180"/>
      <c r="V193" s="9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181"/>
      <c r="AI193" s="180"/>
      <c r="AJ193" s="517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181"/>
      <c r="AZ193" s="180"/>
      <c r="BA193" s="517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N193" s="19"/>
      <c r="BO193" s="517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799"/>
      <c r="CB193" s="19"/>
      <c r="CC193" s="517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P193" s="649"/>
      <c r="CQ193" s="985">
        <v>29900000</v>
      </c>
      <c r="CR193" s="987">
        <v>15000000</v>
      </c>
      <c r="CS193" s="985">
        <v>53350000</v>
      </c>
      <c r="CT193" s="987">
        <v>100000000</v>
      </c>
      <c r="CU193" s="985">
        <v>7100000</v>
      </c>
      <c r="CV193" s="987">
        <v>100000000</v>
      </c>
      <c r="CW193" s="985">
        <v>9600000</v>
      </c>
      <c r="CX193" s="987">
        <v>80000000</v>
      </c>
      <c r="CY193" s="985">
        <v>2600000</v>
      </c>
      <c r="CZ193" s="987">
        <v>80000000</v>
      </c>
      <c r="DA193" s="985"/>
      <c r="DB193" s="987">
        <v>80000000</v>
      </c>
      <c r="DC193" s="985">
        <v>0</v>
      </c>
      <c r="DD193" s="610">
        <v>80000000</v>
      </c>
      <c r="DE193" s="518"/>
      <c r="DF193" s="610">
        <v>80000000</v>
      </c>
      <c r="DG193" s="750">
        <v>50000000</v>
      </c>
      <c r="DH193" s="518"/>
      <c r="DI193" s="610">
        <v>80000000</v>
      </c>
      <c r="DJ193" s="750">
        <v>50000000</v>
      </c>
      <c r="DK193" s="518"/>
      <c r="DL193" s="610">
        <v>80000000</v>
      </c>
      <c r="DM193" s="750">
        <v>50000000</v>
      </c>
      <c r="DN193" s="518"/>
      <c r="DO193" s="610">
        <v>80000000</v>
      </c>
      <c r="DP193" s="750">
        <v>50000000</v>
      </c>
      <c r="DQ193" s="493">
        <f t="shared" si="74"/>
        <v>422550000</v>
      </c>
      <c r="DR193" s="479">
        <f t="shared" si="75"/>
        <v>302550000</v>
      </c>
      <c r="DS193" s="1162"/>
      <c r="DT193" s="1162"/>
      <c r="DU193" s="1162"/>
      <c r="DV193" s="1162"/>
      <c r="DW193" s="1162"/>
      <c r="DX193" s="1162"/>
      <c r="DY193" s="1162"/>
      <c r="DZ193" s="1162"/>
      <c r="EA193" s="1162"/>
      <c r="EB193" s="1162"/>
      <c r="EC193" s="1162"/>
      <c r="ED193" s="1162"/>
      <c r="EE193" s="1119">
        <f t="shared" si="73"/>
        <v>0</v>
      </c>
      <c r="EF193" s="443">
        <f t="shared" si="76"/>
        <v>0</v>
      </c>
      <c r="EG193" s="355">
        <f t="shared" si="77"/>
        <v>0</v>
      </c>
      <c r="EH193" s="443">
        <f t="shared" si="65"/>
        <v>0</v>
      </c>
      <c r="EI193" s="443">
        <f t="shared" si="65"/>
        <v>0</v>
      </c>
      <c r="EJ193" s="367" t="e">
        <v>#N/A</v>
      </c>
    </row>
    <row r="194" spans="1:156" ht="15.5" outlineLevel="2">
      <c r="A194" s="367" t="s">
        <v>59</v>
      </c>
      <c r="B194" s="378"/>
      <c r="C194" s="370" t="s">
        <v>358</v>
      </c>
      <c r="D194" s="370" t="s">
        <v>108</v>
      </c>
      <c r="E194" s="388" t="s">
        <v>514</v>
      </c>
      <c r="F194" s="380" t="s">
        <v>515</v>
      </c>
      <c r="G194" s="180"/>
      <c r="H194" s="180"/>
      <c r="I194" s="180"/>
      <c r="J194" s="180"/>
      <c r="K194" s="180"/>
      <c r="L194" s="180"/>
      <c r="M194" s="180"/>
      <c r="N194" s="180"/>
      <c r="O194" s="180"/>
      <c r="P194" s="180"/>
      <c r="Q194" s="180"/>
      <c r="R194" s="180"/>
      <c r="S194" s="6"/>
      <c r="T194" s="181"/>
      <c r="U194" s="180"/>
      <c r="V194" s="9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181"/>
      <c r="AI194" s="180"/>
      <c r="AJ194" s="517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181"/>
      <c r="AZ194" s="180"/>
      <c r="BA194" s="517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N194" s="19"/>
      <c r="BO194" s="517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799"/>
      <c r="CB194" s="19"/>
      <c r="CC194" s="517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P194" s="649"/>
      <c r="CQ194" s="985"/>
      <c r="CR194" s="987"/>
      <c r="CS194" s="985"/>
      <c r="CT194" s="987"/>
      <c r="CU194" s="985"/>
      <c r="CV194" s="987"/>
      <c r="CW194" s="985"/>
      <c r="CX194" s="987"/>
      <c r="CY194" s="985">
        <v>3100000</v>
      </c>
      <c r="CZ194" s="987"/>
      <c r="DA194" s="985"/>
      <c r="DB194" s="987"/>
      <c r="DC194" s="985">
        <v>0</v>
      </c>
      <c r="DD194" s="610"/>
      <c r="DE194" s="751"/>
      <c r="DF194" s="610"/>
      <c r="DG194" s="750"/>
      <c r="DH194" s="751"/>
      <c r="DI194" s="610"/>
      <c r="DJ194" s="750"/>
      <c r="DK194" s="751"/>
      <c r="DL194" s="610"/>
      <c r="DM194" s="750"/>
      <c r="DN194" s="751"/>
      <c r="DO194" s="610"/>
      <c r="DP194" s="750"/>
      <c r="DQ194" s="493">
        <f t="shared" si="74"/>
        <v>3100000</v>
      </c>
      <c r="DR194" s="479">
        <f t="shared" si="75"/>
        <v>3100000</v>
      </c>
      <c r="DS194" s="1162"/>
      <c r="DT194" s="1162"/>
      <c r="DU194" s="1162"/>
      <c r="DV194" s="1162"/>
      <c r="DW194" s="1162"/>
      <c r="DX194" s="1162"/>
      <c r="DY194" s="1162"/>
      <c r="DZ194" s="1162"/>
      <c r="EA194" s="1162"/>
      <c r="EB194" s="1162"/>
      <c r="EC194" s="1162"/>
      <c r="ED194" s="1162"/>
      <c r="EE194" s="1119">
        <f t="shared" si="73"/>
        <v>0</v>
      </c>
      <c r="EF194" s="443">
        <f t="shared" si="76"/>
        <v>0</v>
      </c>
      <c r="EG194" s="355">
        <f t="shared" si="77"/>
        <v>0</v>
      </c>
      <c r="EH194" s="443">
        <f t="shared" si="65"/>
        <v>0</v>
      </c>
      <c r="EI194" s="443">
        <f t="shared" si="65"/>
        <v>0</v>
      </c>
    </row>
    <row r="195" spans="1:156" ht="15.5" outlineLevel="2">
      <c r="A195" s="367" t="s">
        <v>59</v>
      </c>
      <c r="B195" s="378"/>
      <c r="C195" s="370" t="s">
        <v>358</v>
      </c>
      <c r="D195" s="370" t="s">
        <v>108</v>
      </c>
      <c r="E195" s="388" t="s">
        <v>516</v>
      </c>
      <c r="F195" s="380" t="s">
        <v>517</v>
      </c>
      <c r="G195" s="180"/>
      <c r="H195" s="180"/>
      <c r="I195" s="180"/>
      <c r="J195" s="180"/>
      <c r="K195" s="180"/>
      <c r="L195" s="180"/>
      <c r="M195" s="180"/>
      <c r="N195" s="180"/>
      <c r="O195" s="180"/>
      <c r="P195" s="180"/>
      <c r="Q195" s="180"/>
      <c r="R195" s="180"/>
      <c r="S195" s="6"/>
      <c r="T195" s="181"/>
      <c r="U195" s="180"/>
      <c r="V195" s="9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181"/>
      <c r="AI195" s="180"/>
      <c r="AJ195" s="517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181"/>
      <c r="AZ195" s="180"/>
      <c r="BA195" s="517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N195" s="19"/>
      <c r="BO195" s="517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799"/>
      <c r="CB195" s="19"/>
      <c r="CC195" s="517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P195" s="649"/>
      <c r="CQ195" s="985"/>
      <c r="CR195" s="987"/>
      <c r="CS195" s="985"/>
      <c r="CT195" s="987"/>
      <c r="CU195" s="985"/>
      <c r="CV195" s="987"/>
      <c r="CW195" s="985"/>
      <c r="CX195" s="987"/>
      <c r="CY195" s="985">
        <v>47364640</v>
      </c>
      <c r="CZ195" s="987"/>
      <c r="DA195" s="985"/>
      <c r="DB195" s="987"/>
      <c r="DC195" s="985">
        <v>0</v>
      </c>
      <c r="DD195" s="610"/>
      <c r="DE195" s="751"/>
      <c r="DF195" s="610"/>
      <c r="DG195" s="750"/>
      <c r="DH195" s="751"/>
      <c r="DI195" s="610"/>
      <c r="DJ195" s="750"/>
      <c r="DK195" s="751"/>
      <c r="DL195" s="610"/>
      <c r="DM195" s="750"/>
      <c r="DN195" s="751"/>
      <c r="DO195" s="610"/>
      <c r="DP195" s="750"/>
      <c r="DQ195" s="493">
        <f t="shared" si="74"/>
        <v>47364640</v>
      </c>
      <c r="DR195" s="479">
        <f t="shared" si="75"/>
        <v>47364640</v>
      </c>
      <c r="DS195" s="1162"/>
      <c r="DT195" s="1162"/>
      <c r="DU195" s="1162"/>
      <c r="DV195" s="1162"/>
      <c r="DW195" s="1162"/>
      <c r="DX195" s="1162"/>
      <c r="DY195" s="1162"/>
      <c r="DZ195" s="1162"/>
      <c r="EA195" s="1162"/>
      <c r="EB195" s="1162"/>
      <c r="EC195" s="1162"/>
      <c r="ED195" s="1162"/>
      <c r="EE195" s="1119">
        <f t="shared" si="73"/>
        <v>0</v>
      </c>
      <c r="EF195" s="443">
        <f t="shared" si="76"/>
        <v>0</v>
      </c>
      <c r="EG195" s="355">
        <f t="shared" si="77"/>
        <v>0</v>
      </c>
      <c r="EH195" s="443">
        <f t="shared" si="65"/>
        <v>0</v>
      </c>
      <c r="EI195" s="443">
        <f t="shared" si="65"/>
        <v>0</v>
      </c>
    </row>
    <row r="196" spans="1:156" ht="15.5" outlineLevel="2">
      <c r="A196" s="367" t="s">
        <v>39</v>
      </c>
      <c r="B196" s="378"/>
      <c r="C196" s="370" t="s">
        <v>358</v>
      </c>
      <c r="D196" s="370" t="s">
        <v>108</v>
      </c>
      <c r="E196" s="383" t="s">
        <v>518</v>
      </c>
      <c r="F196" s="380">
        <v>3000020547</v>
      </c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7"/>
      <c r="T196" s="179"/>
      <c r="U196" s="178"/>
      <c r="V196" s="9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518"/>
      <c r="AH196" s="788"/>
      <c r="AI196" s="789"/>
      <c r="AJ196" s="517"/>
      <c r="AK196" s="518"/>
      <c r="AL196" s="518"/>
      <c r="AM196" s="518"/>
      <c r="AN196" s="518"/>
      <c r="AO196" s="518"/>
      <c r="AP196" s="518"/>
      <c r="AQ196" s="518"/>
      <c r="AR196" s="518"/>
      <c r="AS196" s="518"/>
      <c r="AT196" s="518"/>
      <c r="AU196" s="518"/>
      <c r="AV196" s="518"/>
      <c r="AW196" s="518"/>
      <c r="AX196" s="518"/>
      <c r="AY196" s="788"/>
      <c r="AZ196" s="789"/>
      <c r="BA196" s="517"/>
      <c r="BB196" s="518"/>
      <c r="BC196" s="518"/>
      <c r="BD196" s="518"/>
      <c r="BE196" s="518"/>
      <c r="BF196" s="518"/>
      <c r="BG196" s="518"/>
      <c r="BH196" s="518"/>
      <c r="BI196" s="518"/>
      <c r="BJ196" s="518"/>
      <c r="BK196" s="518"/>
      <c r="BL196" s="518"/>
      <c r="BN196" s="516"/>
      <c r="BO196" s="517"/>
      <c r="BP196" s="518"/>
      <c r="BQ196" s="518"/>
      <c r="BR196" s="518"/>
      <c r="BS196" s="518"/>
      <c r="BT196" s="518"/>
      <c r="BU196" s="518"/>
      <c r="BV196" s="518"/>
      <c r="BW196" s="518"/>
      <c r="BX196" s="518"/>
      <c r="BY196" s="518"/>
      <c r="BZ196" s="791">
        <v>0</v>
      </c>
      <c r="CB196" s="516"/>
      <c r="CC196" s="517"/>
      <c r="CD196" s="518"/>
      <c r="CE196" s="518"/>
      <c r="CF196" s="518"/>
      <c r="CG196" s="518"/>
      <c r="CH196" s="518"/>
      <c r="CI196" s="518"/>
      <c r="CJ196" s="518"/>
      <c r="CK196" s="518"/>
      <c r="CL196" s="518"/>
      <c r="CM196" s="518"/>
      <c r="CN196" s="791">
        <v>0</v>
      </c>
      <c r="CP196" s="647">
        <v>7840000</v>
      </c>
      <c r="CQ196" s="895"/>
      <c r="CR196" s="821">
        <v>7840000</v>
      </c>
      <c r="CS196" s="895">
        <v>-4940000</v>
      </c>
      <c r="CT196" s="821">
        <v>7840000</v>
      </c>
      <c r="CU196" s="895"/>
      <c r="CV196" s="821">
        <v>7840000</v>
      </c>
      <c r="CW196" s="895"/>
      <c r="CX196" s="821">
        <v>7840000</v>
      </c>
      <c r="CY196" s="895"/>
      <c r="CZ196" s="821">
        <v>7840000</v>
      </c>
      <c r="DA196" s="895"/>
      <c r="DB196" s="821">
        <v>7840000</v>
      </c>
      <c r="DC196" s="895">
        <v>0</v>
      </c>
      <c r="DD196" s="518">
        <v>7840000</v>
      </c>
      <c r="DF196" s="518">
        <v>7840000</v>
      </c>
      <c r="DG196" s="748"/>
      <c r="DI196" s="518">
        <v>7840000</v>
      </c>
      <c r="DJ196" s="748"/>
      <c r="DL196" s="518">
        <v>7840000</v>
      </c>
      <c r="DM196" s="748"/>
      <c r="DO196" s="518">
        <v>7840000</v>
      </c>
      <c r="DP196" s="748"/>
      <c r="DQ196" s="493">
        <f t="shared" si="74"/>
        <v>34260000</v>
      </c>
      <c r="DR196" s="479">
        <f t="shared" si="75"/>
        <v>2900000</v>
      </c>
      <c r="DS196" s="1163"/>
      <c r="DT196" s="1163"/>
      <c r="DU196" s="1163"/>
      <c r="DV196" s="1163"/>
      <c r="DW196" s="1163"/>
      <c r="DX196" s="1163"/>
      <c r="DY196" s="1163"/>
      <c r="DZ196" s="1163"/>
      <c r="EA196" s="1163"/>
      <c r="EB196" s="1163"/>
      <c r="EC196" s="1163"/>
      <c r="ED196" s="1163"/>
      <c r="EE196" s="1119">
        <f t="shared" si="73"/>
        <v>0</v>
      </c>
      <c r="EF196" s="443">
        <f t="shared" si="76"/>
        <v>0</v>
      </c>
      <c r="EG196" s="355">
        <f t="shared" si="77"/>
        <v>0</v>
      </c>
      <c r="EH196" s="443">
        <f t="shared" si="65"/>
        <v>0</v>
      </c>
      <c r="EI196" s="443">
        <f t="shared" si="65"/>
        <v>0</v>
      </c>
    </row>
    <row r="197" spans="1:156" ht="15.5" outlineLevel="2">
      <c r="A197" s="367" t="s">
        <v>39</v>
      </c>
      <c r="B197" s="378"/>
      <c r="C197" s="370" t="s">
        <v>358</v>
      </c>
      <c r="D197" s="370" t="s">
        <v>108</v>
      </c>
      <c r="E197" s="383" t="s">
        <v>519</v>
      </c>
      <c r="F197" s="380" t="s">
        <v>490</v>
      </c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7"/>
      <c r="T197" s="179"/>
      <c r="U197" s="178"/>
      <c r="V197" s="9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518"/>
      <c r="AH197" s="788"/>
      <c r="AI197" s="789"/>
      <c r="AJ197" s="517"/>
      <c r="AK197" s="518"/>
      <c r="AL197" s="518"/>
      <c r="AM197" s="518"/>
      <c r="AN197" s="518"/>
      <c r="AO197" s="518"/>
      <c r="AP197" s="518"/>
      <c r="AQ197" s="518"/>
      <c r="AR197" s="518"/>
      <c r="AS197" s="518"/>
      <c r="AT197" s="518"/>
      <c r="AU197" s="518"/>
      <c r="AV197" s="518"/>
      <c r="AW197" s="518"/>
      <c r="AX197" s="518"/>
      <c r="AY197" s="788"/>
      <c r="AZ197" s="789"/>
      <c r="BA197" s="517"/>
      <c r="BB197" s="518"/>
      <c r="BC197" s="518"/>
      <c r="BD197" s="518"/>
      <c r="BE197" s="518"/>
      <c r="BF197" s="518"/>
      <c r="BG197" s="518"/>
      <c r="BH197" s="518"/>
      <c r="BI197" s="518"/>
      <c r="BJ197" s="518"/>
      <c r="BK197" s="518"/>
      <c r="BL197" s="518"/>
      <c r="BN197" s="516"/>
      <c r="BO197" s="517"/>
      <c r="BP197" s="518"/>
      <c r="BQ197" s="518"/>
      <c r="BR197" s="518"/>
      <c r="BS197" s="518"/>
      <c r="BT197" s="518"/>
      <c r="BU197" s="518"/>
      <c r="BV197" s="518"/>
      <c r="BW197" s="518"/>
      <c r="BX197" s="518"/>
      <c r="BY197" s="518"/>
      <c r="BZ197" s="791"/>
      <c r="CB197" s="516"/>
      <c r="CC197" s="517"/>
      <c r="CD197" s="518"/>
      <c r="CE197" s="518"/>
      <c r="CF197" s="518"/>
      <c r="CG197" s="518"/>
      <c r="CH197" s="518"/>
      <c r="CI197" s="518"/>
      <c r="CJ197" s="518"/>
      <c r="CK197" s="518"/>
      <c r="CL197" s="518"/>
      <c r="CM197" s="518"/>
      <c r="CN197" s="791"/>
      <c r="CP197" s="647"/>
      <c r="CQ197" s="895"/>
      <c r="CR197" s="821"/>
      <c r="CS197" s="895"/>
      <c r="CT197" s="821"/>
      <c r="CU197" s="895">
        <v>11776000</v>
      </c>
      <c r="CV197" s="821"/>
      <c r="CW197" s="895"/>
      <c r="CX197" s="821"/>
      <c r="CY197" s="895"/>
      <c r="CZ197" s="821"/>
      <c r="DA197" s="895"/>
      <c r="DB197" s="821"/>
      <c r="DC197" s="895">
        <v>0</v>
      </c>
      <c r="DD197" s="518"/>
      <c r="DE197" s="518"/>
      <c r="DF197" s="518"/>
      <c r="DG197" s="748"/>
      <c r="DH197" s="518"/>
      <c r="DI197" s="518"/>
      <c r="DJ197" s="748"/>
      <c r="DK197" s="518"/>
      <c r="DL197" s="518"/>
      <c r="DM197" s="748"/>
      <c r="DN197" s="518"/>
      <c r="DO197" s="518"/>
      <c r="DP197" s="748"/>
      <c r="DQ197" s="493">
        <f t="shared" si="74"/>
        <v>11776000</v>
      </c>
      <c r="DR197" s="479">
        <f t="shared" si="75"/>
        <v>11776000</v>
      </c>
      <c r="DS197" s="1163"/>
      <c r="DT197" s="1163"/>
      <c r="DU197" s="1163"/>
      <c r="DV197" s="1163"/>
      <c r="DW197" s="1163"/>
      <c r="DX197" s="1163"/>
      <c r="DY197" s="1163"/>
      <c r="DZ197" s="1163"/>
      <c r="EA197" s="1163"/>
      <c r="EB197" s="1163"/>
      <c r="EC197" s="1163"/>
      <c r="ED197" s="1163"/>
      <c r="EE197" s="1119">
        <f t="shared" si="73"/>
        <v>0</v>
      </c>
      <c r="EF197" s="443">
        <f t="shared" si="76"/>
        <v>0</v>
      </c>
      <c r="EG197" s="355">
        <f t="shared" si="77"/>
        <v>0</v>
      </c>
      <c r="EH197" s="443">
        <f t="shared" si="65"/>
        <v>0</v>
      </c>
      <c r="EI197" s="443">
        <f t="shared" si="65"/>
        <v>0</v>
      </c>
    </row>
    <row r="198" spans="1:156" ht="15.5" outlineLevel="2">
      <c r="A198" s="367" t="s">
        <v>39</v>
      </c>
      <c r="B198" s="378"/>
      <c r="C198" s="370" t="s">
        <v>358</v>
      </c>
      <c r="D198" s="370" t="s">
        <v>108</v>
      </c>
      <c r="E198" s="396" t="s">
        <v>520</v>
      </c>
      <c r="F198" s="380" t="s">
        <v>521</v>
      </c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7"/>
      <c r="T198" s="179"/>
      <c r="U198" s="178"/>
      <c r="V198" s="9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518"/>
      <c r="AH198" s="788"/>
      <c r="AI198" s="789"/>
      <c r="AJ198" s="517"/>
      <c r="AK198" s="518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788"/>
      <c r="AZ198" s="789"/>
      <c r="BA198" s="517"/>
      <c r="BB198" s="518"/>
      <c r="BC198" s="518"/>
      <c r="BD198" s="518"/>
      <c r="BE198" s="518"/>
      <c r="BF198" s="518"/>
      <c r="BG198" s="518"/>
      <c r="BH198" s="518"/>
      <c r="BI198" s="518"/>
      <c r="BJ198" s="518"/>
      <c r="BK198" s="518"/>
      <c r="BL198" s="518"/>
      <c r="BN198" s="516"/>
      <c r="BO198" s="517"/>
      <c r="BP198" s="518"/>
      <c r="BQ198" s="518"/>
      <c r="BR198" s="518"/>
      <c r="BS198" s="518"/>
      <c r="BT198" s="518"/>
      <c r="BU198" s="518"/>
      <c r="BV198" s="518"/>
      <c r="BW198" s="518"/>
      <c r="BX198" s="518"/>
      <c r="BY198" s="518"/>
      <c r="BZ198" s="791"/>
      <c r="CB198" s="516"/>
      <c r="CC198" s="517"/>
      <c r="CD198" s="518"/>
      <c r="CE198" s="518"/>
      <c r="CF198" s="518"/>
      <c r="CG198" s="518"/>
      <c r="CH198" s="518"/>
      <c r="CI198" s="518"/>
      <c r="CJ198" s="518"/>
      <c r="CK198" s="518"/>
      <c r="CL198" s="518"/>
      <c r="CM198" s="518"/>
      <c r="CN198" s="791"/>
      <c r="CP198" s="647"/>
      <c r="CQ198" s="895"/>
      <c r="CR198" s="821"/>
      <c r="CS198" s="895"/>
      <c r="CT198" s="821"/>
      <c r="CU198" s="895"/>
      <c r="CV198" s="821"/>
      <c r="CW198" s="895"/>
      <c r="CX198" s="821"/>
      <c r="CY198" s="895"/>
      <c r="CZ198" s="821"/>
      <c r="DA198" s="895">
        <v>7150000</v>
      </c>
      <c r="DB198" s="821"/>
      <c r="DC198" s="895">
        <v>3200000</v>
      </c>
      <c r="DD198" s="518"/>
      <c r="DE198" s="518"/>
      <c r="DF198" s="518"/>
      <c r="DG198" s="748"/>
      <c r="DH198" s="518"/>
      <c r="DI198" s="518"/>
      <c r="DJ198" s="748"/>
      <c r="DK198" s="518"/>
      <c r="DL198" s="518"/>
      <c r="DM198" s="748"/>
      <c r="DN198" s="518"/>
      <c r="DO198" s="518"/>
      <c r="DP198" s="748"/>
      <c r="DQ198" s="493">
        <f t="shared" si="74"/>
        <v>10350000</v>
      </c>
      <c r="DR198" s="479">
        <f t="shared" si="75"/>
        <v>10350000</v>
      </c>
      <c r="DS198" s="1163">
        <v>3000000</v>
      </c>
      <c r="DT198" s="1163">
        <v>3000000</v>
      </c>
      <c r="DU198" s="1163">
        <v>3000000</v>
      </c>
      <c r="DV198" s="1163">
        <v>3000000</v>
      </c>
      <c r="DW198" s="1163">
        <v>3000000</v>
      </c>
      <c r="DX198" s="1163">
        <v>3000000</v>
      </c>
      <c r="DY198" s="1163">
        <v>3000000</v>
      </c>
      <c r="DZ198" s="1163">
        <v>3000000</v>
      </c>
      <c r="EA198" s="1163">
        <v>3000000</v>
      </c>
      <c r="EB198" s="1163">
        <v>3000000</v>
      </c>
      <c r="EC198" s="1163">
        <v>3000000</v>
      </c>
      <c r="ED198" s="1163">
        <v>3000000</v>
      </c>
      <c r="EE198" s="1119">
        <f t="shared" si="73"/>
        <v>36000000</v>
      </c>
      <c r="EF198" s="443">
        <f t="shared" si="76"/>
        <v>42120000</v>
      </c>
      <c r="EG198" s="355">
        <f t="shared" si="77"/>
        <v>45489600</v>
      </c>
      <c r="EH198" s="443">
        <f t="shared" si="65"/>
        <v>49583664</v>
      </c>
      <c r="EI198" s="443">
        <f t="shared" si="65"/>
        <v>54046193.760000005</v>
      </c>
    </row>
    <row r="199" spans="1:156" ht="15.5" outlineLevel="2">
      <c r="A199" s="367" t="s">
        <v>59</v>
      </c>
      <c r="B199" s="378"/>
      <c r="C199" s="370" t="s">
        <v>358</v>
      </c>
      <c r="D199" s="370" t="s">
        <v>108</v>
      </c>
      <c r="E199" s="383" t="s">
        <v>522</v>
      </c>
      <c r="F199" s="380">
        <v>3000020778</v>
      </c>
      <c r="G199" s="180"/>
      <c r="H199" s="180"/>
      <c r="I199" s="180"/>
      <c r="J199" s="180"/>
      <c r="K199" s="180"/>
      <c r="L199" s="180"/>
      <c r="M199" s="180"/>
      <c r="N199" s="180"/>
      <c r="O199" s="180"/>
      <c r="P199" s="180"/>
      <c r="Q199" s="180"/>
      <c r="R199" s="180"/>
      <c r="S199" s="6"/>
      <c r="T199" s="181"/>
      <c r="U199" s="180"/>
      <c r="V199" s="9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181"/>
      <c r="AI199" s="180"/>
      <c r="AJ199" s="517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518">
        <f>SUM(AI199,AJ199,AK199,AL199,AM199,AN199,AO199,AP199,AQ199,AR199,AS199,AT199)</f>
        <v>0</v>
      </c>
      <c r="AY199" s="181"/>
      <c r="AZ199" s="180"/>
      <c r="BA199" s="517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N199" s="19"/>
      <c r="BO199" s="517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799"/>
      <c r="CB199" s="19"/>
      <c r="CC199" s="517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P199" s="649"/>
      <c r="CQ199" s="985"/>
      <c r="CR199" s="986"/>
      <c r="CS199" s="985">
        <v>7125000</v>
      </c>
      <c r="CT199" s="986"/>
      <c r="CU199" s="985"/>
      <c r="CV199" s="986">
        <v>7125000</v>
      </c>
      <c r="CW199" s="985">
        <v>1000000</v>
      </c>
      <c r="CX199" s="986">
        <v>0</v>
      </c>
      <c r="CY199" s="985"/>
      <c r="CZ199" s="986">
        <v>7125000</v>
      </c>
      <c r="DA199" s="985"/>
      <c r="DB199" s="986">
        <v>7125000</v>
      </c>
      <c r="DC199" s="985">
        <v>0</v>
      </c>
      <c r="DD199" s="609">
        <v>7125000</v>
      </c>
      <c r="DE199" s="6"/>
      <c r="DF199" s="609">
        <v>7125000</v>
      </c>
      <c r="DG199" s="748"/>
      <c r="DH199" s="6"/>
      <c r="DI199" s="609">
        <v>7125000</v>
      </c>
      <c r="DJ199" s="748"/>
      <c r="DK199" s="6"/>
      <c r="DL199" s="609">
        <v>7125000</v>
      </c>
      <c r="DM199" s="748"/>
      <c r="DN199" s="6"/>
      <c r="DO199" s="609">
        <v>7125000</v>
      </c>
      <c r="DP199" s="748"/>
      <c r="DQ199" s="493">
        <f t="shared" si="74"/>
        <v>36625000</v>
      </c>
      <c r="DR199" s="479">
        <f t="shared" si="75"/>
        <v>8125000</v>
      </c>
      <c r="DS199" s="1162"/>
      <c r="DT199" s="1162"/>
      <c r="DU199" s="1162"/>
      <c r="DV199" s="1162"/>
      <c r="DW199" s="1162"/>
      <c r="DX199" s="1162"/>
      <c r="DY199" s="1162"/>
      <c r="DZ199" s="1162"/>
      <c r="EA199" s="1162"/>
      <c r="EB199" s="1162"/>
      <c r="EC199" s="1162"/>
      <c r="ED199" s="1162"/>
      <c r="EE199" s="1119">
        <f t="shared" si="73"/>
        <v>0</v>
      </c>
      <c r="EF199" s="443">
        <f t="shared" si="76"/>
        <v>0</v>
      </c>
      <c r="EG199" s="355">
        <f t="shared" si="77"/>
        <v>0</v>
      </c>
      <c r="EH199" s="443">
        <f t="shared" si="65"/>
        <v>0</v>
      </c>
      <c r="EI199" s="443">
        <f t="shared" si="65"/>
        <v>0</v>
      </c>
    </row>
    <row r="200" spans="1:156" ht="15.5" outlineLevel="2">
      <c r="A200" s="367" t="s">
        <v>43</v>
      </c>
      <c r="B200" s="378"/>
      <c r="C200" s="370" t="s">
        <v>358</v>
      </c>
      <c r="D200" s="370" t="s">
        <v>108</v>
      </c>
      <c r="E200" s="383" t="s">
        <v>523</v>
      </c>
      <c r="F200" s="380" t="s">
        <v>524</v>
      </c>
      <c r="G200" s="180"/>
      <c r="H200" s="180"/>
      <c r="I200" s="180"/>
      <c r="J200" s="180"/>
      <c r="K200" s="180"/>
      <c r="L200" s="180"/>
      <c r="M200" s="180"/>
      <c r="N200" s="180"/>
      <c r="O200" s="180"/>
      <c r="P200" s="180"/>
      <c r="Q200" s="180"/>
      <c r="R200" s="180"/>
      <c r="S200" s="6"/>
      <c r="T200" s="181"/>
      <c r="U200" s="180"/>
      <c r="V200" s="586"/>
      <c r="W200" s="189"/>
      <c r="X200" s="189"/>
      <c r="Y200" s="189"/>
      <c r="Z200" s="189"/>
      <c r="AA200" s="189"/>
      <c r="AB200" s="189"/>
      <c r="AC200" s="189"/>
      <c r="AD200" s="189"/>
      <c r="AE200" s="189"/>
      <c r="AF200" s="189"/>
      <c r="AG200" s="6"/>
      <c r="AH200" s="181"/>
      <c r="AI200" s="180"/>
      <c r="AJ200" s="517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518"/>
      <c r="AY200" s="181"/>
      <c r="AZ200" s="180"/>
      <c r="BA200" s="517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N200" s="19"/>
      <c r="BO200" s="517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799"/>
      <c r="CB200" s="19"/>
      <c r="CC200" s="517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P200" s="649"/>
      <c r="CQ200" s="985"/>
      <c r="CR200" s="986"/>
      <c r="CS200" s="985"/>
      <c r="CT200" s="986"/>
      <c r="CU200" s="985"/>
      <c r="CV200" s="986"/>
      <c r="CW200" s="985"/>
      <c r="CX200" s="986"/>
      <c r="CY200" s="985"/>
      <c r="CZ200" s="986"/>
      <c r="DA200" s="985"/>
      <c r="DB200" s="986"/>
      <c r="DC200" s="985">
        <v>6650000</v>
      </c>
      <c r="DD200" s="609"/>
      <c r="DE200" s="6"/>
      <c r="DF200" s="609"/>
      <c r="DG200" s="748"/>
      <c r="DH200" s="6"/>
      <c r="DI200" s="609"/>
      <c r="DJ200" s="748"/>
      <c r="DK200" s="6"/>
      <c r="DL200" s="609"/>
      <c r="DM200" s="748"/>
      <c r="DN200" s="6"/>
      <c r="DO200" s="609"/>
      <c r="DP200" s="748"/>
      <c r="DQ200" s="493">
        <f t="shared" si="74"/>
        <v>6650000</v>
      </c>
      <c r="DR200" s="479">
        <f t="shared" si="75"/>
        <v>6650000</v>
      </c>
      <c r="DS200" s="1162">
        <v>100000000</v>
      </c>
      <c r="DT200" s="1162">
        <v>100000000</v>
      </c>
      <c r="DU200" s="1162">
        <v>100000000</v>
      </c>
      <c r="DV200" s="1162">
        <v>50000000</v>
      </c>
      <c r="DW200" s="1162">
        <v>50000000</v>
      </c>
      <c r="DX200" s="1162">
        <v>150000000</v>
      </c>
      <c r="DY200" s="1162">
        <v>150000000</v>
      </c>
      <c r="DZ200" s="1162">
        <v>150000000</v>
      </c>
      <c r="EA200" s="1162">
        <v>150000000</v>
      </c>
      <c r="EB200" s="1162">
        <v>200000000</v>
      </c>
      <c r="EC200" s="1162">
        <v>200000000</v>
      </c>
      <c r="ED200" s="1162">
        <v>200000000</v>
      </c>
      <c r="EE200" s="1119">
        <f t="shared" si="73"/>
        <v>1600000000</v>
      </c>
      <c r="EF200" s="443">
        <f t="shared" si="76"/>
        <v>1872000000</v>
      </c>
      <c r="EG200" s="355">
        <f t="shared" si="77"/>
        <v>2021760000.0000002</v>
      </c>
      <c r="EH200" s="443">
        <f t="shared" si="65"/>
        <v>2203718400.0000005</v>
      </c>
      <c r="EI200" s="443">
        <f t="shared" si="65"/>
        <v>2402053056.0000005</v>
      </c>
    </row>
    <row r="201" spans="1:156" ht="15.5" outlineLevel="2">
      <c r="A201" s="367" t="s">
        <v>39</v>
      </c>
      <c r="B201" s="378"/>
      <c r="C201" s="370" t="s">
        <v>358</v>
      </c>
      <c r="D201" s="370" t="s">
        <v>108</v>
      </c>
      <c r="E201" s="383" t="s">
        <v>525</v>
      </c>
      <c r="F201" s="380">
        <v>3000018696</v>
      </c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7">
        <f>SUM(G201,H201,I201,J201,K201,L201,M201,N201,O201,P201,Q201,R201)</f>
        <v>0</v>
      </c>
      <c r="T201" s="179"/>
      <c r="U201" s="178">
        <v>0</v>
      </c>
      <c r="V201" s="178">
        <v>0</v>
      </c>
      <c r="W201" s="178">
        <v>0</v>
      </c>
      <c r="X201" s="178">
        <v>0</v>
      </c>
      <c r="Y201" s="178">
        <v>0</v>
      </c>
      <c r="Z201" s="178">
        <v>0</v>
      </c>
      <c r="AA201" s="178">
        <v>0</v>
      </c>
      <c r="AB201" s="178">
        <v>88200000</v>
      </c>
      <c r="AC201" s="178">
        <v>18900000</v>
      </c>
      <c r="AD201" s="178">
        <v>0</v>
      </c>
      <c r="AE201" s="178">
        <v>32488444</v>
      </c>
      <c r="AF201" s="178">
        <v>-32488444</v>
      </c>
      <c r="AG201" s="518">
        <f>SUM(U201,V201,W201,X201,Y201,Z201,AA201,AB201,AC201,AD201,AE201,AF201)</f>
        <v>107100000</v>
      </c>
      <c r="AH201" s="788"/>
      <c r="AI201" s="789"/>
      <c r="AJ201" s="517"/>
      <c r="AK201" s="518"/>
      <c r="AL201" s="518"/>
      <c r="AM201" s="518"/>
      <c r="AN201" s="518"/>
      <c r="AO201" s="518"/>
      <c r="AP201" s="518"/>
      <c r="AQ201" s="518">
        <v>0</v>
      </c>
      <c r="AR201" s="518"/>
      <c r="AS201" s="518"/>
      <c r="AT201" s="518"/>
      <c r="AU201" s="518"/>
      <c r="AV201" s="518"/>
      <c r="AW201" s="518"/>
      <c r="AX201" s="518">
        <f>SUM(AI201,AJ201,AK201,AL201,AM201,AN201,AO201,AP201,AQ201,AR201,AS201,AT201)</f>
        <v>0</v>
      </c>
      <c r="AY201" s="788"/>
      <c r="AZ201" s="789"/>
      <c r="BA201" s="517"/>
      <c r="BB201" s="518"/>
      <c r="BC201" s="518"/>
      <c r="BD201" s="518"/>
      <c r="BE201" s="518"/>
      <c r="BF201" s="518"/>
      <c r="BG201" s="518">
        <f>AP201</f>
        <v>0</v>
      </c>
      <c r="BH201" s="518">
        <v>0</v>
      </c>
      <c r="BI201" s="518">
        <v>0</v>
      </c>
      <c r="BJ201" s="518">
        <v>0</v>
      </c>
      <c r="BK201" s="518">
        <v>0</v>
      </c>
      <c r="BL201" s="518">
        <f>SUM(AZ201,BA201,BB201,BC201,BD201,BE201,BF201,BG201,BH201,BI201,BJ201,BK201)</f>
        <v>0</v>
      </c>
      <c r="BN201" s="518"/>
      <c r="BO201" s="518"/>
      <c r="BP201" s="518"/>
      <c r="BQ201" s="518"/>
      <c r="BR201" s="518"/>
      <c r="BS201" s="518"/>
      <c r="BT201" s="518"/>
      <c r="BU201" s="518"/>
      <c r="BV201" s="518"/>
      <c r="BW201" s="518"/>
      <c r="BX201" s="518"/>
      <c r="BY201" s="518"/>
      <c r="BZ201" s="791">
        <v>0</v>
      </c>
      <c r="CB201" s="518"/>
      <c r="CC201" s="518"/>
      <c r="CD201" s="518"/>
      <c r="CE201" s="518"/>
      <c r="CF201" s="518"/>
      <c r="CG201" s="518"/>
      <c r="CH201" s="518"/>
      <c r="CI201" s="518"/>
      <c r="CJ201" s="518"/>
      <c r="CK201" s="518"/>
      <c r="CL201" s="518"/>
      <c r="CM201" s="518"/>
      <c r="CN201" s="791">
        <v>0</v>
      </c>
      <c r="CP201" s="647"/>
      <c r="CQ201" s="895"/>
      <c r="CR201" s="821">
        <v>200000000</v>
      </c>
      <c r="CS201" s="895"/>
      <c r="CT201" s="821">
        <f>17*65000*27*22</f>
        <v>656370000</v>
      </c>
      <c r="CU201" s="895"/>
      <c r="CV201" s="821">
        <f>17*65000*27*22</f>
        <v>656370000</v>
      </c>
      <c r="CW201" s="895"/>
      <c r="CX201" s="821">
        <f>10*65000*27*22</f>
        <v>386100000</v>
      </c>
      <c r="CY201" s="895"/>
      <c r="CZ201" s="821">
        <f>17*65000*27*22</f>
        <v>656370000</v>
      </c>
      <c r="DA201" s="895"/>
      <c r="DB201" s="821">
        <f>17*65000*27*22+300000000</f>
        <v>956370000</v>
      </c>
      <c r="DC201" s="895">
        <v>0</v>
      </c>
      <c r="DD201" s="518">
        <f>17*65000*27*22+300000000</f>
        <v>956370000</v>
      </c>
      <c r="DE201" s="518"/>
      <c r="DF201" s="518">
        <f>17*65000*27*22+300000000</f>
        <v>956370000</v>
      </c>
      <c r="DG201" s="748">
        <f>17*65000*27*22+300000000</f>
        <v>956370000</v>
      </c>
      <c r="DH201" s="518"/>
      <c r="DI201" s="518">
        <f>17*65000*27*22+300000000</f>
        <v>956370000</v>
      </c>
      <c r="DJ201" s="748">
        <f>17*65000*27*22+300000000</f>
        <v>956370000</v>
      </c>
      <c r="DK201" s="518"/>
      <c r="DL201" s="518">
        <f>17*65000*27*22+300000000</f>
        <v>956370000</v>
      </c>
      <c r="DM201" s="748">
        <f>17*65000*27*22+300000000</f>
        <v>956370000</v>
      </c>
      <c r="DN201" s="518"/>
      <c r="DO201" s="518">
        <f>17*65000*27*22+300000000</f>
        <v>956370000</v>
      </c>
      <c r="DP201" s="748">
        <f>17*65000*27*22+300000000</f>
        <v>956370000</v>
      </c>
      <c r="DQ201" s="493">
        <f t="shared" si="74"/>
        <v>3825480000</v>
      </c>
      <c r="DR201" s="479">
        <f t="shared" si="75"/>
        <v>3825480000</v>
      </c>
      <c r="DS201" s="1163"/>
      <c r="DT201" s="1163"/>
      <c r="DU201" s="1163"/>
      <c r="DV201" s="1163"/>
      <c r="DW201" s="1163"/>
      <c r="DX201" s="1163"/>
      <c r="DY201" s="1163"/>
      <c r="DZ201" s="1163"/>
      <c r="EA201" s="1163"/>
      <c r="EB201" s="1163"/>
      <c r="EC201" s="1163"/>
      <c r="ED201" s="1163"/>
      <c r="EE201" s="1119">
        <f t="shared" si="73"/>
        <v>0</v>
      </c>
      <c r="EF201" s="443">
        <f t="shared" si="76"/>
        <v>0</v>
      </c>
      <c r="EG201" s="355">
        <f t="shared" si="77"/>
        <v>0</v>
      </c>
      <c r="EH201" s="443">
        <f t="shared" si="65"/>
        <v>0</v>
      </c>
      <c r="EI201" s="443">
        <f t="shared" si="65"/>
        <v>0</v>
      </c>
      <c r="EJ201" s="367">
        <v>3000018696</v>
      </c>
    </row>
    <row r="202" spans="1:156" ht="15.5" outlineLevel="2">
      <c r="A202" s="367" t="s">
        <v>43</v>
      </c>
      <c r="B202" s="378"/>
      <c r="C202" s="370" t="s">
        <v>358</v>
      </c>
      <c r="D202" s="370" t="s">
        <v>108</v>
      </c>
      <c r="E202" s="383" t="s">
        <v>452</v>
      </c>
      <c r="F202" s="380" t="s">
        <v>526</v>
      </c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7"/>
      <c r="T202" s="179"/>
      <c r="U202" s="178"/>
      <c r="V202" s="9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518"/>
      <c r="AH202" s="788"/>
      <c r="AI202" s="789"/>
      <c r="AJ202" s="517"/>
      <c r="AK202" s="518"/>
      <c r="AL202" s="518"/>
      <c r="AM202" s="518"/>
      <c r="AN202" s="518"/>
      <c r="AO202" s="518"/>
      <c r="AP202" s="518"/>
      <c r="AQ202" s="518"/>
      <c r="AR202" s="518"/>
      <c r="AS202" s="518"/>
      <c r="AT202" s="518"/>
      <c r="AU202" s="518"/>
      <c r="AV202" s="518"/>
      <c r="AW202" s="518"/>
      <c r="AX202" s="518"/>
      <c r="AY202" s="788"/>
      <c r="AZ202" s="789"/>
      <c r="BA202" s="517"/>
      <c r="BB202" s="518"/>
      <c r="BC202" s="518"/>
      <c r="BD202" s="518"/>
      <c r="BE202" s="518"/>
      <c r="BF202" s="518"/>
      <c r="BG202" s="518"/>
      <c r="BH202" s="518"/>
      <c r="BI202" s="518"/>
      <c r="BJ202" s="518"/>
      <c r="BK202" s="518"/>
      <c r="BL202" s="518"/>
      <c r="BN202" s="516"/>
      <c r="BO202" s="517"/>
      <c r="BP202" s="518"/>
      <c r="BQ202" s="518"/>
      <c r="BR202" s="518"/>
      <c r="BS202" s="518"/>
      <c r="BT202" s="518"/>
      <c r="BU202" s="518"/>
      <c r="BV202" s="518"/>
      <c r="BW202" s="518"/>
      <c r="BX202" s="518"/>
      <c r="BY202" s="518"/>
      <c r="BZ202" s="791"/>
      <c r="CB202" s="516"/>
      <c r="CC202" s="517"/>
      <c r="CD202" s="518"/>
      <c r="CE202" s="518"/>
      <c r="CF202" s="518"/>
      <c r="CG202" s="518"/>
      <c r="CH202" s="518"/>
      <c r="CI202" s="518"/>
      <c r="CJ202" s="518"/>
      <c r="CK202" s="518"/>
      <c r="CL202" s="518"/>
      <c r="CM202" s="518"/>
      <c r="CN202" s="791"/>
      <c r="CP202" s="647"/>
      <c r="CQ202" s="895"/>
      <c r="CR202" s="821"/>
      <c r="CS202" s="895">
        <v>12700000</v>
      </c>
      <c r="CT202" s="821"/>
      <c r="CU202" s="895"/>
      <c r="CV202" s="821"/>
      <c r="CW202" s="895"/>
      <c r="CX202" s="821"/>
      <c r="CY202" s="895"/>
      <c r="CZ202" s="821"/>
      <c r="DA202" s="895"/>
      <c r="DB202" s="821"/>
      <c r="DC202" s="895">
        <v>0</v>
      </c>
      <c r="DD202" s="518"/>
      <c r="DE202" s="518"/>
      <c r="DF202" s="518"/>
      <c r="DG202" s="748"/>
      <c r="DH202" s="518"/>
      <c r="DI202" s="518"/>
      <c r="DJ202" s="748"/>
      <c r="DK202" s="518"/>
      <c r="DL202" s="518"/>
      <c r="DM202" s="748"/>
      <c r="DN202" s="518"/>
      <c r="DO202" s="518"/>
      <c r="DP202" s="748"/>
      <c r="DQ202" s="493">
        <f t="shared" si="74"/>
        <v>12700000</v>
      </c>
      <c r="DR202" s="479">
        <f t="shared" si="75"/>
        <v>12700000</v>
      </c>
      <c r="DS202" s="1163"/>
      <c r="DT202" s="1163"/>
      <c r="DU202" s="1163"/>
      <c r="DV202" s="1163"/>
      <c r="DW202" s="1163"/>
      <c r="DX202" s="1163"/>
      <c r="DY202" s="1163"/>
      <c r="DZ202" s="1163"/>
      <c r="EA202" s="1163"/>
      <c r="EB202" s="1163"/>
      <c r="EC202" s="1163"/>
      <c r="ED202" s="1163"/>
      <c r="EE202" s="1119">
        <f t="shared" si="73"/>
        <v>0</v>
      </c>
      <c r="EF202" s="443">
        <f t="shared" si="76"/>
        <v>0</v>
      </c>
      <c r="EG202" s="355">
        <f t="shared" si="77"/>
        <v>0</v>
      </c>
      <c r="EH202" s="443">
        <f t="shared" si="65"/>
        <v>0</v>
      </c>
      <c r="EI202" s="443">
        <f t="shared" si="65"/>
        <v>0</v>
      </c>
    </row>
    <row r="203" spans="1:156" ht="15.5" outlineLevel="2">
      <c r="A203" s="367" t="s">
        <v>59</v>
      </c>
      <c r="B203" s="378"/>
      <c r="C203" s="370" t="s">
        <v>358</v>
      </c>
      <c r="D203" s="370" t="s">
        <v>108</v>
      </c>
      <c r="E203" s="396" t="s">
        <v>175</v>
      </c>
      <c r="F203" s="380" t="s">
        <v>527</v>
      </c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7"/>
      <c r="T203" s="179"/>
      <c r="U203" s="178"/>
      <c r="V203" s="9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518"/>
      <c r="AH203" s="788"/>
      <c r="AI203" s="789"/>
      <c r="AJ203" s="517"/>
      <c r="AK203" s="518"/>
      <c r="AL203" s="518"/>
      <c r="AM203" s="518"/>
      <c r="AN203" s="518"/>
      <c r="AO203" s="518"/>
      <c r="AP203" s="518"/>
      <c r="AQ203" s="518"/>
      <c r="AR203" s="518"/>
      <c r="AS203" s="518"/>
      <c r="AT203" s="518"/>
      <c r="AU203" s="518"/>
      <c r="AV203" s="518"/>
      <c r="AW203" s="518"/>
      <c r="AX203" s="518"/>
      <c r="AY203" s="788"/>
      <c r="AZ203" s="789"/>
      <c r="BA203" s="517"/>
      <c r="BB203" s="518"/>
      <c r="BC203" s="518"/>
      <c r="BD203" s="518"/>
      <c r="BE203" s="518"/>
      <c r="BF203" s="518"/>
      <c r="BG203" s="518"/>
      <c r="BH203" s="518"/>
      <c r="BI203" s="518"/>
      <c r="BJ203" s="518"/>
      <c r="BK203" s="518"/>
      <c r="BL203" s="518"/>
      <c r="BN203" s="516"/>
      <c r="BO203" s="517"/>
      <c r="BP203" s="518"/>
      <c r="BQ203" s="518"/>
      <c r="BR203" s="518"/>
      <c r="BS203" s="518"/>
      <c r="BT203" s="518"/>
      <c r="BU203" s="518"/>
      <c r="BV203" s="518"/>
      <c r="BW203" s="518"/>
      <c r="BX203" s="518"/>
      <c r="BY203" s="518"/>
      <c r="BZ203" s="791"/>
      <c r="CB203" s="516"/>
      <c r="CC203" s="517"/>
      <c r="CD203" s="518"/>
      <c r="CE203" s="518"/>
      <c r="CF203" s="518"/>
      <c r="CG203" s="518"/>
      <c r="CH203" s="518"/>
      <c r="CI203" s="518"/>
      <c r="CJ203" s="518"/>
      <c r="CK203" s="518"/>
      <c r="CL203" s="518"/>
      <c r="CM203" s="518"/>
      <c r="CN203" s="791"/>
      <c r="CP203" s="647"/>
      <c r="CQ203" s="895"/>
      <c r="CR203" s="821"/>
      <c r="CS203" s="895"/>
      <c r="CT203" s="821"/>
      <c r="CU203" s="895"/>
      <c r="CV203" s="821"/>
      <c r="CW203" s="895"/>
      <c r="CX203" s="821"/>
      <c r="CY203" s="895"/>
      <c r="CZ203" s="821"/>
      <c r="DA203" s="895">
        <v>10500000</v>
      </c>
      <c r="DB203" s="821"/>
      <c r="DC203" s="895">
        <v>0</v>
      </c>
      <c r="DD203" s="518"/>
      <c r="DE203" s="518"/>
      <c r="DF203" s="518"/>
      <c r="DG203" s="748"/>
      <c r="DH203" s="518"/>
      <c r="DI203" s="518"/>
      <c r="DJ203" s="748"/>
      <c r="DK203" s="518"/>
      <c r="DL203" s="518"/>
      <c r="DM203" s="748"/>
      <c r="DN203" s="518"/>
      <c r="DO203" s="518"/>
      <c r="DP203" s="748"/>
      <c r="DQ203" s="493">
        <f t="shared" si="74"/>
        <v>10500000</v>
      </c>
      <c r="DR203" s="479">
        <f t="shared" si="75"/>
        <v>10500000</v>
      </c>
      <c r="DS203" s="1163"/>
      <c r="DT203" s="1163"/>
      <c r="DU203" s="1163"/>
      <c r="DV203" s="1163"/>
      <c r="DW203" s="1163"/>
      <c r="DX203" s="1163"/>
      <c r="DY203" s="1163"/>
      <c r="DZ203" s="1163"/>
      <c r="EA203" s="1163"/>
      <c r="EB203" s="1163"/>
      <c r="EC203" s="1163"/>
      <c r="ED203" s="1163"/>
      <c r="EE203" s="1119">
        <f t="shared" si="73"/>
        <v>0</v>
      </c>
      <c r="EF203" s="443">
        <f t="shared" si="76"/>
        <v>0</v>
      </c>
      <c r="EG203" s="355">
        <f t="shared" si="77"/>
        <v>0</v>
      </c>
      <c r="EH203" s="443">
        <f t="shared" si="65"/>
        <v>0</v>
      </c>
      <c r="EI203" s="443">
        <f t="shared" si="65"/>
        <v>0</v>
      </c>
    </row>
    <row r="204" spans="1:156" ht="15.5" outlineLevel="2">
      <c r="A204" s="367" t="s">
        <v>59</v>
      </c>
      <c r="B204" s="378"/>
      <c r="C204" s="370" t="s">
        <v>358</v>
      </c>
      <c r="D204" s="370" t="s">
        <v>108</v>
      </c>
      <c r="E204" s="383" t="s">
        <v>528</v>
      </c>
      <c r="F204" s="380" t="s">
        <v>529</v>
      </c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7"/>
      <c r="T204" s="179"/>
      <c r="U204" s="178"/>
      <c r="V204" s="9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518"/>
      <c r="AH204" s="788"/>
      <c r="AI204" s="789"/>
      <c r="AJ204" s="517"/>
      <c r="AK204" s="518"/>
      <c r="AL204" s="518"/>
      <c r="AM204" s="518"/>
      <c r="AN204" s="518"/>
      <c r="AO204" s="518"/>
      <c r="AP204" s="518"/>
      <c r="AQ204" s="518"/>
      <c r="AR204" s="518"/>
      <c r="AS204" s="518"/>
      <c r="AT204" s="518"/>
      <c r="AU204" s="518"/>
      <c r="AV204" s="518"/>
      <c r="AW204" s="518"/>
      <c r="AX204" s="518"/>
      <c r="AY204" s="788"/>
      <c r="AZ204" s="789"/>
      <c r="BA204" s="517"/>
      <c r="BB204" s="518"/>
      <c r="BC204" s="518"/>
      <c r="BD204" s="518"/>
      <c r="BE204" s="518"/>
      <c r="BF204" s="518"/>
      <c r="BG204" s="518"/>
      <c r="BH204" s="518"/>
      <c r="BI204" s="518"/>
      <c r="BJ204" s="518"/>
      <c r="BK204" s="518"/>
      <c r="BL204" s="518"/>
      <c r="BN204" s="516"/>
      <c r="BO204" s="517"/>
      <c r="BP204" s="518"/>
      <c r="BQ204" s="518"/>
      <c r="BR204" s="518"/>
      <c r="BS204" s="518"/>
      <c r="BT204" s="518"/>
      <c r="BU204" s="518"/>
      <c r="BV204" s="518"/>
      <c r="BW204" s="518"/>
      <c r="BX204" s="518"/>
      <c r="BY204" s="518"/>
      <c r="BZ204" s="791"/>
      <c r="CB204" s="516"/>
      <c r="CC204" s="517"/>
      <c r="CD204" s="518"/>
      <c r="CE204" s="518"/>
      <c r="CF204" s="518"/>
      <c r="CG204" s="518"/>
      <c r="CH204" s="518"/>
      <c r="CI204" s="518"/>
      <c r="CJ204" s="518"/>
      <c r="CK204" s="518"/>
      <c r="CL204" s="518"/>
      <c r="CM204" s="518"/>
      <c r="CN204" s="791"/>
      <c r="CP204" s="647"/>
      <c r="CQ204" s="895"/>
      <c r="CR204" s="821"/>
      <c r="CS204" s="895"/>
      <c r="CT204" s="821"/>
      <c r="CU204" s="895"/>
      <c r="CV204" s="821"/>
      <c r="CW204" s="895"/>
      <c r="CX204" s="821"/>
      <c r="CY204" s="895">
        <v>321200</v>
      </c>
      <c r="CZ204" s="821"/>
      <c r="DA204" s="895"/>
      <c r="DB204" s="821"/>
      <c r="DC204" s="895">
        <v>321200</v>
      </c>
      <c r="DD204" s="518"/>
      <c r="DE204" s="518"/>
      <c r="DF204" s="518"/>
      <c r="DG204" s="748"/>
      <c r="DH204" s="518"/>
      <c r="DI204" s="518"/>
      <c r="DJ204" s="748"/>
      <c r="DK204" s="518"/>
      <c r="DL204" s="518"/>
      <c r="DM204" s="748"/>
      <c r="DN204" s="518"/>
      <c r="DO204" s="518"/>
      <c r="DP204" s="748"/>
      <c r="DQ204" s="493">
        <f t="shared" si="74"/>
        <v>642400</v>
      </c>
      <c r="DR204" s="479">
        <f t="shared" si="75"/>
        <v>642400</v>
      </c>
      <c r="DS204" s="1163"/>
      <c r="DT204" s="1163"/>
      <c r="DU204" s="1163"/>
      <c r="DV204" s="1163"/>
      <c r="DW204" s="1163"/>
      <c r="DX204" s="1163"/>
      <c r="DY204" s="1163"/>
      <c r="DZ204" s="1163"/>
      <c r="EA204" s="1163"/>
      <c r="EB204" s="1163"/>
      <c r="EC204" s="1163"/>
      <c r="ED204" s="1163"/>
      <c r="EE204" s="1119">
        <f t="shared" si="73"/>
        <v>0</v>
      </c>
      <c r="EF204" s="443">
        <f t="shared" si="76"/>
        <v>0</v>
      </c>
      <c r="EG204" s="355">
        <f t="shared" si="77"/>
        <v>0</v>
      </c>
      <c r="EH204" s="443">
        <f t="shared" si="65"/>
        <v>0</v>
      </c>
      <c r="EI204" s="443">
        <f t="shared" si="65"/>
        <v>0</v>
      </c>
    </row>
    <row r="205" spans="1:156" ht="15.5" outlineLevel="2">
      <c r="A205" s="367" t="s">
        <v>43</v>
      </c>
      <c r="B205" s="378"/>
      <c r="C205" s="370" t="s">
        <v>358</v>
      </c>
      <c r="D205" s="370" t="s">
        <v>108</v>
      </c>
      <c r="E205" s="383" t="s">
        <v>530</v>
      </c>
      <c r="F205" s="380">
        <v>3000005009</v>
      </c>
      <c r="G205" s="180"/>
      <c r="H205" s="180"/>
      <c r="I205" s="180"/>
      <c r="J205" s="180"/>
      <c r="K205" s="180"/>
      <c r="L205" s="180"/>
      <c r="M205" s="180"/>
      <c r="N205" s="180"/>
      <c r="O205" s="180"/>
      <c r="P205" s="180"/>
      <c r="Q205" s="180"/>
      <c r="R205" s="180"/>
      <c r="S205" s="6"/>
      <c r="T205" s="181"/>
      <c r="U205" s="180"/>
      <c r="V205" s="9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181"/>
      <c r="AI205" s="180"/>
      <c r="AJ205" s="517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518">
        <f>SUM(AI205,AJ205,AK205,AL205,AM205,AN205,AO205,AP205,AQ205,AR205,AS205,AT205)</f>
        <v>0</v>
      </c>
      <c r="AY205" s="181"/>
      <c r="AZ205" s="180"/>
      <c r="BA205" s="517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N205" s="19"/>
      <c r="BO205" s="517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799"/>
      <c r="CB205" s="19"/>
      <c r="CC205" s="517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P205" s="649"/>
      <c r="CQ205" s="985"/>
      <c r="CR205" s="986"/>
      <c r="CS205" s="985">
        <v>12400000</v>
      </c>
      <c r="CT205" s="986"/>
      <c r="CU205" s="985"/>
      <c r="CV205" s="986">
        <v>12400000</v>
      </c>
      <c r="CW205" s="985">
        <v>5700000</v>
      </c>
      <c r="CX205" s="986">
        <v>12400000</v>
      </c>
      <c r="CY205" s="985">
        <v>15000000</v>
      </c>
      <c r="CZ205" s="986">
        <v>12400000</v>
      </c>
      <c r="DA205" s="985"/>
      <c r="DB205" s="986">
        <v>12400000</v>
      </c>
      <c r="DC205" s="985">
        <v>0</v>
      </c>
      <c r="DD205" s="609">
        <v>12400000</v>
      </c>
      <c r="DE205" s="6"/>
      <c r="DF205" s="609">
        <v>12400000</v>
      </c>
      <c r="DG205" s="748">
        <v>12400000</v>
      </c>
      <c r="DH205" s="6"/>
      <c r="DI205" s="609">
        <v>12400000</v>
      </c>
      <c r="DJ205" s="748">
        <v>12400000</v>
      </c>
      <c r="DK205" s="6"/>
      <c r="DL205" s="609">
        <v>12400000</v>
      </c>
      <c r="DM205" s="748">
        <v>12400000</v>
      </c>
      <c r="DN205" s="6"/>
      <c r="DO205" s="609">
        <v>12400000</v>
      </c>
      <c r="DP205" s="748">
        <v>12400000</v>
      </c>
      <c r="DQ205" s="493">
        <f t="shared" si="74"/>
        <v>82700000</v>
      </c>
      <c r="DR205" s="479">
        <f t="shared" si="75"/>
        <v>82700000</v>
      </c>
      <c r="DS205" s="1162"/>
      <c r="DT205" s="1162"/>
      <c r="DU205" s="1162"/>
      <c r="DV205" s="1162"/>
      <c r="DW205" s="1162"/>
      <c r="DX205" s="1162"/>
      <c r="DY205" s="1162"/>
      <c r="DZ205" s="1162"/>
      <c r="EA205" s="1162"/>
      <c r="EB205" s="1162"/>
      <c r="EC205" s="1162"/>
      <c r="ED205" s="1162"/>
      <c r="EE205" s="1119">
        <f t="shared" si="73"/>
        <v>0</v>
      </c>
      <c r="EF205" s="443">
        <f t="shared" si="76"/>
        <v>0</v>
      </c>
      <c r="EG205" s="355">
        <f t="shared" si="77"/>
        <v>0</v>
      </c>
      <c r="EH205" s="443">
        <f t="shared" si="65"/>
        <v>0</v>
      </c>
      <c r="EI205" s="443">
        <f t="shared" si="65"/>
        <v>0</v>
      </c>
    </row>
    <row r="206" spans="1:156" ht="15.5" outlineLevel="2">
      <c r="A206" s="367" t="s">
        <v>39</v>
      </c>
      <c r="B206" s="378"/>
      <c r="C206" s="370" t="s">
        <v>358</v>
      </c>
      <c r="D206" s="370" t="s">
        <v>108</v>
      </c>
      <c r="E206" s="383" t="s">
        <v>176</v>
      </c>
      <c r="F206" s="380">
        <v>3000006166</v>
      </c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7"/>
      <c r="T206" s="179"/>
      <c r="U206" s="178"/>
      <c r="V206" s="9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518"/>
      <c r="AH206" s="788"/>
      <c r="AI206" s="789"/>
      <c r="AJ206" s="517"/>
      <c r="AK206" s="518"/>
      <c r="AL206" s="518"/>
      <c r="AM206" s="518"/>
      <c r="AN206" s="518"/>
      <c r="AO206" s="518"/>
      <c r="AP206" s="518"/>
      <c r="AQ206" s="518"/>
      <c r="AR206" s="518"/>
      <c r="AS206" s="518"/>
      <c r="AT206" s="518"/>
      <c r="AU206" s="518"/>
      <c r="AV206" s="518"/>
      <c r="AW206" s="518"/>
      <c r="AX206" s="518"/>
      <c r="AY206" s="788"/>
      <c r="AZ206" s="789"/>
      <c r="BA206" s="517"/>
      <c r="BB206" s="518"/>
      <c r="BC206" s="518"/>
      <c r="BD206" s="518"/>
      <c r="BE206" s="518"/>
      <c r="BF206" s="518"/>
      <c r="BG206" s="518"/>
      <c r="BH206" s="518"/>
      <c r="BI206" s="518"/>
      <c r="BJ206" s="518"/>
      <c r="BK206" s="518"/>
      <c r="BL206" s="518"/>
      <c r="BN206" s="516"/>
      <c r="BO206" s="517"/>
      <c r="BP206" s="518"/>
      <c r="BQ206" s="518"/>
      <c r="BR206" s="518"/>
      <c r="BS206" s="518"/>
      <c r="BT206" s="518"/>
      <c r="BU206" s="518"/>
      <c r="BV206" s="518"/>
      <c r="BW206" s="518"/>
      <c r="BX206" s="518"/>
      <c r="BY206" s="518"/>
      <c r="BZ206" s="791">
        <v>0</v>
      </c>
      <c r="CB206" s="516"/>
      <c r="CC206" s="517"/>
      <c r="CD206" s="518"/>
      <c r="CE206" s="518"/>
      <c r="CF206" s="518"/>
      <c r="CG206" s="518"/>
      <c r="CH206" s="518"/>
      <c r="CI206" s="518"/>
      <c r="CJ206" s="518"/>
      <c r="CK206" s="518"/>
      <c r="CL206" s="518"/>
      <c r="CM206" s="518"/>
      <c r="CN206" s="791">
        <v>0</v>
      </c>
      <c r="CP206" s="647">
        <v>11350000</v>
      </c>
      <c r="CQ206" s="895">
        <v>20800000</v>
      </c>
      <c r="CR206" s="821">
        <v>11350000</v>
      </c>
      <c r="CS206" s="895">
        <v>7285000</v>
      </c>
      <c r="CT206" s="821">
        <v>20000000</v>
      </c>
      <c r="CU206" s="895"/>
      <c r="CV206" s="821">
        <v>20000000</v>
      </c>
      <c r="CW206" s="895">
        <v>3000000</v>
      </c>
      <c r="CX206" s="821">
        <v>20000000</v>
      </c>
      <c r="CY206" s="895">
        <v>3400000</v>
      </c>
      <c r="CZ206" s="821">
        <v>20000000</v>
      </c>
      <c r="DA206" s="895">
        <v>3600000</v>
      </c>
      <c r="DB206" s="821">
        <v>20000000</v>
      </c>
      <c r="DC206" s="895">
        <v>3970000</v>
      </c>
      <c r="DD206" s="518">
        <v>20000000</v>
      </c>
      <c r="DE206" s="518"/>
      <c r="DF206" s="518">
        <v>20000000</v>
      </c>
      <c r="DG206" s="748">
        <v>10000000</v>
      </c>
      <c r="DH206" s="518"/>
      <c r="DI206" s="518">
        <v>20000000</v>
      </c>
      <c r="DJ206" s="748">
        <v>10000000</v>
      </c>
      <c r="DK206" s="518"/>
      <c r="DL206" s="518">
        <v>20000000</v>
      </c>
      <c r="DM206" s="748">
        <v>10000000</v>
      </c>
      <c r="DN206" s="518"/>
      <c r="DO206" s="518">
        <v>20000000</v>
      </c>
      <c r="DP206" s="748">
        <v>10000000</v>
      </c>
      <c r="DQ206" s="493">
        <f t="shared" si="74"/>
        <v>133405000</v>
      </c>
      <c r="DR206" s="479">
        <f t="shared" si="75"/>
        <v>93405000</v>
      </c>
      <c r="DS206" s="1163">
        <v>4000000</v>
      </c>
      <c r="DT206" s="1163">
        <v>4000000</v>
      </c>
      <c r="DU206" s="1163">
        <v>5000000</v>
      </c>
      <c r="DV206" s="1163">
        <v>4000000</v>
      </c>
      <c r="DW206" s="1163">
        <v>3000000</v>
      </c>
      <c r="DX206" s="1163">
        <v>4000000</v>
      </c>
      <c r="DY206" s="1163">
        <v>4000000</v>
      </c>
      <c r="DZ206" s="1163">
        <v>4000000</v>
      </c>
      <c r="EA206" s="1163">
        <v>4000000</v>
      </c>
      <c r="EB206" s="1163">
        <v>4000000</v>
      </c>
      <c r="EC206" s="1163">
        <v>4000000</v>
      </c>
      <c r="ED206" s="1163">
        <v>4000000</v>
      </c>
      <c r="EE206" s="1119">
        <f t="shared" si="73"/>
        <v>48000000</v>
      </c>
      <c r="EF206" s="443">
        <f t="shared" si="76"/>
        <v>56160000</v>
      </c>
      <c r="EG206" s="355">
        <f t="shared" si="77"/>
        <v>60652800.000000007</v>
      </c>
      <c r="EH206" s="443">
        <f t="shared" si="65"/>
        <v>66111552.000000015</v>
      </c>
      <c r="EI206" s="443">
        <f t="shared" si="65"/>
        <v>72061591.680000022</v>
      </c>
    </row>
    <row r="207" spans="1:156" ht="15.5" outlineLevel="2">
      <c r="A207" s="367" t="s">
        <v>43</v>
      </c>
      <c r="B207" s="378"/>
      <c r="C207" s="370" t="s">
        <v>358</v>
      </c>
      <c r="D207" s="370" t="s">
        <v>108</v>
      </c>
      <c r="E207" s="383" t="s">
        <v>433</v>
      </c>
      <c r="F207" s="380">
        <v>3000019420</v>
      </c>
      <c r="G207" s="180"/>
      <c r="H207" s="180"/>
      <c r="I207" s="180"/>
      <c r="J207" s="180"/>
      <c r="K207" s="180"/>
      <c r="L207" s="180"/>
      <c r="M207" s="180"/>
      <c r="N207" s="180"/>
      <c r="O207" s="180"/>
      <c r="P207" s="180"/>
      <c r="Q207" s="180"/>
      <c r="R207" s="180"/>
      <c r="S207" s="6"/>
      <c r="T207" s="181"/>
      <c r="U207" s="180"/>
      <c r="V207" s="9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181"/>
      <c r="AI207" s="180"/>
      <c r="AJ207" s="517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518">
        <f>SUM(AI207,AJ207,AK207,AL207,AM207,AN207,AO207,AP207,AQ207,AR207,AS207,AT207)</f>
        <v>0</v>
      </c>
      <c r="AY207" s="181"/>
      <c r="AZ207" s="180"/>
      <c r="BA207" s="517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N207" s="19"/>
      <c r="BO207" s="517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799"/>
      <c r="CB207" s="19"/>
      <c r="CC207" s="517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P207" s="649"/>
      <c r="CQ207" s="985"/>
      <c r="CR207" s="986"/>
      <c r="CS207" s="985">
        <v>6600000</v>
      </c>
      <c r="CT207" s="986"/>
      <c r="CU207" s="985"/>
      <c r="CV207" s="986">
        <v>6600000</v>
      </c>
      <c r="CW207" s="985"/>
      <c r="CX207" s="986">
        <v>6600000</v>
      </c>
      <c r="CY207" s="985"/>
      <c r="CZ207" s="986">
        <v>6600000</v>
      </c>
      <c r="DA207" s="985"/>
      <c r="DB207" s="986">
        <v>6600000</v>
      </c>
      <c r="DC207" s="985">
        <v>0</v>
      </c>
      <c r="DD207" s="609">
        <v>6600000</v>
      </c>
      <c r="DE207" s="518"/>
      <c r="DF207" s="609">
        <v>6600000</v>
      </c>
      <c r="DG207" s="748">
        <v>6600000</v>
      </c>
      <c r="DH207" s="518"/>
      <c r="DI207" s="609">
        <v>6600000</v>
      </c>
      <c r="DJ207" s="748">
        <v>6600000</v>
      </c>
      <c r="DK207" s="518"/>
      <c r="DL207" s="609">
        <v>6600000</v>
      </c>
      <c r="DM207" s="748">
        <v>6600000</v>
      </c>
      <c r="DN207" s="518"/>
      <c r="DO207" s="609">
        <v>6600000</v>
      </c>
      <c r="DP207" s="748">
        <v>6600000</v>
      </c>
      <c r="DQ207" s="493">
        <f t="shared" si="74"/>
        <v>33000000</v>
      </c>
      <c r="DR207" s="479">
        <f t="shared" si="75"/>
        <v>33000000</v>
      </c>
      <c r="DS207" s="1162"/>
      <c r="DT207" s="1162"/>
      <c r="DU207" s="1162"/>
      <c r="DV207" s="1162"/>
      <c r="DW207" s="1162"/>
      <c r="DX207" s="1162"/>
      <c r="DY207" s="1162"/>
      <c r="DZ207" s="1162"/>
      <c r="EA207" s="1162"/>
      <c r="EB207" s="1162"/>
      <c r="EC207" s="1162"/>
      <c r="ED207" s="1162"/>
      <c r="EE207" s="1119">
        <f t="shared" si="73"/>
        <v>0</v>
      </c>
      <c r="EF207" s="443">
        <f t="shared" si="76"/>
        <v>0</v>
      </c>
      <c r="EG207" s="355">
        <f t="shared" si="77"/>
        <v>0</v>
      </c>
      <c r="EH207" s="443">
        <f t="shared" si="65"/>
        <v>0</v>
      </c>
      <c r="EI207" s="443">
        <f t="shared" si="65"/>
        <v>0</v>
      </c>
    </row>
    <row r="208" spans="1:156" s="251" customFormat="1" ht="18.5" outlineLevel="2">
      <c r="A208" s="988"/>
      <c r="B208" s="397"/>
      <c r="C208" s="398"/>
      <c r="D208" s="398"/>
      <c r="E208" s="399" t="s">
        <v>531</v>
      </c>
      <c r="F208" s="989"/>
      <c r="G208" s="252"/>
      <c r="H208" s="252"/>
      <c r="I208" s="252"/>
      <c r="J208" s="252"/>
      <c r="K208" s="252"/>
      <c r="L208" s="252"/>
      <c r="M208" s="252"/>
      <c r="N208" s="252"/>
      <c r="O208" s="252"/>
      <c r="P208" s="252"/>
      <c r="Q208" s="252"/>
      <c r="R208" s="252"/>
      <c r="S208" s="253"/>
      <c r="T208" s="254"/>
      <c r="U208" s="252"/>
      <c r="V208" s="252"/>
      <c r="W208" s="252"/>
      <c r="X208" s="252"/>
      <c r="Y208" s="252"/>
      <c r="Z208" s="252"/>
      <c r="AA208" s="252"/>
      <c r="AB208" s="252"/>
      <c r="AC208" s="252"/>
      <c r="AD208" s="252"/>
      <c r="AE208" s="252"/>
      <c r="AF208" s="252"/>
      <c r="AG208" s="804"/>
      <c r="AH208" s="801"/>
      <c r="AI208" s="805"/>
      <c r="AJ208" s="806"/>
      <c r="AK208" s="804"/>
      <c r="AL208" s="804"/>
      <c r="AM208" s="804"/>
      <c r="AN208" s="804"/>
      <c r="AO208" s="804"/>
      <c r="AP208" s="804"/>
      <c r="AQ208" s="804"/>
      <c r="AR208" s="804"/>
      <c r="AS208" s="804"/>
      <c r="AT208" s="804"/>
      <c r="AU208" s="804"/>
      <c r="AV208" s="804"/>
      <c r="AW208" s="804"/>
      <c r="AX208" s="804"/>
      <c r="AY208" s="801"/>
      <c r="AZ208" s="805"/>
      <c r="BA208" s="806"/>
      <c r="BB208" s="804"/>
      <c r="BC208" s="804"/>
      <c r="BD208" s="804"/>
      <c r="BE208" s="804"/>
      <c r="BF208" s="804"/>
      <c r="BG208" s="804"/>
      <c r="BH208" s="804"/>
      <c r="BI208" s="804"/>
      <c r="BJ208" s="804"/>
      <c r="BK208" s="804"/>
      <c r="BL208" s="804"/>
      <c r="BM208" s="983"/>
      <c r="BN208" s="468">
        <f t="shared" ref="BN208:BY208" si="79">SUM(BN209:BN236)</f>
        <v>432400000</v>
      </c>
      <c r="BO208" s="468">
        <f t="shared" si="79"/>
        <v>432400000</v>
      </c>
      <c r="BP208" s="468">
        <f t="shared" si="79"/>
        <v>472400000</v>
      </c>
      <c r="BQ208" s="468">
        <f t="shared" si="79"/>
        <v>472400000</v>
      </c>
      <c r="BR208" s="468">
        <f t="shared" si="79"/>
        <v>352400000</v>
      </c>
      <c r="BS208" s="468">
        <f t="shared" si="79"/>
        <v>422400000</v>
      </c>
      <c r="BT208" s="468">
        <f t="shared" si="79"/>
        <v>522400000</v>
      </c>
      <c r="BU208" s="468">
        <f t="shared" si="79"/>
        <v>522400000</v>
      </c>
      <c r="BV208" s="468">
        <f t="shared" si="79"/>
        <v>532400000</v>
      </c>
      <c r="BW208" s="468">
        <f t="shared" si="79"/>
        <v>532400000</v>
      </c>
      <c r="BX208" s="468">
        <f t="shared" si="79"/>
        <v>532400000</v>
      </c>
      <c r="BY208" s="468">
        <f t="shared" si="79"/>
        <v>532400000</v>
      </c>
      <c r="BZ208" s="468">
        <f>SUM(BZ209:BZ236)</f>
        <v>5758800000</v>
      </c>
      <c r="CA208" s="3"/>
      <c r="CB208" s="468">
        <f t="shared" ref="CB208:CN208" si="80">SUM(CB209:CB236)</f>
        <v>432400000</v>
      </c>
      <c r="CC208" s="468">
        <f t="shared" si="80"/>
        <v>432400000</v>
      </c>
      <c r="CD208" s="468">
        <f t="shared" si="80"/>
        <v>472400000</v>
      </c>
      <c r="CE208" s="468">
        <f t="shared" si="80"/>
        <v>472400000</v>
      </c>
      <c r="CF208" s="468">
        <f t="shared" si="80"/>
        <v>352400000</v>
      </c>
      <c r="CG208" s="468">
        <f t="shared" si="80"/>
        <v>422400000</v>
      </c>
      <c r="CH208" s="468">
        <f t="shared" si="80"/>
        <v>522400000</v>
      </c>
      <c r="CI208" s="468">
        <f t="shared" si="80"/>
        <v>522400000</v>
      </c>
      <c r="CJ208" s="468">
        <f t="shared" si="80"/>
        <v>532400000</v>
      </c>
      <c r="CK208" s="468">
        <f t="shared" si="80"/>
        <v>532400000</v>
      </c>
      <c r="CL208" s="468">
        <f t="shared" si="80"/>
        <v>532400000</v>
      </c>
      <c r="CM208" s="468">
        <f t="shared" si="80"/>
        <v>532400000</v>
      </c>
      <c r="CN208" s="468">
        <f t="shared" si="80"/>
        <v>5758800000</v>
      </c>
      <c r="CO208" s="983"/>
      <c r="CP208" s="468">
        <f t="shared" ref="CP208:DP208" si="81">SUM(CP209:CP236)</f>
        <v>0</v>
      </c>
      <c r="CQ208" s="468">
        <f t="shared" si="81"/>
        <v>0</v>
      </c>
      <c r="CR208" s="468">
        <f t="shared" si="81"/>
        <v>0</v>
      </c>
      <c r="CS208" s="468">
        <f t="shared" si="81"/>
        <v>0</v>
      </c>
      <c r="CT208" s="468">
        <f t="shared" si="81"/>
        <v>70000000</v>
      </c>
      <c r="CU208" s="468">
        <f t="shared" si="81"/>
        <v>0</v>
      </c>
      <c r="CV208" s="468">
        <f t="shared" si="81"/>
        <v>0</v>
      </c>
      <c r="CW208" s="468">
        <f t="shared" si="81"/>
        <v>0</v>
      </c>
      <c r="CX208" s="468">
        <f t="shared" si="81"/>
        <v>0</v>
      </c>
      <c r="CY208" s="468">
        <f t="shared" si="81"/>
        <v>0</v>
      </c>
      <c r="CZ208" s="468">
        <f t="shared" si="81"/>
        <v>345000000</v>
      </c>
      <c r="DA208" s="468">
        <f t="shared" si="81"/>
        <v>0</v>
      </c>
      <c r="DB208" s="468">
        <f t="shared" si="81"/>
        <v>1124000000</v>
      </c>
      <c r="DC208" s="468">
        <f t="shared" si="81"/>
        <v>26906200</v>
      </c>
      <c r="DD208" s="468">
        <f t="shared" si="81"/>
        <v>1334000000</v>
      </c>
      <c r="DE208" s="468">
        <f t="shared" si="81"/>
        <v>0</v>
      </c>
      <c r="DF208" s="468">
        <f>SUM(DF209:DF236)</f>
        <v>1334000000</v>
      </c>
      <c r="DG208" s="468">
        <f t="shared" si="81"/>
        <v>1334000000</v>
      </c>
      <c r="DH208" s="468">
        <f t="shared" si="81"/>
        <v>0</v>
      </c>
      <c r="DI208" s="468">
        <f>SUM(DI209:DI236)</f>
        <v>1434000000</v>
      </c>
      <c r="DJ208" s="468">
        <f t="shared" si="81"/>
        <v>1434000000</v>
      </c>
      <c r="DK208" s="468">
        <f t="shared" si="81"/>
        <v>0</v>
      </c>
      <c r="DL208" s="468">
        <f>SUM(DL209:DL236)</f>
        <v>1434000000</v>
      </c>
      <c r="DM208" s="468">
        <f>SUM(DM209:DM236)</f>
        <v>1434000000</v>
      </c>
      <c r="DN208" s="468">
        <f t="shared" si="81"/>
        <v>0</v>
      </c>
      <c r="DO208" s="468">
        <f>SUM(DO209:DO236)</f>
        <v>1434000000</v>
      </c>
      <c r="DP208" s="468">
        <f t="shared" si="81"/>
        <v>1434000000</v>
      </c>
      <c r="DQ208" s="468">
        <f>SUM(DQ209:DQ236)</f>
        <v>5662906200</v>
      </c>
      <c r="DR208" s="468">
        <f>SUM(DR209:DR236)</f>
        <v>5662906200</v>
      </c>
      <c r="DS208" s="445">
        <f>SUM(DS209:DS239)</f>
        <v>295000000</v>
      </c>
      <c r="DT208" s="445">
        <f t="shared" ref="DT208:EI208" si="82">SUM(DT209:DT239)</f>
        <v>505000000</v>
      </c>
      <c r="DU208" s="445">
        <f t="shared" si="82"/>
        <v>625000000</v>
      </c>
      <c r="DV208" s="445">
        <f t="shared" si="82"/>
        <v>635000000</v>
      </c>
      <c r="DW208" s="445">
        <f t="shared" si="82"/>
        <v>575000000</v>
      </c>
      <c r="DX208" s="445">
        <f t="shared" si="82"/>
        <v>780000000</v>
      </c>
      <c r="DY208" s="445">
        <f t="shared" si="82"/>
        <v>790000000</v>
      </c>
      <c r="DZ208" s="445">
        <f t="shared" si="82"/>
        <v>790000000</v>
      </c>
      <c r="EA208" s="445">
        <f t="shared" si="82"/>
        <v>760000000</v>
      </c>
      <c r="EB208" s="445">
        <f t="shared" si="82"/>
        <v>750000000</v>
      </c>
      <c r="EC208" s="445">
        <f t="shared" si="82"/>
        <v>730000000</v>
      </c>
      <c r="ED208" s="445">
        <f t="shared" si="82"/>
        <v>720000000</v>
      </c>
      <c r="EE208" s="1120">
        <f>SUM(EE209:EE239)</f>
        <v>7955000000</v>
      </c>
      <c r="EF208" s="445">
        <f t="shared" si="82"/>
        <v>9026550000</v>
      </c>
      <c r="EG208" s="445">
        <f t="shared" si="82"/>
        <v>9748674000</v>
      </c>
      <c r="EH208" s="445">
        <f t="shared" si="82"/>
        <v>10626054660</v>
      </c>
      <c r="EI208" s="445">
        <f t="shared" si="82"/>
        <v>11582399579.400003</v>
      </c>
      <c r="EJ208" s="988"/>
      <c r="EK208" s="988"/>
      <c r="EL208" s="990"/>
      <c r="EM208" s="990"/>
      <c r="EN208" s="990"/>
      <c r="EO208" s="990"/>
      <c r="EP208" s="990"/>
      <c r="EQ208" s="990"/>
      <c r="ER208" s="990"/>
      <c r="ES208" s="990"/>
      <c r="ET208" s="990"/>
      <c r="EU208" s="990"/>
      <c r="EV208" s="990"/>
      <c r="EW208" s="990"/>
      <c r="EX208" s="990"/>
      <c r="EY208" s="990"/>
      <c r="EZ208" s="990"/>
    </row>
    <row r="209" spans="1:140" ht="15.5" outlineLevel="2">
      <c r="A209" s="367" t="s">
        <v>43</v>
      </c>
      <c r="B209" s="378"/>
      <c r="C209" s="370" t="s">
        <v>358</v>
      </c>
      <c r="D209" s="297" t="s">
        <v>121</v>
      </c>
      <c r="E209" s="379" t="s">
        <v>532</v>
      </c>
      <c r="F209" s="380">
        <v>3000000305</v>
      </c>
      <c r="G209" s="178">
        <v>0</v>
      </c>
      <c r="H209" s="178">
        <v>0</v>
      </c>
      <c r="I209" s="178">
        <v>0</v>
      </c>
      <c r="J209" s="178">
        <v>0</v>
      </c>
      <c r="K209" s="178">
        <v>0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78">
        <v>0</v>
      </c>
      <c r="S209" s="7">
        <f>SUM(G209,H209,I209,J209,K209,L209,M209,N209,O209,P209,Q209,R209)</f>
        <v>0</v>
      </c>
      <c r="T209" s="179"/>
      <c r="U209" s="178">
        <v>0</v>
      </c>
      <c r="V209" s="178">
        <v>0</v>
      </c>
      <c r="W209" s="178">
        <v>0</v>
      </c>
      <c r="X209" s="178">
        <v>0</v>
      </c>
      <c r="Y209" s="178">
        <v>0</v>
      </c>
      <c r="Z209" s="178">
        <v>0</v>
      </c>
      <c r="AA209" s="178">
        <v>0</v>
      </c>
      <c r="AB209" s="178">
        <v>0</v>
      </c>
      <c r="AC209" s="178">
        <v>0</v>
      </c>
      <c r="AD209" s="178">
        <v>0</v>
      </c>
      <c r="AE209" s="178">
        <v>0</v>
      </c>
      <c r="AF209" s="178">
        <v>0</v>
      </c>
      <c r="AG209" s="518">
        <f>SUM(U209,V209,W209,X209,Y209,Z209,AA209,AB209,AC209,AD209,AE209,AF209)</f>
        <v>0</v>
      </c>
      <c r="AH209" s="788"/>
      <c r="AI209" s="789"/>
      <c r="AJ209" s="790"/>
      <c r="AK209" s="518"/>
      <c r="AL209" s="518"/>
      <c r="AM209" s="518"/>
      <c r="AN209" s="518"/>
      <c r="AO209" s="518"/>
      <c r="AP209" s="518"/>
      <c r="AQ209" s="518">
        <v>0</v>
      </c>
      <c r="AR209" s="518"/>
      <c r="AS209" s="518"/>
      <c r="AT209" s="518"/>
      <c r="AU209" s="518">
        <f>BI209</f>
        <v>0</v>
      </c>
      <c r="AV209" s="794">
        <v>100000000</v>
      </c>
      <c r="AW209" s="794">
        <v>150000000</v>
      </c>
      <c r="AX209" s="518">
        <f t="shared" ref="AX209:AX226" si="83">SUM(AI209,AJ209,AK209,AL209,AM209,AN209,AO209,AP209,AQ209,AR209,AS209,AT209)</f>
        <v>0</v>
      </c>
      <c r="AY209" s="788"/>
      <c r="AZ209" s="789"/>
      <c r="BA209" s="790"/>
      <c r="BB209" s="518"/>
      <c r="BC209" s="518"/>
      <c r="BD209" s="518"/>
      <c r="BE209" s="518"/>
      <c r="BF209" s="518"/>
      <c r="BG209" s="518">
        <f>AP209</f>
        <v>0</v>
      </c>
      <c r="BH209" s="518">
        <v>0</v>
      </c>
      <c r="BI209" s="518">
        <v>0</v>
      </c>
      <c r="BJ209" s="518">
        <v>0</v>
      </c>
      <c r="BK209" s="518">
        <v>0</v>
      </c>
      <c r="BL209" s="518">
        <f>SUM(AZ209,BA209,BB209,BC209,BD209,BE209,BF209,BG209,BH209,BI209,BJ209,BK209)</f>
        <v>0</v>
      </c>
      <c r="BN209" s="516">
        <f>150000000</f>
        <v>150000000</v>
      </c>
      <c r="BO209" s="516">
        <f>150000000</f>
        <v>150000000</v>
      </c>
      <c r="BP209" s="516">
        <f>150000000</f>
        <v>150000000</v>
      </c>
      <c r="BQ209" s="516">
        <f>150000000</f>
        <v>150000000</v>
      </c>
      <c r="BR209" s="518">
        <f>100000000</f>
        <v>100000000</v>
      </c>
      <c r="BS209" s="518">
        <v>150000000</v>
      </c>
      <c r="BT209" s="518">
        <v>150000000</v>
      </c>
      <c r="BU209" s="518">
        <v>150000000</v>
      </c>
      <c r="BV209" s="518">
        <v>150000000</v>
      </c>
      <c r="BW209" s="518">
        <v>150000000</v>
      </c>
      <c r="BX209" s="518">
        <v>150000000</v>
      </c>
      <c r="BY209" s="518">
        <v>150000000</v>
      </c>
      <c r="BZ209" s="791">
        <v>1750000000</v>
      </c>
      <c r="CB209" s="516">
        <f>150000000</f>
        <v>150000000</v>
      </c>
      <c r="CC209" s="516">
        <f>150000000</f>
        <v>150000000</v>
      </c>
      <c r="CD209" s="516">
        <f>150000000</f>
        <v>150000000</v>
      </c>
      <c r="CE209" s="516">
        <f>150000000</f>
        <v>150000000</v>
      </c>
      <c r="CF209" s="518">
        <f>100000000</f>
        <v>100000000</v>
      </c>
      <c r="CG209" s="518">
        <v>150000000</v>
      </c>
      <c r="CH209" s="518">
        <v>150000000</v>
      </c>
      <c r="CI209" s="518">
        <v>150000000</v>
      </c>
      <c r="CJ209" s="518">
        <v>150000000</v>
      </c>
      <c r="CK209" s="518">
        <v>150000000</v>
      </c>
      <c r="CL209" s="518">
        <v>150000000</v>
      </c>
      <c r="CM209" s="518">
        <v>150000000</v>
      </c>
      <c r="CN209" s="791">
        <v>1750000000</v>
      </c>
      <c r="CP209" s="646">
        <v>0</v>
      </c>
      <c r="CQ209" s="646"/>
      <c r="CR209" s="516"/>
      <c r="CS209" s="646"/>
      <c r="CT209" s="516"/>
      <c r="CU209" s="646"/>
      <c r="CV209" s="516"/>
      <c r="CW209" s="646"/>
      <c r="CX209" s="516"/>
      <c r="CY209" s="646"/>
      <c r="CZ209" s="516"/>
      <c r="DA209" s="646"/>
      <c r="DB209" s="516"/>
      <c r="DC209" s="646">
        <v>0</v>
      </c>
      <c r="DD209" s="516"/>
      <c r="DE209" s="516"/>
      <c r="DF209" s="516"/>
      <c r="DG209" s="747"/>
      <c r="DH209" s="516"/>
      <c r="DI209" s="516"/>
      <c r="DJ209" s="747"/>
      <c r="DK209" s="516"/>
      <c r="DL209" s="516"/>
      <c r="DM209" s="747"/>
      <c r="DN209" s="516"/>
      <c r="DO209" s="516"/>
      <c r="DP209" s="747"/>
      <c r="DQ209" s="493">
        <f t="shared" si="74"/>
        <v>0</v>
      </c>
      <c r="DR209" s="479">
        <f t="shared" ref="DR209:DR237" si="84">SUM(CP209,CQ209,CS209,CU209,CW209,CY209,DA209,DC209,DG209,DJ209,DM209,DP209)</f>
        <v>0</v>
      </c>
      <c r="DS209" s="1162"/>
      <c r="DT209" s="1162"/>
      <c r="DU209" s="1162"/>
      <c r="DV209" s="1162"/>
      <c r="DW209" s="1162"/>
      <c r="DX209" s="1162"/>
      <c r="DY209" s="1162"/>
      <c r="DZ209" s="1162"/>
      <c r="EA209" s="1162"/>
      <c r="EB209" s="1162"/>
      <c r="EC209" s="1162"/>
      <c r="ED209" s="1162"/>
      <c r="EE209" s="1119">
        <f t="shared" ref="EE209:EE238" si="85">SUM(DS209,DT209,DU209,DV209,DW209,DX209,DY209,DZ209,EA209,EB209,EC209,ED209)</f>
        <v>0</v>
      </c>
      <c r="EF209" s="443">
        <f t="shared" si="76"/>
        <v>0</v>
      </c>
      <c r="EG209" s="355">
        <f t="shared" si="77"/>
        <v>0</v>
      </c>
      <c r="EH209" s="443">
        <f t="shared" si="65"/>
        <v>0</v>
      </c>
      <c r="EI209" s="443">
        <f t="shared" si="65"/>
        <v>0</v>
      </c>
      <c r="EJ209" s="367">
        <v>3000000305</v>
      </c>
    </row>
    <row r="210" spans="1:140" ht="15.5" outlineLevel="2">
      <c r="A210" s="367" t="s">
        <v>39</v>
      </c>
      <c r="B210" s="378"/>
      <c r="C210" s="370" t="s">
        <v>358</v>
      </c>
      <c r="D210" s="297" t="s">
        <v>121</v>
      </c>
      <c r="E210" s="400" t="s">
        <v>533</v>
      </c>
      <c r="F210" s="380"/>
      <c r="G210" s="180"/>
      <c r="H210" s="180"/>
      <c r="I210" s="180"/>
      <c r="J210" s="180"/>
      <c r="K210" s="180"/>
      <c r="L210" s="180"/>
      <c r="M210" s="180"/>
      <c r="N210" s="180"/>
      <c r="O210" s="180"/>
      <c r="P210" s="180"/>
      <c r="Q210" s="180"/>
      <c r="R210" s="180"/>
      <c r="S210" s="6"/>
      <c r="T210" s="181"/>
      <c r="U210" s="180"/>
      <c r="V210" s="9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181"/>
      <c r="AI210" s="180"/>
      <c r="AJ210" s="517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518">
        <f t="shared" si="83"/>
        <v>0</v>
      </c>
      <c r="AY210" s="181"/>
      <c r="AZ210" s="180"/>
      <c r="BA210" s="517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N210" s="19"/>
      <c r="BO210" s="517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799"/>
      <c r="CB210" s="19"/>
      <c r="CC210" s="517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P210" s="649"/>
      <c r="CQ210" s="649"/>
      <c r="CR210" s="609"/>
      <c r="CS210" s="649"/>
      <c r="CT210" s="609"/>
      <c r="CU210" s="649"/>
      <c r="CV210" s="609"/>
      <c r="CW210" s="649"/>
      <c r="CX210" s="609"/>
      <c r="CY210" s="649"/>
      <c r="CZ210" s="609">
        <v>55000000</v>
      </c>
      <c r="DA210" s="649"/>
      <c r="DB210" s="609">
        <v>55000000</v>
      </c>
      <c r="DC210" s="649">
        <v>0</v>
      </c>
      <c r="DD210" s="609">
        <v>55000000</v>
      </c>
      <c r="DE210" s="6"/>
      <c r="DF210" s="609">
        <v>55000000</v>
      </c>
      <c r="DG210" s="750">
        <v>55000000</v>
      </c>
      <c r="DH210" s="6"/>
      <c r="DI210" s="609">
        <v>55000000</v>
      </c>
      <c r="DJ210" s="750">
        <v>55000000</v>
      </c>
      <c r="DK210" s="6"/>
      <c r="DL210" s="609">
        <v>55000000</v>
      </c>
      <c r="DM210" s="750">
        <v>55000000</v>
      </c>
      <c r="DN210" s="6"/>
      <c r="DO210" s="609">
        <v>55000000</v>
      </c>
      <c r="DP210" s="750">
        <v>55000000</v>
      </c>
      <c r="DQ210" s="493">
        <f t="shared" si="74"/>
        <v>220000000</v>
      </c>
      <c r="DR210" s="479">
        <f t="shared" si="84"/>
        <v>220000000</v>
      </c>
      <c r="DS210" s="1162"/>
      <c r="DT210" s="1162"/>
      <c r="DU210" s="1162"/>
      <c r="DV210" s="1162"/>
      <c r="DW210" s="1162"/>
      <c r="DX210" s="1162"/>
      <c r="DY210" s="1162"/>
      <c r="DZ210" s="1162"/>
      <c r="EA210" s="1162"/>
      <c r="EB210" s="1162"/>
      <c r="EC210" s="1162"/>
      <c r="ED210" s="1162"/>
      <c r="EE210" s="1119">
        <f t="shared" si="85"/>
        <v>0</v>
      </c>
      <c r="EF210" s="443">
        <f t="shared" si="76"/>
        <v>0</v>
      </c>
      <c r="EG210" s="355">
        <f t="shared" si="77"/>
        <v>0</v>
      </c>
      <c r="EH210" s="443">
        <f t="shared" si="65"/>
        <v>0</v>
      </c>
      <c r="EI210" s="443">
        <f t="shared" si="65"/>
        <v>0</v>
      </c>
    </row>
    <row r="211" spans="1:140" ht="15.5" outlineLevel="2">
      <c r="A211" s="367" t="s">
        <v>59</v>
      </c>
      <c r="B211" s="378"/>
      <c r="C211" s="370" t="s">
        <v>358</v>
      </c>
      <c r="D211" s="297" t="s">
        <v>121</v>
      </c>
      <c r="E211" s="400" t="s">
        <v>534</v>
      </c>
      <c r="F211" s="380"/>
      <c r="G211" s="180"/>
      <c r="H211" s="180"/>
      <c r="I211" s="180"/>
      <c r="J211" s="180"/>
      <c r="K211" s="180"/>
      <c r="L211" s="180"/>
      <c r="M211" s="180"/>
      <c r="N211" s="180"/>
      <c r="O211" s="180"/>
      <c r="P211" s="180"/>
      <c r="Q211" s="180"/>
      <c r="R211" s="180"/>
      <c r="S211" s="6"/>
      <c r="T211" s="181"/>
      <c r="U211" s="180"/>
      <c r="V211" s="9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181"/>
      <c r="AI211" s="180"/>
      <c r="AJ211" s="517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518">
        <f t="shared" si="83"/>
        <v>0</v>
      </c>
      <c r="AY211" s="181"/>
      <c r="AZ211" s="180"/>
      <c r="BA211" s="517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N211" s="19"/>
      <c r="BO211" s="517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799"/>
      <c r="CB211" s="19"/>
      <c r="CC211" s="517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P211" s="649"/>
      <c r="CQ211" s="649"/>
      <c r="CR211" s="609"/>
      <c r="CS211" s="649"/>
      <c r="CT211" s="609"/>
      <c r="CU211" s="649"/>
      <c r="CV211" s="609"/>
      <c r="CW211" s="649"/>
      <c r="CX211" s="609"/>
      <c r="CY211" s="649"/>
      <c r="CZ211" s="609"/>
      <c r="DA211" s="649"/>
      <c r="DB211" s="609">
        <v>50000000</v>
      </c>
      <c r="DC211" s="649">
        <v>0</v>
      </c>
      <c r="DD211" s="609">
        <v>50000000</v>
      </c>
      <c r="DE211" s="6"/>
      <c r="DF211" s="609">
        <v>50000000</v>
      </c>
      <c r="DG211" s="750">
        <v>50000000</v>
      </c>
      <c r="DH211" s="6"/>
      <c r="DI211" s="609">
        <v>50000000</v>
      </c>
      <c r="DJ211" s="750">
        <v>50000000</v>
      </c>
      <c r="DK211" s="6"/>
      <c r="DL211" s="609">
        <v>50000000</v>
      </c>
      <c r="DM211" s="750">
        <v>50000000</v>
      </c>
      <c r="DN211" s="6"/>
      <c r="DO211" s="609">
        <v>50000000</v>
      </c>
      <c r="DP211" s="750">
        <v>50000000</v>
      </c>
      <c r="DQ211" s="493">
        <f t="shared" si="74"/>
        <v>200000000</v>
      </c>
      <c r="DR211" s="479">
        <f t="shared" si="84"/>
        <v>200000000</v>
      </c>
      <c r="DS211" s="1162"/>
      <c r="DT211" s="1162"/>
      <c r="DU211" s="1162"/>
      <c r="DV211" s="1162"/>
      <c r="DW211" s="1162"/>
      <c r="DX211" s="1162"/>
      <c r="DY211" s="1162"/>
      <c r="DZ211" s="1162"/>
      <c r="EA211" s="1162"/>
      <c r="EB211" s="1162"/>
      <c r="EC211" s="1162"/>
      <c r="ED211" s="1162"/>
      <c r="EE211" s="1119">
        <f t="shared" si="85"/>
        <v>0</v>
      </c>
      <c r="EF211" s="443">
        <f t="shared" si="76"/>
        <v>0</v>
      </c>
      <c r="EG211" s="355">
        <f t="shared" si="77"/>
        <v>0</v>
      </c>
      <c r="EH211" s="443">
        <f t="shared" si="65"/>
        <v>0</v>
      </c>
      <c r="EI211" s="443">
        <f t="shared" si="65"/>
        <v>0</v>
      </c>
    </row>
    <row r="212" spans="1:140" ht="15.5" outlineLevel="2">
      <c r="A212" s="367" t="s">
        <v>43</v>
      </c>
      <c r="B212" s="378"/>
      <c r="C212" s="370" t="s">
        <v>358</v>
      </c>
      <c r="D212" s="297" t="s">
        <v>121</v>
      </c>
      <c r="E212" s="400" t="s">
        <v>535</v>
      </c>
      <c r="F212" s="380"/>
      <c r="G212" s="180"/>
      <c r="H212" s="180"/>
      <c r="I212" s="180"/>
      <c r="J212" s="180"/>
      <c r="K212" s="180"/>
      <c r="L212" s="180"/>
      <c r="M212" s="180"/>
      <c r="N212" s="180"/>
      <c r="O212" s="180"/>
      <c r="P212" s="180"/>
      <c r="Q212" s="180"/>
      <c r="R212" s="180"/>
      <c r="S212" s="6"/>
      <c r="T212" s="181"/>
      <c r="U212" s="180"/>
      <c r="V212" s="9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181"/>
      <c r="AI212" s="180"/>
      <c r="AJ212" s="517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518">
        <f t="shared" si="83"/>
        <v>0</v>
      </c>
      <c r="AY212" s="181"/>
      <c r="AZ212" s="180"/>
      <c r="BA212" s="517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N212" s="19"/>
      <c r="BO212" s="517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799"/>
      <c r="CB212" s="19"/>
      <c r="CC212" s="517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P212" s="649"/>
      <c r="CQ212" s="649"/>
      <c r="CR212" s="609"/>
      <c r="CS212" s="649"/>
      <c r="CT212" s="609"/>
      <c r="CU212" s="649"/>
      <c r="CV212" s="609"/>
      <c r="CW212" s="649"/>
      <c r="CX212" s="609"/>
      <c r="CY212" s="649"/>
      <c r="CZ212" s="609"/>
      <c r="DA212" s="649"/>
      <c r="DB212" s="609"/>
      <c r="DC212" s="649">
        <v>0</v>
      </c>
      <c r="DD212" s="609">
        <v>10000000</v>
      </c>
      <c r="DE212" s="6"/>
      <c r="DF212" s="609">
        <v>10000000</v>
      </c>
      <c r="DG212" s="750">
        <v>10000000</v>
      </c>
      <c r="DH212" s="6"/>
      <c r="DI212" s="609">
        <v>10000000</v>
      </c>
      <c r="DJ212" s="750">
        <v>10000000</v>
      </c>
      <c r="DK212" s="6"/>
      <c r="DL212" s="609">
        <v>10000000</v>
      </c>
      <c r="DM212" s="750">
        <v>10000000</v>
      </c>
      <c r="DN212" s="6"/>
      <c r="DO212" s="609">
        <v>10000000</v>
      </c>
      <c r="DP212" s="750">
        <v>10000000</v>
      </c>
      <c r="DQ212" s="493">
        <f t="shared" si="74"/>
        <v>40000000</v>
      </c>
      <c r="DR212" s="479">
        <f t="shared" si="84"/>
        <v>40000000</v>
      </c>
      <c r="DS212" s="1162"/>
      <c r="DT212" s="1162"/>
      <c r="DU212" s="1162"/>
      <c r="DV212" s="1162"/>
      <c r="DW212" s="1162"/>
      <c r="DX212" s="1162"/>
      <c r="DY212" s="1162"/>
      <c r="DZ212" s="1162"/>
      <c r="EA212" s="1162"/>
      <c r="EB212" s="1162"/>
      <c r="EC212" s="1162"/>
      <c r="ED212" s="1162"/>
      <c r="EE212" s="1119">
        <f t="shared" si="85"/>
        <v>0</v>
      </c>
      <c r="EF212" s="443">
        <f t="shared" si="76"/>
        <v>0</v>
      </c>
      <c r="EG212" s="355">
        <f t="shared" si="77"/>
        <v>0</v>
      </c>
      <c r="EH212" s="443">
        <f t="shared" si="65"/>
        <v>0</v>
      </c>
      <c r="EI212" s="443">
        <f t="shared" si="65"/>
        <v>0</v>
      </c>
    </row>
    <row r="213" spans="1:140" ht="15.5" outlineLevel="2">
      <c r="A213" s="367" t="s">
        <v>59</v>
      </c>
      <c r="B213" s="378"/>
      <c r="C213" s="370" t="s">
        <v>358</v>
      </c>
      <c r="D213" s="297" t="s">
        <v>121</v>
      </c>
      <c r="E213" s="400" t="s">
        <v>536</v>
      </c>
      <c r="F213" s="380"/>
      <c r="G213" s="180"/>
      <c r="H213" s="180"/>
      <c r="I213" s="180"/>
      <c r="J213" s="180"/>
      <c r="K213" s="180"/>
      <c r="L213" s="180"/>
      <c r="M213" s="180"/>
      <c r="N213" s="180"/>
      <c r="O213" s="180"/>
      <c r="P213" s="180"/>
      <c r="Q213" s="180"/>
      <c r="R213" s="180"/>
      <c r="S213" s="6"/>
      <c r="T213" s="181"/>
      <c r="U213" s="180"/>
      <c r="V213" s="9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181"/>
      <c r="AI213" s="180"/>
      <c r="AJ213" s="517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518">
        <f t="shared" si="83"/>
        <v>0</v>
      </c>
      <c r="AY213" s="181"/>
      <c r="AZ213" s="180"/>
      <c r="BA213" s="517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N213" s="19"/>
      <c r="BO213" s="517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799"/>
      <c r="CB213" s="19"/>
      <c r="CC213" s="517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P213" s="649"/>
      <c r="CQ213" s="649"/>
      <c r="CR213" s="609"/>
      <c r="CS213" s="649"/>
      <c r="CT213" s="609"/>
      <c r="CU213" s="649"/>
      <c r="CV213" s="609"/>
      <c r="CW213" s="649"/>
      <c r="CX213" s="609"/>
      <c r="CY213" s="649"/>
      <c r="CZ213" s="609"/>
      <c r="DA213" s="649"/>
      <c r="DB213" s="609">
        <v>50000000</v>
      </c>
      <c r="DC213" s="649">
        <v>0</v>
      </c>
      <c r="DD213" s="609">
        <v>50000000</v>
      </c>
      <c r="DE213" s="6"/>
      <c r="DF213" s="609">
        <v>50000000</v>
      </c>
      <c r="DG213" s="750">
        <v>50000000</v>
      </c>
      <c r="DH213" s="6"/>
      <c r="DI213" s="609">
        <v>50000000</v>
      </c>
      <c r="DJ213" s="750">
        <v>50000000</v>
      </c>
      <c r="DK213" s="6"/>
      <c r="DL213" s="609">
        <v>50000000</v>
      </c>
      <c r="DM213" s="750">
        <v>50000000</v>
      </c>
      <c r="DN213" s="6"/>
      <c r="DO213" s="609">
        <v>50000000</v>
      </c>
      <c r="DP213" s="750">
        <v>50000000</v>
      </c>
      <c r="DQ213" s="493">
        <f t="shared" si="74"/>
        <v>200000000</v>
      </c>
      <c r="DR213" s="479">
        <f t="shared" si="84"/>
        <v>200000000</v>
      </c>
      <c r="DS213" s="1162"/>
      <c r="DT213" s="1162"/>
      <c r="DU213" s="1162"/>
      <c r="DV213" s="1162"/>
      <c r="DW213" s="1162"/>
      <c r="DX213" s="1162"/>
      <c r="DY213" s="1162"/>
      <c r="DZ213" s="1162"/>
      <c r="EA213" s="1162"/>
      <c r="EB213" s="1162"/>
      <c r="EC213" s="1162"/>
      <c r="ED213" s="1162"/>
      <c r="EE213" s="1119">
        <f t="shared" si="85"/>
        <v>0</v>
      </c>
      <c r="EF213" s="443">
        <f t="shared" si="76"/>
        <v>0</v>
      </c>
      <c r="EG213" s="355">
        <f t="shared" si="77"/>
        <v>0</v>
      </c>
      <c r="EH213" s="443">
        <f t="shared" si="65"/>
        <v>0</v>
      </c>
      <c r="EI213" s="443">
        <f t="shared" si="65"/>
        <v>0</v>
      </c>
    </row>
    <row r="214" spans="1:140" ht="15.5" outlineLevel="2">
      <c r="A214" s="367" t="s">
        <v>39</v>
      </c>
      <c r="B214" s="378"/>
      <c r="C214" s="370" t="s">
        <v>358</v>
      </c>
      <c r="D214" s="297" t="s">
        <v>121</v>
      </c>
      <c r="E214" s="400" t="s">
        <v>537</v>
      </c>
      <c r="F214" s="380"/>
      <c r="G214" s="180"/>
      <c r="H214" s="180"/>
      <c r="I214" s="180"/>
      <c r="J214" s="180"/>
      <c r="K214" s="180"/>
      <c r="L214" s="180"/>
      <c r="M214" s="180"/>
      <c r="N214" s="180"/>
      <c r="O214" s="180"/>
      <c r="P214" s="180"/>
      <c r="Q214" s="180"/>
      <c r="R214" s="180"/>
      <c r="S214" s="6"/>
      <c r="T214" s="181"/>
      <c r="U214" s="180"/>
      <c r="V214" s="9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181"/>
      <c r="AI214" s="180"/>
      <c r="AJ214" s="517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518">
        <f t="shared" si="83"/>
        <v>0</v>
      </c>
      <c r="AY214" s="181"/>
      <c r="AZ214" s="180"/>
      <c r="BA214" s="517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N214" s="19"/>
      <c r="BO214" s="517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799"/>
      <c r="CB214" s="19"/>
      <c r="CC214" s="517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P214" s="649"/>
      <c r="CQ214" s="649"/>
      <c r="CR214" s="609"/>
      <c r="CS214" s="649"/>
      <c r="CT214" s="609"/>
      <c r="CU214" s="649"/>
      <c r="CV214" s="609"/>
      <c r="CW214" s="649"/>
      <c r="CX214" s="609"/>
      <c r="CY214" s="649"/>
      <c r="CZ214" s="609">
        <v>10000000</v>
      </c>
      <c r="DA214" s="649"/>
      <c r="DB214" s="609">
        <v>10000000</v>
      </c>
      <c r="DC214" s="649">
        <v>0</v>
      </c>
      <c r="DD214" s="609">
        <v>10000000</v>
      </c>
      <c r="DE214" s="6"/>
      <c r="DF214" s="609">
        <v>10000000</v>
      </c>
      <c r="DG214" s="750">
        <v>10000000</v>
      </c>
      <c r="DH214" s="6"/>
      <c r="DI214" s="609">
        <v>10000000</v>
      </c>
      <c r="DJ214" s="750">
        <v>10000000</v>
      </c>
      <c r="DK214" s="6"/>
      <c r="DL214" s="609">
        <v>10000000</v>
      </c>
      <c r="DM214" s="750">
        <v>10000000</v>
      </c>
      <c r="DN214" s="6"/>
      <c r="DO214" s="609">
        <v>10000000</v>
      </c>
      <c r="DP214" s="750">
        <v>10000000</v>
      </c>
      <c r="DQ214" s="493">
        <f t="shared" si="74"/>
        <v>40000000</v>
      </c>
      <c r="DR214" s="479">
        <f t="shared" si="84"/>
        <v>40000000</v>
      </c>
      <c r="DS214" s="1162">
        <v>10000000</v>
      </c>
      <c r="DT214" s="1162">
        <v>10000000</v>
      </c>
      <c r="DU214" s="1162">
        <v>10000000</v>
      </c>
      <c r="DV214" s="1162">
        <v>10000000</v>
      </c>
      <c r="DW214" s="1162">
        <v>10000000</v>
      </c>
      <c r="DX214" s="1162">
        <v>10000000</v>
      </c>
      <c r="DY214" s="1162">
        <v>10000000</v>
      </c>
      <c r="DZ214" s="1162">
        <v>10000000</v>
      </c>
      <c r="EA214" s="1162">
        <v>10000000</v>
      </c>
      <c r="EB214" s="1162">
        <v>10000000</v>
      </c>
      <c r="EC214" s="1162">
        <v>10000000</v>
      </c>
      <c r="ED214" s="1162">
        <v>10000000</v>
      </c>
      <c r="EE214" s="1119">
        <f t="shared" si="85"/>
        <v>120000000</v>
      </c>
      <c r="EF214" s="443">
        <f t="shared" si="76"/>
        <v>140400000</v>
      </c>
      <c r="EG214" s="355">
        <f t="shared" si="77"/>
        <v>151632000</v>
      </c>
      <c r="EH214" s="443">
        <f t="shared" si="65"/>
        <v>165278880</v>
      </c>
      <c r="EI214" s="443">
        <f t="shared" si="65"/>
        <v>180153979.20000002</v>
      </c>
    </row>
    <row r="215" spans="1:140" ht="15.5" outlineLevel="2">
      <c r="A215" s="367" t="s">
        <v>43</v>
      </c>
      <c r="B215" s="378"/>
      <c r="C215" s="370" t="s">
        <v>358</v>
      </c>
      <c r="D215" s="297" t="s">
        <v>121</v>
      </c>
      <c r="E215" s="379" t="s">
        <v>65</v>
      </c>
      <c r="F215" s="380">
        <v>3000019697</v>
      </c>
      <c r="G215" s="178">
        <v>0</v>
      </c>
      <c r="H215" s="178">
        <v>0</v>
      </c>
      <c r="I215" s="178">
        <v>0</v>
      </c>
      <c r="J215" s="178">
        <v>0</v>
      </c>
      <c r="K215" s="178">
        <v>0</v>
      </c>
      <c r="L215" s="178">
        <v>0</v>
      </c>
      <c r="M215" s="178">
        <v>0</v>
      </c>
      <c r="N215" s="178">
        <v>0</v>
      </c>
      <c r="O215" s="178">
        <v>0</v>
      </c>
      <c r="P215" s="178">
        <v>0</v>
      </c>
      <c r="Q215" s="178">
        <v>0</v>
      </c>
      <c r="R215" s="178">
        <v>0</v>
      </c>
      <c r="S215" s="7">
        <f>SUM(G215,H215,I215,J215,K215,L215,M215,N215,O215,P215,Q215,R215)</f>
        <v>0</v>
      </c>
      <c r="T215" s="179"/>
      <c r="U215" s="178">
        <v>0</v>
      </c>
      <c r="V215" s="178">
        <v>0</v>
      </c>
      <c r="W215" s="178">
        <v>0</v>
      </c>
      <c r="X215" s="178">
        <v>0</v>
      </c>
      <c r="Y215" s="178">
        <v>0</v>
      </c>
      <c r="Z215" s="178">
        <v>0</v>
      </c>
      <c r="AA215" s="178">
        <v>0</v>
      </c>
      <c r="AB215" s="178">
        <v>0</v>
      </c>
      <c r="AC215" s="178">
        <v>0</v>
      </c>
      <c r="AD215" s="178">
        <v>0</v>
      </c>
      <c r="AE215" s="178">
        <v>0</v>
      </c>
      <c r="AF215" s="178">
        <v>0</v>
      </c>
      <c r="AG215" s="518">
        <f>SUM(U215,V215,W215,X215,Y215,Z215,AA215,AB215,AC215,AD215,AE215,AF215)</f>
        <v>0</v>
      </c>
      <c r="AH215" s="788"/>
      <c r="AI215" s="789"/>
      <c r="AJ215" s="790"/>
      <c r="AK215" s="518"/>
      <c r="AL215" s="518"/>
      <c r="AM215" s="518"/>
      <c r="AN215" s="518"/>
      <c r="AO215" s="518"/>
      <c r="AP215" s="518"/>
      <c r="AQ215" s="518">
        <v>0</v>
      </c>
      <c r="AR215" s="518"/>
      <c r="AS215" s="518"/>
      <c r="AT215" s="518"/>
      <c r="AU215" s="518"/>
      <c r="AV215" s="518"/>
      <c r="AW215" s="518"/>
      <c r="AX215" s="518">
        <f t="shared" si="83"/>
        <v>0</v>
      </c>
      <c r="AY215" s="788"/>
      <c r="AZ215" s="789"/>
      <c r="BA215" s="790"/>
      <c r="BB215" s="518"/>
      <c r="BC215" s="518"/>
      <c r="BD215" s="518"/>
      <c r="BE215" s="518"/>
      <c r="BF215" s="518"/>
      <c r="BG215" s="518">
        <f>AP215</f>
        <v>0</v>
      </c>
      <c r="BH215" s="518">
        <v>50000000</v>
      </c>
      <c r="BI215" s="518">
        <v>100000000</v>
      </c>
      <c r="BJ215" s="518">
        <v>200000000</v>
      </c>
      <c r="BK215" s="518">
        <v>200000000</v>
      </c>
      <c r="BL215" s="518">
        <f>SUM(AZ215,BA215,BB215,BC215,BD215,BE215,BF215,BG215,BH215,BI215,BJ215,BK215)</f>
        <v>550000000</v>
      </c>
      <c r="BN215" s="516">
        <v>82000000</v>
      </c>
      <c r="BO215" s="517">
        <v>82000000</v>
      </c>
      <c r="BP215" s="518">
        <v>102000000</v>
      </c>
      <c r="BQ215" s="518">
        <v>102000000</v>
      </c>
      <c r="BR215" s="518">
        <v>82000000</v>
      </c>
      <c r="BS215" s="518">
        <v>82000000</v>
      </c>
      <c r="BT215" s="518">
        <v>102000000</v>
      </c>
      <c r="BU215" s="518">
        <v>102000000</v>
      </c>
      <c r="BV215" s="518">
        <v>102000000</v>
      </c>
      <c r="BW215" s="518">
        <v>102000000</v>
      </c>
      <c r="BX215" s="518">
        <v>102000000</v>
      </c>
      <c r="BY215" s="518">
        <v>102000000</v>
      </c>
      <c r="BZ215" s="791">
        <v>1144000000</v>
      </c>
      <c r="CB215" s="516">
        <v>82000000</v>
      </c>
      <c r="CC215" s="517">
        <v>82000000</v>
      </c>
      <c r="CD215" s="518">
        <v>102000000</v>
      </c>
      <c r="CE215" s="518">
        <v>102000000</v>
      </c>
      <c r="CF215" s="518">
        <v>82000000</v>
      </c>
      <c r="CG215" s="518">
        <v>82000000</v>
      </c>
      <c r="CH215" s="518">
        <v>102000000</v>
      </c>
      <c r="CI215" s="518">
        <v>102000000</v>
      </c>
      <c r="CJ215" s="518">
        <v>102000000</v>
      </c>
      <c r="CK215" s="518">
        <v>102000000</v>
      </c>
      <c r="CL215" s="518">
        <v>102000000</v>
      </c>
      <c r="CM215" s="518">
        <v>102000000</v>
      </c>
      <c r="CN215" s="791">
        <v>1144000000</v>
      </c>
      <c r="CP215" s="646"/>
      <c r="CQ215" s="646"/>
      <c r="CR215" s="516"/>
      <c r="CS215" s="646"/>
      <c r="CT215" s="516"/>
      <c r="CU215" s="646"/>
      <c r="CV215" s="516"/>
      <c r="CW215" s="646"/>
      <c r="CX215" s="516"/>
      <c r="CY215" s="646"/>
      <c r="CZ215" s="516"/>
      <c r="DA215" s="646"/>
      <c r="DB215" s="516"/>
      <c r="DC215" s="646">
        <v>0</v>
      </c>
      <c r="DD215" s="516"/>
      <c r="DE215" s="518"/>
      <c r="DF215" s="516"/>
      <c r="DG215" s="747"/>
      <c r="DH215" s="518"/>
      <c r="DI215" s="516"/>
      <c r="DJ215" s="747"/>
      <c r="DK215" s="518"/>
      <c r="DL215" s="516"/>
      <c r="DM215" s="747"/>
      <c r="DN215" s="518"/>
      <c r="DO215" s="516"/>
      <c r="DP215" s="747"/>
      <c r="DQ215" s="493">
        <f t="shared" si="74"/>
        <v>0</v>
      </c>
      <c r="DR215" s="479">
        <f t="shared" si="84"/>
        <v>0</v>
      </c>
      <c r="DS215" s="1162"/>
      <c r="DT215" s="1162"/>
      <c r="DU215" s="1162"/>
      <c r="DV215" s="1162"/>
      <c r="DW215" s="1162"/>
      <c r="DX215" s="1162"/>
      <c r="DY215" s="1162"/>
      <c r="DZ215" s="1162"/>
      <c r="EA215" s="1162"/>
      <c r="EB215" s="1162"/>
      <c r="EC215" s="1162"/>
      <c r="ED215" s="1162"/>
      <c r="EE215" s="1119">
        <f t="shared" si="85"/>
        <v>0</v>
      </c>
      <c r="EF215" s="443">
        <f t="shared" si="76"/>
        <v>0</v>
      </c>
      <c r="EG215" s="355">
        <f t="shared" si="77"/>
        <v>0</v>
      </c>
      <c r="EH215" s="443">
        <f t="shared" si="65"/>
        <v>0</v>
      </c>
      <c r="EI215" s="443">
        <f t="shared" si="65"/>
        <v>0</v>
      </c>
      <c r="EJ215" s="367">
        <v>3000019697</v>
      </c>
    </row>
    <row r="216" spans="1:140" ht="15.5" outlineLevel="2">
      <c r="A216" s="367" t="s">
        <v>59</v>
      </c>
      <c r="B216" s="378"/>
      <c r="C216" s="370" t="s">
        <v>358</v>
      </c>
      <c r="D216" s="297" t="s">
        <v>121</v>
      </c>
      <c r="E216" s="379" t="s">
        <v>538</v>
      </c>
      <c r="F216" s="380" t="s">
        <v>539</v>
      </c>
      <c r="G216" s="178">
        <v>0</v>
      </c>
      <c r="H216" s="178">
        <v>0</v>
      </c>
      <c r="I216" s="178">
        <v>0</v>
      </c>
      <c r="J216" s="178">
        <v>0</v>
      </c>
      <c r="K216" s="178">
        <v>0</v>
      </c>
      <c r="L216" s="178">
        <v>0</v>
      </c>
      <c r="M216" s="178">
        <v>0</v>
      </c>
      <c r="N216" s="178">
        <v>0</v>
      </c>
      <c r="O216" s="178">
        <v>0</v>
      </c>
      <c r="P216" s="178">
        <v>0</v>
      </c>
      <c r="Q216" s="178">
        <v>0</v>
      </c>
      <c r="R216" s="178">
        <v>0</v>
      </c>
      <c r="S216" s="7">
        <f>SUM(G216,H216,I216,J216,K216,L216,M216,N216,O216,P216,Q216,R216)</f>
        <v>0</v>
      </c>
      <c r="T216" s="179"/>
      <c r="U216" s="178">
        <v>0</v>
      </c>
      <c r="V216" s="178">
        <v>0</v>
      </c>
      <c r="W216" s="178">
        <v>0</v>
      </c>
      <c r="X216" s="178">
        <v>0</v>
      </c>
      <c r="Y216" s="178">
        <v>0</v>
      </c>
      <c r="Z216" s="178">
        <v>0</v>
      </c>
      <c r="AA216" s="178">
        <v>0</v>
      </c>
      <c r="AB216" s="178">
        <v>0</v>
      </c>
      <c r="AC216" s="178">
        <v>0</v>
      </c>
      <c r="AD216" s="178">
        <v>0</v>
      </c>
      <c r="AE216" s="178">
        <v>0</v>
      </c>
      <c r="AF216" s="178">
        <v>0</v>
      </c>
      <c r="AG216" s="518">
        <f>SUM(U216,V216,W216,X216,Y216,Z216,AA216,AB216,AC216,AD216,AE216,AF216)</f>
        <v>0</v>
      </c>
      <c r="AH216" s="788"/>
      <c r="AI216" s="789"/>
      <c r="AJ216" s="790"/>
      <c r="AK216" s="518"/>
      <c r="AL216" s="518"/>
      <c r="AM216" s="518"/>
      <c r="AN216" s="518"/>
      <c r="AO216" s="518"/>
      <c r="AP216" s="518"/>
      <c r="AQ216" s="518">
        <v>0</v>
      </c>
      <c r="AR216" s="518"/>
      <c r="AS216" s="518"/>
      <c r="AT216" s="518"/>
      <c r="AU216" s="518">
        <v>30000000</v>
      </c>
      <c r="AV216" s="518">
        <v>50000000</v>
      </c>
      <c r="AW216" s="518">
        <v>50000000</v>
      </c>
      <c r="AX216" s="518">
        <f t="shared" si="83"/>
        <v>0</v>
      </c>
      <c r="AY216" s="788"/>
      <c r="AZ216" s="789"/>
      <c r="BA216" s="790"/>
      <c r="BB216" s="518"/>
      <c r="BC216" s="518"/>
      <c r="BD216" s="518"/>
      <c r="BE216" s="518"/>
      <c r="BF216" s="518"/>
      <c r="BG216" s="518">
        <f>AP216</f>
        <v>0</v>
      </c>
      <c r="BH216" s="518">
        <v>0</v>
      </c>
      <c r="BI216" s="518">
        <v>0</v>
      </c>
      <c r="BJ216" s="518">
        <v>0</v>
      </c>
      <c r="BK216" s="518">
        <v>0</v>
      </c>
      <c r="BL216" s="518">
        <f>SUM(AZ216,BA216,BB216,BC216,BD216,BE216,BF216,BG216,BH216,BI216,BJ216,BK216)</f>
        <v>0</v>
      </c>
      <c r="BN216" s="516">
        <v>50000000</v>
      </c>
      <c r="BO216" s="517">
        <v>50000000</v>
      </c>
      <c r="BP216" s="518">
        <v>50000000</v>
      </c>
      <c r="BQ216" s="518">
        <v>50000000</v>
      </c>
      <c r="BR216" s="518">
        <v>20000000</v>
      </c>
      <c r="BS216" s="518">
        <v>40000000</v>
      </c>
      <c r="BT216" s="518">
        <v>50000000</v>
      </c>
      <c r="BU216" s="518">
        <v>50000000</v>
      </c>
      <c r="BV216" s="518">
        <v>60000000</v>
      </c>
      <c r="BW216" s="518">
        <v>60000000</v>
      </c>
      <c r="BX216" s="518">
        <v>60000000</v>
      </c>
      <c r="BY216" s="518">
        <v>60000000</v>
      </c>
      <c r="BZ216" s="791">
        <v>600000000</v>
      </c>
      <c r="CB216" s="516">
        <v>50000000</v>
      </c>
      <c r="CC216" s="517">
        <v>50000000</v>
      </c>
      <c r="CD216" s="518">
        <v>50000000</v>
      </c>
      <c r="CE216" s="518">
        <v>50000000</v>
      </c>
      <c r="CF216" s="518">
        <v>20000000</v>
      </c>
      <c r="CG216" s="518">
        <v>40000000</v>
      </c>
      <c r="CH216" s="518">
        <v>50000000</v>
      </c>
      <c r="CI216" s="518">
        <v>50000000</v>
      </c>
      <c r="CJ216" s="518">
        <v>60000000</v>
      </c>
      <c r="CK216" s="518">
        <v>60000000</v>
      </c>
      <c r="CL216" s="518">
        <v>60000000</v>
      </c>
      <c r="CM216" s="518">
        <v>60000000</v>
      </c>
      <c r="CN216" s="791">
        <v>600000000</v>
      </c>
      <c r="CP216" s="646">
        <v>0</v>
      </c>
      <c r="CQ216" s="646"/>
      <c r="CR216" s="519"/>
      <c r="CS216" s="646"/>
      <c r="CT216" s="519"/>
      <c r="CU216" s="646"/>
      <c r="CV216" s="519"/>
      <c r="CW216" s="646"/>
      <c r="CX216" s="519"/>
      <c r="CY216" s="646"/>
      <c r="CZ216" s="519"/>
      <c r="DA216" s="646"/>
      <c r="DB216" s="519"/>
      <c r="DC216" s="646">
        <v>0</v>
      </c>
      <c r="DD216" s="519"/>
      <c r="DE216" s="518"/>
      <c r="DF216" s="519"/>
      <c r="DG216" s="749"/>
      <c r="DH216" s="518"/>
      <c r="DI216" s="519"/>
      <c r="DJ216" s="749"/>
      <c r="DK216" s="518"/>
      <c r="DL216" s="519"/>
      <c r="DM216" s="749"/>
      <c r="DN216" s="518"/>
      <c r="DO216" s="519"/>
      <c r="DP216" s="749"/>
      <c r="DQ216" s="493">
        <f t="shared" si="74"/>
        <v>0</v>
      </c>
      <c r="DR216" s="479">
        <f t="shared" si="84"/>
        <v>0</v>
      </c>
      <c r="DS216" s="1162"/>
      <c r="DT216" s="1162"/>
      <c r="DU216" s="1162"/>
      <c r="DV216" s="1162"/>
      <c r="DW216" s="1162"/>
      <c r="DX216" s="1162"/>
      <c r="DY216" s="1162"/>
      <c r="DZ216" s="1162"/>
      <c r="EA216" s="1162"/>
      <c r="EB216" s="1162"/>
      <c r="EC216" s="1162"/>
      <c r="ED216" s="1162"/>
      <c r="EE216" s="1119">
        <f t="shared" si="85"/>
        <v>0</v>
      </c>
      <c r="EF216" s="443">
        <f t="shared" si="76"/>
        <v>0</v>
      </c>
      <c r="EG216" s="355">
        <f t="shared" si="77"/>
        <v>0</v>
      </c>
      <c r="EH216" s="443">
        <f t="shared" si="65"/>
        <v>0</v>
      </c>
      <c r="EI216" s="443">
        <f t="shared" si="65"/>
        <v>0</v>
      </c>
      <c r="EJ216" s="367" t="s">
        <v>539</v>
      </c>
    </row>
    <row r="217" spans="1:140" ht="15.5" outlineLevel="2">
      <c r="A217" s="367" t="s">
        <v>43</v>
      </c>
      <c r="B217" s="378"/>
      <c r="C217" s="370" t="s">
        <v>358</v>
      </c>
      <c r="D217" s="297" t="s">
        <v>121</v>
      </c>
      <c r="E217" s="400" t="s">
        <v>540</v>
      </c>
      <c r="F217" s="380"/>
      <c r="G217" s="180"/>
      <c r="H217" s="180"/>
      <c r="I217" s="180"/>
      <c r="J217" s="180"/>
      <c r="K217" s="180"/>
      <c r="L217" s="180"/>
      <c r="M217" s="180"/>
      <c r="N217" s="180"/>
      <c r="O217" s="180"/>
      <c r="P217" s="180"/>
      <c r="Q217" s="180"/>
      <c r="R217" s="180"/>
      <c r="S217" s="6"/>
      <c r="T217" s="181"/>
      <c r="U217" s="180"/>
      <c r="V217" s="9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181"/>
      <c r="AI217" s="180"/>
      <c r="AJ217" s="517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518">
        <f t="shared" si="83"/>
        <v>0</v>
      </c>
      <c r="AY217" s="181"/>
      <c r="AZ217" s="180"/>
      <c r="BA217" s="517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N217" s="19"/>
      <c r="BO217" s="517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799"/>
      <c r="CB217" s="19"/>
      <c r="CC217" s="517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P217" s="649"/>
      <c r="CQ217" s="649"/>
      <c r="CR217" s="609"/>
      <c r="CS217" s="649"/>
      <c r="CT217" s="609"/>
      <c r="CU217" s="649"/>
      <c r="CV217" s="609"/>
      <c r="CW217" s="649"/>
      <c r="CX217" s="609"/>
      <c r="CY217" s="649"/>
      <c r="CZ217" s="609"/>
      <c r="DA217" s="649"/>
      <c r="DB217" s="609">
        <v>200000000</v>
      </c>
      <c r="DC217" s="649">
        <v>0</v>
      </c>
      <c r="DD217" s="609">
        <v>200000000</v>
      </c>
      <c r="DE217" s="6"/>
      <c r="DF217" s="609">
        <v>200000000</v>
      </c>
      <c r="DG217" s="750">
        <v>200000000</v>
      </c>
      <c r="DH217" s="6"/>
      <c r="DI217" s="609">
        <v>300000000</v>
      </c>
      <c r="DJ217" s="750">
        <v>300000000</v>
      </c>
      <c r="DK217" s="6"/>
      <c r="DL217" s="609">
        <v>300000000</v>
      </c>
      <c r="DM217" s="750">
        <v>300000000</v>
      </c>
      <c r="DN217" s="6"/>
      <c r="DO217" s="609">
        <v>300000000</v>
      </c>
      <c r="DP217" s="750">
        <v>300000000</v>
      </c>
      <c r="DQ217" s="493">
        <f t="shared" si="74"/>
        <v>1100000000</v>
      </c>
      <c r="DR217" s="479">
        <f t="shared" si="84"/>
        <v>1100000000</v>
      </c>
      <c r="DS217" s="1162"/>
      <c r="DT217" s="1162"/>
      <c r="DU217" s="1162"/>
      <c r="DV217" s="1162"/>
      <c r="DW217" s="1162"/>
      <c r="DX217" s="1162"/>
      <c r="DY217" s="1162"/>
      <c r="DZ217" s="1162"/>
      <c r="EA217" s="1162"/>
      <c r="EB217" s="1162"/>
      <c r="EC217" s="1162"/>
      <c r="ED217" s="1162"/>
      <c r="EE217" s="1119">
        <f t="shared" si="85"/>
        <v>0</v>
      </c>
      <c r="EF217" s="443">
        <f t="shared" si="76"/>
        <v>0</v>
      </c>
      <c r="EG217" s="355">
        <f t="shared" si="77"/>
        <v>0</v>
      </c>
      <c r="EH217" s="443">
        <f t="shared" si="65"/>
        <v>0</v>
      </c>
      <c r="EI217" s="443">
        <f t="shared" si="65"/>
        <v>0</v>
      </c>
    </row>
    <row r="218" spans="1:140" ht="15.5" outlineLevel="2">
      <c r="A218" s="367" t="s">
        <v>39</v>
      </c>
      <c r="B218" s="378"/>
      <c r="C218" s="370" t="s">
        <v>358</v>
      </c>
      <c r="D218" s="297" t="s">
        <v>121</v>
      </c>
      <c r="E218" s="388" t="s">
        <v>541</v>
      </c>
      <c r="F218" s="380" t="s">
        <v>542</v>
      </c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7"/>
      <c r="T218" s="179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518"/>
      <c r="AH218" s="788"/>
      <c r="AI218" s="789"/>
      <c r="AJ218" s="790"/>
      <c r="AK218" s="518"/>
      <c r="AL218" s="518"/>
      <c r="AM218" s="518"/>
      <c r="AN218" s="518"/>
      <c r="AO218" s="518"/>
      <c r="AP218" s="518"/>
      <c r="AQ218" s="518"/>
      <c r="AR218" s="759"/>
      <c r="AS218" s="759"/>
      <c r="AT218" s="759"/>
      <c r="AU218" s="518"/>
      <c r="AV218" s="518"/>
      <c r="AW218" s="518"/>
      <c r="AX218" s="518">
        <f t="shared" si="83"/>
        <v>0</v>
      </c>
      <c r="AY218" s="788"/>
      <c r="AZ218" s="789"/>
      <c r="BA218" s="790"/>
      <c r="BB218" s="518"/>
      <c r="BC218" s="518"/>
      <c r="BD218" s="518"/>
      <c r="BE218" s="518"/>
      <c r="BF218" s="518"/>
      <c r="BG218" s="518"/>
      <c r="BH218" s="518"/>
      <c r="BI218" s="518"/>
      <c r="BJ218" s="518"/>
      <c r="BK218" s="518"/>
      <c r="BL218" s="518">
        <f>SUM(AZ218,BA218,BB218,BC218,BD218,BE218,BF218,BG218,BH218,BI218,BJ218,BK218)</f>
        <v>0</v>
      </c>
      <c r="BN218" s="516">
        <v>70400000</v>
      </c>
      <c r="BO218" s="517">
        <v>70400000</v>
      </c>
      <c r="BP218" s="518">
        <v>70400000</v>
      </c>
      <c r="BQ218" s="518">
        <v>70400000</v>
      </c>
      <c r="BR218" s="518">
        <v>70400000</v>
      </c>
      <c r="BS218" s="518">
        <v>70400000</v>
      </c>
      <c r="BT218" s="518">
        <v>70400000</v>
      </c>
      <c r="BU218" s="518">
        <v>70400000</v>
      </c>
      <c r="BV218" s="518">
        <v>70400000</v>
      </c>
      <c r="BW218" s="518">
        <v>70400000</v>
      </c>
      <c r="BX218" s="518">
        <v>70400000</v>
      </c>
      <c r="BY218" s="518">
        <v>70400000</v>
      </c>
      <c r="BZ218" s="791">
        <v>844800000</v>
      </c>
      <c r="CB218" s="516">
        <v>70400000</v>
      </c>
      <c r="CC218" s="517">
        <v>70400000</v>
      </c>
      <c r="CD218" s="518">
        <v>70400000</v>
      </c>
      <c r="CE218" s="518">
        <v>70400000</v>
      </c>
      <c r="CF218" s="518">
        <v>70400000</v>
      </c>
      <c r="CG218" s="518">
        <v>70400000</v>
      </c>
      <c r="CH218" s="518">
        <v>70400000</v>
      </c>
      <c r="CI218" s="518">
        <v>70400000</v>
      </c>
      <c r="CJ218" s="518">
        <v>70400000</v>
      </c>
      <c r="CK218" s="518">
        <v>70400000</v>
      </c>
      <c r="CL218" s="518">
        <v>70400000</v>
      </c>
      <c r="CM218" s="518">
        <v>70400000</v>
      </c>
      <c r="CN218" s="791">
        <v>844800000</v>
      </c>
      <c r="CP218" s="646"/>
      <c r="CQ218" s="646"/>
      <c r="CR218" s="516"/>
      <c r="CS218" s="646"/>
      <c r="CT218" s="516"/>
      <c r="CU218" s="646"/>
      <c r="CV218" s="516"/>
      <c r="CW218" s="646"/>
      <c r="CX218" s="516"/>
      <c r="CY218" s="646"/>
      <c r="CZ218" s="516"/>
      <c r="DA218" s="646"/>
      <c r="DB218" s="516"/>
      <c r="DC218" s="646">
        <v>0</v>
      </c>
      <c r="DD218" s="516"/>
      <c r="DE218" s="518"/>
      <c r="DF218" s="516"/>
      <c r="DG218" s="747"/>
      <c r="DH218" s="518"/>
      <c r="DI218" s="516"/>
      <c r="DJ218" s="747"/>
      <c r="DK218" s="518"/>
      <c r="DL218" s="516"/>
      <c r="DM218" s="747"/>
      <c r="DN218" s="518"/>
      <c r="DO218" s="516"/>
      <c r="DP218" s="747"/>
      <c r="DQ218" s="493">
        <f t="shared" si="74"/>
        <v>0</v>
      </c>
      <c r="DR218" s="479">
        <f t="shared" si="84"/>
        <v>0</v>
      </c>
      <c r="DS218" s="1162"/>
      <c r="DT218" s="1162"/>
      <c r="DU218" s="1162"/>
      <c r="DV218" s="1162"/>
      <c r="DW218" s="1162"/>
      <c r="DX218" s="1162"/>
      <c r="DY218" s="1162"/>
      <c r="DZ218" s="1162"/>
      <c r="EA218" s="1162"/>
      <c r="EB218" s="1162"/>
      <c r="EC218" s="1162"/>
      <c r="ED218" s="1162"/>
      <c r="EE218" s="1119">
        <f t="shared" si="85"/>
        <v>0</v>
      </c>
      <c r="EF218" s="443">
        <f t="shared" si="76"/>
        <v>0</v>
      </c>
      <c r="EG218" s="355">
        <f t="shared" si="77"/>
        <v>0</v>
      </c>
      <c r="EH218" s="443">
        <f t="shared" ref="EH218:EI237" si="86">EG218*1.09</f>
        <v>0</v>
      </c>
      <c r="EI218" s="443">
        <f t="shared" si="86"/>
        <v>0</v>
      </c>
      <c r="EJ218" s="367">
        <v>1396275978.24</v>
      </c>
    </row>
    <row r="219" spans="1:140" ht="15.5" outlineLevel="2">
      <c r="A219" s="367" t="s">
        <v>59</v>
      </c>
      <c r="B219" s="378"/>
      <c r="C219" s="370" t="s">
        <v>358</v>
      </c>
      <c r="D219" s="297" t="s">
        <v>121</v>
      </c>
      <c r="E219" s="379" t="s">
        <v>543</v>
      </c>
      <c r="F219" s="380" t="s">
        <v>544</v>
      </c>
      <c r="G219" s="178">
        <v>0</v>
      </c>
      <c r="H219" s="178">
        <v>0</v>
      </c>
      <c r="I219" s="178">
        <v>0</v>
      </c>
      <c r="J219" s="178">
        <v>0</v>
      </c>
      <c r="K219" s="178">
        <v>0</v>
      </c>
      <c r="L219" s="178">
        <v>0</v>
      </c>
      <c r="M219" s="178">
        <v>0</v>
      </c>
      <c r="N219" s="178">
        <v>0</v>
      </c>
      <c r="O219" s="178">
        <v>0</v>
      </c>
      <c r="P219" s="178">
        <v>0</v>
      </c>
      <c r="Q219" s="178">
        <v>0</v>
      </c>
      <c r="R219" s="178">
        <v>0</v>
      </c>
      <c r="S219" s="7">
        <f>SUM(G219,H219,I219,J219,K219,L219,M219,N219,O219,P219,Q219,R219)</f>
        <v>0</v>
      </c>
      <c r="T219" s="179"/>
      <c r="U219" s="178">
        <v>0</v>
      </c>
      <c r="V219" s="178">
        <v>0</v>
      </c>
      <c r="W219" s="178">
        <v>0</v>
      </c>
      <c r="X219" s="178">
        <v>0</v>
      </c>
      <c r="Y219" s="178">
        <v>0</v>
      </c>
      <c r="Z219" s="178">
        <v>0</v>
      </c>
      <c r="AA219" s="178">
        <v>0</v>
      </c>
      <c r="AB219" s="178">
        <v>0</v>
      </c>
      <c r="AC219" s="178">
        <v>0</v>
      </c>
      <c r="AD219" s="178">
        <v>0</v>
      </c>
      <c r="AE219" s="178">
        <v>0</v>
      </c>
      <c r="AF219" s="178">
        <v>0</v>
      </c>
      <c r="AG219" s="518">
        <f>SUM(U219,V219,W219,X219,Y219,Z219,AA219,AB219,AC219,AD219,AE219,AF219)</f>
        <v>0</v>
      </c>
      <c r="AH219" s="788"/>
      <c r="AI219" s="789"/>
      <c r="AJ219" s="790"/>
      <c r="AK219" s="518"/>
      <c r="AL219" s="518"/>
      <c r="AM219" s="518"/>
      <c r="AN219" s="518"/>
      <c r="AO219" s="518"/>
      <c r="AP219" s="518"/>
      <c r="AQ219" s="518">
        <v>0</v>
      </c>
      <c r="AR219" s="518"/>
      <c r="AS219" s="518"/>
      <c r="AT219" s="518"/>
      <c r="AU219" s="518">
        <f>BI219</f>
        <v>0</v>
      </c>
      <c r="AV219" s="518">
        <f>BJ219</f>
        <v>0</v>
      </c>
      <c r="AW219" s="518">
        <f>BK219</f>
        <v>0</v>
      </c>
      <c r="AX219" s="518">
        <f t="shared" si="83"/>
        <v>0</v>
      </c>
      <c r="AY219" s="788"/>
      <c r="AZ219" s="789"/>
      <c r="BA219" s="790"/>
      <c r="BB219" s="518"/>
      <c r="BC219" s="518"/>
      <c r="BD219" s="518"/>
      <c r="BE219" s="518"/>
      <c r="BF219" s="518"/>
      <c r="BG219" s="518">
        <f>AP219</f>
        <v>0</v>
      </c>
      <c r="BH219" s="518">
        <v>0</v>
      </c>
      <c r="BI219" s="518">
        <v>0</v>
      </c>
      <c r="BJ219" s="518">
        <v>0</v>
      </c>
      <c r="BK219" s="518">
        <v>0</v>
      </c>
      <c r="BL219" s="518">
        <f>SUM(AZ219,BA219,BB219,BC219,BD219,BE219,BF219,BG219,BH219,BI219,BJ219,BK219)</f>
        <v>0</v>
      </c>
      <c r="BN219" s="516">
        <v>30000000</v>
      </c>
      <c r="BO219" s="517">
        <v>30000000</v>
      </c>
      <c r="BP219" s="518">
        <v>50000000</v>
      </c>
      <c r="BQ219" s="518">
        <v>50000000</v>
      </c>
      <c r="BR219" s="518">
        <v>30000000</v>
      </c>
      <c r="BS219" s="518">
        <v>30000000</v>
      </c>
      <c r="BT219" s="518">
        <v>50000000</v>
      </c>
      <c r="BU219" s="518">
        <v>50000000</v>
      </c>
      <c r="BV219" s="518">
        <v>50000000</v>
      </c>
      <c r="BW219" s="518">
        <v>50000000</v>
      </c>
      <c r="BX219" s="518">
        <v>50000000</v>
      </c>
      <c r="BY219" s="518">
        <v>50000000</v>
      </c>
      <c r="BZ219" s="791">
        <v>520000000</v>
      </c>
      <c r="CB219" s="516">
        <v>30000000</v>
      </c>
      <c r="CC219" s="517">
        <v>30000000</v>
      </c>
      <c r="CD219" s="518">
        <v>50000000</v>
      </c>
      <c r="CE219" s="518">
        <v>50000000</v>
      </c>
      <c r="CF219" s="518">
        <v>30000000</v>
      </c>
      <c r="CG219" s="518">
        <v>30000000</v>
      </c>
      <c r="CH219" s="518">
        <v>50000000</v>
      </c>
      <c r="CI219" s="518">
        <v>50000000</v>
      </c>
      <c r="CJ219" s="518">
        <v>50000000</v>
      </c>
      <c r="CK219" s="518">
        <v>50000000</v>
      </c>
      <c r="CL219" s="518">
        <v>50000000</v>
      </c>
      <c r="CM219" s="518">
        <v>50000000</v>
      </c>
      <c r="CN219" s="791">
        <v>520000000</v>
      </c>
      <c r="CP219" s="646"/>
      <c r="CQ219" s="646"/>
      <c r="CR219" s="516"/>
      <c r="CS219" s="646"/>
      <c r="CT219" s="516"/>
      <c r="CU219" s="646"/>
      <c r="CV219" s="516"/>
      <c r="CW219" s="646"/>
      <c r="CX219" s="516"/>
      <c r="CY219" s="646"/>
      <c r="CZ219" s="516">
        <v>50000000</v>
      </c>
      <c r="DA219" s="646"/>
      <c r="DB219" s="516">
        <v>50000000</v>
      </c>
      <c r="DC219" s="646">
        <v>0</v>
      </c>
      <c r="DD219" s="516">
        <v>50000000</v>
      </c>
      <c r="DE219" s="518"/>
      <c r="DF219" s="516">
        <v>50000000</v>
      </c>
      <c r="DG219" s="747">
        <v>50000000</v>
      </c>
      <c r="DH219" s="518"/>
      <c r="DI219" s="516">
        <v>50000000</v>
      </c>
      <c r="DJ219" s="747">
        <v>50000000</v>
      </c>
      <c r="DK219" s="518"/>
      <c r="DL219" s="516">
        <v>50000000</v>
      </c>
      <c r="DM219" s="747">
        <v>50000000</v>
      </c>
      <c r="DN219" s="518"/>
      <c r="DO219" s="516">
        <v>50000000</v>
      </c>
      <c r="DP219" s="747">
        <v>50000000</v>
      </c>
      <c r="DQ219" s="493">
        <f t="shared" si="74"/>
        <v>200000000</v>
      </c>
      <c r="DR219" s="479">
        <f t="shared" si="84"/>
        <v>200000000</v>
      </c>
      <c r="DS219" s="1162">
        <v>40000000</v>
      </c>
      <c r="DT219" s="1162">
        <v>40000000</v>
      </c>
      <c r="DU219" s="1162">
        <v>40000000</v>
      </c>
      <c r="DV219" s="1162">
        <v>20000000</v>
      </c>
      <c r="DW219" s="1162">
        <v>20000000</v>
      </c>
      <c r="DX219" s="1162">
        <v>70000000</v>
      </c>
      <c r="DY219" s="1162">
        <v>70000000</v>
      </c>
      <c r="DZ219" s="1162">
        <v>70000000</v>
      </c>
      <c r="EA219" s="1162">
        <v>70000000</v>
      </c>
      <c r="EB219" s="1162">
        <v>70000000</v>
      </c>
      <c r="EC219" s="1162">
        <v>60000000</v>
      </c>
      <c r="ED219" s="1162">
        <v>60000000</v>
      </c>
      <c r="EE219" s="1119">
        <f t="shared" si="85"/>
        <v>630000000</v>
      </c>
      <c r="EF219" s="443">
        <f t="shared" si="76"/>
        <v>737100000</v>
      </c>
      <c r="EG219" s="355">
        <f t="shared" si="77"/>
        <v>796068000</v>
      </c>
      <c r="EH219" s="443">
        <f t="shared" si="86"/>
        <v>867714120.00000012</v>
      </c>
      <c r="EI219" s="443">
        <f t="shared" si="86"/>
        <v>945808390.80000019</v>
      </c>
      <c r="EJ219" s="367" t="s">
        <v>544</v>
      </c>
    </row>
    <row r="220" spans="1:140" ht="15.5" outlineLevel="2">
      <c r="A220" s="367" t="s">
        <v>59</v>
      </c>
      <c r="B220" s="378"/>
      <c r="C220" s="370" t="s">
        <v>358</v>
      </c>
      <c r="D220" s="297" t="s">
        <v>121</v>
      </c>
      <c r="E220" s="379" t="s">
        <v>545</v>
      </c>
      <c r="F220" s="380" t="s">
        <v>546</v>
      </c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7"/>
      <c r="T220" s="179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518"/>
      <c r="AH220" s="788"/>
      <c r="AI220" s="789"/>
      <c r="AJ220" s="790"/>
      <c r="AK220" s="518"/>
      <c r="AL220" s="518"/>
      <c r="AM220" s="518"/>
      <c r="AN220" s="518"/>
      <c r="AO220" s="518"/>
      <c r="AP220" s="518"/>
      <c r="AQ220" s="518"/>
      <c r="AR220" s="518"/>
      <c r="AS220" s="518"/>
      <c r="AT220" s="518"/>
      <c r="AU220" s="518"/>
      <c r="AV220" s="518"/>
      <c r="AW220" s="518"/>
      <c r="AX220" s="518"/>
      <c r="AY220" s="788"/>
      <c r="AZ220" s="789"/>
      <c r="BA220" s="790"/>
      <c r="BB220" s="518"/>
      <c r="BC220" s="518"/>
      <c r="BD220" s="518"/>
      <c r="BE220" s="518"/>
      <c r="BF220" s="518"/>
      <c r="BG220" s="518"/>
      <c r="BH220" s="518"/>
      <c r="BI220" s="518"/>
      <c r="BJ220" s="518"/>
      <c r="BK220" s="518"/>
      <c r="BL220" s="518"/>
      <c r="BN220" s="516"/>
      <c r="BO220" s="517"/>
      <c r="BP220" s="518"/>
      <c r="BQ220" s="518"/>
      <c r="BR220" s="518"/>
      <c r="BS220" s="518"/>
      <c r="BT220" s="518"/>
      <c r="BU220" s="518"/>
      <c r="BV220" s="518"/>
      <c r="BW220" s="518"/>
      <c r="BX220" s="518"/>
      <c r="BY220" s="518"/>
      <c r="BZ220" s="791"/>
      <c r="CB220" s="516"/>
      <c r="CC220" s="517"/>
      <c r="CD220" s="518"/>
      <c r="CE220" s="518"/>
      <c r="CF220" s="518"/>
      <c r="CG220" s="518"/>
      <c r="CH220" s="518"/>
      <c r="CI220" s="518"/>
      <c r="CJ220" s="518"/>
      <c r="CK220" s="518"/>
      <c r="CL220" s="518"/>
      <c r="CM220" s="518"/>
      <c r="CN220" s="791"/>
      <c r="CP220" s="646"/>
      <c r="CQ220" s="646"/>
      <c r="CR220" s="516"/>
      <c r="CS220" s="646"/>
      <c r="CT220" s="516"/>
      <c r="CU220" s="646"/>
      <c r="CV220" s="516"/>
      <c r="CW220" s="646"/>
      <c r="CX220" s="516"/>
      <c r="CY220" s="646"/>
      <c r="CZ220" s="516"/>
      <c r="DA220" s="646"/>
      <c r="DB220" s="516"/>
      <c r="DC220" s="646">
        <v>19300000</v>
      </c>
      <c r="DD220" s="516"/>
      <c r="DE220" s="518"/>
      <c r="DF220" s="516"/>
      <c r="DG220" s="747"/>
      <c r="DH220" s="518"/>
      <c r="DI220" s="516"/>
      <c r="DJ220" s="747"/>
      <c r="DK220" s="518"/>
      <c r="DL220" s="516"/>
      <c r="DM220" s="747"/>
      <c r="DN220" s="518"/>
      <c r="DO220" s="516"/>
      <c r="DP220" s="747"/>
      <c r="DQ220" s="493">
        <f t="shared" si="74"/>
        <v>19300000</v>
      </c>
      <c r="DR220" s="479">
        <f t="shared" si="84"/>
        <v>19300000</v>
      </c>
      <c r="DS220" s="1162">
        <v>50000000</v>
      </c>
      <c r="DT220" s="1162">
        <v>50000000</v>
      </c>
      <c r="DU220" s="1162">
        <v>50000000</v>
      </c>
      <c r="DV220" s="1162">
        <v>50000000</v>
      </c>
      <c r="DW220" s="1162">
        <v>40000000</v>
      </c>
      <c r="DX220" s="1162">
        <v>50000000</v>
      </c>
      <c r="DY220" s="1162">
        <v>50000000</v>
      </c>
      <c r="DZ220" s="1162">
        <v>50000000</v>
      </c>
      <c r="EA220" s="1162">
        <v>60000000</v>
      </c>
      <c r="EB220" s="1162">
        <v>50000000</v>
      </c>
      <c r="EC220" s="1162">
        <v>50000000</v>
      </c>
      <c r="ED220" s="1162">
        <v>50000000</v>
      </c>
      <c r="EE220" s="1119">
        <f t="shared" si="85"/>
        <v>600000000</v>
      </c>
      <c r="EF220" s="443">
        <f t="shared" si="76"/>
        <v>702000000</v>
      </c>
      <c r="EG220" s="355">
        <f t="shared" si="77"/>
        <v>758160000</v>
      </c>
      <c r="EH220" s="443">
        <f t="shared" si="86"/>
        <v>826394400.00000012</v>
      </c>
      <c r="EI220" s="443">
        <f t="shared" si="86"/>
        <v>900769896.00000024</v>
      </c>
    </row>
    <row r="221" spans="1:140" ht="15.5" outlineLevel="2">
      <c r="A221" s="367" t="s">
        <v>43</v>
      </c>
      <c r="B221" s="378"/>
      <c r="C221" s="370" t="s">
        <v>358</v>
      </c>
      <c r="D221" s="297" t="s">
        <v>121</v>
      </c>
      <c r="E221" s="400" t="s">
        <v>547</v>
      </c>
      <c r="F221" s="380"/>
      <c r="G221" s="180"/>
      <c r="H221" s="180"/>
      <c r="I221" s="180"/>
      <c r="J221" s="180"/>
      <c r="K221" s="180"/>
      <c r="L221" s="180"/>
      <c r="M221" s="180"/>
      <c r="N221" s="180"/>
      <c r="O221" s="180"/>
      <c r="P221" s="180"/>
      <c r="Q221" s="180"/>
      <c r="R221" s="180"/>
      <c r="S221" s="6"/>
      <c r="T221" s="181"/>
      <c r="U221" s="180"/>
      <c r="V221" s="9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181"/>
      <c r="AI221" s="180"/>
      <c r="AJ221" s="517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518">
        <f t="shared" si="83"/>
        <v>0</v>
      </c>
      <c r="AY221" s="181"/>
      <c r="AZ221" s="180"/>
      <c r="BA221" s="517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N221" s="19"/>
      <c r="BO221" s="517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799"/>
      <c r="CB221" s="19"/>
      <c r="CC221" s="517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P221" s="649"/>
      <c r="CQ221" s="649"/>
      <c r="CR221" s="609"/>
      <c r="CS221" s="649"/>
      <c r="CT221" s="609"/>
      <c r="CU221" s="649"/>
      <c r="CV221" s="609"/>
      <c r="CW221" s="649"/>
      <c r="CX221" s="609"/>
      <c r="CY221" s="649"/>
      <c r="CZ221" s="609"/>
      <c r="DA221" s="649"/>
      <c r="DB221" s="609">
        <v>50000000</v>
      </c>
      <c r="DC221" s="649">
        <v>0</v>
      </c>
      <c r="DD221" s="609">
        <v>50000000</v>
      </c>
      <c r="DE221" s="6"/>
      <c r="DF221" s="609">
        <v>50000000</v>
      </c>
      <c r="DG221" s="750">
        <v>50000000</v>
      </c>
      <c r="DH221" s="6"/>
      <c r="DI221" s="609">
        <v>50000000</v>
      </c>
      <c r="DJ221" s="750">
        <v>50000000</v>
      </c>
      <c r="DK221" s="6"/>
      <c r="DL221" s="609">
        <v>50000000</v>
      </c>
      <c r="DM221" s="750">
        <v>50000000</v>
      </c>
      <c r="DN221" s="6"/>
      <c r="DO221" s="609">
        <v>50000000</v>
      </c>
      <c r="DP221" s="750">
        <v>50000000</v>
      </c>
      <c r="DQ221" s="493">
        <f t="shared" si="74"/>
        <v>200000000</v>
      </c>
      <c r="DR221" s="479">
        <f t="shared" si="84"/>
        <v>200000000</v>
      </c>
      <c r="DS221" s="1162"/>
      <c r="DT221" s="1162"/>
      <c r="DU221" s="1162"/>
      <c r="DV221" s="1162"/>
      <c r="DW221" s="1162"/>
      <c r="DX221" s="1162"/>
      <c r="DY221" s="1162"/>
      <c r="DZ221" s="1162"/>
      <c r="EA221" s="1162"/>
      <c r="EB221" s="1162"/>
      <c r="EC221" s="1162"/>
      <c r="ED221" s="1162"/>
      <c r="EE221" s="1119">
        <f t="shared" si="85"/>
        <v>0</v>
      </c>
      <c r="EF221" s="443">
        <f t="shared" si="76"/>
        <v>0</v>
      </c>
      <c r="EG221" s="355">
        <f t="shared" si="77"/>
        <v>0</v>
      </c>
      <c r="EH221" s="443">
        <f t="shared" si="86"/>
        <v>0</v>
      </c>
      <c r="EI221" s="443">
        <f t="shared" si="86"/>
        <v>0</v>
      </c>
    </row>
    <row r="222" spans="1:140" ht="15.5" outlineLevel="2">
      <c r="A222" s="367" t="s">
        <v>43</v>
      </c>
      <c r="B222" s="378"/>
      <c r="C222" s="370" t="s">
        <v>358</v>
      </c>
      <c r="D222" s="297" t="s">
        <v>121</v>
      </c>
      <c r="E222" s="400" t="s">
        <v>548</v>
      </c>
      <c r="F222" s="380"/>
      <c r="G222" s="180"/>
      <c r="H222" s="180"/>
      <c r="I222" s="180"/>
      <c r="J222" s="180"/>
      <c r="K222" s="180"/>
      <c r="L222" s="180"/>
      <c r="M222" s="180"/>
      <c r="N222" s="180"/>
      <c r="O222" s="180"/>
      <c r="P222" s="180"/>
      <c r="Q222" s="180"/>
      <c r="R222" s="180"/>
      <c r="S222" s="6"/>
      <c r="T222" s="181"/>
      <c r="U222" s="180"/>
      <c r="V222" s="9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181"/>
      <c r="AI222" s="180"/>
      <c r="AJ222" s="517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518">
        <f t="shared" si="83"/>
        <v>0</v>
      </c>
      <c r="AY222" s="181"/>
      <c r="AZ222" s="180"/>
      <c r="BA222" s="517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N222" s="19"/>
      <c r="BO222" s="517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799"/>
      <c r="CB222" s="19"/>
      <c r="CC222" s="517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P222" s="649"/>
      <c r="CQ222" s="649"/>
      <c r="CR222" s="609"/>
      <c r="CS222" s="649"/>
      <c r="CT222" s="609"/>
      <c r="CU222" s="649"/>
      <c r="CV222" s="609"/>
      <c r="CW222" s="649"/>
      <c r="CX222" s="609"/>
      <c r="CY222" s="649"/>
      <c r="CZ222" s="609"/>
      <c r="DA222" s="649"/>
      <c r="DB222" s="609">
        <v>50000000</v>
      </c>
      <c r="DC222" s="649">
        <v>0</v>
      </c>
      <c r="DD222" s="609">
        <v>50000000</v>
      </c>
      <c r="DE222" s="6"/>
      <c r="DF222" s="609">
        <v>50000000</v>
      </c>
      <c r="DG222" s="750">
        <v>50000000</v>
      </c>
      <c r="DH222" s="6"/>
      <c r="DI222" s="609">
        <v>50000000</v>
      </c>
      <c r="DJ222" s="750">
        <v>50000000</v>
      </c>
      <c r="DK222" s="6"/>
      <c r="DL222" s="609">
        <v>50000000</v>
      </c>
      <c r="DM222" s="750">
        <v>50000000</v>
      </c>
      <c r="DN222" s="6"/>
      <c r="DO222" s="609">
        <v>50000000</v>
      </c>
      <c r="DP222" s="750">
        <v>50000000</v>
      </c>
      <c r="DQ222" s="493">
        <f t="shared" si="74"/>
        <v>200000000</v>
      </c>
      <c r="DR222" s="479">
        <f t="shared" si="84"/>
        <v>200000000</v>
      </c>
      <c r="DS222" s="1162"/>
      <c r="DT222" s="1162"/>
      <c r="DU222" s="1162"/>
      <c r="DV222" s="1162"/>
      <c r="DW222" s="1162"/>
      <c r="DX222" s="1162"/>
      <c r="DY222" s="1162"/>
      <c r="DZ222" s="1162"/>
      <c r="EA222" s="1162"/>
      <c r="EB222" s="1162"/>
      <c r="EC222" s="1162"/>
      <c r="ED222" s="1162"/>
      <c r="EE222" s="1119">
        <f t="shared" si="85"/>
        <v>0</v>
      </c>
      <c r="EF222" s="443">
        <f t="shared" si="76"/>
        <v>0</v>
      </c>
      <c r="EG222" s="355">
        <f t="shared" si="77"/>
        <v>0</v>
      </c>
      <c r="EH222" s="443">
        <f t="shared" si="86"/>
        <v>0</v>
      </c>
      <c r="EI222" s="443">
        <f t="shared" si="86"/>
        <v>0</v>
      </c>
    </row>
    <row r="223" spans="1:140" ht="15.5" outlineLevel="2">
      <c r="A223" s="367" t="s">
        <v>43</v>
      </c>
      <c r="B223" s="378"/>
      <c r="C223" s="370" t="s">
        <v>358</v>
      </c>
      <c r="D223" s="297" t="s">
        <v>121</v>
      </c>
      <c r="E223" s="400" t="s">
        <v>549</v>
      </c>
      <c r="F223" s="380">
        <v>3000020650</v>
      </c>
      <c r="G223" s="180"/>
      <c r="H223" s="180"/>
      <c r="I223" s="180"/>
      <c r="J223" s="180"/>
      <c r="K223" s="180"/>
      <c r="L223" s="180"/>
      <c r="M223" s="180"/>
      <c r="N223" s="180"/>
      <c r="O223" s="180"/>
      <c r="P223" s="180"/>
      <c r="Q223" s="180"/>
      <c r="R223" s="180"/>
      <c r="S223" s="6"/>
      <c r="T223" s="181"/>
      <c r="U223" s="180"/>
      <c r="V223" s="9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181"/>
      <c r="AI223" s="180"/>
      <c r="AJ223" s="517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518">
        <f t="shared" si="83"/>
        <v>0</v>
      </c>
      <c r="AY223" s="181"/>
      <c r="AZ223" s="180"/>
      <c r="BA223" s="517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N223" s="19"/>
      <c r="BO223" s="517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799"/>
      <c r="CB223" s="19"/>
      <c r="CC223" s="517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P223" s="649"/>
      <c r="CQ223" s="649"/>
      <c r="CR223" s="19"/>
      <c r="CS223" s="649"/>
      <c r="CT223" s="19">
        <v>70000000</v>
      </c>
      <c r="CU223" s="649"/>
      <c r="CV223" s="19">
        <v>0</v>
      </c>
      <c r="CW223" s="649"/>
      <c r="CX223" s="19">
        <v>0</v>
      </c>
      <c r="CY223" s="649"/>
      <c r="CZ223" s="19">
        <v>50000000</v>
      </c>
      <c r="DA223" s="649"/>
      <c r="DB223" s="19">
        <v>50000000</v>
      </c>
      <c r="DC223" s="649">
        <v>0</v>
      </c>
      <c r="DD223" s="19">
        <v>50000000</v>
      </c>
      <c r="DE223" s="518"/>
      <c r="DF223" s="19">
        <v>50000000</v>
      </c>
      <c r="DG223" s="750">
        <v>50000000</v>
      </c>
      <c r="DH223" s="518"/>
      <c r="DI223" s="19">
        <v>50000000</v>
      </c>
      <c r="DJ223" s="750">
        <v>50000000</v>
      </c>
      <c r="DK223" s="518"/>
      <c r="DL223" s="19">
        <v>50000000</v>
      </c>
      <c r="DM223" s="750">
        <v>50000000</v>
      </c>
      <c r="DN223" s="518"/>
      <c r="DO223" s="19">
        <v>50000000</v>
      </c>
      <c r="DP223" s="750">
        <v>50000000</v>
      </c>
      <c r="DQ223" s="493">
        <f t="shared" si="74"/>
        <v>200000000</v>
      </c>
      <c r="DR223" s="479">
        <f t="shared" si="84"/>
        <v>200000000</v>
      </c>
      <c r="DS223" s="1162">
        <v>40000000</v>
      </c>
      <c r="DT223" s="1162">
        <v>50000000</v>
      </c>
      <c r="DU223" s="1162">
        <v>50000000</v>
      </c>
      <c r="DV223" s="1162">
        <v>50000000</v>
      </c>
      <c r="DW223" s="1162">
        <v>40000000</v>
      </c>
      <c r="DX223" s="1162">
        <v>50000000</v>
      </c>
      <c r="DY223" s="1162">
        <v>50000000</v>
      </c>
      <c r="DZ223" s="1162">
        <v>50000000</v>
      </c>
      <c r="EA223" s="1162">
        <v>60000000</v>
      </c>
      <c r="EB223" s="1162">
        <v>60000000</v>
      </c>
      <c r="EC223" s="1162">
        <v>50000000</v>
      </c>
      <c r="ED223" s="1162">
        <v>50000000</v>
      </c>
      <c r="EE223" s="1119">
        <f t="shared" si="85"/>
        <v>600000000</v>
      </c>
      <c r="EF223" s="443">
        <f t="shared" si="76"/>
        <v>702000000</v>
      </c>
      <c r="EG223" s="355">
        <f t="shared" si="77"/>
        <v>758160000</v>
      </c>
      <c r="EH223" s="443">
        <f t="shared" si="86"/>
        <v>826394400.00000012</v>
      </c>
      <c r="EI223" s="443">
        <f t="shared" si="86"/>
        <v>900769896.00000024</v>
      </c>
    </row>
    <row r="224" spans="1:140" ht="15.5" outlineLevel="2">
      <c r="A224" s="367" t="s">
        <v>43</v>
      </c>
      <c r="B224" s="378"/>
      <c r="C224" s="370" t="s">
        <v>358</v>
      </c>
      <c r="D224" s="297" t="s">
        <v>121</v>
      </c>
      <c r="E224" s="400" t="s">
        <v>550</v>
      </c>
      <c r="F224" s="380"/>
      <c r="G224" s="180"/>
      <c r="H224" s="180"/>
      <c r="I224" s="180"/>
      <c r="J224" s="180"/>
      <c r="K224" s="180"/>
      <c r="L224" s="180"/>
      <c r="M224" s="180"/>
      <c r="N224" s="180"/>
      <c r="O224" s="180"/>
      <c r="P224" s="180"/>
      <c r="Q224" s="180"/>
      <c r="R224" s="180"/>
      <c r="S224" s="6"/>
      <c r="T224" s="181"/>
      <c r="U224" s="180"/>
      <c r="V224" s="9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181"/>
      <c r="AI224" s="180"/>
      <c r="AJ224" s="517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518">
        <f t="shared" si="83"/>
        <v>0</v>
      </c>
      <c r="AY224" s="181"/>
      <c r="AZ224" s="180"/>
      <c r="BA224" s="517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N224" s="19"/>
      <c r="BO224" s="517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799"/>
      <c r="CB224" s="19"/>
      <c r="CC224" s="517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P224" s="649"/>
      <c r="CQ224" s="649"/>
      <c r="CR224" s="609"/>
      <c r="CS224" s="649"/>
      <c r="CT224" s="609"/>
      <c r="CU224" s="649"/>
      <c r="CV224" s="609"/>
      <c r="CW224" s="649"/>
      <c r="CX224" s="609"/>
      <c r="CY224" s="649"/>
      <c r="CZ224" s="609">
        <v>100000000</v>
      </c>
      <c r="DA224" s="649"/>
      <c r="DB224" s="609">
        <v>100000000</v>
      </c>
      <c r="DC224" s="649">
        <v>0</v>
      </c>
      <c r="DD224" s="609">
        <v>200000000</v>
      </c>
      <c r="DE224" s="6"/>
      <c r="DF224" s="609">
        <v>200000000</v>
      </c>
      <c r="DG224" s="750">
        <v>200000000</v>
      </c>
      <c r="DH224" s="6"/>
      <c r="DI224" s="609">
        <v>200000000</v>
      </c>
      <c r="DJ224" s="750">
        <v>200000000</v>
      </c>
      <c r="DK224" s="6"/>
      <c r="DL224" s="609">
        <v>200000000</v>
      </c>
      <c r="DM224" s="750">
        <v>200000000</v>
      </c>
      <c r="DN224" s="6"/>
      <c r="DO224" s="609">
        <v>200000000</v>
      </c>
      <c r="DP224" s="750">
        <v>200000000</v>
      </c>
      <c r="DQ224" s="493">
        <f t="shared" si="74"/>
        <v>800000000</v>
      </c>
      <c r="DR224" s="479">
        <f t="shared" si="84"/>
        <v>800000000</v>
      </c>
      <c r="DS224" s="1162"/>
      <c r="DT224" s="1162"/>
      <c r="DU224" s="1162"/>
      <c r="DV224" s="1162"/>
      <c r="DW224" s="1162"/>
      <c r="DX224" s="1162"/>
      <c r="DY224" s="1162"/>
      <c r="DZ224" s="1162"/>
      <c r="EA224" s="1162"/>
      <c r="EB224" s="1162"/>
      <c r="EC224" s="1162"/>
      <c r="ED224" s="1162"/>
      <c r="EE224" s="1119">
        <f t="shared" si="85"/>
        <v>0</v>
      </c>
      <c r="EF224" s="443">
        <f t="shared" si="76"/>
        <v>0</v>
      </c>
      <c r="EG224" s="355">
        <f t="shared" si="77"/>
        <v>0</v>
      </c>
      <c r="EH224" s="443">
        <f t="shared" si="86"/>
        <v>0</v>
      </c>
      <c r="EI224" s="443">
        <f t="shared" si="86"/>
        <v>0</v>
      </c>
    </row>
    <row r="225" spans="1:140" ht="15.5" outlineLevel="2">
      <c r="A225" s="367" t="s">
        <v>43</v>
      </c>
      <c r="B225" s="378"/>
      <c r="C225" s="370" t="s">
        <v>358</v>
      </c>
      <c r="D225" s="297" t="s">
        <v>121</v>
      </c>
      <c r="E225" s="400" t="s">
        <v>551</v>
      </c>
      <c r="F225" s="380"/>
      <c r="G225" s="180"/>
      <c r="H225" s="180"/>
      <c r="I225" s="180"/>
      <c r="J225" s="180"/>
      <c r="K225" s="180"/>
      <c r="L225" s="180"/>
      <c r="M225" s="180"/>
      <c r="N225" s="180"/>
      <c r="O225" s="180"/>
      <c r="P225" s="180"/>
      <c r="Q225" s="180"/>
      <c r="R225" s="180"/>
      <c r="S225" s="6"/>
      <c r="T225" s="181"/>
      <c r="U225" s="180"/>
      <c r="V225" s="9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181"/>
      <c r="AI225" s="180"/>
      <c r="AJ225" s="517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518">
        <f t="shared" si="83"/>
        <v>0</v>
      </c>
      <c r="AY225" s="181"/>
      <c r="AZ225" s="180"/>
      <c r="BA225" s="517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N225" s="19"/>
      <c r="BO225" s="517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799"/>
      <c r="CB225" s="19"/>
      <c r="CC225" s="517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P225" s="649"/>
      <c r="CQ225" s="649"/>
      <c r="CR225" s="609"/>
      <c r="CS225" s="649"/>
      <c r="CT225" s="609"/>
      <c r="CU225" s="649"/>
      <c r="CV225" s="609"/>
      <c r="CW225" s="649"/>
      <c r="CX225" s="609"/>
      <c r="CY225" s="649"/>
      <c r="CZ225" s="609"/>
      <c r="DA225" s="649"/>
      <c r="DB225" s="609">
        <v>20000000</v>
      </c>
      <c r="DC225" s="649">
        <v>0</v>
      </c>
      <c r="DD225" s="609">
        <v>20000000</v>
      </c>
      <c r="DE225" s="6"/>
      <c r="DF225" s="609">
        <v>20000000</v>
      </c>
      <c r="DG225" s="750">
        <v>20000000</v>
      </c>
      <c r="DH225" s="6"/>
      <c r="DI225" s="609">
        <v>20000000</v>
      </c>
      <c r="DJ225" s="750">
        <v>20000000</v>
      </c>
      <c r="DK225" s="6"/>
      <c r="DL225" s="609">
        <v>20000000</v>
      </c>
      <c r="DM225" s="750">
        <v>20000000</v>
      </c>
      <c r="DN225" s="6"/>
      <c r="DO225" s="609">
        <v>20000000</v>
      </c>
      <c r="DP225" s="750">
        <v>20000000</v>
      </c>
      <c r="DQ225" s="493">
        <f t="shared" si="74"/>
        <v>80000000</v>
      </c>
      <c r="DR225" s="479">
        <f t="shared" si="84"/>
        <v>80000000</v>
      </c>
      <c r="DS225" s="1162"/>
      <c r="DT225" s="1162"/>
      <c r="DU225" s="1162"/>
      <c r="DV225" s="1162"/>
      <c r="DW225" s="1162"/>
      <c r="DX225" s="1162"/>
      <c r="DY225" s="1162"/>
      <c r="DZ225" s="1162"/>
      <c r="EA225" s="1162"/>
      <c r="EB225" s="1162"/>
      <c r="EC225" s="1162"/>
      <c r="ED225" s="1162"/>
      <c r="EE225" s="1119">
        <f t="shared" si="85"/>
        <v>0</v>
      </c>
      <c r="EF225" s="443">
        <f t="shared" si="76"/>
        <v>0</v>
      </c>
      <c r="EG225" s="355">
        <f t="shared" si="77"/>
        <v>0</v>
      </c>
      <c r="EH225" s="443">
        <f t="shared" si="86"/>
        <v>0</v>
      </c>
      <c r="EI225" s="443">
        <f t="shared" si="86"/>
        <v>0</v>
      </c>
    </row>
    <row r="226" spans="1:140" ht="15.5" outlineLevel="2">
      <c r="A226" s="367" t="s">
        <v>39</v>
      </c>
      <c r="B226" s="378"/>
      <c r="C226" s="370" t="s">
        <v>358</v>
      </c>
      <c r="D226" s="297" t="s">
        <v>121</v>
      </c>
      <c r="E226" s="379" t="s">
        <v>552</v>
      </c>
      <c r="F226" s="380">
        <v>3000007516</v>
      </c>
      <c r="G226" s="178">
        <v>0</v>
      </c>
      <c r="H226" s="178">
        <v>0</v>
      </c>
      <c r="I226" s="178">
        <v>0</v>
      </c>
      <c r="J226" s="178">
        <v>0</v>
      </c>
      <c r="K226" s="178">
        <v>0</v>
      </c>
      <c r="L226" s="178">
        <v>0</v>
      </c>
      <c r="M226" s="178">
        <v>0</v>
      </c>
      <c r="N226" s="178">
        <v>0</v>
      </c>
      <c r="O226" s="178">
        <v>0</v>
      </c>
      <c r="P226" s="178">
        <v>0</v>
      </c>
      <c r="Q226" s="178">
        <v>0</v>
      </c>
      <c r="R226" s="178">
        <v>0</v>
      </c>
      <c r="S226" s="7">
        <f>SUM(G226,H226,I226,J226,K226,L226,M226,N226,O226,P226,Q226,R226)</f>
        <v>0</v>
      </c>
      <c r="T226" s="179"/>
      <c r="U226" s="178">
        <v>0</v>
      </c>
      <c r="V226" s="178">
        <v>0</v>
      </c>
      <c r="W226" s="178">
        <v>0</v>
      </c>
      <c r="X226" s="178">
        <v>0</v>
      </c>
      <c r="Y226" s="178">
        <v>0</v>
      </c>
      <c r="Z226" s="178">
        <v>0</v>
      </c>
      <c r="AA226" s="178">
        <v>0</v>
      </c>
      <c r="AB226" s="178">
        <v>0</v>
      </c>
      <c r="AC226" s="178">
        <v>0</v>
      </c>
      <c r="AD226" s="178">
        <v>0</v>
      </c>
      <c r="AE226" s="178">
        <v>0</v>
      </c>
      <c r="AF226" s="178">
        <v>0</v>
      </c>
      <c r="AG226" s="518">
        <f>SUM(U226,V226,W226,X226,Y226,Z226,AA226,AB226,AC226,AD226,AE226,AF226)</f>
        <v>0</v>
      </c>
      <c r="AH226" s="788"/>
      <c r="AI226" s="789"/>
      <c r="AJ226" s="790"/>
      <c r="AK226" s="518"/>
      <c r="AL226" s="518"/>
      <c r="AM226" s="518"/>
      <c r="AN226" s="518"/>
      <c r="AO226" s="518"/>
      <c r="AP226" s="518"/>
      <c r="AQ226" s="518">
        <v>0</v>
      </c>
      <c r="AR226" s="518"/>
      <c r="AS226" s="518"/>
      <c r="AT226" s="518"/>
      <c r="AU226" s="518">
        <f>BI226</f>
        <v>0</v>
      </c>
      <c r="AV226" s="518">
        <f>BJ226</f>
        <v>0</v>
      </c>
      <c r="AW226" s="518">
        <f>BK226</f>
        <v>0</v>
      </c>
      <c r="AX226" s="518">
        <f t="shared" si="83"/>
        <v>0</v>
      </c>
      <c r="AY226" s="788"/>
      <c r="AZ226" s="789"/>
      <c r="BA226" s="790"/>
      <c r="BB226" s="518"/>
      <c r="BC226" s="518"/>
      <c r="BD226" s="518"/>
      <c r="BE226" s="518"/>
      <c r="BF226" s="518"/>
      <c r="BG226" s="518">
        <f>AP226</f>
        <v>0</v>
      </c>
      <c r="BH226" s="518">
        <v>0</v>
      </c>
      <c r="BI226" s="518">
        <v>0</v>
      </c>
      <c r="BJ226" s="518">
        <v>0</v>
      </c>
      <c r="BK226" s="518">
        <v>0</v>
      </c>
      <c r="BL226" s="518">
        <f>SUM(AZ226,BA226,BB226,BC226,BD226,BE226,BF226,BG226,BH226,BI226,BJ226,BK226)</f>
        <v>0</v>
      </c>
      <c r="BN226" s="516"/>
      <c r="BO226" s="517"/>
      <c r="BP226" s="518"/>
      <c r="BQ226" s="518"/>
      <c r="BR226" s="518"/>
      <c r="BS226" s="518"/>
      <c r="BT226" s="518"/>
      <c r="BU226" s="518"/>
      <c r="BV226" s="518"/>
      <c r="BW226" s="518"/>
      <c r="BX226" s="518"/>
      <c r="BY226" s="518"/>
      <c r="BZ226" s="791">
        <v>0</v>
      </c>
      <c r="CB226" s="516"/>
      <c r="CC226" s="517"/>
      <c r="CD226" s="518"/>
      <c r="CE226" s="518"/>
      <c r="CF226" s="518"/>
      <c r="CG226" s="518"/>
      <c r="CH226" s="518"/>
      <c r="CI226" s="518"/>
      <c r="CJ226" s="518"/>
      <c r="CK226" s="518"/>
      <c r="CL226" s="518"/>
      <c r="CM226" s="518"/>
      <c r="CN226" s="791">
        <v>0</v>
      </c>
      <c r="CP226" s="646"/>
      <c r="CQ226" s="646"/>
      <c r="CR226" s="516"/>
      <c r="CS226" s="646"/>
      <c r="CT226" s="516"/>
      <c r="CU226" s="646"/>
      <c r="CV226" s="516"/>
      <c r="CW226" s="646"/>
      <c r="CX226" s="516"/>
      <c r="CY226" s="646"/>
      <c r="CZ226" s="516"/>
      <c r="DA226" s="646"/>
      <c r="DB226" s="516"/>
      <c r="DC226" s="646">
        <v>0</v>
      </c>
      <c r="DD226" s="516"/>
      <c r="DE226" s="518"/>
      <c r="DF226" s="516"/>
      <c r="DG226" s="747"/>
      <c r="DH226" s="518"/>
      <c r="DI226" s="516"/>
      <c r="DJ226" s="747"/>
      <c r="DK226" s="518"/>
      <c r="DL226" s="516"/>
      <c r="DM226" s="747"/>
      <c r="DN226" s="518"/>
      <c r="DO226" s="516"/>
      <c r="DP226" s="747"/>
      <c r="DQ226" s="493">
        <f t="shared" si="74"/>
        <v>0</v>
      </c>
      <c r="DR226" s="479">
        <f t="shared" si="84"/>
        <v>0</v>
      </c>
      <c r="DS226" s="1162"/>
      <c r="DT226" s="1162"/>
      <c r="DU226" s="1162"/>
      <c r="DV226" s="1162"/>
      <c r="DW226" s="1162"/>
      <c r="DX226" s="1162"/>
      <c r="DY226" s="1162"/>
      <c r="DZ226" s="1162"/>
      <c r="EA226" s="1162"/>
      <c r="EB226" s="1162"/>
      <c r="EC226" s="1162"/>
      <c r="ED226" s="1162"/>
      <c r="EE226" s="1119">
        <f t="shared" si="85"/>
        <v>0</v>
      </c>
      <c r="EF226" s="443">
        <f t="shared" si="76"/>
        <v>0</v>
      </c>
      <c r="EG226" s="355">
        <f t="shared" si="77"/>
        <v>0</v>
      </c>
      <c r="EH226" s="443">
        <f t="shared" si="86"/>
        <v>0</v>
      </c>
      <c r="EI226" s="443">
        <f t="shared" si="86"/>
        <v>0</v>
      </c>
      <c r="EJ226" s="367">
        <v>3000007516</v>
      </c>
    </row>
    <row r="227" spans="1:140" ht="15.5" outlineLevel="2">
      <c r="A227" s="367" t="s">
        <v>43</v>
      </c>
      <c r="B227" s="378"/>
      <c r="C227" s="370" t="s">
        <v>358</v>
      </c>
      <c r="D227" s="297" t="s">
        <v>121</v>
      </c>
      <c r="E227" s="379" t="s">
        <v>144</v>
      </c>
      <c r="F227" s="380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7"/>
      <c r="T227" s="179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518"/>
      <c r="AH227" s="788"/>
      <c r="AI227" s="789"/>
      <c r="AJ227" s="790"/>
      <c r="AK227" s="518"/>
      <c r="AL227" s="518"/>
      <c r="AM227" s="518"/>
      <c r="AN227" s="518"/>
      <c r="AO227" s="518"/>
      <c r="AP227" s="518"/>
      <c r="AQ227" s="518"/>
      <c r="AR227" s="518"/>
      <c r="AS227" s="518"/>
      <c r="AT227" s="518"/>
      <c r="AU227" s="518"/>
      <c r="AV227" s="518"/>
      <c r="AW227" s="518"/>
      <c r="AX227" s="518">
        <f t="shared" ref="AX227:AX237" si="87">SUM(AI227,AJ227,AK227,AL227,AM227,AN227,AO227,AP227,AQ227,AR227,AS227,AT227)</f>
        <v>0</v>
      </c>
      <c r="AY227" s="788"/>
      <c r="AZ227" s="789"/>
      <c r="BA227" s="790"/>
      <c r="BB227" s="518"/>
      <c r="BC227" s="518"/>
      <c r="BD227" s="518"/>
      <c r="BE227" s="518"/>
      <c r="BF227" s="518"/>
      <c r="BG227" s="518"/>
      <c r="BH227" s="518"/>
      <c r="BI227" s="518"/>
      <c r="BJ227" s="518"/>
      <c r="BK227" s="518"/>
      <c r="BL227" s="518">
        <f>SUM(AZ227,BA227,BB227,BC227,BD227,BE227,BF227,BG227,BH227,BI227,BJ227,BK227)</f>
        <v>0</v>
      </c>
      <c r="BN227" s="516"/>
      <c r="BO227" s="517"/>
      <c r="BP227" s="518"/>
      <c r="BQ227" s="518"/>
      <c r="BR227" s="518"/>
      <c r="BS227" s="518"/>
      <c r="BT227" s="518"/>
      <c r="BU227" s="518"/>
      <c r="BV227" s="518"/>
      <c r="BW227" s="518"/>
      <c r="BX227" s="518"/>
      <c r="BY227" s="518"/>
      <c r="BZ227" s="791">
        <v>0</v>
      </c>
      <c r="CB227" s="516"/>
      <c r="CC227" s="517"/>
      <c r="CD227" s="518"/>
      <c r="CE227" s="518"/>
      <c r="CF227" s="518"/>
      <c r="CG227" s="518"/>
      <c r="CH227" s="518"/>
      <c r="CI227" s="518"/>
      <c r="CJ227" s="518"/>
      <c r="CK227" s="518"/>
      <c r="CL227" s="518"/>
      <c r="CM227" s="518"/>
      <c r="CN227" s="791">
        <v>0</v>
      </c>
      <c r="CP227" s="646"/>
      <c r="CQ227" s="646"/>
      <c r="CR227" s="516"/>
      <c r="CS227" s="646"/>
      <c r="CT227" s="516"/>
      <c r="CU227" s="646"/>
      <c r="CV227" s="516"/>
      <c r="CW227" s="646"/>
      <c r="CX227" s="516"/>
      <c r="CY227" s="646"/>
      <c r="CZ227" s="516"/>
      <c r="DA227" s="646"/>
      <c r="DB227" s="516"/>
      <c r="DC227" s="646">
        <v>0</v>
      </c>
      <c r="DD227" s="516"/>
      <c r="DE227" s="518"/>
      <c r="DF227" s="516"/>
      <c r="DG227" s="747"/>
      <c r="DH227" s="518"/>
      <c r="DI227" s="516"/>
      <c r="DJ227" s="747"/>
      <c r="DK227" s="518"/>
      <c r="DL227" s="516"/>
      <c r="DM227" s="747"/>
      <c r="DN227" s="518"/>
      <c r="DO227" s="516"/>
      <c r="DP227" s="747"/>
      <c r="DQ227" s="493">
        <f t="shared" si="74"/>
        <v>0</v>
      </c>
      <c r="DR227" s="479">
        <f t="shared" si="84"/>
        <v>0</v>
      </c>
      <c r="DS227" s="1162"/>
      <c r="DT227" s="1162"/>
      <c r="DU227" s="1162">
        <v>100000000</v>
      </c>
      <c r="DV227" s="1162">
        <v>150000000</v>
      </c>
      <c r="DW227" s="1162">
        <v>100000000</v>
      </c>
      <c r="DX227" s="1162">
        <v>200000000</v>
      </c>
      <c r="DY227" s="1162">
        <v>200000000</v>
      </c>
      <c r="DZ227" s="1162">
        <v>200000000</v>
      </c>
      <c r="EA227" s="1162">
        <v>150000000</v>
      </c>
      <c r="EB227" s="1162">
        <v>150000000</v>
      </c>
      <c r="EC227" s="1162">
        <v>150000000</v>
      </c>
      <c r="ED227" s="1162">
        <v>150000000</v>
      </c>
      <c r="EE227" s="1119">
        <f t="shared" si="85"/>
        <v>1550000000</v>
      </c>
      <c r="EF227" s="443">
        <f t="shared" si="76"/>
        <v>1813500000</v>
      </c>
      <c r="EG227" s="355">
        <f t="shared" si="77"/>
        <v>1958580000.0000002</v>
      </c>
      <c r="EH227" s="443">
        <f t="shared" si="86"/>
        <v>2134852200.0000005</v>
      </c>
      <c r="EI227" s="443">
        <f t="shared" si="86"/>
        <v>2326988898.0000005</v>
      </c>
      <c r="EJ227" s="367" t="e">
        <v>#N/A</v>
      </c>
    </row>
    <row r="228" spans="1:140" ht="15.5" outlineLevel="2">
      <c r="A228" s="377" t="s">
        <v>59</v>
      </c>
      <c r="B228" s="378"/>
      <c r="C228" s="370" t="s">
        <v>358</v>
      </c>
      <c r="D228" s="297" t="s">
        <v>121</v>
      </c>
      <c r="E228" s="379" t="s">
        <v>553</v>
      </c>
      <c r="F228" s="380">
        <v>3000017889</v>
      </c>
      <c r="G228" s="178">
        <v>0</v>
      </c>
      <c r="H228" s="178">
        <v>0</v>
      </c>
      <c r="I228" s="178">
        <v>0</v>
      </c>
      <c r="J228" s="178">
        <v>0</v>
      </c>
      <c r="K228" s="178">
        <v>0</v>
      </c>
      <c r="L228" s="178">
        <v>0</v>
      </c>
      <c r="M228" s="178">
        <v>0</v>
      </c>
      <c r="N228" s="178">
        <v>0</v>
      </c>
      <c r="O228" s="178">
        <v>0</v>
      </c>
      <c r="P228" s="178">
        <v>0</v>
      </c>
      <c r="Q228" s="178">
        <v>0</v>
      </c>
      <c r="R228" s="178">
        <v>0</v>
      </c>
      <c r="S228" s="7">
        <f>SUM(G228,H228,I228,J228,K228,L228,M228,N228,O228,P228,Q228,R228)</f>
        <v>0</v>
      </c>
      <c r="T228" s="179"/>
      <c r="U228" s="178">
        <v>0</v>
      </c>
      <c r="V228" s="178">
        <v>0</v>
      </c>
      <c r="W228" s="178">
        <v>0</v>
      </c>
      <c r="X228" s="178">
        <v>0</v>
      </c>
      <c r="Y228" s="178">
        <v>0</v>
      </c>
      <c r="Z228" s="178">
        <v>0</v>
      </c>
      <c r="AA228" s="178">
        <v>0</v>
      </c>
      <c r="AB228" s="178">
        <v>0</v>
      </c>
      <c r="AC228" s="178">
        <v>0</v>
      </c>
      <c r="AD228" s="178">
        <v>0</v>
      </c>
      <c r="AE228" s="178">
        <v>0</v>
      </c>
      <c r="AF228" s="178">
        <v>0</v>
      </c>
      <c r="AG228" s="518">
        <f>SUM(U228,V228,W228,X228,Y228,Z228,AA228,AB228,AC228,AD228,AE228,AF228)</f>
        <v>0</v>
      </c>
      <c r="AH228" s="788"/>
      <c r="AI228" s="789"/>
      <c r="AJ228" s="790"/>
      <c r="AK228" s="518"/>
      <c r="AL228" s="518"/>
      <c r="AM228" s="518"/>
      <c r="AN228" s="518"/>
      <c r="AO228" s="518"/>
      <c r="AP228" s="518"/>
      <c r="AQ228" s="518">
        <v>0</v>
      </c>
      <c r="AR228" s="518"/>
      <c r="AS228" s="518"/>
      <c r="AT228" s="518"/>
      <c r="AU228" s="794">
        <f>50000000</f>
        <v>50000000</v>
      </c>
      <c r="AV228" s="794">
        <f>50000000</f>
        <v>50000000</v>
      </c>
      <c r="AW228" s="794">
        <f>50000000</f>
        <v>50000000</v>
      </c>
      <c r="AX228" s="518">
        <f t="shared" si="87"/>
        <v>0</v>
      </c>
      <c r="AY228" s="788"/>
      <c r="AZ228" s="789"/>
      <c r="BA228" s="790"/>
      <c r="BB228" s="518"/>
      <c r="BC228" s="518"/>
      <c r="BD228" s="518"/>
      <c r="BE228" s="518"/>
      <c r="BF228" s="518"/>
      <c r="BG228" s="518">
        <f>AP228</f>
        <v>0</v>
      </c>
      <c r="BH228" s="518">
        <v>0</v>
      </c>
      <c r="BI228" s="518">
        <v>0</v>
      </c>
      <c r="BJ228" s="518">
        <v>0</v>
      </c>
      <c r="BK228" s="518">
        <v>0</v>
      </c>
      <c r="BL228" s="518">
        <f>SUM(AZ228,BA228,BB228,BC228,BD228,BE228,BF228,BG228,BH228,BI228,BJ228,BK228)</f>
        <v>0</v>
      </c>
      <c r="BN228" s="516">
        <v>50000000</v>
      </c>
      <c r="BO228" s="517">
        <v>50000000</v>
      </c>
      <c r="BP228" s="518">
        <v>50000000</v>
      </c>
      <c r="BQ228" s="518">
        <v>50000000</v>
      </c>
      <c r="BR228" s="518">
        <v>50000000</v>
      </c>
      <c r="BS228" s="518">
        <v>50000000</v>
      </c>
      <c r="BT228" s="518">
        <v>100000000</v>
      </c>
      <c r="BU228" s="518">
        <v>100000000</v>
      </c>
      <c r="BV228" s="518">
        <v>100000000</v>
      </c>
      <c r="BW228" s="518">
        <v>100000000</v>
      </c>
      <c r="BX228" s="518">
        <v>100000000</v>
      </c>
      <c r="BY228" s="518">
        <v>100000000</v>
      </c>
      <c r="BZ228" s="791">
        <v>900000000</v>
      </c>
      <c r="CB228" s="516">
        <v>50000000</v>
      </c>
      <c r="CC228" s="517">
        <v>50000000</v>
      </c>
      <c r="CD228" s="518">
        <v>50000000</v>
      </c>
      <c r="CE228" s="518">
        <v>50000000</v>
      </c>
      <c r="CF228" s="518">
        <v>50000000</v>
      </c>
      <c r="CG228" s="518">
        <v>50000000</v>
      </c>
      <c r="CH228" s="518">
        <v>100000000</v>
      </c>
      <c r="CI228" s="518">
        <v>100000000</v>
      </c>
      <c r="CJ228" s="518">
        <v>100000000</v>
      </c>
      <c r="CK228" s="518">
        <v>100000000</v>
      </c>
      <c r="CL228" s="518">
        <v>100000000</v>
      </c>
      <c r="CM228" s="518">
        <v>100000000</v>
      </c>
      <c r="CN228" s="791">
        <v>900000000</v>
      </c>
      <c r="CP228" s="646">
        <v>0</v>
      </c>
      <c r="CQ228" s="646"/>
      <c r="CR228" s="516"/>
      <c r="CS228" s="646"/>
      <c r="CT228" s="516"/>
      <c r="CU228" s="646"/>
      <c r="CV228" s="516"/>
      <c r="CW228" s="646"/>
      <c r="CX228" s="516"/>
      <c r="CY228" s="646"/>
      <c r="CZ228" s="516"/>
      <c r="DA228" s="646"/>
      <c r="DB228" s="516"/>
      <c r="DC228" s="646">
        <v>0</v>
      </c>
      <c r="DD228" s="516"/>
      <c r="DE228" s="518"/>
      <c r="DF228" s="516"/>
      <c r="DG228" s="747"/>
      <c r="DH228" s="518"/>
      <c r="DI228" s="516"/>
      <c r="DJ228" s="747"/>
      <c r="DK228" s="518"/>
      <c r="DL228" s="516"/>
      <c r="DM228" s="747"/>
      <c r="DN228" s="518"/>
      <c r="DO228" s="516"/>
      <c r="DP228" s="747"/>
      <c r="DQ228" s="493">
        <f t="shared" ref="DQ228:DQ237" si="88">SUM(CP228,CQ228,CS228,CU228,CW228,CY228,DA228,DC228,DF228,DI228,DL228,DO228)</f>
        <v>0</v>
      </c>
      <c r="DR228" s="479">
        <f t="shared" si="84"/>
        <v>0</v>
      </c>
      <c r="DS228" s="1162"/>
      <c r="DT228" s="1162"/>
      <c r="DU228" s="1162"/>
      <c r="DV228" s="1162"/>
      <c r="DW228" s="1162"/>
      <c r="DX228" s="1162"/>
      <c r="DY228" s="1162"/>
      <c r="DZ228" s="1162"/>
      <c r="EA228" s="1162"/>
      <c r="EB228" s="1162"/>
      <c r="EC228" s="1162"/>
      <c r="ED228" s="1162"/>
      <c r="EE228" s="1119">
        <f t="shared" si="85"/>
        <v>0</v>
      </c>
      <c r="EF228" s="443">
        <f t="shared" si="76"/>
        <v>0</v>
      </c>
      <c r="EG228" s="355">
        <f t="shared" si="77"/>
        <v>0</v>
      </c>
      <c r="EH228" s="443">
        <f t="shared" si="86"/>
        <v>0</v>
      </c>
      <c r="EI228" s="443">
        <f t="shared" si="86"/>
        <v>0</v>
      </c>
      <c r="EJ228" s="367">
        <v>3000017889</v>
      </c>
    </row>
    <row r="229" spans="1:140" ht="15.5" outlineLevel="2">
      <c r="A229" s="367" t="s">
        <v>39</v>
      </c>
      <c r="B229" s="378"/>
      <c r="C229" s="370" t="s">
        <v>358</v>
      </c>
      <c r="D229" s="297" t="s">
        <v>121</v>
      </c>
      <c r="E229" s="400" t="s">
        <v>148</v>
      </c>
      <c r="F229" s="380"/>
      <c r="G229" s="180"/>
      <c r="H229" s="180"/>
      <c r="I229" s="180"/>
      <c r="J229" s="180"/>
      <c r="K229" s="180"/>
      <c r="L229" s="180"/>
      <c r="M229" s="180"/>
      <c r="N229" s="180"/>
      <c r="O229" s="180"/>
      <c r="P229" s="180"/>
      <c r="Q229" s="180"/>
      <c r="R229" s="180"/>
      <c r="S229" s="6"/>
      <c r="T229" s="181"/>
      <c r="U229" s="180"/>
      <c r="V229" s="9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181"/>
      <c r="AI229" s="180"/>
      <c r="AJ229" s="517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518">
        <f t="shared" si="87"/>
        <v>0</v>
      </c>
      <c r="AY229" s="181"/>
      <c r="AZ229" s="180"/>
      <c r="BA229" s="517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N229" s="19"/>
      <c r="BO229" s="517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799"/>
      <c r="CB229" s="19"/>
      <c r="CC229" s="517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P229" s="649"/>
      <c r="CQ229" s="649"/>
      <c r="CR229" s="609"/>
      <c r="CS229" s="649"/>
      <c r="CT229" s="609"/>
      <c r="CU229" s="649"/>
      <c r="CV229" s="609"/>
      <c r="CW229" s="649"/>
      <c r="CX229" s="609"/>
      <c r="CY229" s="649"/>
      <c r="CZ229" s="609">
        <v>10000000</v>
      </c>
      <c r="DA229" s="649"/>
      <c r="DB229" s="609">
        <v>10000000</v>
      </c>
      <c r="DC229" s="649">
        <v>0</v>
      </c>
      <c r="DD229" s="609">
        <v>10000000</v>
      </c>
      <c r="DE229" s="6"/>
      <c r="DF229" s="609">
        <v>10000000</v>
      </c>
      <c r="DG229" s="750">
        <v>10000000</v>
      </c>
      <c r="DH229" s="6"/>
      <c r="DI229" s="609">
        <v>10000000</v>
      </c>
      <c r="DJ229" s="750">
        <v>10000000</v>
      </c>
      <c r="DK229" s="6"/>
      <c r="DL229" s="609">
        <v>10000000</v>
      </c>
      <c r="DM229" s="750">
        <v>10000000</v>
      </c>
      <c r="DN229" s="6"/>
      <c r="DO229" s="609">
        <v>10000000</v>
      </c>
      <c r="DP229" s="750">
        <v>10000000</v>
      </c>
      <c r="DQ229" s="493">
        <f t="shared" si="88"/>
        <v>40000000</v>
      </c>
      <c r="DR229" s="479">
        <f t="shared" si="84"/>
        <v>40000000</v>
      </c>
      <c r="DS229" s="1162">
        <v>5000000</v>
      </c>
      <c r="DT229" s="1162">
        <v>5000000</v>
      </c>
      <c r="DU229" s="1162">
        <v>5000000</v>
      </c>
      <c r="DV229" s="1162">
        <v>5000000</v>
      </c>
      <c r="DW229" s="1162">
        <v>5000000</v>
      </c>
      <c r="DX229" s="1162">
        <v>5000000</v>
      </c>
      <c r="DY229" s="1162">
        <v>5000000</v>
      </c>
      <c r="DZ229" s="1162">
        <v>5000000</v>
      </c>
      <c r="EA229" s="1162">
        <v>5000000</v>
      </c>
      <c r="EB229" s="1162">
        <v>5000000</v>
      </c>
      <c r="EC229" s="1162">
        <v>5000000</v>
      </c>
      <c r="ED229" s="1162">
        <v>5000000</v>
      </c>
      <c r="EE229" s="1119">
        <f t="shared" si="85"/>
        <v>60000000</v>
      </c>
      <c r="EF229" s="443">
        <f t="shared" si="76"/>
        <v>70200000</v>
      </c>
      <c r="EG229" s="355">
        <f t="shared" si="77"/>
        <v>75816000</v>
      </c>
      <c r="EH229" s="443">
        <f t="shared" si="86"/>
        <v>82639440</v>
      </c>
      <c r="EI229" s="443">
        <f t="shared" si="86"/>
        <v>90076989.600000009</v>
      </c>
    </row>
    <row r="230" spans="1:140" ht="15.5" outlineLevel="2">
      <c r="A230" s="367" t="s">
        <v>39</v>
      </c>
      <c r="B230" s="378"/>
      <c r="C230" s="370" t="s">
        <v>358</v>
      </c>
      <c r="D230" s="297" t="s">
        <v>121</v>
      </c>
      <c r="E230" s="379" t="s">
        <v>554</v>
      </c>
      <c r="F230" s="380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7"/>
      <c r="T230" s="179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518"/>
      <c r="AH230" s="788"/>
      <c r="AI230" s="789"/>
      <c r="AJ230" s="790"/>
      <c r="AK230" s="518"/>
      <c r="AL230" s="518"/>
      <c r="AM230" s="518"/>
      <c r="AN230" s="518"/>
      <c r="AO230" s="518"/>
      <c r="AP230" s="518"/>
      <c r="AQ230" s="518"/>
      <c r="AR230" s="759"/>
      <c r="AS230" s="759"/>
      <c r="AT230" s="759"/>
      <c r="AU230" s="518"/>
      <c r="AV230" s="518"/>
      <c r="AW230" s="518"/>
      <c r="AX230" s="518">
        <f t="shared" si="87"/>
        <v>0</v>
      </c>
      <c r="AY230" s="788"/>
      <c r="AZ230" s="789"/>
      <c r="BA230" s="790"/>
      <c r="BB230" s="518"/>
      <c r="BC230" s="518"/>
      <c r="BD230" s="518"/>
      <c r="BE230" s="518"/>
      <c r="BF230" s="518"/>
      <c r="BG230" s="518"/>
      <c r="BH230" s="518"/>
      <c r="BI230" s="518"/>
      <c r="BJ230" s="518"/>
      <c r="BK230" s="518"/>
      <c r="BL230" s="518">
        <f>SUM(AZ230,BA230,BB230,BC230,BD230,BE230,BF230,BG230,BH230,BI230,BJ230,BK230)</f>
        <v>0</v>
      </c>
      <c r="BN230" s="516"/>
      <c r="BO230" s="517"/>
      <c r="BP230" s="518"/>
      <c r="BQ230" s="518"/>
      <c r="BR230" s="518"/>
      <c r="BS230" s="518"/>
      <c r="BT230" s="518"/>
      <c r="BU230" s="518"/>
      <c r="BV230" s="518"/>
      <c r="BW230" s="518"/>
      <c r="BX230" s="518"/>
      <c r="BY230" s="518"/>
      <c r="BZ230" s="791">
        <v>0</v>
      </c>
      <c r="CB230" s="516"/>
      <c r="CC230" s="517"/>
      <c r="CD230" s="518"/>
      <c r="CE230" s="518"/>
      <c r="CF230" s="518"/>
      <c r="CG230" s="518"/>
      <c r="CH230" s="518"/>
      <c r="CI230" s="518"/>
      <c r="CJ230" s="518"/>
      <c r="CK230" s="518"/>
      <c r="CL230" s="518"/>
      <c r="CM230" s="518"/>
      <c r="CN230" s="791">
        <v>0</v>
      </c>
      <c r="CP230" s="646"/>
      <c r="CQ230" s="646"/>
      <c r="CR230" s="516"/>
      <c r="CS230" s="646"/>
      <c r="CT230" s="516"/>
      <c r="CU230" s="646"/>
      <c r="CV230" s="516"/>
      <c r="CW230" s="646"/>
      <c r="CX230" s="516"/>
      <c r="CY230" s="646"/>
      <c r="CZ230" s="516"/>
      <c r="DA230" s="646"/>
      <c r="DB230" s="516"/>
      <c r="DC230" s="646">
        <v>0</v>
      </c>
      <c r="DD230" s="516">
        <v>100000000</v>
      </c>
      <c r="DE230" s="518"/>
      <c r="DF230" s="516">
        <v>100000000</v>
      </c>
      <c r="DG230" s="747">
        <v>100000000</v>
      </c>
      <c r="DH230" s="518"/>
      <c r="DI230" s="516">
        <v>100000000</v>
      </c>
      <c r="DJ230" s="747">
        <v>100000000</v>
      </c>
      <c r="DK230" s="518"/>
      <c r="DL230" s="516">
        <v>100000000</v>
      </c>
      <c r="DM230" s="747">
        <v>100000000</v>
      </c>
      <c r="DN230" s="518"/>
      <c r="DO230" s="516">
        <v>100000000</v>
      </c>
      <c r="DP230" s="747">
        <v>100000000</v>
      </c>
      <c r="DQ230" s="493">
        <f t="shared" si="88"/>
        <v>400000000</v>
      </c>
      <c r="DR230" s="479">
        <f t="shared" si="84"/>
        <v>400000000</v>
      </c>
      <c r="DS230" s="1162"/>
      <c r="DT230" s="1162"/>
      <c r="DU230" s="1162"/>
      <c r="DV230" s="1162"/>
      <c r="DW230" s="1162"/>
      <c r="DX230" s="1162"/>
      <c r="DY230" s="1162"/>
      <c r="DZ230" s="1162"/>
      <c r="EA230" s="1162"/>
      <c r="EB230" s="1162"/>
      <c r="EC230" s="1162"/>
      <c r="ED230" s="1162"/>
      <c r="EE230" s="1119">
        <f t="shared" si="85"/>
        <v>0</v>
      </c>
      <c r="EF230" s="443">
        <f t="shared" si="76"/>
        <v>0</v>
      </c>
      <c r="EG230" s="355">
        <f t="shared" si="77"/>
        <v>0</v>
      </c>
      <c r="EH230" s="443">
        <f t="shared" si="86"/>
        <v>0</v>
      </c>
      <c r="EI230" s="443">
        <f t="shared" si="86"/>
        <v>0</v>
      </c>
      <c r="EJ230" s="367" t="e">
        <v>#N/A</v>
      </c>
    </row>
    <row r="231" spans="1:140" ht="15.5" outlineLevel="2">
      <c r="A231" s="367" t="s">
        <v>39</v>
      </c>
      <c r="B231" s="378"/>
      <c r="C231" s="370" t="s">
        <v>358</v>
      </c>
      <c r="D231" s="297" t="s">
        <v>121</v>
      </c>
      <c r="E231" s="400" t="s">
        <v>555</v>
      </c>
      <c r="F231" s="380" t="s">
        <v>556</v>
      </c>
      <c r="G231" s="180"/>
      <c r="H231" s="180"/>
      <c r="I231" s="180"/>
      <c r="J231" s="180"/>
      <c r="K231" s="180"/>
      <c r="L231" s="180"/>
      <c r="M231" s="180"/>
      <c r="N231" s="180"/>
      <c r="O231" s="180"/>
      <c r="P231" s="180"/>
      <c r="Q231" s="180"/>
      <c r="R231" s="180"/>
      <c r="S231" s="6"/>
      <c r="T231" s="181"/>
      <c r="U231" s="180"/>
      <c r="V231" s="9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181"/>
      <c r="AI231" s="180"/>
      <c r="AJ231" s="517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518">
        <f t="shared" si="87"/>
        <v>0</v>
      </c>
      <c r="AY231" s="181"/>
      <c r="AZ231" s="180"/>
      <c r="BA231" s="517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N231" s="19"/>
      <c r="BO231" s="517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799"/>
      <c r="CB231" s="19"/>
      <c r="CC231" s="517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P231" s="649"/>
      <c r="CQ231" s="649"/>
      <c r="CR231" s="609"/>
      <c r="CS231" s="649"/>
      <c r="CT231" s="609"/>
      <c r="CU231" s="649"/>
      <c r="CV231" s="609"/>
      <c r="CW231" s="649"/>
      <c r="CX231" s="609"/>
      <c r="CY231" s="649"/>
      <c r="CZ231" s="609">
        <v>50000000</v>
      </c>
      <c r="DA231" s="649"/>
      <c r="DB231" s="609">
        <v>50000000</v>
      </c>
      <c r="DC231" s="649">
        <v>7606200</v>
      </c>
      <c r="DD231" s="609">
        <v>50000000</v>
      </c>
      <c r="DE231" s="6"/>
      <c r="DF231" s="609">
        <v>50000000</v>
      </c>
      <c r="DG231" s="750">
        <v>50000000</v>
      </c>
      <c r="DH231" s="6"/>
      <c r="DI231" s="609">
        <v>50000000</v>
      </c>
      <c r="DJ231" s="750">
        <v>50000000</v>
      </c>
      <c r="DK231" s="6"/>
      <c r="DL231" s="609">
        <v>50000000</v>
      </c>
      <c r="DM231" s="750">
        <v>50000000</v>
      </c>
      <c r="DN231" s="6"/>
      <c r="DO231" s="609">
        <v>50000000</v>
      </c>
      <c r="DP231" s="750">
        <v>50000000</v>
      </c>
      <c r="DQ231" s="493">
        <f t="shared" si="88"/>
        <v>207606200</v>
      </c>
      <c r="DR231" s="479">
        <f t="shared" si="84"/>
        <v>207606200</v>
      </c>
      <c r="DS231" s="1162">
        <v>40000000</v>
      </c>
      <c r="DT231" s="1162">
        <v>40000000</v>
      </c>
      <c r="DU231" s="1162">
        <v>40000000</v>
      </c>
      <c r="DV231" s="1162">
        <v>40000000</v>
      </c>
      <c r="DW231" s="1162">
        <v>40000000</v>
      </c>
      <c r="DX231" s="1162">
        <v>50000000</v>
      </c>
      <c r="DY231" s="1162">
        <v>60000000</v>
      </c>
      <c r="DZ231" s="1162">
        <v>60000000</v>
      </c>
      <c r="EA231" s="1162">
        <v>60000000</v>
      </c>
      <c r="EB231" s="1162">
        <v>60000000</v>
      </c>
      <c r="EC231" s="1162">
        <v>60000000</v>
      </c>
      <c r="ED231" s="1162">
        <v>50000000</v>
      </c>
      <c r="EE231" s="1119">
        <f t="shared" si="85"/>
        <v>600000000</v>
      </c>
      <c r="EF231" s="443">
        <f t="shared" si="76"/>
        <v>702000000</v>
      </c>
      <c r="EG231" s="355">
        <f t="shared" si="77"/>
        <v>758160000</v>
      </c>
      <c r="EH231" s="443">
        <f t="shared" si="86"/>
        <v>826394400.00000012</v>
      </c>
      <c r="EI231" s="443">
        <f t="shared" si="86"/>
        <v>900769896.00000024</v>
      </c>
    </row>
    <row r="232" spans="1:140" ht="15.5" outlineLevel="2">
      <c r="A232" s="367" t="s">
        <v>43</v>
      </c>
      <c r="B232" s="378"/>
      <c r="C232" s="370" t="s">
        <v>358</v>
      </c>
      <c r="D232" s="297" t="s">
        <v>121</v>
      </c>
      <c r="E232" s="400" t="s">
        <v>557</v>
      </c>
      <c r="F232" s="380"/>
      <c r="G232" s="180"/>
      <c r="H232" s="180"/>
      <c r="I232" s="180"/>
      <c r="J232" s="180"/>
      <c r="K232" s="180"/>
      <c r="L232" s="180"/>
      <c r="M232" s="180"/>
      <c r="N232" s="180"/>
      <c r="O232" s="180"/>
      <c r="P232" s="180"/>
      <c r="Q232" s="180"/>
      <c r="R232" s="180"/>
      <c r="S232" s="6"/>
      <c r="T232" s="181"/>
      <c r="U232" s="180"/>
      <c r="V232" s="9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181"/>
      <c r="AI232" s="180"/>
      <c r="AJ232" s="517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518">
        <f t="shared" si="87"/>
        <v>0</v>
      </c>
      <c r="AY232" s="181"/>
      <c r="AZ232" s="180"/>
      <c r="BA232" s="517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N232" s="19"/>
      <c r="BO232" s="517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799"/>
      <c r="CB232" s="19"/>
      <c r="CC232" s="517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P232" s="649"/>
      <c r="CQ232" s="649"/>
      <c r="CR232" s="609"/>
      <c r="CS232" s="649"/>
      <c r="CT232" s="609"/>
      <c r="CU232" s="649"/>
      <c r="CV232" s="609"/>
      <c r="CW232" s="649"/>
      <c r="CX232" s="609"/>
      <c r="CY232" s="649"/>
      <c r="CZ232" s="609"/>
      <c r="DA232" s="649"/>
      <c r="DB232" s="609">
        <v>100000000</v>
      </c>
      <c r="DC232" s="649">
        <v>0</v>
      </c>
      <c r="DD232" s="609">
        <v>100000000</v>
      </c>
      <c r="DE232" s="6"/>
      <c r="DF232" s="609">
        <v>100000000</v>
      </c>
      <c r="DG232" s="750">
        <v>100000000</v>
      </c>
      <c r="DH232" s="6"/>
      <c r="DI232" s="609">
        <v>100000000</v>
      </c>
      <c r="DJ232" s="750">
        <v>100000000</v>
      </c>
      <c r="DK232" s="6"/>
      <c r="DL232" s="609">
        <v>100000000</v>
      </c>
      <c r="DM232" s="750">
        <v>100000000</v>
      </c>
      <c r="DN232" s="6"/>
      <c r="DO232" s="609">
        <v>100000000</v>
      </c>
      <c r="DP232" s="750">
        <v>100000000</v>
      </c>
      <c r="DQ232" s="493">
        <f t="shared" si="88"/>
        <v>400000000</v>
      </c>
      <c r="DR232" s="479">
        <f t="shared" si="84"/>
        <v>400000000</v>
      </c>
      <c r="DS232" s="1162"/>
      <c r="DT232" s="1162"/>
      <c r="DU232" s="1162"/>
      <c r="DV232" s="1162"/>
      <c r="DW232" s="1162"/>
      <c r="DX232" s="1162"/>
      <c r="DY232" s="1162"/>
      <c r="DZ232" s="1162"/>
      <c r="EA232" s="1162"/>
      <c r="EB232" s="1162"/>
      <c r="EC232" s="1162"/>
      <c r="ED232" s="1162"/>
      <c r="EE232" s="1119">
        <f t="shared" si="85"/>
        <v>0</v>
      </c>
      <c r="EF232" s="443">
        <f t="shared" si="76"/>
        <v>0</v>
      </c>
      <c r="EG232" s="355">
        <f t="shared" si="77"/>
        <v>0</v>
      </c>
      <c r="EH232" s="443">
        <f t="shared" si="86"/>
        <v>0</v>
      </c>
      <c r="EI232" s="443">
        <f t="shared" si="86"/>
        <v>0</v>
      </c>
    </row>
    <row r="233" spans="1:140" ht="15.5" outlineLevel="2">
      <c r="A233" s="367" t="s">
        <v>43</v>
      </c>
      <c r="B233" s="378"/>
      <c r="C233" s="370" t="s">
        <v>358</v>
      </c>
      <c r="D233" s="297" t="s">
        <v>121</v>
      </c>
      <c r="E233" s="400" t="s">
        <v>558</v>
      </c>
      <c r="F233" s="380"/>
      <c r="G233" s="180"/>
      <c r="H233" s="180"/>
      <c r="I233" s="180"/>
      <c r="J233" s="180"/>
      <c r="K233" s="180"/>
      <c r="L233" s="180"/>
      <c r="M233" s="180"/>
      <c r="N233" s="180"/>
      <c r="O233" s="180"/>
      <c r="P233" s="180"/>
      <c r="Q233" s="180"/>
      <c r="R233" s="180"/>
      <c r="S233" s="6"/>
      <c r="T233" s="181"/>
      <c r="U233" s="180"/>
      <c r="V233" s="9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181"/>
      <c r="AI233" s="180"/>
      <c r="AJ233" s="517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518">
        <f t="shared" si="87"/>
        <v>0</v>
      </c>
      <c r="AY233" s="181"/>
      <c r="AZ233" s="180"/>
      <c r="BA233" s="517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N233" s="19"/>
      <c r="BO233" s="517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799"/>
      <c r="CB233" s="19"/>
      <c r="CC233" s="517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P233" s="649"/>
      <c r="CQ233" s="649"/>
      <c r="CR233" s="609"/>
      <c r="CS233" s="649"/>
      <c r="CT233" s="609"/>
      <c r="CU233" s="649"/>
      <c r="CV233" s="609"/>
      <c r="CW233" s="649"/>
      <c r="CX233" s="609"/>
      <c r="CY233" s="649"/>
      <c r="CZ233" s="609"/>
      <c r="DA233" s="649"/>
      <c r="DB233" s="609">
        <v>9000000</v>
      </c>
      <c r="DC233" s="649">
        <v>0</v>
      </c>
      <c r="DD233" s="609">
        <v>9000000</v>
      </c>
      <c r="DE233" s="6"/>
      <c r="DF233" s="609">
        <v>9000000</v>
      </c>
      <c r="DG233" s="750">
        <v>9000000</v>
      </c>
      <c r="DH233" s="6"/>
      <c r="DI233" s="609">
        <v>9000000</v>
      </c>
      <c r="DJ233" s="750">
        <v>9000000</v>
      </c>
      <c r="DK233" s="6"/>
      <c r="DL233" s="609">
        <v>9000000</v>
      </c>
      <c r="DM233" s="750">
        <v>9000000</v>
      </c>
      <c r="DN233" s="6"/>
      <c r="DO233" s="609">
        <v>9000000</v>
      </c>
      <c r="DP233" s="750">
        <v>9000000</v>
      </c>
      <c r="DQ233" s="493">
        <f t="shared" si="88"/>
        <v>36000000</v>
      </c>
      <c r="DR233" s="479">
        <f t="shared" si="84"/>
        <v>36000000</v>
      </c>
      <c r="DS233" s="1162"/>
      <c r="DT233" s="1162"/>
      <c r="DU233" s="1162"/>
      <c r="DV233" s="1162"/>
      <c r="DW233" s="1162"/>
      <c r="DX233" s="1162"/>
      <c r="DY233" s="1162"/>
      <c r="DZ233" s="1162"/>
      <c r="EA233" s="1162"/>
      <c r="EB233" s="1162"/>
      <c r="EC233" s="1162"/>
      <c r="ED233" s="1162"/>
      <c r="EE233" s="1119">
        <f t="shared" si="85"/>
        <v>0</v>
      </c>
      <c r="EF233" s="443">
        <f t="shared" si="76"/>
        <v>0</v>
      </c>
      <c r="EG233" s="355">
        <f t="shared" si="77"/>
        <v>0</v>
      </c>
      <c r="EH233" s="443">
        <f t="shared" si="86"/>
        <v>0</v>
      </c>
      <c r="EI233" s="443">
        <f t="shared" si="86"/>
        <v>0</v>
      </c>
    </row>
    <row r="234" spans="1:140" ht="15.5" outlineLevel="2">
      <c r="A234" s="367" t="s">
        <v>39</v>
      </c>
      <c r="B234" s="378"/>
      <c r="C234" s="370" t="s">
        <v>358</v>
      </c>
      <c r="D234" s="297" t="s">
        <v>121</v>
      </c>
      <c r="E234" s="400" t="s">
        <v>559</v>
      </c>
      <c r="F234" s="380"/>
      <c r="G234" s="180"/>
      <c r="H234" s="180"/>
      <c r="I234" s="180"/>
      <c r="J234" s="180"/>
      <c r="K234" s="180"/>
      <c r="L234" s="180"/>
      <c r="M234" s="180"/>
      <c r="N234" s="180"/>
      <c r="O234" s="180"/>
      <c r="P234" s="180"/>
      <c r="Q234" s="180"/>
      <c r="R234" s="180"/>
      <c r="S234" s="6"/>
      <c r="T234" s="181"/>
      <c r="U234" s="180"/>
      <c r="V234" s="9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181"/>
      <c r="AI234" s="180"/>
      <c r="AJ234" s="517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518">
        <f t="shared" si="87"/>
        <v>0</v>
      </c>
      <c r="AY234" s="181"/>
      <c r="AZ234" s="180"/>
      <c r="BA234" s="517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N234" s="19"/>
      <c r="BO234" s="517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799"/>
      <c r="CB234" s="19"/>
      <c r="CC234" s="517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P234" s="649"/>
      <c r="CQ234" s="649"/>
      <c r="CR234" s="609"/>
      <c r="CS234" s="649"/>
      <c r="CT234" s="609"/>
      <c r="CU234" s="649"/>
      <c r="CV234" s="609"/>
      <c r="CW234" s="649"/>
      <c r="CX234" s="609"/>
      <c r="CY234" s="649"/>
      <c r="CZ234" s="609">
        <v>20000000</v>
      </c>
      <c r="DA234" s="649"/>
      <c r="DB234" s="609">
        <v>20000000</v>
      </c>
      <c r="DC234" s="649">
        <v>0</v>
      </c>
      <c r="DD234" s="609">
        <v>20000000</v>
      </c>
      <c r="DE234" s="6"/>
      <c r="DF234" s="609">
        <v>20000000</v>
      </c>
      <c r="DG234" s="750">
        <v>20000000</v>
      </c>
      <c r="DH234" s="6"/>
      <c r="DI234" s="609">
        <v>20000000</v>
      </c>
      <c r="DJ234" s="750">
        <v>20000000</v>
      </c>
      <c r="DK234" s="6"/>
      <c r="DL234" s="609">
        <v>20000000</v>
      </c>
      <c r="DM234" s="750">
        <v>20000000</v>
      </c>
      <c r="DN234" s="6"/>
      <c r="DO234" s="609">
        <v>20000000</v>
      </c>
      <c r="DP234" s="750">
        <v>20000000</v>
      </c>
      <c r="DQ234" s="493">
        <f t="shared" si="88"/>
        <v>80000000</v>
      </c>
      <c r="DR234" s="479">
        <f t="shared" si="84"/>
        <v>80000000</v>
      </c>
      <c r="DS234" s="1162"/>
      <c r="DT234" s="1162"/>
      <c r="DU234" s="1162"/>
      <c r="DV234" s="1162"/>
      <c r="DW234" s="1162"/>
      <c r="DX234" s="1162"/>
      <c r="DY234" s="1162"/>
      <c r="DZ234" s="1162"/>
      <c r="EA234" s="1162"/>
      <c r="EB234" s="1162"/>
      <c r="EC234" s="1162"/>
      <c r="ED234" s="1162"/>
      <c r="EE234" s="1119">
        <f t="shared" si="85"/>
        <v>0</v>
      </c>
      <c r="EF234" s="443">
        <f t="shared" si="76"/>
        <v>0</v>
      </c>
      <c r="EG234" s="355">
        <f t="shared" si="77"/>
        <v>0</v>
      </c>
      <c r="EH234" s="443">
        <f t="shared" si="86"/>
        <v>0</v>
      </c>
      <c r="EI234" s="443">
        <f t="shared" si="86"/>
        <v>0</v>
      </c>
    </row>
    <row r="235" spans="1:140" ht="15.5" outlineLevel="2">
      <c r="A235" s="367" t="s">
        <v>43</v>
      </c>
      <c r="B235" s="378"/>
      <c r="C235" s="370" t="s">
        <v>358</v>
      </c>
      <c r="D235" s="297" t="s">
        <v>121</v>
      </c>
      <c r="E235" s="379" t="s">
        <v>102</v>
      </c>
      <c r="F235" s="380" t="s">
        <v>560</v>
      </c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7">
        <f>SUM(G235,H235,I235,J235,K235,L235,M235,N235,O235,P235,Q235,R235)</f>
        <v>0</v>
      </c>
      <c r="T235" s="179"/>
      <c r="U235" s="178">
        <v>0</v>
      </c>
      <c r="V235" s="178">
        <v>0</v>
      </c>
      <c r="W235" s="178">
        <v>0</v>
      </c>
      <c r="X235" s="178">
        <v>0</v>
      </c>
      <c r="Y235" s="178">
        <v>0</v>
      </c>
      <c r="Z235" s="178">
        <v>0</v>
      </c>
      <c r="AA235" s="178">
        <v>0</v>
      </c>
      <c r="AB235" s="178">
        <v>0</v>
      </c>
      <c r="AC235" s="178">
        <v>0</v>
      </c>
      <c r="AD235" s="178">
        <v>0</v>
      </c>
      <c r="AE235" s="178">
        <v>0</v>
      </c>
      <c r="AF235" s="178">
        <v>0</v>
      </c>
      <c r="AG235" s="518">
        <f>SUM(U235,V235,W235,X235,Y235,Z235,AA235,AB235,AC235,AD235,AE235,AF235)</f>
        <v>0</v>
      </c>
      <c r="AH235" s="788"/>
      <c r="AI235" s="789">
        <v>0</v>
      </c>
      <c r="AJ235" s="790"/>
      <c r="AK235" s="518">
        <v>0</v>
      </c>
      <c r="AL235" s="518">
        <v>0</v>
      </c>
      <c r="AM235" s="518">
        <v>0</v>
      </c>
      <c r="AN235" s="518">
        <v>0</v>
      </c>
      <c r="AO235" s="518">
        <v>0</v>
      </c>
      <c r="AP235" s="518">
        <v>0</v>
      </c>
      <c r="AQ235" s="518">
        <v>0</v>
      </c>
      <c r="AR235" s="518"/>
      <c r="AS235" s="518"/>
      <c r="AT235" s="518"/>
      <c r="AU235" s="518">
        <f>BI235</f>
        <v>0</v>
      </c>
      <c r="AV235" s="518">
        <f>BJ235</f>
        <v>0</v>
      </c>
      <c r="AW235" s="794">
        <v>0</v>
      </c>
      <c r="AX235" s="518">
        <f t="shared" si="87"/>
        <v>0</v>
      </c>
      <c r="AY235" s="788"/>
      <c r="AZ235" s="789">
        <v>0</v>
      </c>
      <c r="BA235" s="790"/>
      <c r="BB235" s="518">
        <v>0</v>
      </c>
      <c r="BC235" s="518">
        <v>0</v>
      </c>
      <c r="BD235" s="518">
        <v>0</v>
      </c>
      <c r="BE235" s="518">
        <v>0</v>
      </c>
      <c r="BF235" s="518">
        <v>0</v>
      </c>
      <c r="BG235" s="518">
        <f>AP235</f>
        <v>0</v>
      </c>
      <c r="BH235" s="518">
        <v>0</v>
      </c>
      <c r="BI235" s="518">
        <v>0</v>
      </c>
      <c r="BJ235" s="518">
        <v>0</v>
      </c>
      <c r="BK235" s="518">
        <v>200000000</v>
      </c>
      <c r="BL235" s="518">
        <f>SUM(AZ235,BA235,BB235,BC235,BD235,BE235,BF235,BG235,BH235,BI235,BJ235,BK235)</f>
        <v>200000000</v>
      </c>
      <c r="BN235" s="516"/>
      <c r="BO235" s="517"/>
      <c r="BP235" s="518"/>
      <c r="BQ235" s="518"/>
      <c r="BR235" s="518"/>
      <c r="BS235" s="518"/>
      <c r="BT235" s="518"/>
      <c r="BU235" s="518"/>
      <c r="BV235" s="518"/>
      <c r="BW235" s="518"/>
      <c r="BX235" s="518"/>
      <c r="BY235" s="518"/>
      <c r="BZ235" s="791">
        <v>0</v>
      </c>
      <c r="CB235" s="516"/>
      <c r="CC235" s="517"/>
      <c r="CD235" s="518"/>
      <c r="CE235" s="518"/>
      <c r="CF235" s="518"/>
      <c r="CG235" s="518"/>
      <c r="CH235" s="518"/>
      <c r="CI235" s="518"/>
      <c r="CJ235" s="518"/>
      <c r="CK235" s="518"/>
      <c r="CL235" s="518"/>
      <c r="CM235" s="518"/>
      <c r="CN235" s="791">
        <v>0</v>
      </c>
      <c r="CP235" s="646">
        <v>0</v>
      </c>
      <c r="CQ235" s="646"/>
      <c r="CR235" s="516"/>
      <c r="CS235" s="646"/>
      <c r="CT235" s="516"/>
      <c r="CU235" s="646"/>
      <c r="CV235" s="516"/>
      <c r="CW235" s="646"/>
      <c r="CX235" s="516"/>
      <c r="CY235" s="646"/>
      <c r="CZ235" s="516"/>
      <c r="DA235" s="646"/>
      <c r="DB235" s="516"/>
      <c r="DC235" s="646">
        <v>0</v>
      </c>
      <c r="DD235" s="516"/>
      <c r="DE235" s="518"/>
      <c r="DF235" s="516"/>
      <c r="DG235" s="747"/>
      <c r="DH235" s="518"/>
      <c r="DI235" s="516"/>
      <c r="DJ235" s="747"/>
      <c r="DK235" s="518"/>
      <c r="DL235" s="516"/>
      <c r="DM235" s="747"/>
      <c r="DN235" s="518"/>
      <c r="DO235" s="516"/>
      <c r="DP235" s="747"/>
      <c r="DQ235" s="493">
        <f t="shared" si="88"/>
        <v>0</v>
      </c>
      <c r="DR235" s="479">
        <f t="shared" si="84"/>
        <v>0</v>
      </c>
      <c r="DS235" s="1162"/>
      <c r="DT235" s="1162">
        <v>200000000</v>
      </c>
      <c r="DU235" s="1162">
        <v>200000000</v>
      </c>
      <c r="DV235" s="1162">
        <v>200000000</v>
      </c>
      <c r="DW235" s="1162">
        <v>200000000</v>
      </c>
      <c r="DX235" s="1162">
        <v>200000000</v>
      </c>
      <c r="DY235" s="1162">
        <v>200000000</v>
      </c>
      <c r="DZ235" s="1162">
        <v>200000000</v>
      </c>
      <c r="EA235" s="1162">
        <v>200000000</v>
      </c>
      <c r="EB235" s="1162">
        <v>200000000</v>
      </c>
      <c r="EC235" s="1162">
        <v>200000000</v>
      </c>
      <c r="ED235" s="1162">
        <v>200000000</v>
      </c>
      <c r="EE235" s="1119">
        <f t="shared" si="85"/>
        <v>2200000000</v>
      </c>
      <c r="EF235" s="443">
        <f t="shared" si="76"/>
        <v>2574000000</v>
      </c>
      <c r="EG235" s="355">
        <f t="shared" si="77"/>
        <v>2779920000</v>
      </c>
      <c r="EH235" s="443">
        <f t="shared" si="86"/>
        <v>3030112800</v>
      </c>
      <c r="EI235" s="443">
        <f t="shared" si="86"/>
        <v>3302822952.0000005</v>
      </c>
      <c r="EJ235" s="367" t="s">
        <v>560</v>
      </c>
    </row>
    <row r="236" spans="1:140" ht="15.5" outlineLevel="2">
      <c r="A236" s="367" t="s">
        <v>43</v>
      </c>
      <c r="B236" s="378"/>
      <c r="C236" s="370" t="s">
        <v>358</v>
      </c>
      <c r="D236" s="297" t="s">
        <v>121</v>
      </c>
      <c r="E236" s="396" t="s">
        <v>153</v>
      </c>
      <c r="F236" s="380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7"/>
      <c r="T236" s="179"/>
      <c r="U236" s="178"/>
      <c r="V236" s="9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518"/>
      <c r="AH236" s="788"/>
      <c r="AI236" s="789"/>
      <c r="AJ236" s="517"/>
      <c r="AK236" s="518"/>
      <c r="AL236" s="518"/>
      <c r="AM236" s="518"/>
      <c r="AN236" s="518"/>
      <c r="AO236" s="518"/>
      <c r="AP236" s="518"/>
      <c r="AQ236" s="518"/>
      <c r="AR236" s="518"/>
      <c r="AS236" s="518"/>
      <c r="AT236" s="518"/>
      <c r="AU236" s="518"/>
      <c r="AV236" s="518"/>
      <c r="AW236" s="518"/>
      <c r="AX236" s="518">
        <f t="shared" si="87"/>
        <v>0</v>
      </c>
      <c r="AY236" s="788"/>
      <c r="AZ236" s="789"/>
      <c r="BA236" s="517"/>
      <c r="BB236" s="518"/>
      <c r="BC236" s="518"/>
      <c r="BD236" s="518"/>
      <c r="BE236" s="518"/>
      <c r="BF236" s="518"/>
      <c r="BG236" s="518"/>
      <c r="BH236" s="518"/>
      <c r="BI236" s="518"/>
      <c r="BJ236" s="518"/>
      <c r="BK236" s="518"/>
      <c r="BL236" s="518">
        <f>SUM(AZ236,BA236,BB236,BC236,BD236,BE236,BF236,BG236,BH236,BI236,BJ236,BK236)</f>
        <v>0</v>
      </c>
      <c r="BN236" s="516"/>
      <c r="BO236" s="517"/>
      <c r="BP236" s="518"/>
      <c r="BQ236" s="518"/>
      <c r="BR236" s="518"/>
      <c r="BS236" s="518"/>
      <c r="BT236" s="518"/>
      <c r="BU236" s="518"/>
      <c r="BV236" s="518"/>
      <c r="BW236" s="518"/>
      <c r="BX236" s="518"/>
      <c r="BY236" s="518"/>
      <c r="BZ236" s="791">
        <v>0</v>
      </c>
      <c r="CB236" s="516"/>
      <c r="CC236" s="517"/>
      <c r="CD236" s="518"/>
      <c r="CE236" s="518"/>
      <c r="CF236" s="518"/>
      <c r="CG236" s="518"/>
      <c r="CH236" s="518"/>
      <c r="CI236" s="518"/>
      <c r="CJ236" s="518"/>
      <c r="CK236" s="518"/>
      <c r="CL236" s="518"/>
      <c r="CM236" s="518"/>
      <c r="CN236" s="791">
        <v>0</v>
      </c>
      <c r="CP236" s="646"/>
      <c r="CQ236" s="646"/>
      <c r="CR236" s="516"/>
      <c r="CS236" s="646"/>
      <c r="CT236" s="516"/>
      <c r="CU236" s="646"/>
      <c r="CV236" s="516"/>
      <c r="CW236" s="646"/>
      <c r="CX236" s="516"/>
      <c r="CY236" s="646"/>
      <c r="CZ236" s="516"/>
      <c r="DA236" s="646"/>
      <c r="DB236" s="516">
        <v>250000000</v>
      </c>
      <c r="DC236" s="646">
        <v>0</v>
      </c>
      <c r="DD236" s="516">
        <v>250000000</v>
      </c>
      <c r="DE236" s="518"/>
      <c r="DF236" s="516">
        <v>250000000</v>
      </c>
      <c r="DG236" s="747">
        <v>250000000</v>
      </c>
      <c r="DH236" s="518"/>
      <c r="DI236" s="516">
        <v>250000000</v>
      </c>
      <c r="DJ236" s="747">
        <v>250000000</v>
      </c>
      <c r="DK236" s="518"/>
      <c r="DL236" s="516">
        <v>250000000</v>
      </c>
      <c r="DM236" s="747">
        <v>250000000</v>
      </c>
      <c r="DN236" s="518"/>
      <c r="DO236" s="516">
        <v>250000000</v>
      </c>
      <c r="DP236" s="747">
        <v>250000000</v>
      </c>
      <c r="DQ236" s="493">
        <f t="shared" si="88"/>
        <v>1000000000</v>
      </c>
      <c r="DR236" s="479">
        <f t="shared" si="84"/>
        <v>1000000000</v>
      </c>
      <c r="DS236" s="1162">
        <v>100000000</v>
      </c>
      <c r="DT236" s="1162">
        <v>100000000</v>
      </c>
      <c r="DU236" s="1162">
        <v>100000000</v>
      </c>
      <c r="DV236" s="1162">
        <v>80000000</v>
      </c>
      <c r="DW236" s="1162">
        <v>100000000</v>
      </c>
      <c r="DX236" s="1162">
        <v>125000000</v>
      </c>
      <c r="DY236" s="1162">
        <v>125000000</v>
      </c>
      <c r="DZ236" s="1162">
        <v>125000000</v>
      </c>
      <c r="EA236" s="1162">
        <v>125000000</v>
      </c>
      <c r="EB236" s="1162">
        <v>125000000</v>
      </c>
      <c r="EC236" s="1162">
        <v>125000000</v>
      </c>
      <c r="ED236" s="1162">
        <v>125000000</v>
      </c>
      <c r="EE236" s="1119">
        <f t="shared" si="85"/>
        <v>1355000000</v>
      </c>
      <c r="EF236" s="443">
        <f t="shared" si="76"/>
        <v>1585350000</v>
      </c>
      <c r="EG236" s="355">
        <f t="shared" si="77"/>
        <v>1712178000</v>
      </c>
      <c r="EH236" s="443">
        <f t="shared" si="86"/>
        <v>1866274020.0000002</v>
      </c>
      <c r="EI236" s="443">
        <f t="shared" si="86"/>
        <v>2034238681.8000004</v>
      </c>
      <c r="EJ236" s="367" t="e">
        <v>#N/A</v>
      </c>
    </row>
    <row r="237" spans="1:140" ht="15.5" outlineLevel="2">
      <c r="A237" s="367" t="s">
        <v>43</v>
      </c>
      <c r="B237" s="367"/>
      <c r="C237" s="370" t="s">
        <v>358</v>
      </c>
      <c r="D237" s="297" t="s">
        <v>121</v>
      </c>
      <c r="E237" s="379" t="s">
        <v>104</v>
      </c>
      <c r="F237" s="380">
        <v>3000019743</v>
      </c>
      <c r="G237" s="178">
        <v>0</v>
      </c>
      <c r="H237" s="178">
        <v>0</v>
      </c>
      <c r="I237" s="178">
        <v>0</v>
      </c>
      <c r="J237" s="178">
        <v>0</v>
      </c>
      <c r="K237" s="178">
        <v>0</v>
      </c>
      <c r="L237" s="178">
        <v>0</v>
      </c>
      <c r="M237" s="178">
        <v>0</v>
      </c>
      <c r="N237" s="178">
        <v>0</v>
      </c>
      <c r="O237" s="178">
        <v>0</v>
      </c>
      <c r="P237" s="178">
        <v>0</v>
      </c>
      <c r="Q237" s="178">
        <v>0</v>
      </c>
      <c r="R237" s="178">
        <v>0</v>
      </c>
      <c r="S237" s="7">
        <f>SUM(G237,H237,I237,J237,K237,L237,M237,N237,O237,P237,Q237,R237)</f>
        <v>0</v>
      </c>
      <c r="T237" s="179"/>
      <c r="U237" s="178">
        <v>0</v>
      </c>
      <c r="V237" s="178">
        <v>0</v>
      </c>
      <c r="W237" s="178">
        <v>0</v>
      </c>
      <c r="X237" s="178">
        <v>0</v>
      </c>
      <c r="Y237" s="178">
        <v>0</v>
      </c>
      <c r="Z237" s="178">
        <v>0</v>
      </c>
      <c r="AA237" s="178">
        <v>0</v>
      </c>
      <c r="AB237" s="178">
        <v>0</v>
      </c>
      <c r="AC237" s="178">
        <v>0</v>
      </c>
      <c r="AD237" s="178">
        <v>0</v>
      </c>
      <c r="AE237" s="178">
        <v>0</v>
      </c>
      <c r="AF237" s="178">
        <v>0</v>
      </c>
      <c r="AG237" s="518">
        <f>SUM(U237,V237,W237,X237,Y237,Z237,AA237,AB237,AC237,AD237,AE237,AF237)</f>
        <v>0</v>
      </c>
      <c r="AH237" s="788"/>
      <c r="AI237" s="789"/>
      <c r="AJ237" s="790"/>
      <c r="AK237" s="518"/>
      <c r="AL237" s="518"/>
      <c r="AM237" s="518"/>
      <c r="AN237" s="518"/>
      <c r="AO237" s="518"/>
      <c r="AP237" s="518"/>
      <c r="AQ237" s="518">
        <v>0</v>
      </c>
      <c r="AR237" s="518"/>
      <c r="AS237" s="518"/>
      <c r="AT237" s="518"/>
      <c r="AU237" s="518">
        <f>BI237</f>
        <v>0</v>
      </c>
      <c r="AV237" s="518">
        <f>BJ237</f>
        <v>0</v>
      </c>
      <c r="AW237" s="518">
        <f>BK237</f>
        <v>0</v>
      </c>
      <c r="AX237" s="518">
        <f t="shared" si="87"/>
        <v>0</v>
      </c>
      <c r="AY237" s="788"/>
      <c r="AZ237" s="789"/>
      <c r="BA237" s="790"/>
      <c r="BB237" s="518"/>
      <c r="BC237" s="518"/>
      <c r="BD237" s="518"/>
      <c r="BE237" s="518"/>
      <c r="BF237" s="518"/>
      <c r="BG237" s="518">
        <f>AP237</f>
        <v>0</v>
      </c>
      <c r="BH237" s="518">
        <v>0</v>
      </c>
      <c r="BI237" s="518">
        <v>0</v>
      </c>
      <c r="BJ237" s="518">
        <v>0</v>
      </c>
      <c r="BK237" s="518">
        <v>0</v>
      </c>
      <c r="BL237" s="518">
        <f>SUM(AZ237,BA237,BB237,BC237,BD237,BE237,BF237,BG237,BH237,BI237,BJ237,BK237)</f>
        <v>0</v>
      </c>
      <c r="BN237" s="516"/>
      <c r="BO237" s="517"/>
      <c r="BP237" s="518"/>
      <c r="BQ237" s="518"/>
      <c r="BR237" s="518"/>
      <c r="BS237" s="518"/>
      <c r="BT237" s="518"/>
      <c r="BU237" s="518"/>
      <c r="BV237" s="518"/>
      <c r="BW237" s="518"/>
      <c r="BX237" s="518"/>
      <c r="BY237" s="518"/>
      <c r="BZ237" s="791">
        <v>0</v>
      </c>
      <c r="CB237" s="516"/>
      <c r="CC237" s="517"/>
      <c r="CD237" s="518"/>
      <c r="CE237" s="518"/>
      <c r="CF237" s="518"/>
      <c r="CG237" s="518"/>
      <c r="CH237" s="518"/>
      <c r="CI237" s="518"/>
      <c r="CJ237" s="518"/>
      <c r="CK237" s="518"/>
      <c r="CL237" s="518"/>
      <c r="CM237" s="518"/>
      <c r="CN237" s="791">
        <v>0</v>
      </c>
      <c r="CP237" s="646"/>
      <c r="CQ237" s="646"/>
      <c r="CR237" s="516"/>
      <c r="CS237" s="646"/>
      <c r="CT237" s="516"/>
      <c r="CU237" s="646"/>
      <c r="CV237" s="516"/>
      <c r="CW237" s="646"/>
      <c r="CX237" s="516"/>
      <c r="CY237" s="646"/>
      <c r="CZ237" s="516"/>
      <c r="DA237" s="646"/>
      <c r="DB237" s="516"/>
      <c r="DC237" s="646">
        <v>0</v>
      </c>
      <c r="DD237" s="516"/>
      <c r="DE237" s="518"/>
      <c r="DF237" s="516"/>
      <c r="DG237" s="747"/>
      <c r="DH237" s="518"/>
      <c r="DI237" s="516"/>
      <c r="DJ237" s="747"/>
      <c r="DK237" s="518"/>
      <c r="DL237" s="516"/>
      <c r="DM237" s="747"/>
      <c r="DN237" s="518"/>
      <c r="DO237" s="516"/>
      <c r="DP237" s="747"/>
      <c r="DQ237" s="493">
        <f t="shared" si="88"/>
        <v>0</v>
      </c>
      <c r="DR237" s="479">
        <f t="shared" si="84"/>
        <v>0</v>
      </c>
      <c r="DS237" s="1162"/>
      <c r="DT237" s="1162"/>
      <c r="DU237" s="1162"/>
      <c r="DV237" s="1162"/>
      <c r="DW237" s="1162"/>
      <c r="DX237" s="1162"/>
      <c r="DY237" s="1162"/>
      <c r="DZ237" s="1162"/>
      <c r="EA237" s="1162"/>
      <c r="EB237" s="1162"/>
      <c r="EC237" s="1162"/>
      <c r="ED237" s="1162"/>
      <c r="EE237" s="1119">
        <f t="shared" si="85"/>
        <v>0</v>
      </c>
      <c r="EF237" s="443">
        <f t="shared" si="76"/>
        <v>0</v>
      </c>
      <c r="EG237" s="355">
        <f t="shared" si="77"/>
        <v>0</v>
      </c>
      <c r="EH237" s="443">
        <f t="shared" si="86"/>
        <v>0</v>
      </c>
      <c r="EI237" s="443">
        <f t="shared" si="86"/>
        <v>0</v>
      </c>
      <c r="EJ237" s="367">
        <v>3000019743</v>
      </c>
    </row>
    <row r="238" spans="1:140" ht="15.5" outlineLevel="2">
      <c r="A238" s="367" t="s">
        <v>117</v>
      </c>
      <c r="B238" s="378"/>
      <c r="C238" s="370" t="s">
        <v>358</v>
      </c>
      <c r="D238" s="297" t="s">
        <v>121</v>
      </c>
      <c r="E238" s="385" t="s">
        <v>561</v>
      </c>
      <c r="F238" s="380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7"/>
      <c r="T238" s="179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518"/>
      <c r="AH238" s="788"/>
      <c r="AI238" s="789"/>
      <c r="AJ238" s="790"/>
      <c r="AK238" s="518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788"/>
      <c r="AZ238" s="789"/>
      <c r="BA238" s="790"/>
      <c r="BB238" s="518"/>
      <c r="BC238" s="518"/>
      <c r="BD238" s="518"/>
      <c r="BE238" s="518"/>
      <c r="BF238" s="518"/>
      <c r="BG238" s="518"/>
      <c r="BH238" s="518"/>
      <c r="BI238" s="518"/>
      <c r="BJ238" s="518"/>
      <c r="BK238" s="518"/>
      <c r="BL238" s="518"/>
      <c r="BN238" s="516"/>
      <c r="BO238" s="517"/>
      <c r="BP238" s="518"/>
      <c r="BQ238" s="518"/>
      <c r="BR238" s="518"/>
      <c r="BS238" s="518"/>
      <c r="BT238" s="518"/>
      <c r="BU238" s="518"/>
      <c r="BV238" s="518"/>
      <c r="BW238" s="518"/>
      <c r="BX238" s="518"/>
      <c r="BY238" s="518"/>
      <c r="BZ238" s="791"/>
      <c r="CB238" s="516"/>
      <c r="CC238" s="517"/>
      <c r="CD238" s="518"/>
      <c r="CE238" s="518"/>
      <c r="CF238" s="518"/>
      <c r="CG238" s="518"/>
      <c r="CH238" s="518"/>
      <c r="CI238" s="518"/>
      <c r="CJ238" s="518"/>
      <c r="CK238" s="518"/>
      <c r="CL238" s="518"/>
      <c r="CM238" s="518"/>
      <c r="CN238" s="791"/>
      <c r="CP238" s="646"/>
      <c r="CQ238" s="646"/>
      <c r="CR238" s="516"/>
      <c r="CS238" s="646"/>
      <c r="CT238" s="516"/>
      <c r="CU238" s="646"/>
      <c r="CV238" s="516"/>
      <c r="CW238" s="646"/>
      <c r="CX238" s="516"/>
      <c r="CY238" s="646"/>
      <c r="CZ238" s="516"/>
      <c r="DA238" s="646"/>
      <c r="DB238" s="516"/>
      <c r="DC238" s="646"/>
      <c r="DD238" s="516"/>
      <c r="DE238" s="518"/>
      <c r="DF238" s="516"/>
      <c r="DG238" s="747"/>
      <c r="DH238" s="518"/>
      <c r="DI238" s="516"/>
      <c r="DJ238" s="747"/>
      <c r="DK238" s="518"/>
      <c r="DL238" s="516"/>
      <c r="DM238" s="747"/>
      <c r="DN238" s="518"/>
      <c r="DO238" s="516"/>
      <c r="DP238" s="747"/>
      <c r="DQ238" s="493"/>
      <c r="DR238" s="479"/>
      <c r="DS238" s="1162">
        <v>10000000</v>
      </c>
      <c r="DT238" s="1162">
        <v>10000000</v>
      </c>
      <c r="DU238" s="1162">
        <v>30000000</v>
      </c>
      <c r="DV238" s="1162">
        <v>30000000</v>
      </c>
      <c r="DW238" s="1162">
        <v>20000000</v>
      </c>
      <c r="DX238" s="1162">
        <v>20000000</v>
      </c>
      <c r="DY238" s="1162">
        <v>20000000</v>
      </c>
      <c r="DZ238" s="1162">
        <v>20000000</v>
      </c>
      <c r="EA238" s="1162">
        <v>20000000</v>
      </c>
      <c r="EB238" s="1162">
        <v>20000000</v>
      </c>
      <c r="EC238" s="1162">
        <v>20000000</v>
      </c>
      <c r="ED238" s="1162">
        <v>20000000</v>
      </c>
      <c r="EE238" s="1119">
        <f t="shared" si="85"/>
        <v>240000000</v>
      </c>
      <c r="EF238" s="443"/>
      <c r="EG238" s="355"/>
      <c r="EH238" s="443"/>
      <c r="EI238" s="443"/>
    </row>
    <row r="239" spans="1:140" ht="15" outlineLevel="2" thickBot="1">
      <c r="B239" s="378"/>
      <c r="E239" s="401"/>
      <c r="F239" s="380"/>
      <c r="G239" s="180"/>
      <c r="H239" s="180"/>
      <c r="I239" s="180"/>
      <c r="J239" s="180"/>
      <c r="K239" s="180"/>
      <c r="L239" s="180"/>
      <c r="M239" s="180"/>
      <c r="N239" s="180"/>
      <c r="O239" s="180"/>
      <c r="P239" s="180"/>
      <c r="Q239" s="180"/>
      <c r="R239" s="180"/>
      <c r="S239" s="6"/>
      <c r="T239" s="181"/>
      <c r="U239" s="180"/>
      <c r="V239" s="9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181"/>
      <c r="AI239" s="180"/>
      <c r="AJ239" s="517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181"/>
      <c r="AZ239" s="180"/>
      <c r="BA239" s="517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N239" s="19"/>
      <c r="BO239" s="517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799"/>
      <c r="CB239" s="19"/>
      <c r="CC239" s="517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P239" s="649"/>
      <c r="CQ239" s="649"/>
      <c r="CR239" s="19"/>
      <c r="CS239" s="649"/>
      <c r="CT239" s="19"/>
      <c r="CU239" s="649"/>
      <c r="CV239" s="19"/>
      <c r="CW239" s="649"/>
      <c r="CX239" s="19"/>
      <c r="CY239" s="649"/>
      <c r="CZ239" s="19"/>
      <c r="DA239" s="649"/>
      <c r="DB239" s="19"/>
      <c r="DC239" s="649"/>
      <c r="DD239" s="19"/>
      <c r="DE239" s="6"/>
      <c r="DF239" s="19"/>
      <c r="DG239" s="752"/>
      <c r="DH239" s="6"/>
      <c r="DI239" s="19"/>
      <c r="DJ239" s="752"/>
      <c r="DK239" s="6"/>
      <c r="DL239" s="19"/>
      <c r="DM239" s="752"/>
      <c r="DN239" s="6"/>
      <c r="DO239" s="19"/>
      <c r="DP239" s="752"/>
      <c r="DQ239" s="494"/>
      <c r="DR239" s="505"/>
      <c r="DS239" s="1162"/>
      <c r="DT239" s="1162"/>
      <c r="DU239" s="1162"/>
      <c r="DV239" s="1162"/>
      <c r="DW239" s="1162"/>
      <c r="DX239" s="1162"/>
      <c r="DY239" s="1162"/>
      <c r="DZ239" s="1162"/>
      <c r="EA239" s="1162"/>
      <c r="EB239" s="1162"/>
      <c r="EC239" s="1162"/>
      <c r="ED239" s="1162"/>
      <c r="EE239" s="1121"/>
      <c r="EF239" s="456"/>
      <c r="EG239" s="456"/>
      <c r="EH239" s="456"/>
      <c r="EI239" s="456"/>
    </row>
    <row r="240" spans="1:140" ht="15" outlineLevel="1" thickBot="1">
      <c r="B240" s="378"/>
      <c r="E240" s="392"/>
      <c r="F240" s="380"/>
      <c r="G240" s="10">
        <f t="shared" ref="G240:S240" si="89">SUM(G12:G230)</f>
        <v>6088180298</v>
      </c>
      <c r="H240" s="11">
        <f t="shared" si="89"/>
        <v>6137463337</v>
      </c>
      <c r="I240" s="10">
        <f t="shared" si="89"/>
        <v>9721463529</v>
      </c>
      <c r="J240" s="10">
        <f t="shared" si="89"/>
        <v>8211434087</v>
      </c>
      <c r="K240" s="10">
        <f t="shared" si="89"/>
        <v>7757343192</v>
      </c>
      <c r="L240" s="10">
        <f t="shared" si="89"/>
        <v>7193869052</v>
      </c>
      <c r="M240" s="10">
        <f t="shared" si="89"/>
        <v>8511918284</v>
      </c>
      <c r="N240" s="10">
        <f t="shared" si="89"/>
        <v>8682587546</v>
      </c>
      <c r="O240" s="10">
        <f t="shared" si="89"/>
        <v>8730967945</v>
      </c>
      <c r="P240" s="10">
        <f t="shared" si="89"/>
        <v>9048860285</v>
      </c>
      <c r="Q240" s="10">
        <f t="shared" si="89"/>
        <v>8835432992</v>
      </c>
      <c r="R240" s="10">
        <f t="shared" si="89"/>
        <v>9537047360</v>
      </c>
      <c r="S240" s="10">
        <f t="shared" si="89"/>
        <v>98456567907</v>
      </c>
      <c r="T240" s="12"/>
      <c r="U240" s="10">
        <f t="shared" ref="U240:AG240" si="90">SUM(U12:U230)</f>
        <v>7412475471</v>
      </c>
      <c r="V240" s="11">
        <f t="shared" si="90"/>
        <v>7008409925</v>
      </c>
      <c r="W240" s="10">
        <f t="shared" si="90"/>
        <v>6299090983</v>
      </c>
      <c r="X240" s="10">
        <f t="shared" si="90"/>
        <v>6470261386</v>
      </c>
      <c r="Y240" s="10">
        <f t="shared" si="90"/>
        <v>6490369267</v>
      </c>
      <c r="Z240" s="10">
        <f t="shared" si="90"/>
        <v>6213213742</v>
      </c>
      <c r="AA240" s="10">
        <f t="shared" si="90"/>
        <v>6656804937</v>
      </c>
      <c r="AB240" s="10">
        <f t="shared" si="90"/>
        <v>6536484924</v>
      </c>
      <c r="AC240" s="10">
        <f t="shared" si="90"/>
        <v>6704712040</v>
      </c>
      <c r="AD240" s="10">
        <f t="shared" si="90"/>
        <v>6811964819</v>
      </c>
      <c r="AE240" s="10">
        <f t="shared" si="90"/>
        <v>7119569899</v>
      </c>
      <c r="AF240" s="10">
        <f t="shared" si="90"/>
        <v>7167458144</v>
      </c>
      <c r="AG240" s="469">
        <f t="shared" si="90"/>
        <v>80890815537</v>
      </c>
      <c r="AH240" s="807"/>
      <c r="AI240" s="469">
        <f t="shared" ref="AI240:AX240" si="91">SUM(AI12:AI236)</f>
        <v>6739429594</v>
      </c>
      <c r="AJ240" s="469">
        <f t="shared" si="91"/>
        <v>6849223971</v>
      </c>
      <c r="AK240" s="469">
        <f t="shared" si="91"/>
        <v>6562227568</v>
      </c>
      <c r="AL240" s="469">
        <f t="shared" si="91"/>
        <v>6629836501</v>
      </c>
      <c r="AM240" s="469">
        <f t="shared" si="91"/>
        <v>4699424819</v>
      </c>
      <c r="AN240" s="469">
        <f t="shared" si="91"/>
        <v>5194904973</v>
      </c>
      <c r="AO240" s="469">
        <f t="shared" si="91"/>
        <v>4545442473</v>
      </c>
      <c r="AP240" s="469">
        <f t="shared" si="91"/>
        <v>4727028288</v>
      </c>
      <c r="AQ240" s="469">
        <f t="shared" si="91"/>
        <v>5409677620</v>
      </c>
      <c r="AR240" s="469">
        <f t="shared" si="91"/>
        <v>5994962004</v>
      </c>
      <c r="AS240" s="469">
        <f t="shared" si="91"/>
        <v>6004135708</v>
      </c>
      <c r="AT240" s="469">
        <f t="shared" si="91"/>
        <v>5939283785</v>
      </c>
      <c r="AU240" s="469">
        <f t="shared" si="91"/>
        <v>5611128961</v>
      </c>
      <c r="AV240" s="469">
        <f t="shared" si="91"/>
        <v>6006128961</v>
      </c>
      <c r="AW240" s="469">
        <f t="shared" si="91"/>
        <v>6056128961</v>
      </c>
      <c r="AX240" s="469">
        <f t="shared" si="91"/>
        <v>69295577304</v>
      </c>
      <c r="AY240" s="807"/>
      <c r="AZ240" s="469">
        <f t="shared" ref="AZ240:BL240" si="92">SUM(AZ12:AZ230)</f>
        <v>6739429594</v>
      </c>
      <c r="BA240" s="808">
        <f t="shared" si="92"/>
        <v>6849223971</v>
      </c>
      <c r="BB240" s="469">
        <f t="shared" si="92"/>
        <v>6562227568</v>
      </c>
      <c r="BC240" s="469">
        <f t="shared" si="92"/>
        <v>6629836501</v>
      </c>
      <c r="BD240" s="469">
        <f t="shared" si="92"/>
        <v>4699424819</v>
      </c>
      <c r="BE240" s="469">
        <f t="shared" si="92"/>
        <v>5194904973</v>
      </c>
      <c r="BF240" s="469">
        <f t="shared" si="92"/>
        <v>4545442473</v>
      </c>
      <c r="BG240" s="469">
        <f t="shared" si="92"/>
        <v>4727028288</v>
      </c>
      <c r="BH240" s="469">
        <f t="shared" si="92"/>
        <v>6535344041</v>
      </c>
      <c r="BI240" s="469">
        <f t="shared" si="92"/>
        <v>7519242041</v>
      </c>
      <c r="BJ240" s="469">
        <f t="shared" si="92"/>
        <v>7801941041</v>
      </c>
      <c r="BK240" s="469">
        <f t="shared" si="92"/>
        <v>7851941041</v>
      </c>
      <c r="BL240" s="469">
        <f t="shared" si="92"/>
        <v>75655986351</v>
      </c>
      <c r="BN240" s="469">
        <f t="shared" ref="BN240:BX240" si="93">BN208+BN163+BN10</f>
        <v>6480832499</v>
      </c>
      <c r="BO240" s="469">
        <f t="shared" si="93"/>
        <v>6480832499</v>
      </c>
      <c r="BP240" s="469">
        <f t="shared" si="93"/>
        <v>6880832499</v>
      </c>
      <c r="BQ240" s="469">
        <f t="shared" si="93"/>
        <v>7213239499</v>
      </c>
      <c r="BR240" s="469">
        <f t="shared" si="93"/>
        <v>5621639292</v>
      </c>
      <c r="BS240" s="469">
        <f t="shared" si="93"/>
        <v>6391739499</v>
      </c>
      <c r="BT240" s="469">
        <f t="shared" si="93"/>
        <v>6923239499</v>
      </c>
      <c r="BU240" s="469">
        <f t="shared" si="93"/>
        <v>7123239499</v>
      </c>
      <c r="BV240" s="469">
        <f t="shared" si="93"/>
        <v>7313239499</v>
      </c>
      <c r="BW240" s="469">
        <f t="shared" si="93"/>
        <v>7423239499</v>
      </c>
      <c r="BX240" s="469">
        <f t="shared" si="93"/>
        <v>7263239499</v>
      </c>
      <c r="BY240" s="469">
        <f>BY208+BY163+BY10</f>
        <v>7263239499</v>
      </c>
      <c r="BZ240" s="469">
        <f>BZ208+BZ163+BZ10</f>
        <v>82378552781</v>
      </c>
      <c r="CB240" s="469">
        <f t="shared" ref="CB240:CN240" si="94">CB208+CB163+CB10</f>
        <v>6480832499</v>
      </c>
      <c r="CC240" s="469">
        <f t="shared" si="94"/>
        <v>6480832499</v>
      </c>
      <c r="CD240" s="469">
        <f t="shared" si="94"/>
        <v>6880832499</v>
      </c>
      <c r="CE240" s="469">
        <f t="shared" si="94"/>
        <v>7213239499</v>
      </c>
      <c r="CF240" s="469">
        <f t="shared" si="94"/>
        <v>5621639292</v>
      </c>
      <c r="CG240" s="469">
        <f t="shared" si="94"/>
        <v>6391739499</v>
      </c>
      <c r="CH240" s="469">
        <f t="shared" si="94"/>
        <v>6923239499</v>
      </c>
      <c r="CI240" s="469">
        <f t="shared" si="94"/>
        <v>7123239499</v>
      </c>
      <c r="CJ240" s="469">
        <f t="shared" si="94"/>
        <v>7313239499</v>
      </c>
      <c r="CK240" s="469">
        <f t="shared" si="94"/>
        <v>7423239499</v>
      </c>
      <c r="CL240" s="469">
        <f t="shared" si="94"/>
        <v>7263239499</v>
      </c>
      <c r="CM240" s="469">
        <f t="shared" si="94"/>
        <v>7263239499</v>
      </c>
      <c r="CN240" s="469">
        <f t="shared" si="94"/>
        <v>82378552781</v>
      </c>
      <c r="CP240" s="469">
        <f t="shared" ref="CP240:DP240" si="95">CP208+CP163+CP10</f>
        <v>5751584489</v>
      </c>
      <c r="CQ240" s="469">
        <f t="shared" si="95"/>
        <v>5466270962</v>
      </c>
      <c r="CR240" s="469">
        <f t="shared" si="95"/>
        <v>6261737981</v>
      </c>
      <c r="CS240" s="469">
        <f t="shared" si="95"/>
        <v>6713879556</v>
      </c>
      <c r="CT240" s="469">
        <f t="shared" si="95"/>
        <v>7468017322</v>
      </c>
      <c r="CU240" s="469">
        <f t="shared" si="95"/>
        <v>6481024774</v>
      </c>
      <c r="CV240" s="469">
        <f t="shared" si="95"/>
        <v>7338704822</v>
      </c>
      <c r="CW240" s="469">
        <f t="shared" si="95"/>
        <v>4958353937</v>
      </c>
      <c r="CX240" s="469">
        <f t="shared" si="95"/>
        <v>6008041122</v>
      </c>
      <c r="CY240" s="469">
        <f t="shared" si="95"/>
        <v>6111499032</v>
      </c>
      <c r="CZ240" s="469">
        <f t="shared" si="95"/>
        <v>7331548622</v>
      </c>
      <c r="DA240" s="469">
        <f t="shared" si="95"/>
        <v>6447838563</v>
      </c>
      <c r="DB240" s="469">
        <f t="shared" si="95"/>
        <v>8490548622</v>
      </c>
      <c r="DC240" s="469">
        <f t="shared" si="95"/>
        <v>6600488377</v>
      </c>
      <c r="DD240" s="469">
        <f t="shared" si="95"/>
        <v>8700548622</v>
      </c>
      <c r="DE240" s="469">
        <f t="shared" si="95"/>
        <v>0</v>
      </c>
      <c r="DF240" s="469">
        <f>DF208+DF163+DF10</f>
        <v>8700548622</v>
      </c>
      <c r="DG240" s="469">
        <f t="shared" si="95"/>
        <v>8624660059</v>
      </c>
      <c r="DH240" s="469">
        <f t="shared" si="95"/>
        <v>0</v>
      </c>
      <c r="DI240" s="469">
        <f>DI208+DI163+DI10</f>
        <v>8850548622</v>
      </c>
      <c r="DJ240" s="469">
        <f t="shared" si="95"/>
        <v>9004660059</v>
      </c>
      <c r="DK240" s="469">
        <f t="shared" si="95"/>
        <v>0</v>
      </c>
      <c r="DL240" s="469">
        <f>DL208+DL163+DL10</f>
        <v>8850548622</v>
      </c>
      <c r="DM240" s="469">
        <f>DM208+DM163+DM10</f>
        <v>9049660059</v>
      </c>
      <c r="DN240" s="469">
        <f t="shared" si="95"/>
        <v>0</v>
      </c>
      <c r="DO240" s="469">
        <f>DO208+DO163+DO10</f>
        <v>8850548622</v>
      </c>
      <c r="DP240" s="469">
        <f t="shared" si="95"/>
        <v>9174660059</v>
      </c>
      <c r="DQ240" s="469">
        <f>DQ208+DQ163+DQ10</f>
        <v>83783134178</v>
      </c>
      <c r="DR240" s="469">
        <f>DR208+DR163+DR10</f>
        <v>85102744991</v>
      </c>
      <c r="DS240" s="1164">
        <f>DS208+DS163+DS10</f>
        <v>6938776951</v>
      </c>
      <c r="DT240" s="1164">
        <f t="shared" ref="DT240:EI240" si="96">DT208+DT163+DT10</f>
        <v>7208776951</v>
      </c>
      <c r="DU240" s="1164">
        <f t="shared" si="96"/>
        <v>7534476951</v>
      </c>
      <c r="DV240" s="1164">
        <f t="shared" si="96"/>
        <v>7153476951</v>
      </c>
      <c r="DW240" s="1164">
        <f t="shared" si="96"/>
        <v>7292476951</v>
      </c>
      <c r="DX240" s="1164">
        <f t="shared" si="96"/>
        <v>8479476951</v>
      </c>
      <c r="DY240" s="1164">
        <f t="shared" si="96"/>
        <v>8904476951</v>
      </c>
      <c r="DZ240" s="1164">
        <f t="shared" si="96"/>
        <v>8899476951</v>
      </c>
      <c r="EA240" s="1164">
        <f t="shared" si="96"/>
        <v>8819476951</v>
      </c>
      <c r="EB240" s="1164">
        <f t="shared" si="96"/>
        <v>8739476951</v>
      </c>
      <c r="EC240" s="1164">
        <f t="shared" si="96"/>
        <v>8689476951</v>
      </c>
      <c r="ED240" s="1164">
        <f t="shared" si="96"/>
        <v>8679476951</v>
      </c>
      <c r="EE240" s="1122">
        <f>EE208+EE163+EE10</f>
        <v>97339323412</v>
      </c>
      <c r="EF240" s="1007">
        <f t="shared" si="96"/>
        <v>113721344392.04001</v>
      </c>
      <c r="EG240" s="1007">
        <f t="shared" si="96"/>
        <v>122819051943.4032</v>
      </c>
      <c r="EH240" s="1007">
        <f t="shared" si="96"/>
        <v>133872766618.30948</v>
      </c>
      <c r="EI240" s="1007">
        <f t="shared" si="96"/>
        <v>145921315613.95737</v>
      </c>
      <c r="EJ240" s="367" t="e">
        <v>#N/A</v>
      </c>
    </row>
    <row r="241" spans="1:141" outlineLevel="1">
      <c r="B241" s="378"/>
      <c r="E241" s="392"/>
      <c r="F241" s="380"/>
      <c r="G241" s="180"/>
      <c r="H241" s="9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181"/>
      <c r="U241" s="180"/>
      <c r="V241" s="9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181"/>
      <c r="AI241" s="180"/>
      <c r="AJ241" s="517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521">
        <v>2491596958</v>
      </c>
      <c r="AV241" s="521">
        <v>2591596958</v>
      </c>
      <c r="AW241" s="521">
        <v>2591596958</v>
      </c>
      <c r="AX241" s="6"/>
      <c r="AY241" s="181"/>
      <c r="AZ241" s="180"/>
      <c r="BA241" s="517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N241" s="521">
        <v>2424562436</v>
      </c>
      <c r="BO241" s="521">
        <v>2424562436</v>
      </c>
      <c r="BP241" s="521">
        <v>2674562436</v>
      </c>
      <c r="BQ241" s="521">
        <v>2841969436</v>
      </c>
      <c r="BR241" s="521">
        <v>2402369229</v>
      </c>
      <c r="BS241" s="521">
        <v>2466969436</v>
      </c>
      <c r="BT241" s="521">
        <v>2536969436</v>
      </c>
      <c r="BU241" s="521">
        <v>2636969436</v>
      </c>
      <c r="BV241" s="521">
        <v>2686969436</v>
      </c>
      <c r="BW241" s="521">
        <v>2786969436</v>
      </c>
      <c r="BX241" s="521">
        <v>2686969436</v>
      </c>
      <c r="BY241" s="521">
        <v>2686969436</v>
      </c>
      <c r="BZ241" s="809"/>
      <c r="CB241" s="521"/>
      <c r="CC241" s="521"/>
      <c r="CD241" s="521"/>
      <c r="CE241" s="521"/>
      <c r="CF241" s="521"/>
      <c r="CG241" s="521"/>
      <c r="CH241" s="521"/>
      <c r="CI241" s="521"/>
      <c r="CJ241" s="521"/>
      <c r="CK241" s="521"/>
      <c r="CL241" s="521"/>
      <c r="CM241" s="521"/>
      <c r="CN241" s="522"/>
      <c r="CP241" s="521">
        <v>0</v>
      </c>
      <c r="CQ241" s="521"/>
      <c r="CR241" s="521"/>
      <c r="CS241" s="521"/>
      <c r="CT241" s="521"/>
      <c r="CU241" s="521"/>
      <c r="CV241" s="521"/>
      <c r="CW241" s="521"/>
      <c r="CX241" s="521"/>
      <c r="CY241" s="521"/>
      <c r="CZ241" s="521"/>
      <c r="DA241" s="521"/>
      <c r="DB241" s="521"/>
      <c r="DC241" s="521"/>
      <c r="DD241" s="521"/>
      <c r="DE241" s="521"/>
      <c r="DF241" s="521"/>
      <c r="DG241" s="753"/>
      <c r="DH241" s="521"/>
      <c r="DI241" s="521"/>
      <c r="DJ241" s="753"/>
      <c r="DK241" s="521"/>
      <c r="DL241" s="521"/>
      <c r="DM241" s="753"/>
      <c r="DN241" s="521"/>
      <c r="DO241" s="521"/>
      <c r="DP241" s="753"/>
      <c r="DQ241" s="495"/>
      <c r="DR241" s="506"/>
      <c r="DS241" s="1165"/>
      <c r="DT241" s="1165"/>
      <c r="DU241" s="1165"/>
      <c r="DV241" s="1165"/>
      <c r="DW241" s="1165"/>
      <c r="DX241" s="1165"/>
      <c r="DY241" s="1165"/>
      <c r="DZ241" s="1165"/>
      <c r="EA241" s="1165"/>
      <c r="EB241" s="1165"/>
      <c r="EC241" s="1165"/>
      <c r="ED241" s="1165"/>
      <c r="EE241" s="1123"/>
      <c r="EF241" s="1008"/>
      <c r="EG241" s="1008"/>
      <c r="EH241" s="1008"/>
      <c r="EI241" s="1008"/>
      <c r="EJ241" s="367" t="e">
        <v>#N/A</v>
      </c>
    </row>
    <row r="242" spans="1:141" outlineLevel="1">
      <c r="B242" s="402" t="s">
        <v>562</v>
      </c>
      <c r="C242" s="368"/>
      <c r="D242" s="368"/>
      <c r="E242" s="379"/>
      <c r="F242" s="380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6"/>
      <c r="T242" s="181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1"/>
      <c r="AI242" s="182"/>
      <c r="AJ242" s="810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181"/>
      <c r="AZ242" s="182"/>
      <c r="BA242" s="810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N242" s="470">
        <f t="shared" ref="BN242:BX242" si="97">SUM(BN244:BN272)</f>
        <v>1426365844</v>
      </c>
      <c r="BO242" s="470">
        <f t="shared" si="97"/>
        <v>1426365844</v>
      </c>
      <c r="BP242" s="470">
        <f t="shared" si="97"/>
        <v>1572965844</v>
      </c>
      <c r="BQ242" s="470">
        <f t="shared" si="97"/>
        <v>1572965844</v>
      </c>
      <c r="BR242" s="470">
        <f t="shared" si="97"/>
        <v>1489510967.4000001</v>
      </c>
      <c r="BS242" s="470">
        <f t="shared" si="97"/>
        <v>1572965844</v>
      </c>
      <c r="BT242" s="470">
        <f t="shared" si="97"/>
        <v>1628602428.4000001</v>
      </c>
      <c r="BU242" s="470">
        <f t="shared" si="97"/>
        <v>1628602428.4000001</v>
      </c>
      <c r="BV242" s="470">
        <f t="shared" si="97"/>
        <v>1628602428.4000001</v>
      </c>
      <c r="BW242" s="470">
        <f t="shared" si="97"/>
        <v>1628602428.4000001</v>
      </c>
      <c r="BX242" s="470">
        <f t="shared" si="97"/>
        <v>1628602428.4000001</v>
      </c>
      <c r="BY242" s="470">
        <f>SUM(BY244:BY272)</f>
        <v>1628602428.4000001</v>
      </c>
      <c r="BZ242" s="470">
        <f>SUM(BZ244:BZ272)</f>
        <v>18832754757.799999</v>
      </c>
      <c r="CB242" s="470">
        <f t="shared" ref="CB242:CN242" si="98">SUM(CB244:CB272)</f>
        <v>1426365844</v>
      </c>
      <c r="CC242" s="470">
        <f t="shared" si="98"/>
        <v>1426365844</v>
      </c>
      <c r="CD242" s="470">
        <f t="shared" si="98"/>
        <v>1572965844</v>
      </c>
      <c r="CE242" s="470">
        <f t="shared" si="98"/>
        <v>1572965844</v>
      </c>
      <c r="CF242" s="470">
        <f t="shared" si="98"/>
        <v>1489510967.4000001</v>
      </c>
      <c r="CG242" s="470">
        <f t="shared" si="98"/>
        <v>1572965844</v>
      </c>
      <c r="CH242" s="470">
        <f t="shared" si="98"/>
        <v>1628602428.4000001</v>
      </c>
      <c r="CI242" s="470">
        <f t="shared" si="98"/>
        <v>1628602428.4000001</v>
      </c>
      <c r="CJ242" s="470">
        <f t="shared" si="98"/>
        <v>1628602428.4000001</v>
      </c>
      <c r="CK242" s="470">
        <f t="shared" si="98"/>
        <v>1628602428.4000001</v>
      </c>
      <c r="CL242" s="470">
        <f t="shared" si="98"/>
        <v>1628602428.4000001</v>
      </c>
      <c r="CM242" s="470">
        <f t="shared" si="98"/>
        <v>1628602428.4000001</v>
      </c>
      <c r="CN242" s="470">
        <f t="shared" si="98"/>
        <v>18832754757.799999</v>
      </c>
      <c r="CP242" s="470">
        <f t="shared" ref="CP242:DP242" si="99">SUM(CP244:CP272)</f>
        <v>1505834461</v>
      </c>
      <c r="CQ242" s="470">
        <f t="shared" si="99"/>
        <v>1515123883</v>
      </c>
      <c r="CR242" s="470">
        <f t="shared" si="99"/>
        <v>1401575051</v>
      </c>
      <c r="CS242" s="470">
        <f t="shared" si="99"/>
        <v>1072705962</v>
      </c>
      <c r="CT242" s="470">
        <f t="shared" si="99"/>
        <v>1511500000</v>
      </c>
      <c r="CU242" s="470">
        <f t="shared" si="99"/>
        <v>976202565</v>
      </c>
      <c r="CV242" s="470">
        <f t="shared" si="99"/>
        <v>1381500000</v>
      </c>
      <c r="CW242" s="470">
        <f t="shared" si="99"/>
        <v>830950033</v>
      </c>
      <c r="CX242" s="470">
        <f t="shared" si="99"/>
        <v>948000000</v>
      </c>
      <c r="CY242" s="470">
        <f t="shared" si="99"/>
        <v>1317220603</v>
      </c>
      <c r="CZ242" s="470">
        <f t="shared" si="99"/>
        <v>1038000000</v>
      </c>
      <c r="DA242" s="470">
        <f t="shared" si="99"/>
        <v>862520846</v>
      </c>
      <c r="DB242" s="470">
        <f t="shared" si="99"/>
        <v>1488000000</v>
      </c>
      <c r="DC242" s="470">
        <f t="shared" si="99"/>
        <v>1167736542</v>
      </c>
      <c r="DD242" s="470">
        <f t="shared" si="99"/>
        <v>1578000000</v>
      </c>
      <c r="DE242" s="470">
        <f t="shared" si="99"/>
        <v>0</v>
      </c>
      <c r="DF242" s="470">
        <f>SUM(DF244:DF272)</f>
        <v>21613790</v>
      </c>
      <c r="DG242" s="470">
        <f t="shared" si="99"/>
        <v>1493000000</v>
      </c>
      <c r="DH242" s="470">
        <f t="shared" si="99"/>
        <v>0</v>
      </c>
      <c r="DI242" s="470">
        <f>SUM(DI244:DI272)</f>
        <v>21613790</v>
      </c>
      <c r="DJ242" s="470">
        <f t="shared" si="99"/>
        <v>1493000000</v>
      </c>
      <c r="DK242" s="470">
        <f t="shared" si="99"/>
        <v>0</v>
      </c>
      <c r="DL242" s="470">
        <f>SUM(DL244:DL272)</f>
        <v>21613790</v>
      </c>
      <c r="DM242" s="470">
        <f>SUM(DM244:DM272)</f>
        <v>1493000000</v>
      </c>
      <c r="DN242" s="470">
        <f t="shared" si="99"/>
        <v>0</v>
      </c>
      <c r="DO242" s="470">
        <f>SUM(DO244:DO272)</f>
        <v>51613790</v>
      </c>
      <c r="DP242" s="470">
        <f t="shared" si="99"/>
        <v>1473000000</v>
      </c>
      <c r="DQ242" s="470">
        <f>SUM(DQ244:DQ272)</f>
        <v>9364750055</v>
      </c>
      <c r="DR242" s="470">
        <f>SUM(DR244:DR272)</f>
        <v>15200294895</v>
      </c>
      <c r="DS242" s="1166">
        <f>SUM(DS244:DS272)</f>
        <v>1450000000</v>
      </c>
      <c r="DT242" s="1166">
        <f t="shared" ref="DT242:EI242" si="100">SUM(DT244:DT272)</f>
        <v>1460000000</v>
      </c>
      <c r="DU242" s="1166">
        <f t="shared" si="100"/>
        <v>1400000000</v>
      </c>
      <c r="DV242" s="1166">
        <f t="shared" si="100"/>
        <v>1078000000</v>
      </c>
      <c r="DW242" s="1166">
        <f t="shared" si="100"/>
        <v>1128000000</v>
      </c>
      <c r="DX242" s="1166">
        <f t="shared" si="100"/>
        <v>1440000000</v>
      </c>
      <c r="DY242" s="1166">
        <f t="shared" si="100"/>
        <v>1140000000</v>
      </c>
      <c r="DZ242" s="1166">
        <f t="shared" si="100"/>
        <v>1140000000</v>
      </c>
      <c r="EA242" s="1166">
        <f t="shared" si="100"/>
        <v>1440000000</v>
      </c>
      <c r="EB242" s="1166">
        <f t="shared" si="100"/>
        <v>1140000000</v>
      </c>
      <c r="EC242" s="1166">
        <f t="shared" si="100"/>
        <v>1140000000</v>
      </c>
      <c r="ED242" s="1166">
        <f t="shared" si="100"/>
        <v>1440000000</v>
      </c>
      <c r="EE242" s="1124">
        <f t="shared" si="100"/>
        <v>15396000000</v>
      </c>
      <c r="EF242" s="1009">
        <f t="shared" si="100"/>
        <v>17888348952.867775</v>
      </c>
      <c r="EG242" s="1009">
        <f t="shared" si="100"/>
        <v>30226010678.453247</v>
      </c>
      <c r="EH242" s="1009">
        <f t="shared" si="100"/>
        <v>42531877317.969986</v>
      </c>
      <c r="EI242" s="1009">
        <f t="shared" si="100"/>
        <v>42699965938.929985</v>
      </c>
      <c r="EJ242" s="367" t="e">
        <v>#N/A</v>
      </c>
    </row>
    <row r="243" spans="1:141" outlineLevel="2">
      <c r="A243" s="367" t="s">
        <v>159</v>
      </c>
      <c r="B243" s="378"/>
      <c r="C243" s="370" t="s">
        <v>358</v>
      </c>
      <c r="D243" s="370" t="s">
        <v>40</v>
      </c>
      <c r="E243" s="379" t="s">
        <v>563</v>
      </c>
      <c r="F243" s="380">
        <v>3000000066</v>
      </c>
      <c r="G243" s="184">
        <v>0</v>
      </c>
      <c r="H243" s="184">
        <v>0</v>
      </c>
      <c r="I243" s="184">
        <v>0</v>
      </c>
      <c r="J243" s="184">
        <v>0</v>
      </c>
      <c r="K243" s="184">
        <v>0</v>
      </c>
      <c r="L243" s="184">
        <v>0</v>
      </c>
      <c r="M243" s="184">
        <v>0</v>
      </c>
      <c r="N243" s="184">
        <v>0</v>
      </c>
      <c r="O243" s="184">
        <v>0</v>
      </c>
      <c r="P243" s="184">
        <v>0</v>
      </c>
      <c r="Q243" s="184">
        <v>0</v>
      </c>
      <c r="R243" s="184">
        <v>0</v>
      </c>
      <c r="S243" s="14">
        <f t="shared" ref="S243:S272" si="101">SUM(G243,H243,I243,J243,K243,L243,M243,N243,O243,P243,Q243,R243)</f>
        <v>0</v>
      </c>
      <c r="T243" s="179"/>
      <c r="U243" s="184">
        <v>0</v>
      </c>
      <c r="V243" s="184">
        <v>0</v>
      </c>
      <c r="W243" s="184">
        <v>0</v>
      </c>
      <c r="X243" s="184">
        <v>0</v>
      </c>
      <c r="Y243" s="184">
        <v>0</v>
      </c>
      <c r="Z243" s="184">
        <v>0</v>
      </c>
      <c r="AA243" s="184">
        <v>0</v>
      </c>
      <c r="AB243" s="184">
        <v>0</v>
      </c>
      <c r="AC243" s="184">
        <v>0</v>
      </c>
      <c r="AD243" s="184">
        <v>0</v>
      </c>
      <c r="AE243" s="184">
        <v>0</v>
      </c>
      <c r="AF243" s="184">
        <v>0</v>
      </c>
      <c r="AG243" s="759">
        <f t="shared" ref="AG243:AG272" si="102">SUM(U243,V243,W243,X243,Y243,Z243,AA243,AB243,AC243,AD243,AE243,AF243)</f>
        <v>0</v>
      </c>
      <c r="AH243" s="788"/>
      <c r="AI243" s="189"/>
      <c r="AJ243" s="810"/>
      <c r="AK243" s="758">
        <v>29100000</v>
      </c>
      <c r="AL243" s="758">
        <v>15600000</v>
      </c>
      <c r="AM243" s="758">
        <v>0</v>
      </c>
      <c r="AN243" s="758">
        <v>0</v>
      </c>
      <c r="AO243" s="758">
        <v>0</v>
      </c>
      <c r="AP243" s="758">
        <v>0</v>
      </c>
      <c r="AQ243" s="518">
        <v>0</v>
      </c>
      <c r="AR243" s="518"/>
      <c r="AS243" s="518"/>
      <c r="AT243" s="518"/>
      <c r="AU243" s="518">
        <f t="shared" ref="AU243:AW272" si="103">BI243</f>
        <v>0</v>
      </c>
      <c r="AV243" s="518">
        <f t="shared" si="103"/>
        <v>0</v>
      </c>
      <c r="AW243" s="518">
        <f t="shared" si="103"/>
        <v>0</v>
      </c>
      <c r="AX243" s="518">
        <f t="shared" ref="AX243:AX294" si="104">SUM(AI243,AJ243,AK243,AL243,AM243,AN243,AO243,AP243,AQ243,AR243,AS243,AT243)</f>
        <v>44700000</v>
      </c>
      <c r="AY243" s="788"/>
      <c r="AZ243" s="189"/>
      <c r="BA243" s="810"/>
      <c r="BB243" s="758">
        <v>29100000</v>
      </c>
      <c r="BC243" s="758">
        <v>15600000</v>
      </c>
      <c r="BD243" s="758">
        <v>0</v>
      </c>
      <c r="BE243" s="758">
        <v>0</v>
      </c>
      <c r="BF243" s="758">
        <v>0</v>
      </c>
      <c r="BG243" s="518">
        <f t="shared" ref="BG243:BG272" si="105">AP243</f>
        <v>0</v>
      </c>
      <c r="BH243" s="758">
        <v>0</v>
      </c>
      <c r="BI243" s="758">
        <v>0</v>
      </c>
      <c r="BJ243" s="758">
        <v>0</v>
      </c>
      <c r="BK243" s="758">
        <v>0</v>
      </c>
      <c r="BL243" s="759">
        <f t="shared" ref="BL243:BL248" si="106">SUM(AZ243,BA243,BB243,BC243,BD243,BE243,BF243,BG243,BH243,BI243,BJ243,BK243)</f>
        <v>44700000</v>
      </c>
      <c r="BN243" s="754">
        <v>0</v>
      </c>
      <c r="BO243" s="754">
        <v>0</v>
      </c>
      <c r="BP243" s="754">
        <v>0</v>
      </c>
      <c r="BQ243" s="754">
        <v>0</v>
      </c>
      <c r="BR243" s="754">
        <v>0</v>
      </c>
      <c r="BS243" s="754">
        <v>0</v>
      </c>
      <c r="BT243" s="754">
        <v>0</v>
      </c>
      <c r="BU243" s="754">
        <v>0</v>
      </c>
      <c r="BV243" s="754">
        <v>0</v>
      </c>
      <c r="BW243" s="754">
        <v>0</v>
      </c>
      <c r="BX243" s="754">
        <v>0</v>
      </c>
      <c r="BY243" s="754">
        <v>0</v>
      </c>
      <c r="BZ243" s="791">
        <v>0</v>
      </c>
      <c r="CB243" s="754">
        <v>0</v>
      </c>
      <c r="CC243" s="754">
        <v>0</v>
      </c>
      <c r="CD243" s="754">
        <v>0</v>
      </c>
      <c r="CE243" s="754">
        <v>0</v>
      </c>
      <c r="CF243" s="754">
        <v>0</v>
      </c>
      <c r="CG243" s="754">
        <v>0</v>
      </c>
      <c r="CH243" s="754">
        <v>0</v>
      </c>
      <c r="CI243" s="754">
        <v>0</v>
      </c>
      <c r="CJ243" s="754">
        <v>0</v>
      </c>
      <c r="CK243" s="754">
        <v>0</v>
      </c>
      <c r="CL243" s="754">
        <v>0</v>
      </c>
      <c r="CM243" s="754">
        <v>0</v>
      </c>
      <c r="CN243" s="791">
        <v>0</v>
      </c>
      <c r="CP243" s="650"/>
      <c r="CQ243" s="650"/>
      <c r="CR243" s="522"/>
      <c r="CS243" s="650"/>
      <c r="CT243" s="522"/>
      <c r="CU243" s="650"/>
      <c r="CV243" s="522"/>
      <c r="CW243" s="650"/>
      <c r="CX243" s="522"/>
      <c r="CY243" s="650"/>
      <c r="CZ243" s="522"/>
      <c r="DA243" s="650"/>
      <c r="DB243" s="522"/>
      <c r="DC243" s="650">
        <v>0</v>
      </c>
      <c r="DD243" s="522"/>
      <c r="DE243" s="754"/>
      <c r="DF243" s="522"/>
      <c r="DG243" s="471"/>
      <c r="DH243" s="754"/>
      <c r="DI243" s="522"/>
      <c r="DJ243" s="471"/>
      <c r="DK243" s="754"/>
      <c r="DL243" s="522"/>
      <c r="DM243" s="471"/>
      <c r="DN243" s="754"/>
      <c r="DO243" s="522"/>
      <c r="DP243" s="471"/>
      <c r="DQ243" s="493">
        <f>SUM(CP243,CQ243,CS243,CU243,CW243,CY243,DA243,DC243,DF243,DI243,DL243,DO243)</f>
        <v>0</v>
      </c>
      <c r="DR243" s="479">
        <f t="shared" ref="DR243:DR272" si="107">SUM(CP243,CQ243,CS243,CU243,CW243,CY243,DA243,DC243,DG243,DJ243,DM243,DP243)</f>
        <v>0</v>
      </c>
      <c r="DS243" s="1019"/>
      <c r="DT243" s="1019"/>
      <c r="DU243" s="1019"/>
      <c r="DV243" s="1019"/>
      <c r="DW243" s="1019"/>
      <c r="DX243" s="1019"/>
      <c r="DY243" s="1019"/>
      <c r="DZ243" s="1019"/>
      <c r="EA243" s="1019"/>
      <c r="EB243" s="1019"/>
      <c r="EC243" s="1019"/>
      <c r="ED243" s="1019"/>
      <c r="EE243" s="1119">
        <f>SUM(DS243,DT243,DU243,DV243,DW243,DX243,DY243,DZ243,EA243,EB243,EC243,ED243)</f>
        <v>0</v>
      </c>
      <c r="EF243" s="443">
        <f t="shared" ref="EF243:EF272" si="108">EE243*1.17</f>
        <v>0</v>
      </c>
      <c r="EG243" s="443">
        <f>EF243*1.08</f>
        <v>0</v>
      </c>
      <c r="EH243" s="443">
        <f>EG243*1.09</f>
        <v>0</v>
      </c>
      <c r="EI243" s="443">
        <f>EH243*1.09</f>
        <v>0</v>
      </c>
      <c r="EJ243" s="367">
        <v>3000000066</v>
      </c>
    </row>
    <row r="244" spans="1:141" outlineLevel="2">
      <c r="A244" s="367" t="s">
        <v>159</v>
      </c>
      <c r="B244" s="378"/>
      <c r="C244" s="370" t="s">
        <v>358</v>
      </c>
      <c r="D244" s="370" t="s">
        <v>40</v>
      </c>
      <c r="E244" s="387" t="s">
        <v>161</v>
      </c>
      <c r="F244" s="380">
        <v>3000000144</v>
      </c>
      <c r="G244" s="184">
        <v>0</v>
      </c>
      <c r="H244" s="184">
        <v>0</v>
      </c>
      <c r="I244" s="184">
        <v>0</v>
      </c>
      <c r="J244" s="184">
        <v>0</v>
      </c>
      <c r="K244" s="184">
        <v>0</v>
      </c>
      <c r="L244" s="184">
        <v>0</v>
      </c>
      <c r="M244" s="184">
        <v>0</v>
      </c>
      <c r="N244" s="184">
        <v>0</v>
      </c>
      <c r="O244" s="184">
        <v>0</v>
      </c>
      <c r="P244" s="184">
        <v>0</v>
      </c>
      <c r="Q244" s="184">
        <v>0</v>
      </c>
      <c r="R244" s="184">
        <v>0</v>
      </c>
      <c r="S244" s="14">
        <f t="shared" si="101"/>
        <v>0</v>
      </c>
      <c r="T244" s="15"/>
      <c r="U244" s="184">
        <v>0</v>
      </c>
      <c r="V244" s="184">
        <v>0</v>
      </c>
      <c r="W244" s="184">
        <v>0</v>
      </c>
      <c r="X244" s="184">
        <v>0</v>
      </c>
      <c r="Y244" s="184">
        <v>0</v>
      </c>
      <c r="Z244" s="184">
        <v>0</v>
      </c>
      <c r="AA244" s="184">
        <v>0</v>
      </c>
      <c r="AB244" s="184">
        <v>0</v>
      </c>
      <c r="AC244" s="184">
        <v>0</v>
      </c>
      <c r="AD244" s="184">
        <v>0</v>
      </c>
      <c r="AE244" s="184">
        <v>0</v>
      </c>
      <c r="AF244" s="184">
        <v>0</v>
      </c>
      <c r="AG244" s="759">
        <f t="shared" si="102"/>
        <v>0</v>
      </c>
      <c r="AH244" s="811"/>
      <c r="AI244" s="812">
        <v>88672038</v>
      </c>
      <c r="AJ244" s="810"/>
      <c r="AK244" s="758">
        <v>0</v>
      </c>
      <c r="AL244" s="758">
        <v>0</v>
      </c>
      <c r="AM244" s="758">
        <v>0</v>
      </c>
      <c r="AN244" s="758">
        <v>101250955</v>
      </c>
      <c r="AO244" s="758">
        <v>50079575</v>
      </c>
      <c r="AP244" s="758">
        <v>2491879</v>
      </c>
      <c r="AQ244" s="518">
        <v>38176489</v>
      </c>
      <c r="AR244" s="813">
        <v>0</v>
      </c>
      <c r="AS244" s="813">
        <v>66464619</v>
      </c>
      <c r="AT244" s="813">
        <v>0</v>
      </c>
      <c r="AU244" s="518">
        <f t="shared" si="103"/>
        <v>75000000</v>
      </c>
      <c r="AV244" s="518">
        <f t="shared" si="103"/>
        <v>80000000</v>
      </c>
      <c r="AW244" s="518">
        <f t="shared" si="103"/>
        <v>80000000</v>
      </c>
      <c r="AX244" s="518">
        <f t="shared" si="104"/>
        <v>347135555</v>
      </c>
      <c r="AY244" s="811"/>
      <c r="AZ244" s="812">
        <v>88672038</v>
      </c>
      <c r="BA244" s="810"/>
      <c r="BB244" s="758">
        <v>0</v>
      </c>
      <c r="BC244" s="758">
        <v>0</v>
      </c>
      <c r="BD244" s="758">
        <v>0</v>
      </c>
      <c r="BE244" s="758">
        <v>101250955</v>
      </c>
      <c r="BF244" s="758">
        <v>50079575</v>
      </c>
      <c r="BG244" s="518">
        <f t="shared" si="105"/>
        <v>2491879</v>
      </c>
      <c r="BH244" s="758">
        <v>70000000</v>
      </c>
      <c r="BI244" s="758">
        <v>75000000</v>
      </c>
      <c r="BJ244" s="758">
        <v>80000000</v>
      </c>
      <c r="BK244" s="758">
        <v>80000000</v>
      </c>
      <c r="BL244" s="759">
        <f t="shared" si="106"/>
        <v>547494447</v>
      </c>
      <c r="BN244" s="754">
        <v>80000000</v>
      </c>
      <c r="BO244" s="754">
        <v>80000000</v>
      </c>
      <c r="BP244" s="754">
        <v>80000000</v>
      </c>
      <c r="BQ244" s="754">
        <v>80000000</v>
      </c>
      <c r="BR244" s="754">
        <v>68000000</v>
      </c>
      <c r="BS244" s="754">
        <v>80000000</v>
      </c>
      <c r="BT244" s="754">
        <v>88000000</v>
      </c>
      <c r="BU244" s="754">
        <v>88000000</v>
      </c>
      <c r="BV244" s="754">
        <v>88000000</v>
      </c>
      <c r="BW244" s="754">
        <v>88000000</v>
      </c>
      <c r="BX244" s="754">
        <v>88000000</v>
      </c>
      <c r="BY244" s="754">
        <v>88000000</v>
      </c>
      <c r="BZ244" s="791">
        <v>996000000</v>
      </c>
      <c r="CB244" s="754">
        <v>80000000</v>
      </c>
      <c r="CC244" s="754">
        <v>80000000</v>
      </c>
      <c r="CD244" s="754">
        <v>80000000</v>
      </c>
      <c r="CE244" s="754">
        <v>80000000</v>
      </c>
      <c r="CF244" s="754">
        <v>68000000</v>
      </c>
      <c r="CG244" s="754">
        <v>80000000</v>
      </c>
      <c r="CH244" s="754">
        <v>88000000</v>
      </c>
      <c r="CI244" s="754">
        <v>88000000</v>
      </c>
      <c r="CJ244" s="754">
        <v>88000000</v>
      </c>
      <c r="CK244" s="754">
        <v>88000000</v>
      </c>
      <c r="CL244" s="754">
        <v>88000000</v>
      </c>
      <c r="CM244" s="754">
        <v>88000000</v>
      </c>
      <c r="CN244" s="791">
        <v>996000000</v>
      </c>
      <c r="CP244" s="650">
        <v>64361076</v>
      </c>
      <c r="CQ244" s="650"/>
      <c r="CR244" s="522">
        <v>50000000</v>
      </c>
      <c r="CS244" s="650"/>
      <c r="CT244" s="522">
        <f>CR244</f>
        <v>50000000</v>
      </c>
      <c r="CU244" s="650">
        <v>24928774</v>
      </c>
      <c r="CV244" s="522">
        <v>20000000</v>
      </c>
      <c r="CW244" s="650">
        <v>120688802</v>
      </c>
      <c r="CX244" s="522">
        <v>30000000</v>
      </c>
      <c r="CY244" s="650"/>
      <c r="CZ244" s="522">
        <v>50000000</v>
      </c>
      <c r="DA244" s="650"/>
      <c r="DB244" s="522">
        <f>CZ244</f>
        <v>50000000</v>
      </c>
      <c r="DC244" s="650">
        <v>0</v>
      </c>
      <c r="DD244" s="522">
        <f>DB244</f>
        <v>50000000</v>
      </c>
      <c r="DE244" s="518"/>
      <c r="DF244" s="522">
        <f>DE244</f>
        <v>0</v>
      </c>
      <c r="DG244" s="471">
        <f>DD244</f>
        <v>50000000</v>
      </c>
      <c r="DH244" s="518"/>
      <c r="DI244" s="522">
        <f>DH244</f>
        <v>0</v>
      </c>
      <c r="DJ244" s="471">
        <f>DG244</f>
        <v>50000000</v>
      </c>
      <c r="DK244" s="518"/>
      <c r="DL244" s="522">
        <f>DK244</f>
        <v>0</v>
      </c>
      <c r="DM244" s="471">
        <f>DJ244</f>
        <v>50000000</v>
      </c>
      <c r="DN244" s="518"/>
      <c r="DO244" s="522">
        <v>30000000</v>
      </c>
      <c r="DP244" s="471">
        <v>30000000</v>
      </c>
      <c r="DQ244" s="493">
        <f>SUM(CP244,CQ244,CS244,CU244,CW244,CY244,DA244,DC244,DF244,DI244,DL244,DO244)</f>
        <v>239978652</v>
      </c>
      <c r="DR244" s="479">
        <f t="shared" si="107"/>
        <v>389978652</v>
      </c>
      <c r="DS244" s="1019">
        <v>20000000</v>
      </c>
      <c r="DT244" s="1019">
        <v>30000000</v>
      </c>
      <c r="DU244" s="1019">
        <v>20000000</v>
      </c>
      <c r="DV244" s="1019">
        <v>10000000</v>
      </c>
      <c r="DW244" s="1019">
        <v>60000000</v>
      </c>
      <c r="DX244" s="1019">
        <v>60000000</v>
      </c>
      <c r="DY244" s="1019">
        <v>60000000</v>
      </c>
      <c r="DZ244" s="1019">
        <v>60000000</v>
      </c>
      <c r="EA244" s="1019">
        <v>60000000</v>
      </c>
      <c r="EB244" s="1019">
        <v>60000000</v>
      </c>
      <c r="EC244" s="1019">
        <v>60000000</v>
      </c>
      <c r="ED244" s="1019">
        <v>60000000</v>
      </c>
      <c r="EE244" s="1119">
        <f t="shared" ref="EE244:EE294" si="109">SUM(DS244,DT244,DU244,DV244,DW244,DX244,DY244,DZ244,EA244,EB244,EC244,ED244)</f>
        <v>560000000</v>
      </c>
      <c r="EF244" s="443">
        <f t="shared" si="108"/>
        <v>655200000</v>
      </c>
      <c r="EG244" s="443">
        <f>EF244*1.08</f>
        <v>707616000</v>
      </c>
      <c r="EH244" s="443">
        <v>2000000000</v>
      </c>
      <c r="EI244" s="443">
        <v>2000000000</v>
      </c>
      <c r="EJ244" s="367">
        <v>3000000144</v>
      </c>
    </row>
    <row r="245" spans="1:141" outlineLevel="2">
      <c r="A245" s="367" t="s">
        <v>159</v>
      </c>
      <c r="B245" s="378"/>
      <c r="C245" s="370" t="s">
        <v>358</v>
      </c>
      <c r="D245" s="370" t="s">
        <v>40</v>
      </c>
      <c r="E245" s="383" t="s">
        <v>44</v>
      </c>
      <c r="F245" s="380">
        <v>3000014429</v>
      </c>
      <c r="G245" s="184">
        <v>0</v>
      </c>
      <c r="H245" s="184">
        <v>0</v>
      </c>
      <c r="I245" s="184">
        <v>0</v>
      </c>
      <c r="J245" s="184">
        <v>0</v>
      </c>
      <c r="K245" s="184">
        <v>0</v>
      </c>
      <c r="L245" s="184">
        <v>0</v>
      </c>
      <c r="M245" s="184">
        <v>0</v>
      </c>
      <c r="N245" s="184">
        <v>0</v>
      </c>
      <c r="O245" s="184">
        <v>0</v>
      </c>
      <c r="P245" s="184">
        <v>0</v>
      </c>
      <c r="Q245" s="184">
        <v>0</v>
      </c>
      <c r="R245" s="184">
        <v>0</v>
      </c>
      <c r="S245" s="14">
        <f>SUM(G245,H245,I245,J245,K245,L245,M245,N245,O245,P245,Q245,R245)</f>
        <v>0</v>
      </c>
      <c r="T245" s="179"/>
      <c r="U245" s="184">
        <v>0</v>
      </c>
      <c r="V245" s="184">
        <v>0</v>
      </c>
      <c r="W245" s="184">
        <v>0</v>
      </c>
      <c r="X245" s="184">
        <v>0</v>
      </c>
      <c r="Y245" s="184">
        <v>0</v>
      </c>
      <c r="Z245" s="184">
        <v>0</v>
      </c>
      <c r="AA245" s="184">
        <v>0</v>
      </c>
      <c r="AB245" s="184">
        <v>0</v>
      </c>
      <c r="AC245" s="184">
        <v>0</v>
      </c>
      <c r="AD245" s="184">
        <v>0</v>
      </c>
      <c r="AE245" s="184">
        <v>0</v>
      </c>
      <c r="AF245" s="184">
        <v>0</v>
      </c>
      <c r="AG245" s="759">
        <f>SUM(U245,V245,W245,X245,Y245,Z245,AA245,AB245,AC245,AD245,AE245,AF245)</f>
        <v>0</v>
      </c>
      <c r="AH245" s="788"/>
      <c r="AI245" s="180"/>
      <c r="AJ245" s="810"/>
      <c r="AK245" s="6"/>
      <c r="AL245" s="6"/>
      <c r="AM245" s="6"/>
      <c r="AN245" s="6"/>
      <c r="AO245" s="6"/>
      <c r="AP245" s="758">
        <v>3265500</v>
      </c>
      <c r="AQ245" s="518">
        <v>0</v>
      </c>
      <c r="AR245" s="518"/>
      <c r="AS245" s="518"/>
      <c r="AT245" s="518"/>
      <c r="AU245" s="518">
        <f>BI245</f>
        <v>0</v>
      </c>
      <c r="AV245" s="518">
        <f>BJ245</f>
        <v>0</v>
      </c>
      <c r="AW245" s="518">
        <f>BK245</f>
        <v>0</v>
      </c>
      <c r="AX245" s="518">
        <f>SUM(AI245,AJ245,AK245,AL245,AM245,AN245,AO245,AP245,AQ245,AR245,AS245,AT245)</f>
        <v>3265500</v>
      </c>
      <c r="AY245" s="788"/>
      <c r="AZ245" s="180"/>
      <c r="BA245" s="810"/>
      <c r="BB245" s="6"/>
      <c r="BC245" s="6"/>
      <c r="BD245" s="6"/>
      <c r="BE245" s="6"/>
      <c r="BF245" s="6"/>
      <c r="BG245" s="518">
        <f>AP245</f>
        <v>3265500</v>
      </c>
      <c r="BH245" s="758">
        <v>0</v>
      </c>
      <c r="BI245" s="758">
        <v>0</v>
      </c>
      <c r="BJ245" s="758">
        <v>0</v>
      </c>
      <c r="BK245" s="758">
        <v>0</v>
      </c>
      <c r="BL245" s="759">
        <f t="shared" si="106"/>
        <v>3265500</v>
      </c>
      <c r="BN245" s="754">
        <v>5000000</v>
      </c>
      <c r="BO245" s="754">
        <v>5000000</v>
      </c>
      <c r="BP245" s="754">
        <v>5000000</v>
      </c>
      <c r="BQ245" s="754">
        <v>5000000</v>
      </c>
      <c r="BR245" s="754">
        <v>4250000</v>
      </c>
      <c r="BS245" s="754">
        <v>5000000</v>
      </c>
      <c r="BT245" s="754">
        <v>5500000</v>
      </c>
      <c r="BU245" s="754">
        <v>5500000</v>
      </c>
      <c r="BV245" s="754">
        <v>5500000</v>
      </c>
      <c r="BW245" s="754">
        <v>5500000</v>
      </c>
      <c r="BX245" s="754">
        <v>5500000</v>
      </c>
      <c r="BY245" s="754">
        <v>5500000</v>
      </c>
      <c r="BZ245" s="791">
        <v>62250000</v>
      </c>
      <c r="CB245" s="754">
        <v>5000000</v>
      </c>
      <c r="CC245" s="754">
        <v>5000000</v>
      </c>
      <c r="CD245" s="754">
        <v>5000000</v>
      </c>
      <c r="CE245" s="754">
        <v>5000000</v>
      </c>
      <c r="CF245" s="754">
        <v>4250000</v>
      </c>
      <c r="CG245" s="754">
        <v>5000000</v>
      </c>
      <c r="CH245" s="754">
        <v>5500000</v>
      </c>
      <c r="CI245" s="754">
        <v>5500000</v>
      </c>
      <c r="CJ245" s="754">
        <v>5500000</v>
      </c>
      <c r="CK245" s="754">
        <v>5500000</v>
      </c>
      <c r="CL245" s="754">
        <v>5500000</v>
      </c>
      <c r="CM245" s="754">
        <v>5500000</v>
      </c>
      <c r="CN245" s="791">
        <v>62250000</v>
      </c>
      <c r="CP245" s="650"/>
      <c r="CQ245" s="650"/>
      <c r="CR245" s="522"/>
      <c r="CS245" s="650"/>
      <c r="CT245" s="522"/>
      <c r="CU245" s="650"/>
      <c r="CV245" s="522"/>
      <c r="CW245" s="650"/>
      <c r="CX245" s="522"/>
      <c r="CY245" s="650"/>
      <c r="CZ245" s="522">
        <v>5000000</v>
      </c>
      <c r="DA245" s="650"/>
      <c r="DB245" s="522">
        <f>CZ245</f>
        <v>5000000</v>
      </c>
      <c r="DC245" s="650">
        <v>0</v>
      </c>
      <c r="DD245" s="522">
        <f>DB245</f>
        <v>5000000</v>
      </c>
      <c r="DE245" s="754"/>
      <c r="DF245" s="522">
        <f>DE245</f>
        <v>0</v>
      </c>
      <c r="DG245" s="471">
        <f>DD245</f>
        <v>5000000</v>
      </c>
      <c r="DH245" s="754"/>
      <c r="DI245" s="522">
        <f>DH245</f>
        <v>0</v>
      </c>
      <c r="DJ245" s="471">
        <f>DG245</f>
        <v>5000000</v>
      </c>
      <c r="DK245" s="754"/>
      <c r="DL245" s="522">
        <f>DK245</f>
        <v>0</v>
      </c>
      <c r="DM245" s="471">
        <f>DJ245</f>
        <v>5000000</v>
      </c>
      <c r="DN245" s="754"/>
      <c r="DO245" s="522">
        <f>DN245</f>
        <v>0</v>
      </c>
      <c r="DP245" s="471">
        <f>DM245</f>
        <v>5000000</v>
      </c>
      <c r="DQ245" s="493">
        <f t="shared" ref="DQ245:DQ294" si="110">SUM(CP245,CQ245,CS245,CU245,CW245,CY245,DA245,DC245,DF245,DI245,DL245,DO245)</f>
        <v>0</v>
      </c>
      <c r="DR245" s="479">
        <f t="shared" si="107"/>
        <v>20000000</v>
      </c>
      <c r="DS245" s="1019"/>
      <c r="DT245" s="1019"/>
      <c r="DU245" s="1019"/>
      <c r="DV245" s="1019"/>
      <c r="DW245" s="1019"/>
      <c r="DX245" s="1019"/>
      <c r="DY245" s="1019"/>
      <c r="DZ245" s="1019"/>
      <c r="EA245" s="1019"/>
      <c r="EB245" s="1019"/>
      <c r="EC245" s="1019"/>
      <c r="ED245" s="1019"/>
      <c r="EE245" s="1119">
        <f t="shared" si="109"/>
        <v>0</v>
      </c>
      <c r="EF245" s="443">
        <f>EE245*1.17</f>
        <v>0</v>
      </c>
      <c r="EG245" s="443">
        <f>EF245*1.08</f>
        <v>0</v>
      </c>
      <c r="EH245" s="443">
        <f>EG245*1.09</f>
        <v>0</v>
      </c>
      <c r="EI245" s="443">
        <f>EH245*1.09</f>
        <v>0</v>
      </c>
      <c r="EJ245" s="367">
        <v>3000014429</v>
      </c>
    </row>
    <row r="246" spans="1:141" outlineLevel="2">
      <c r="A246" s="367" t="s">
        <v>159</v>
      </c>
      <c r="B246" s="378"/>
      <c r="C246" s="370" t="s">
        <v>358</v>
      </c>
      <c r="D246" s="370" t="s">
        <v>40</v>
      </c>
      <c r="E246" s="379" t="s">
        <v>46</v>
      </c>
      <c r="F246" s="380">
        <v>3000007157</v>
      </c>
      <c r="G246" s="184">
        <v>0</v>
      </c>
      <c r="H246" s="184">
        <v>0</v>
      </c>
      <c r="I246" s="184">
        <v>0</v>
      </c>
      <c r="J246" s="184">
        <v>0</v>
      </c>
      <c r="K246" s="184">
        <v>0</v>
      </c>
      <c r="L246" s="184">
        <v>0</v>
      </c>
      <c r="M246" s="184">
        <v>0</v>
      </c>
      <c r="N246" s="184">
        <v>0</v>
      </c>
      <c r="O246" s="184">
        <v>0</v>
      </c>
      <c r="P246" s="184">
        <v>0</v>
      </c>
      <c r="Q246" s="184">
        <v>0</v>
      </c>
      <c r="R246" s="184">
        <v>0</v>
      </c>
      <c r="S246" s="14">
        <f t="shared" si="101"/>
        <v>0</v>
      </c>
      <c r="T246" s="179"/>
      <c r="U246" s="184">
        <v>0</v>
      </c>
      <c r="V246" s="184">
        <v>0</v>
      </c>
      <c r="W246" s="184">
        <v>0</v>
      </c>
      <c r="X246" s="184">
        <v>0</v>
      </c>
      <c r="Y246" s="184">
        <v>0</v>
      </c>
      <c r="Z246" s="184">
        <v>0</v>
      </c>
      <c r="AA246" s="184">
        <v>0</v>
      </c>
      <c r="AB246" s="184">
        <v>0</v>
      </c>
      <c r="AC246" s="184">
        <v>10400000</v>
      </c>
      <c r="AD246" s="184">
        <v>11160000</v>
      </c>
      <c r="AE246" s="184">
        <v>-21560000</v>
      </c>
      <c r="AF246" s="184">
        <v>0</v>
      </c>
      <c r="AG246" s="759">
        <f t="shared" si="102"/>
        <v>0</v>
      </c>
      <c r="AH246" s="788"/>
      <c r="AI246" s="180"/>
      <c r="AJ246" s="810">
        <v>24050000</v>
      </c>
      <c r="AK246" s="758">
        <v>20350000</v>
      </c>
      <c r="AL246" s="758">
        <v>21010000</v>
      </c>
      <c r="AM246" s="758">
        <v>34220000</v>
      </c>
      <c r="AN246" s="758">
        <v>15540000</v>
      </c>
      <c r="AO246" s="758">
        <v>3200000</v>
      </c>
      <c r="AP246" s="758">
        <v>23510000</v>
      </c>
      <c r="AQ246" s="518">
        <v>30090000</v>
      </c>
      <c r="AR246" s="813">
        <v>12680000</v>
      </c>
      <c r="AS246" s="813">
        <v>10320000</v>
      </c>
      <c r="AT246" s="813">
        <v>46130000</v>
      </c>
      <c r="AU246" s="518">
        <f t="shared" si="103"/>
        <v>15000000</v>
      </c>
      <c r="AV246" s="518">
        <f t="shared" si="103"/>
        <v>15000000</v>
      </c>
      <c r="AW246" s="518">
        <f t="shared" si="103"/>
        <v>10000000</v>
      </c>
      <c r="AX246" s="518">
        <f t="shared" si="104"/>
        <v>241100000</v>
      </c>
      <c r="AY246" s="788"/>
      <c r="AZ246" s="180"/>
      <c r="BA246" s="810">
        <v>24050000</v>
      </c>
      <c r="BB246" s="758">
        <v>20350000</v>
      </c>
      <c r="BC246" s="758">
        <v>21010000</v>
      </c>
      <c r="BD246" s="758">
        <v>34220000</v>
      </c>
      <c r="BE246" s="758">
        <v>15540000</v>
      </c>
      <c r="BF246" s="758">
        <v>3200000</v>
      </c>
      <c r="BG246" s="518">
        <f t="shared" si="105"/>
        <v>23510000</v>
      </c>
      <c r="BH246" s="758">
        <v>10000000</v>
      </c>
      <c r="BI246" s="758">
        <v>15000000</v>
      </c>
      <c r="BJ246" s="758">
        <v>15000000</v>
      </c>
      <c r="BK246" s="758">
        <v>10000000</v>
      </c>
      <c r="BL246" s="759">
        <f t="shared" si="106"/>
        <v>191880000</v>
      </c>
      <c r="BN246" s="754">
        <v>15000000</v>
      </c>
      <c r="BO246" s="754">
        <v>15000000</v>
      </c>
      <c r="BP246" s="754">
        <v>15000000</v>
      </c>
      <c r="BQ246" s="754">
        <v>15000000</v>
      </c>
      <c r="BR246" s="754">
        <v>12750000</v>
      </c>
      <c r="BS246" s="754">
        <v>15000000</v>
      </c>
      <c r="BT246" s="754">
        <v>16500000.000000002</v>
      </c>
      <c r="BU246" s="754">
        <v>16500000.000000002</v>
      </c>
      <c r="BV246" s="754">
        <v>16500000.000000002</v>
      </c>
      <c r="BW246" s="754">
        <v>16500000.000000002</v>
      </c>
      <c r="BX246" s="754">
        <v>16500000.000000002</v>
      </c>
      <c r="BY246" s="754">
        <v>16500000.000000002</v>
      </c>
      <c r="BZ246" s="791">
        <v>186750000</v>
      </c>
      <c r="CB246" s="754">
        <v>15000000</v>
      </c>
      <c r="CC246" s="754">
        <v>15000000</v>
      </c>
      <c r="CD246" s="754">
        <v>15000000</v>
      </c>
      <c r="CE246" s="754">
        <v>15000000</v>
      </c>
      <c r="CF246" s="754">
        <v>12750000</v>
      </c>
      <c r="CG246" s="754">
        <v>15000000</v>
      </c>
      <c r="CH246" s="754">
        <v>16500000.000000002</v>
      </c>
      <c r="CI246" s="754">
        <v>16500000.000000002</v>
      </c>
      <c r="CJ246" s="754">
        <v>16500000.000000002</v>
      </c>
      <c r="CK246" s="754">
        <v>16500000.000000002</v>
      </c>
      <c r="CL246" s="754">
        <v>16500000.000000002</v>
      </c>
      <c r="CM246" s="754">
        <v>16500000.000000002</v>
      </c>
      <c r="CN246" s="791">
        <v>186750000</v>
      </c>
      <c r="CP246" s="650">
        <v>17360000</v>
      </c>
      <c r="CQ246" s="650">
        <v>2170000</v>
      </c>
      <c r="CR246" s="522">
        <v>20000000</v>
      </c>
      <c r="CS246" s="650"/>
      <c r="CT246" s="522">
        <v>20000000</v>
      </c>
      <c r="CU246" s="650"/>
      <c r="CV246" s="522">
        <v>10000000</v>
      </c>
      <c r="CW246" s="650"/>
      <c r="CX246" s="522">
        <f>CV246</f>
        <v>10000000</v>
      </c>
      <c r="CY246" s="650"/>
      <c r="CZ246" s="522">
        <f>CX246</f>
        <v>10000000</v>
      </c>
      <c r="DA246" s="650"/>
      <c r="DB246" s="522">
        <v>10000000</v>
      </c>
      <c r="DC246" s="650">
        <v>0</v>
      </c>
      <c r="DD246" s="522">
        <v>10000000</v>
      </c>
      <c r="DE246" s="522"/>
      <c r="DF246" s="522">
        <v>10000000</v>
      </c>
      <c r="DG246" s="471">
        <v>10000000</v>
      </c>
      <c r="DH246" s="522"/>
      <c r="DI246" s="522">
        <v>10000000</v>
      </c>
      <c r="DJ246" s="471">
        <v>10000000</v>
      </c>
      <c r="DK246" s="522"/>
      <c r="DL246" s="522">
        <v>10000000</v>
      </c>
      <c r="DM246" s="471">
        <v>10000000</v>
      </c>
      <c r="DN246" s="522"/>
      <c r="DO246" s="522">
        <v>10000000</v>
      </c>
      <c r="DP246" s="471">
        <v>10000000</v>
      </c>
      <c r="DQ246" s="493">
        <f t="shared" si="110"/>
        <v>59530000</v>
      </c>
      <c r="DR246" s="479">
        <f t="shared" si="107"/>
        <v>59530000</v>
      </c>
      <c r="DS246" s="1019"/>
      <c r="DT246" s="1019"/>
      <c r="DU246" s="1019"/>
      <c r="DV246" s="1019"/>
      <c r="DW246" s="1019"/>
      <c r="DX246" s="1019"/>
      <c r="DY246" s="1019"/>
      <c r="DZ246" s="1019"/>
      <c r="EA246" s="1019"/>
      <c r="EB246" s="1019"/>
      <c r="EC246" s="1019"/>
      <c r="ED246" s="1019"/>
      <c r="EE246" s="1119">
        <f t="shared" si="109"/>
        <v>0</v>
      </c>
      <c r="EF246" s="443">
        <f t="shared" si="108"/>
        <v>0</v>
      </c>
      <c r="EG246" s="443">
        <f>EF246*1.08</f>
        <v>0</v>
      </c>
      <c r="EH246" s="443">
        <f>EG246*1.09</f>
        <v>0</v>
      </c>
      <c r="EI246" s="443">
        <f>EH246*1.09</f>
        <v>0</v>
      </c>
      <c r="EJ246" s="367">
        <v>3000007157</v>
      </c>
    </row>
    <row r="247" spans="1:141" outlineLevel="2">
      <c r="A247" s="367" t="s">
        <v>159</v>
      </c>
      <c r="B247" s="378"/>
      <c r="C247" s="370" t="s">
        <v>358</v>
      </c>
      <c r="D247" s="370" t="s">
        <v>40</v>
      </c>
      <c r="E247" s="379" t="s">
        <v>48</v>
      </c>
      <c r="F247" s="380">
        <v>3000016576</v>
      </c>
      <c r="G247" s="184">
        <v>0</v>
      </c>
      <c r="H247" s="184">
        <v>0</v>
      </c>
      <c r="I247" s="184">
        <v>0</v>
      </c>
      <c r="J247" s="184">
        <v>0</v>
      </c>
      <c r="K247" s="184">
        <v>0</v>
      </c>
      <c r="L247" s="184">
        <v>0</v>
      </c>
      <c r="M247" s="184">
        <v>0</v>
      </c>
      <c r="N247" s="184">
        <v>0</v>
      </c>
      <c r="O247" s="184">
        <v>0</v>
      </c>
      <c r="P247" s="184">
        <v>0</v>
      </c>
      <c r="Q247" s="184">
        <v>0</v>
      </c>
      <c r="R247" s="184">
        <v>0</v>
      </c>
      <c r="S247" s="14">
        <f t="shared" si="101"/>
        <v>0</v>
      </c>
      <c r="T247" s="179"/>
      <c r="U247" s="184">
        <v>0</v>
      </c>
      <c r="V247" s="184">
        <v>0</v>
      </c>
      <c r="W247" s="184">
        <v>0</v>
      </c>
      <c r="X247" s="184">
        <v>0</v>
      </c>
      <c r="Y247" s="184">
        <v>0</v>
      </c>
      <c r="Z247" s="184">
        <v>0</v>
      </c>
      <c r="AA247" s="184">
        <v>0</v>
      </c>
      <c r="AB247" s="184">
        <v>0</v>
      </c>
      <c r="AC247" s="184">
        <v>659250000</v>
      </c>
      <c r="AD247" s="184">
        <v>-527650000</v>
      </c>
      <c r="AE247" s="184">
        <v>-131600000</v>
      </c>
      <c r="AF247" s="184">
        <v>0</v>
      </c>
      <c r="AG247" s="759">
        <f t="shared" si="102"/>
        <v>0</v>
      </c>
      <c r="AH247" s="788"/>
      <c r="AI247" s="814">
        <v>355350000</v>
      </c>
      <c r="AJ247" s="810">
        <v>631900000</v>
      </c>
      <c r="AK247" s="758">
        <v>820100000</v>
      </c>
      <c r="AL247" s="758">
        <v>420784211</v>
      </c>
      <c r="AM247" s="758">
        <v>337590000</v>
      </c>
      <c r="AN247" s="758">
        <v>608900000</v>
      </c>
      <c r="AO247" s="758">
        <v>900215000</v>
      </c>
      <c r="AP247" s="758">
        <v>960555000</v>
      </c>
      <c r="AQ247" s="518">
        <v>912990000</v>
      </c>
      <c r="AR247" s="813">
        <v>767590000</v>
      </c>
      <c r="AS247" s="813">
        <v>854925000</v>
      </c>
      <c r="AT247" s="813">
        <v>1094045000</v>
      </c>
      <c r="AU247" s="518">
        <f t="shared" si="103"/>
        <v>1000000000</v>
      </c>
      <c r="AV247" s="518">
        <f t="shared" si="103"/>
        <v>1000000000</v>
      </c>
      <c r="AW247" s="518">
        <f t="shared" si="103"/>
        <v>900000000</v>
      </c>
      <c r="AX247" s="518">
        <f t="shared" si="104"/>
        <v>8664944211</v>
      </c>
      <c r="AY247" s="788"/>
      <c r="AZ247" s="814">
        <v>355350000</v>
      </c>
      <c r="BA247" s="810">
        <v>631900000</v>
      </c>
      <c r="BB247" s="758">
        <v>820100000</v>
      </c>
      <c r="BC247" s="758">
        <v>420784211</v>
      </c>
      <c r="BD247" s="758">
        <v>337590000</v>
      </c>
      <c r="BE247" s="758">
        <v>608900000</v>
      </c>
      <c r="BF247" s="758">
        <v>900215000</v>
      </c>
      <c r="BG247" s="518">
        <f t="shared" si="105"/>
        <v>960555000</v>
      </c>
      <c r="BH247" s="758">
        <v>1000000000</v>
      </c>
      <c r="BI247" s="758">
        <v>1000000000</v>
      </c>
      <c r="BJ247" s="758">
        <v>1000000000</v>
      </c>
      <c r="BK247" s="758">
        <v>900000000</v>
      </c>
      <c r="BL247" s="759">
        <f t="shared" si="106"/>
        <v>8935394211</v>
      </c>
      <c r="BN247" s="754">
        <v>870000000</v>
      </c>
      <c r="BO247" s="754">
        <v>870000000</v>
      </c>
      <c r="BP247" s="754">
        <v>870000000</v>
      </c>
      <c r="BQ247" s="754">
        <v>870000000</v>
      </c>
      <c r="BR247" s="754">
        <v>870000000</v>
      </c>
      <c r="BS247" s="754">
        <v>870000000</v>
      </c>
      <c r="BT247" s="754">
        <v>870000000</v>
      </c>
      <c r="BU247" s="754">
        <v>870000000</v>
      </c>
      <c r="BV247" s="754">
        <v>870000000</v>
      </c>
      <c r="BW247" s="754">
        <v>870000000</v>
      </c>
      <c r="BX247" s="754">
        <v>870000000</v>
      </c>
      <c r="BY247" s="754">
        <v>870000000</v>
      </c>
      <c r="BZ247" s="791">
        <v>10440000000</v>
      </c>
      <c r="CB247" s="754">
        <v>870000000</v>
      </c>
      <c r="CC247" s="754">
        <v>870000000</v>
      </c>
      <c r="CD247" s="754">
        <v>870000000</v>
      </c>
      <c r="CE247" s="754">
        <v>870000000</v>
      </c>
      <c r="CF247" s="754">
        <v>870000000</v>
      </c>
      <c r="CG247" s="754">
        <v>870000000</v>
      </c>
      <c r="CH247" s="754">
        <v>870000000</v>
      </c>
      <c r="CI247" s="754">
        <v>870000000</v>
      </c>
      <c r="CJ247" s="754">
        <v>870000000</v>
      </c>
      <c r="CK247" s="754">
        <v>870000000</v>
      </c>
      <c r="CL247" s="754">
        <v>870000000</v>
      </c>
      <c r="CM247" s="754">
        <v>870000000</v>
      </c>
      <c r="CN247" s="791">
        <v>10440000000</v>
      </c>
      <c r="CP247" s="650">
        <v>960395000</v>
      </c>
      <c r="CQ247" s="650">
        <v>922425000</v>
      </c>
      <c r="CR247" s="522">
        <v>890000000</v>
      </c>
      <c r="CS247" s="650">
        <v>648980000</v>
      </c>
      <c r="CT247" s="522">
        <v>900000000</v>
      </c>
      <c r="CU247" s="650">
        <v>374460000</v>
      </c>
      <c r="CV247" s="522">
        <v>800000000</v>
      </c>
      <c r="CW247" s="650">
        <v>415170000</v>
      </c>
      <c r="CX247" s="522">
        <v>400000000</v>
      </c>
      <c r="CY247" s="650">
        <v>862870000</v>
      </c>
      <c r="CZ247" s="522">
        <v>400000000</v>
      </c>
      <c r="DA247" s="650">
        <v>518018000</v>
      </c>
      <c r="DB247" s="522">
        <v>800000000</v>
      </c>
      <c r="DC247" s="650">
        <v>769220000</v>
      </c>
      <c r="DD247" s="522">
        <v>900000000</v>
      </c>
      <c r="DE247" s="518"/>
      <c r="DF247" s="522">
        <f>DE247</f>
        <v>0</v>
      </c>
      <c r="DG247" s="471">
        <f>DD247</f>
        <v>900000000</v>
      </c>
      <c r="DH247" s="518"/>
      <c r="DI247" s="522">
        <f>DH247</f>
        <v>0</v>
      </c>
      <c r="DJ247" s="471">
        <f>DG247</f>
        <v>900000000</v>
      </c>
      <c r="DK247" s="518"/>
      <c r="DL247" s="522">
        <f>DK247</f>
        <v>0</v>
      </c>
      <c r="DM247" s="471">
        <f>DJ247</f>
        <v>900000000</v>
      </c>
      <c r="DN247" s="518"/>
      <c r="DO247" s="522">
        <f>DN247</f>
        <v>0</v>
      </c>
      <c r="DP247" s="471">
        <f>DM247</f>
        <v>900000000</v>
      </c>
      <c r="DQ247" s="493">
        <f t="shared" si="110"/>
        <v>5471538000</v>
      </c>
      <c r="DR247" s="479">
        <f t="shared" si="107"/>
        <v>9071538000</v>
      </c>
      <c r="DS247" s="1019">
        <v>800000000</v>
      </c>
      <c r="DT247" s="1019">
        <v>800000000</v>
      </c>
      <c r="DU247" s="1019">
        <v>800000000</v>
      </c>
      <c r="DV247" s="1019">
        <v>500000000</v>
      </c>
      <c r="DW247" s="1019">
        <f>DV247</f>
        <v>500000000</v>
      </c>
      <c r="DX247" s="1019">
        <f>DU247</f>
        <v>800000000</v>
      </c>
      <c r="DY247" s="1019">
        <f t="shared" ref="DY247:ED247" si="111">DV247</f>
        <v>500000000</v>
      </c>
      <c r="DZ247" s="1019">
        <f t="shared" si="111"/>
        <v>500000000</v>
      </c>
      <c r="EA247" s="1019">
        <f t="shared" si="111"/>
        <v>800000000</v>
      </c>
      <c r="EB247" s="1019">
        <f t="shared" si="111"/>
        <v>500000000</v>
      </c>
      <c r="EC247" s="1019">
        <f t="shared" si="111"/>
        <v>500000000</v>
      </c>
      <c r="ED247" s="1019">
        <f t="shared" si="111"/>
        <v>800000000</v>
      </c>
      <c r="EE247" s="1119">
        <f t="shared" si="109"/>
        <v>7800000000</v>
      </c>
      <c r="EF247" s="443">
        <f>(EE247*1.17)+85628952.8677776</f>
        <v>9211628952.8677769</v>
      </c>
      <c r="EG247" s="443">
        <f>(20000000000)+4953078.45324587</f>
        <v>20004953078.453247</v>
      </c>
      <c r="EH247" s="443">
        <f>25000000000-35774026.0300105</f>
        <v>24964225973.96999</v>
      </c>
      <c r="EI247" s="443">
        <f>25000000000-35774026.0300105</f>
        <v>24964225973.96999</v>
      </c>
      <c r="EJ247" s="367">
        <v>3000016576</v>
      </c>
      <c r="EK247" s="367">
        <v>1</v>
      </c>
    </row>
    <row r="248" spans="1:141" outlineLevel="2">
      <c r="A248" s="367" t="s">
        <v>159</v>
      </c>
      <c r="B248" s="378"/>
      <c r="C248" s="370" t="s">
        <v>358</v>
      </c>
      <c r="D248" s="370" t="s">
        <v>40</v>
      </c>
      <c r="E248" s="403" t="s">
        <v>564</v>
      </c>
      <c r="F248" s="380">
        <v>3000019887</v>
      </c>
      <c r="G248" s="184">
        <v>0</v>
      </c>
      <c r="H248" s="184">
        <v>0</v>
      </c>
      <c r="I248" s="184">
        <v>0</v>
      </c>
      <c r="J248" s="184">
        <v>0</v>
      </c>
      <c r="K248" s="184">
        <v>0</v>
      </c>
      <c r="L248" s="184">
        <v>0</v>
      </c>
      <c r="M248" s="184">
        <v>0</v>
      </c>
      <c r="N248" s="184">
        <v>0</v>
      </c>
      <c r="O248" s="184">
        <v>0</v>
      </c>
      <c r="P248" s="184">
        <v>0</v>
      </c>
      <c r="Q248" s="184">
        <v>0</v>
      </c>
      <c r="R248" s="184">
        <v>0</v>
      </c>
      <c r="S248" s="14">
        <f>SUM(G248,H248,I248,J248,K248,L248,M248,N248,O248,P248,Q248,R248)</f>
        <v>0</v>
      </c>
      <c r="T248" s="179"/>
      <c r="U248" s="184">
        <v>0</v>
      </c>
      <c r="V248" s="184">
        <v>0</v>
      </c>
      <c r="W248" s="184">
        <v>0</v>
      </c>
      <c r="X248" s="184">
        <v>0</v>
      </c>
      <c r="Y248" s="184">
        <v>0</v>
      </c>
      <c r="Z248" s="184">
        <v>0</v>
      </c>
      <c r="AA248" s="184">
        <v>0</v>
      </c>
      <c r="AB248" s="184">
        <v>0</v>
      </c>
      <c r="AC248" s="184">
        <v>0</v>
      </c>
      <c r="AD248" s="184">
        <v>0</v>
      </c>
      <c r="AE248" s="184">
        <v>0</v>
      </c>
      <c r="AF248" s="184">
        <v>0</v>
      </c>
      <c r="AG248" s="759">
        <f>SUM(U248,V248,W248,X248,Y248,Z248,AA248,AB248,AC248,AD248,AE248,AF248)</f>
        <v>0</v>
      </c>
      <c r="AH248" s="788"/>
      <c r="AI248" s="189"/>
      <c r="AJ248" s="810"/>
      <c r="AK248" s="758"/>
      <c r="AL248" s="758"/>
      <c r="AM248" s="758"/>
      <c r="AN248" s="758">
        <v>2350000</v>
      </c>
      <c r="AO248" s="758">
        <v>0</v>
      </c>
      <c r="AP248" s="758">
        <v>0</v>
      </c>
      <c r="AQ248" s="518">
        <v>0</v>
      </c>
      <c r="AR248" s="813">
        <v>1450000</v>
      </c>
      <c r="AS248" s="813">
        <v>0</v>
      </c>
      <c r="AT248" s="813">
        <v>6950000</v>
      </c>
      <c r="AU248" s="518">
        <f>BI248</f>
        <v>0</v>
      </c>
      <c r="AV248" s="518">
        <f>BJ248</f>
        <v>0</v>
      </c>
      <c r="AW248" s="518">
        <f>BK248</f>
        <v>0</v>
      </c>
      <c r="AX248" s="518">
        <f>SUM(AI248,AJ248,AK248,AL248,AM248,AN248,AO248,AP248,AQ248,AR248,AS248,AT248)</f>
        <v>10750000</v>
      </c>
      <c r="AY248" s="788"/>
      <c r="AZ248" s="189"/>
      <c r="BA248" s="810"/>
      <c r="BB248" s="758"/>
      <c r="BC248" s="758"/>
      <c r="BD248" s="758"/>
      <c r="BE248" s="758">
        <v>2350000</v>
      </c>
      <c r="BF248" s="758">
        <v>0</v>
      </c>
      <c r="BG248" s="518">
        <f>AP248</f>
        <v>0</v>
      </c>
      <c r="BH248" s="758">
        <v>0</v>
      </c>
      <c r="BI248" s="758">
        <v>0</v>
      </c>
      <c r="BJ248" s="758">
        <v>0</v>
      </c>
      <c r="BK248" s="758">
        <v>0</v>
      </c>
      <c r="BL248" s="759">
        <f t="shared" si="106"/>
        <v>2350000</v>
      </c>
      <c r="BN248" s="754">
        <v>0</v>
      </c>
      <c r="BO248" s="754">
        <v>0</v>
      </c>
      <c r="BP248" s="754">
        <v>0</v>
      </c>
      <c r="BQ248" s="754">
        <v>0</v>
      </c>
      <c r="BR248" s="754">
        <v>0</v>
      </c>
      <c r="BS248" s="754">
        <v>0</v>
      </c>
      <c r="BT248" s="754">
        <v>0</v>
      </c>
      <c r="BU248" s="754">
        <v>0</v>
      </c>
      <c r="BV248" s="754">
        <v>0</v>
      </c>
      <c r="BW248" s="754">
        <v>0</v>
      </c>
      <c r="BX248" s="754">
        <v>0</v>
      </c>
      <c r="BY248" s="754">
        <v>0</v>
      </c>
      <c r="BZ248" s="791">
        <v>0</v>
      </c>
      <c r="CB248" s="754">
        <v>0</v>
      </c>
      <c r="CC248" s="754">
        <v>0</v>
      </c>
      <c r="CD248" s="754">
        <v>0</v>
      </c>
      <c r="CE248" s="754">
        <v>0</v>
      </c>
      <c r="CF248" s="754">
        <v>0</v>
      </c>
      <c r="CG248" s="754">
        <v>0</v>
      </c>
      <c r="CH248" s="754">
        <v>0</v>
      </c>
      <c r="CI248" s="754">
        <v>0</v>
      </c>
      <c r="CJ248" s="754">
        <v>0</v>
      </c>
      <c r="CK248" s="754">
        <v>0</v>
      </c>
      <c r="CL248" s="754">
        <v>0</v>
      </c>
      <c r="CM248" s="754">
        <v>0</v>
      </c>
      <c r="CN248" s="791">
        <v>0</v>
      </c>
      <c r="CP248" s="650"/>
      <c r="CQ248" s="650"/>
      <c r="CR248" s="522"/>
      <c r="CS248" s="650"/>
      <c r="CT248" s="522"/>
      <c r="CU248" s="650"/>
      <c r="CV248" s="522"/>
      <c r="CW248" s="650"/>
      <c r="CX248" s="522"/>
      <c r="CY248" s="650">
        <v>5350000</v>
      </c>
      <c r="CZ248" s="522"/>
      <c r="DA248" s="650"/>
      <c r="DB248" s="522"/>
      <c r="DC248" s="650">
        <v>2750000</v>
      </c>
      <c r="DD248" s="522"/>
      <c r="DE248" s="518"/>
      <c r="DF248" s="522"/>
      <c r="DG248" s="471"/>
      <c r="DH248" s="518"/>
      <c r="DI248" s="522"/>
      <c r="DJ248" s="471"/>
      <c r="DK248" s="518"/>
      <c r="DL248" s="522"/>
      <c r="DM248" s="471"/>
      <c r="DN248" s="518"/>
      <c r="DO248" s="522"/>
      <c r="DP248" s="471"/>
      <c r="DQ248" s="493">
        <f t="shared" si="110"/>
        <v>8100000</v>
      </c>
      <c r="DR248" s="479">
        <f t="shared" si="107"/>
        <v>8100000</v>
      </c>
      <c r="DS248" s="1019">
        <f>DT248</f>
        <v>2000000</v>
      </c>
      <c r="DT248" s="1019">
        <v>2000000</v>
      </c>
      <c r="DU248" s="1019">
        <f>DT248</f>
        <v>2000000</v>
      </c>
      <c r="DV248" s="1019"/>
      <c r="DW248" s="1019"/>
      <c r="DX248" s="1019">
        <v>2000000</v>
      </c>
      <c r="DY248" s="1019">
        <v>2000000</v>
      </c>
      <c r="DZ248" s="1019">
        <v>2000000</v>
      </c>
      <c r="EA248" s="1019">
        <v>2000000</v>
      </c>
      <c r="EB248" s="1019">
        <v>2000000</v>
      </c>
      <c r="EC248" s="1019">
        <v>2000000</v>
      </c>
      <c r="ED248" s="1019">
        <v>2000000</v>
      </c>
      <c r="EE248" s="1119">
        <f t="shared" si="109"/>
        <v>20000000</v>
      </c>
      <c r="EF248" s="443">
        <f>EE248*1.17</f>
        <v>23400000</v>
      </c>
      <c r="EG248" s="443">
        <f>EF248*1.08</f>
        <v>25272000</v>
      </c>
      <c r="EH248" s="443">
        <f>EG248*1.09</f>
        <v>27546480.000000004</v>
      </c>
      <c r="EI248" s="443">
        <f>EH248*1.09</f>
        <v>30025663.200000007</v>
      </c>
      <c r="EJ248" s="367">
        <v>3000019887</v>
      </c>
    </row>
    <row r="249" spans="1:141" outlineLevel="2">
      <c r="A249" s="367" t="s">
        <v>159</v>
      </c>
      <c r="B249" s="378"/>
      <c r="C249" s="370" t="s">
        <v>358</v>
      </c>
      <c r="D249" s="370" t="s">
        <v>40</v>
      </c>
      <c r="E249" s="379" t="s">
        <v>52</v>
      </c>
      <c r="F249" s="380">
        <v>3000018850</v>
      </c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  <c r="R249" s="184"/>
      <c r="S249" s="14"/>
      <c r="T249" s="181"/>
      <c r="U249" s="184"/>
      <c r="V249" s="184"/>
      <c r="W249" s="184"/>
      <c r="X249" s="184"/>
      <c r="Y249" s="184"/>
      <c r="Z249" s="184"/>
      <c r="AA249" s="184"/>
      <c r="AB249" s="184"/>
      <c r="AC249" s="184"/>
      <c r="AD249" s="184"/>
      <c r="AE249" s="184"/>
      <c r="AF249" s="184"/>
      <c r="AG249" s="759"/>
      <c r="AH249" s="181"/>
      <c r="AI249" s="180"/>
      <c r="AJ249" s="810"/>
      <c r="AK249" s="6"/>
      <c r="AL249" s="6"/>
      <c r="AM249" s="6"/>
      <c r="AN249" s="6"/>
      <c r="AO249" s="6"/>
      <c r="AP249" s="6"/>
      <c r="AQ249" s="518"/>
      <c r="AR249" s="813"/>
      <c r="AS249" s="813"/>
      <c r="AT249" s="813">
        <v>1350000</v>
      </c>
      <c r="AU249" s="6"/>
      <c r="AV249" s="6"/>
      <c r="AW249" s="6"/>
      <c r="AX249" s="518">
        <f>SUM(AI249,AJ249,AK249,AL249,AM249,AN249,AO249,AP249,AQ249,AR249,AS249,AT249)</f>
        <v>1350000</v>
      </c>
      <c r="AY249" s="181"/>
      <c r="AZ249" s="180"/>
      <c r="BA249" s="810"/>
      <c r="BB249" s="6"/>
      <c r="BC249" s="6"/>
      <c r="BD249" s="6"/>
      <c r="BE249" s="6"/>
      <c r="BF249" s="6"/>
      <c r="BG249" s="518"/>
      <c r="BH249" s="6"/>
      <c r="BI249" s="6"/>
      <c r="BJ249" s="6"/>
      <c r="BK249" s="6"/>
      <c r="BL249" s="518"/>
      <c r="BN249" s="815"/>
      <c r="BO249" s="816"/>
      <c r="BP249" s="754"/>
      <c r="BQ249" s="754"/>
      <c r="BR249" s="754"/>
      <c r="BS249" s="754"/>
      <c r="BT249" s="754"/>
      <c r="BU249" s="754"/>
      <c r="BV249" s="754"/>
      <c r="BW249" s="754"/>
      <c r="BX249" s="754"/>
      <c r="BY249" s="754"/>
      <c r="BZ249" s="791">
        <v>0</v>
      </c>
      <c r="CB249" s="815"/>
      <c r="CC249" s="816"/>
      <c r="CD249" s="754"/>
      <c r="CE249" s="754"/>
      <c r="CF249" s="754"/>
      <c r="CG249" s="754"/>
      <c r="CH249" s="754"/>
      <c r="CI249" s="754"/>
      <c r="CJ249" s="754"/>
      <c r="CK249" s="754"/>
      <c r="CL249" s="754"/>
      <c r="CM249" s="754"/>
      <c r="CN249" s="791">
        <v>0</v>
      </c>
      <c r="CP249" s="651"/>
      <c r="CQ249" s="651"/>
      <c r="CR249" s="523">
        <v>20000000</v>
      </c>
      <c r="CS249" s="651"/>
      <c r="CT249" s="523">
        <v>10000000</v>
      </c>
      <c r="CU249" s="651"/>
      <c r="CV249" s="523">
        <v>10000000</v>
      </c>
      <c r="CW249" s="651"/>
      <c r="CX249" s="523">
        <v>10000000</v>
      </c>
      <c r="CY249" s="651"/>
      <c r="CZ249" s="523">
        <v>10000000</v>
      </c>
      <c r="DA249" s="651"/>
      <c r="DB249" s="523">
        <v>10000000</v>
      </c>
      <c r="DC249" s="651">
        <v>0</v>
      </c>
      <c r="DD249" s="523">
        <v>10000000</v>
      </c>
      <c r="DE249" s="523"/>
      <c r="DF249" s="523">
        <v>10000000</v>
      </c>
      <c r="DG249" s="471">
        <v>10000000</v>
      </c>
      <c r="DH249" s="523"/>
      <c r="DI249" s="523">
        <v>10000000</v>
      </c>
      <c r="DJ249" s="471">
        <v>10000000</v>
      </c>
      <c r="DK249" s="523"/>
      <c r="DL249" s="523">
        <v>10000000</v>
      </c>
      <c r="DM249" s="471">
        <v>10000000</v>
      </c>
      <c r="DN249" s="523"/>
      <c r="DO249" s="523">
        <v>10000000</v>
      </c>
      <c r="DP249" s="471">
        <v>10000000</v>
      </c>
      <c r="DQ249" s="493">
        <f t="shared" si="110"/>
        <v>40000000</v>
      </c>
      <c r="DR249" s="479">
        <f t="shared" si="107"/>
        <v>40000000</v>
      </c>
      <c r="DS249" s="1162">
        <v>10000000</v>
      </c>
      <c r="DT249" s="1162">
        <v>10000000</v>
      </c>
      <c r="DU249" s="1162">
        <v>10000000</v>
      </c>
      <c r="DV249" s="1162">
        <v>10000000</v>
      </c>
      <c r="DW249" s="1162">
        <v>10000000</v>
      </c>
      <c r="DX249" s="1162">
        <v>10000000</v>
      </c>
      <c r="DY249" s="1162">
        <v>10000000</v>
      </c>
      <c r="DZ249" s="1162">
        <v>10000000</v>
      </c>
      <c r="EA249" s="1162">
        <v>10000000</v>
      </c>
      <c r="EB249" s="1162">
        <v>10000000</v>
      </c>
      <c r="EC249" s="1162">
        <v>10000000</v>
      </c>
      <c r="ED249" s="1162">
        <v>10000000</v>
      </c>
      <c r="EE249" s="1119">
        <f t="shared" si="109"/>
        <v>120000000</v>
      </c>
      <c r="EF249" s="443"/>
      <c r="EG249" s="443"/>
      <c r="EH249" s="443"/>
      <c r="EI249" s="443"/>
    </row>
    <row r="250" spans="1:141" outlineLevel="2">
      <c r="A250" s="367" t="s">
        <v>159</v>
      </c>
      <c r="B250" s="378"/>
      <c r="C250" s="370" t="s">
        <v>358</v>
      </c>
      <c r="D250" s="370" t="s">
        <v>40</v>
      </c>
      <c r="E250" s="379" t="s">
        <v>565</v>
      </c>
      <c r="F250" s="380">
        <v>3000019506</v>
      </c>
      <c r="G250" s="184">
        <v>0</v>
      </c>
      <c r="H250" s="184">
        <v>0</v>
      </c>
      <c r="I250" s="184">
        <v>0</v>
      </c>
      <c r="J250" s="184">
        <v>0</v>
      </c>
      <c r="K250" s="184">
        <v>0</v>
      </c>
      <c r="L250" s="184">
        <v>0</v>
      </c>
      <c r="M250" s="184">
        <v>0</v>
      </c>
      <c r="N250" s="184">
        <v>0</v>
      </c>
      <c r="O250" s="184">
        <v>0</v>
      </c>
      <c r="P250" s="184">
        <v>0</v>
      </c>
      <c r="Q250" s="184">
        <v>0</v>
      </c>
      <c r="R250" s="184">
        <v>0</v>
      </c>
      <c r="S250" s="14">
        <f t="shared" si="101"/>
        <v>0</v>
      </c>
      <c r="T250" s="179"/>
      <c r="U250" s="184">
        <v>0</v>
      </c>
      <c r="V250" s="184">
        <v>0</v>
      </c>
      <c r="W250" s="184">
        <v>0</v>
      </c>
      <c r="X250" s="184">
        <v>0</v>
      </c>
      <c r="Y250" s="184">
        <v>0</v>
      </c>
      <c r="Z250" s="184">
        <v>0</v>
      </c>
      <c r="AA250" s="184">
        <v>0</v>
      </c>
      <c r="AB250" s="184">
        <v>0</v>
      </c>
      <c r="AC250" s="184">
        <v>0</v>
      </c>
      <c r="AD250" s="184">
        <v>0</v>
      </c>
      <c r="AE250" s="184">
        <v>0</v>
      </c>
      <c r="AF250" s="184">
        <v>0</v>
      </c>
      <c r="AG250" s="759">
        <f t="shared" si="102"/>
        <v>0</v>
      </c>
      <c r="AH250" s="788"/>
      <c r="AI250" s="189"/>
      <c r="AJ250" s="810">
        <v>10400000</v>
      </c>
      <c r="AK250" s="758">
        <v>0</v>
      </c>
      <c r="AL250" s="758">
        <v>0</v>
      </c>
      <c r="AM250" s="758">
        <v>0</v>
      </c>
      <c r="AN250" s="758">
        <v>0</v>
      </c>
      <c r="AO250" s="758">
        <v>0</v>
      </c>
      <c r="AP250" s="758">
        <v>0</v>
      </c>
      <c r="AQ250" s="518">
        <v>0</v>
      </c>
      <c r="AR250" s="518"/>
      <c r="AS250" s="518"/>
      <c r="AT250" s="518"/>
      <c r="AU250" s="518">
        <f t="shared" si="103"/>
        <v>0</v>
      </c>
      <c r="AV250" s="518">
        <f t="shared" si="103"/>
        <v>0</v>
      </c>
      <c r="AW250" s="518">
        <f t="shared" si="103"/>
        <v>0</v>
      </c>
      <c r="AX250" s="518">
        <f t="shared" si="104"/>
        <v>10400000</v>
      </c>
      <c r="AY250" s="788"/>
      <c r="AZ250" s="189"/>
      <c r="BA250" s="810">
        <v>10400000</v>
      </c>
      <c r="BB250" s="758">
        <v>0</v>
      </c>
      <c r="BC250" s="758">
        <v>0</v>
      </c>
      <c r="BD250" s="758">
        <v>0</v>
      </c>
      <c r="BE250" s="758">
        <v>0</v>
      </c>
      <c r="BF250" s="758">
        <v>0</v>
      </c>
      <c r="BG250" s="518">
        <f t="shared" si="105"/>
        <v>0</v>
      </c>
      <c r="BH250" s="758">
        <v>0</v>
      </c>
      <c r="BI250" s="758">
        <v>0</v>
      </c>
      <c r="BJ250" s="758">
        <v>0</v>
      </c>
      <c r="BK250" s="758">
        <v>0</v>
      </c>
      <c r="BL250" s="759">
        <f t="shared" ref="BL250:BL267" si="112">SUM(AZ250,BA250,BB250,BC250,BD250,BE250,BF250,BG250,BH250,BI250,BJ250,BK250)</f>
        <v>10400000</v>
      </c>
      <c r="BN250" s="754">
        <v>0</v>
      </c>
      <c r="BO250" s="754">
        <v>0</v>
      </c>
      <c r="BP250" s="754">
        <v>0</v>
      </c>
      <c r="BQ250" s="754">
        <v>0</v>
      </c>
      <c r="BR250" s="754">
        <v>0</v>
      </c>
      <c r="BS250" s="754">
        <v>0</v>
      </c>
      <c r="BT250" s="754">
        <v>0</v>
      </c>
      <c r="BU250" s="754">
        <v>0</v>
      </c>
      <c r="BV250" s="754">
        <v>0</v>
      </c>
      <c r="BW250" s="754">
        <v>0</v>
      </c>
      <c r="BX250" s="754">
        <v>0</v>
      </c>
      <c r="BY250" s="754">
        <v>0</v>
      </c>
      <c r="BZ250" s="791">
        <v>0</v>
      </c>
      <c r="CB250" s="754">
        <v>0</v>
      </c>
      <c r="CC250" s="754">
        <v>0</v>
      </c>
      <c r="CD250" s="754">
        <v>0</v>
      </c>
      <c r="CE250" s="754">
        <v>0</v>
      </c>
      <c r="CF250" s="754">
        <v>0</v>
      </c>
      <c r="CG250" s="754">
        <v>0</v>
      </c>
      <c r="CH250" s="754">
        <v>0</v>
      </c>
      <c r="CI250" s="754">
        <v>0</v>
      </c>
      <c r="CJ250" s="754">
        <v>0</v>
      </c>
      <c r="CK250" s="754">
        <v>0</v>
      </c>
      <c r="CL250" s="754">
        <v>0</v>
      </c>
      <c r="CM250" s="754">
        <v>0</v>
      </c>
      <c r="CN250" s="791">
        <v>0</v>
      </c>
      <c r="CP250" s="650"/>
      <c r="CQ250" s="650"/>
      <c r="CR250" s="522"/>
      <c r="CS250" s="650"/>
      <c r="CT250" s="522"/>
      <c r="CU250" s="650"/>
      <c r="CV250" s="522"/>
      <c r="CW250" s="650"/>
      <c r="CX250" s="522"/>
      <c r="CY250" s="650"/>
      <c r="CZ250" s="522"/>
      <c r="DA250" s="650"/>
      <c r="DB250" s="522"/>
      <c r="DC250" s="650">
        <v>0</v>
      </c>
      <c r="DD250" s="522"/>
      <c r="DE250" s="754"/>
      <c r="DF250" s="522"/>
      <c r="DG250" s="471"/>
      <c r="DH250" s="754"/>
      <c r="DI250" s="522"/>
      <c r="DJ250" s="471"/>
      <c r="DK250" s="754"/>
      <c r="DL250" s="522"/>
      <c r="DM250" s="471"/>
      <c r="DN250" s="754"/>
      <c r="DO250" s="522"/>
      <c r="DP250" s="471"/>
      <c r="DQ250" s="493">
        <f t="shared" si="110"/>
        <v>0</v>
      </c>
      <c r="DR250" s="479">
        <f t="shared" si="107"/>
        <v>0</v>
      </c>
      <c r="DS250" s="1019"/>
      <c r="DT250" s="1019"/>
      <c r="DU250" s="1019"/>
      <c r="DV250" s="1019"/>
      <c r="DW250" s="1019"/>
      <c r="DX250" s="1019"/>
      <c r="DY250" s="1019"/>
      <c r="DZ250" s="1019"/>
      <c r="EA250" s="1019"/>
      <c r="EB250" s="1019"/>
      <c r="EC250" s="1019"/>
      <c r="ED250" s="1019"/>
      <c r="EE250" s="1119">
        <f t="shared" si="109"/>
        <v>0</v>
      </c>
      <c r="EF250" s="443">
        <f t="shared" si="108"/>
        <v>0</v>
      </c>
      <c r="EG250" s="443">
        <f>EF250*1.08</f>
        <v>0</v>
      </c>
      <c r="EH250" s="443">
        <f>EG250*1.09</f>
        <v>0</v>
      </c>
      <c r="EI250" s="443">
        <f>EH250*1.09</f>
        <v>0</v>
      </c>
      <c r="EJ250" s="367">
        <v>3000019506</v>
      </c>
    </row>
    <row r="251" spans="1:141" outlineLevel="2">
      <c r="A251" s="367" t="s">
        <v>159</v>
      </c>
      <c r="B251" s="378"/>
      <c r="C251" s="370" t="s">
        <v>358</v>
      </c>
      <c r="D251" s="370" t="s">
        <v>40</v>
      </c>
      <c r="E251" s="383" t="s">
        <v>165</v>
      </c>
      <c r="F251" s="380">
        <v>3000018028</v>
      </c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  <c r="R251" s="184"/>
      <c r="S251" s="14"/>
      <c r="T251" s="179"/>
      <c r="U251" s="184">
        <v>0</v>
      </c>
      <c r="V251" s="184">
        <v>0</v>
      </c>
      <c r="W251" s="184">
        <v>0</v>
      </c>
      <c r="X251" s="184">
        <v>0</v>
      </c>
      <c r="Y251" s="184">
        <v>0</v>
      </c>
      <c r="Z251" s="184">
        <v>0</v>
      </c>
      <c r="AA251" s="184">
        <v>0</v>
      </c>
      <c r="AB251" s="184">
        <v>0</v>
      </c>
      <c r="AC251" s="184">
        <v>0</v>
      </c>
      <c r="AD251" s="184">
        <v>0</v>
      </c>
      <c r="AE251" s="184">
        <v>0</v>
      </c>
      <c r="AF251" s="184">
        <v>2650000</v>
      </c>
      <c r="AG251" s="759">
        <f>SUM(U251,V251,W251,X251,Y251,Z251,AA251,AB251,AC251,AD251,AE251,AF251)</f>
        <v>2650000</v>
      </c>
      <c r="AH251" s="788"/>
      <c r="AI251" s="180"/>
      <c r="AJ251" s="810"/>
      <c r="AK251" s="6"/>
      <c r="AL251" s="6"/>
      <c r="AM251" s="6"/>
      <c r="AN251" s="6"/>
      <c r="AO251" s="6"/>
      <c r="AP251" s="758"/>
      <c r="AQ251" s="518">
        <v>0</v>
      </c>
      <c r="AR251" s="518"/>
      <c r="AS251" s="518"/>
      <c r="AT251" s="518"/>
      <c r="AU251" s="518"/>
      <c r="AV251" s="518"/>
      <c r="AW251" s="518"/>
      <c r="AX251" s="518">
        <f>SUM(AI251,AJ251,AK251,AL251,AM251,AN251,AO251,AP251,AQ251,AR251,AS251,AT251)</f>
        <v>0</v>
      </c>
      <c r="AY251" s="788"/>
      <c r="AZ251" s="180"/>
      <c r="BA251" s="810"/>
      <c r="BB251" s="6"/>
      <c r="BC251" s="6"/>
      <c r="BD251" s="6"/>
      <c r="BE251" s="6"/>
      <c r="BF251" s="6"/>
      <c r="BG251" s="518">
        <f>AP251</f>
        <v>0</v>
      </c>
      <c r="BH251" s="758"/>
      <c r="BI251" s="758"/>
      <c r="BJ251" s="758"/>
      <c r="BK251" s="758"/>
      <c r="BL251" s="518">
        <f t="shared" si="112"/>
        <v>0</v>
      </c>
      <c r="BN251" s="754"/>
      <c r="BO251" s="754"/>
      <c r="BP251" s="754">
        <v>73300000</v>
      </c>
      <c r="BQ251" s="754">
        <v>73300000</v>
      </c>
      <c r="BR251" s="754">
        <v>73300000</v>
      </c>
      <c r="BS251" s="754">
        <v>73300000</v>
      </c>
      <c r="BT251" s="754">
        <v>73300000</v>
      </c>
      <c r="BU251" s="754">
        <v>73300000</v>
      </c>
      <c r="BV251" s="754">
        <v>73300000</v>
      </c>
      <c r="BW251" s="754">
        <v>73300000</v>
      </c>
      <c r="BX251" s="754">
        <v>73300000</v>
      </c>
      <c r="BY251" s="754">
        <v>73300000</v>
      </c>
      <c r="BZ251" s="791">
        <v>733000000</v>
      </c>
      <c r="CB251" s="754"/>
      <c r="CC251" s="754"/>
      <c r="CD251" s="754">
        <v>73300000</v>
      </c>
      <c r="CE251" s="754">
        <v>73300000</v>
      </c>
      <c r="CF251" s="754">
        <v>73300000</v>
      </c>
      <c r="CG251" s="754">
        <v>73300000</v>
      </c>
      <c r="CH251" s="754">
        <v>73300000</v>
      </c>
      <c r="CI251" s="754">
        <v>73300000</v>
      </c>
      <c r="CJ251" s="754">
        <v>73300000</v>
      </c>
      <c r="CK251" s="754">
        <v>73300000</v>
      </c>
      <c r="CL251" s="754">
        <v>73300000</v>
      </c>
      <c r="CM251" s="754">
        <v>73300000</v>
      </c>
      <c r="CN251" s="791">
        <v>733000000</v>
      </c>
      <c r="CP251" s="650"/>
      <c r="CQ251" s="650"/>
      <c r="CR251" s="522"/>
      <c r="CS251" s="650"/>
      <c r="CT251" s="522"/>
      <c r="CU251" s="650"/>
      <c r="CV251" s="522"/>
      <c r="CW251" s="650"/>
      <c r="CX251" s="522"/>
      <c r="CY251" s="650"/>
      <c r="CZ251" s="522"/>
      <c r="DA251" s="650"/>
      <c r="DB251" s="522"/>
      <c r="DC251" s="650">
        <v>0</v>
      </c>
      <c r="DD251" s="522"/>
      <c r="DE251" s="754"/>
      <c r="DF251" s="522"/>
      <c r="DG251" s="471"/>
      <c r="DH251" s="754"/>
      <c r="DI251" s="522"/>
      <c r="DJ251" s="471"/>
      <c r="DK251" s="754"/>
      <c r="DL251" s="522"/>
      <c r="DM251" s="471"/>
      <c r="DN251" s="754"/>
      <c r="DO251" s="522"/>
      <c r="DP251" s="471"/>
      <c r="DQ251" s="493">
        <f t="shared" si="110"/>
        <v>0</v>
      </c>
      <c r="DR251" s="479">
        <f t="shared" si="107"/>
        <v>0</v>
      </c>
      <c r="DS251" s="1019"/>
      <c r="DT251" s="1019"/>
      <c r="DU251" s="1019"/>
      <c r="DV251" s="1019"/>
      <c r="DW251" s="1019"/>
      <c r="DX251" s="1019"/>
      <c r="DY251" s="1019"/>
      <c r="DZ251" s="1019"/>
      <c r="EA251" s="1019"/>
      <c r="EB251" s="1019"/>
      <c r="EC251" s="1019"/>
      <c r="ED251" s="1019"/>
      <c r="EE251" s="1119">
        <f t="shared" si="109"/>
        <v>0</v>
      </c>
      <c r="EF251" s="443">
        <f>EE251*1.17</f>
        <v>0</v>
      </c>
      <c r="EG251" s="443">
        <v>1000000000</v>
      </c>
      <c r="EH251" s="443">
        <v>2400000000</v>
      </c>
      <c r="EI251" s="443">
        <v>2400000000</v>
      </c>
      <c r="EJ251" s="367">
        <v>3000018028</v>
      </c>
    </row>
    <row r="252" spans="1:141" outlineLevel="2">
      <c r="A252" s="367" t="s">
        <v>159</v>
      </c>
      <c r="B252" s="378"/>
      <c r="C252" s="370" t="s">
        <v>358</v>
      </c>
      <c r="D252" s="370" t="s">
        <v>40</v>
      </c>
      <c r="E252" s="379" t="s">
        <v>395</v>
      </c>
      <c r="F252" s="380">
        <v>8000000019</v>
      </c>
      <c r="G252" s="184">
        <v>0</v>
      </c>
      <c r="H252" s="184">
        <v>0</v>
      </c>
      <c r="I252" s="184">
        <v>0</v>
      </c>
      <c r="J252" s="184">
        <v>0</v>
      </c>
      <c r="K252" s="184">
        <v>0</v>
      </c>
      <c r="L252" s="184">
        <v>0</v>
      </c>
      <c r="M252" s="184">
        <v>0</v>
      </c>
      <c r="N252" s="184">
        <v>0</v>
      </c>
      <c r="O252" s="184">
        <v>0</v>
      </c>
      <c r="P252" s="184">
        <v>0</v>
      </c>
      <c r="Q252" s="184">
        <v>0</v>
      </c>
      <c r="R252" s="184">
        <v>0</v>
      </c>
      <c r="S252" s="14">
        <f t="shared" si="101"/>
        <v>0</v>
      </c>
      <c r="T252" s="179"/>
      <c r="U252" s="184">
        <v>0</v>
      </c>
      <c r="V252" s="184">
        <v>0</v>
      </c>
      <c r="W252" s="184">
        <v>0</v>
      </c>
      <c r="X252" s="184">
        <v>0</v>
      </c>
      <c r="Y252" s="184">
        <v>0</v>
      </c>
      <c r="Z252" s="184">
        <v>0</v>
      </c>
      <c r="AA252" s="184">
        <v>0</v>
      </c>
      <c r="AB252" s="184">
        <v>0</v>
      </c>
      <c r="AC252" s="184">
        <v>0</v>
      </c>
      <c r="AD252" s="184">
        <v>209080000</v>
      </c>
      <c r="AE252" s="184">
        <v>1243923590</v>
      </c>
      <c r="AF252" s="184">
        <v>1011176000</v>
      </c>
      <c r="AG252" s="759">
        <f t="shared" si="102"/>
        <v>2464179590</v>
      </c>
      <c r="AH252" s="788"/>
      <c r="AI252" s="814">
        <v>487910000</v>
      </c>
      <c r="AJ252" s="810">
        <v>-22770000</v>
      </c>
      <c r="AK252" s="758">
        <v>0</v>
      </c>
      <c r="AL252" s="758">
        <v>0</v>
      </c>
      <c r="AM252" s="758">
        <v>0</v>
      </c>
      <c r="AN252" s="758">
        <v>0</v>
      </c>
      <c r="AO252" s="758">
        <v>0</v>
      </c>
      <c r="AP252" s="758">
        <v>0</v>
      </c>
      <c r="AQ252" s="518">
        <v>0</v>
      </c>
      <c r="AR252" s="518"/>
      <c r="AS252" s="518"/>
      <c r="AT252" s="518"/>
      <c r="AU252" s="518">
        <f t="shared" si="103"/>
        <v>0</v>
      </c>
      <c r="AV252" s="518">
        <f t="shared" si="103"/>
        <v>0</v>
      </c>
      <c r="AW252" s="518">
        <f t="shared" si="103"/>
        <v>0</v>
      </c>
      <c r="AX252" s="518">
        <f t="shared" si="104"/>
        <v>465140000</v>
      </c>
      <c r="AY252" s="788"/>
      <c r="AZ252" s="814">
        <v>487910000</v>
      </c>
      <c r="BA252" s="810">
        <v>-22770000</v>
      </c>
      <c r="BB252" s="758">
        <v>0</v>
      </c>
      <c r="BC252" s="758">
        <v>0</v>
      </c>
      <c r="BD252" s="758">
        <v>0</v>
      </c>
      <c r="BE252" s="758">
        <v>0</v>
      </c>
      <c r="BF252" s="758">
        <v>0</v>
      </c>
      <c r="BG252" s="518">
        <f t="shared" si="105"/>
        <v>0</v>
      </c>
      <c r="BH252" s="758">
        <v>0</v>
      </c>
      <c r="BI252" s="758">
        <v>0</v>
      </c>
      <c r="BJ252" s="758">
        <v>0</v>
      </c>
      <c r="BK252" s="758">
        <v>0</v>
      </c>
      <c r="BL252" s="759">
        <f t="shared" si="112"/>
        <v>465140000</v>
      </c>
      <c r="BN252" s="754">
        <v>0</v>
      </c>
      <c r="BO252" s="754">
        <v>0</v>
      </c>
      <c r="BP252" s="754">
        <v>0</v>
      </c>
      <c r="BQ252" s="754">
        <v>0</v>
      </c>
      <c r="BR252" s="754">
        <v>0</v>
      </c>
      <c r="BS252" s="754">
        <v>0</v>
      </c>
      <c r="BT252" s="754">
        <v>0</v>
      </c>
      <c r="BU252" s="754">
        <v>0</v>
      </c>
      <c r="BV252" s="754">
        <v>0</v>
      </c>
      <c r="BW252" s="754">
        <v>0</v>
      </c>
      <c r="BX252" s="754">
        <v>0</v>
      </c>
      <c r="BY252" s="754">
        <v>0</v>
      </c>
      <c r="BZ252" s="791">
        <v>0</v>
      </c>
      <c r="CB252" s="754">
        <v>0</v>
      </c>
      <c r="CC252" s="754">
        <v>0</v>
      </c>
      <c r="CD252" s="754">
        <v>0</v>
      </c>
      <c r="CE252" s="754">
        <v>0</v>
      </c>
      <c r="CF252" s="754">
        <v>0</v>
      </c>
      <c r="CG252" s="754">
        <v>0</v>
      </c>
      <c r="CH252" s="754">
        <v>0</v>
      </c>
      <c r="CI252" s="754">
        <v>0</v>
      </c>
      <c r="CJ252" s="754">
        <v>0</v>
      </c>
      <c r="CK252" s="754">
        <v>0</v>
      </c>
      <c r="CL252" s="754">
        <v>0</v>
      </c>
      <c r="CM252" s="754">
        <v>0</v>
      </c>
      <c r="CN252" s="791">
        <v>0</v>
      </c>
      <c r="CP252" s="650"/>
      <c r="CQ252" s="650"/>
      <c r="CR252" s="522"/>
      <c r="CS252" s="650"/>
      <c r="CT252" s="522"/>
      <c r="CU252" s="650"/>
      <c r="CV252" s="522"/>
      <c r="CW252" s="650"/>
      <c r="CX252" s="522"/>
      <c r="CY252" s="650"/>
      <c r="CZ252" s="522"/>
      <c r="DA252" s="650"/>
      <c r="DB252" s="522"/>
      <c r="DC252" s="650">
        <v>0</v>
      </c>
      <c r="DD252" s="522"/>
      <c r="DE252" s="754"/>
      <c r="DF252" s="522"/>
      <c r="DG252" s="471"/>
      <c r="DH252" s="754"/>
      <c r="DI252" s="522"/>
      <c r="DJ252" s="471"/>
      <c r="DK252" s="754"/>
      <c r="DL252" s="522"/>
      <c r="DM252" s="471"/>
      <c r="DN252" s="754"/>
      <c r="DO252" s="522"/>
      <c r="DP252" s="471"/>
      <c r="DQ252" s="493">
        <f t="shared" si="110"/>
        <v>0</v>
      </c>
      <c r="DR252" s="479">
        <f t="shared" si="107"/>
        <v>0</v>
      </c>
      <c r="DS252" s="1019"/>
      <c r="DT252" s="1019"/>
      <c r="DU252" s="1019"/>
      <c r="DV252" s="1019"/>
      <c r="DW252" s="1019"/>
      <c r="DX252" s="1019"/>
      <c r="DY252" s="1019"/>
      <c r="DZ252" s="1019"/>
      <c r="EA252" s="1019"/>
      <c r="EB252" s="1019"/>
      <c r="EC252" s="1019"/>
      <c r="ED252" s="1019"/>
      <c r="EE252" s="1119">
        <f t="shared" si="109"/>
        <v>0</v>
      </c>
      <c r="EF252" s="443">
        <f t="shared" si="108"/>
        <v>0</v>
      </c>
      <c r="EG252" s="443">
        <f t="shared" ref="EG252:EG257" si="113">EF252*1.08</f>
        <v>0</v>
      </c>
      <c r="EH252" s="443">
        <f>EG252*1.09</f>
        <v>0</v>
      </c>
      <c r="EI252" s="443">
        <f>EH252*1.09</f>
        <v>0</v>
      </c>
      <c r="EJ252" s="367">
        <v>8000000019</v>
      </c>
    </row>
    <row r="253" spans="1:141" outlineLevel="2">
      <c r="A253" s="367" t="s">
        <v>159</v>
      </c>
      <c r="B253" s="378"/>
      <c r="C253" s="370" t="s">
        <v>358</v>
      </c>
      <c r="D253" s="370" t="s">
        <v>40</v>
      </c>
      <c r="E253" s="383" t="s">
        <v>566</v>
      </c>
      <c r="F253" s="380">
        <v>3000001329</v>
      </c>
      <c r="G253" s="184">
        <v>0</v>
      </c>
      <c r="H253" s="184">
        <v>0</v>
      </c>
      <c r="I253" s="184">
        <v>0</v>
      </c>
      <c r="J253" s="184">
        <v>0</v>
      </c>
      <c r="K253" s="184">
        <v>0</v>
      </c>
      <c r="L253" s="184">
        <v>0</v>
      </c>
      <c r="M253" s="184">
        <v>0</v>
      </c>
      <c r="N253" s="184">
        <v>0</v>
      </c>
      <c r="O253" s="184">
        <v>0</v>
      </c>
      <c r="P253" s="184">
        <v>0</v>
      </c>
      <c r="Q253" s="184">
        <v>0</v>
      </c>
      <c r="R253" s="184">
        <v>0</v>
      </c>
      <c r="S253" s="14">
        <f>SUM(G253,H253,I253,J253,K253,L253,M253,N253,O253,P253,Q253,R253)</f>
        <v>0</v>
      </c>
      <c r="T253" s="179"/>
      <c r="U253" s="184">
        <v>0</v>
      </c>
      <c r="V253" s="184">
        <v>0</v>
      </c>
      <c r="W253" s="184">
        <v>0</v>
      </c>
      <c r="X253" s="184">
        <v>0</v>
      </c>
      <c r="Y253" s="184">
        <v>0</v>
      </c>
      <c r="Z253" s="184">
        <v>0</v>
      </c>
      <c r="AA253" s="184">
        <v>0</v>
      </c>
      <c r="AB253" s="184">
        <v>0</v>
      </c>
      <c r="AC253" s="184">
        <v>0</v>
      </c>
      <c r="AD253" s="184">
        <v>0</v>
      </c>
      <c r="AE253" s="184">
        <v>0</v>
      </c>
      <c r="AF253" s="184">
        <v>0</v>
      </c>
      <c r="AG253" s="759">
        <f>SUM(U253,V253,W253,X253,Y253,Z253,AA253,AB253,AC253,AD253,AE253,AF253)</f>
        <v>0</v>
      </c>
      <c r="AH253" s="788"/>
      <c r="AI253" s="189"/>
      <c r="AJ253" s="810"/>
      <c r="AK253" s="758"/>
      <c r="AL253" s="758">
        <v>11200000</v>
      </c>
      <c r="AM253" s="758">
        <v>0</v>
      </c>
      <c r="AN253" s="758">
        <v>0</v>
      </c>
      <c r="AO253" s="758">
        <v>28000000</v>
      </c>
      <c r="AP253" s="758">
        <v>22400000</v>
      </c>
      <c r="AQ253" s="518">
        <v>33600000</v>
      </c>
      <c r="AR253" s="813">
        <v>19600000</v>
      </c>
      <c r="AS253" s="813">
        <v>25200000</v>
      </c>
      <c r="AT253" s="813">
        <v>5600000</v>
      </c>
      <c r="AU253" s="518">
        <f t="shared" ref="AU253:AW254" si="114">BI253</f>
        <v>15000000</v>
      </c>
      <c r="AV253" s="518">
        <f t="shared" si="114"/>
        <v>15000000</v>
      </c>
      <c r="AW253" s="518">
        <f t="shared" si="114"/>
        <v>15000000</v>
      </c>
      <c r="AX253" s="518">
        <f>SUM(AI253,AJ253,AK253,AL253,AM253,AN253,AO253,AP253,AQ253,AR253,AS253,AT253)</f>
        <v>145600000</v>
      </c>
      <c r="AY253" s="788"/>
      <c r="AZ253" s="189"/>
      <c r="BA253" s="810"/>
      <c r="BB253" s="758"/>
      <c r="BC253" s="758">
        <v>11200000</v>
      </c>
      <c r="BD253" s="758">
        <v>0</v>
      </c>
      <c r="BE253" s="758">
        <v>0</v>
      </c>
      <c r="BF253" s="758">
        <v>28000000</v>
      </c>
      <c r="BG253" s="518">
        <f>AP253</f>
        <v>22400000</v>
      </c>
      <c r="BH253" s="758">
        <v>15000000</v>
      </c>
      <c r="BI253" s="758">
        <v>15000000</v>
      </c>
      <c r="BJ253" s="758">
        <v>15000000</v>
      </c>
      <c r="BK253" s="758">
        <v>15000000</v>
      </c>
      <c r="BL253" s="759">
        <f t="shared" si="112"/>
        <v>121600000</v>
      </c>
      <c r="BN253" s="754">
        <v>15000000</v>
      </c>
      <c r="BO253" s="754">
        <v>15000000</v>
      </c>
      <c r="BP253" s="754">
        <v>15000000</v>
      </c>
      <c r="BQ253" s="754">
        <v>15000000</v>
      </c>
      <c r="BR253" s="754">
        <v>12750000</v>
      </c>
      <c r="BS253" s="754">
        <v>15000000</v>
      </c>
      <c r="BT253" s="754">
        <v>16500000.000000002</v>
      </c>
      <c r="BU253" s="754">
        <v>16500000.000000002</v>
      </c>
      <c r="BV253" s="754">
        <v>16500000.000000002</v>
      </c>
      <c r="BW253" s="754">
        <v>16500000.000000002</v>
      </c>
      <c r="BX253" s="754">
        <v>16500000.000000002</v>
      </c>
      <c r="BY253" s="754">
        <v>16500000.000000002</v>
      </c>
      <c r="BZ253" s="791">
        <v>186750000</v>
      </c>
      <c r="CB253" s="754">
        <v>15000000</v>
      </c>
      <c r="CC253" s="754">
        <v>15000000</v>
      </c>
      <c r="CD253" s="754">
        <v>15000000</v>
      </c>
      <c r="CE253" s="754">
        <v>15000000</v>
      </c>
      <c r="CF253" s="754">
        <v>12750000</v>
      </c>
      <c r="CG253" s="754">
        <v>15000000</v>
      </c>
      <c r="CH253" s="754">
        <v>16500000.000000002</v>
      </c>
      <c r="CI253" s="754">
        <v>16500000.000000002</v>
      </c>
      <c r="CJ253" s="754">
        <v>16500000.000000002</v>
      </c>
      <c r="CK253" s="754">
        <v>16500000.000000002</v>
      </c>
      <c r="CL253" s="754">
        <v>16500000.000000002</v>
      </c>
      <c r="CM253" s="754">
        <v>16500000.000000002</v>
      </c>
      <c r="CN253" s="791">
        <v>186750000</v>
      </c>
      <c r="CP253" s="650">
        <v>2800000</v>
      </c>
      <c r="CQ253" s="650"/>
      <c r="CR253" s="522"/>
      <c r="CS253" s="650"/>
      <c r="CT253" s="522"/>
      <c r="CU253" s="650"/>
      <c r="CV253" s="522"/>
      <c r="CW253" s="650"/>
      <c r="CX253" s="522">
        <v>0</v>
      </c>
      <c r="CY253" s="650"/>
      <c r="CZ253" s="522">
        <v>20000000</v>
      </c>
      <c r="DA253" s="650"/>
      <c r="DB253" s="522">
        <f>CZ253</f>
        <v>20000000</v>
      </c>
      <c r="DC253" s="650">
        <v>2800000</v>
      </c>
      <c r="DD253" s="522">
        <f>DB253</f>
        <v>20000000</v>
      </c>
      <c r="DE253" s="518"/>
      <c r="DF253" s="522">
        <f>DE253</f>
        <v>0</v>
      </c>
      <c r="DG253" s="471">
        <v>10000000</v>
      </c>
      <c r="DH253" s="518"/>
      <c r="DI253" s="522">
        <f>DH253</f>
        <v>0</v>
      </c>
      <c r="DJ253" s="471">
        <v>10000000</v>
      </c>
      <c r="DK253" s="518"/>
      <c r="DL253" s="522">
        <f>DK253</f>
        <v>0</v>
      </c>
      <c r="DM253" s="471">
        <v>10000000</v>
      </c>
      <c r="DN253" s="518"/>
      <c r="DO253" s="522">
        <f>DN253</f>
        <v>0</v>
      </c>
      <c r="DP253" s="471">
        <v>10000000</v>
      </c>
      <c r="DQ253" s="493">
        <f t="shared" si="110"/>
        <v>5600000</v>
      </c>
      <c r="DR253" s="479">
        <f t="shared" si="107"/>
        <v>45600000</v>
      </c>
      <c r="DS253" s="1019">
        <v>10000000</v>
      </c>
      <c r="DT253" s="1019">
        <v>10000000</v>
      </c>
      <c r="DU253" s="1019">
        <v>10000000</v>
      </c>
      <c r="DV253" s="1019"/>
      <c r="DW253" s="1019"/>
      <c r="DX253" s="1019">
        <v>10000000</v>
      </c>
      <c r="DY253" s="1019">
        <v>10000000</v>
      </c>
      <c r="DZ253" s="1019">
        <v>10000000</v>
      </c>
      <c r="EA253" s="1019">
        <v>10000000</v>
      </c>
      <c r="EB253" s="1019">
        <v>10000000</v>
      </c>
      <c r="EC253" s="1019">
        <v>10000000</v>
      </c>
      <c r="ED253" s="1019">
        <v>10000000</v>
      </c>
      <c r="EE253" s="1119">
        <f t="shared" si="109"/>
        <v>100000000</v>
      </c>
      <c r="EF253" s="443">
        <f>EE253*1.17</f>
        <v>117000000</v>
      </c>
      <c r="EG253" s="443">
        <f t="shared" si="113"/>
        <v>126360000.00000001</v>
      </c>
      <c r="EH253" s="443">
        <f>EG253*1.09</f>
        <v>137732400.00000003</v>
      </c>
      <c r="EI253" s="443">
        <f>EH253*1.09</f>
        <v>150128316.00000003</v>
      </c>
      <c r="EJ253" s="367">
        <v>3000001329</v>
      </c>
    </row>
    <row r="254" spans="1:141" outlineLevel="2">
      <c r="A254" s="367" t="s">
        <v>159</v>
      </c>
      <c r="B254" s="378"/>
      <c r="C254" s="370" t="s">
        <v>358</v>
      </c>
      <c r="D254" s="370" t="s">
        <v>40</v>
      </c>
      <c r="E254" s="383" t="s">
        <v>567</v>
      </c>
      <c r="F254" s="380">
        <v>3000020006</v>
      </c>
      <c r="G254" s="184">
        <v>0</v>
      </c>
      <c r="H254" s="184">
        <v>0</v>
      </c>
      <c r="I254" s="184">
        <v>0</v>
      </c>
      <c r="J254" s="184">
        <v>0</v>
      </c>
      <c r="K254" s="184">
        <v>0</v>
      </c>
      <c r="L254" s="184">
        <v>0</v>
      </c>
      <c r="M254" s="184">
        <v>0</v>
      </c>
      <c r="N254" s="184">
        <v>0</v>
      </c>
      <c r="O254" s="184">
        <v>0</v>
      </c>
      <c r="P254" s="184">
        <v>0</v>
      </c>
      <c r="Q254" s="184">
        <v>0</v>
      </c>
      <c r="R254" s="184">
        <v>0</v>
      </c>
      <c r="S254" s="14">
        <f>SUM(G254,H254,I254,J254,K254,L254,M254,N254,O254,P254,Q254,R254)</f>
        <v>0</v>
      </c>
      <c r="T254" s="179"/>
      <c r="U254" s="184">
        <v>0</v>
      </c>
      <c r="V254" s="184">
        <v>0</v>
      </c>
      <c r="W254" s="184">
        <v>0</v>
      </c>
      <c r="X254" s="184">
        <v>0</v>
      </c>
      <c r="Y254" s="184">
        <v>0</v>
      </c>
      <c r="Z254" s="184">
        <v>0</v>
      </c>
      <c r="AA254" s="184">
        <v>0</v>
      </c>
      <c r="AB254" s="184">
        <v>0</v>
      </c>
      <c r="AC254" s="184">
        <v>0</v>
      </c>
      <c r="AD254" s="184">
        <v>0</v>
      </c>
      <c r="AE254" s="184">
        <v>0</v>
      </c>
      <c r="AF254" s="184">
        <v>0</v>
      </c>
      <c r="AG254" s="759">
        <f>SUM(U254,V254,W254,X254,Y254,Z254,AA254,AB254,AC254,AD254,AE254,AF254)</f>
        <v>0</v>
      </c>
      <c r="AH254" s="788"/>
      <c r="AI254" s="189"/>
      <c r="AJ254" s="810"/>
      <c r="AK254" s="758"/>
      <c r="AL254" s="758"/>
      <c r="AM254" s="758"/>
      <c r="AN254" s="758"/>
      <c r="AO254" s="758">
        <v>7650000</v>
      </c>
      <c r="AP254" s="758">
        <v>0</v>
      </c>
      <c r="AQ254" s="518">
        <v>0</v>
      </c>
      <c r="AR254" s="518"/>
      <c r="AS254" s="518"/>
      <c r="AT254" s="518"/>
      <c r="AU254" s="518">
        <f t="shared" si="114"/>
        <v>14000000</v>
      </c>
      <c r="AV254" s="518">
        <f t="shared" si="114"/>
        <v>16000000</v>
      </c>
      <c r="AW254" s="518">
        <f t="shared" si="114"/>
        <v>16000000</v>
      </c>
      <c r="AX254" s="518">
        <f>SUM(AI254,AJ254,AK254,AL254,AM254,AN254,AO254,AP254,AQ254,AR254,AS254,AT254)</f>
        <v>7650000</v>
      </c>
      <c r="AY254" s="788"/>
      <c r="AZ254" s="189"/>
      <c r="BA254" s="810"/>
      <c r="BB254" s="758"/>
      <c r="BC254" s="758"/>
      <c r="BD254" s="758"/>
      <c r="BE254" s="758"/>
      <c r="BF254" s="758">
        <v>7650000</v>
      </c>
      <c r="BG254" s="518">
        <f>AP254</f>
        <v>0</v>
      </c>
      <c r="BH254" s="758">
        <v>12000000</v>
      </c>
      <c r="BI254" s="758">
        <v>14000000</v>
      </c>
      <c r="BJ254" s="758">
        <v>16000000</v>
      </c>
      <c r="BK254" s="758">
        <v>16000000</v>
      </c>
      <c r="BL254" s="759">
        <f t="shared" si="112"/>
        <v>65650000</v>
      </c>
      <c r="BN254" s="754">
        <v>16000000</v>
      </c>
      <c r="BO254" s="754">
        <v>16000000</v>
      </c>
      <c r="BP254" s="754">
        <v>16000000</v>
      </c>
      <c r="BQ254" s="754">
        <v>16000000</v>
      </c>
      <c r="BR254" s="754">
        <v>13600000</v>
      </c>
      <c r="BS254" s="754">
        <v>16000000</v>
      </c>
      <c r="BT254" s="754">
        <v>17600000</v>
      </c>
      <c r="BU254" s="754">
        <v>17600000</v>
      </c>
      <c r="BV254" s="754">
        <v>17600000</v>
      </c>
      <c r="BW254" s="754">
        <v>17600000</v>
      </c>
      <c r="BX254" s="754">
        <v>17600000</v>
      </c>
      <c r="BY254" s="754">
        <v>17600000</v>
      </c>
      <c r="BZ254" s="791">
        <v>199200000</v>
      </c>
      <c r="CB254" s="754">
        <v>16000000</v>
      </c>
      <c r="CC254" s="754">
        <v>16000000</v>
      </c>
      <c r="CD254" s="754">
        <v>16000000</v>
      </c>
      <c r="CE254" s="754">
        <v>16000000</v>
      </c>
      <c r="CF254" s="754">
        <v>13600000</v>
      </c>
      <c r="CG254" s="754">
        <v>16000000</v>
      </c>
      <c r="CH254" s="754">
        <v>17600000</v>
      </c>
      <c r="CI254" s="754">
        <v>17600000</v>
      </c>
      <c r="CJ254" s="754">
        <v>17600000</v>
      </c>
      <c r="CK254" s="754">
        <v>17600000</v>
      </c>
      <c r="CL254" s="754">
        <v>17600000</v>
      </c>
      <c r="CM254" s="754">
        <v>17600000</v>
      </c>
      <c r="CN254" s="791">
        <v>199200000</v>
      </c>
      <c r="CP254" s="650"/>
      <c r="CQ254" s="650"/>
      <c r="CR254" s="522"/>
      <c r="CS254" s="650"/>
      <c r="CT254" s="522"/>
      <c r="CU254" s="650"/>
      <c r="CV254" s="522"/>
      <c r="CW254" s="650"/>
      <c r="CX254" s="522"/>
      <c r="CY254" s="650"/>
      <c r="CZ254" s="522"/>
      <c r="DA254" s="650"/>
      <c r="DB254" s="522"/>
      <c r="DC254" s="650">
        <v>0</v>
      </c>
      <c r="DD254" s="522"/>
      <c r="DE254" s="754"/>
      <c r="DF254" s="522"/>
      <c r="DG254" s="471"/>
      <c r="DH254" s="754"/>
      <c r="DI254" s="522"/>
      <c r="DJ254" s="471"/>
      <c r="DK254" s="754"/>
      <c r="DL254" s="522"/>
      <c r="DM254" s="471"/>
      <c r="DN254" s="754"/>
      <c r="DO254" s="522"/>
      <c r="DP254" s="471"/>
      <c r="DQ254" s="493">
        <f t="shared" si="110"/>
        <v>0</v>
      </c>
      <c r="DR254" s="479">
        <f t="shared" si="107"/>
        <v>0</v>
      </c>
      <c r="DS254" s="1019"/>
      <c r="DT254" s="1019"/>
      <c r="DU254" s="1019"/>
      <c r="DV254" s="1019"/>
      <c r="DW254" s="1019"/>
      <c r="DX254" s="1019"/>
      <c r="DY254" s="1019"/>
      <c r="DZ254" s="1019"/>
      <c r="EA254" s="1019"/>
      <c r="EB254" s="1019"/>
      <c r="EC254" s="1019"/>
      <c r="ED254" s="1019"/>
      <c r="EE254" s="1119">
        <f t="shared" si="109"/>
        <v>0</v>
      </c>
      <c r="EF254" s="443">
        <f>EE254*1.17</f>
        <v>0</v>
      </c>
      <c r="EG254" s="443">
        <f t="shared" si="113"/>
        <v>0</v>
      </c>
      <c r="EH254" s="443">
        <v>500000000</v>
      </c>
      <c r="EI254" s="443">
        <v>500000000</v>
      </c>
      <c r="EJ254" s="367">
        <v>3000020006</v>
      </c>
    </row>
    <row r="255" spans="1:141" outlineLevel="2">
      <c r="A255" s="367" t="s">
        <v>159</v>
      </c>
      <c r="B255" s="378"/>
      <c r="C255" s="370" t="s">
        <v>358</v>
      </c>
      <c r="D255" s="370" t="s">
        <v>40</v>
      </c>
      <c r="E255" s="379" t="s">
        <v>66</v>
      </c>
      <c r="F255" s="380">
        <v>8000000015</v>
      </c>
      <c r="G255" s="184">
        <v>0</v>
      </c>
      <c r="H255" s="184">
        <v>0</v>
      </c>
      <c r="I255" s="184">
        <v>0</v>
      </c>
      <c r="J255" s="184">
        <v>0</v>
      </c>
      <c r="K255" s="184">
        <v>0</v>
      </c>
      <c r="L255" s="184">
        <v>0</v>
      </c>
      <c r="M255" s="184">
        <v>0</v>
      </c>
      <c r="N255" s="184">
        <v>0</v>
      </c>
      <c r="O255" s="184">
        <v>0</v>
      </c>
      <c r="P255" s="184">
        <v>0</v>
      </c>
      <c r="Q255" s="184">
        <v>0</v>
      </c>
      <c r="R255" s="184">
        <v>0</v>
      </c>
      <c r="S255" s="14">
        <f t="shared" si="101"/>
        <v>0</v>
      </c>
      <c r="T255" s="179"/>
      <c r="U255" s="184">
        <v>0</v>
      </c>
      <c r="V255" s="184">
        <v>0</v>
      </c>
      <c r="W255" s="184">
        <v>0</v>
      </c>
      <c r="X255" s="184">
        <v>0</v>
      </c>
      <c r="Y255" s="184">
        <v>0</v>
      </c>
      <c r="Z255" s="184">
        <v>0</v>
      </c>
      <c r="AA255" s="184">
        <v>0</v>
      </c>
      <c r="AB255" s="184">
        <v>0</v>
      </c>
      <c r="AC255" s="184">
        <v>0</v>
      </c>
      <c r="AD255" s="184">
        <v>0</v>
      </c>
      <c r="AE255" s="184">
        <v>1279430</v>
      </c>
      <c r="AF255" s="184">
        <v>2853950</v>
      </c>
      <c r="AG255" s="759">
        <f t="shared" si="102"/>
        <v>4133380</v>
      </c>
      <c r="AH255" s="788"/>
      <c r="AI255" s="814">
        <v>3325538</v>
      </c>
      <c r="AJ255" s="810">
        <v>3043138</v>
      </c>
      <c r="AK255" s="758">
        <v>2508065</v>
      </c>
      <c r="AL255" s="758">
        <v>2426269</v>
      </c>
      <c r="AM255" s="758">
        <v>3396600</v>
      </c>
      <c r="AN255" s="758">
        <v>107300</v>
      </c>
      <c r="AO255" s="758">
        <v>1585748</v>
      </c>
      <c r="AP255" s="758">
        <v>3181821</v>
      </c>
      <c r="AQ255" s="518">
        <v>2767324</v>
      </c>
      <c r="AR255" s="813">
        <v>1492345</v>
      </c>
      <c r="AS255" s="813">
        <v>4198456</v>
      </c>
      <c r="AT255" s="813">
        <v>3623011</v>
      </c>
      <c r="AU255" s="518">
        <f t="shared" si="103"/>
        <v>0</v>
      </c>
      <c r="AV255" s="518">
        <f t="shared" si="103"/>
        <v>0</v>
      </c>
      <c r="AW255" s="518">
        <f t="shared" si="103"/>
        <v>0</v>
      </c>
      <c r="AX255" s="518">
        <f t="shared" si="104"/>
        <v>31655615</v>
      </c>
      <c r="AY255" s="788"/>
      <c r="AZ255" s="814">
        <v>3325538</v>
      </c>
      <c r="BA255" s="810">
        <v>3043138</v>
      </c>
      <c r="BB255" s="758">
        <v>2508065</v>
      </c>
      <c r="BC255" s="758">
        <v>2426269</v>
      </c>
      <c r="BD255" s="758">
        <v>3396600</v>
      </c>
      <c r="BE255" s="758">
        <v>107300</v>
      </c>
      <c r="BF255" s="758">
        <v>1585748</v>
      </c>
      <c r="BG255" s="518">
        <f t="shared" si="105"/>
        <v>3181821</v>
      </c>
      <c r="BH255" s="758">
        <v>0</v>
      </c>
      <c r="BI255" s="758">
        <v>0</v>
      </c>
      <c r="BJ255" s="758">
        <v>0</v>
      </c>
      <c r="BK255" s="758">
        <v>0</v>
      </c>
      <c r="BL255" s="759">
        <f t="shared" si="112"/>
        <v>19574479</v>
      </c>
      <c r="BN255" s="754">
        <v>0</v>
      </c>
      <c r="BO255" s="754">
        <v>0</v>
      </c>
      <c r="BP255" s="754">
        <v>0</v>
      </c>
      <c r="BQ255" s="754">
        <v>0</v>
      </c>
      <c r="BR255" s="754">
        <v>0</v>
      </c>
      <c r="BS255" s="754">
        <v>0</v>
      </c>
      <c r="BT255" s="754">
        <v>0</v>
      </c>
      <c r="BU255" s="754">
        <v>0</v>
      </c>
      <c r="BV255" s="754">
        <v>0</v>
      </c>
      <c r="BW255" s="754">
        <v>0</v>
      </c>
      <c r="BX255" s="754">
        <v>0</v>
      </c>
      <c r="BY255" s="754">
        <v>0</v>
      </c>
      <c r="BZ255" s="791">
        <v>0</v>
      </c>
      <c r="CB255" s="754">
        <v>0</v>
      </c>
      <c r="CC255" s="754">
        <v>0</v>
      </c>
      <c r="CD255" s="754">
        <v>0</v>
      </c>
      <c r="CE255" s="754">
        <v>0</v>
      </c>
      <c r="CF255" s="754">
        <v>0</v>
      </c>
      <c r="CG255" s="754">
        <v>0</v>
      </c>
      <c r="CH255" s="754">
        <v>0</v>
      </c>
      <c r="CI255" s="754">
        <v>0</v>
      </c>
      <c r="CJ255" s="754">
        <v>0</v>
      </c>
      <c r="CK255" s="754">
        <v>0</v>
      </c>
      <c r="CL255" s="754">
        <v>0</v>
      </c>
      <c r="CM255" s="754">
        <v>0</v>
      </c>
      <c r="CN255" s="791">
        <v>0</v>
      </c>
      <c r="CP255" s="650">
        <v>1022736</v>
      </c>
      <c r="CQ255" s="650">
        <v>7873549</v>
      </c>
      <c r="CR255" s="522">
        <v>1200000</v>
      </c>
      <c r="CS255" s="650">
        <v>5950603</v>
      </c>
      <c r="CT255" s="522">
        <v>1500000</v>
      </c>
      <c r="CU255" s="650">
        <v>3148557</v>
      </c>
      <c r="CV255" s="522">
        <f>CT255</f>
        <v>1500000</v>
      </c>
      <c r="CW255" s="650">
        <v>1611866</v>
      </c>
      <c r="CX255" s="522">
        <v>3000000</v>
      </c>
      <c r="CY255" s="650">
        <v>1613790</v>
      </c>
      <c r="CZ255" s="522">
        <f>CX255</f>
        <v>3000000</v>
      </c>
      <c r="DA255" s="650">
        <v>1892804</v>
      </c>
      <c r="DB255" s="522">
        <f>CX255</f>
        <v>3000000</v>
      </c>
      <c r="DC255" s="650">
        <v>1665679</v>
      </c>
      <c r="DD255" s="522">
        <f>CX255</f>
        <v>3000000</v>
      </c>
      <c r="DE255" s="518"/>
      <c r="DF255" s="522">
        <f>CY255</f>
        <v>1613790</v>
      </c>
      <c r="DG255" s="471">
        <f>CX255</f>
        <v>3000000</v>
      </c>
      <c r="DH255" s="518"/>
      <c r="DI255" s="522">
        <f>CY255</f>
        <v>1613790</v>
      </c>
      <c r="DJ255" s="471">
        <f>CX255</f>
        <v>3000000</v>
      </c>
      <c r="DK255" s="518"/>
      <c r="DL255" s="522">
        <f>CY255</f>
        <v>1613790</v>
      </c>
      <c r="DM255" s="471">
        <f>CX255</f>
        <v>3000000</v>
      </c>
      <c r="DN255" s="518"/>
      <c r="DO255" s="522">
        <f>CY255</f>
        <v>1613790</v>
      </c>
      <c r="DP255" s="471">
        <f>CX255</f>
        <v>3000000</v>
      </c>
      <c r="DQ255" s="493">
        <f t="shared" si="110"/>
        <v>31234744</v>
      </c>
      <c r="DR255" s="479">
        <f t="shared" si="107"/>
        <v>36779584</v>
      </c>
      <c r="DS255" s="1019">
        <v>3000000</v>
      </c>
      <c r="DT255" s="1019">
        <v>3000000</v>
      </c>
      <c r="DU255" s="1019">
        <v>3000000</v>
      </c>
      <c r="DV255" s="1019">
        <v>3000000</v>
      </c>
      <c r="DW255" s="1019">
        <v>3000000</v>
      </c>
      <c r="DX255" s="1019">
        <v>3000000</v>
      </c>
      <c r="DY255" s="1019">
        <v>3000000</v>
      </c>
      <c r="DZ255" s="1019">
        <v>3000000</v>
      </c>
      <c r="EA255" s="1019">
        <v>3000000</v>
      </c>
      <c r="EB255" s="1019">
        <v>3000000</v>
      </c>
      <c r="EC255" s="1019">
        <v>3000000</v>
      </c>
      <c r="ED255" s="1019">
        <v>3000000</v>
      </c>
      <c r="EE255" s="1119">
        <f t="shared" si="109"/>
        <v>36000000</v>
      </c>
      <c r="EF255" s="443">
        <f t="shared" si="108"/>
        <v>42120000</v>
      </c>
      <c r="EG255" s="443">
        <f t="shared" si="113"/>
        <v>45489600</v>
      </c>
      <c r="EH255" s="443">
        <f t="shared" ref="EH255:EI257" si="115">EG255*1.09</f>
        <v>49583664</v>
      </c>
      <c r="EI255" s="443">
        <f t="shared" si="115"/>
        <v>54046193.760000005</v>
      </c>
      <c r="EJ255" s="367">
        <v>8000000015</v>
      </c>
    </row>
    <row r="256" spans="1:141" outlineLevel="2">
      <c r="A256" s="367" t="s">
        <v>159</v>
      </c>
      <c r="B256" s="378"/>
      <c r="C256" s="370" t="s">
        <v>358</v>
      </c>
      <c r="D256" s="370" t="s">
        <v>40</v>
      </c>
      <c r="E256" s="383" t="s">
        <v>568</v>
      </c>
      <c r="F256" s="380">
        <v>3000019958</v>
      </c>
      <c r="G256" s="184">
        <v>0</v>
      </c>
      <c r="H256" s="184">
        <v>0</v>
      </c>
      <c r="I256" s="184">
        <v>0</v>
      </c>
      <c r="J256" s="184">
        <v>0</v>
      </c>
      <c r="K256" s="184">
        <v>0</v>
      </c>
      <c r="L256" s="184">
        <v>0</v>
      </c>
      <c r="M256" s="184">
        <v>0</v>
      </c>
      <c r="N256" s="184">
        <v>0</v>
      </c>
      <c r="O256" s="184">
        <v>0</v>
      </c>
      <c r="P256" s="184">
        <v>0</v>
      </c>
      <c r="Q256" s="184">
        <v>0</v>
      </c>
      <c r="R256" s="184">
        <v>0</v>
      </c>
      <c r="S256" s="14">
        <f>SUM(G256,H256,I256,J256,K256,L256,M256,N256,O256,P256,Q256,R256)</f>
        <v>0</v>
      </c>
      <c r="T256" s="179"/>
      <c r="U256" s="184">
        <v>0</v>
      </c>
      <c r="V256" s="184">
        <v>0</v>
      </c>
      <c r="W256" s="184">
        <v>0</v>
      </c>
      <c r="X256" s="184">
        <v>0</v>
      </c>
      <c r="Y256" s="184">
        <v>0</v>
      </c>
      <c r="Z256" s="184">
        <v>0</v>
      </c>
      <c r="AA256" s="184">
        <v>0</v>
      </c>
      <c r="AB256" s="184">
        <v>0</v>
      </c>
      <c r="AC256" s="184">
        <v>0</v>
      </c>
      <c r="AD256" s="184">
        <v>0</v>
      </c>
      <c r="AE256" s="184">
        <v>0</v>
      </c>
      <c r="AF256" s="184">
        <v>0</v>
      </c>
      <c r="AG256" s="759">
        <f>SUM(U256,V256,W256,X256,Y256,Z256,AA256,AB256,AC256,AD256,AE256,AF256)</f>
        <v>0</v>
      </c>
      <c r="AH256" s="788"/>
      <c r="AI256" s="189"/>
      <c r="AJ256" s="810"/>
      <c r="AK256" s="758"/>
      <c r="AL256" s="758"/>
      <c r="AM256" s="758"/>
      <c r="AN256" s="758"/>
      <c r="AO256" s="758">
        <v>11000000</v>
      </c>
      <c r="AP256" s="758">
        <v>16500000</v>
      </c>
      <c r="AQ256" s="518">
        <v>13750000</v>
      </c>
      <c r="AR256" s="813">
        <v>5500000</v>
      </c>
      <c r="AS256" s="518"/>
      <c r="AT256" s="518"/>
      <c r="AU256" s="518">
        <f>BI256</f>
        <v>5000000</v>
      </c>
      <c r="AV256" s="518">
        <f>BJ256</f>
        <v>5000000</v>
      </c>
      <c r="AW256" s="518">
        <f>BK256</f>
        <v>5000000</v>
      </c>
      <c r="AX256" s="518">
        <f>SUM(AI256,AJ256,AK256,AL256,AM256,AN256,AO256,AP256,AQ256,AR256,AS256,AT256)</f>
        <v>46750000</v>
      </c>
      <c r="AY256" s="788"/>
      <c r="AZ256" s="189"/>
      <c r="BA256" s="810"/>
      <c r="BB256" s="758"/>
      <c r="BC256" s="758"/>
      <c r="BD256" s="758"/>
      <c r="BE256" s="758"/>
      <c r="BF256" s="758">
        <v>11000000</v>
      </c>
      <c r="BG256" s="518">
        <f>AP256</f>
        <v>16500000</v>
      </c>
      <c r="BH256" s="758">
        <v>5000000</v>
      </c>
      <c r="BI256" s="758">
        <v>5000000</v>
      </c>
      <c r="BJ256" s="758">
        <v>5000000</v>
      </c>
      <c r="BK256" s="758">
        <v>5000000</v>
      </c>
      <c r="BL256" s="759">
        <f t="shared" si="112"/>
        <v>47500000</v>
      </c>
      <c r="BN256" s="754">
        <v>5000000</v>
      </c>
      <c r="BO256" s="754">
        <v>5000000</v>
      </c>
      <c r="BP256" s="754">
        <v>5000000</v>
      </c>
      <c r="BQ256" s="754">
        <v>5000000</v>
      </c>
      <c r="BR256" s="754">
        <v>4250000</v>
      </c>
      <c r="BS256" s="754">
        <v>5000000</v>
      </c>
      <c r="BT256" s="754">
        <v>5500000</v>
      </c>
      <c r="BU256" s="754">
        <v>5500000</v>
      </c>
      <c r="BV256" s="754">
        <v>5500000</v>
      </c>
      <c r="BW256" s="754">
        <v>5500000</v>
      </c>
      <c r="BX256" s="754">
        <v>5500000</v>
      </c>
      <c r="BY256" s="754">
        <v>5500000</v>
      </c>
      <c r="BZ256" s="791">
        <v>62250000</v>
      </c>
      <c r="CB256" s="754">
        <v>5000000</v>
      </c>
      <c r="CC256" s="754">
        <v>5000000</v>
      </c>
      <c r="CD256" s="754">
        <v>5000000</v>
      </c>
      <c r="CE256" s="754">
        <v>5000000</v>
      </c>
      <c r="CF256" s="754">
        <v>4250000</v>
      </c>
      <c r="CG256" s="754">
        <v>5000000</v>
      </c>
      <c r="CH256" s="754">
        <v>5500000</v>
      </c>
      <c r="CI256" s="754">
        <v>5500000</v>
      </c>
      <c r="CJ256" s="754">
        <v>5500000</v>
      </c>
      <c r="CK256" s="754">
        <v>5500000</v>
      </c>
      <c r="CL256" s="754">
        <v>5500000</v>
      </c>
      <c r="CM256" s="754">
        <v>5500000</v>
      </c>
      <c r="CN256" s="791">
        <v>62250000</v>
      </c>
      <c r="CP256" s="650"/>
      <c r="CQ256" s="650"/>
      <c r="CR256" s="522"/>
      <c r="CS256" s="650"/>
      <c r="CT256" s="522"/>
      <c r="CU256" s="650"/>
      <c r="CV256" s="522"/>
      <c r="CW256" s="650"/>
      <c r="CX256" s="522"/>
      <c r="CY256" s="650"/>
      <c r="CZ256" s="522"/>
      <c r="DA256" s="650"/>
      <c r="DB256" s="522"/>
      <c r="DC256" s="650">
        <v>0</v>
      </c>
      <c r="DD256" s="522"/>
      <c r="DE256" s="754"/>
      <c r="DF256" s="522"/>
      <c r="DG256" s="471"/>
      <c r="DH256" s="754"/>
      <c r="DI256" s="522"/>
      <c r="DJ256" s="471"/>
      <c r="DK256" s="754"/>
      <c r="DL256" s="522"/>
      <c r="DM256" s="471"/>
      <c r="DN256" s="754"/>
      <c r="DO256" s="522"/>
      <c r="DP256" s="471"/>
      <c r="DQ256" s="493">
        <f t="shared" si="110"/>
        <v>0</v>
      </c>
      <c r="DR256" s="479">
        <f t="shared" si="107"/>
        <v>0</v>
      </c>
      <c r="DS256" s="1019"/>
      <c r="DT256" s="1019"/>
      <c r="DU256" s="1019"/>
      <c r="DV256" s="1019"/>
      <c r="DW256" s="1019"/>
      <c r="DX256" s="1019"/>
      <c r="DY256" s="1019"/>
      <c r="DZ256" s="1019"/>
      <c r="EA256" s="1019"/>
      <c r="EB256" s="1019"/>
      <c r="EC256" s="1019"/>
      <c r="ED256" s="1019"/>
      <c r="EE256" s="1119">
        <f t="shared" si="109"/>
        <v>0</v>
      </c>
      <c r="EF256" s="443">
        <f>EE256*1.17</f>
        <v>0</v>
      </c>
      <c r="EG256" s="443">
        <f t="shared" si="113"/>
        <v>0</v>
      </c>
      <c r="EH256" s="443">
        <f t="shared" si="115"/>
        <v>0</v>
      </c>
      <c r="EI256" s="443">
        <f t="shared" si="115"/>
        <v>0</v>
      </c>
      <c r="EJ256" s="367">
        <v>3000019958</v>
      </c>
    </row>
    <row r="257" spans="1:141" outlineLevel="2">
      <c r="A257" s="367" t="s">
        <v>159</v>
      </c>
      <c r="B257" s="378"/>
      <c r="C257" s="370" t="s">
        <v>358</v>
      </c>
      <c r="D257" s="370" t="s">
        <v>40</v>
      </c>
      <c r="E257" s="379" t="s">
        <v>569</v>
      </c>
      <c r="F257" s="380">
        <v>3000009230</v>
      </c>
      <c r="G257" s="184">
        <v>0</v>
      </c>
      <c r="H257" s="184">
        <v>0</v>
      </c>
      <c r="I257" s="184">
        <v>0</v>
      </c>
      <c r="J257" s="184">
        <v>0</v>
      </c>
      <c r="K257" s="184">
        <v>0</v>
      </c>
      <c r="L257" s="184">
        <v>0</v>
      </c>
      <c r="M257" s="184">
        <v>0</v>
      </c>
      <c r="N257" s="184">
        <v>0</v>
      </c>
      <c r="O257" s="184">
        <v>0</v>
      </c>
      <c r="P257" s="184">
        <v>0</v>
      </c>
      <c r="Q257" s="184">
        <v>0</v>
      </c>
      <c r="R257" s="184">
        <v>0</v>
      </c>
      <c r="S257" s="14">
        <f t="shared" si="101"/>
        <v>0</v>
      </c>
      <c r="T257" s="179"/>
      <c r="U257" s="184">
        <v>0</v>
      </c>
      <c r="V257" s="184">
        <v>0</v>
      </c>
      <c r="W257" s="184">
        <v>0</v>
      </c>
      <c r="X257" s="184">
        <v>0</v>
      </c>
      <c r="Y257" s="184">
        <v>0</v>
      </c>
      <c r="Z257" s="184">
        <v>0</v>
      </c>
      <c r="AA257" s="184">
        <v>0</v>
      </c>
      <c r="AB257" s="184">
        <v>0</v>
      </c>
      <c r="AC257" s="184">
        <v>0</v>
      </c>
      <c r="AD257" s="184">
        <v>0</v>
      </c>
      <c r="AE257" s="184">
        <v>0</v>
      </c>
      <c r="AF257" s="184">
        <v>0</v>
      </c>
      <c r="AG257" s="759">
        <f t="shared" si="102"/>
        <v>0</v>
      </c>
      <c r="AH257" s="788"/>
      <c r="AI257" s="189"/>
      <c r="AJ257" s="810"/>
      <c r="AK257" s="758">
        <v>2200000</v>
      </c>
      <c r="AL257" s="758">
        <v>0</v>
      </c>
      <c r="AM257" s="758">
        <v>0</v>
      </c>
      <c r="AN257" s="758">
        <v>0</v>
      </c>
      <c r="AO257" s="758">
        <v>0</v>
      </c>
      <c r="AP257" s="758">
        <v>0</v>
      </c>
      <c r="AQ257" s="518">
        <v>0</v>
      </c>
      <c r="AR257" s="813">
        <v>0</v>
      </c>
      <c r="AS257" s="813">
        <v>0</v>
      </c>
      <c r="AT257" s="813">
        <v>0</v>
      </c>
      <c r="AU257" s="518">
        <f t="shared" si="103"/>
        <v>0</v>
      </c>
      <c r="AV257" s="518">
        <f t="shared" si="103"/>
        <v>0</v>
      </c>
      <c r="AW257" s="518">
        <f t="shared" si="103"/>
        <v>0</v>
      </c>
      <c r="AX257" s="518">
        <f t="shared" si="104"/>
        <v>2200000</v>
      </c>
      <c r="AY257" s="788"/>
      <c r="AZ257" s="189"/>
      <c r="BA257" s="810"/>
      <c r="BB257" s="758">
        <v>2200000</v>
      </c>
      <c r="BC257" s="758">
        <v>0</v>
      </c>
      <c r="BD257" s="758">
        <v>0</v>
      </c>
      <c r="BE257" s="758">
        <v>0</v>
      </c>
      <c r="BF257" s="758">
        <v>0</v>
      </c>
      <c r="BG257" s="518">
        <f t="shared" si="105"/>
        <v>0</v>
      </c>
      <c r="BH257" s="758">
        <v>0</v>
      </c>
      <c r="BI257" s="758">
        <v>0</v>
      </c>
      <c r="BJ257" s="758">
        <v>0</v>
      </c>
      <c r="BK257" s="758">
        <v>0</v>
      </c>
      <c r="BL257" s="759">
        <f t="shared" si="112"/>
        <v>2200000</v>
      </c>
      <c r="BN257" s="754">
        <v>0</v>
      </c>
      <c r="BO257" s="754">
        <v>0</v>
      </c>
      <c r="BP257" s="754">
        <v>0</v>
      </c>
      <c r="BQ257" s="754">
        <v>0</v>
      </c>
      <c r="BR257" s="754">
        <v>0</v>
      </c>
      <c r="BS257" s="754">
        <v>0</v>
      </c>
      <c r="BT257" s="754">
        <v>0</v>
      </c>
      <c r="BU257" s="754">
        <v>0</v>
      </c>
      <c r="BV257" s="754">
        <v>0</v>
      </c>
      <c r="BW257" s="754">
        <v>0</v>
      </c>
      <c r="BX257" s="754">
        <v>0</v>
      </c>
      <c r="BY257" s="754">
        <v>0</v>
      </c>
      <c r="BZ257" s="791">
        <v>0</v>
      </c>
      <c r="CB257" s="754">
        <v>0</v>
      </c>
      <c r="CC257" s="754">
        <v>0</v>
      </c>
      <c r="CD257" s="754">
        <v>0</v>
      </c>
      <c r="CE257" s="754">
        <v>0</v>
      </c>
      <c r="CF257" s="754">
        <v>0</v>
      </c>
      <c r="CG257" s="754">
        <v>0</v>
      </c>
      <c r="CH257" s="754">
        <v>0</v>
      </c>
      <c r="CI257" s="754">
        <v>0</v>
      </c>
      <c r="CJ257" s="754">
        <v>0</v>
      </c>
      <c r="CK257" s="754">
        <v>0</v>
      </c>
      <c r="CL257" s="754">
        <v>0</v>
      </c>
      <c r="CM257" s="754">
        <v>0</v>
      </c>
      <c r="CN257" s="791">
        <v>0</v>
      </c>
      <c r="CP257" s="650"/>
      <c r="CQ257" s="650"/>
      <c r="CR257" s="522"/>
      <c r="CS257" s="650"/>
      <c r="CT257" s="522"/>
      <c r="CU257" s="650"/>
      <c r="CV257" s="522"/>
      <c r="CW257" s="650"/>
      <c r="CX257" s="522"/>
      <c r="CY257" s="650"/>
      <c r="CZ257" s="522"/>
      <c r="DA257" s="650"/>
      <c r="DB257" s="522"/>
      <c r="DC257" s="650">
        <v>0</v>
      </c>
      <c r="DD257" s="522"/>
      <c r="DE257" s="518"/>
      <c r="DF257" s="522"/>
      <c r="DG257" s="471"/>
      <c r="DH257" s="518"/>
      <c r="DI257" s="522"/>
      <c r="DJ257" s="471"/>
      <c r="DK257" s="518"/>
      <c r="DL257" s="522"/>
      <c r="DM257" s="471"/>
      <c r="DN257" s="518"/>
      <c r="DO257" s="522"/>
      <c r="DP257" s="471"/>
      <c r="DQ257" s="493">
        <f t="shared" si="110"/>
        <v>0</v>
      </c>
      <c r="DR257" s="479">
        <f t="shared" si="107"/>
        <v>0</v>
      </c>
      <c r="DS257" s="1019"/>
      <c r="DT257" s="1019"/>
      <c r="DU257" s="1019"/>
      <c r="DV257" s="1019"/>
      <c r="DW257" s="1019"/>
      <c r="DX257" s="1019"/>
      <c r="DY257" s="1019"/>
      <c r="DZ257" s="1019"/>
      <c r="EA257" s="1019"/>
      <c r="EB257" s="1019"/>
      <c r="EC257" s="1019"/>
      <c r="ED257" s="1019"/>
      <c r="EE257" s="1119">
        <f t="shared" si="109"/>
        <v>0</v>
      </c>
      <c r="EF257" s="443">
        <f t="shared" si="108"/>
        <v>0</v>
      </c>
      <c r="EG257" s="443">
        <f t="shared" si="113"/>
        <v>0</v>
      </c>
      <c r="EH257" s="443">
        <f t="shared" si="115"/>
        <v>0</v>
      </c>
      <c r="EI257" s="443">
        <f t="shared" si="115"/>
        <v>0</v>
      </c>
      <c r="EJ257" s="367">
        <v>3000009230</v>
      </c>
    </row>
    <row r="258" spans="1:141" outlineLevel="2">
      <c r="A258" s="367" t="s">
        <v>159</v>
      </c>
      <c r="B258" s="378"/>
      <c r="C258" s="370" t="s">
        <v>358</v>
      </c>
      <c r="D258" s="370" t="s">
        <v>40</v>
      </c>
      <c r="E258" s="379" t="s">
        <v>83</v>
      </c>
      <c r="F258" s="380">
        <v>8000000010</v>
      </c>
      <c r="G258" s="184">
        <v>0</v>
      </c>
      <c r="H258" s="184">
        <v>0</v>
      </c>
      <c r="I258" s="184">
        <v>0</v>
      </c>
      <c r="J258" s="184">
        <v>0</v>
      </c>
      <c r="K258" s="184">
        <v>0</v>
      </c>
      <c r="L258" s="184">
        <v>0</v>
      </c>
      <c r="M258" s="184">
        <v>0</v>
      </c>
      <c r="N258" s="184">
        <v>0</v>
      </c>
      <c r="O258" s="184">
        <v>0</v>
      </c>
      <c r="P258" s="184">
        <v>7505000</v>
      </c>
      <c r="Q258" s="184">
        <v>7505000</v>
      </c>
      <c r="R258" s="184">
        <v>7505000</v>
      </c>
      <c r="S258" s="14">
        <f t="shared" si="101"/>
        <v>22515000</v>
      </c>
      <c r="T258" s="179"/>
      <c r="U258" s="184">
        <v>7505000</v>
      </c>
      <c r="V258" s="184">
        <v>8959194</v>
      </c>
      <c r="W258" s="184">
        <v>9465000</v>
      </c>
      <c r="X258" s="184">
        <v>9465000</v>
      </c>
      <c r="Y258" s="184">
        <v>9465000</v>
      </c>
      <c r="Z258" s="184">
        <v>9465000</v>
      </c>
      <c r="AA258" s="184">
        <v>9465000</v>
      </c>
      <c r="AB258" s="184">
        <v>9465000</v>
      </c>
      <c r="AC258" s="184">
        <v>9465000</v>
      </c>
      <c r="AD258" s="184">
        <v>186832625</v>
      </c>
      <c r="AE258" s="184">
        <v>179845886</v>
      </c>
      <c r="AF258" s="184">
        <v>146353857</v>
      </c>
      <c r="AG258" s="759">
        <f t="shared" si="102"/>
        <v>595751562</v>
      </c>
      <c r="AH258" s="788"/>
      <c r="AI258" s="814">
        <v>179590029</v>
      </c>
      <c r="AJ258" s="810">
        <v>240186569</v>
      </c>
      <c r="AK258" s="758">
        <v>272656691</v>
      </c>
      <c r="AL258" s="758">
        <v>170894134</v>
      </c>
      <c r="AM258" s="758">
        <v>83350874</v>
      </c>
      <c r="AN258" s="758">
        <v>105808447</v>
      </c>
      <c r="AO258" s="758">
        <v>111319474</v>
      </c>
      <c r="AP258" s="758">
        <v>132492930</v>
      </c>
      <c r="AQ258" s="518">
        <v>148262320</v>
      </c>
      <c r="AR258" s="813">
        <v>208810038</v>
      </c>
      <c r="AS258" s="813">
        <v>231210778</v>
      </c>
      <c r="AT258" s="813">
        <v>206495714</v>
      </c>
      <c r="AU258" s="518">
        <f t="shared" si="103"/>
        <v>111319474</v>
      </c>
      <c r="AV258" s="518">
        <f t="shared" si="103"/>
        <v>111319474</v>
      </c>
      <c r="AW258" s="518">
        <f t="shared" si="103"/>
        <v>111319474</v>
      </c>
      <c r="AX258" s="518">
        <f t="shared" si="104"/>
        <v>2091077998</v>
      </c>
      <c r="AY258" s="788"/>
      <c r="AZ258" s="814">
        <v>179590029</v>
      </c>
      <c r="BA258" s="810">
        <v>240186569</v>
      </c>
      <c r="BB258" s="758">
        <v>272656691</v>
      </c>
      <c r="BC258" s="758">
        <v>170894134</v>
      </c>
      <c r="BD258" s="758">
        <v>83350874</v>
      </c>
      <c r="BE258" s="758">
        <v>105808447</v>
      </c>
      <c r="BF258" s="758">
        <v>111319474</v>
      </c>
      <c r="BG258" s="518">
        <f t="shared" si="105"/>
        <v>132492930</v>
      </c>
      <c r="BH258" s="758">
        <v>111319474</v>
      </c>
      <c r="BI258" s="758">
        <v>111319474</v>
      </c>
      <c r="BJ258" s="758">
        <v>111319474</v>
      </c>
      <c r="BK258" s="758">
        <v>111319474</v>
      </c>
      <c r="BL258" s="759">
        <f t="shared" si="112"/>
        <v>1741577044</v>
      </c>
      <c r="BN258" s="754">
        <v>150000000</v>
      </c>
      <c r="BO258" s="754">
        <v>150000000</v>
      </c>
      <c r="BP258" s="754">
        <v>150000000</v>
      </c>
      <c r="BQ258" s="754">
        <v>150000000</v>
      </c>
      <c r="BR258" s="754">
        <v>127500000</v>
      </c>
      <c r="BS258" s="754">
        <v>150000000</v>
      </c>
      <c r="BT258" s="754">
        <v>165000000</v>
      </c>
      <c r="BU258" s="754">
        <v>165000000</v>
      </c>
      <c r="BV258" s="754">
        <v>165000000</v>
      </c>
      <c r="BW258" s="754">
        <v>165000000</v>
      </c>
      <c r="BX258" s="754">
        <v>165000000</v>
      </c>
      <c r="BY258" s="754">
        <v>165000000</v>
      </c>
      <c r="BZ258" s="791">
        <v>1867500000</v>
      </c>
      <c r="CB258" s="754">
        <v>150000000</v>
      </c>
      <c r="CC258" s="754">
        <v>150000000</v>
      </c>
      <c r="CD258" s="754">
        <v>150000000</v>
      </c>
      <c r="CE258" s="754">
        <v>150000000</v>
      </c>
      <c r="CF258" s="754">
        <v>127500000</v>
      </c>
      <c r="CG258" s="754">
        <v>150000000</v>
      </c>
      <c r="CH258" s="754">
        <v>165000000</v>
      </c>
      <c r="CI258" s="754">
        <v>165000000</v>
      </c>
      <c r="CJ258" s="754">
        <v>165000000</v>
      </c>
      <c r="CK258" s="754">
        <v>165000000</v>
      </c>
      <c r="CL258" s="754">
        <v>165000000</v>
      </c>
      <c r="CM258" s="754">
        <v>165000000</v>
      </c>
      <c r="CN258" s="791">
        <v>1867500000</v>
      </c>
      <c r="CP258" s="650">
        <v>260620598</v>
      </c>
      <c r="CQ258" s="650">
        <v>286765190</v>
      </c>
      <c r="CR258" s="522">
        <v>200000000</v>
      </c>
      <c r="CS258" s="650">
        <v>225449379</v>
      </c>
      <c r="CT258" s="522">
        <v>200000000</v>
      </c>
      <c r="CU258" s="650">
        <f>336366856+7055000</f>
        <v>343421856</v>
      </c>
      <c r="CV258" s="522">
        <v>250000000</v>
      </c>
      <c r="CW258" s="650">
        <v>90194651</v>
      </c>
      <c r="CX258" s="522">
        <v>200000000</v>
      </c>
      <c r="CY258" s="650">
        <v>124169694</v>
      </c>
      <c r="CZ258" s="522">
        <v>200000000</v>
      </c>
      <c r="DA258" s="650">
        <v>115595087</v>
      </c>
      <c r="DB258" s="522">
        <f>CZ258</f>
        <v>200000000</v>
      </c>
      <c r="DC258" s="650">
        <v>166487295</v>
      </c>
      <c r="DD258" s="522">
        <f>DB258</f>
        <v>200000000</v>
      </c>
      <c r="DE258" s="518"/>
      <c r="DF258" s="522">
        <f>DE258</f>
        <v>0</v>
      </c>
      <c r="DG258" s="471">
        <f>DD258</f>
        <v>200000000</v>
      </c>
      <c r="DH258" s="518"/>
      <c r="DI258" s="522">
        <f>DH258</f>
        <v>0</v>
      </c>
      <c r="DJ258" s="471">
        <f>DG258</f>
        <v>200000000</v>
      </c>
      <c r="DK258" s="518"/>
      <c r="DL258" s="522">
        <f>DK258</f>
        <v>0</v>
      </c>
      <c r="DM258" s="471">
        <f>DJ258</f>
        <v>200000000</v>
      </c>
      <c r="DN258" s="518"/>
      <c r="DO258" s="522">
        <f>DN258</f>
        <v>0</v>
      </c>
      <c r="DP258" s="471">
        <f>DM258</f>
        <v>200000000</v>
      </c>
      <c r="DQ258" s="493">
        <f t="shared" si="110"/>
        <v>1612703750</v>
      </c>
      <c r="DR258" s="479">
        <f t="shared" si="107"/>
        <v>2412703750</v>
      </c>
      <c r="DS258" s="1019">
        <v>250000000</v>
      </c>
      <c r="DT258" s="1019">
        <v>250000000</v>
      </c>
      <c r="DU258" s="1019">
        <v>250000000</v>
      </c>
      <c r="DV258" s="1019">
        <v>250000000</v>
      </c>
      <c r="DW258" s="1019">
        <v>250000000</v>
      </c>
      <c r="DX258" s="1019">
        <v>250000000</v>
      </c>
      <c r="DY258" s="1019">
        <v>250000000</v>
      </c>
      <c r="DZ258" s="1019">
        <v>250000000</v>
      </c>
      <c r="EA258" s="1019">
        <v>250000000</v>
      </c>
      <c r="EB258" s="1019">
        <v>250000000</v>
      </c>
      <c r="EC258" s="1019">
        <v>250000000</v>
      </c>
      <c r="ED258" s="1019">
        <v>250000000</v>
      </c>
      <c r="EE258" s="1119">
        <f t="shared" si="109"/>
        <v>3000000000</v>
      </c>
      <c r="EF258" s="443">
        <f t="shared" si="108"/>
        <v>3510000000</v>
      </c>
      <c r="EG258" s="443">
        <v>3000000000</v>
      </c>
      <c r="EH258" s="443">
        <v>3800000000</v>
      </c>
      <c r="EI258" s="443">
        <v>3800000000</v>
      </c>
      <c r="EJ258" s="367">
        <v>8000000010</v>
      </c>
    </row>
    <row r="259" spans="1:141" outlineLevel="2">
      <c r="A259" s="367" t="s">
        <v>159</v>
      </c>
      <c r="B259" s="378"/>
      <c r="C259" s="370" t="s">
        <v>358</v>
      </c>
      <c r="D259" s="370" t="s">
        <v>40</v>
      </c>
      <c r="E259" s="379" t="s">
        <v>570</v>
      </c>
      <c r="F259" s="380">
        <v>3000019504</v>
      </c>
      <c r="G259" s="184">
        <v>0</v>
      </c>
      <c r="H259" s="184">
        <v>0</v>
      </c>
      <c r="I259" s="184">
        <v>0</v>
      </c>
      <c r="J259" s="184">
        <v>0</v>
      </c>
      <c r="K259" s="184">
        <v>0</v>
      </c>
      <c r="L259" s="184">
        <v>0</v>
      </c>
      <c r="M259" s="184">
        <v>0</v>
      </c>
      <c r="N259" s="184">
        <v>0</v>
      </c>
      <c r="O259" s="184">
        <v>0</v>
      </c>
      <c r="P259" s="184">
        <v>0</v>
      </c>
      <c r="Q259" s="184">
        <v>0</v>
      </c>
      <c r="R259" s="184">
        <v>0</v>
      </c>
      <c r="S259" s="14">
        <f t="shared" si="101"/>
        <v>0</v>
      </c>
      <c r="T259" s="179"/>
      <c r="U259" s="184">
        <v>0</v>
      </c>
      <c r="V259" s="184">
        <v>0</v>
      </c>
      <c r="W259" s="184">
        <v>0</v>
      </c>
      <c r="X259" s="184">
        <v>0</v>
      </c>
      <c r="Y259" s="184">
        <v>0</v>
      </c>
      <c r="Z259" s="184">
        <v>0</v>
      </c>
      <c r="AA259" s="184">
        <v>0</v>
      </c>
      <c r="AB259" s="184">
        <v>0</v>
      </c>
      <c r="AC259" s="184">
        <v>0</v>
      </c>
      <c r="AD259" s="184">
        <v>0</v>
      </c>
      <c r="AE259" s="184">
        <v>0</v>
      </c>
      <c r="AF259" s="184">
        <v>0</v>
      </c>
      <c r="AG259" s="759">
        <f t="shared" si="102"/>
        <v>0</v>
      </c>
      <c r="AH259" s="788"/>
      <c r="AI259" s="189"/>
      <c r="AJ259" s="810">
        <v>5600000</v>
      </c>
      <c r="AK259" s="758">
        <v>0</v>
      </c>
      <c r="AL259" s="758">
        <v>0</v>
      </c>
      <c r="AM259" s="758">
        <v>0</v>
      </c>
      <c r="AN259" s="758">
        <v>0</v>
      </c>
      <c r="AO259" s="758">
        <v>0</v>
      </c>
      <c r="AP259" s="758">
        <v>0</v>
      </c>
      <c r="AQ259" s="518">
        <v>0</v>
      </c>
      <c r="AR259" s="813"/>
      <c r="AS259" s="813"/>
      <c r="AT259" s="813"/>
      <c r="AU259" s="518">
        <f t="shared" si="103"/>
        <v>0</v>
      </c>
      <c r="AV259" s="518">
        <f t="shared" si="103"/>
        <v>0</v>
      </c>
      <c r="AW259" s="518">
        <f t="shared" si="103"/>
        <v>0</v>
      </c>
      <c r="AX259" s="518">
        <f t="shared" si="104"/>
        <v>5600000</v>
      </c>
      <c r="AY259" s="788"/>
      <c r="AZ259" s="189"/>
      <c r="BA259" s="810">
        <v>5600000</v>
      </c>
      <c r="BB259" s="758">
        <v>0</v>
      </c>
      <c r="BC259" s="758">
        <v>0</v>
      </c>
      <c r="BD259" s="758">
        <v>0</v>
      </c>
      <c r="BE259" s="758">
        <v>0</v>
      </c>
      <c r="BF259" s="758">
        <v>0</v>
      </c>
      <c r="BG259" s="518">
        <f t="shared" si="105"/>
        <v>0</v>
      </c>
      <c r="BH259" s="758">
        <v>0</v>
      </c>
      <c r="BI259" s="758">
        <v>0</v>
      </c>
      <c r="BJ259" s="758">
        <v>0</v>
      </c>
      <c r="BK259" s="758">
        <v>0</v>
      </c>
      <c r="BL259" s="759">
        <f t="shared" si="112"/>
        <v>5600000</v>
      </c>
      <c r="BN259" s="754">
        <v>0</v>
      </c>
      <c r="BO259" s="754">
        <v>0</v>
      </c>
      <c r="BP259" s="754">
        <v>0</v>
      </c>
      <c r="BQ259" s="754">
        <v>0</v>
      </c>
      <c r="BR259" s="754">
        <v>0</v>
      </c>
      <c r="BS259" s="754">
        <v>0</v>
      </c>
      <c r="BT259" s="754">
        <v>0</v>
      </c>
      <c r="BU259" s="754">
        <v>0</v>
      </c>
      <c r="BV259" s="754">
        <v>0</v>
      </c>
      <c r="BW259" s="754">
        <v>0</v>
      </c>
      <c r="BX259" s="754">
        <v>0</v>
      </c>
      <c r="BY259" s="754">
        <v>0</v>
      </c>
      <c r="BZ259" s="791">
        <v>0</v>
      </c>
      <c r="CB259" s="754">
        <v>0</v>
      </c>
      <c r="CC259" s="754">
        <v>0</v>
      </c>
      <c r="CD259" s="754">
        <v>0</v>
      </c>
      <c r="CE259" s="754">
        <v>0</v>
      </c>
      <c r="CF259" s="754">
        <v>0</v>
      </c>
      <c r="CG259" s="754">
        <v>0</v>
      </c>
      <c r="CH259" s="754">
        <v>0</v>
      </c>
      <c r="CI259" s="754">
        <v>0</v>
      </c>
      <c r="CJ259" s="754">
        <v>0</v>
      </c>
      <c r="CK259" s="754">
        <v>0</v>
      </c>
      <c r="CL259" s="754">
        <v>0</v>
      </c>
      <c r="CM259" s="754">
        <v>0</v>
      </c>
      <c r="CN259" s="791">
        <v>0</v>
      </c>
      <c r="CP259" s="650"/>
      <c r="CQ259" s="650"/>
      <c r="CR259" s="522"/>
      <c r="CS259" s="650"/>
      <c r="CT259" s="522"/>
      <c r="CU259" s="650"/>
      <c r="CV259" s="522"/>
      <c r="CW259" s="650"/>
      <c r="CX259" s="522"/>
      <c r="CY259" s="650"/>
      <c r="CZ259" s="522"/>
      <c r="DA259" s="650"/>
      <c r="DB259" s="522"/>
      <c r="DC259" s="650">
        <v>0</v>
      </c>
      <c r="DD259" s="522"/>
      <c r="DE259" s="754"/>
      <c r="DF259" s="522"/>
      <c r="DG259" s="471"/>
      <c r="DH259" s="754"/>
      <c r="DI259" s="522"/>
      <c r="DJ259" s="471"/>
      <c r="DK259" s="754"/>
      <c r="DL259" s="522"/>
      <c r="DM259" s="471"/>
      <c r="DN259" s="754"/>
      <c r="DO259" s="522"/>
      <c r="DP259" s="471"/>
      <c r="DQ259" s="493">
        <f t="shared" si="110"/>
        <v>0</v>
      </c>
      <c r="DR259" s="479">
        <f t="shared" si="107"/>
        <v>0</v>
      </c>
      <c r="DS259" s="1019"/>
      <c r="DT259" s="1019"/>
      <c r="DU259" s="1019"/>
      <c r="DV259" s="1019"/>
      <c r="DW259" s="1019"/>
      <c r="DX259" s="1019"/>
      <c r="DY259" s="1019"/>
      <c r="DZ259" s="1019"/>
      <c r="EA259" s="1019"/>
      <c r="EB259" s="1019"/>
      <c r="EC259" s="1019"/>
      <c r="ED259" s="1019"/>
      <c r="EE259" s="1119">
        <f t="shared" si="109"/>
        <v>0</v>
      </c>
      <c r="EF259" s="443">
        <f t="shared" si="108"/>
        <v>0</v>
      </c>
      <c r="EG259" s="443">
        <f>EF259*1.08</f>
        <v>0</v>
      </c>
      <c r="EH259" s="443">
        <f>EG259*1.09</f>
        <v>0</v>
      </c>
      <c r="EI259" s="443">
        <f>EH259*1.09</f>
        <v>0</v>
      </c>
      <c r="EJ259" s="367">
        <v>3000019504</v>
      </c>
    </row>
    <row r="260" spans="1:141" outlineLevel="2">
      <c r="A260" s="367" t="s">
        <v>159</v>
      </c>
      <c r="B260" s="378"/>
      <c r="C260" s="370" t="s">
        <v>358</v>
      </c>
      <c r="D260" s="370" t="s">
        <v>40</v>
      </c>
      <c r="E260" s="379" t="s">
        <v>171</v>
      </c>
      <c r="F260" s="380">
        <v>3000011390</v>
      </c>
      <c r="G260" s="184">
        <v>0</v>
      </c>
      <c r="H260" s="184">
        <v>0</v>
      </c>
      <c r="I260" s="184">
        <v>0</v>
      </c>
      <c r="J260" s="184">
        <v>0</v>
      </c>
      <c r="K260" s="184">
        <v>0</v>
      </c>
      <c r="L260" s="184">
        <v>0</v>
      </c>
      <c r="M260" s="184">
        <v>0</v>
      </c>
      <c r="N260" s="184">
        <v>0</v>
      </c>
      <c r="O260" s="184">
        <v>0</v>
      </c>
      <c r="P260" s="184">
        <v>0</v>
      </c>
      <c r="Q260" s="184">
        <v>0</v>
      </c>
      <c r="R260" s="184">
        <v>0</v>
      </c>
      <c r="S260" s="14">
        <f>SUM(G260,H260,I260,J260,K260,L260,M260,N260,O260,P260,Q260,R260)</f>
        <v>0</v>
      </c>
      <c r="T260" s="15"/>
      <c r="U260" s="184">
        <v>0</v>
      </c>
      <c r="V260" s="184">
        <v>0</v>
      </c>
      <c r="W260" s="184">
        <v>0</v>
      </c>
      <c r="X260" s="184">
        <v>0</v>
      </c>
      <c r="Y260" s="184">
        <v>0</v>
      </c>
      <c r="Z260" s="184">
        <v>0</v>
      </c>
      <c r="AA260" s="184">
        <v>0</v>
      </c>
      <c r="AB260" s="184">
        <v>0</v>
      </c>
      <c r="AC260" s="184">
        <v>0</v>
      </c>
      <c r="AD260" s="184">
        <v>0</v>
      </c>
      <c r="AE260" s="184">
        <v>15450000</v>
      </c>
      <c r="AF260" s="184">
        <v>25120000</v>
      </c>
      <c r="AG260" s="759">
        <f>SUM(U260,V260,W260,X260,Y260,Z260,AA260,AB260,AC260,AD260,AE260,AF260)</f>
        <v>40570000</v>
      </c>
      <c r="AH260" s="811"/>
      <c r="AI260" s="812">
        <v>29420000</v>
      </c>
      <c r="AJ260" s="810">
        <v>7450000</v>
      </c>
      <c r="AK260" s="758">
        <v>15500000</v>
      </c>
      <c r="AL260" s="758">
        <v>19640000</v>
      </c>
      <c r="AM260" s="758">
        <v>31450000</v>
      </c>
      <c r="AN260" s="758">
        <v>21600000</v>
      </c>
      <c r="AO260" s="758">
        <v>6600000</v>
      </c>
      <c r="AP260" s="758">
        <v>7750000</v>
      </c>
      <c r="AQ260" s="518">
        <v>7500000</v>
      </c>
      <c r="AR260" s="813">
        <v>19350000</v>
      </c>
      <c r="AS260" s="813">
        <v>6000000</v>
      </c>
      <c r="AT260" s="813">
        <v>13000000</v>
      </c>
      <c r="AU260" s="518">
        <f>BI260</f>
        <v>15000000</v>
      </c>
      <c r="AV260" s="518">
        <f>BJ260</f>
        <v>15000000</v>
      </c>
      <c r="AW260" s="518">
        <f>BK260</f>
        <v>15000000</v>
      </c>
      <c r="AX260" s="518">
        <f>SUM(AI260,AJ260,AK260,AL260,AM260,AN260,AO260,AP260,AQ260,AR260,AS260,AT260)</f>
        <v>185260000</v>
      </c>
      <c r="AY260" s="811"/>
      <c r="AZ260" s="812">
        <v>29420000</v>
      </c>
      <c r="BA260" s="810">
        <v>7450000</v>
      </c>
      <c r="BB260" s="758">
        <v>15500000</v>
      </c>
      <c r="BC260" s="758">
        <v>19640000</v>
      </c>
      <c r="BD260" s="758">
        <v>31450000</v>
      </c>
      <c r="BE260" s="758">
        <v>21600000</v>
      </c>
      <c r="BF260" s="758">
        <v>6600000</v>
      </c>
      <c r="BG260" s="518">
        <f>AP260</f>
        <v>7750000</v>
      </c>
      <c r="BH260" s="758">
        <v>15000000</v>
      </c>
      <c r="BI260" s="758">
        <v>15000000</v>
      </c>
      <c r="BJ260" s="758">
        <v>15000000</v>
      </c>
      <c r="BK260" s="758">
        <v>15000000</v>
      </c>
      <c r="BL260" s="759">
        <f t="shared" si="112"/>
        <v>199410000</v>
      </c>
      <c r="BN260" s="754">
        <v>20000000</v>
      </c>
      <c r="BO260" s="754">
        <v>20000000</v>
      </c>
      <c r="BP260" s="754">
        <v>20000000</v>
      </c>
      <c r="BQ260" s="754">
        <v>20000000</v>
      </c>
      <c r="BR260" s="754">
        <v>17000000</v>
      </c>
      <c r="BS260" s="754">
        <v>20000000</v>
      </c>
      <c r="BT260" s="754">
        <v>22000000</v>
      </c>
      <c r="BU260" s="754">
        <v>22000000</v>
      </c>
      <c r="BV260" s="754">
        <v>22000000</v>
      </c>
      <c r="BW260" s="754">
        <v>22000000</v>
      </c>
      <c r="BX260" s="754">
        <v>22000000</v>
      </c>
      <c r="BY260" s="754">
        <v>22000000</v>
      </c>
      <c r="BZ260" s="791">
        <v>249000000</v>
      </c>
      <c r="CB260" s="754">
        <v>20000000</v>
      </c>
      <c r="CC260" s="754">
        <v>20000000</v>
      </c>
      <c r="CD260" s="754">
        <v>20000000</v>
      </c>
      <c r="CE260" s="754">
        <v>20000000</v>
      </c>
      <c r="CF260" s="754">
        <v>17000000</v>
      </c>
      <c r="CG260" s="754">
        <v>20000000</v>
      </c>
      <c r="CH260" s="754">
        <v>22000000</v>
      </c>
      <c r="CI260" s="754">
        <v>22000000</v>
      </c>
      <c r="CJ260" s="754">
        <v>22000000</v>
      </c>
      <c r="CK260" s="754">
        <v>22000000</v>
      </c>
      <c r="CL260" s="754">
        <v>22000000</v>
      </c>
      <c r="CM260" s="754">
        <v>22000000</v>
      </c>
      <c r="CN260" s="791">
        <v>249000000</v>
      </c>
      <c r="CP260" s="650">
        <v>11500000</v>
      </c>
      <c r="CQ260" s="650">
        <v>19400000</v>
      </c>
      <c r="CR260" s="522">
        <v>22000000</v>
      </c>
      <c r="CS260" s="650">
        <v>3300000</v>
      </c>
      <c r="CT260" s="522">
        <v>10000000</v>
      </c>
      <c r="CU260" s="650"/>
      <c r="CV260" s="522">
        <f>CT260</f>
        <v>10000000</v>
      </c>
      <c r="CW260" s="650">
        <v>3300000</v>
      </c>
      <c r="CX260" s="522">
        <f>CV260</f>
        <v>10000000</v>
      </c>
      <c r="CY260" s="650">
        <v>19000000</v>
      </c>
      <c r="CZ260" s="522">
        <f>CX260</f>
        <v>10000000</v>
      </c>
      <c r="DA260" s="650">
        <v>12900000</v>
      </c>
      <c r="DB260" s="522">
        <f>CZ260</f>
        <v>10000000</v>
      </c>
      <c r="DC260" s="650">
        <v>7400000</v>
      </c>
      <c r="DD260" s="522">
        <f>DB260</f>
        <v>10000000</v>
      </c>
      <c r="DE260" s="518"/>
      <c r="DF260" s="522">
        <f>DE260</f>
        <v>0</v>
      </c>
      <c r="DG260" s="471">
        <f>DD260</f>
        <v>10000000</v>
      </c>
      <c r="DH260" s="518"/>
      <c r="DI260" s="522">
        <f>DH260</f>
        <v>0</v>
      </c>
      <c r="DJ260" s="471">
        <f>DG260</f>
        <v>10000000</v>
      </c>
      <c r="DK260" s="518"/>
      <c r="DL260" s="522">
        <f>DK260</f>
        <v>0</v>
      </c>
      <c r="DM260" s="471">
        <f>DJ260</f>
        <v>10000000</v>
      </c>
      <c r="DN260" s="518"/>
      <c r="DO260" s="522">
        <f>DN260</f>
        <v>0</v>
      </c>
      <c r="DP260" s="471">
        <f>DM260</f>
        <v>10000000</v>
      </c>
      <c r="DQ260" s="493">
        <f t="shared" si="110"/>
        <v>76800000</v>
      </c>
      <c r="DR260" s="479">
        <f t="shared" si="107"/>
        <v>116800000</v>
      </c>
      <c r="DS260" s="1019">
        <v>15000000</v>
      </c>
      <c r="DT260" s="1019">
        <v>15000000</v>
      </c>
      <c r="DU260" s="1019">
        <v>15000000</v>
      </c>
      <c r="DV260" s="1019">
        <v>15000000</v>
      </c>
      <c r="DW260" s="1019">
        <v>15000000</v>
      </c>
      <c r="DX260" s="1019">
        <v>15000000</v>
      </c>
      <c r="DY260" s="1019">
        <v>15000000</v>
      </c>
      <c r="DZ260" s="1019">
        <v>15000000</v>
      </c>
      <c r="EA260" s="1019">
        <v>15000000</v>
      </c>
      <c r="EB260" s="1019">
        <v>15000000</v>
      </c>
      <c r="EC260" s="1019">
        <v>15000000</v>
      </c>
      <c r="ED260" s="1019">
        <v>15000000</v>
      </c>
      <c r="EE260" s="1119">
        <f t="shared" si="109"/>
        <v>180000000</v>
      </c>
      <c r="EF260" s="443">
        <f>EE260*1.17</f>
        <v>210600000</v>
      </c>
      <c r="EG260" s="443">
        <f>EF260*1.08</f>
        <v>227448000.00000003</v>
      </c>
      <c r="EH260" s="443">
        <f>EG260*1.09</f>
        <v>247918320.00000006</v>
      </c>
      <c r="EI260" s="443">
        <f>EH260*1.09</f>
        <v>270230968.80000007</v>
      </c>
      <c r="EJ260" s="367">
        <v>3000011390</v>
      </c>
    </row>
    <row r="261" spans="1:141" outlineLevel="2">
      <c r="A261" s="367" t="s">
        <v>159</v>
      </c>
      <c r="B261" s="378"/>
      <c r="C261" s="370" t="s">
        <v>358</v>
      </c>
      <c r="D261" s="370" t="s">
        <v>40</v>
      </c>
      <c r="E261" s="379" t="s">
        <v>87</v>
      </c>
      <c r="F261" s="380">
        <v>3000007550</v>
      </c>
      <c r="G261" s="184">
        <v>0</v>
      </c>
      <c r="H261" s="184">
        <v>0</v>
      </c>
      <c r="I261" s="184">
        <v>0</v>
      </c>
      <c r="J261" s="184">
        <v>0</v>
      </c>
      <c r="K261" s="184">
        <v>0</v>
      </c>
      <c r="L261" s="184">
        <v>0</v>
      </c>
      <c r="M261" s="184">
        <v>140331500</v>
      </c>
      <c r="N261" s="184">
        <v>146585200</v>
      </c>
      <c r="O261" s="184">
        <v>161066500</v>
      </c>
      <c r="P261" s="184">
        <v>135652675</v>
      </c>
      <c r="Q261" s="184">
        <v>133043500</v>
      </c>
      <c r="R261" s="184">
        <v>132754300</v>
      </c>
      <c r="S261" s="14">
        <f t="shared" si="101"/>
        <v>849433675</v>
      </c>
      <c r="T261" s="15"/>
      <c r="U261" s="184">
        <v>133437500</v>
      </c>
      <c r="V261" s="184">
        <v>392630439</v>
      </c>
      <c r="W261" s="184">
        <v>254521570</v>
      </c>
      <c r="X261" s="184">
        <v>176841181</v>
      </c>
      <c r="Y261" s="184">
        <v>-10340917</v>
      </c>
      <c r="Z261" s="184">
        <v>156756744</v>
      </c>
      <c r="AA261" s="184">
        <v>165524744</v>
      </c>
      <c r="AB261" s="184">
        <v>168132567</v>
      </c>
      <c r="AC261" s="184">
        <v>167468744</v>
      </c>
      <c r="AD261" s="184">
        <v>173998931</v>
      </c>
      <c r="AE261" s="184">
        <v>162837731</v>
      </c>
      <c r="AF261" s="184">
        <v>175949118</v>
      </c>
      <c r="AG261" s="759">
        <f t="shared" si="102"/>
        <v>2117758352</v>
      </c>
      <c r="AH261" s="811"/>
      <c r="AI261" s="812">
        <v>163986418</v>
      </c>
      <c r="AJ261" s="810">
        <v>241216931</v>
      </c>
      <c r="AK261" s="758">
        <v>258414205</v>
      </c>
      <c r="AL261" s="758">
        <v>203290120</v>
      </c>
      <c r="AM261" s="758">
        <v>155182767</v>
      </c>
      <c r="AN261" s="758">
        <v>153987131</v>
      </c>
      <c r="AO261" s="758">
        <v>156100931</v>
      </c>
      <c r="AP261" s="758">
        <v>166125202</v>
      </c>
      <c r="AQ261" s="518">
        <v>184365844</v>
      </c>
      <c r="AR261" s="813">
        <v>163616618</v>
      </c>
      <c r="AS261" s="813">
        <v>184895031</v>
      </c>
      <c r="AT261" s="813">
        <v>195779935</v>
      </c>
      <c r="AU261" s="518">
        <f>AQ261</f>
        <v>184365844</v>
      </c>
      <c r="AV261" s="518">
        <f>AU261</f>
        <v>184365844</v>
      </c>
      <c r="AW261" s="518">
        <f>AV261</f>
        <v>184365844</v>
      </c>
      <c r="AX261" s="518">
        <f t="shared" si="104"/>
        <v>2226961133</v>
      </c>
      <c r="AY261" s="811"/>
      <c r="AZ261" s="812">
        <v>163986418</v>
      </c>
      <c r="BA261" s="810">
        <v>241216931</v>
      </c>
      <c r="BB261" s="758">
        <v>258414205</v>
      </c>
      <c r="BC261" s="758">
        <v>203290120</v>
      </c>
      <c r="BD261" s="758">
        <v>155182767</v>
      </c>
      <c r="BE261" s="758">
        <v>153987131</v>
      </c>
      <c r="BF261" s="758">
        <v>156100931</v>
      </c>
      <c r="BG261" s="518">
        <f t="shared" si="105"/>
        <v>166125202</v>
      </c>
      <c r="BH261" s="758">
        <v>5000000</v>
      </c>
      <c r="BI261" s="758">
        <v>5000000</v>
      </c>
      <c r="BJ261" s="758">
        <v>5000000</v>
      </c>
      <c r="BK261" s="758">
        <v>5000000</v>
      </c>
      <c r="BL261" s="759">
        <f t="shared" si="112"/>
        <v>1518303705</v>
      </c>
      <c r="BN261" s="754">
        <v>184365844</v>
      </c>
      <c r="BO261" s="754">
        <v>184365844</v>
      </c>
      <c r="BP261" s="754">
        <v>184365844</v>
      </c>
      <c r="BQ261" s="754">
        <v>184365844</v>
      </c>
      <c r="BR261" s="754">
        <v>156710967.40000001</v>
      </c>
      <c r="BS261" s="754">
        <v>184365844</v>
      </c>
      <c r="BT261" s="754">
        <v>202802428.40000001</v>
      </c>
      <c r="BU261" s="754">
        <v>202802428.40000001</v>
      </c>
      <c r="BV261" s="754">
        <v>202802428.40000001</v>
      </c>
      <c r="BW261" s="754">
        <v>202802428.40000001</v>
      </c>
      <c r="BX261" s="754">
        <v>202802428.40000001</v>
      </c>
      <c r="BY261" s="754">
        <v>202802428.40000001</v>
      </c>
      <c r="BZ261" s="791">
        <v>2295354757.8000007</v>
      </c>
      <c r="CB261" s="754">
        <v>184365844</v>
      </c>
      <c r="CC261" s="754">
        <v>184365844</v>
      </c>
      <c r="CD261" s="754">
        <v>184365844</v>
      </c>
      <c r="CE261" s="754">
        <v>184365844</v>
      </c>
      <c r="CF261" s="754">
        <v>156710967.40000001</v>
      </c>
      <c r="CG261" s="754">
        <v>184365844</v>
      </c>
      <c r="CH261" s="754">
        <v>202802428.40000001</v>
      </c>
      <c r="CI261" s="754">
        <v>202802428.40000001</v>
      </c>
      <c r="CJ261" s="754">
        <v>202802428.40000001</v>
      </c>
      <c r="CK261" s="754">
        <v>202802428.40000001</v>
      </c>
      <c r="CL261" s="754">
        <v>202802428.40000001</v>
      </c>
      <c r="CM261" s="754">
        <v>202802428.40000001</v>
      </c>
      <c r="CN261" s="791">
        <v>2295354757.8000007</v>
      </c>
      <c r="CP261" s="650">
        <v>155875051</v>
      </c>
      <c r="CQ261" s="650">
        <v>247990144</v>
      </c>
      <c r="CR261" s="522">
        <f>CP261</f>
        <v>155875051</v>
      </c>
      <c r="CS261" s="650">
        <v>167025980</v>
      </c>
      <c r="CT261" s="522">
        <v>250000000</v>
      </c>
      <c r="CU261" s="650">
        <f>8859400+171227678</f>
        <v>180087078</v>
      </c>
      <c r="CV261" s="522">
        <v>200000000</v>
      </c>
      <c r="CW261" s="650">
        <v>175249064</v>
      </c>
      <c r="CX261" s="522">
        <f>CV261</f>
        <v>200000000</v>
      </c>
      <c r="CY261" s="650">
        <v>184661969</v>
      </c>
      <c r="CZ261" s="522">
        <v>225000000</v>
      </c>
      <c r="DA261" s="650">
        <v>148405055</v>
      </c>
      <c r="DB261" s="522">
        <f>CZ261</f>
        <v>225000000</v>
      </c>
      <c r="DC261" s="650">
        <v>168056118</v>
      </c>
      <c r="DD261" s="522">
        <f>DB261</f>
        <v>225000000</v>
      </c>
      <c r="DE261" s="518"/>
      <c r="DF261" s="522">
        <f>DE261</f>
        <v>0</v>
      </c>
      <c r="DG261" s="471">
        <v>200000000</v>
      </c>
      <c r="DH261" s="518"/>
      <c r="DI261" s="522">
        <f>DH261</f>
        <v>0</v>
      </c>
      <c r="DJ261" s="471">
        <f>DG261</f>
        <v>200000000</v>
      </c>
      <c r="DK261" s="518"/>
      <c r="DL261" s="522">
        <f>DK261</f>
        <v>0</v>
      </c>
      <c r="DM261" s="471">
        <f>DJ261</f>
        <v>200000000</v>
      </c>
      <c r="DN261" s="518"/>
      <c r="DO261" s="522">
        <f>DN261</f>
        <v>0</v>
      </c>
      <c r="DP261" s="471">
        <f>DM261</f>
        <v>200000000</v>
      </c>
      <c r="DQ261" s="493">
        <f t="shared" si="110"/>
        <v>1427350459</v>
      </c>
      <c r="DR261" s="479">
        <f t="shared" si="107"/>
        <v>2227350459</v>
      </c>
      <c r="DS261" s="1019">
        <v>250000000</v>
      </c>
      <c r="DT261" s="1019">
        <f>DS261</f>
        <v>250000000</v>
      </c>
      <c r="DU261" s="1019">
        <v>200000000</v>
      </c>
      <c r="DV261" s="1019">
        <f>DU261</f>
        <v>200000000</v>
      </c>
      <c r="DW261" s="1019">
        <v>200000000</v>
      </c>
      <c r="DX261" s="1019">
        <v>200000000</v>
      </c>
      <c r="DY261" s="1019">
        <v>200000000</v>
      </c>
      <c r="DZ261" s="1019">
        <v>200000000</v>
      </c>
      <c r="EA261" s="1019">
        <v>200000000</v>
      </c>
      <c r="EB261" s="1019">
        <v>200000000</v>
      </c>
      <c r="EC261" s="1019">
        <v>200000000</v>
      </c>
      <c r="ED261" s="1019">
        <v>200000000</v>
      </c>
      <c r="EE261" s="1119">
        <f t="shared" si="109"/>
        <v>2500000000</v>
      </c>
      <c r="EF261" s="443">
        <f t="shared" si="108"/>
        <v>2925000000</v>
      </c>
      <c r="EG261" s="443">
        <v>3800000000</v>
      </c>
      <c r="EH261" s="443">
        <v>4500000000</v>
      </c>
      <c r="EI261" s="443">
        <v>4500000000</v>
      </c>
      <c r="EJ261" s="367">
        <v>3000007550</v>
      </c>
    </row>
    <row r="262" spans="1:141" outlineLevel="2">
      <c r="A262" s="367" t="s">
        <v>159</v>
      </c>
      <c r="B262" s="378"/>
      <c r="C262" s="370" t="s">
        <v>358</v>
      </c>
      <c r="D262" s="370" t="s">
        <v>40</v>
      </c>
      <c r="E262" s="383" t="s">
        <v>89</v>
      </c>
      <c r="F262" s="380">
        <v>8000000018</v>
      </c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  <c r="R262" s="184"/>
      <c r="S262" s="14"/>
      <c r="T262" s="179"/>
      <c r="U262" s="184">
        <v>0</v>
      </c>
      <c r="V262" s="184">
        <v>0</v>
      </c>
      <c r="W262" s="184">
        <v>0</v>
      </c>
      <c r="X262" s="184">
        <v>0</v>
      </c>
      <c r="Y262" s="184">
        <v>0</v>
      </c>
      <c r="Z262" s="184">
        <v>0</v>
      </c>
      <c r="AA262" s="184">
        <v>0</v>
      </c>
      <c r="AB262" s="184">
        <v>0</v>
      </c>
      <c r="AC262" s="184">
        <v>0</v>
      </c>
      <c r="AD262" s="184">
        <v>0</v>
      </c>
      <c r="AE262" s="184">
        <v>927850</v>
      </c>
      <c r="AF262" s="184">
        <v>0</v>
      </c>
      <c r="AG262" s="759">
        <f>SUM(U262,V262,W262,X262,Y262,Z262,AA262,AB262,AC262,AD262,AE262,AF262)</f>
        <v>927850</v>
      </c>
      <c r="AH262" s="788"/>
      <c r="AI262" s="180"/>
      <c r="AJ262" s="810"/>
      <c r="AK262" s="6"/>
      <c r="AL262" s="6"/>
      <c r="AM262" s="6"/>
      <c r="AN262" s="6"/>
      <c r="AO262" s="6"/>
      <c r="AP262" s="758"/>
      <c r="AQ262" s="518">
        <v>0</v>
      </c>
      <c r="AR262" s="518"/>
      <c r="AS262" s="518"/>
      <c r="AT262" s="518"/>
      <c r="AU262" s="518"/>
      <c r="AV262" s="518"/>
      <c r="AW262" s="518"/>
      <c r="AX262" s="518">
        <f>SUM(AI262,AJ262,AK262,AL262,AM262,AN262,AO262,AP262,AQ262,AR262,AS262,AT262)</f>
        <v>0</v>
      </c>
      <c r="AY262" s="788"/>
      <c r="AZ262" s="180"/>
      <c r="BA262" s="810"/>
      <c r="BB262" s="6"/>
      <c r="BC262" s="6"/>
      <c r="BD262" s="6"/>
      <c r="BE262" s="6"/>
      <c r="BF262" s="6"/>
      <c r="BG262" s="518">
        <f>AP262</f>
        <v>0</v>
      </c>
      <c r="BH262" s="758"/>
      <c r="BI262" s="758"/>
      <c r="BJ262" s="758"/>
      <c r="BK262" s="758"/>
      <c r="BL262" s="518">
        <f t="shared" si="112"/>
        <v>0</v>
      </c>
      <c r="BN262" s="754"/>
      <c r="BO262" s="754"/>
      <c r="BP262" s="754"/>
      <c r="BQ262" s="754"/>
      <c r="BR262" s="754">
        <v>0</v>
      </c>
      <c r="BS262" s="754"/>
      <c r="BT262" s="754">
        <v>0</v>
      </c>
      <c r="BU262" s="754">
        <v>0</v>
      </c>
      <c r="BV262" s="754">
        <v>0</v>
      </c>
      <c r="BW262" s="754">
        <v>0</v>
      </c>
      <c r="BX262" s="754">
        <v>0</v>
      </c>
      <c r="BY262" s="754">
        <v>0</v>
      </c>
      <c r="BZ262" s="791">
        <v>0</v>
      </c>
      <c r="CB262" s="754"/>
      <c r="CC262" s="754"/>
      <c r="CD262" s="754"/>
      <c r="CE262" s="754"/>
      <c r="CF262" s="754">
        <v>0</v>
      </c>
      <c r="CG262" s="754"/>
      <c r="CH262" s="754">
        <v>0</v>
      </c>
      <c r="CI262" s="754">
        <v>0</v>
      </c>
      <c r="CJ262" s="754">
        <v>0</v>
      </c>
      <c r="CK262" s="754">
        <v>0</v>
      </c>
      <c r="CL262" s="754">
        <v>0</v>
      </c>
      <c r="CM262" s="754">
        <v>0</v>
      </c>
      <c r="CN262" s="791">
        <v>0</v>
      </c>
      <c r="CP262" s="650"/>
      <c r="CQ262" s="650"/>
      <c r="CR262" s="522"/>
      <c r="CS262" s="650"/>
      <c r="CT262" s="522"/>
      <c r="CU262" s="650"/>
      <c r="CV262" s="522"/>
      <c r="CW262" s="650"/>
      <c r="CX262" s="522"/>
      <c r="CY262" s="650"/>
      <c r="CZ262" s="522"/>
      <c r="DA262" s="650"/>
      <c r="DB262" s="522"/>
      <c r="DC262" s="650">
        <v>0</v>
      </c>
      <c r="DD262" s="522"/>
      <c r="DE262" s="754"/>
      <c r="DF262" s="522"/>
      <c r="DG262" s="471"/>
      <c r="DH262" s="754"/>
      <c r="DI262" s="522"/>
      <c r="DJ262" s="471"/>
      <c r="DK262" s="754"/>
      <c r="DL262" s="522"/>
      <c r="DM262" s="471"/>
      <c r="DN262" s="754"/>
      <c r="DO262" s="522"/>
      <c r="DP262" s="471"/>
      <c r="DQ262" s="493">
        <f t="shared" si="110"/>
        <v>0</v>
      </c>
      <c r="DR262" s="479">
        <f t="shared" si="107"/>
        <v>0</v>
      </c>
      <c r="DS262" s="1019"/>
      <c r="DT262" s="1019"/>
      <c r="DU262" s="1019"/>
      <c r="DV262" s="1019"/>
      <c r="DW262" s="1019"/>
      <c r="DX262" s="1019"/>
      <c r="DY262" s="1019"/>
      <c r="DZ262" s="1019"/>
      <c r="EA262" s="1019"/>
      <c r="EB262" s="1019"/>
      <c r="EC262" s="1019"/>
      <c r="ED262" s="1019"/>
      <c r="EE262" s="1119">
        <f t="shared" si="109"/>
        <v>0</v>
      </c>
      <c r="EF262" s="443">
        <f>EE262*1.17</f>
        <v>0</v>
      </c>
      <c r="EG262" s="443">
        <f t="shared" ref="EG262:EG267" si="116">EF262*1.08</f>
        <v>0</v>
      </c>
      <c r="EH262" s="443">
        <f t="shared" ref="EH262:EI264" si="117">EG262*1.09</f>
        <v>0</v>
      </c>
      <c r="EI262" s="443">
        <f t="shared" si="117"/>
        <v>0</v>
      </c>
      <c r="EJ262" s="367">
        <v>8000000018</v>
      </c>
    </row>
    <row r="263" spans="1:141" outlineLevel="2">
      <c r="A263" s="367" t="s">
        <v>159</v>
      </c>
      <c r="B263" s="378"/>
      <c r="C263" s="370" t="s">
        <v>358</v>
      </c>
      <c r="D263" s="370" t="s">
        <v>40</v>
      </c>
      <c r="E263" s="379" t="s">
        <v>571</v>
      </c>
      <c r="F263" s="380">
        <v>3000019620</v>
      </c>
      <c r="G263" s="184">
        <v>0</v>
      </c>
      <c r="H263" s="184">
        <v>0</v>
      </c>
      <c r="I263" s="184">
        <v>0</v>
      </c>
      <c r="J263" s="184">
        <v>0</v>
      </c>
      <c r="K263" s="184">
        <v>0</v>
      </c>
      <c r="L263" s="184">
        <v>0</v>
      </c>
      <c r="M263" s="184">
        <v>0</v>
      </c>
      <c r="N263" s="184">
        <v>0</v>
      </c>
      <c r="O263" s="184">
        <v>0</v>
      </c>
      <c r="P263" s="184">
        <v>0</v>
      </c>
      <c r="Q263" s="184">
        <v>0</v>
      </c>
      <c r="R263" s="184">
        <v>0</v>
      </c>
      <c r="S263" s="14">
        <f t="shared" si="101"/>
        <v>0</v>
      </c>
      <c r="T263" s="179"/>
      <c r="U263" s="184">
        <v>0</v>
      </c>
      <c r="V263" s="184">
        <v>0</v>
      </c>
      <c r="W263" s="184">
        <v>0</v>
      </c>
      <c r="X263" s="184">
        <v>0</v>
      </c>
      <c r="Y263" s="184">
        <v>0</v>
      </c>
      <c r="Z263" s="184">
        <v>0</v>
      </c>
      <c r="AA263" s="184">
        <v>0</v>
      </c>
      <c r="AB263" s="184">
        <v>0</v>
      </c>
      <c r="AC263" s="184">
        <v>0</v>
      </c>
      <c r="AD263" s="184">
        <v>0</v>
      </c>
      <c r="AE263" s="184">
        <v>0</v>
      </c>
      <c r="AF263" s="184">
        <v>0</v>
      </c>
      <c r="AG263" s="759">
        <f t="shared" si="102"/>
        <v>0</v>
      </c>
      <c r="AH263" s="788"/>
      <c r="AI263" s="189"/>
      <c r="AJ263" s="810"/>
      <c r="AK263" s="758">
        <v>11600000</v>
      </c>
      <c r="AL263" s="758">
        <v>5800000</v>
      </c>
      <c r="AM263" s="758">
        <v>0</v>
      </c>
      <c r="AN263" s="758">
        <v>11600000</v>
      </c>
      <c r="AO263" s="758">
        <v>14500000</v>
      </c>
      <c r="AP263" s="758">
        <v>11600000</v>
      </c>
      <c r="AQ263" s="518">
        <v>29000000</v>
      </c>
      <c r="AR263" s="813">
        <v>8700000</v>
      </c>
      <c r="AS263" s="813">
        <v>20300000</v>
      </c>
      <c r="AT263" s="813">
        <v>17400000</v>
      </c>
      <c r="AU263" s="518">
        <f t="shared" si="103"/>
        <v>15000000</v>
      </c>
      <c r="AV263" s="518">
        <f t="shared" si="103"/>
        <v>15000000</v>
      </c>
      <c r="AW263" s="518">
        <f t="shared" si="103"/>
        <v>15000000</v>
      </c>
      <c r="AX263" s="518">
        <f t="shared" si="104"/>
        <v>130500000</v>
      </c>
      <c r="AY263" s="788"/>
      <c r="AZ263" s="189"/>
      <c r="BA263" s="810"/>
      <c r="BB263" s="758">
        <v>11600000</v>
      </c>
      <c r="BC263" s="758">
        <v>5800000</v>
      </c>
      <c r="BD263" s="758">
        <v>0</v>
      </c>
      <c r="BE263" s="758">
        <v>11600000</v>
      </c>
      <c r="BF263" s="758">
        <v>14500000</v>
      </c>
      <c r="BG263" s="518">
        <f t="shared" si="105"/>
        <v>11600000</v>
      </c>
      <c r="BH263" s="758">
        <v>15000000</v>
      </c>
      <c r="BI263" s="758">
        <v>15000000</v>
      </c>
      <c r="BJ263" s="758">
        <v>15000000</v>
      </c>
      <c r="BK263" s="758">
        <v>15000000</v>
      </c>
      <c r="BL263" s="759">
        <f t="shared" si="112"/>
        <v>115100000</v>
      </c>
      <c r="BN263" s="754">
        <v>15000000</v>
      </c>
      <c r="BO263" s="754">
        <v>15000000</v>
      </c>
      <c r="BP263" s="754">
        <v>15000000</v>
      </c>
      <c r="BQ263" s="754">
        <v>15000000</v>
      </c>
      <c r="BR263" s="754">
        <v>12750000</v>
      </c>
      <c r="BS263" s="754">
        <v>15000000</v>
      </c>
      <c r="BT263" s="754">
        <v>16500000.000000002</v>
      </c>
      <c r="BU263" s="754">
        <v>16500000.000000002</v>
      </c>
      <c r="BV263" s="754">
        <v>16500000.000000002</v>
      </c>
      <c r="BW263" s="754">
        <v>16500000.000000002</v>
      </c>
      <c r="BX263" s="754">
        <v>16500000.000000002</v>
      </c>
      <c r="BY263" s="754">
        <v>16500000.000000002</v>
      </c>
      <c r="BZ263" s="791">
        <v>186750000</v>
      </c>
      <c r="CB263" s="754">
        <v>15000000</v>
      </c>
      <c r="CC263" s="754">
        <v>15000000</v>
      </c>
      <c r="CD263" s="754">
        <v>15000000</v>
      </c>
      <c r="CE263" s="754">
        <v>15000000</v>
      </c>
      <c r="CF263" s="754">
        <v>12750000</v>
      </c>
      <c r="CG263" s="754">
        <v>15000000</v>
      </c>
      <c r="CH263" s="754">
        <v>16500000.000000002</v>
      </c>
      <c r="CI263" s="754">
        <v>16500000.000000002</v>
      </c>
      <c r="CJ263" s="754">
        <v>16500000.000000002</v>
      </c>
      <c r="CK263" s="754">
        <v>16500000.000000002</v>
      </c>
      <c r="CL263" s="754">
        <v>16500000.000000002</v>
      </c>
      <c r="CM263" s="754">
        <v>16500000.000000002</v>
      </c>
      <c r="CN263" s="791">
        <v>186750000</v>
      </c>
      <c r="CP263" s="650">
        <v>31900000</v>
      </c>
      <c r="CQ263" s="650">
        <v>23200000</v>
      </c>
      <c r="CR263" s="522">
        <v>30000000</v>
      </c>
      <c r="CS263" s="650">
        <v>14500000</v>
      </c>
      <c r="CT263" s="522">
        <v>20000000</v>
      </c>
      <c r="CU263" s="650"/>
      <c r="CV263" s="522">
        <f>CT263</f>
        <v>20000000</v>
      </c>
      <c r="CW263" s="650"/>
      <c r="CX263" s="522"/>
      <c r="CY263" s="650"/>
      <c r="CZ263" s="522">
        <v>0</v>
      </c>
      <c r="DA263" s="650">
        <v>11600000</v>
      </c>
      <c r="DB263" s="522">
        <v>30000000</v>
      </c>
      <c r="DC263" s="650">
        <v>0</v>
      </c>
      <c r="DD263" s="522">
        <v>20000000</v>
      </c>
      <c r="DE263" s="754"/>
      <c r="DF263" s="522">
        <f>DE263</f>
        <v>0</v>
      </c>
      <c r="DG263" s="471">
        <v>10000000</v>
      </c>
      <c r="DH263" s="754"/>
      <c r="DI263" s="522">
        <f>DH263</f>
        <v>0</v>
      </c>
      <c r="DJ263" s="471">
        <f>DG263</f>
        <v>10000000</v>
      </c>
      <c r="DK263" s="754"/>
      <c r="DL263" s="522">
        <f>DK263</f>
        <v>0</v>
      </c>
      <c r="DM263" s="471">
        <f>DJ263</f>
        <v>10000000</v>
      </c>
      <c r="DN263" s="754"/>
      <c r="DO263" s="522">
        <f>DN263</f>
        <v>0</v>
      </c>
      <c r="DP263" s="471">
        <f>DM263</f>
        <v>10000000</v>
      </c>
      <c r="DQ263" s="493">
        <f t="shared" si="110"/>
        <v>81200000</v>
      </c>
      <c r="DR263" s="479">
        <f t="shared" si="107"/>
        <v>121200000</v>
      </c>
      <c r="DS263" s="1019">
        <v>20000000</v>
      </c>
      <c r="DT263" s="1019">
        <v>20000000</v>
      </c>
      <c r="DU263" s="1019">
        <v>20000000</v>
      </c>
      <c r="DV263" s="1019">
        <v>20000000</v>
      </c>
      <c r="DW263" s="1019">
        <v>20000000</v>
      </c>
      <c r="DX263" s="1019">
        <v>20000000</v>
      </c>
      <c r="DY263" s="1019">
        <v>20000000</v>
      </c>
      <c r="DZ263" s="1019">
        <v>20000000</v>
      </c>
      <c r="EA263" s="1019">
        <v>20000000</v>
      </c>
      <c r="EB263" s="1019">
        <v>20000000</v>
      </c>
      <c r="EC263" s="1019">
        <v>20000000</v>
      </c>
      <c r="ED263" s="1019">
        <v>20000000</v>
      </c>
      <c r="EE263" s="1119">
        <f t="shared" si="109"/>
        <v>240000000</v>
      </c>
      <c r="EF263" s="443">
        <f t="shared" si="108"/>
        <v>280800000</v>
      </c>
      <c r="EG263" s="443">
        <f t="shared" si="116"/>
        <v>303264000</v>
      </c>
      <c r="EH263" s="443">
        <f t="shared" si="117"/>
        <v>330557760</v>
      </c>
      <c r="EI263" s="443">
        <f t="shared" si="117"/>
        <v>360307958.40000004</v>
      </c>
      <c r="EJ263" s="367">
        <v>3000019620</v>
      </c>
    </row>
    <row r="264" spans="1:141" outlineLevel="2">
      <c r="A264" s="367" t="s">
        <v>159</v>
      </c>
      <c r="B264" s="378"/>
      <c r="C264" s="370" t="s">
        <v>358</v>
      </c>
      <c r="D264" s="370" t="s">
        <v>40</v>
      </c>
      <c r="E264" s="383" t="s">
        <v>572</v>
      </c>
      <c r="F264" s="380">
        <v>3000004398</v>
      </c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  <c r="R264" s="184"/>
      <c r="S264" s="14"/>
      <c r="T264" s="181"/>
      <c r="U264" s="184"/>
      <c r="V264" s="184"/>
      <c r="W264" s="184"/>
      <c r="X264" s="184"/>
      <c r="Y264" s="184"/>
      <c r="Z264" s="184"/>
      <c r="AA264" s="184"/>
      <c r="AB264" s="184"/>
      <c r="AC264" s="184"/>
      <c r="AD264" s="184"/>
      <c r="AE264" s="184"/>
      <c r="AF264" s="184"/>
      <c r="AG264" s="759"/>
      <c r="AH264" s="181"/>
      <c r="AI264" s="180"/>
      <c r="AJ264" s="810"/>
      <c r="AK264" s="6"/>
      <c r="AL264" s="6"/>
      <c r="AM264" s="6"/>
      <c r="AN264" s="6"/>
      <c r="AO264" s="6"/>
      <c r="AP264" s="6"/>
      <c r="AQ264" s="518">
        <v>2500000</v>
      </c>
      <c r="AR264" s="813">
        <v>5000000</v>
      </c>
      <c r="AS264" s="813">
        <v>7500000</v>
      </c>
      <c r="AT264" s="813">
        <v>3500000</v>
      </c>
      <c r="AU264" s="6"/>
      <c r="AV264" s="6"/>
      <c r="AW264" s="6"/>
      <c r="AX264" s="518">
        <f>SUM(AI264,AJ264,AK264,AL264,AM264,AN264,AO264,AP264,AQ264,AR264,AS264,AT264)</f>
        <v>18500000</v>
      </c>
      <c r="AY264" s="181"/>
      <c r="AZ264" s="180"/>
      <c r="BA264" s="810"/>
      <c r="BB264" s="6"/>
      <c r="BC264" s="6"/>
      <c r="BD264" s="6"/>
      <c r="BE264" s="6"/>
      <c r="BF264" s="6"/>
      <c r="BG264" s="518"/>
      <c r="BH264" s="6"/>
      <c r="BI264" s="6"/>
      <c r="BJ264" s="6"/>
      <c r="BK264" s="6"/>
      <c r="BL264" s="518">
        <f t="shared" si="112"/>
        <v>0</v>
      </c>
      <c r="BN264" s="815">
        <v>10000000</v>
      </c>
      <c r="BO264" s="816">
        <v>10000000</v>
      </c>
      <c r="BP264" s="754">
        <v>10000000</v>
      </c>
      <c r="BQ264" s="754">
        <v>10000000</v>
      </c>
      <c r="BR264" s="754">
        <v>8500000</v>
      </c>
      <c r="BS264" s="754">
        <v>10000000</v>
      </c>
      <c r="BT264" s="754">
        <v>11000000</v>
      </c>
      <c r="BU264" s="754">
        <v>11000000</v>
      </c>
      <c r="BV264" s="754">
        <v>11000000</v>
      </c>
      <c r="BW264" s="754">
        <v>11000000</v>
      </c>
      <c r="BX264" s="754">
        <v>11000000</v>
      </c>
      <c r="BY264" s="754">
        <v>11000000</v>
      </c>
      <c r="BZ264" s="791">
        <v>124500000</v>
      </c>
      <c r="CB264" s="815">
        <v>10000000</v>
      </c>
      <c r="CC264" s="816">
        <v>10000000</v>
      </c>
      <c r="CD264" s="754">
        <v>10000000</v>
      </c>
      <c r="CE264" s="754">
        <v>10000000</v>
      </c>
      <c r="CF264" s="754">
        <v>8500000</v>
      </c>
      <c r="CG264" s="754">
        <v>10000000</v>
      </c>
      <c r="CH264" s="754">
        <v>11000000</v>
      </c>
      <c r="CI264" s="754">
        <v>11000000</v>
      </c>
      <c r="CJ264" s="754">
        <v>11000000</v>
      </c>
      <c r="CK264" s="754">
        <v>11000000</v>
      </c>
      <c r="CL264" s="754">
        <v>11000000</v>
      </c>
      <c r="CM264" s="754">
        <v>11000000</v>
      </c>
      <c r="CN264" s="791">
        <v>124500000</v>
      </c>
      <c r="CP264" s="651"/>
      <c r="CQ264" s="651">
        <v>3500000</v>
      </c>
      <c r="CR264" s="523">
        <v>2500000</v>
      </c>
      <c r="CS264" s="651">
        <v>7500000</v>
      </c>
      <c r="CT264" s="523">
        <v>20000000</v>
      </c>
      <c r="CU264" s="651">
        <v>2500000</v>
      </c>
      <c r="CV264" s="523">
        <v>15000000</v>
      </c>
      <c r="CW264" s="651">
        <v>2500000</v>
      </c>
      <c r="CX264" s="523">
        <v>10000000</v>
      </c>
      <c r="CY264" s="651">
        <v>94222000</v>
      </c>
      <c r="CZ264" s="523">
        <v>20000000</v>
      </c>
      <c r="DA264" s="651"/>
      <c r="DB264" s="523">
        <f>CZ264</f>
        <v>20000000</v>
      </c>
      <c r="DC264" s="651">
        <v>2500000</v>
      </c>
      <c r="DD264" s="523">
        <f>DB264</f>
        <v>20000000</v>
      </c>
      <c r="DE264" s="518"/>
      <c r="DF264" s="523">
        <f>DE264</f>
        <v>0</v>
      </c>
      <c r="DG264" s="471">
        <v>10000000</v>
      </c>
      <c r="DH264" s="518"/>
      <c r="DI264" s="523">
        <f>DH264</f>
        <v>0</v>
      </c>
      <c r="DJ264" s="471">
        <f>DG264</f>
        <v>10000000</v>
      </c>
      <c r="DK264" s="518"/>
      <c r="DL264" s="523">
        <f>DK264</f>
        <v>0</v>
      </c>
      <c r="DM264" s="471">
        <f>DJ264</f>
        <v>10000000</v>
      </c>
      <c r="DN264" s="518"/>
      <c r="DO264" s="523">
        <f>DN264</f>
        <v>0</v>
      </c>
      <c r="DP264" s="471">
        <f>DM264</f>
        <v>10000000</v>
      </c>
      <c r="DQ264" s="493">
        <f t="shared" si="110"/>
        <v>112722000</v>
      </c>
      <c r="DR264" s="479">
        <f t="shared" si="107"/>
        <v>152722000</v>
      </c>
      <c r="DS264" s="1162">
        <v>10000000</v>
      </c>
      <c r="DT264" s="1162">
        <v>10000000</v>
      </c>
      <c r="DU264" s="1162">
        <v>10000000</v>
      </c>
      <c r="DV264" s="1162">
        <v>10000000</v>
      </c>
      <c r="DW264" s="1162">
        <v>10000000</v>
      </c>
      <c r="DX264" s="1162">
        <v>10000000</v>
      </c>
      <c r="DY264" s="1162">
        <v>10000000</v>
      </c>
      <c r="DZ264" s="1162">
        <v>10000000</v>
      </c>
      <c r="EA264" s="1162">
        <v>10000000</v>
      </c>
      <c r="EB264" s="1162">
        <v>10000000</v>
      </c>
      <c r="EC264" s="1162">
        <v>10000000</v>
      </c>
      <c r="ED264" s="1162">
        <v>10000000</v>
      </c>
      <c r="EE264" s="1119">
        <f t="shared" si="109"/>
        <v>120000000</v>
      </c>
      <c r="EF264" s="443">
        <f>EE264*1.17</f>
        <v>140400000</v>
      </c>
      <c r="EG264" s="443">
        <f t="shared" si="116"/>
        <v>151632000</v>
      </c>
      <c r="EH264" s="443">
        <f t="shared" si="117"/>
        <v>165278880</v>
      </c>
      <c r="EI264" s="443">
        <f t="shared" si="117"/>
        <v>180153979.20000002</v>
      </c>
      <c r="EJ264" s="367">
        <v>3000004398</v>
      </c>
    </row>
    <row r="265" spans="1:141" outlineLevel="2">
      <c r="A265" s="367" t="s">
        <v>159</v>
      </c>
      <c r="B265" s="378"/>
      <c r="C265" s="370" t="s">
        <v>358</v>
      </c>
      <c r="D265" s="370" t="s">
        <v>40</v>
      </c>
      <c r="E265" s="379" t="s">
        <v>573</v>
      </c>
      <c r="F265" s="380">
        <v>3000019546</v>
      </c>
      <c r="G265" s="184">
        <v>0</v>
      </c>
      <c r="H265" s="184">
        <v>0</v>
      </c>
      <c r="I265" s="184">
        <v>0</v>
      </c>
      <c r="J265" s="184">
        <v>0</v>
      </c>
      <c r="K265" s="184">
        <v>0</v>
      </c>
      <c r="L265" s="184">
        <v>0</v>
      </c>
      <c r="M265" s="184">
        <v>0</v>
      </c>
      <c r="N265" s="184">
        <v>0</v>
      </c>
      <c r="O265" s="184">
        <v>0</v>
      </c>
      <c r="P265" s="184">
        <v>0</v>
      </c>
      <c r="Q265" s="184">
        <v>0</v>
      </c>
      <c r="R265" s="184">
        <v>0</v>
      </c>
      <c r="S265" s="14">
        <f t="shared" si="101"/>
        <v>0</v>
      </c>
      <c r="T265" s="179"/>
      <c r="U265" s="184">
        <v>0</v>
      </c>
      <c r="V265" s="184">
        <v>0</v>
      </c>
      <c r="W265" s="184">
        <v>0</v>
      </c>
      <c r="X265" s="184">
        <v>0</v>
      </c>
      <c r="Y265" s="184">
        <v>0</v>
      </c>
      <c r="Z265" s="184">
        <v>0</v>
      </c>
      <c r="AA265" s="184">
        <v>0</v>
      </c>
      <c r="AB265" s="184">
        <v>0</v>
      </c>
      <c r="AC265" s="184">
        <v>0</v>
      </c>
      <c r="AD265" s="184">
        <v>0</v>
      </c>
      <c r="AE265" s="184">
        <v>0</v>
      </c>
      <c r="AF265" s="184">
        <v>0</v>
      </c>
      <c r="AG265" s="759">
        <f t="shared" si="102"/>
        <v>0</v>
      </c>
      <c r="AH265" s="788"/>
      <c r="AI265" s="189"/>
      <c r="AJ265" s="810"/>
      <c r="AK265" s="758">
        <v>4800000</v>
      </c>
      <c r="AL265" s="758">
        <v>0</v>
      </c>
      <c r="AM265" s="758">
        <v>0</v>
      </c>
      <c r="AN265" s="758">
        <v>0</v>
      </c>
      <c r="AO265" s="758">
        <v>0</v>
      </c>
      <c r="AP265" s="758">
        <v>0</v>
      </c>
      <c r="AQ265" s="518">
        <v>0</v>
      </c>
      <c r="AR265" s="813">
        <v>0</v>
      </c>
      <c r="AS265" s="813">
        <v>5500000</v>
      </c>
      <c r="AT265" s="813">
        <v>0</v>
      </c>
      <c r="AU265" s="518">
        <f t="shared" si="103"/>
        <v>0</v>
      </c>
      <c r="AV265" s="518">
        <f t="shared" si="103"/>
        <v>0</v>
      </c>
      <c r="AW265" s="518">
        <f t="shared" si="103"/>
        <v>0</v>
      </c>
      <c r="AX265" s="518">
        <f t="shared" si="104"/>
        <v>10300000</v>
      </c>
      <c r="AY265" s="788"/>
      <c r="AZ265" s="189"/>
      <c r="BA265" s="810"/>
      <c r="BB265" s="758">
        <v>4800000</v>
      </c>
      <c r="BC265" s="758">
        <v>0</v>
      </c>
      <c r="BD265" s="758">
        <v>0</v>
      </c>
      <c r="BE265" s="758">
        <v>0</v>
      </c>
      <c r="BF265" s="758">
        <v>0</v>
      </c>
      <c r="BG265" s="518">
        <f t="shared" si="105"/>
        <v>0</v>
      </c>
      <c r="BH265" s="758">
        <v>0</v>
      </c>
      <c r="BI265" s="758">
        <v>0</v>
      </c>
      <c r="BJ265" s="758">
        <v>0</v>
      </c>
      <c r="BK265" s="758">
        <v>0</v>
      </c>
      <c r="BL265" s="759">
        <f t="shared" si="112"/>
        <v>4800000</v>
      </c>
      <c r="BN265" s="754">
        <v>0</v>
      </c>
      <c r="BO265" s="754">
        <v>0</v>
      </c>
      <c r="BP265" s="754">
        <v>73300000</v>
      </c>
      <c r="BQ265" s="754">
        <v>73300000</v>
      </c>
      <c r="BR265" s="754">
        <v>73300000</v>
      </c>
      <c r="BS265" s="754">
        <v>73300000</v>
      </c>
      <c r="BT265" s="754">
        <v>73300000</v>
      </c>
      <c r="BU265" s="754">
        <v>73300000</v>
      </c>
      <c r="BV265" s="754">
        <v>73300000</v>
      </c>
      <c r="BW265" s="754">
        <v>73300000</v>
      </c>
      <c r="BX265" s="754">
        <v>73300000</v>
      </c>
      <c r="BY265" s="754">
        <v>73300000</v>
      </c>
      <c r="BZ265" s="791">
        <v>733000000</v>
      </c>
      <c r="CB265" s="754">
        <v>0</v>
      </c>
      <c r="CC265" s="754">
        <v>0</v>
      </c>
      <c r="CD265" s="754">
        <v>73300000</v>
      </c>
      <c r="CE265" s="754">
        <v>73300000</v>
      </c>
      <c r="CF265" s="754">
        <v>73300000</v>
      </c>
      <c r="CG265" s="754">
        <v>73300000</v>
      </c>
      <c r="CH265" s="754">
        <v>73300000</v>
      </c>
      <c r="CI265" s="754">
        <v>73300000</v>
      </c>
      <c r="CJ265" s="754">
        <v>73300000</v>
      </c>
      <c r="CK265" s="754">
        <v>73300000</v>
      </c>
      <c r="CL265" s="754">
        <v>73300000</v>
      </c>
      <c r="CM265" s="754">
        <v>73300000</v>
      </c>
      <c r="CN265" s="791">
        <v>733000000</v>
      </c>
      <c r="CP265" s="650"/>
      <c r="CQ265" s="650"/>
      <c r="CR265" s="522"/>
      <c r="CS265" s="650"/>
      <c r="CT265" s="522"/>
      <c r="CU265" s="650"/>
      <c r="CV265" s="522"/>
      <c r="CW265" s="650"/>
      <c r="CX265" s="522"/>
      <c r="CY265" s="650">
        <f>CW265</f>
        <v>0</v>
      </c>
      <c r="CZ265" s="522">
        <f>CX265</f>
        <v>0</v>
      </c>
      <c r="DA265" s="650"/>
      <c r="DB265" s="522"/>
      <c r="DC265" s="650">
        <v>0</v>
      </c>
      <c r="DD265" s="522"/>
      <c r="DE265" s="754"/>
      <c r="DF265" s="522"/>
      <c r="DG265" s="471"/>
      <c r="DH265" s="754"/>
      <c r="DI265" s="522"/>
      <c r="DJ265" s="471"/>
      <c r="DK265" s="754"/>
      <c r="DL265" s="522"/>
      <c r="DM265" s="471"/>
      <c r="DN265" s="754"/>
      <c r="DO265" s="522"/>
      <c r="DP265" s="471"/>
      <c r="DQ265" s="493">
        <f t="shared" si="110"/>
        <v>0</v>
      </c>
      <c r="DR265" s="479">
        <f t="shared" si="107"/>
        <v>0</v>
      </c>
      <c r="DS265" s="1019"/>
      <c r="DT265" s="1019"/>
      <c r="DU265" s="1019"/>
      <c r="DV265" s="1019"/>
      <c r="DW265" s="1019"/>
      <c r="DX265" s="1019"/>
      <c r="DY265" s="1019"/>
      <c r="DZ265" s="1019"/>
      <c r="EA265" s="1019"/>
      <c r="EB265" s="1019"/>
      <c r="EC265" s="1019"/>
      <c r="ED265" s="1019"/>
      <c r="EE265" s="1119">
        <f t="shared" si="109"/>
        <v>0</v>
      </c>
      <c r="EF265" s="443">
        <f t="shared" si="108"/>
        <v>0</v>
      </c>
      <c r="EG265" s="443">
        <f t="shared" si="116"/>
        <v>0</v>
      </c>
      <c r="EH265" s="443">
        <v>2000000000</v>
      </c>
      <c r="EI265" s="443">
        <v>2000000000</v>
      </c>
      <c r="EJ265" s="367">
        <v>3000019546</v>
      </c>
    </row>
    <row r="266" spans="1:141" s="18" customFormat="1" outlineLevel="2">
      <c r="A266" s="367" t="s">
        <v>159</v>
      </c>
      <c r="B266" s="378"/>
      <c r="C266" s="370" t="s">
        <v>358</v>
      </c>
      <c r="D266" s="370" t="s">
        <v>40</v>
      </c>
      <c r="E266" s="384" t="s">
        <v>96</v>
      </c>
      <c r="F266" s="404">
        <v>3000012909</v>
      </c>
      <c r="G266" s="184">
        <v>0</v>
      </c>
      <c r="H266" s="184">
        <v>0</v>
      </c>
      <c r="I266" s="184">
        <v>0</v>
      </c>
      <c r="J266" s="184">
        <v>0</v>
      </c>
      <c r="K266" s="184">
        <v>0</v>
      </c>
      <c r="L266" s="184">
        <v>0</v>
      </c>
      <c r="M266" s="184">
        <v>0</v>
      </c>
      <c r="N266" s="184">
        <v>0</v>
      </c>
      <c r="O266" s="184">
        <v>0</v>
      </c>
      <c r="P266" s="184">
        <v>0</v>
      </c>
      <c r="Q266" s="184">
        <v>0</v>
      </c>
      <c r="R266" s="184">
        <v>0</v>
      </c>
      <c r="S266" s="17">
        <f t="shared" si="101"/>
        <v>0</v>
      </c>
      <c r="T266" s="187"/>
      <c r="U266" s="184">
        <v>0</v>
      </c>
      <c r="V266" s="184">
        <v>0</v>
      </c>
      <c r="W266" s="184">
        <v>0</v>
      </c>
      <c r="X266" s="184">
        <v>0</v>
      </c>
      <c r="Y266" s="184">
        <v>0</v>
      </c>
      <c r="Z266" s="184">
        <v>0</v>
      </c>
      <c r="AA266" s="184">
        <v>0</v>
      </c>
      <c r="AB266" s="184">
        <v>0</v>
      </c>
      <c r="AC266" s="184">
        <v>15300000</v>
      </c>
      <c r="AD266" s="184">
        <v>-7020000</v>
      </c>
      <c r="AE266" s="184">
        <v>-8280000</v>
      </c>
      <c r="AF266" s="184">
        <v>0</v>
      </c>
      <c r="AG266" s="769">
        <f t="shared" si="102"/>
        <v>0</v>
      </c>
      <c r="AH266" s="817"/>
      <c r="AI266" s="818"/>
      <c r="AJ266" s="771"/>
      <c r="AK266" s="769">
        <v>5600000</v>
      </c>
      <c r="AL266" s="769">
        <v>3770000</v>
      </c>
      <c r="AM266" s="769">
        <v>7250000</v>
      </c>
      <c r="AN266" s="769">
        <v>13240000</v>
      </c>
      <c r="AO266" s="758">
        <v>11920000</v>
      </c>
      <c r="AP266" s="758">
        <v>2170000</v>
      </c>
      <c r="AQ266" s="518">
        <v>12490000</v>
      </c>
      <c r="AR266" s="813">
        <v>6220000</v>
      </c>
      <c r="AS266" s="813">
        <v>0</v>
      </c>
      <c r="AT266" s="813">
        <v>7350000</v>
      </c>
      <c r="AU266" s="518">
        <f t="shared" si="103"/>
        <v>30000000</v>
      </c>
      <c r="AV266" s="518">
        <f t="shared" si="103"/>
        <v>30000000</v>
      </c>
      <c r="AW266" s="518">
        <f t="shared" si="103"/>
        <v>30000000</v>
      </c>
      <c r="AX266" s="518">
        <f t="shared" si="104"/>
        <v>70010000</v>
      </c>
      <c r="AY266" s="817"/>
      <c r="AZ266" s="818"/>
      <c r="BA266" s="771"/>
      <c r="BB266" s="769">
        <v>5600000</v>
      </c>
      <c r="BC266" s="769">
        <v>3770000</v>
      </c>
      <c r="BD266" s="769">
        <v>7250000</v>
      </c>
      <c r="BE266" s="769">
        <v>13240000</v>
      </c>
      <c r="BF266" s="758">
        <v>11920000</v>
      </c>
      <c r="BG266" s="518">
        <f t="shared" si="105"/>
        <v>2170000</v>
      </c>
      <c r="BH266" s="758">
        <v>30000000</v>
      </c>
      <c r="BI266" s="758">
        <v>30000000</v>
      </c>
      <c r="BJ266" s="758">
        <v>30000000</v>
      </c>
      <c r="BK266" s="758">
        <v>30000000</v>
      </c>
      <c r="BL266" s="769">
        <f t="shared" si="112"/>
        <v>163950000</v>
      </c>
      <c r="BM266" s="819"/>
      <c r="BN266" s="754">
        <v>30000000</v>
      </c>
      <c r="BO266" s="754">
        <v>30000000</v>
      </c>
      <c r="BP266" s="754">
        <v>30000000</v>
      </c>
      <c r="BQ266" s="754">
        <v>30000000</v>
      </c>
      <c r="BR266" s="754">
        <v>25500000</v>
      </c>
      <c r="BS266" s="754">
        <v>30000000</v>
      </c>
      <c r="BT266" s="754">
        <v>33000000.000000004</v>
      </c>
      <c r="BU266" s="754">
        <v>33000000.000000004</v>
      </c>
      <c r="BV266" s="754">
        <v>33000000.000000004</v>
      </c>
      <c r="BW266" s="754">
        <v>33000000.000000004</v>
      </c>
      <c r="BX266" s="754">
        <v>33000000.000000004</v>
      </c>
      <c r="BY266" s="754">
        <v>33000000.000000004</v>
      </c>
      <c r="BZ266" s="791">
        <v>373500000</v>
      </c>
      <c r="CA266" s="3"/>
      <c r="CB266" s="754">
        <v>30000000</v>
      </c>
      <c r="CC266" s="754">
        <v>30000000</v>
      </c>
      <c r="CD266" s="754">
        <v>30000000</v>
      </c>
      <c r="CE266" s="754">
        <v>30000000</v>
      </c>
      <c r="CF266" s="754">
        <v>25500000</v>
      </c>
      <c r="CG266" s="754">
        <v>30000000</v>
      </c>
      <c r="CH266" s="754">
        <v>33000000.000000004</v>
      </c>
      <c r="CI266" s="754">
        <v>33000000.000000004</v>
      </c>
      <c r="CJ266" s="754">
        <v>33000000.000000004</v>
      </c>
      <c r="CK266" s="754">
        <v>33000000.000000004</v>
      </c>
      <c r="CL266" s="754">
        <v>33000000.000000004</v>
      </c>
      <c r="CM266" s="754">
        <v>33000000.000000004</v>
      </c>
      <c r="CN266" s="791">
        <v>373500000</v>
      </c>
      <c r="CO266" s="819"/>
      <c r="CP266" s="650"/>
      <c r="CQ266" s="650"/>
      <c r="CR266" s="522"/>
      <c r="CS266" s="650"/>
      <c r="CT266" s="522">
        <v>10000000</v>
      </c>
      <c r="CU266" s="650"/>
      <c r="CV266" s="522">
        <v>20000000</v>
      </c>
      <c r="CW266" s="650"/>
      <c r="CX266" s="522">
        <f>CV266</f>
        <v>20000000</v>
      </c>
      <c r="CY266" s="650"/>
      <c r="CZ266" s="522">
        <f>CX266</f>
        <v>20000000</v>
      </c>
      <c r="DA266" s="650"/>
      <c r="DB266" s="522">
        <v>10000000</v>
      </c>
      <c r="DC266" s="650">
        <v>0</v>
      </c>
      <c r="DD266" s="522">
        <f>DB266</f>
        <v>10000000</v>
      </c>
      <c r="DE266" s="754"/>
      <c r="DF266" s="522">
        <f>DE266</f>
        <v>0</v>
      </c>
      <c r="DG266" s="471">
        <f>DD266</f>
        <v>10000000</v>
      </c>
      <c r="DH266" s="754"/>
      <c r="DI266" s="522">
        <f>DH266</f>
        <v>0</v>
      </c>
      <c r="DJ266" s="471">
        <f>DG266</f>
        <v>10000000</v>
      </c>
      <c r="DK266" s="754"/>
      <c r="DL266" s="522">
        <f>DK266</f>
        <v>0</v>
      </c>
      <c r="DM266" s="471">
        <f>DJ266</f>
        <v>10000000</v>
      </c>
      <c r="DN266" s="754"/>
      <c r="DO266" s="522">
        <f>DN266</f>
        <v>0</v>
      </c>
      <c r="DP266" s="471">
        <f>DM266</f>
        <v>10000000</v>
      </c>
      <c r="DQ266" s="493">
        <f t="shared" si="110"/>
        <v>0</v>
      </c>
      <c r="DR266" s="479">
        <f t="shared" si="107"/>
        <v>40000000</v>
      </c>
      <c r="DS266" s="1019"/>
      <c r="DT266" s="1019"/>
      <c r="DU266" s="1019"/>
      <c r="DV266" s="1019"/>
      <c r="DW266" s="1019"/>
      <c r="DX266" s="1019"/>
      <c r="DY266" s="1019"/>
      <c r="DZ266" s="1019"/>
      <c r="EA266" s="1019"/>
      <c r="EB266" s="1019"/>
      <c r="EC266" s="1019"/>
      <c r="ED266" s="1019"/>
      <c r="EE266" s="1119">
        <f t="shared" si="109"/>
        <v>0</v>
      </c>
      <c r="EF266" s="443">
        <f t="shared" si="108"/>
        <v>0</v>
      </c>
      <c r="EG266" s="443">
        <f t="shared" si="116"/>
        <v>0</v>
      </c>
      <c r="EH266" s="443">
        <f>EG266*1.09</f>
        <v>0</v>
      </c>
      <c r="EI266" s="443">
        <f>EH266*1.09</f>
        <v>0</v>
      </c>
      <c r="EJ266" s="367">
        <v>3000012909</v>
      </c>
      <c r="EK266" s="1010"/>
    </row>
    <row r="267" spans="1:141" outlineLevel="2">
      <c r="A267" s="367" t="s">
        <v>159</v>
      </c>
      <c r="B267" s="378"/>
      <c r="C267" s="370" t="s">
        <v>358</v>
      </c>
      <c r="D267" s="370" t="s">
        <v>40</v>
      </c>
      <c r="E267" s="379" t="s">
        <v>574</v>
      </c>
      <c r="F267" s="380">
        <v>3000019505</v>
      </c>
      <c r="G267" s="184">
        <v>0</v>
      </c>
      <c r="H267" s="184">
        <v>0</v>
      </c>
      <c r="I267" s="184">
        <v>0</v>
      </c>
      <c r="J267" s="184">
        <v>0</v>
      </c>
      <c r="K267" s="184">
        <v>0</v>
      </c>
      <c r="L267" s="184">
        <v>0</v>
      </c>
      <c r="M267" s="184">
        <v>0</v>
      </c>
      <c r="N267" s="184">
        <v>0</v>
      </c>
      <c r="O267" s="184">
        <v>0</v>
      </c>
      <c r="P267" s="184">
        <v>0</v>
      </c>
      <c r="Q267" s="184">
        <v>0</v>
      </c>
      <c r="R267" s="184">
        <v>0</v>
      </c>
      <c r="S267" s="14">
        <f t="shared" si="101"/>
        <v>0</v>
      </c>
      <c r="T267" s="179"/>
      <c r="U267" s="184">
        <v>0</v>
      </c>
      <c r="V267" s="184">
        <v>0</v>
      </c>
      <c r="W267" s="184">
        <v>0</v>
      </c>
      <c r="X267" s="184">
        <v>0</v>
      </c>
      <c r="Y267" s="184">
        <v>0</v>
      </c>
      <c r="Z267" s="184">
        <v>0</v>
      </c>
      <c r="AA267" s="184">
        <v>0</v>
      </c>
      <c r="AB267" s="184">
        <v>0</v>
      </c>
      <c r="AC267" s="184">
        <v>0</v>
      </c>
      <c r="AD267" s="184">
        <v>0</v>
      </c>
      <c r="AE267" s="184">
        <v>0</v>
      </c>
      <c r="AF267" s="184">
        <v>0</v>
      </c>
      <c r="AG267" s="759">
        <f t="shared" si="102"/>
        <v>0</v>
      </c>
      <c r="AH267" s="788"/>
      <c r="AI267" s="189"/>
      <c r="AJ267" s="810">
        <v>10800000</v>
      </c>
      <c r="AK267" s="758">
        <v>0</v>
      </c>
      <c r="AL267" s="758">
        <v>0</v>
      </c>
      <c r="AM267" s="758">
        <v>0</v>
      </c>
      <c r="AN267" s="758">
        <v>0</v>
      </c>
      <c r="AO267" s="758">
        <v>0</v>
      </c>
      <c r="AP267" s="758">
        <v>0</v>
      </c>
      <c r="AQ267" s="518">
        <v>0</v>
      </c>
      <c r="AR267" s="518"/>
      <c r="AS267" s="518"/>
      <c r="AT267" s="518"/>
      <c r="AU267" s="518">
        <f t="shared" si="103"/>
        <v>0</v>
      </c>
      <c r="AV267" s="518">
        <f t="shared" si="103"/>
        <v>0</v>
      </c>
      <c r="AW267" s="518">
        <f t="shared" si="103"/>
        <v>0</v>
      </c>
      <c r="AX267" s="518">
        <f t="shared" si="104"/>
        <v>10800000</v>
      </c>
      <c r="AY267" s="788"/>
      <c r="AZ267" s="189"/>
      <c r="BA267" s="810">
        <v>10800000</v>
      </c>
      <c r="BB267" s="758">
        <v>0</v>
      </c>
      <c r="BC267" s="758">
        <v>0</v>
      </c>
      <c r="BD267" s="758">
        <v>0</v>
      </c>
      <c r="BE267" s="758">
        <v>0</v>
      </c>
      <c r="BF267" s="758">
        <v>0</v>
      </c>
      <c r="BG267" s="518">
        <f t="shared" si="105"/>
        <v>0</v>
      </c>
      <c r="BH267" s="758">
        <v>0</v>
      </c>
      <c r="BI267" s="758">
        <v>0</v>
      </c>
      <c r="BJ267" s="758">
        <v>0</v>
      </c>
      <c r="BK267" s="758">
        <v>0</v>
      </c>
      <c r="BL267" s="759">
        <f t="shared" si="112"/>
        <v>10800000</v>
      </c>
      <c r="BN267" s="754">
        <v>0</v>
      </c>
      <c r="BO267" s="754">
        <v>0</v>
      </c>
      <c r="BP267" s="754">
        <v>0</v>
      </c>
      <c r="BQ267" s="754">
        <v>0</v>
      </c>
      <c r="BR267" s="754">
        <v>0</v>
      </c>
      <c r="BS267" s="754">
        <v>0</v>
      </c>
      <c r="BT267" s="754">
        <v>0</v>
      </c>
      <c r="BU267" s="754">
        <v>0</v>
      </c>
      <c r="BV267" s="754">
        <v>0</v>
      </c>
      <c r="BW267" s="754">
        <v>0</v>
      </c>
      <c r="BX267" s="754">
        <v>0</v>
      </c>
      <c r="BY267" s="754">
        <v>0</v>
      </c>
      <c r="BZ267" s="791">
        <v>0</v>
      </c>
      <c r="CB267" s="754">
        <v>0</v>
      </c>
      <c r="CC267" s="754">
        <v>0</v>
      </c>
      <c r="CD267" s="754">
        <v>0</v>
      </c>
      <c r="CE267" s="754">
        <v>0</v>
      </c>
      <c r="CF267" s="754">
        <v>0</v>
      </c>
      <c r="CG267" s="754">
        <v>0</v>
      </c>
      <c r="CH267" s="754">
        <v>0</v>
      </c>
      <c r="CI267" s="754">
        <v>0</v>
      </c>
      <c r="CJ267" s="754">
        <v>0</v>
      </c>
      <c r="CK267" s="754">
        <v>0</v>
      </c>
      <c r="CL267" s="754">
        <v>0</v>
      </c>
      <c r="CM267" s="754">
        <v>0</v>
      </c>
      <c r="CN267" s="791">
        <v>0</v>
      </c>
      <c r="CP267" s="650"/>
      <c r="CQ267" s="650"/>
      <c r="CR267" s="522"/>
      <c r="CS267" s="650"/>
      <c r="CT267" s="522"/>
      <c r="CU267" s="650"/>
      <c r="CV267" s="522"/>
      <c r="CW267" s="650"/>
      <c r="CX267" s="522"/>
      <c r="CY267" s="650"/>
      <c r="CZ267" s="522"/>
      <c r="DA267" s="650"/>
      <c r="DB267" s="522"/>
      <c r="DC267" s="650">
        <v>0</v>
      </c>
      <c r="DD267" s="522"/>
      <c r="DE267" s="754"/>
      <c r="DF267" s="522"/>
      <c r="DG267" s="471"/>
      <c r="DH267" s="754"/>
      <c r="DI267" s="522"/>
      <c r="DJ267" s="471"/>
      <c r="DK267" s="754"/>
      <c r="DL267" s="522"/>
      <c r="DM267" s="471"/>
      <c r="DN267" s="754"/>
      <c r="DO267" s="522"/>
      <c r="DP267" s="471"/>
      <c r="DQ267" s="493">
        <f t="shared" si="110"/>
        <v>0</v>
      </c>
      <c r="DR267" s="479">
        <f t="shared" si="107"/>
        <v>0</v>
      </c>
      <c r="DS267" s="1019"/>
      <c r="DT267" s="1019"/>
      <c r="DU267" s="1019"/>
      <c r="DV267" s="1019"/>
      <c r="DW267" s="1019"/>
      <c r="DX267" s="1019"/>
      <c r="DY267" s="1019"/>
      <c r="DZ267" s="1019"/>
      <c r="EA267" s="1019"/>
      <c r="EB267" s="1019"/>
      <c r="EC267" s="1019"/>
      <c r="ED267" s="1019"/>
      <c r="EE267" s="1119">
        <f t="shared" si="109"/>
        <v>0</v>
      </c>
      <c r="EF267" s="443">
        <f t="shared" si="108"/>
        <v>0</v>
      </c>
      <c r="EG267" s="443">
        <f t="shared" si="116"/>
        <v>0</v>
      </c>
      <c r="EH267" s="443">
        <f>EG267*1.09</f>
        <v>0</v>
      </c>
      <c r="EI267" s="443">
        <f>EH267*1.09</f>
        <v>0</v>
      </c>
      <c r="EJ267" s="367">
        <v>3000019505</v>
      </c>
    </row>
    <row r="268" spans="1:141" outlineLevel="2">
      <c r="A268" s="367" t="s">
        <v>159</v>
      </c>
      <c r="B268" s="378"/>
      <c r="C268" s="370" t="s">
        <v>358</v>
      </c>
      <c r="D268" s="370" t="s">
        <v>40</v>
      </c>
      <c r="E268" s="383" t="s">
        <v>575</v>
      </c>
      <c r="F268" s="380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  <c r="R268" s="184"/>
      <c r="S268" s="14"/>
      <c r="T268" s="181"/>
      <c r="U268" s="184"/>
      <c r="V268" s="184"/>
      <c r="W268" s="184"/>
      <c r="X268" s="184"/>
      <c r="Y268" s="184"/>
      <c r="Z268" s="184"/>
      <c r="AA268" s="184"/>
      <c r="AB268" s="184"/>
      <c r="AC268" s="184"/>
      <c r="AD268" s="184"/>
      <c r="AE268" s="184"/>
      <c r="AF268" s="184"/>
      <c r="AG268" s="759"/>
      <c r="AH268" s="181"/>
      <c r="AI268" s="180"/>
      <c r="AJ268" s="810"/>
      <c r="AK268" s="6"/>
      <c r="AL268" s="6"/>
      <c r="AM268" s="6"/>
      <c r="AN268" s="6"/>
      <c r="AO268" s="6"/>
      <c r="AP268" s="6"/>
      <c r="AQ268" s="518"/>
      <c r="AR268" s="813"/>
      <c r="AS268" s="813"/>
      <c r="AT268" s="813">
        <v>87500000</v>
      </c>
      <c r="AU268" s="6"/>
      <c r="AV268" s="6"/>
      <c r="AW268" s="6"/>
      <c r="AX268" s="518">
        <f>SUM(AI268,AJ268,AK268,AL268,AM268,AN268,AO268,AP268,AQ268,AR268,AS268,AT268)</f>
        <v>87500000</v>
      </c>
      <c r="AY268" s="181"/>
      <c r="AZ268" s="180"/>
      <c r="BA268" s="810"/>
      <c r="BB268" s="6"/>
      <c r="BC268" s="6"/>
      <c r="BD268" s="6"/>
      <c r="BE268" s="6"/>
      <c r="BF268" s="6"/>
      <c r="BG268" s="518"/>
      <c r="BH268" s="6"/>
      <c r="BI268" s="6"/>
      <c r="BJ268" s="6"/>
      <c r="BK268" s="6"/>
      <c r="BL268" s="518"/>
      <c r="BN268" s="815"/>
      <c r="BO268" s="816"/>
      <c r="BP268" s="754"/>
      <c r="BQ268" s="754"/>
      <c r="BR268" s="754"/>
      <c r="BS268" s="754"/>
      <c r="BT268" s="754"/>
      <c r="BU268" s="754"/>
      <c r="BV268" s="754"/>
      <c r="BW268" s="754"/>
      <c r="BX268" s="754"/>
      <c r="BY268" s="754"/>
      <c r="BZ268" s="791">
        <v>0</v>
      </c>
      <c r="CB268" s="815"/>
      <c r="CC268" s="816"/>
      <c r="CD268" s="754"/>
      <c r="CE268" s="754"/>
      <c r="CF268" s="754"/>
      <c r="CG268" s="754"/>
      <c r="CH268" s="754"/>
      <c r="CI268" s="754"/>
      <c r="CJ268" s="754"/>
      <c r="CK268" s="754"/>
      <c r="CL268" s="754"/>
      <c r="CM268" s="754"/>
      <c r="CN268" s="791">
        <v>0</v>
      </c>
      <c r="CP268" s="651"/>
      <c r="CQ268" s="651"/>
      <c r="CR268" s="523"/>
      <c r="CS268" s="651"/>
      <c r="CT268" s="523"/>
      <c r="CU268" s="651"/>
      <c r="CV268" s="523"/>
      <c r="CW268" s="651"/>
      <c r="CX268" s="523"/>
      <c r="CY268" s="651"/>
      <c r="CZ268" s="523"/>
      <c r="DA268" s="651"/>
      <c r="DB268" s="523"/>
      <c r="DC268" s="651">
        <v>0</v>
      </c>
      <c r="DD268" s="523"/>
      <c r="DE268" s="754"/>
      <c r="DF268" s="523"/>
      <c r="DG268" s="471"/>
      <c r="DH268" s="754"/>
      <c r="DI268" s="523"/>
      <c r="DJ268" s="471"/>
      <c r="DK268" s="754"/>
      <c r="DL268" s="523"/>
      <c r="DM268" s="471"/>
      <c r="DN268" s="754"/>
      <c r="DO268" s="523"/>
      <c r="DP268" s="471"/>
      <c r="DQ268" s="493">
        <f t="shared" si="110"/>
        <v>0</v>
      </c>
      <c r="DR268" s="479">
        <f t="shared" si="107"/>
        <v>0</v>
      </c>
      <c r="DS268" s="1162"/>
      <c r="DT268" s="1162"/>
      <c r="DU268" s="1162"/>
      <c r="DV268" s="1162"/>
      <c r="DW268" s="1162"/>
      <c r="DX268" s="1162"/>
      <c r="DY268" s="1162"/>
      <c r="DZ268" s="1162"/>
      <c r="EA268" s="1162"/>
      <c r="EB268" s="1162"/>
      <c r="EC268" s="1162"/>
      <c r="ED268" s="1162"/>
      <c r="EE268" s="1119">
        <f t="shared" si="109"/>
        <v>0</v>
      </c>
      <c r="EF268" s="443"/>
      <c r="EG268" s="443"/>
      <c r="EH268" s="443"/>
      <c r="EI268" s="443"/>
    </row>
    <row r="269" spans="1:141" outlineLevel="2">
      <c r="A269" s="367" t="s">
        <v>159</v>
      </c>
      <c r="B269" s="378"/>
      <c r="C269" s="370" t="s">
        <v>358</v>
      </c>
      <c r="D269" s="370" t="s">
        <v>40</v>
      </c>
      <c r="E269" s="383" t="s">
        <v>576</v>
      </c>
      <c r="F269" s="380">
        <v>3000019921</v>
      </c>
      <c r="G269" s="184">
        <v>0</v>
      </c>
      <c r="H269" s="184">
        <v>0</v>
      </c>
      <c r="I269" s="184">
        <v>0</v>
      </c>
      <c r="J269" s="184">
        <v>0</v>
      </c>
      <c r="K269" s="184">
        <v>0</v>
      </c>
      <c r="L269" s="184">
        <v>0</v>
      </c>
      <c r="M269" s="184">
        <v>0</v>
      </c>
      <c r="N269" s="184">
        <v>0</v>
      </c>
      <c r="O269" s="184">
        <v>0</v>
      </c>
      <c r="P269" s="184">
        <v>0</v>
      </c>
      <c r="Q269" s="184">
        <v>0</v>
      </c>
      <c r="R269" s="184">
        <v>0</v>
      </c>
      <c r="S269" s="14">
        <f>SUM(G269,H269,I269,J269,K269,L269,M269,N269,O269,P269,Q269,R269)</f>
        <v>0</v>
      </c>
      <c r="T269" s="179"/>
      <c r="U269" s="184">
        <v>0</v>
      </c>
      <c r="V269" s="184">
        <v>0</v>
      </c>
      <c r="W269" s="184">
        <v>0</v>
      </c>
      <c r="X269" s="184">
        <v>0</v>
      </c>
      <c r="Y269" s="184">
        <v>0</v>
      </c>
      <c r="Z269" s="184">
        <v>0</v>
      </c>
      <c r="AA269" s="184">
        <v>0</v>
      </c>
      <c r="AB269" s="184">
        <v>0</v>
      </c>
      <c r="AC269" s="184">
        <v>0</v>
      </c>
      <c r="AD269" s="184">
        <v>0</v>
      </c>
      <c r="AE269" s="184">
        <v>0</v>
      </c>
      <c r="AF269" s="184">
        <v>0</v>
      </c>
      <c r="AG269" s="759">
        <f>SUM(U269,V269,W269,X269,Y269,Z269,AA269,AB269,AC269,AD269,AE269,AF269)</f>
        <v>0</v>
      </c>
      <c r="AH269" s="788"/>
      <c r="AI269" s="189"/>
      <c r="AJ269" s="810"/>
      <c r="AK269" s="758"/>
      <c r="AL269" s="758"/>
      <c r="AM269" s="758"/>
      <c r="AN269" s="758"/>
      <c r="AO269" s="758">
        <v>11000000</v>
      </c>
      <c r="AP269" s="758">
        <v>0</v>
      </c>
      <c r="AQ269" s="518">
        <v>0</v>
      </c>
      <c r="AR269" s="518"/>
      <c r="AS269" s="518"/>
      <c r="AT269" s="518"/>
      <c r="AU269" s="518">
        <f>BI269</f>
        <v>0</v>
      </c>
      <c r="AV269" s="518">
        <f>BJ269</f>
        <v>11000000</v>
      </c>
      <c r="AW269" s="518">
        <f>BK269</f>
        <v>11000000</v>
      </c>
      <c r="AX269" s="518">
        <f>SUM(AI269,AJ269,AK269,AL269,AM269,AN269,AO269,AP269,AQ269,AR269,AS269,AT269)</f>
        <v>11000000</v>
      </c>
      <c r="AY269" s="788"/>
      <c r="AZ269" s="189"/>
      <c r="BA269" s="810"/>
      <c r="BB269" s="758"/>
      <c r="BC269" s="758"/>
      <c r="BD269" s="758"/>
      <c r="BE269" s="758"/>
      <c r="BF269" s="758">
        <v>11000000</v>
      </c>
      <c r="BG269" s="518">
        <f>AP269</f>
        <v>0</v>
      </c>
      <c r="BH269" s="758">
        <v>0</v>
      </c>
      <c r="BI269" s="758">
        <v>0</v>
      </c>
      <c r="BJ269" s="758">
        <v>11000000</v>
      </c>
      <c r="BK269" s="758">
        <v>11000000</v>
      </c>
      <c r="BL269" s="759">
        <f>SUM(AZ269,BA269,BB269,BC269,BD269,BE269,BF269,BG269,BH269,BI269,BJ269,BK269)</f>
        <v>33000000</v>
      </c>
      <c r="BN269" s="754">
        <v>11000000</v>
      </c>
      <c r="BO269" s="754">
        <v>11000000</v>
      </c>
      <c r="BP269" s="754">
        <v>11000000</v>
      </c>
      <c r="BQ269" s="754">
        <v>11000000</v>
      </c>
      <c r="BR269" s="754">
        <v>9350000</v>
      </c>
      <c r="BS269" s="754">
        <v>11000000</v>
      </c>
      <c r="BT269" s="754">
        <v>12100000.000000002</v>
      </c>
      <c r="BU269" s="754">
        <v>12100000.000000002</v>
      </c>
      <c r="BV269" s="754">
        <v>12100000.000000002</v>
      </c>
      <c r="BW269" s="754">
        <v>12100000.000000002</v>
      </c>
      <c r="BX269" s="754">
        <v>12100000.000000002</v>
      </c>
      <c r="BY269" s="754">
        <v>12100000.000000002</v>
      </c>
      <c r="BZ269" s="791">
        <v>136950000</v>
      </c>
      <c r="CB269" s="754">
        <v>11000000</v>
      </c>
      <c r="CC269" s="754">
        <v>11000000</v>
      </c>
      <c r="CD269" s="754">
        <v>11000000</v>
      </c>
      <c r="CE269" s="754">
        <v>11000000</v>
      </c>
      <c r="CF269" s="754">
        <v>9350000</v>
      </c>
      <c r="CG269" s="754">
        <v>11000000</v>
      </c>
      <c r="CH269" s="754">
        <v>12100000.000000002</v>
      </c>
      <c r="CI269" s="754">
        <v>12100000.000000002</v>
      </c>
      <c r="CJ269" s="754">
        <v>12100000.000000002</v>
      </c>
      <c r="CK269" s="754">
        <v>12100000.000000002</v>
      </c>
      <c r="CL269" s="754">
        <v>12100000.000000002</v>
      </c>
      <c r="CM269" s="754">
        <v>12100000.000000002</v>
      </c>
      <c r="CN269" s="791">
        <v>136950000</v>
      </c>
      <c r="CP269" s="650"/>
      <c r="CQ269" s="650"/>
      <c r="CR269" s="522"/>
      <c r="CS269" s="650"/>
      <c r="CT269" s="522"/>
      <c r="CU269" s="650"/>
      <c r="CV269" s="522"/>
      <c r="CW269" s="650"/>
      <c r="CX269" s="522"/>
      <c r="CY269" s="650"/>
      <c r="CZ269" s="522"/>
      <c r="DA269" s="650"/>
      <c r="DB269" s="522"/>
      <c r="DC269" s="650">
        <v>0</v>
      </c>
      <c r="DD269" s="522"/>
      <c r="DE269" s="754"/>
      <c r="DF269" s="522"/>
      <c r="DG269" s="471"/>
      <c r="DH269" s="754"/>
      <c r="DI269" s="522"/>
      <c r="DJ269" s="471"/>
      <c r="DK269" s="754"/>
      <c r="DL269" s="522"/>
      <c r="DM269" s="471"/>
      <c r="DN269" s="754"/>
      <c r="DO269" s="522"/>
      <c r="DP269" s="471"/>
      <c r="DQ269" s="493">
        <f t="shared" si="110"/>
        <v>0</v>
      </c>
      <c r="DR269" s="479">
        <f t="shared" si="107"/>
        <v>0</v>
      </c>
      <c r="DS269" s="1019"/>
      <c r="DT269" s="1019"/>
      <c r="DU269" s="1019"/>
      <c r="DV269" s="1019"/>
      <c r="DW269" s="1019"/>
      <c r="DX269" s="1019"/>
      <c r="DY269" s="1019"/>
      <c r="DZ269" s="1019"/>
      <c r="EA269" s="1019"/>
      <c r="EB269" s="1019"/>
      <c r="EC269" s="1019"/>
      <c r="ED269" s="1019"/>
      <c r="EE269" s="1119">
        <f t="shared" si="109"/>
        <v>0</v>
      </c>
      <c r="EF269" s="443">
        <f>EE269*1.17</f>
        <v>0</v>
      </c>
      <c r="EG269" s="443">
        <f>EF269*1.08</f>
        <v>0</v>
      </c>
      <c r="EH269" s="443">
        <v>500000000</v>
      </c>
      <c r="EI269" s="443">
        <v>500000000</v>
      </c>
      <c r="EJ269" s="367">
        <v>3000019921</v>
      </c>
    </row>
    <row r="270" spans="1:141" outlineLevel="2">
      <c r="A270" s="367" t="s">
        <v>159</v>
      </c>
      <c r="B270" s="378"/>
      <c r="C270" s="370" t="s">
        <v>358</v>
      </c>
      <c r="D270" s="370" t="s">
        <v>40</v>
      </c>
      <c r="E270" s="387" t="s">
        <v>175</v>
      </c>
      <c r="F270" s="380">
        <v>3000014595</v>
      </c>
      <c r="G270" s="184">
        <v>0</v>
      </c>
      <c r="H270" s="184">
        <v>0</v>
      </c>
      <c r="I270" s="184">
        <v>0</v>
      </c>
      <c r="J270" s="184">
        <v>0</v>
      </c>
      <c r="K270" s="184">
        <v>0</v>
      </c>
      <c r="L270" s="184">
        <v>0</v>
      </c>
      <c r="M270" s="184">
        <v>0</v>
      </c>
      <c r="N270" s="184">
        <v>0</v>
      </c>
      <c r="O270" s="184">
        <v>0</v>
      </c>
      <c r="P270" s="184">
        <v>0</v>
      </c>
      <c r="Q270" s="184">
        <v>0</v>
      </c>
      <c r="R270" s="184">
        <v>0</v>
      </c>
      <c r="S270" s="14">
        <f t="shared" si="101"/>
        <v>0</v>
      </c>
      <c r="T270" s="179"/>
      <c r="U270" s="184">
        <v>0</v>
      </c>
      <c r="V270" s="184">
        <v>0</v>
      </c>
      <c r="W270" s="184">
        <v>0</v>
      </c>
      <c r="X270" s="184">
        <v>0</v>
      </c>
      <c r="Y270" s="184">
        <v>0</v>
      </c>
      <c r="Z270" s="184">
        <v>0</v>
      </c>
      <c r="AA270" s="184">
        <v>0</v>
      </c>
      <c r="AB270" s="184">
        <v>0</v>
      </c>
      <c r="AC270" s="184">
        <v>0</v>
      </c>
      <c r="AD270" s="184">
        <v>0</v>
      </c>
      <c r="AE270" s="184">
        <v>0</v>
      </c>
      <c r="AF270" s="184">
        <v>0</v>
      </c>
      <c r="AG270" s="759">
        <f t="shared" si="102"/>
        <v>0</v>
      </c>
      <c r="AH270" s="788"/>
      <c r="AI270" s="820"/>
      <c r="AJ270" s="810"/>
      <c r="AK270" s="758">
        <v>2550000</v>
      </c>
      <c r="AL270" s="758">
        <v>82900000</v>
      </c>
      <c r="AM270" s="758">
        <v>0</v>
      </c>
      <c r="AN270" s="758">
        <v>52575000</v>
      </c>
      <c r="AO270" s="758">
        <v>21500000</v>
      </c>
      <c r="AP270" s="758">
        <v>0</v>
      </c>
      <c r="AQ270" s="518">
        <v>30000000</v>
      </c>
      <c r="AR270" s="813">
        <v>0</v>
      </c>
      <c r="AS270" s="813">
        <v>1000000</v>
      </c>
      <c r="AT270" s="813">
        <v>0</v>
      </c>
      <c r="AU270" s="518">
        <f t="shared" si="103"/>
        <v>0</v>
      </c>
      <c r="AV270" s="518">
        <f t="shared" si="103"/>
        <v>0</v>
      </c>
      <c r="AW270" s="518">
        <f t="shared" si="103"/>
        <v>0</v>
      </c>
      <c r="AX270" s="518">
        <f t="shared" si="104"/>
        <v>190525000</v>
      </c>
      <c r="AY270" s="788"/>
      <c r="AZ270" s="820"/>
      <c r="BA270" s="810"/>
      <c r="BB270" s="758">
        <v>2550000</v>
      </c>
      <c r="BC270" s="758">
        <v>82900000</v>
      </c>
      <c r="BD270" s="758">
        <v>0</v>
      </c>
      <c r="BE270" s="758">
        <v>52575000</v>
      </c>
      <c r="BF270" s="758">
        <v>21500000</v>
      </c>
      <c r="BG270" s="518">
        <f t="shared" si="105"/>
        <v>0</v>
      </c>
      <c r="BH270" s="758">
        <v>0</v>
      </c>
      <c r="BI270" s="758">
        <v>0</v>
      </c>
      <c r="BJ270" s="758">
        <v>0</v>
      </c>
      <c r="BK270" s="758">
        <v>0</v>
      </c>
      <c r="BL270" s="759">
        <f>SUM(AZ270,BA270,BB270,BC270,BD270,BE270,BF270,BG270,BH270,BI270,BJ270,BK270)</f>
        <v>159525000</v>
      </c>
      <c r="BN270" s="754">
        <v>0</v>
      </c>
      <c r="BO270" s="754">
        <v>0</v>
      </c>
      <c r="BP270" s="754">
        <v>0</v>
      </c>
      <c r="BQ270" s="754">
        <v>0</v>
      </c>
      <c r="BR270" s="754">
        <v>0</v>
      </c>
      <c r="BS270" s="754">
        <v>0</v>
      </c>
      <c r="BT270" s="754">
        <v>0</v>
      </c>
      <c r="BU270" s="754">
        <v>0</v>
      </c>
      <c r="BV270" s="754">
        <v>0</v>
      </c>
      <c r="BW270" s="754">
        <v>0</v>
      </c>
      <c r="BX270" s="754">
        <v>0</v>
      </c>
      <c r="BY270" s="754">
        <v>0</v>
      </c>
      <c r="BZ270" s="791">
        <v>0</v>
      </c>
      <c r="CB270" s="754">
        <v>0</v>
      </c>
      <c r="CC270" s="754">
        <v>0</v>
      </c>
      <c r="CD270" s="754">
        <v>0</v>
      </c>
      <c r="CE270" s="754">
        <v>0</v>
      </c>
      <c r="CF270" s="754">
        <v>0</v>
      </c>
      <c r="CG270" s="754">
        <v>0</v>
      </c>
      <c r="CH270" s="754">
        <v>0</v>
      </c>
      <c r="CI270" s="754">
        <v>0</v>
      </c>
      <c r="CJ270" s="754">
        <v>0</v>
      </c>
      <c r="CK270" s="754">
        <v>0</v>
      </c>
      <c r="CL270" s="754">
        <v>0</v>
      </c>
      <c r="CM270" s="754">
        <v>0</v>
      </c>
      <c r="CN270" s="791">
        <v>0</v>
      </c>
      <c r="CP270" s="650"/>
      <c r="CQ270" s="650"/>
      <c r="CR270" s="522"/>
      <c r="CS270" s="650"/>
      <c r="CT270" s="522"/>
      <c r="CU270" s="650">
        <v>4830000</v>
      </c>
      <c r="CV270" s="522">
        <v>5000000</v>
      </c>
      <c r="CW270" s="650"/>
      <c r="CX270" s="522">
        <f>CV270</f>
        <v>5000000</v>
      </c>
      <c r="CY270" s="650">
        <v>2100000</v>
      </c>
      <c r="CZ270" s="522">
        <v>10000000</v>
      </c>
      <c r="DA270" s="650">
        <v>5582500</v>
      </c>
      <c r="DB270" s="522">
        <v>40000000</v>
      </c>
      <c r="DC270" s="650">
        <v>2760000</v>
      </c>
      <c r="DD270" s="522">
        <f>DB270</f>
        <v>40000000</v>
      </c>
      <c r="DE270" s="518"/>
      <c r="DF270" s="522">
        <f>DE270</f>
        <v>0</v>
      </c>
      <c r="DG270" s="471">
        <v>10000000</v>
      </c>
      <c r="DH270" s="518"/>
      <c r="DI270" s="522">
        <f>DH270</f>
        <v>0</v>
      </c>
      <c r="DJ270" s="471">
        <f>DG270</f>
        <v>10000000</v>
      </c>
      <c r="DK270" s="518"/>
      <c r="DL270" s="522">
        <f>DK270</f>
        <v>0</v>
      </c>
      <c r="DM270" s="471">
        <f>DJ270</f>
        <v>10000000</v>
      </c>
      <c r="DN270" s="518"/>
      <c r="DO270" s="522">
        <f>DN270</f>
        <v>0</v>
      </c>
      <c r="DP270" s="471">
        <f>DM270</f>
        <v>10000000</v>
      </c>
      <c r="DQ270" s="493">
        <f t="shared" si="110"/>
        <v>15272500</v>
      </c>
      <c r="DR270" s="479">
        <f t="shared" si="107"/>
        <v>55272500</v>
      </c>
      <c r="DS270" s="1019">
        <v>5000000</v>
      </c>
      <c r="DT270" s="1019">
        <v>5000000</v>
      </c>
      <c r="DU270" s="1019">
        <v>5000000</v>
      </c>
      <c r="DV270" s="1019">
        <v>5000000</v>
      </c>
      <c r="DW270" s="1019">
        <v>5000000</v>
      </c>
      <c r="DX270" s="1019">
        <v>5000000</v>
      </c>
      <c r="DY270" s="1019">
        <v>5000000</v>
      </c>
      <c r="DZ270" s="1019">
        <v>5000000</v>
      </c>
      <c r="EA270" s="1019">
        <v>5000000</v>
      </c>
      <c r="EB270" s="1019">
        <v>5000000</v>
      </c>
      <c r="EC270" s="1019">
        <v>5000000</v>
      </c>
      <c r="ED270" s="1019">
        <v>5000000</v>
      </c>
      <c r="EE270" s="1119">
        <f t="shared" si="109"/>
        <v>60000000</v>
      </c>
      <c r="EF270" s="443">
        <f t="shared" si="108"/>
        <v>70200000</v>
      </c>
      <c r="EG270" s="443">
        <f>EF270*1.08</f>
        <v>75816000</v>
      </c>
      <c r="EH270" s="443">
        <f>EG270*1.09</f>
        <v>82639440</v>
      </c>
      <c r="EI270" s="443">
        <f>EH270*1.09</f>
        <v>90076989.600000009</v>
      </c>
      <c r="EJ270" s="367">
        <v>3000014595</v>
      </c>
    </row>
    <row r="271" spans="1:141" outlineLevel="2">
      <c r="A271" s="367" t="s">
        <v>159</v>
      </c>
      <c r="B271" s="378"/>
      <c r="C271" s="370" t="s">
        <v>358</v>
      </c>
      <c r="D271" s="370" t="s">
        <v>40</v>
      </c>
      <c r="E271" s="383" t="s">
        <v>174</v>
      </c>
      <c r="F271" s="380">
        <v>3000018793</v>
      </c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  <c r="R271" s="184"/>
      <c r="S271" s="14"/>
      <c r="T271" s="181"/>
      <c r="U271" s="184"/>
      <c r="V271" s="184"/>
      <c r="W271" s="184"/>
      <c r="X271" s="184"/>
      <c r="Y271" s="184"/>
      <c r="Z271" s="184"/>
      <c r="AA271" s="184"/>
      <c r="AB271" s="184"/>
      <c r="AC271" s="184"/>
      <c r="AD271" s="184"/>
      <c r="AE271" s="184"/>
      <c r="AF271" s="184"/>
      <c r="AG271" s="759"/>
      <c r="AH271" s="181"/>
      <c r="AI271" s="180"/>
      <c r="AJ271" s="810"/>
      <c r="AK271" s="6"/>
      <c r="AL271" s="6"/>
      <c r="AM271" s="6"/>
      <c r="AN271" s="6"/>
      <c r="AO271" s="6"/>
      <c r="AP271" s="6"/>
      <c r="AQ271" s="518"/>
      <c r="AR271" s="813"/>
      <c r="AS271" s="813"/>
      <c r="AT271" s="813">
        <v>3181818</v>
      </c>
      <c r="AU271" s="6"/>
      <c r="AV271" s="6"/>
      <c r="AW271" s="6"/>
      <c r="AX271" s="518">
        <f>SUM(AI271,AJ271,AK271,AL271,AM271,AN271,AO271,AP271,AQ271,AR271,AS271,AT271)</f>
        <v>3181818</v>
      </c>
      <c r="AY271" s="181"/>
      <c r="AZ271" s="180"/>
      <c r="BA271" s="810"/>
      <c r="BB271" s="6"/>
      <c r="BC271" s="6"/>
      <c r="BD271" s="6"/>
      <c r="BE271" s="6"/>
      <c r="BF271" s="6"/>
      <c r="BG271" s="518"/>
      <c r="BH271" s="6"/>
      <c r="BI271" s="6"/>
      <c r="BJ271" s="6"/>
      <c r="BK271" s="6"/>
      <c r="BL271" s="518"/>
      <c r="BN271" s="815"/>
      <c r="BO271" s="816"/>
      <c r="BP271" s="754"/>
      <c r="BQ271" s="754"/>
      <c r="BR271" s="754"/>
      <c r="BS271" s="754"/>
      <c r="BT271" s="754"/>
      <c r="BU271" s="754"/>
      <c r="BV271" s="754"/>
      <c r="BW271" s="754"/>
      <c r="BX271" s="754"/>
      <c r="BY271" s="754"/>
      <c r="BZ271" s="791">
        <v>0</v>
      </c>
      <c r="CB271" s="815"/>
      <c r="CC271" s="816"/>
      <c r="CD271" s="754"/>
      <c r="CE271" s="754"/>
      <c r="CF271" s="754"/>
      <c r="CG271" s="754"/>
      <c r="CH271" s="754"/>
      <c r="CI271" s="754"/>
      <c r="CJ271" s="754"/>
      <c r="CK271" s="754"/>
      <c r="CL271" s="754"/>
      <c r="CM271" s="754"/>
      <c r="CN271" s="791">
        <v>0</v>
      </c>
      <c r="CP271" s="651"/>
      <c r="CQ271" s="651">
        <v>1800000</v>
      </c>
      <c r="CR271" s="523"/>
      <c r="CS271" s="651"/>
      <c r="CT271" s="523"/>
      <c r="CU271" s="651">
        <v>3450000</v>
      </c>
      <c r="CV271" s="523"/>
      <c r="CW271" s="651"/>
      <c r="CX271" s="523">
        <v>5000000</v>
      </c>
      <c r="CY271" s="651"/>
      <c r="CZ271" s="523">
        <v>10000000</v>
      </c>
      <c r="DA271" s="651"/>
      <c r="DB271" s="523">
        <f>CZ271</f>
        <v>10000000</v>
      </c>
      <c r="DC271" s="651">
        <v>0</v>
      </c>
      <c r="DD271" s="523">
        <f>DB271</f>
        <v>10000000</v>
      </c>
      <c r="DE271" s="518"/>
      <c r="DF271" s="523">
        <f>DE271</f>
        <v>0</v>
      </c>
      <c r="DG271" s="471">
        <f>DD271</f>
        <v>10000000</v>
      </c>
      <c r="DH271" s="518"/>
      <c r="DI271" s="523">
        <f>DH271</f>
        <v>0</v>
      </c>
      <c r="DJ271" s="471">
        <f>DG271</f>
        <v>10000000</v>
      </c>
      <c r="DK271" s="518"/>
      <c r="DL271" s="523"/>
      <c r="DM271" s="471">
        <f>DJ271</f>
        <v>10000000</v>
      </c>
      <c r="DN271" s="518"/>
      <c r="DO271" s="523"/>
      <c r="DP271" s="471">
        <f>DM271</f>
        <v>10000000</v>
      </c>
      <c r="DQ271" s="493">
        <f t="shared" si="110"/>
        <v>5250000</v>
      </c>
      <c r="DR271" s="479">
        <f t="shared" si="107"/>
        <v>45250000</v>
      </c>
      <c r="DS271" s="1162">
        <v>5000000</v>
      </c>
      <c r="DT271" s="1162">
        <v>5000000</v>
      </c>
      <c r="DU271" s="1162">
        <v>5000000</v>
      </c>
      <c r="DV271" s="1162">
        <v>5000000</v>
      </c>
      <c r="DW271" s="1162">
        <v>5000000</v>
      </c>
      <c r="DX271" s="1162">
        <v>5000000</v>
      </c>
      <c r="DY271" s="1162">
        <v>5000000</v>
      </c>
      <c r="DZ271" s="1162">
        <v>5000000</v>
      </c>
      <c r="EA271" s="1162">
        <v>5000000</v>
      </c>
      <c r="EB271" s="1162">
        <v>5000000</v>
      </c>
      <c r="EC271" s="1162">
        <v>5000000</v>
      </c>
      <c r="ED271" s="1162">
        <v>5000000</v>
      </c>
      <c r="EE271" s="1119">
        <f t="shared" si="109"/>
        <v>60000000</v>
      </c>
      <c r="EF271" s="443"/>
      <c r="EG271" s="443"/>
      <c r="EH271" s="443"/>
      <c r="EI271" s="443"/>
    </row>
    <row r="272" spans="1:141" outlineLevel="2">
      <c r="A272" s="367" t="s">
        <v>159</v>
      </c>
      <c r="B272" s="378"/>
      <c r="C272" s="370" t="s">
        <v>358</v>
      </c>
      <c r="D272" s="370" t="s">
        <v>40</v>
      </c>
      <c r="E272" s="383" t="s">
        <v>176</v>
      </c>
      <c r="F272" s="380">
        <v>3000006166</v>
      </c>
      <c r="G272" s="184">
        <v>0</v>
      </c>
      <c r="H272" s="184">
        <v>0</v>
      </c>
      <c r="I272" s="184">
        <v>0</v>
      </c>
      <c r="J272" s="184">
        <v>0</v>
      </c>
      <c r="K272" s="184">
        <v>0</v>
      </c>
      <c r="L272" s="184">
        <v>0</v>
      </c>
      <c r="M272" s="184">
        <v>0</v>
      </c>
      <c r="N272" s="184">
        <v>0</v>
      </c>
      <c r="O272" s="184">
        <v>0</v>
      </c>
      <c r="P272" s="184">
        <v>0</v>
      </c>
      <c r="Q272" s="184">
        <v>0</v>
      </c>
      <c r="R272" s="184">
        <v>0</v>
      </c>
      <c r="S272" s="14">
        <f t="shared" si="101"/>
        <v>0</v>
      </c>
      <c r="T272" s="179"/>
      <c r="U272" s="184">
        <v>0</v>
      </c>
      <c r="V272" s="184">
        <v>0</v>
      </c>
      <c r="W272" s="184">
        <v>0</v>
      </c>
      <c r="X272" s="184">
        <v>0</v>
      </c>
      <c r="Y272" s="184">
        <v>0</v>
      </c>
      <c r="Z272" s="184">
        <v>0</v>
      </c>
      <c r="AA272" s="184">
        <v>0</v>
      </c>
      <c r="AB272" s="184">
        <v>0</v>
      </c>
      <c r="AC272" s="184">
        <v>0</v>
      </c>
      <c r="AD272" s="184">
        <v>0</v>
      </c>
      <c r="AE272" s="184">
        <v>0</v>
      </c>
      <c r="AF272" s="184">
        <v>0</v>
      </c>
      <c r="AG272" s="759">
        <f t="shared" si="102"/>
        <v>0</v>
      </c>
      <c r="AH272" s="788"/>
      <c r="AI272" s="189"/>
      <c r="AJ272" s="810"/>
      <c r="AK272" s="758"/>
      <c r="AL272" s="758"/>
      <c r="AM272" s="758">
        <v>14625000</v>
      </c>
      <c r="AN272" s="758">
        <v>35040000</v>
      </c>
      <c r="AO272" s="758">
        <v>0</v>
      </c>
      <c r="AP272" s="758">
        <v>0</v>
      </c>
      <c r="AQ272" s="518">
        <v>0</v>
      </c>
      <c r="AR272" s="518"/>
      <c r="AS272" s="518"/>
      <c r="AT272" s="518"/>
      <c r="AU272" s="518">
        <f t="shared" si="103"/>
        <v>0</v>
      </c>
      <c r="AV272" s="518">
        <f t="shared" si="103"/>
        <v>0</v>
      </c>
      <c r="AW272" s="518">
        <f t="shared" si="103"/>
        <v>0</v>
      </c>
      <c r="AX272" s="518">
        <f t="shared" si="104"/>
        <v>49665000</v>
      </c>
      <c r="AY272" s="788"/>
      <c r="AZ272" s="189"/>
      <c r="BA272" s="810"/>
      <c r="BB272" s="758"/>
      <c r="BC272" s="758"/>
      <c r="BD272" s="758">
        <v>14625000</v>
      </c>
      <c r="BE272" s="758">
        <v>35040000</v>
      </c>
      <c r="BF272" s="758">
        <v>0</v>
      </c>
      <c r="BG272" s="518">
        <f t="shared" si="105"/>
        <v>0</v>
      </c>
      <c r="BH272" s="758">
        <v>0</v>
      </c>
      <c r="BI272" s="758">
        <v>0</v>
      </c>
      <c r="BJ272" s="758">
        <v>0</v>
      </c>
      <c r="BK272" s="758">
        <v>0</v>
      </c>
      <c r="BL272" s="759">
        <f>SUM(AZ272,BA272,BB272,BC272,BD272,BE272,BF272,BG272,BH272,BI272,BJ272,BK272)</f>
        <v>49665000</v>
      </c>
      <c r="BN272" s="754">
        <v>0</v>
      </c>
      <c r="BO272" s="754">
        <v>0</v>
      </c>
      <c r="BP272" s="754">
        <v>0</v>
      </c>
      <c r="BQ272" s="754">
        <v>0</v>
      </c>
      <c r="BR272" s="754">
        <v>0</v>
      </c>
      <c r="BS272" s="754">
        <v>0</v>
      </c>
      <c r="BT272" s="754">
        <v>0</v>
      </c>
      <c r="BU272" s="754">
        <v>0</v>
      </c>
      <c r="BV272" s="754">
        <v>0</v>
      </c>
      <c r="BW272" s="754">
        <v>0</v>
      </c>
      <c r="BX272" s="754">
        <v>0</v>
      </c>
      <c r="BY272" s="754">
        <v>0</v>
      </c>
      <c r="BZ272" s="791">
        <v>0</v>
      </c>
      <c r="CB272" s="754">
        <v>0</v>
      </c>
      <c r="CC272" s="754">
        <v>0</v>
      </c>
      <c r="CD272" s="754">
        <v>0</v>
      </c>
      <c r="CE272" s="754">
        <v>0</v>
      </c>
      <c r="CF272" s="754">
        <v>0</v>
      </c>
      <c r="CG272" s="754">
        <v>0</v>
      </c>
      <c r="CH272" s="754">
        <v>0</v>
      </c>
      <c r="CI272" s="754">
        <v>0</v>
      </c>
      <c r="CJ272" s="754">
        <v>0</v>
      </c>
      <c r="CK272" s="754">
        <v>0</v>
      </c>
      <c r="CL272" s="754">
        <v>0</v>
      </c>
      <c r="CM272" s="754">
        <v>0</v>
      </c>
      <c r="CN272" s="791">
        <v>0</v>
      </c>
      <c r="CP272" s="650"/>
      <c r="CQ272" s="650"/>
      <c r="CR272" s="522">
        <v>10000000</v>
      </c>
      <c r="CS272" s="650"/>
      <c r="CT272" s="522">
        <v>20000000</v>
      </c>
      <c r="CU272" s="650">
        <v>39376300</v>
      </c>
      <c r="CV272" s="522">
        <v>20000000</v>
      </c>
      <c r="CW272" s="650">
        <v>22235650</v>
      </c>
      <c r="CX272" s="522">
        <v>45000000</v>
      </c>
      <c r="CY272" s="650">
        <v>23233150</v>
      </c>
      <c r="CZ272" s="522">
        <f>CX272</f>
        <v>45000000</v>
      </c>
      <c r="DA272" s="650">
        <v>48527400</v>
      </c>
      <c r="DB272" s="522">
        <f>CZ272</f>
        <v>45000000</v>
      </c>
      <c r="DC272" s="650">
        <v>44097450</v>
      </c>
      <c r="DD272" s="522">
        <f>DB272</f>
        <v>45000000</v>
      </c>
      <c r="DE272" s="518"/>
      <c r="DF272" s="522">
        <f>DE272</f>
        <v>0</v>
      </c>
      <c r="DG272" s="471">
        <f>DD272</f>
        <v>45000000</v>
      </c>
      <c r="DH272" s="518"/>
      <c r="DI272" s="522">
        <f>DH272</f>
        <v>0</v>
      </c>
      <c r="DJ272" s="471">
        <f>DG272</f>
        <v>45000000</v>
      </c>
      <c r="DK272" s="518"/>
      <c r="DL272" s="522">
        <f>DK272</f>
        <v>0</v>
      </c>
      <c r="DM272" s="471">
        <f>DJ272</f>
        <v>45000000</v>
      </c>
      <c r="DN272" s="518"/>
      <c r="DO272" s="522">
        <f>DN272</f>
        <v>0</v>
      </c>
      <c r="DP272" s="471">
        <f>DM272</f>
        <v>45000000</v>
      </c>
      <c r="DQ272" s="493">
        <f t="shared" si="110"/>
        <v>177469950</v>
      </c>
      <c r="DR272" s="479">
        <f t="shared" si="107"/>
        <v>357469950</v>
      </c>
      <c r="DS272" s="1019">
        <v>50000000</v>
      </c>
      <c r="DT272" s="1019">
        <v>50000000</v>
      </c>
      <c r="DU272" s="1019">
        <v>50000000</v>
      </c>
      <c r="DV272" s="1019">
        <v>50000000</v>
      </c>
      <c r="DW272" s="1019">
        <v>50000000</v>
      </c>
      <c r="DX272" s="1019">
        <v>50000000</v>
      </c>
      <c r="DY272" s="1019">
        <v>50000000</v>
      </c>
      <c r="DZ272" s="1019">
        <v>50000000</v>
      </c>
      <c r="EA272" s="1019">
        <v>50000000</v>
      </c>
      <c r="EB272" s="1019">
        <v>50000000</v>
      </c>
      <c r="EC272" s="1019">
        <v>50000000</v>
      </c>
      <c r="ED272" s="1019">
        <v>50000000</v>
      </c>
      <c r="EE272" s="1119">
        <f t="shared" si="109"/>
        <v>600000000</v>
      </c>
      <c r="EF272" s="443">
        <f t="shared" si="108"/>
        <v>702000000</v>
      </c>
      <c r="EG272" s="443">
        <f>EF272*1.08</f>
        <v>758160000</v>
      </c>
      <c r="EH272" s="443">
        <f>EG272*1.09</f>
        <v>826394400.00000012</v>
      </c>
      <c r="EI272" s="443">
        <f>EH272*1.09</f>
        <v>900769896.00000024</v>
      </c>
      <c r="EJ272" s="367">
        <v>3000006166</v>
      </c>
    </row>
    <row r="273" spans="1:156" s="255" customFormat="1" ht="18.5" outlineLevel="2">
      <c r="A273" s="981"/>
      <c r="B273" s="393"/>
      <c r="C273" s="394"/>
      <c r="D273" s="394"/>
      <c r="E273" s="395" t="s">
        <v>474</v>
      </c>
      <c r="F273" s="982"/>
      <c r="G273" s="256"/>
      <c r="H273" s="256"/>
      <c r="I273" s="256"/>
      <c r="J273" s="256"/>
      <c r="K273" s="256"/>
      <c r="L273" s="256"/>
      <c r="M273" s="256"/>
      <c r="N273" s="256"/>
      <c r="O273" s="256"/>
      <c r="P273" s="256"/>
      <c r="Q273" s="256"/>
      <c r="R273" s="256"/>
      <c r="S273" s="257"/>
      <c r="T273" s="258"/>
      <c r="U273" s="256"/>
      <c r="V273" s="256"/>
      <c r="W273" s="256"/>
      <c r="X273" s="256"/>
      <c r="Y273" s="256"/>
      <c r="Z273" s="256"/>
      <c r="AA273" s="256"/>
      <c r="AB273" s="256"/>
      <c r="AC273" s="256"/>
      <c r="AD273" s="256"/>
      <c r="AE273" s="256"/>
      <c r="AF273" s="256"/>
      <c r="AG273" s="800"/>
      <c r="AH273" s="801"/>
      <c r="AI273" s="802"/>
      <c r="AJ273" s="803"/>
      <c r="AK273" s="800"/>
      <c r="AL273" s="800"/>
      <c r="AM273" s="800"/>
      <c r="AN273" s="800"/>
      <c r="AO273" s="800"/>
      <c r="AP273" s="800"/>
      <c r="AQ273" s="800"/>
      <c r="AR273" s="800"/>
      <c r="AS273" s="800"/>
      <c r="AT273" s="800"/>
      <c r="AU273" s="800"/>
      <c r="AV273" s="800"/>
      <c r="AW273" s="800"/>
      <c r="AX273" s="800"/>
      <c r="AY273" s="801"/>
      <c r="AZ273" s="802"/>
      <c r="BA273" s="803"/>
      <c r="BB273" s="800"/>
      <c r="BC273" s="800"/>
      <c r="BD273" s="800"/>
      <c r="BE273" s="800"/>
      <c r="BF273" s="800"/>
      <c r="BG273" s="800"/>
      <c r="BH273" s="800"/>
      <c r="BI273" s="800"/>
      <c r="BJ273" s="800"/>
      <c r="BK273" s="800"/>
      <c r="BL273" s="800"/>
      <c r="BM273" s="983"/>
      <c r="BN273" s="467">
        <f t="shared" ref="BN273:BZ273" si="118">SUM(BN275:BN279)</f>
        <v>0</v>
      </c>
      <c r="BO273" s="467">
        <f t="shared" si="118"/>
        <v>0</v>
      </c>
      <c r="BP273" s="467">
        <f t="shared" si="118"/>
        <v>0</v>
      </c>
      <c r="BQ273" s="467">
        <f t="shared" si="118"/>
        <v>0</v>
      </c>
      <c r="BR273" s="467">
        <f t="shared" si="118"/>
        <v>0</v>
      </c>
      <c r="BS273" s="467">
        <f t="shared" si="118"/>
        <v>0</v>
      </c>
      <c r="BT273" s="467">
        <f t="shared" si="118"/>
        <v>0</v>
      </c>
      <c r="BU273" s="467">
        <f t="shared" si="118"/>
        <v>0</v>
      </c>
      <c r="BV273" s="467">
        <f t="shared" si="118"/>
        <v>0</v>
      </c>
      <c r="BW273" s="467">
        <f t="shared" si="118"/>
        <v>0</v>
      </c>
      <c r="BX273" s="467">
        <f t="shared" si="118"/>
        <v>0</v>
      </c>
      <c r="BY273" s="467">
        <f t="shared" si="118"/>
        <v>0</v>
      </c>
      <c r="BZ273" s="467">
        <f t="shared" si="118"/>
        <v>0</v>
      </c>
      <c r="CA273" s="3"/>
      <c r="CB273" s="467">
        <f t="shared" ref="CB273:CN273" si="119">SUM(CB275:CB279)</f>
        <v>0</v>
      </c>
      <c r="CC273" s="467">
        <f t="shared" si="119"/>
        <v>0</v>
      </c>
      <c r="CD273" s="467">
        <f t="shared" si="119"/>
        <v>0</v>
      </c>
      <c r="CE273" s="467">
        <f t="shared" si="119"/>
        <v>0</v>
      </c>
      <c r="CF273" s="467">
        <f t="shared" si="119"/>
        <v>0</v>
      </c>
      <c r="CG273" s="467">
        <f t="shared" si="119"/>
        <v>0</v>
      </c>
      <c r="CH273" s="467">
        <f t="shared" si="119"/>
        <v>0</v>
      </c>
      <c r="CI273" s="467">
        <f t="shared" si="119"/>
        <v>0</v>
      </c>
      <c r="CJ273" s="467">
        <f t="shared" si="119"/>
        <v>0</v>
      </c>
      <c r="CK273" s="467">
        <f t="shared" si="119"/>
        <v>0</v>
      </c>
      <c r="CL273" s="467">
        <f t="shared" si="119"/>
        <v>0</v>
      </c>
      <c r="CM273" s="467">
        <f t="shared" si="119"/>
        <v>0</v>
      </c>
      <c r="CN273" s="467">
        <f t="shared" si="119"/>
        <v>0</v>
      </c>
      <c r="CO273" s="983"/>
      <c r="CP273" s="467">
        <f t="shared" ref="CP273:DP273" si="120">SUM(CP274:CP281)</f>
        <v>27931818</v>
      </c>
      <c r="CQ273" s="467">
        <f t="shared" si="120"/>
        <v>0</v>
      </c>
      <c r="CR273" s="467">
        <f t="shared" si="120"/>
        <v>23500000</v>
      </c>
      <c r="CS273" s="467">
        <f t="shared" si="120"/>
        <v>22800000</v>
      </c>
      <c r="CT273" s="467">
        <f t="shared" si="120"/>
        <v>10000000</v>
      </c>
      <c r="CU273" s="467">
        <f t="shared" si="120"/>
        <v>0</v>
      </c>
      <c r="CV273" s="467">
        <f t="shared" si="120"/>
        <v>40000000</v>
      </c>
      <c r="CW273" s="467">
        <f t="shared" si="120"/>
        <v>0</v>
      </c>
      <c r="CX273" s="467">
        <f t="shared" si="120"/>
        <v>35000000</v>
      </c>
      <c r="CY273" s="467">
        <f t="shared" si="120"/>
        <v>40190000</v>
      </c>
      <c r="CZ273" s="467">
        <f t="shared" si="120"/>
        <v>45000000</v>
      </c>
      <c r="DA273" s="467">
        <f t="shared" si="120"/>
        <v>5390000</v>
      </c>
      <c r="DB273" s="467">
        <f t="shared" si="120"/>
        <v>25000000</v>
      </c>
      <c r="DC273" s="467">
        <f t="shared" si="120"/>
        <v>35267500</v>
      </c>
      <c r="DD273" s="467">
        <f t="shared" si="120"/>
        <v>25000000</v>
      </c>
      <c r="DE273" s="467">
        <f t="shared" si="120"/>
        <v>0</v>
      </c>
      <c r="DF273" s="467">
        <f>SUM(DF274:DF281)</f>
        <v>30000000</v>
      </c>
      <c r="DG273" s="467">
        <f t="shared" si="120"/>
        <v>35000000</v>
      </c>
      <c r="DH273" s="467">
        <f t="shared" si="120"/>
        <v>0</v>
      </c>
      <c r="DI273" s="467">
        <f>SUM(DI274:DI281)</f>
        <v>20000000</v>
      </c>
      <c r="DJ273" s="467">
        <f t="shared" si="120"/>
        <v>35000000</v>
      </c>
      <c r="DK273" s="467">
        <f t="shared" si="120"/>
        <v>0</v>
      </c>
      <c r="DL273" s="467">
        <f>SUM(DL274:DL281)</f>
        <v>20000000</v>
      </c>
      <c r="DM273" s="467">
        <f>SUM(DM274:DM281)</f>
        <v>25000000</v>
      </c>
      <c r="DN273" s="467">
        <f t="shared" si="120"/>
        <v>0</v>
      </c>
      <c r="DO273" s="467">
        <f>SUM(DO274:DO281)</f>
        <v>20000000</v>
      </c>
      <c r="DP273" s="467">
        <f t="shared" si="120"/>
        <v>25000000</v>
      </c>
      <c r="DQ273" s="467">
        <f>SUM(DQ274:DQ281)</f>
        <v>221579318</v>
      </c>
      <c r="DR273" s="467">
        <f>SUM(DR274:DR281)</f>
        <v>251579318</v>
      </c>
      <c r="DS273" s="444">
        <f>SUM(DS274:DS281)</f>
        <v>83500000</v>
      </c>
      <c r="DT273" s="444">
        <f t="shared" ref="DT273:EI273" si="121">SUM(DT274:DT281)</f>
        <v>83500000</v>
      </c>
      <c r="DU273" s="444">
        <f t="shared" si="121"/>
        <v>83500000</v>
      </c>
      <c r="DV273" s="444">
        <f t="shared" si="121"/>
        <v>83500000</v>
      </c>
      <c r="DW273" s="444">
        <f t="shared" si="121"/>
        <v>83500000</v>
      </c>
      <c r="DX273" s="444">
        <f t="shared" si="121"/>
        <v>83500000</v>
      </c>
      <c r="DY273" s="444">
        <f t="shared" si="121"/>
        <v>83500000</v>
      </c>
      <c r="DZ273" s="444">
        <f t="shared" si="121"/>
        <v>83500000</v>
      </c>
      <c r="EA273" s="444">
        <f t="shared" si="121"/>
        <v>83500000</v>
      </c>
      <c r="EB273" s="444">
        <f t="shared" si="121"/>
        <v>83500000</v>
      </c>
      <c r="EC273" s="444">
        <f t="shared" si="121"/>
        <v>83500000</v>
      </c>
      <c r="ED273" s="444">
        <f t="shared" si="121"/>
        <v>83500000</v>
      </c>
      <c r="EE273" s="1125">
        <f>SUM(EE274:EE281)</f>
        <v>1002000000</v>
      </c>
      <c r="EF273" s="444">
        <f t="shared" si="121"/>
        <v>0</v>
      </c>
      <c r="EG273" s="444">
        <f t="shared" si="121"/>
        <v>0</v>
      </c>
      <c r="EH273" s="444">
        <f t="shared" si="121"/>
        <v>0</v>
      </c>
      <c r="EI273" s="444">
        <f t="shared" si="121"/>
        <v>0</v>
      </c>
      <c r="EJ273" s="981"/>
      <c r="EK273" s="981"/>
      <c r="EL273" s="984"/>
      <c r="EM273" s="984"/>
      <c r="EN273" s="984"/>
      <c r="EO273" s="984"/>
      <c r="EP273" s="984"/>
      <c r="EQ273" s="984"/>
      <c r="ER273" s="984"/>
      <c r="ES273" s="984"/>
      <c r="ET273" s="984"/>
      <c r="EU273" s="984"/>
      <c r="EV273" s="984"/>
      <c r="EW273" s="984"/>
      <c r="EX273" s="984"/>
      <c r="EY273" s="984"/>
      <c r="EZ273" s="984"/>
    </row>
    <row r="274" spans="1:156" s="268" customFormat="1" outlineLevel="2">
      <c r="A274" s="991"/>
      <c r="B274" s="405"/>
      <c r="C274" s="370" t="s">
        <v>358</v>
      </c>
      <c r="D274" s="370" t="s">
        <v>108</v>
      </c>
      <c r="E274" s="396" t="s">
        <v>577</v>
      </c>
      <c r="F274" s="992" t="s">
        <v>578</v>
      </c>
      <c r="G274" s="269"/>
      <c r="H274" s="269"/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70"/>
      <c r="T274" s="271"/>
      <c r="U274" s="269"/>
      <c r="V274" s="269"/>
      <c r="W274" s="269"/>
      <c r="X274" s="269"/>
      <c r="Y274" s="269"/>
      <c r="Z274" s="269"/>
      <c r="AA274" s="269"/>
      <c r="AB274" s="269"/>
      <c r="AC274" s="269"/>
      <c r="AD274" s="269"/>
      <c r="AE274" s="269"/>
      <c r="AF274" s="269"/>
      <c r="AG274" s="821"/>
      <c r="AH274" s="801"/>
      <c r="AI274" s="822"/>
      <c r="AJ274" s="823"/>
      <c r="AK274" s="821"/>
      <c r="AL274" s="821"/>
      <c r="AM274" s="821"/>
      <c r="AN274" s="821"/>
      <c r="AO274" s="821"/>
      <c r="AP274" s="821"/>
      <c r="AQ274" s="821"/>
      <c r="AR274" s="821"/>
      <c r="AS274" s="821"/>
      <c r="AT274" s="821"/>
      <c r="AU274" s="821"/>
      <c r="AV274" s="821"/>
      <c r="AW274" s="821"/>
      <c r="AX274" s="821"/>
      <c r="AY274" s="801"/>
      <c r="AZ274" s="822"/>
      <c r="BA274" s="823"/>
      <c r="BB274" s="821"/>
      <c r="BC274" s="821"/>
      <c r="BD274" s="821"/>
      <c r="BE274" s="821"/>
      <c r="BF274" s="821"/>
      <c r="BG274" s="821"/>
      <c r="BH274" s="821"/>
      <c r="BI274" s="821"/>
      <c r="BJ274" s="821"/>
      <c r="BK274" s="821"/>
      <c r="BL274" s="821"/>
      <c r="BM274" s="993"/>
      <c r="BN274" s="477"/>
      <c r="BO274" s="477"/>
      <c r="BP274" s="477"/>
      <c r="BQ274" s="477"/>
      <c r="BR274" s="477"/>
      <c r="BS274" s="477"/>
      <c r="BT274" s="477"/>
      <c r="BU274" s="477"/>
      <c r="BV274" s="477"/>
      <c r="BW274" s="477"/>
      <c r="BX274" s="477"/>
      <c r="BY274" s="477"/>
      <c r="BZ274" s="477"/>
      <c r="CA274" s="3"/>
      <c r="CB274" s="477"/>
      <c r="CC274" s="477"/>
      <c r="CD274" s="477"/>
      <c r="CE274" s="477"/>
      <c r="CF274" s="477"/>
      <c r="CG274" s="477"/>
      <c r="CH274" s="477"/>
      <c r="CI274" s="477"/>
      <c r="CJ274" s="477"/>
      <c r="CK274" s="477"/>
      <c r="CL274" s="477"/>
      <c r="CM274" s="477"/>
      <c r="CN274" s="477"/>
      <c r="CO274" s="993"/>
      <c r="CP274" s="652"/>
      <c r="CQ274" s="652"/>
      <c r="CR274" s="523"/>
      <c r="CS274" s="652"/>
      <c r="CT274" s="523"/>
      <c r="CU274" s="652"/>
      <c r="CV274" s="523"/>
      <c r="CW274" s="652"/>
      <c r="CX274" s="523"/>
      <c r="CY274" s="652">
        <v>1890000</v>
      </c>
      <c r="CZ274" s="523"/>
      <c r="DA274" s="652">
        <v>4140000</v>
      </c>
      <c r="DB274" s="523"/>
      <c r="DC274" s="652">
        <v>4987500</v>
      </c>
      <c r="DD274" s="523"/>
      <c r="DE274" s="477"/>
      <c r="DF274" s="523"/>
      <c r="DG274" s="471"/>
      <c r="DH274" s="477"/>
      <c r="DI274" s="523"/>
      <c r="DJ274" s="471"/>
      <c r="DK274" s="477"/>
      <c r="DL274" s="523"/>
      <c r="DM274" s="471"/>
      <c r="DN274" s="477"/>
      <c r="DO274" s="523"/>
      <c r="DP274" s="471"/>
      <c r="DQ274" s="493">
        <f t="shared" si="110"/>
        <v>11017500</v>
      </c>
      <c r="DR274" s="479">
        <f t="shared" ref="DR274:DR281" si="122">SUM(CP274,CQ274,CS274,CU274,CW274,CY274,DA274,DC274,DG274,DJ274,DM274,DP274)</f>
        <v>11017500</v>
      </c>
      <c r="DS274" s="1011">
        <v>2000000</v>
      </c>
      <c r="DT274" s="1011">
        <v>2000000</v>
      </c>
      <c r="DU274" s="1011">
        <v>2000000</v>
      </c>
      <c r="DV274" s="1011">
        <v>2000000</v>
      </c>
      <c r="DW274" s="1011">
        <v>2000000</v>
      </c>
      <c r="DX274" s="1011">
        <v>2000000</v>
      </c>
      <c r="DY274" s="1011">
        <v>2000000</v>
      </c>
      <c r="DZ274" s="1011">
        <v>2000000</v>
      </c>
      <c r="EA274" s="1011">
        <v>2000000</v>
      </c>
      <c r="EB274" s="1011">
        <v>2000000</v>
      </c>
      <c r="EC274" s="1011">
        <v>2000000</v>
      </c>
      <c r="ED274" s="1011">
        <v>2000000</v>
      </c>
      <c r="EE274" s="1119">
        <f t="shared" si="109"/>
        <v>24000000</v>
      </c>
      <c r="EF274" s="446"/>
      <c r="EG274" s="446"/>
      <c r="EH274" s="446"/>
      <c r="EI274" s="446"/>
      <c r="EJ274" s="991"/>
      <c r="EK274" s="991"/>
      <c r="EL274" s="1036"/>
      <c r="EM274" s="1036"/>
      <c r="EN274" s="1036"/>
      <c r="EO274" s="1036"/>
      <c r="EP274" s="1036"/>
      <c r="EQ274" s="1036"/>
      <c r="ER274" s="1036"/>
      <c r="ES274" s="1036"/>
      <c r="ET274" s="1036"/>
      <c r="EU274" s="1036"/>
      <c r="EV274" s="1036"/>
      <c r="EW274" s="1036"/>
      <c r="EX274" s="1036"/>
      <c r="EY274" s="1036"/>
      <c r="EZ274" s="1036"/>
    </row>
    <row r="275" spans="1:156" outlineLevel="2">
      <c r="A275" s="367" t="s">
        <v>159</v>
      </c>
      <c r="B275" s="378"/>
      <c r="C275" s="370" t="s">
        <v>358</v>
      </c>
      <c r="D275" s="370" t="s">
        <v>108</v>
      </c>
      <c r="E275" s="383" t="s">
        <v>579</v>
      </c>
      <c r="F275" s="380">
        <v>3000018331</v>
      </c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  <c r="R275" s="184"/>
      <c r="S275" s="14"/>
      <c r="T275" s="181"/>
      <c r="U275" s="184"/>
      <c r="V275" s="184"/>
      <c r="W275" s="184"/>
      <c r="X275" s="184"/>
      <c r="Y275" s="184"/>
      <c r="Z275" s="184"/>
      <c r="AA275" s="184"/>
      <c r="AB275" s="184"/>
      <c r="AC275" s="184"/>
      <c r="AD275" s="184"/>
      <c r="AE275" s="184"/>
      <c r="AF275" s="184"/>
      <c r="AG275" s="759"/>
      <c r="AH275" s="181"/>
      <c r="AI275" s="180"/>
      <c r="AJ275" s="810"/>
      <c r="AK275" s="6"/>
      <c r="AL275" s="6"/>
      <c r="AM275" s="6"/>
      <c r="AN275" s="6"/>
      <c r="AO275" s="6"/>
      <c r="AP275" s="6"/>
      <c r="AQ275" s="518"/>
      <c r="AR275" s="813"/>
      <c r="AS275" s="813"/>
      <c r="AT275" s="813"/>
      <c r="AU275" s="6"/>
      <c r="AV275" s="6"/>
      <c r="AW275" s="6"/>
      <c r="AX275" s="518">
        <f t="shared" si="104"/>
        <v>0</v>
      </c>
      <c r="AY275" s="181"/>
      <c r="AZ275" s="180"/>
      <c r="BA275" s="810"/>
      <c r="BB275" s="6"/>
      <c r="BC275" s="6"/>
      <c r="BD275" s="6"/>
      <c r="BE275" s="6"/>
      <c r="BF275" s="6"/>
      <c r="BG275" s="518"/>
      <c r="BH275" s="6"/>
      <c r="BI275" s="6"/>
      <c r="BJ275" s="6"/>
      <c r="BK275" s="6"/>
      <c r="BL275" s="518"/>
      <c r="BN275" s="815"/>
      <c r="BO275" s="816"/>
      <c r="BP275" s="754"/>
      <c r="BQ275" s="754"/>
      <c r="BR275" s="754"/>
      <c r="BS275" s="754"/>
      <c r="BT275" s="754"/>
      <c r="BU275" s="754"/>
      <c r="BV275" s="754"/>
      <c r="BW275" s="754"/>
      <c r="BX275" s="754"/>
      <c r="BY275" s="754"/>
      <c r="BZ275" s="791">
        <v>0</v>
      </c>
      <c r="CB275" s="815"/>
      <c r="CC275" s="816"/>
      <c r="CD275" s="754"/>
      <c r="CE275" s="754"/>
      <c r="CF275" s="754"/>
      <c r="CG275" s="754"/>
      <c r="CH275" s="754"/>
      <c r="CI275" s="754"/>
      <c r="CJ275" s="754"/>
      <c r="CK275" s="754"/>
      <c r="CL275" s="754"/>
      <c r="CM275" s="754"/>
      <c r="CN275" s="791">
        <v>0</v>
      </c>
      <c r="CP275" s="651">
        <v>17100000</v>
      </c>
      <c r="CQ275" s="651"/>
      <c r="CR275" s="523">
        <v>20000000</v>
      </c>
      <c r="CS275" s="651"/>
      <c r="CT275" s="523"/>
      <c r="CU275" s="651"/>
      <c r="CV275" s="523">
        <v>10000000</v>
      </c>
      <c r="CW275" s="651"/>
      <c r="CX275" s="523">
        <f>CV275</f>
        <v>10000000</v>
      </c>
      <c r="CY275" s="651">
        <v>37050000</v>
      </c>
      <c r="CZ275" s="523">
        <v>20000000</v>
      </c>
      <c r="DA275" s="651"/>
      <c r="DB275" s="523">
        <v>20000000</v>
      </c>
      <c r="DC275" s="651">
        <v>22100000</v>
      </c>
      <c r="DD275" s="523">
        <v>20000000</v>
      </c>
      <c r="DE275" s="523"/>
      <c r="DF275" s="523">
        <v>20000000</v>
      </c>
      <c r="DG275" s="471">
        <v>20000000</v>
      </c>
      <c r="DH275" s="523"/>
      <c r="DI275" s="523">
        <v>20000000</v>
      </c>
      <c r="DJ275" s="471">
        <v>20000000</v>
      </c>
      <c r="DK275" s="523"/>
      <c r="DL275" s="523">
        <v>20000000</v>
      </c>
      <c r="DM275" s="471">
        <v>20000000</v>
      </c>
      <c r="DN275" s="523"/>
      <c r="DO275" s="523">
        <v>20000000</v>
      </c>
      <c r="DP275" s="471">
        <v>20000000</v>
      </c>
      <c r="DQ275" s="493">
        <f t="shared" si="110"/>
        <v>156250000</v>
      </c>
      <c r="DR275" s="479">
        <f t="shared" si="122"/>
        <v>156250000</v>
      </c>
      <c r="DS275" s="1162">
        <v>20000000</v>
      </c>
      <c r="DT275" s="1162">
        <v>20000000</v>
      </c>
      <c r="DU275" s="1162">
        <v>20000000</v>
      </c>
      <c r="DV275" s="1162">
        <v>20000000</v>
      </c>
      <c r="DW275" s="1162">
        <v>20000000</v>
      </c>
      <c r="DX275" s="1162">
        <v>20000000</v>
      </c>
      <c r="DY275" s="1162">
        <v>20000000</v>
      </c>
      <c r="DZ275" s="1162">
        <v>20000000</v>
      </c>
      <c r="EA275" s="1162">
        <v>20000000</v>
      </c>
      <c r="EB275" s="1162">
        <v>20000000</v>
      </c>
      <c r="EC275" s="1162">
        <v>20000000</v>
      </c>
      <c r="ED275" s="1162">
        <v>20000000</v>
      </c>
      <c r="EE275" s="1119">
        <f t="shared" si="109"/>
        <v>240000000</v>
      </c>
      <c r="EF275" s="443"/>
      <c r="EG275" s="443"/>
      <c r="EH275" s="443"/>
      <c r="EI275" s="443"/>
    </row>
    <row r="276" spans="1:156" outlineLevel="2">
      <c r="A276" s="367" t="s">
        <v>159</v>
      </c>
      <c r="B276" s="378"/>
      <c r="C276" s="370" t="s">
        <v>358</v>
      </c>
      <c r="D276" s="370" t="s">
        <v>108</v>
      </c>
      <c r="E276" s="383" t="s">
        <v>580</v>
      </c>
      <c r="F276" s="380">
        <v>3000020542</v>
      </c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  <c r="R276" s="184"/>
      <c r="S276" s="14"/>
      <c r="T276" s="181"/>
      <c r="U276" s="184"/>
      <c r="V276" s="184"/>
      <c r="W276" s="184"/>
      <c r="X276" s="184"/>
      <c r="Y276" s="184"/>
      <c r="Z276" s="184"/>
      <c r="AA276" s="184"/>
      <c r="AB276" s="184"/>
      <c r="AC276" s="184"/>
      <c r="AD276" s="184"/>
      <c r="AE276" s="184"/>
      <c r="AF276" s="184"/>
      <c r="AG276" s="759"/>
      <c r="AH276" s="181"/>
      <c r="AI276" s="180"/>
      <c r="AJ276" s="810"/>
      <c r="AK276" s="6"/>
      <c r="AL276" s="6"/>
      <c r="AM276" s="6"/>
      <c r="AN276" s="6"/>
      <c r="AO276" s="6"/>
      <c r="AP276" s="6"/>
      <c r="AQ276" s="518"/>
      <c r="AR276" s="813"/>
      <c r="AS276" s="813"/>
      <c r="AT276" s="813"/>
      <c r="AU276" s="6"/>
      <c r="AV276" s="6"/>
      <c r="AW276" s="6"/>
      <c r="AX276" s="518">
        <f t="shared" si="104"/>
        <v>0</v>
      </c>
      <c r="AY276" s="181"/>
      <c r="AZ276" s="180"/>
      <c r="BA276" s="810"/>
      <c r="BB276" s="6"/>
      <c r="BC276" s="6"/>
      <c r="BD276" s="6"/>
      <c r="BE276" s="6"/>
      <c r="BF276" s="6"/>
      <c r="BG276" s="518"/>
      <c r="BH276" s="6"/>
      <c r="BI276" s="6"/>
      <c r="BJ276" s="6"/>
      <c r="BK276" s="6"/>
      <c r="BL276" s="518"/>
      <c r="BN276" s="815"/>
      <c r="BO276" s="816"/>
      <c r="BP276" s="754"/>
      <c r="BQ276" s="754"/>
      <c r="BR276" s="754"/>
      <c r="BS276" s="754"/>
      <c r="BT276" s="754"/>
      <c r="BU276" s="754"/>
      <c r="BV276" s="754"/>
      <c r="BW276" s="754"/>
      <c r="BX276" s="754"/>
      <c r="BY276" s="754"/>
      <c r="BZ276" s="791">
        <v>0</v>
      </c>
      <c r="CB276" s="815"/>
      <c r="CC276" s="816"/>
      <c r="CD276" s="754"/>
      <c r="CE276" s="754"/>
      <c r="CF276" s="754"/>
      <c r="CG276" s="754"/>
      <c r="CH276" s="754"/>
      <c r="CI276" s="754"/>
      <c r="CJ276" s="754"/>
      <c r="CK276" s="754"/>
      <c r="CL276" s="754"/>
      <c r="CM276" s="754"/>
      <c r="CN276" s="791">
        <v>0</v>
      </c>
      <c r="CP276" s="651">
        <v>7650000</v>
      </c>
      <c r="CQ276" s="651"/>
      <c r="CR276" s="523"/>
      <c r="CS276" s="651"/>
      <c r="CT276" s="523"/>
      <c r="CU276" s="651"/>
      <c r="CV276" s="523"/>
      <c r="CW276" s="651"/>
      <c r="CX276" s="523"/>
      <c r="CY276" s="651"/>
      <c r="CZ276" s="523"/>
      <c r="DA276" s="651"/>
      <c r="DB276" s="523"/>
      <c r="DC276" s="651">
        <v>0</v>
      </c>
      <c r="DD276" s="523"/>
      <c r="DE276" s="522"/>
      <c r="DF276" s="523"/>
      <c r="DG276" s="471"/>
      <c r="DH276" s="522"/>
      <c r="DI276" s="523"/>
      <c r="DJ276" s="471"/>
      <c r="DK276" s="522"/>
      <c r="DL276" s="523"/>
      <c r="DM276" s="471"/>
      <c r="DN276" s="522"/>
      <c r="DO276" s="523"/>
      <c r="DP276" s="471"/>
      <c r="DQ276" s="493">
        <f t="shared" si="110"/>
        <v>7650000</v>
      </c>
      <c r="DR276" s="479">
        <f t="shared" si="122"/>
        <v>7650000</v>
      </c>
      <c r="DS276" s="1162"/>
      <c r="DT276" s="1162"/>
      <c r="DU276" s="1162"/>
      <c r="DV276" s="1162"/>
      <c r="DW276" s="1162"/>
      <c r="DX276" s="1162"/>
      <c r="DY276" s="1162"/>
      <c r="DZ276" s="1162"/>
      <c r="EA276" s="1162"/>
      <c r="EB276" s="1162"/>
      <c r="EC276" s="1162"/>
      <c r="ED276" s="1162"/>
      <c r="EE276" s="1119">
        <f t="shared" si="109"/>
        <v>0</v>
      </c>
      <c r="EF276" s="443"/>
      <c r="EG276" s="443"/>
      <c r="EH276" s="443"/>
      <c r="EI276" s="443"/>
    </row>
    <row r="277" spans="1:156" outlineLevel="2">
      <c r="A277" s="367" t="s">
        <v>159</v>
      </c>
      <c r="B277" s="378"/>
      <c r="C277" s="370" t="s">
        <v>358</v>
      </c>
      <c r="D277" s="370" t="s">
        <v>108</v>
      </c>
      <c r="E277" s="396" t="s">
        <v>581</v>
      </c>
      <c r="F277" s="380">
        <v>3000002495</v>
      </c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  <c r="R277" s="184"/>
      <c r="S277" s="14"/>
      <c r="T277" s="181"/>
      <c r="U277" s="184"/>
      <c r="V277" s="184"/>
      <c r="W277" s="184"/>
      <c r="X277" s="184"/>
      <c r="Y277" s="184"/>
      <c r="Z277" s="184"/>
      <c r="AA277" s="184"/>
      <c r="AB277" s="184"/>
      <c r="AC277" s="184"/>
      <c r="AD277" s="184"/>
      <c r="AE277" s="184"/>
      <c r="AF277" s="184"/>
      <c r="AG277" s="759"/>
      <c r="AH277" s="181"/>
      <c r="AI277" s="180"/>
      <c r="AJ277" s="810"/>
      <c r="AK277" s="6"/>
      <c r="AL277" s="6"/>
      <c r="AM277" s="6"/>
      <c r="AN277" s="6"/>
      <c r="AO277" s="6"/>
      <c r="AP277" s="6"/>
      <c r="AQ277" s="518"/>
      <c r="AR277" s="813"/>
      <c r="AS277" s="813"/>
      <c r="AT277" s="813"/>
      <c r="AU277" s="6"/>
      <c r="AV277" s="6"/>
      <c r="AW277" s="6"/>
      <c r="AX277" s="518">
        <f>SUM(AI277,AJ277,AK277,AL277,AM277,AN277,AO277,AP277,AQ277,AR277,AS277,AT277)</f>
        <v>0</v>
      </c>
      <c r="AY277" s="181"/>
      <c r="AZ277" s="180"/>
      <c r="BA277" s="810"/>
      <c r="BB277" s="6"/>
      <c r="BC277" s="6"/>
      <c r="BD277" s="6"/>
      <c r="BE277" s="6"/>
      <c r="BF277" s="6"/>
      <c r="BG277" s="518"/>
      <c r="BH277" s="6"/>
      <c r="BI277" s="6"/>
      <c r="BJ277" s="6"/>
      <c r="BK277" s="6"/>
      <c r="BL277" s="518"/>
      <c r="BN277" s="815"/>
      <c r="BO277" s="816"/>
      <c r="BP277" s="754"/>
      <c r="BQ277" s="754"/>
      <c r="BR277" s="754"/>
      <c r="BS277" s="754"/>
      <c r="BT277" s="754"/>
      <c r="BU277" s="754"/>
      <c r="BV277" s="754"/>
      <c r="BW277" s="754"/>
      <c r="BX277" s="754"/>
      <c r="BY277" s="754"/>
      <c r="BZ277" s="791"/>
      <c r="CB277" s="815"/>
      <c r="CC277" s="816"/>
      <c r="CD277" s="754"/>
      <c r="CE277" s="754"/>
      <c r="CF277" s="754"/>
      <c r="CG277" s="754"/>
      <c r="CH277" s="754"/>
      <c r="CI277" s="754"/>
      <c r="CJ277" s="754"/>
      <c r="CK277" s="754"/>
      <c r="CL277" s="754"/>
      <c r="CM277" s="754"/>
      <c r="CN277" s="791">
        <v>0</v>
      </c>
      <c r="CP277" s="651"/>
      <c r="CQ277" s="651"/>
      <c r="CR277" s="523"/>
      <c r="CS277" s="651">
        <v>22800000</v>
      </c>
      <c r="CT277" s="523"/>
      <c r="CU277" s="651"/>
      <c r="CV277" s="523">
        <v>20000000</v>
      </c>
      <c r="CW277" s="651"/>
      <c r="CX277" s="523">
        <f>CV277</f>
        <v>20000000</v>
      </c>
      <c r="CY277" s="651"/>
      <c r="CZ277" s="523">
        <f>CX277</f>
        <v>20000000</v>
      </c>
      <c r="DA277" s="651"/>
      <c r="DB277" s="523"/>
      <c r="DC277" s="651">
        <v>0</v>
      </c>
      <c r="DD277" s="523"/>
      <c r="DE277" s="523"/>
      <c r="DF277" s="523">
        <v>10000000</v>
      </c>
      <c r="DG277" s="471">
        <v>10000000</v>
      </c>
      <c r="DH277" s="523"/>
      <c r="DI277" s="523">
        <f>DH277</f>
        <v>0</v>
      </c>
      <c r="DJ277" s="471">
        <f>DG277</f>
        <v>10000000</v>
      </c>
      <c r="DK277" s="523"/>
      <c r="DL277" s="523"/>
      <c r="DM277" s="471"/>
      <c r="DN277" s="523"/>
      <c r="DO277" s="523"/>
      <c r="DP277" s="471"/>
      <c r="DQ277" s="493">
        <f t="shared" si="110"/>
        <v>32800000</v>
      </c>
      <c r="DR277" s="479">
        <f t="shared" si="122"/>
        <v>42800000</v>
      </c>
      <c r="DS277" s="1162">
        <v>10000000</v>
      </c>
      <c r="DT277" s="1162">
        <v>10000000</v>
      </c>
      <c r="DU277" s="1162">
        <v>10000000</v>
      </c>
      <c r="DV277" s="1162">
        <v>10000000</v>
      </c>
      <c r="DW277" s="1162">
        <v>10000000</v>
      </c>
      <c r="DX277" s="1162">
        <v>10000000</v>
      </c>
      <c r="DY277" s="1162">
        <v>10000000</v>
      </c>
      <c r="DZ277" s="1162">
        <v>10000000</v>
      </c>
      <c r="EA277" s="1162">
        <v>10000000</v>
      </c>
      <c r="EB277" s="1162">
        <v>10000000</v>
      </c>
      <c r="EC277" s="1162">
        <v>10000000</v>
      </c>
      <c r="ED277" s="1162">
        <v>10000000</v>
      </c>
      <c r="EE277" s="1119">
        <f t="shared" si="109"/>
        <v>120000000</v>
      </c>
      <c r="EF277" s="443"/>
      <c r="EG277" s="443"/>
      <c r="EH277" s="443"/>
      <c r="EI277" s="443"/>
    </row>
    <row r="278" spans="1:156" outlineLevel="2">
      <c r="B278" s="378"/>
      <c r="C278" s="370" t="s">
        <v>358</v>
      </c>
      <c r="D278" s="370" t="s">
        <v>108</v>
      </c>
      <c r="E278" s="396" t="s">
        <v>545</v>
      </c>
      <c r="F278" s="380" t="s">
        <v>546</v>
      </c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  <c r="R278" s="184"/>
      <c r="S278" s="14"/>
      <c r="T278" s="181"/>
      <c r="U278" s="184"/>
      <c r="V278" s="184"/>
      <c r="W278" s="184"/>
      <c r="X278" s="184"/>
      <c r="Y278" s="184"/>
      <c r="Z278" s="184"/>
      <c r="AA278" s="184"/>
      <c r="AB278" s="184"/>
      <c r="AC278" s="184"/>
      <c r="AD278" s="184"/>
      <c r="AE278" s="184"/>
      <c r="AF278" s="184"/>
      <c r="AG278" s="759"/>
      <c r="AH278" s="181"/>
      <c r="AI278" s="180"/>
      <c r="AJ278" s="810"/>
      <c r="AK278" s="6"/>
      <c r="AL278" s="6"/>
      <c r="AM278" s="6"/>
      <c r="AN278" s="6"/>
      <c r="AO278" s="6"/>
      <c r="AP278" s="6"/>
      <c r="AQ278" s="518"/>
      <c r="AR278" s="813"/>
      <c r="AS278" s="813"/>
      <c r="AT278" s="813"/>
      <c r="AU278" s="6"/>
      <c r="AV278" s="6"/>
      <c r="AW278" s="6"/>
      <c r="AX278" s="518"/>
      <c r="AY278" s="181"/>
      <c r="AZ278" s="180"/>
      <c r="BA278" s="810"/>
      <c r="BB278" s="6"/>
      <c r="BC278" s="6"/>
      <c r="BD278" s="6"/>
      <c r="BE278" s="6"/>
      <c r="BF278" s="6"/>
      <c r="BG278" s="518"/>
      <c r="BH278" s="6"/>
      <c r="BI278" s="6"/>
      <c r="BJ278" s="6"/>
      <c r="BK278" s="6"/>
      <c r="BL278" s="518"/>
      <c r="BN278" s="815"/>
      <c r="BO278" s="816"/>
      <c r="BP278" s="754"/>
      <c r="BQ278" s="754"/>
      <c r="BR278" s="754"/>
      <c r="BS278" s="754"/>
      <c r="BT278" s="754"/>
      <c r="BU278" s="754"/>
      <c r="BV278" s="754"/>
      <c r="BW278" s="754"/>
      <c r="BX278" s="754"/>
      <c r="BY278" s="754"/>
      <c r="BZ278" s="791"/>
      <c r="CB278" s="815"/>
      <c r="CC278" s="816"/>
      <c r="CD278" s="754"/>
      <c r="CE278" s="754"/>
      <c r="CF278" s="754"/>
      <c r="CG278" s="754"/>
      <c r="CH278" s="754"/>
      <c r="CI278" s="754"/>
      <c r="CJ278" s="754"/>
      <c r="CK278" s="754"/>
      <c r="CL278" s="754"/>
      <c r="CM278" s="754"/>
      <c r="CN278" s="791"/>
      <c r="CP278" s="651"/>
      <c r="CQ278" s="651"/>
      <c r="CR278" s="523"/>
      <c r="CS278" s="651"/>
      <c r="CT278" s="523"/>
      <c r="CU278" s="651"/>
      <c r="CV278" s="523"/>
      <c r="CW278" s="651"/>
      <c r="CX278" s="523"/>
      <c r="CY278" s="651"/>
      <c r="CZ278" s="523"/>
      <c r="DA278" s="651"/>
      <c r="DB278" s="523"/>
      <c r="DC278" s="651">
        <v>6680000</v>
      </c>
      <c r="DD278" s="523"/>
      <c r="DE278" s="523"/>
      <c r="DF278" s="523"/>
      <c r="DG278" s="471"/>
      <c r="DH278" s="523"/>
      <c r="DI278" s="523"/>
      <c r="DJ278" s="471"/>
      <c r="DK278" s="523"/>
      <c r="DL278" s="523"/>
      <c r="DM278" s="471"/>
      <c r="DN278" s="523"/>
      <c r="DO278" s="523"/>
      <c r="DP278" s="471"/>
      <c r="DQ278" s="493">
        <f t="shared" si="110"/>
        <v>6680000</v>
      </c>
      <c r="DR278" s="479">
        <f t="shared" si="122"/>
        <v>6680000</v>
      </c>
      <c r="DS278" s="1162">
        <v>50000000</v>
      </c>
      <c r="DT278" s="1162">
        <v>50000000</v>
      </c>
      <c r="DU278" s="1162">
        <v>50000000</v>
      </c>
      <c r="DV278" s="1162">
        <v>50000000</v>
      </c>
      <c r="DW278" s="1162">
        <v>50000000</v>
      </c>
      <c r="DX278" s="1162">
        <v>50000000</v>
      </c>
      <c r="DY278" s="1162">
        <v>50000000</v>
      </c>
      <c r="DZ278" s="1162">
        <v>50000000</v>
      </c>
      <c r="EA278" s="1162">
        <v>50000000</v>
      </c>
      <c r="EB278" s="1162">
        <v>50000000</v>
      </c>
      <c r="EC278" s="1162">
        <v>50000000</v>
      </c>
      <c r="ED278" s="1162">
        <v>50000000</v>
      </c>
      <c r="EE278" s="1119">
        <f t="shared" si="109"/>
        <v>600000000</v>
      </c>
      <c r="EF278" s="443"/>
      <c r="EG278" s="443"/>
      <c r="EH278" s="443"/>
      <c r="EI278" s="443"/>
    </row>
    <row r="279" spans="1:156" outlineLevel="2">
      <c r="A279" s="367" t="s">
        <v>159</v>
      </c>
      <c r="B279" s="378"/>
      <c r="C279" s="370" t="s">
        <v>358</v>
      </c>
      <c r="D279" s="370" t="s">
        <v>108</v>
      </c>
      <c r="E279" s="383" t="s">
        <v>168</v>
      </c>
      <c r="F279" s="380">
        <v>3000016162</v>
      </c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  <c r="R279" s="184"/>
      <c r="S279" s="14"/>
      <c r="T279" s="181"/>
      <c r="U279" s="184"/>
      <c r="V279" s="184"/>
      <c r="W279" s="184"/>
      <c r="X279" s="184"/>
      <c r="Y279" s="184"/>
      <c r="Z279" s="184"/>
      <c r="AA279" s="184"/>
      <c r="AB279" s="184"/>
      <c r="AC279" s="184"/>
      <c r="AD279" s="184"/>
      <c r="AE279" s="184"/>
      <c r="AF279" s="184"/>
      <c r="AG279" s="759"/>
      <c r="AH279" s="181"/>
      <c r="AI279" s="180"/>
      <c r="AJ279" s="810"/>
      <c r="AK279" s="6"/>
      <c r="AL279" s="6"/>
      <c r="AM279" s="6"/>
      <c r="AN279" s="6"/>
      <c r="AO279" s="6"/>
      <c r="AP279" s="6"/>
      <c r="AQ279" s="518"/>
      <c r="AR279" s="813"/>
      <c r="AS279" s="813"/>
      <c r="AT279" s="813"/>
      <c r="AU279" s="6"/>
      <c r="AV279" s="6"/>
      <c r="AW279" s="6"/>
      <c r="AX279" s="518">
        <f t="shared" si="104"/>
        <v>0</v>
      </c>
      <c r="AY279" s="181"/>
      <c r="AZ279" s="180"/>
      <c r="BA279" s="810"/>
      <c r="BB279" s="6"/>
      <c r="BC279" s="6"/>
      <c r="BD279" s="6"/>
      <c r="BE279" s="6"/>
      <c r="BF279" s="6"/>
      <c r="BG279" s="518"/>
      <c r="BH279" s="6"/>
      <c r="BI279" s="6"/>
      <c r="BJ279" s="6"/>
      <c r="BK279" s="6"/>
      <c r="BL279" s="518"/>
      <c r="BN279" s="815"/>
      <c r="BO279" s="816"/>
      <c r="BP279" s="754"/>
      <c r="BQ279" s="754"/>
      <c r="BR279" s="754"/>
      <c r="BS279" s="754"/>
      <c r="BT279" s="754"/>
      <c r="BU279" s="754"/>
      <c r="BV279" s="754"/>
      <c r="BW279" s="754"/>
      <c r="BX279" s="754"/>
      <c r="BY279" s="754"/>
      <c r="BZ279" s="791">
        <v>0</v>
      </c>
      <c r="CB279" s="815"/>
      <c r="CC279" s="816"/>
      <c r="CD279" s="754"/>
      <c r="CE279" s="754"/>
      <c r="CF279" s="754"/>
      <c r="CG279" s="754"/>
      <c r="CH279" s="754"/>
      <c r="CI279" s="754"/>
      <c r="CJ279" s="754"/>
      <c r="CK279" s="754"/>
      <c r="CL279" s="754"/>
      <c r="CM279" s="754"/>
      <c r="CN279" s="791">
        <v>0</v>
      </c>
      <c r="CP279" s="651">
        <v>3181818</v>
      </c>
      <c r="CQ279" s="651"/>
      <c r="CR279" s="523">
        <v>3500000</v>
      </c>
      <c r="CS279" s="651"/>
      <c r="CT279" s="523">
        <v>10000000</v>
      </c>
      <c r="CU279" s="651"/>
      <c r="CV279" s="523">
        <v>10000000</v>
      </c>
      <c r="CW279" s="651"/>
      <c r="CX279" s="523">
        <v>5000000</v>
      </c>
      <c r="CY279" s="651"/>
      <c r="CZ279" s="523">
        <f>CX279</f>
        <v>5000000</v>
      </c>
      <c r="DA279" s="651"/>
      <c r="DB279" s="523">
        <f>CZ279</f>
        <v>5000000</v>
      </c>
      <c r="DC279" s="651">
        <v>0</v>
      </c>
      <c r="DD279" s="523">
        <f>DB279</f>
        <v>5000000</v>
      </c>
      <c r="DE279" s="523"/>
      <c r="DF279" s="523">
        <f>DE279</f>
        <v>0</v>
      </c>
      <c r="DG279" s="471">
        <f>DD279</f>
        <v>5000000</v>
      </c>
      <c r="DH279" s="523"/>
      <c r="DI279" s="523">
        <f>DH279</f>
        <v>0</v>
      </c>
      <c r="DJ279" s="471">
        <f>DG279</f>
        <v>5000000</v>
      </c>
      <c r="DK279" s="523"/>
      <c r="DL279" s="523">
        <f>DK279</f>
        <v>0</v>
      </c>
      <c r="DM279" s="471">
        <f>DJ279</f>
        <v>5000000</v>
      </c>
      <c r="DN279" s="523"/>
      <c r="DO279" s="523">
        <f>DN279</f>
        <v>0</v>
      </c>
      <c r="DP279" s="471">
        <f>DM279</f>
        <v>5000000</v>
      </c>
      <c r="DQ279" s="493">
        <f t="shared" si="110"/>
        <v>3181818</v>
      </c>
      <c r="DR279" s="479">
        <f t="shared" si="122"/>
        <v>23181818</v>
      </c>
      <c r="DS279" s="1162"/>
      <c r="DT279" s="1162"/>
      <c r="DU279" s="1162"/>
      <c r="DV279" s="1162"/>
      <c r="DW279" s="1162"/>
      <c r="DX279" s="1162"/>
      <c r="DY279" s="1162"/>
      <c r="DZ279" s="1162"/>
      <c r="EA279" s="1162"/>
      <c r="EB279" s="1162"/>
      <c r="EC279" s="1162"/>
      <c r="ED279" s="1162"/>
      <c r="EE279" s="1119">
        <f t="shared" si="109"/>
        <v>0</v>
      </c>
      <c r="EF279" s="443"/>
      <c r="EG279" s="443"/>
      <c r="EH279" s="443"/>
      <c r="EI279" s="443"/>
    </row>
    <row r="280" spans="1:156" outlineLevel="2">
      <c r="B280" s="378"/>
      <c r="C280" s="370" t="s">
        <v>358</v>
      </c>
      <c r="D280" s="370" t="s">
        <v>108</v>
      </c>
      <c r="E280" s="383" t="s">
        <v>447</v>
      </c>
      <c r="F280" s="380" t="s">
        <v>582</v>
      </c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  <c r="R280" s="184"/>
      <c r="S280" s="14"/>
      <c r="T280" s="181"/>
      <c r="U280" s="184"/>
      <c r="V280" s="184"/>
      <c r="W280" s="184"/>
      <c r="X280" s="184"/>
      <c r="Y280" s="184"/>
      <c r="Z280" s="184"/>
      <c r="AA280" s="184"/>
      <c r="AB280" s="184"/>
      <c r="AC280" s="184"/>
      <c r="AD280" s="184"/>
      <c r="AE280" s="184"/>
      <c r="AF280" s="184"/>
      <c r="AG280" s="759"/>
      <c r="AH280" s="181"/>
      <c r="AI280" s="180"/>
      <c r="AJ280" s="824"/>
      <c r="AK280" s="6"/>
      <c r="AL280" s="6"/>
      <c r="AM280" s="6"/>
      <c r="AN280" s="6"/>
      <c r="AO280" s="6"/>
      <c r="AP280" s="6"/>
      <c r="AQ280" s="518"/>
      <c r="AR280" s="813"/>
      <c r="AS280" s="813"/>
      <c r="AT280" s="813"/>
      <c r="AU280" s="6"/>
      <c r="AV280" s="6"/>
      <c r="AW280" s="6"/>
      <c r="AX280" s="518"/>
      <c r="AY280" s="181"/>
      <c r="AZ280" s="180"/>
      <c r="BA280" s="824"/>
      <c r="BB280" s="6"/>
      <c r="BC280" s="6"/>
      <c r="BD280" s="6"/>
      <c r="BE280" s="6"/>
      <c r="BF280" s="6"/>
      <c r="BG280" s="518"/>
      <c r="BH280" s="6"/>
      <c r="BI280" s="6"/>
      <c r="BJ280" s="6"/>
      <c r="BK280" s="6"/>
      <c r="BL280" s="518"/>
      <c r="BN280" s="815"/>
      <c r="BO280" s="816"/>
      <c r="BP280" s="754"/>
      <c r="BQ280" s="754"/>
      <c r="BR280" s="754"/>
      <c r="BS280" s="754"/>
      <c r="BT280" s="754"/>
      <c r="BU280" s="754"/>
      <c r="BV280" s="754"/>
      <c r="BW280" s="754"/>
      <c r="BX280" s="754"/>
      <c r="BY280" s="754"/>
      <c r="BZ280" s="791"/>
      <c r="CB280" s="815"/>
      <c r="CC280" s="816"/>
      <c r="CD280" s="754"/>
      <c r="CE280" s="754"/>
      <c r="CF280" s="754"/>
      <c r="CG280" s="754"/>
      <c r="CH280" s="754"/>
      <c r="CI280" s="754"/>
      <c r="CJ280" s="754"/>
      <c r="CK280" s="754"/>
      <c r="CL280" s="754"/>
      <c r="CM280" s="754"/>
      <c r="CN280" s="791"/>
      <c r="CP280" s="651"/>
      <c r="CQ280" s="651"/>
      <c r="CR280" s="523"/>
      <c r="CS280" s="651"/>
      <c r="CT280" s="523"/>
      <c r="CU280" s="651"/>
      <c r="CV280" s="523"/>
      <c r="CW280" s="651"/>
      <c r="CX280" s="523"/>
      <c r="CY280" s="651"/>
      <c r="CZ280" s="523"/>
      <c r="DA280" s="651"/>
      <c r="DB280" s="523"/>
      <c r="DC280" s="651">
        <v>1500000</v>
      </c>
      <c r="DD280" s="523"/>
      <c r="DE280" s="523"/>
      <c r="DF280" s="523"/>
      <c r="DG280" s="471"/>
      <c r="DH280" s="523"/>
      <c r="DI280" s="523"/>
      <c r="DJ280" s="471"/>
      <c r="DK280" s="523"/>
      <c r="DL280" s="523"/>
      <c r="DM280" s="471"/>
      <c r="DN280" s="523"/>
      <c r="DO280" s="523"/>
      <c r="DP280" s="471"/>
      <c r="DQ280" s="493">
        <f t="shared" si="110"/>
        <v>1500000</v>
      </c>
      <c r="DR280" s="479">
        <f t="shared" si="122"/>
        <v>1500000</v>
      </c>
      <c r="DS280" s="1162">
        <v>1500000</v>
      </c>
      <c r="DT280" s="1162">
        <v>1500000</v>
      </c>
      <c r="DU280" s="1162">
        <v>1500000</v>
      </c>
      <c r="DV280" s="1162">
        <v>1500000</v>
      </c>
      <c r="DW280" s="1162">
        <v>1500000</v>
      </c>
      <c r="DX280" s="1162">
        <v>1500000</v>
      </c>
      <c r="DY280" s="1162">
        <v>1500000</v>
      </c>
      <c r="DZ280" s="1162">
        <v>1500000</v>
      </c>
      <c r="EA280" s="1162">
        <v>1500000</v>
      </c>
      <c r="EB280" s="1162">
        <v>1500000</v>
      </c>
      <c r="EC280" s="1162">
        <v>1500000</v>
      </c>
      <c r="ED280" s="1162">
        <v>1500000</v>
      </c>
      <c r="EE280" s="1119">
        <f t="shared" si="109"/>
        <v>18000000</v>
      </c>
      <c r="EF280" s="443"/>
      <c r="EG280" s="443"/>
      <c r="EH280" s="443"/>
      <c r="EI280" s="443"/>
    </row>
    <row r="281" spans="1:156" outlineLevel="2">
      <c r="B281" s="378"/>
      <c r="C281" s="370" t="s">
        <v>358</v>
      </c>
      <c r="D281" s="370" t="s">
        <v>108</v>
      </c>
      <c r="E281" s="383" t="s">
        <v>583</v>
      </c>
      <c r="F281" s="380" t="s">
        <v>584</v>
      </c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  <c r="R281" s="184"/>
      <c r="S281" s="14"/>
      <c r="T281" s="181"/>
      <c r="U281" s="184"/>
      <c r="V281" s="184"/>
      <c r="W281" s="184"/>
      <c r="X281" s="184"/>
      <c r="Y281" s="184"/>
      <c r="Z281" s="184"/>
      <c r="AA281" s="184"/>
      <c r="AB281" s="184"/>
      <c r="AC281" s="184"/>
      <c r="AD281" s="184"/>
      <c r="AE281" s="184"/>
      <c r="AF281" s="184"/>
      <c r="AG281" s="759"/>
      <c r="AH281" s="181"/>
      <c r="AI281" s="180"/>
      <c r="AJ281" s="824"/>
      <c r="AK281" s="6"/>
      <c r="AL281" s="6"/>
      <c r="AM281" s="6"/>
      <c r="AN281" s="6"/>
      <c r="AO281" s="6"/>
      <c r="AP281" s="6"/>
      <c r="AQ281" s="518"/>
      <c r="AR281" s="813"/>
      <c r="AS281" s="813"/>
      <c r="AT281" s="813"/>
      <c r="AU281" s="6"/>
      <c r="AV281" s="6"/>
      <c r="AW281" s="6"/>
      <c r="AX281" s="518"/>
      <c r="AY281" s="181"/>
      <c r="AZ281" s="180"/>
      <c r="BA281" s="824"/>
      <c r="BB281" s="6"/>
      <c r="BC281" s="6"/>
      <c r="BD281" s="6"/>
      <c r="BE281" s="6"/>
      <c r="BF281" s="6"/>
      <c r="BG281" s="518"/>
      <c r="BH281" s="6"/>
      <c r="BI281" s="6"/>
      <c r="BJ281" s="6"/>
      <c r="BK281" s="6"/>
      <c r="BL281" s="518"/>
      <c r="BN281" s="815"/>
      <c r="BO281" s="816"/>
      <c r="BP281" s="754"/>
      <c r="BQ281" s="754"/>
      <c r="BR281" s="754"/>
      <c r="BS281" s="754"/>
      <c r="BT281" s="754"/>
      <c r="BU281" s="754"/>
      <c r="BV281" s="754"/>
      <c r="BW281" s="754"/>
      <c r="BX281" s="754"/>
      <c r="BY281" s="754"/>
      <c r="BZ281" s="791"/>
      <c r="CB281" s="815"/>
      <c r="CC281" s="816"/>
      <c r="CD281" s="754"/>
      <c r="CE281" s="754"/>
      <c r="CF281" s="754"/>
      <c r="CG281" s="754"/>
      <c r="CH281" s="754"/>
      <c r="CI281" s="754"/>
      <c r="CJ281" s="754"/>
      <c r="CK281" s="754"/>
      <c r="CL281" s="754"/>
      <c r="CM281" s="754"/>
      <c r="CN281" s="791"/>
      <c r="CP281" s="651"/>
      <c r="CQ281" s="651"/>
      <c r="CR281" s="523"/>
      <c r="CS281" s="651"/>
      <c r="CT281" s="523"/>
      <c r="CU281" s="651"/>
      <c r="CV281" s="523"/>
      <c r="CW281" s="651"/>
      <c r="CX281" s="523"/>
      <c r="CY281" s="651">
        <v>1250000</v>
      </c>
      <c r="CZ281" s="523"/>
      <c r="DA281" s="651">
        <v>1250000</v>
      </c>
      <c r="DB281" s="523"/>
      <c r="DC281" s="651">
        <v>0</v>
      </c>
      <c r="DD281" s="523"/>
      <c r="DE281" s="523"/>
      <c r="DF281" s="523"/>
      <c r="DG281" s="471"/>
      <c r="DH281" s="523"/>
      <c r="DI281" s="523"/>
      <c r="DJ281" s="471"/>
      <c r="DK281" s="523"/>
      <c r="DL281" s="523"/>
      <c r="DM281" s="471"/>
      <c r="DN281" s="523"/>
      <c r="DO281" s="523"/>
      <c r="DP281" s="471"/>
      <c r="DQ281" s="493">
        <f t="shared" si="110"/>
        <v>2500000</v>
      </c>
      <c r="DR281" s="479">
        <f t="shared" si="122"/>
        <v>2500000</v>
      </c>
      <c r="DS281" s="1162"/>
      <c r="DT281" s="1162"/>
      <c r="DU281" s="1162"/>
      <c r="DV281" s="1162"/>
      <c r="DW281" s="1162"/>
      <c r="DX281" s="1162"/>
      <c r="DY281" s="1162"/>
      <c r="DZ281" s="1162"/>
      <c r="EA281" s="1162"/>
      <c r="EB281" s="1162"/>
      <c r="EC281" s="1162"/>
      <c r="ED281" s="1162"/>
      <c r="EE281" s="1119">
        <f t="shared" si="109"/>
        <v>0</v>
      </c>
      <c r="EF281" s="443"/>
      <c r="EG281" s="443"/>
      <c r="EH281" s="443"/>
      <c r="EI281" s="443"/>
    </row>
    <row r="282" spans="1:156" s="251" customFormat="1" ht="18.5" outlineLevel="2">
      <c r="A282" s="988"/>
      <c r="B282" s="397"/>
      <c r="C282" s="398"/>
      <c r="D282" s="398"/>
      <c r="E282" s="399" t="s">
        <v>531</v>
      </c>
      <c r="F282" s="989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3"/>
      <c r="T282" s="254"/>
      <c r="U282" s="252"/>
      <c r="V282" s="252"/>
      <c r="W282" s="252"/>
      <c r="X282" s="252"/>
      <c r="Y282" s="252"/>
      <c r="Z282" s="252"/>
      <c r="AA282" s="252"/>
      <c r="AB282" s="252"/>
      <c r="AC282" s="252"/>
      <c r="AD282" s="252"/>
      <c r="AE282" s="252"/>
      <c r="AF282" s="252"/>
      <c r="AG282" s="804"/>
      <c r="AH282" s="801"/>
      <c r="AI282" s="805"/>
      <c r="AJ282" s="806"/>
      <c r="AK282" s="804"/>
      <c r="AL282" s="804"/>
      <c r="AM282" s="804"/>
      <c r="AN282" s="804"/>
      <c r="AO282" s="804"/>
      <c r="AP282" s="804"/>
      <c r="AQ282" s="804"/>
      <c r="AR282" s="804"/>
      <c r="AS282" s="804"/>
      <c r="AT282" s="804"/>
      <c r="AU282" s="804"/>
      <c r="AV282" s="804"/>
      <c r="AW282" s="804"/>
      <c r="AX282" s="804"/>
      <c r="AY282" s="801"/>
      <c r="AZ282" s="805"/>
      <c r="BA282" s="806"/>
      <c r="BB282" s="804"/>
      <c r="BC282" s="804"/>
      <c r="BD282" s="804"/>
      <c r="BE282" s="804"/>
      <c r="BF282" s="804"/>
      <c r="BG282" s="804"/>
      <c r="BH282" s="804"/>
      <c r="BI282" s="804"/>
      <c r="BJ282" s="804"/>
      <c r="BK282" s="804"/>
      <c r="BL282" s="804"/>
      <c r="BM282" s="983"/>
      <c r="BN282" s="468">
        <f t="shared" ref="BN282:CN282" si="123">SUM(BN283:BN294)</f>
        <v>0</v>
      </c>
      <c r="BO282" s="468">
        <f t="shared" si="123"/>
        <v>0</v>
      </c>
      <c r="BP282" s="468">
        <f t="shared" si="123"/>
        <v>0</v>
      </c>
      <c r="BQ282" s="468">
        <f t="shared" si="123"/>
        <v>0</v>
      </c>
      <c r="BR282" s="468">
        <f t="shared" si="123"/>
        <v>0</v>
      </c>
      <c r="BS282" s="468">
        <f t="shared" si="123"/>
        <v>0</v>
      </c>
      <c r="BT282" s="468">
        <f t="shared" si="123"/>
        <v>0</v>
      </c>
      <c r="BU282" s="468">
        <f t="shared" si="123"/>
        <v>0</v>
      </c>
      <c r="BV282" s="468">
        <f t="shared" si="123"/>
        <v>0</v>
      </c>
      <c r="BW282" s="468">
        <f t="shared" si="123"/>
        <v>0</v>
      </c>
      <c r="BX282" s="468">
        <f t="shared" si="123"/>
        <v>0</v>
      </c>
      <c r="BY282" s="468">
        <f t="shared" si="123"/>
        <v>0</v>
      </c>
      <c r="BZ282" s="468">
        <f t="shared" si="123"/>
        <v>0</v>
      </c>
      <c r="CA282" s="3"/>
      <c r="CB282" s="468">
        <f t="shared" si="123"/>
        <v>0</v>
      </c>
      <c r="CC282" s="468">
        <f t="shared" si="123"/>
        <v>0</v>
      </c>
      <c r="CD282" s="468">
        <f t="shared" si="123"/>
        <v>0</v>
      </c>
      <c r="CE282" s="468">
        <f t="shared" si="123"/>
        <v>0</v>
      </c>
      <c r="CF282" s="468">
        <f t="shared" si="123"/>
        <v>0</v>
      </c>
      <c r="CG282" s="468">
        <f t="shared" si="123"/>
        <v>0</v>
      </c>
      <c r="CH282" s="468">
        <f t="shared" si="123"/>
        <v>0</v>
      </c>
      <c r="CI282" s="468">
        <f t="shared" si="123"/>
        <v>0</v>
      </c>
      <c r="CJ282" s="468">
        <f t="shared" si="123"/>
        <v>0</v>
      </c>
      <c r="CK282" s="468">
        <f t="shared" si="123"/>
        <v>0</v>
      </c>
      <c r="CL282" s="468">
        <f t="shared" si="123"/>
        <v>0</v>
      </c>
      <c r="CM282" s="468">
        <f t="shared" si="123"/>
        <v>0</v>
      </c>
      <c r="CN282" s="468">
        <f t="shared" si="123"/>
        <v>0</v>
      </c>
      <c r="CO282" s="983"/>
      <c r="CP282" s="468">
        <f>SUM(CP283:CP294)</f>
        <v>0</v>
      </c>
      <c r="CQ282" s="468">
        <f t="shared" ref="CQ282:DP282" si="124">SUM(CQ283:CQ294)</f>
        <v>0</v>
      </c>
      <c r="CR282" s="468">
        <f t="shared" si="124"/>
        <v>1500000</v>
      </c>
      <c r="CS282" s="468">
        <f t="shared" si="124"/>
        <v>0</v>
      </c>
      <c r="CT282" s="468">
        <f t="shared" si="124"/>
        <v>1500000</v>
      </c>
      <c r="CU282" s="468">
        <f t="shared" si="124"/>
        <v>0</v>
      </c>
      <c r="CV282" s="468">
        <f t="shared" si="124"/>
        <v>11500000</v>
      </c>
      <c r="CW282" s="468">
        <f t="shared" si="124"/>
        <v>0</v>
      </c>
      <c r="CX282" s="468">
        <f t="shared" si="124"/>
        <v>11500000</v>
      </c>
      <c r="CY282" s="468">
        <f t="shared" si="124"/>
        <v>1150000</v>
      </c>
      <c r="CZ282" s="468">
        <f t="shared" si="124"/>
        <v>262000000</v>
      </c>
      <c r="DA282" s="468">
        <f t="shared" si="124"/>
        <v>1535300</v>
      </c>
      <c r="DB282" s="468">
        <f t="shared" si="124"/>
        <v>267000000</v>
      </c>
      <c r="DC282" s="468">
        <f t="shared" si="124"/>
        <v>622400</v>
      </c>
      <c r="DD282" s="468">
        <f t="shared" si="124"/>
        <v>417000000</v>
      </c>
      <c r="DE282" s="468">
        <f t="shared" si="124"/>
        <v>0</v>
      </c>
      <c r="DF282" s="468">
        <f>SUM(DF283:DF294)</f>
        <v>220000000</v>
      </c>
      <c r="DG282" s="468">
        <f t="shared" si="124"/>
        <v>447000000</v>
      </c>
      <c r="DH282" s="468">
        <f t="shared" si="124"/>
        <v>0</v>
      </c>
      <c r="DI282" s="468">
        <f>SUM(DI283:DI294)</f>
        <v>270000000</v>
      </c>
      <c r="DJ282" s="468">
        <f t="shared" si="124"/>
        <v>497000000</v>
      </c>
      <c r="DK282" s="468">
        <f t="shared" si="124"/>
        <v>0</v>
      </c>
      <c r="DL282" s="468">
        <f>SUM(DL283:DL294)</f>
        <v>170000000</v>
      </c>
      <c r="DM282" s="468">
        <f>SUM(DM283:DM294)</f>
        <v>497000000</v>
      </c>
      <c r="DN282" s="468">
        <f t="shared" si="124"/>
        <v>0</v>
      </c>
      <c r="DO282" s="468">
        <f>SUM(DO283:DO294)</f>
        <v>170000000</v>
      </c>
      <c r="DP282" s="468">
        <f t="shared" si="124"/>
        <v>497000000</v>
      </c>
      <c r="DQ282" s="468">
        <f>SUM(DQ283:DQ294)</f>
        <v>833307700</v>
      </c>
      <c r="DR282" s="468">
        <f>SUM(DR283:DR294)</f>
        <v>1941307700</v>
      </c>
      <c r="DS282" s="445">
        <f>SUM(DS283:DS294)</f>
        <v>105000000</v>
      </c>
      <c r="DT282" s="445">
        <f t="shared" ref="DT282:EI282" si="125">SUM(DT283:DT294)</f>
        <v>105000000</v>
      </c>
      <c r="DU282" s="445">
        <f t="shared" si="125"/>
        <v>105000000</v>
      </c>
      <c r="DV282" s="445">
        <f t="shared" si="125"/>
        <v>105000000</v>
      </c>
      <c r="DW282" s="445">
        <f t="shared" si="125"/>
        <v>105000000</v>
      </c>
      <c r="DX282" s="445">
        <f t="shared" si="125"/>
        <v>105000000</v>
      </c>
      <c r="DY282" s="445">
        <f t="shared" si="125"/>
        <v>105000000</v>
      </c>
      <c r="DZ282" s="445">
        <f t="shared" si="125"/>
        <v>105000000</v>
      </c>
      <c r="EA282" s="445">
        <f t="shared" si="125"/>
        <v>105000000</v>
      </c>
      <c r="EB282" s="445">
        <f t="shared" si="125"/>
        <v>105000000</v>
      </c>
      <c r="EC282" s="445">
        <f t="shared" si="125"/>
        <v>105000000</v>
      </c>
      <c r="ED282" s="445">
        <f t="shared" si="125"/>
        <v>105000000</v>
      </c>
      <c r="EE282" s="1120">
        <f>SUM(EE283:EE294)</f>
        <v>1260000000</v>
      </c>
      <c r="EF282" s="445">
        <f t="shared" si="125"/>
        <v>0</v>
      </c>
      <c r="EG282" s="445">
        <f t="shared" si="125"/>
        <v>0</v>
      </c>
      <c r="EH282" s="445">
        <f t="shared" si="125"/>
        <v>0</v>
      </c>
      <c r="EI282" s="445">
        <f t="shared" si="125"/>
        <v>0</v>
      </c>
      <c r="EJ282" s="988"/>
      <c r="EK282" s="988"/>
      <c r="EL282" s="990"/>
      <c r="EM282" s="990"/>
      <c r="EN282" s="990"/>
      <c r="EO282" s="990"/>
      <c r="EP282" s="990"/>
      <c r="EQ282" s="990"/>
      <c r="ER282" s="990"/>
      <c r="ES282" s="990"/>
      <c r="ET282" s="990"/>
      <c r="EU282" s="990"/>
      <c r="EV282" s="990"/>
      <c r="EW282" s="990"/>
      <c r="EX282" s="990"/>
      <c r="EY282" s="990"/>
      <c r="EZ282" s="990"/>
    </row>
    <row r="283" spans="1:156" outlineLevel="2">
      <c r="A283" s="367" t="s">
        <v>159</v>
      </c>
      <c r="B283" s="378"/>
      <c r="C283" s="370" t="s">
        <v>358</v>
      </c>
      <c r="D283" s="297" t="s">
        <v>121</v>
      </c>
      <c r="E283" s="383" t="s">
        <v>383</v>
      </c>
      <c r="F283" s="380">
        <v>8000000020</v>
      </c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  <c r="R283" s="184"/>
      <c r="S283" s="14"/>
      <c r="T283" s="179"/>
      <c r="U283" s="184">
        <v>0</v>
      </c>
      <c r="V283" s="184">
        <v>0</v>
      </c>
      <c r="W283" s="184">
        <v>0</v>
      </c>
      <c r="X283" s="184">
        <v>0</v>
      </c>
      <c r="Y283" s="184">
        <v>0</v>
      </c>
      <c r="Z283" s="184">
        <v>0</v>
      </c>
      <c r="AA283" s="184">
        <v>0</v>
      </c>
      <c r="AB283" s="184">
        <v>0</v>
      </c>
      <c r="AC283" s="184">
        <v>0</v>
      </c>
      <c r="AD283" s="184">
        <v>0</v>
      </c>
      <c r="AE283" s="184">
        <v>139200</v>
      </c>
      <c r="AF283" s="184">
        <v>0</v>
      </c>
      <c r="AG283" s="759">
        <f>SUM(U283,V283,W283,X283,Y283,Z283,AA283,AB283,AC283,AD283,AE283,AF283)</f>
        <v>139200</v>
      </c>
      <c r="AH283" s="788"/>
      <c r="AI283" s="180"/>
      <c r="AJ283" s="810"/>
      <c r="AK283" s="6"/>
      <c r="AL283" s="6"/>
      <c r="AM283" s="6"/>
      <c r="AN283" s="6"/>
      <c r="AO283" s="6"/>
      <c r="AP283" s="758"/>
      <c r="AQ283" s="518">
        <v>0</v>
      </c>
      <c r="AR283" s="518"/>
      <c r="AS283" s="518"/>
      <c r="AT283" s="518"/>
      <c r="AU283" s="518"/>
      <c r="AV283" s="518"/>
      <c r="AW283" s="518"/>
      <c r="AX283" s="518">
        <f>SUM(AI283,AJ283,AK283,AL283,AM283,AN283,AO283,AP283,AQ283,AR283,AS283,AT283)</f>
        <v>0</v>
      </c>
      <c r="AY283" s="788"/>
      <c r="AZ283" s="180"/>
      <c r="BA283" s="810"/>
      <c r="BB283" s="6"/>
      <c r="BC283" s="6"/>
      <c r="BD283" s="6"/>
      <c r="BE283" s="6"/>
      <c r="BF283" s="6"/>
      <c r="BG283" s="518">
        <f>AP283</f>
        <v>0</v>
      </c>
      <c r="BH283" s="758"/>
      <c r="BI283" s="758"/>
      <c r="BJ283" s="758"/>
      <c r="BK283" s="758"/>
      <c r="BL283" s="518">
        <f>SUM(AZ283,BA283,BB283,BC283,BD283,BE283,BF283,BG283,BH283,BI283,BJ283,BK283)</f>
        <v>0</v>
      </c>
      <c r="BN283" s="754"/>
      <c r="BO283" s="754"/>
      <c r="BP283" s="754"/>
      <c r="BQ283" s="754"/>
      <c r="BR283" s="754">
        <v>0</v>
      </c>
      <c r="BS283" s="754"/>
      <c r="BT283" s="754">
        <v>0</v>
      </c>
      <c r="BU283" s="754">
        <v>0</v>
      </c>
      <c r="BV283" s="754">
        <v>0</v>
      </c>
      <c r="BW283" s="754">
        <v>0</v>
      </c>
      <c r="BX283" s="754">
        <v>0</v>
      </c>
      <c r="BY283" s="754">
        <v>0</v>
      </c>
      <c r="BZ283" s="791">
        <v>0</v>
      </c>
      <c r="CB283" s="754"/>
      <c r="CC283" s="754"/>
      <c r="CD283" s="754"/>
      <c r="CE283" s="754"/>
      <c r="CF283" s="754">
        <v>0</v>
      </c>
      <c r="CG283" s="754"/>
      <c r="CH283" s="754">
        <v>0</v>
      </c>
      <c r="CI283" s="754">
        <v>0</v>
      </c>
      <c r="CJ283" s="754">
        <v>0</v>
      </c>
      <c r="CK283" s="754">
        <v>0</v>
      </c>
      <c r="CL283" s="754">
        <v>0</v>
      </c>
      <c r="CM283" s="754">
        <v>0</v>
      </c>
      <c r="CN283" s="791">
        <v>0</v>
      </c>
      <c r="CP283" s="650"/>
      <c r="CQ283" s="650"/>
      <c r="CR283" s="522">
        <v>1500000</v>
      </c>
      <c r="CS283" s="650"/>
      <c r="CT283" s="522">
        <v>1500000</v>
      </c>
      <c r="CU283" s="650"/>
      <c r="CV283" s="522">
        <v>1500000</v>
      </c>
      <c r="CW283" s="650"/>
      <c r="CX283" s="522">
        <v>1500000</v>
      </c>
      <c r="CY283" s="650"/>
      <c r="CZ283" s="522">
        <v>2000000</v>
      </c>
      <c r="DA283" s="650"/>
      <c r="DB283" s="522">
        <f>CZ283</f>
        <v>2000000</v>
      </c>
      <c r="DC283" s="650">
        <v>0</v>
      </c>
      <c r="DD283" s="522">
        <f>DB283</f>
        <v>2000000</v>
      </c>
      <c r="DE283" s="522"/>
      <c r="DF283" s="522">
        <f>DE283</f>
        <v>0</v>
      </c>
      <c r="DG283" s="471">
        <f>DD283</f>
        <v>2000000</v>
      </c>
      <c r="DH283" s="522"/>
      <c r="DI283" s="522">
        <f>DH283</f>
        <v>0</v>
      </c>
      <c r="DJ283" s="471">
        <f>DG283</f>
        <v>2000000</v>
      </c>
      <c r="DK283" s="522"/>
      <c r="DL283" s="522">
        <f>DK283</f>
        <v>0</v>
      </c>
      <c r="DM283" s="471">
        <f>DJ283</f>
        <v>2000000</v>
      </c>
      <c r="DN283" s="522"/>
      <c r="DO283" s="522">
        <f>DN283</f>
        <v>0</v>
      </c>
      <c r="DP283" s="471">
        <f>DM283</f>
        <v>2000000</v>
      </c>
      <c r="DQ283" s="493">
        <f t="shared" si="110"/>
        <v>0</v>
      </c>
      <c r="DR283" s="479">
        <f t="shared" ref="DR283:DR294" si="126">SUM(CP283,CQ283,CS283,CU283,CW283,CY283,DA283,DC283,DG283,DJ283,DM283,DP283)</f>
        <v>8000000</v>
      </c>
      <c r="DS283" s="1019"/>
      <c r="DT283" s="1019"/>
      <c r="DU283" s="1019"/>
      <c r="DV283" s="1019"/>
      <c r="DW283" s="1019"/>
      <c r="DX283" s="1019"/>
      <c r="DY283" s="1019"/>
      <c r="DZ283" s="1019"/>
      <c r="EA283" s="1019"/>
      <c r="EB283" s="1019"/>
      <c r="EC283" s="1019"/>
      <c r="ED283" s="1019"/>
      <c r="EE283" s="1119">
        <f>SUM(DS283,DT283,DU283,DV283,DW283,DX283,DY283,DZ283,EA283,EB283,EC283,ED283)</f>
        <v>0</v>
      </c>
      <c r="EF283" s="443">
        <f>EE283*1.17</f>
        <v>0</v>
      </c>
      <c r="EG283" s="443">
        <f>EF283*1.08</f>
        <v>0</v>
      </c>
      <c r="EH283" s="443">
        <f>EG283*1.09</f>
        <v>0</v>
      </c>
      <c r="EI283" s="443">
        <f>EH283*1.09</f>
        <v>0</v>
      </c>
      <c r="EJ283" s="367">
        <v>8000000020</v>
      </c>
    </row>
    <row r="284" spans="1:156" outlineLevel="2">
      <c r="A284" s="367" t="s">
        <v>159</v>
      </c>
      <c r="B284" s="378"/>
      <c r="C284" s="370" t="s">
        <v>358</v>
      </c>
      <c r="D284" s="297" t="s">
        <v>121</v>
      </c>
      <c r="E284" s="396" t="s">
        <v>177</v>
      </c>
      <c r="F284" s="380" t="s">
        <v>585</v>
      </c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  <c r="R284" s="184"/>
      <c r="S284" s="14"/>
      <c r="T284" s="181"/>
      <c r="U284" s="184"/>
      <c r="V284" s="184"/>
      <c r="W284" s="184"/>
      <c r="X284" s="184"/>
      <c r="Y284" s="184"/>
      <c r="Z284" s="184"/>
      <c r="AA284" s="184"/>
      <c r="AB284" s="184"/>
      <c r="AC284" s="184"/>
      <c r="AD284" s="184"/>
      <c r="AE284" s="184"/>
      <c r="AF284" s="184"/>
      <c r="AG284" s="759"/>
      <c r="AH284" s="181"/>
      <c r="AI284" s="180"/>
      <c r="AJ284" s="810"/>
      <c r="AK284" s="6"/>
      <c r="AL284" s="6"/>
      <c r="AM284" s="6"/>
      <c r="AN284" s="6"/>
      <c r="AO284" s="6"/>
      <c r="AP284" s="6"/>
      <c r="AQ284" s="518"/>
      <c r="AR284" s="813"/>
      <c r="AS284" s="813"/>
      <c r="AT284" s="813"/>
      <c r="AU284" s="6"/>
      <c r="AV284" s="6"/>
      <c r="AW284" s="6"/>
      <c r="AX284" s="518">
        <f t="shared" si="104"/>
        <v>0</v>
      </c>
      <c r="AY284" s="181"/>
      <c r="AZ284" s="180"/>
      <c r="BA284" s="810"/>
      <c r="BB284" s="6"/>
      <c r="BC284" s="6"/>
      <c r="BD284" s="6"/>
      <c r="BE284" s="6"/>
      <c r="BF284" s="6"/>
      <c r="BG284" s="518"/>
      <c r="BH284" s="6"/>
      <c r="BI284" s="6"/>
      <c r="BJ284" s="6"/>
      <c r="BK284" s="6"/>
      <c r="BL284" s="518"/>
      <c r="BN284" s="815"/>
      <c r="BO284" s="816"/>
      <c r="BP284" s="754"/>
      <c r="BQ284" s="754"/>
      <c r="BR284" s="754"/>
      <c r="BS284" s="754"/>
      <c r="BT284" s="754"/>
      <c r="BU284" s="754"/>
      <c r="BV284" s="754"/>
      <c r="BW284" s="754"/>
      <c r="BX284" s="754"/>
      <c r="BY284" s="754"/>
      <c r="BZ284" s="791"/>
      <c r="CB284" s="815"/>
      <c r="CC284" s="816"/>
      <c r="CD284" s="754"/>
      <c r="CE284" s="754"/>
      <c r="CF284" s="754"/>
      <c r="CG284" s="754"/>
      <c r="CH284" s="754"/>
      <c r="CI284" s="754"/>
      <c r="CJ284" s="754"/>
      <c r="CK284" s="754"/>
      <c r="CL284" s="754"/>
      <c r="CM284" s="754"/>
      <c r="CN284" s="791">
        <v>0</v>
      </c>
      <c r="CP284" s="651"/>
      <c r="CQ284" s="651"/>
      <c r="CR284" s="523"/>
      <c r="CS284" s="651"/>
      <c r="CT284" s="523"/>
      <c r="CU284" s="651"/>
      <c r="CV284" s="523"/>
      <c r="CW284" s="651"/>
      <c r="CX284" s="523"/>
      <c r="CY284" s="651"/>
      <c r="CZ284" s="523"/>
      <c r="DA284" s="651">
        <v>1535300</v>
      </c>
      <c r="DB284" s="523">
        <v>5000000</v>
      </c>
      <c r="DC284" s="651">
        <v>622400</v>
      </c>
      <c r="DD284" s="523">
        <f>DB284</f>
        <v>5000000</v>
      </c>
      <c r="DE284" s="523"/>
      <c r="DF284" s="523">
        <f>DE284</f>
        <v>0</v>
      </c>
      <c r="DG284" s="471">
        <f>DD284</f>
        <v>5000000</v>
      </c>
      <c r="DH284" s="523"/>
      <c r="DI284" s="523">
        <f>DH284</f>
        <v>0</v>
      </c>
      <c r="DJ284" s="471">
        <f>DG284</f>
        <v>5000000</v>
      </c>
      <c r="DK284" s="523"/>
      <c r="DL284" s="523">
        <f>DK284</f>
        <v>0</v>
      </c>
      <c r="DM284" s="471">
        <f>DJ284</f>
        <v>5000000</v>
      </c>
      <c r="DN284" s="523"/>
      <c r="DO284" s="523">
        <f>DN284</f>
        <v>0</v>
      </c>
      <c r="DP284" s="471">
        <f>DM284</f>
        <v>5000000</v>
      </c>
      <c r="DQ284" s="493">
        <f t="shared" si="110"/>
        <v>2157700</v>
      </c>
      <c r="DR284" s="479">
        <f t="shared" si="126"/>
        <v>22157700</v>
      </c>
      <c r="DS284" s="1162"/>
      <c r="DT284" s="1162"/>
      <c r="DU284" s="1162"/>
      <c r="DV284" s="1162"/>
      <c r="DW284" s="1162"/>
      <c r="DX284" s="1162"/>
      <c r="DY284" s="1162"/>
      <c r="DZ284" s="1162"/>
      <c r="EA284" s="1162"/>
      <c r="EB284" s="1162"/>
      <c r="EC284" s="1162"/>
      <c r="ED284" s="1162"/>
      <c r="EE284" s="1119">
        <f t="shared" si="109"/>
        <v>0</v>
      </c>
      <c r="EF284" s="443"/>
      <c r="EG284" s="443"/>
      <c r="EH284" s="443"/>
      <c r="EI284" s="443"/>
    </row>
    <row r="285" spans="1:156" outlineLevel="2">
      <c r="A285" s="367" t="s">
        <v>159</v>
      </c>
      <c r="B285" s="378"/>
      <c r="C285" s="370" t="s">
        <v>358</v>
      </c>
      <c r="D285" s="297" t="s">
        <v>121</v>
      </c>
      <c r="E285" s="396" t="s">
        <v>586</v>
      </c>
      <c r="F285" s="380"/>
      <c r="G285" s="180"/>
      <c r="H285" s="1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181"/>
      <c r="U285" s="180"/>
      <c r="V285" s="13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181"/>
      <c r="AI285" s="180"/>
      <c r="AJ285" s="810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518">
        <f t="shared" si="104"/>
        <v>0</v>
      </c>
      <c r="AY285" s="181"/>
      <c r="AZ285" s="180"/>
      <c r="BA285" s="810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N285" s="19"/>
      <c r="BO285" s="810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799"/>
      <c r="CB285" s="19"/>
      <c r="CC285" s="810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791">
        <v>0</v>
      </c>
      <c r="CP285" s="649"/>
      <c r="CQ285" s="649"/>
      <c r="CR285" s="19"/>
      <c r="CS285" s="649"/>
      <c r="CT285" s="19"/>
      <c r="CU285" s="649"/>
      <c r="CV285" s="19"/>
      <c r="CW285" s="649"/>
      <c r="CX285" s="19"/>
      <c r="CY285" s="649"/>
      <c r="CZ285" s="19">
        <v>100000000</v>
      </c>
      <c r="DA285" s="649"/>
      <c r="DB285" s="19">
        <f>CZ285</f>
        <v>100000000</v>
      </c>
      <c r="DC285" s="649">
        <v>0</v>
      </c>
      <c r="DD285" s="19">
        <f>DB285</f>
        <v>100000000</v>
      </c>
      <c r="DE285" s="6"/>
      <c r="DF285" s="19">
        <f>DE285</f>
        <v>0</v>
      </c>
      <c r="DG285" s="755">
        <f>DD285</f>
        <v>100000000</v>
      </c>
      <c r="DH285" s="6"/>
      <c r="DI285" s="19">
        <f>DH285</f>
        <v>0</v>
      </c>
      <c r="DJ285" s="755">
        <f>DG285</f>
        <v>100000000</v>
      </c>
      <c r="DK285" s="6"/>
      <c r="DL285" s="19">
        <f>DK285</f>
        <v>0</v>
      </c>
      <c r="DM285" s="755">
        <f>DJ285</f>
        <v>100000000</v>
      </c>
      <c r="DN285" s="6"/>
      <c r="DO285" s="19">
        <f>DN285</f>
        <v>0</v>
      </c>
      <c r="DP285" s="755">
        <f>DM285</f>
        <v>100000000</v>
      </c>
      <c r="DQ285" s="493">
        <f t="shared" si="110"/>
        <v>0</v>
      </c>
      <c r="DR285" s="479">
        <f t="shared" si="126"/>
        <v>400000000</v>
      </c>
      <c r="DS285" s="1162"/>
      <c r="DT285" s="1162"/>
      <c r="DU285" s="1162"/>
      <c r="DV285" s="1162"/>
      <c r="DW285" s="1162"/>
      <c r="DX285" s="1162"/>
      <c r="DY285" s="1162"/>
      <c r="DZ285" s="1162"/>
      <c r="EA285" s="1162"/>
      <c r="EB285" s="1162"/>
      <c r="EC285" s="1162"/>
      <c r="ED285" s="1162"/>
      <c r="EE285" s="1119">
        <f t="shared" si="109"/>
        <v>0</v>
      </c>
      <c r="EF285" s="447"/>
      <c r="EG285" s="447"/>
      <c r="EH285" s="447"/>
      <c r="EI285" s="447"/>
    </row>
    <row r="286" spans="1:156" outlineLevel="2">
      <c r="A286" s="367" t="s">
        <v>159</v>
      </c>
      <c r="B286" s="378"/>
      <c r="C286" s="370" t="s">
        <v>358</v>
      </c>
      <c r="D286" s="297" t="s">
        <v>121</v>
      </c>
      <c r="E286" s="396" t="s">
        <v>494</v>
      </c>
      <c r="F286" s="380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  <c r="R286" s="184"/>
      <c r="S286" s="14"/>
      <c r="T286" s="181"/>
      <c r="U286" s="184"/>
      <c r="V286" s="184"/>
      <c r="W286" s="184"/>
      <c r="X286" s="184"/>
      <c r="Y286" s="184"/>
      <c r="Z286" s="184"/>
      <c r="AA286" s="184"/>
      <c r="AB286" s="184"/>
      <c r="AC286" s="184"/>
      <c r="AD286" s="184"/>
      <c r="AE286" s="184"/>
      <c r="AF286" s="184"/>
      <c r="AG286" s="759"/>
      <c r="AH286" s="181"/>
      <c r="AI286" s="180"/>
      <c r="AJ286" s="810"/>
      <c r="AK286" s="6"/>
      <c r="AL286" s="6"/>
      <c r="AM286" s="6"/>
      <c r="AN286" s="6"/>
      <c r="AO286" s="6"/>
      <c r="AP286" s="6"/>
      <c r="AQ286" s="518"/>
      <c r="AR286" s="518"/>
      <c r="AS286" s="518"/>
      <c r="AT286" s="518"/>
      <c r="AU286" s="6"/>
      <c r="AV286" s="6"/>
      <c r="AW286" s="6"/>
      <c r="AX286" s="518">
        <f t="shared" si="104"/>
        <v>0</v>
      </c>
      <c r="AY286" s="181"/>
      <c r="AZ286" s="180"/>
      <c r="BA286" s="810"/>
      <c r="BB286" s="6"/>
      <c r="BC286" s="6"/>
      <c r="BD286" s="6"/>
      <c r="BE286" s="6"/>
      <c r="BF286" s="6"/>
      <c r="BG286" s="518"/>
      <c r="BH286" s="6"/>
      <c r="BI286" s="6"/>
      <c r="BJ286" s="6"/>
      <c r="BK286" s="6"/>
      <c r="BL286" s="518">
        <f>SUM(AZ286,BA286,BB286,BC286,BD286,BE286,BF286,BG286,BH286,BI286,BJ286,BK286)</f>
        <v>0</v>
      </c>
      <c r="BN286" s="19"/>
      <c r="BO286" s="810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799"/>
      <c r="CB286" s="19"/>
      <c r="CC286" s="810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791">
        <v>0</v>
      </c>
      <c r="CP286" s="649"/>
      <c r="CQ286" s="649"/>
      <c r="CR286" s="19"/>
      <c r="CS286" s="649"/>
      <c r="CT286" s="19"/>
      <c r="CU286" s="649"/>
      <c r="CV286" s="19"/>
      <c r="CW286" s="649"/>
      <c r="CX286" s="19"/>
      <c r="CY286" s="649"/>
      <c r="CZ286" s="19">
        <v>100000000</v>
      </c>
      <c r="DA286" s="649"/>
      <c r="DB286" s="19">
        <f>CZ286</f>
        <v>100000000</v>
      </c>
      <c r="DC286" s="649">
        <v>0</v>
      </c>
      <c r="DD286" s="19">
        <f>DB286</f>
        <v>100000000</v>
      </c>
      <c r="DE286" s="6"/>
      <c r="DF286" s="19">
        <f>DE286</f>
        <v>0</v>
      </c>
      <c r="DG286" s="755">
        <f>DD286</f>
        <v>100000000</v>
      </c>
      <c r="DH286" s="6"/>
      <c r="DI286" s="19">
        <f>DH286</f>
        <v>0</v>
      </c>
      <c r="DJ286" s="755">
        <f>DG286</f>
        <v>100000000</v>
      </c>
      <c r="DK286" s="6"/>
      <c r="DL286" s="19">
        <f>DK286</f>
        <v>0</v>
      </c>
      <c r="DM286" s="755">
        <f>DJ286</f>
        <v>100000000</v>
      </c>
      <c r="DN286" s="6"/>
      <c r="DO286" s="19">
        <f>DN286</f>
        <v>0</v>
      </c>
      <c r="DP286" s="755">
        <f>DM286</f>
        <v>100000000</v>
      </c>
      <c r="DQ286" s="493">
        <f t="shared" si="110"/>
        <v>0</v>
      </c>
      <c r="DR286" s="479">
        <f t="shared" si="126"/>
        <v>400000000</v>
      </c>
      <c r="DS286" s="1162">
        <v>50000000</v>
      </c>
      <c r="DT286" s="1162">
        <v>50000000</v>
      </c>
      <c r="DU286" s="1162">
        <v>50000000</v>
      </c>
      <c r="DV286" s="1162">
        <v>50000000</v>
      </c>
      <c r="DW286" s="1162">
        <v>50000000</v>
      </c>
      <c r="DX286" s="1162">
        <v>50000000</v>
      </c>
      <c r="DY286" s="1162">
        <v>50000000</v>
      </c>
      <c r="DZ286" s="1162">
        <v>50000000</v>
      </c>
      <c r="EA286" s="1162">
        <v>50000000</v>
      </c>
      <c r="EB286" s="1162">
        <v>50000000</v>
      </c>
      <c r="EC286" s="1162">
        <v>50000000</v>
      </c>
      <c r="ED286" s="1162">
        <v>50000000</v>
      </c>
      <c r="EE286" s="1119">
        <f t="shared" si="109"/>
        <v>600000000</v>
      </c>
      <c r="EF286" s="447"/>
      <c r="EG286" s="447"/>
      <c r="EH286" s="447"/>
      <c r="EI286" s="447"/>
      <c r="EJ286" s="367" t="e">
        <v>#N/A</v>
      </c>
    </row>
    <row r="287" spans="1:156" outlineLevel="2">
      <c r="A287" s="367" t="s">
        <v>159</v>
      </c>
      <c r="B287" s="378"/>
      <c r="C287" s="370" t="s">
        <v>358</v>
      </c>
      <c r="D287" s="297" t="s">
        <v>121</v>
      </c>
      <c r="E287" s="396" t="s">
        <v>178</v>
      </c>
      <c r="F287" s="380" t="s">
        <v>179</v>
      </c>
      <c r="G287" s="180"/>
      <c r="H287" s="1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181"/>
      <c r="U287" s="180"/>
      <c r="V287" s="13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181"/>
      <c r="AI287" s="180"/>
      <c r="AJ287" s="810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518">
        <f t="shared" si="104"/>
        <v>0</v>
      </c>
      <c r="AY287" s="181"/>
      <c r="AZ287" s="180"/>
      <c r="BA287" s="810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N287" s="19"/>
      <c r="BO287" s="810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799"/>
      <c r="CB287" s="19"/>
      <c r="CC287" s="810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791">
        <v>0</v>
      </c>
      <c r="CP287" s="649"/>
      <c r="CQ287" s="649"/>
      <c r="CR287" s="19"/>
      <c r="CS287" s="649"/>
      <c r="CT287" s="19"/>
      <c r="CU287" s="649"/>
      <c r="CV287" s="19"/>
      <c r="CW287" s="649"/>
      <c r="CX287" s="19"/>
      <c r="CY287" s="649">
        <v>1150000</v>
      </c>
      <c r="CZ287" s="19">
        <v>20000000</v>
      </c>
      <c r="DA287" s="649"/>
      <c r="DB287" s="19">
        <v>20000000</v>
      </c>
      <c r="DC287" s="649">
        <v>0</v>
      </c>
      <c r="DD287" s="19">
        <v>20000000</v>
      </c>
      <c r="DE287" s="6"/>
      <c r="DF287" s="19">
        <v>20000000</v>
      </c>
      <c r="DG287" s="756">
        <v>20000000</v>
      </c>
      <c r="DH287" s="6"/>
      <c r="DI287" s="19">
        <v>20000000</v>
      </c>
      <c r="DJ287" s="756">
        <v>20000000</v>
      </c>
      <c r="DK287" s="6"/>
      <c r="DL287" s="19">
        <v>20000000</v>
      </c>
      <c r="DM287" s="756">
        <v>20000000</v>
      </c>
      <c r="DN287" s="6"/>
      <c r="DO287" s="19">
        <v>20000000</v>
      </c>
      <c r="DP287" s="756">
        <v>20000000</v>
      </c>
      <c r="DQ287" s="493">
        <f t="shared" si="110"/>
        <v>81150000</v>
      </c>
      <c r="DR287" s="479">
        <f t="shared" si="126"/>
        <v>81150000</v>
      </c>
      <c r="DS287" s="1162">
        <v>5000000</v>
      </c>
      <c r="DT287" s="1162">
        <v>5000000</v>
      </c>
      <c r="DU287" s="1162">
        <v>5000000</v>
      </c>
      <c r="DV287" s="1162">
        <v>5000000</v>
      </c>
      <c r="DW287" s="1162">
        <v>5000000</v>
      </c>
      <c r="DX287" s="1162">
        <v>5000000</v>
      </c>
      <c r="DY287" s="1162">
        <v>5000000</v>
      </c>
      <c r="DZ287" s="1162">
        <v>5000000</v>
      </c>
      <c r="EA287" s="1162">
        <v>5000000</v>
      </c>
      <c r="EB287" s="1162">
        <v>5000000</v>
      </c>
      <c r="EC287" s="1162">
        <v>5000000</v>
      </c>
      <c r="ED287" s="1162">
        <v>5000000</v>
      </c>
      <c r="EE287" s="1119">
        <f t="shared" si="109"/>
        <v>60000000</v>
      </c>
      <c r="EF287" s="447"/>
      <c r="EG287" s="447"/>
      <c r="EH287" s="447"/>
      <c r="EI287" s="447"/>
      <c r="EJ287" s="367" t="e">
        <v>#N/A</v>
      </c>
    </row>
    <row r="288" spans="1:156" outlineLevel="2">
      <c r="A288" s="367" t="s">
        <v>159</v>
      </c>
      <c r="B288" s="378"/>
      <c r="C288" s="370" t="s">
        <v>358</v>
      </c>
      <c r="D288" s="297" t="s">
        <v>121</v>
      </c>
      <c r="E288" s="383" t="s">
        <v>587</v>
      </c>
      <c r="F288" s="380">
        <v>3000007370</v>
      </c>
      <c r="G288" s="184">
        <v>0</v>
      </c>
      <c r="H288" s="184">
        <v>0</v>
      </c>
      <c r="I288" s="184">
        <v>0</v>
      </c>
      <c r="J288" s="184">
        <v>0</v>
      </c>
      <c r="K288" s="184">
        <v>0</v>
      </c>
      <c r="L288" s="184">
        <v>0</v>
      </c>
      <c r="M288" s="184">
        <v>0</v>
      </c>
      <c r="N288" s="184">
        <v>0</v>
      </c>
      <c r="O288" s="184">
        <v>0</v>
      </c>
      <c r="P288" s="184">
        <v>0</v>
      </c>
      <c r="Q288" s="184">
        <v>0</v>
      </c>
      <c r="R288" s="184">
        <v>0</v>
      </c>
      <c r="S288" s="14">
        <f>SUM(G288,H288,I288,J288,K288,L288,M288,N288,O288,P288,Q288,R288)</f>
        <v>0</v>
      </c>
      <c r="T288" s="179"/>
      <c r="U288" s="184">
        <v>0</v>
      </c>
      <c r="V288" s="184">
        <v>0</v>
      </c>
      <c r="W288" s="184">
        <v>0</v>
      </c>
      <c r="X288" s="184">
        <v>0</v>
      </c>
      <c r="Y288" s="184">
        <v>0</v>
      </c>
      <c r="Z288" s="184">
        <v>0</v>
      </c>
      <c r="AA288" s="184">
        <v>0</v>
      </c>
      <c r="AB288" s="184">
        <v>0</v>
      </c>
      <c r="AC288" s="184">
        <v>0</v>
      </c>
      <c r="AD288" s="184">
        <v>0</v>
      </c>
      <c r="AE288" s="184">
        <v>0</v>
      </c>
      <c r="AF288" s="184">
        <v>0</v>
      </c>
      <c r="AG288" s="759">
        <f>SUM(U288,V288,W288,X288,Y288,Z288,AA288,AB288,AC288,AD288,AE288,AF288)</f>
        <v>0</v>
      </c>
      <c r="AH288" s="788"/>
      <c r="AI288" s="814">
        <v>16000000</v>
      </c>
      <c r="AJ288" s="810">
        <v>-16000000</v>
      </c>
      <c r="AK288" s="758">
        <v>0</v>
      </c>
      <c r="AL288" s="758">
        <v>0</v>
      </c>
      <c r="AM288" s="758">
        <v>0</v>
      </c>
      <c r="AN288" s="758">
        <v>0</v>
      </c>
      <c r="AO288" s="758">
        <v>0</v>
      </c>
      <c r="AP288" s="758">
        <v>0</v>
      </c>
      <c r="AQ288" s="518">
        <v>0</v>
      </c>
      <c r="AR288" s="518"/>
      <c r="AS288" s="518"/>
      <c r="AT288" s="518"/>
      <c r="AU288" s="518">
        <f>BI288</f>
        <v>0</v>
      </c>
      <c r="AV288" s="518">
        <f>BJ288</f>
        <v>0</v>
      </c>
      <c r="AW288" s="518">
        <f>BK288</f>
        <v>0</v>
      </c>
      <c r="AX288" s="518">
        <f t="shared" si="104"/>
        <v>0</v>
      </c>
      <c r="AY288" s="788"/>
      <c r="AZ288" s="814">
        <v>16000000</v>
      </c>
      <c r="BA288" s="810">
        <v>-16000000</v>
      </c>
      <c r="BB288" s="758">
        <v>0</v>
      </c>
      <c r="BC288" s="758">
        <v>0</v>
      </c>
      <c r="BD288" s="758">
        <v>0</v>
      </c>
      <c r="BE288" s="758">
        <v>0</v>
      </c>
      <c r="BF288" s="758">
        <v>0</v>
      </c>
      <c r="BG288" s="518">
        <f>AP288</f>
        <v>0</v>
      </c>
      <c r="BH288" s="758">
        <v>0</v>
      </c>
      <c r="BI288" s="758">
        <v>0</v>
      </c>
      <c r="BJ288" s="758">
        <v>0</v>
      </c>
      <c r="BK288" s="758">
        <v>0</v>
      </c>
      <c r="BL288" s="759">
        <f>SUM(AZ288,BA288,BB288,BC288,BD288,BE288,BF288,BG288,BH288,BI288,BJ288,BK288)</f>
        <v>0</v>
      </c>
      <c r="BN288" s="754">
        <v>0</v>
      </c>
      <c r="BO288" s="754">
        <v>0</v>
      </c>
      <c r="BP288" s="754">
        <v>0</v>
      </c>
      <c r="BQ288" s="754">
        <v>0</v>
      </c>
      <c r="BR288" s="754">
        <v>0</v>
      </c>
      <c r="BS288" s="754">
        <v>0</v>
      </c>
      <c r="BT288" s="754">
        <v>0</v>
      </c>
      <c r="BU288" s="754">
        <v>0</v>
      </c>
      <c r="BV288" s="754">
        <v>0</v>
      </c>
      <c r="BW288" s="754">
        <v>0</v>
      </c>
      <c r="BX288" s="754">
        <v>0</v>
      </c>
      <c r="BY288" s="754">
        <v>0</v>
      </c>
      <c r="BZ288" s="791">
        <v>0</v>
      </c>
      <c r="CB288" s="754">
        <v>0</v>
      </c>
      <c r="CC288" s="754">
        <v>0</v>
      </c>
      <c r="CD288" s="754">
        <v>0</v>
      </c>
      <c r="CE288" s="754">
        <v>0</v>
      </c>
      <c r="CF288" s="754">
        <v>0</v>
      </c>
      <c r="CG288" s="754">
        <v>0</v>
      </c>
      <c r="CH288" s="754">
        <v>0</v>
      </c>
      <c r="CI288" s="754">
        <v>0</v>
      </c>
      <c r="CJ288" s="754">
        <v>0</v>
      </c>
      <c r="CK288" s="754">
        <v>0</v>
      </c>
      <c r="CL288" s="754">
        <v>0</v>
      </c>
      <c r="CM288" s="754">
        <v>0</v>
      </c>
      <c r="CN288" s="791">
        <v>0</v>
      </c>
      <c r="CP288" s="650"/>
      <c r="CQ288" s="650"/>
      <c r="CR288" s="522"/>
      <c r="CS288" s="650"/>
      <c r="CT288" s="522"/>
      <c r="CU288" s="650"/>
      <c r="CV288" s="522"/>
      <c r="CW288" s="650"/>
      <c r="CX288" s="522"/>
      <c r="CY288" s="650"/>
      <c r="CZ288" s="522"/>
      <c r="DA288" s="650"/>
      <c r="DB288" s="522"/>
      <c r="DC288" s="650">
        <v>0</v>
      </c>
      <c r="DD288" s="522"/>
      <c r="DE288" s="754"/>
      <c r="DF288" s="522"/>
      <c r="DG288" s="471"/>
      <c r="DH288" s="754"/>
      <c r="DI288" s="522"/>
      <c r="DJ288" s="471"/>
      <c r="DK288" s="754"/>
      <c r="DL288" s="522"/>
      <c r="DM288" s="471"/>
      <c r="DN288" s="754"/>
      <c r="DO288" s="522"/>
      <c r="DP288" s="471"/>
      <c r="DQ288" s="493">
        <f t="shared" si="110"/>
        <v>0</v>
      </c>
      <c r="DR288" s="479">
        <f t="shared" si="126"/>
        <v>0</v>
      </c>
      <c r="DS288" s="1019"/>
      <c r="DT288" s="1019"/>
      <c r="DU288" s="1019"/>
      <c r="DV288" s="1019"/>
      <c r="DW288" s="1019"/>
      <c r="DX288" s="1019"/>
      <c r="DY288" s="1019"/>
      <c r="DZ288" s="1019"/>
      <c r="EA288" s="1019"/>
      <c r="EB288" s="1019"/>
      <c r="EC288" s="1019"/>
      <c r="ED288" s="1019"/>
      <c r="EE288" s="1119">
        <f t="shared" si="109"/>
        <v>0</v>
      </c>
      <c r="EF288" s="443">
        <f>EE288*1.17</f>
        <v>0</v>
      </c>
      <c r="EG288" s="443">
        <f>EF288*1.08</f>
        <v>0</v>
      </c>
      <c r="EH288" s="443">
        <f>EG288*1.09</f>
        <v>0</v>
      </c>
      <c r="EI288" s="443">
        <f>EH288*1.09</f>
        <v>0</v>
      </c>
      <c r="EJ288" s="367">
        <v>3000007370</v>
      </c>
    </row>
    <row r="289" spans="1:140" outlineLevel="2">
      <c r="A289" s="367" t="s">
        <v>159</v>
      </c>
      <c r="B289" s="378"/>
      <c r="C289" s="370" t="s">
        <v>358</v>
      </c>
      <c r="D289" s="297" t="s">
        <v>121</v>
      </c>
      <c r="E289" s="396" t="s">
        <v>588</v>
      </c>
      <c r="F289" s="380"/>
      <c r="G289" s="180"/>
      <c r="H289" s="1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181"/>
      <c r="U289" s="180"/>
      <c r="V289" s="13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181"/>
      <c r="AI289" s="180"/>
      <c r="AJ289" s="810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518">
        <f t="shared" si="104"/>
        <v>0</v>
      </c>
      <c r="AY289" s="181"/>
      <c r="AZ289" s="180"/>
      <c r="BA289" s="810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N289" s="19"/>
      <c r="BO289" s="810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799"/>
      <c r="CB289" s="19"/>
      <c r="CC289" s="810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791">
        <v>0</v>
      </c>
      <c r="CP289" s="649"/>
      <c r="CQ289" s="649"/>
      <c r="CR289" s="19"/>
      <c r="CS289" s="649"/>
      <c r="CT289" s="19"/>
      <c r="CU289" s="649"/>
      <c r="CV289" s="19"/>
      <c r="CW289" s="649"/>
      <c r="CX289" s="19"/>
      <c r="CY289" s="649"/>
      <c r="CZ289" s="19"/>
      <c r="DA289" s="649"/>
      <c r="DB289" s="19"/>
      <c r="DC289" s="649">
        <v>0</v>
      </c>
      <c r="DD289" s="19">
        <v>50000000</v>
      </c>
      <c r="DE289" s="6"/>
      <c r="DF289" s="19">
        <f>DE289</f>
        <v>0</v>
      </c>
      <c r="DG289" s="755">
        <f>DD289</f>
        <v>50000000</v>
      </c>
      <c r="DH289" s="6"/>
      <c r="DI289" s="19">
        <f>DH289</f>
        <v>0</v>
      </c>
      <c r="DJ289" s="755">
        <f>DG289</f>
        <v>50000000</v>
      </c>
      <c r="DK289" s="6"/>
      <c r="DL289" s="19">
        <f>DK289</f>
        <v>0</v>
      </c>
      <c r="DM289" s="755">
        <f>DJ289</f>
        <v>50000000</v>
      </c>
      <c r="DN289" s="6"/>
      <c r="DO289" s="19">
        <f>DN289</f>
        <v>0</v>
      </c>
      <c r="DP289" s="755">
        <f>DM289</f>
        <v>50000000</v>
      </c>
      <c r="DQ289" s="493">
        <f t="shared" si="110"/>
        <v>0</v>
      </c>
      <c r="DR289" s="479">
        <f t="shared" si="126"/>
        <v>200000000</v>
      </c>
      <c r="DS289" s="1162"/>
      <c r="DT289" s="1162"/>
      <c r="DU289" s="1162"/>
      <c r="DV289" s="1162"/>
      <c r="DW289" s="1162"/>
      <c r="DX289" s="1162"/>
      <c r="DY289" s="1162"/>
      <c r="DZ289" s="1162"/>
      <c r="EA289" s="1162"/>
      <c r="EB289" s="1162"/>
      <c r="EC289" s="1162"/>
      <c r="ED289" s="1162"/>
      <c r="EE289" s="1119">
        <f t="shared" si="109"/>
        <v>0</v>
      </c>
      <c r="EF289" s="447"/>
      <c r="EG289" s="447"/>
      <c r="EH289" s="447"/>
      <c r="EI289" s="447"/>
    </row>
    <row r="290" spans="1:140" outlineLevel="2">
      <c r="A290" s="367" t="s">
        <v>159</v>
      </c>
      <c r="B290" s="378"/>
      <c r="C290" s="370" t="s">
        <v>358</v>
      </c>
      <c r="D290" s="297" t="s">
        <v>121</v>
      </c>
      <c r="E290" s="383" t="s">
        <v>589</v>
      </c>
      <c r="F290" s="380">
        <v>3000016990</v>
      </c>
      <c r="G290" s="184">
        <v>0</v>
      </c>
      <c r="H290" s="184">
        <v>0</v>
      </c>
      <c r="I290" s="184">
        <v>0</v>
      </c>
      <c r="J290" s="184">
        <v>0</v>
      </c>
      <c r="K290" s="184">
        <v>0</v>
      </c>
      <c r="L290" s="184">
        <v>0</v>
      </c>
      <c r="M290" s="184">
        <v>2500000</v>
      </c>
      <c r="N290" s="184">
        <v>0</v>
      </c>
      <c r="O290" s="184">
        <v>0</v>
      </c>
      <c r="P290" s="184">
        <v>0</v>
      </c>
      <c r="Q290" s="184">
        <v>0</v>
      </c>
      <c r="R290" s="184">
        <v>0</v>
      </c>
      <c r="S290" s="14">
        <f>SUM(G290,H290,I290,J290,K290,L290,M290,N290,O290,P290,Q290,R290)</f>
        <v>2500000</v>
      </c>
      <c r="T290" s="181"/>
      <c r="U290" s="184">
        <v>0</v>
      </c>
      <c r="V290" s="184">
        <v>0</v>
      </c>
      <c r="W290" s="184">
        <v>0</v>
      </c>
      <c r="X290" s="184">
        <v>0</v>
      </c>
      <c r="Y290" s="184">
        <v>0</v>
      </c>
      <c r="Z290" s="184">
        <v>0</v>
      </c>
      <c r="AA290" s="184">
        <v>0</v>
      </c>
      <c r="AB290" s="184">
        <v>0</v>
      </c>
      <c r="AC290" s="184">
        <v>0</v>
      </c>
      <c r="AD290" s="184">
        <v>0</v>
      </c>
      <c r="AE290" s="184">
        <v>0</v>
      </c>
      <c r="AF290" s="184">
        <v>0</v>
      </c>
      <c r="AG290" s="759">
        <f>SUM(U290,V290,W290,X290,Y290,Z290,AA290,AB290,AC290,AD290,AE290,AF290)</f>
        <v>0</v>
      </c>
      <c r="AH290" s="181"/>
      <c r="AI290" s="180"/>
      <c r="AJ290" s="810"/>
      <c r="AK290" s="6"/>
      <c r="AL290" s="6"/>
      <c r="AM290" s="6"/>
      <c r="AN290" s="6"/>
      <c r="AO290" s="6"/>
      <c r="AP290" s="6"/>
      <c r="AQ290" s="518">
        <v>0</v>
      </c>
      <c r="AR290" s="518"/>
      <c r="AS290" s="518"/>
      <c r="AT290" s="518"/>
      <c r="AU290" s="6"/>
      <c r="AV290" s="6"/>
      <c r="AW290" s="6"/>
      <c r="AX290" s="518">
        <f t="shared" si="104"/>
        <v>0</v>
      </c>
      <c r="AY290" s="181"/>
      <c r="AZ290" s="180"/>
      <c r="BA290" s="810"/>
      <c r="BB290" s="6"/>
      <c r="BC290" s="6"/>
      <c r="BD290" s="6"/>
      <c r="BE290" s="6"/>
      <c r="BF290" s="6"/>
      <c r="BG290" s="518">
        <f>AP290</f>
        <v>0</v>
      </c>
      <c r="BH290" s="6"/>
      <c r="BI290" s="6"/>
      <c r="BJ290" s="6"/>
      <c r="BK290" s="6"/>
      <c r="BL290" s="518">
        <f>SUM(AZ290,BA290,BB290,BC290,BD290,BE290,BF290,BG290,BH290,BI290,BJ290,BK290)</f>
        <v>0</v>
      </c>
      <c r="BN290" s="815"/>
      <c r="BO290" s="816"/>
      <c r="BP290" s="754"/>
      <c r="BQ290" s="754"/>
      <c r="BR290" s="754">
        <v>0</v>
      </c>
      <c r="BS290" s="754"/>
      <c r="BT290" s="754">
        <v>0</v>
      </c>
      <c r="BU290" s="754">
        <v>0</v>
      </c>
      <c r="BV290" s="754">
        <v>0</v>
      </c>
      <c r="BW290" s="754">
        <v>0</v>
      </c>
      <c r="BX290" s="754">
        <v>0</v>
      </c>
      <c r="BY290" s="754">
        <v>0</v>
      </c>
      <c r="BZ290" s="791">
        <v>0</v>
      </c>
      <c r="CB290" s="815"/>
      <c r="CC290" s="816"/>
      <c r="CD290" s="754"/>
      <c r="CE290" s="754"/>
      <c r="CF290" s="754">
        <v>0</v>
      </c>
      <c r="CG290" s="754"/>
      <c r="CH290" s="754">
        <v>0</v>
      </c>
      <c r="CI290" s="754">
        <v>0</v>
      </c>
      <c r="CJ290" s="754">
        <v>0</v>
      </c>
      <c r="CK290" s="754">
        <v>0</v>
      </c>
      <c r="CL290" s="754">
        <v>0</v>
      </c>
      <c r="CM290" s="754">
        <v>0</v>
      </c>
      <c r="CN290" s="791">
        <v>0</v>
      </c>
      <c r="CP290" s="651"/>
      <c r="CQ290" s="651"/>
      <c r="CR290" s="523"/>
      <c r="CS290" s="651"/>
      <c r="CT290" s="523"/>
      <c r="CU290" s="651"/>
      <c r="CV290" s="523">
        <v>10000000</v>
      </c>
      <c r="CW290" s="651"/>
      <c r="CX290" s="523">
        <v>10000000</v>
      </c>
      <c r="CY290" s="651"/>
      <c r="CZ290" s="523">
        <v>20000000</v>
      </c>
      <c r="DA290" s="651"/>
      <c r="DB290" s="523">
        <f>CZ290</f>
        <v>20000000</v>
      </c>
      <c r="DC290" s="651">
        <v>0</v>
      </c>
      <c r="DD290" s="523">
        <f>DB290</f>
        <v>20000000</v>
      </c>
      <c r="DE290" s="523"/>
      <c r="DF290" s="523">
        <f>DE290</f>
        <v>0</v>
      </c>
      <c r="DG290" s="471">
        <f>DD290</f>
        <v>20000000</v>
      </c>
      <c r="DH290" s="523"/>
      <c r="DI290" s="523">
        <f>DH290</f>
        <v>0</v>
      </c>
      <c r="DJ290" s="471">
        <f>DG290</f>
        <v>20000000</v>
      </c>
      <c r="DK290" s="523"/>
      <c r="DL290" s="523">
        <f>DK290</f>
        <v>0</v>
      </c>
      <c r="DM290" s="471">
        <f>DJ290</f>
        <v>20000000</v>
      </c>
      <c r="DN290" s="523"/>
      <c r="DO290" s="523">
        <f>DN290</f>
        <v>0</v>
      </c>
      <c r="DP290" s="471">
        <f>DM290</f>
        <v>20000000</v>
      </c>
      <c r="DQ290" s="493">
        <f t="shared" si="110"/>
        <v>0</v>
      </c>
      <c r="DR290" s="479">
        <f t="shared" si="126"/>
        <v>80000000</v>
      </c>
      <c r="DS290" s="1162"/>
      <c r="DT290" s="1162"/>
      <c r="DU290" s="1162"/>
      <c r="DV290" s="1162"/>
      <c r="DW290" s="1162"/>
      <c r="DX290" s="1162"/>
      <c r="DY290" s="1162"/>
      <c r="DZ290" s="1162"/>
      <c r="EA290" s="1162"/>
      <c r="EB290" s="1162"/>
      <c r="EC290" s="1162"/>
      <c r="ED290" s="1162"/>
      <c r="EE290" s="1119">
        <f t="shared" si="109"/>
        <v>0</v>
      </c>
      <c r="EF290" s="443">
        <f>EE290*1.17</f>
        <v>0</v>
      </c>
      <c r="EG290" s="443">
        <f>EF290*1.08</f>
        <v>0</v>
      </c>
      <c r="EH290" s="443">
        <f>EG290*1.09</f>
        <v>0</v>
      </c>
      <c r="EI290" s="443">
        <f>EH290*1.09</f>
        <v>0</v>
      </c>
      <c r="EJ290" s="367">
        <v>3000016990</v>
      </c>
    </row>
    <row r="291" spans="1:140" outlineLevel="2">
      <c r="A291" s="367" t="s">
        <v>159</v>
      </c>
      <c r="B291" s="378"/>
      <c r="C291" s="370" t="s">
        <v>358</v>
      </c>
      <c r="D291" s="297" t="s">
        <v>121</v>
      </c>
      <c r="E291" s="396" t="s">
        <v>590</v>
      </c>
      <c r="F291" s="380"/>
      <c r="G291" s="180"/>
      <c r="H291" s="1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181"/>
      <c r="U291" s="180"/>
      <c r="V291" s="13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181"/>
      <c r="AI291" s="180"/>
      <c r="AJ291" s="810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518">
        <f t="shared" si="104"/>
        <v>0</v>
      </c>
      <c r="AY291" s="181"/>
      <c r="AZ291" s="180"/>
      <c r="BA291" s="810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N291" s="19"/>
      <c r="BO291" s="810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799"/>
      <c r="CB291" s="19"/>
      <c r="CC291" s="810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791">
        <v>0</v>
      </c>
      <c r="CP291" s="649"/>
      <c r="CQ291" s="649"/>
      <c r="CR291" s="19"/>
      <c r="CS291" s="649"/>
      <c r="CT291" s="19"/>
      <c r="CU291" s="649"/>
      <c r="CV291" s="19"/>
      <c r="CW291" s="649"/>
      <c r="CX291" s="19"/>
      <c r="CY291" s="649"/>
      <c r="CZ291" s="19"/>
      <c r="DA291" s="649"/>
      <c r="DB291" s="19"/>
      <c r="DC291" s="649">
        <v>0</v>
      </c>
      <c r="DD291" s="19"/>
      <c r="DE291" s="6"/>
      <c r="DF291" s="19">
        <v>50000000</v>
      </c>
      <c r="DG291" s="755">
        <v>50000000</v>
      </c>
      <c r="DH291" s="6"/>
      <c r="DI291" s="19">
        <v>50000000</v>
      </c>
      <c r="DJ291" s="755">
        <v>50000000</v>
      </c>
      <c r="DK291" s="6"/>
      <c r="DL291" s="19">
        <f>DK291</f>
        <v>0</v>
      </c>
      <c r="DM291" s="755">
        <f>DJ291</f>
        <v>50000000</v>
      </c>
      <c r="DN291" s="6"/>
      <c r="DO291" s="19">
        <f>DN291</f>
        <v>0</v>
      </c>
      <c r="DP291" s="755">
        <f>DM291</f>
        <v>50000000</v>
      </c>
      <c r="DQ291" s="493">
        <f t="shared" si="110"/>
        <v>100000000</v>
      </c>
      <c r="DR291" s="479">
        <f t="shared" si="126"/>
        <v>200000000</v>
      </c>
      <c r="DS291" s="1162"/>
      <c r="DT291" s="1162"/>
      <c r="DU291" s="1162"/>
      <c r="DV291" s="1162"/>
      <c r="DW291" s="1162"/>
      <c r="DX291" s="1162"/>
      <c r="DY291" s="1162"/>
      <c r="DZ291" s="1162"/>
      <c r="EA291" s="1162"/>
      <c r="EB291" s="1162"/>
      <c r="EC291" s="1162"/>
      <c r="ED291" s="1162"/>
      <c r="EE291" s="1119">
        <f t="shared" si="109"/>
        <v>0</v>
      </c>
      <c r="EF291" s="447"/>
      <c r="EG291" s="447"/>
      <c r="EH291" s="447"/>
      <c r="EI291" s="447"/>
    </row>
    <row r="292" spans="1:140" outlineLevel="2">
      <c r="A292" s="367" t="s">
        <v>159</v>
      </c>
      <c r="B292" s="378"/>
      <c r="C292" s="370" t="s">
        <v>358</v>
      </c>
      <c r="D292" s="297" t="s">
        <v>121</v>
      </c>
      <c r="E292" s="396" t="s">
        <v>591</v>
      </c>
      <c r="F292" s="380"/>
      <c r="G292" s="180"/>
      <c r="H292" s="1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181"/>
      <c r="U292" s="180"/>
      <c r="V292" s="13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181"/>
      <c r="AI292" s="180"/>
      <c r="AJ292" s="810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518">
        <f t="shared" si="104"/>
        <v>0</v>
      </c>
      <c r="AY292" s="181"/>
      <c r="AZ292" s="180"/>
      <c r="BA292" s="810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N292" s="19"/>
      <c r="BO292" s="810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799"/>
      <c r="CB292" s="19"/>
      <c r="CC292" s="810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791">
        <v>0</v>
      </c>
      <c r="CP292" s="649"/>
      <c r="CQ292" s="649"/>
      <c r="CR292" s="19"/>
      <c r="CS292" s="649"/>
      <c r="CT292" s="19"/>
      <c r="CU292" s="649"/>
      <c r="CV292" s="19"/>
      <c r="CW292" s="649"/>
      <c r="CX292" s="19"/>
      <c r="CY292" s="649"/>
      <c r="CZ292" s="19"/>
      <c r="DA292" s="649"/>
      <c r="DB292" s="19"/>
      <c r="DC292" s="649">
        <v>0</v>
      </c>
      <c r="DD292" s="19">
        <v>100000000</v>
      </c>
      <c r="DE292" s="6"/>
      <c r="DF292" s="19">
        <v>100000000</v>
      </c>
      <c r="DG292" s="752">
        <v>50000000</v>
      </c>
      <c r="DH292" s="6"/>
      <c r="DI292" s="19">
        <v>100000000</v>
      </c>
      <c r="DJ292" s="755">
        <v>100000000</v>
      </c>
      <c r="DK292" s="6"/>
      <c r="DL292" s="19">
        <v>100000000</v>
      </c>
      <c r="DM292" s="756">
        <v>100000000</v>
      </c>
      <c r="DN292" s="6"/>
      <c r="DO292" s="19">
        <v>100000000</v>
      </c>
      <c r="DP292" s="756">
        <v>100000000</v>
      </c>
      <c r="DQ292" s="493">
        <f t="shared" si="110"/>
        <v>400000000</v>
      </c>
      <c r="DR292" s="479">
        <f t="shared" si="126"/>
        <v>350000000</v>
      </c>
      <c r="DS292" s="1162">
        <v>50000000</v>
      </c>
      <c r="DT292" s="1162">
        <v>50000000</v>
      </c>
      <c r="DU292" s="1162">
        <v>50000000</v>
      </c>
      <c r="DV292" s="1162">
        <v>50000000</v>
      </c>
      <c r="DW292" s="1162">
        <v>50000000</v>
      </c>
      <c r="DX292" s="1162">
        <v>50000000</v>
      </c>
      <c r="DY292" s="1162">
        <v>50000000</v>
      </c>
      <c r="DZ292" s="1162">
        <v>50000000</v>
      </c>
      <c r="EA292" s="1162">
        <v>50000000</v>
      </c>
      <c r="EB292" s="1162">
        <v>50000000</v>
      </c>
      <c r="EC292" s="1162">
        <v>50000000</v>
      </c>
      <c r="ED292" s="1162">
        <v>50000000</v>
      </c>
      <c r="EE292" s="1119">
        <f t="shared" si="109"/>
        <v>600000000</v>
      </c>
      <c r="EF292" s="447"/>
      <c r="EG292" s="447"/>
      <c r="EH292" s="447"/>
      <c r="EI292" s="447"/>
    </row>
    <row r="293" spans="1:140" outlineLevel="2">
      <c r="A293" s="367" t="s">
        <v>159</v>
      </c>
      <c r="B293" s="378"/>
      <c r="C293" s="370" t="s">
        <v>358</v>
      </c>
      <c r="D293" s="297" t="s">
        <v>121</v>
      </c>
      <c r="E293" s="396" t="s">
        <v>592</v>
      </c>
      <c r="F293" s="380"/>
      <c r="G293" s="180"/>
      <c r="H293" s="1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181"/>
      <c r="U293" s="180"/>
      <c r="V293" s="13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181"/>
      <c r="AI293" s="180"/>
      <c r="AJ293" s="810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518">
        <f t="shared" si="104"/>
        <v>0</v>
      </c>
      <c r="AY293" s="181"/>
      <c r="AZ293" s="180"/>
      <c r="BA293" s="810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N293" s="19"/>
      <c r="BO293" s="810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799"/>
      <c r="CB293" s="19"/>
      <c r="CC293" s="810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791">
        <v>0</v>
      </c>
      <c r="CP293" s="649"/>
      <c r="CQ293" s="649"/>
      <c r="CR293" s="19"/>
      <c r="CS293" s="649"/>
      <c r="CT293" s="19"/>
      <c r="CU293" s="649"/>
      <c r="CV293" s="19"/>
      <c r="CW293" s="649"/>
      <c r="CX293" s="19"/>
      <c r="CY293" s="649"/>
      <c r="CZ293" s="19"/>
      <c r="DA293" s="649"/>
      <c r="DB293" s="19"/>
      <c r="DC293" s="649">
        <v>0</v>
      </c>
      <c r="DD293" s="19"/>
      <c r="DE293" s="6"/>
      <c r="DF293" s="19">
        <v>50000000</v>
      </c>
      <c r="DG293" s="755">
        <v>30000000</v>
      </c>
      <c r="DH293" s="6"/>
      <c r="DI293" s="19">
        <f>DI291</f>
        <v>50000000</v>
      </c>
      <c r="DJ293" s="755">
        <v>30000000</v>
      </c>
      <c r="DK293" s="6"/>
      <c r="DL293" s="19">
        <f>DK293</f>
        <v>0</v>
      </c>
      <c r="DM293" s="755">
        <v>30000000</v>
      </c>
      <c r="DN293" s="6"/>
      <c r="DO293" s="19">
        <f>DN293</f>
        <v>0</v>
      </c>
      <c r="DP293" s="755">
        <v>30000000</v>
      </c>
      <c r="DQ293" s="493">
        <f t="shared" si="110"/>
        <v>100000000</v>
      </c>
      <c r="DR293" s="479">
        <f t="shared" si="126"/>
        <v>120000000</v>
      </c>
      <c r="DS293" s="1162"/>
      <c r="DT293" s="1162"/>
      <c r="DU293" s="1162"/>
      <c r="DV293" s="1162"/>
      <c r="DW293" s="1162"/>
      <c r="DX293" s="1162"/>
      <c r="DY293" s="1162"/>
      <c r="DZ293" s="1162"/>
      <c r="EA293" s="1162"/>
      <c r="EB293" s="1162"/>
      <c r="EC293" s="1162"/>
      <c r="ED293" s="1162"/>
      <c r="EE293" s="1119">
        <f t="shared" si="109"/>
        <v>0</v>
      </c>
      <c r="EF293" s="447"/>
      <c r="EG293" s="447"/>
      <c r="EH293" s="447"/>
      <c r="EI293" s="447"/>
    </row>
    <row r="294" spans="1:140" ht="15" outlineLevel="2" thickBot="1">
      <c r="A294" s="367" t="s">
        <v>159</v>
      </c>
      <c r="B294" s="378"/>
      <c r="C294" s="370" t="s">
        <v>358</v>
      </c>
      <c r="D294" s="297" t="s">
        <v>121</v>
      </c>
      <c r="E294" s="396" t="s">
        <v>593</v>
      </c>
      <c r="F294" s="380"/>
      <c r="G294" s="180"/>
      <c r="H294" s="1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181"/>
      <c r="U294" s="180"/>
      <c r="V294" s="13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181"/>
      <c r="AI294" s="180"/>
      <c r="AJ294" s="810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518">
        <f t="shared" si="104"/>
        <v>0</v>
      </c>
      <c r="AY294" s="181"/>
      <c r="AZ294" s="180"/>
      <c r="BA294" s="810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N294" s="19"/>
      <c r="BO294" s="810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799"/>
      <c r="CB294" s="19"/>
      <c r="CC294" s="810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791">
        <v>0</v>
      </c>
      <c r="CP294" s="649"/>
      <c r="CQ294" s="649"/>
      <c r="CR294" s="19"/>
      <c r="CS294" s="649"/>
      <c r="CT294" s="19"/>
      <c r="CU294" s="649"/>
      <c r="CV294" s="19"/>
      <c r="CW294" s="649"/>
      <c r="CX294" s="19"/>
      <c r="CY294" s="649"/>
      <c r="CZ294" s="19">
        <v>20000000</v>
      </c>
      <c r="DA294" s="649"/>
      <c r="DB294" s="19">
        <f>CZ294</f>
        <v>20000000</v>
      </c>
      <c r="DC294" s="649">
        <v>0</v>
      </c>
      <c r="DD294" s="19">
        <f>DB294</f>
        <v>20000000</v>
      </c>
      <c r="DE294" s="6"/>
      <c r="DF294" s="19">
        <f>DE294</f>
        <v>0</v>
      </c>
      <c r="DG294" s="755">
        <f>DD294</f>
        <v>20000000</v>
      </c>
      <c r="DH294" s="6"/>
      <c r="DI294" s="19">
        <v>50000000</v>
      </c>
      <c r="DJ294" s="755">
        <f>DG294</f>
        <v>20000000</v>
      </c>
      <c r="DK294" s="6"/>
      <c r="DL294" s="19">
        <v>50000000</v>
      </c>
      <c r="DM294" s="755">
        <f>DJ294</f>
        <v>20000000</v>
      </c>
      <c r="DN294" s="6"/>
      <c r="DO294" s="19">
        <v>50000000</v>
      </c>
      <c r="DP294" s="755">
        <f>DM294</f>
        <v>20000000</v>
      </c>
      <c r="DQ294" s="493">
        <f t="shared" si="110"/>
        <v>150000000</v>
      </c>
      <c r="DR294" s="479">
        <f t="shared" si="126"/>
        <v>80000000</v>
      </c>
      <c r="DS294" s="1162"/>
      <c r="DT294" s="1162"/>
      <c r="DU294" s="1162"/>
      <c r="DV294" s="1162"/>
      <c r="DW294" s="1162"/>
      <c r="DX294" s="1162"/>
      <c r="DY294" s="1162"/>
      <c r="DZ294" s="1162"/>
      <c r="EA294" s="1162"/>
      <c r="EB294" s="1162"/>
      <c r="EC294" s="1162"/>
      <c r="ED294" s="1162"/>
      <c r="EE294" s="1119">
        <f t="shared" si="109"/>
        <v>0</v>
      </c>
      <c r="EF294" s="447"/>
      <c r="EG294" s="447"/>
      <c r="EH294" s="447"/>
      <c r="EI294" s="447"/>
    </row>
    <row r="295" spans="1:140" ht="15" outlineLevel="1" thickBot="1">
      <c r="B295" s="378"/>
      <c r="E295" s="392"/>
      <c r="F295" s="380"/>
      <c r="G295" s="20">
        <f t="shared" ref="G295:S295" si="127">SUM(G243:G287)</f>
        <v>0</v>
      </c>
      <c r="H295" s="21">
        <f t="shared" si="127"/>
        <v>0</v>
      </c>
      <c r="I295" s="20">
        <f t="shared" si="127"/>
        <v>0</v>
      </c>
      <c r="J295" s="20">
        <f t="shared" si="127"/>
        <v>0</v>
      </c>
      <c r="K295" s="20">
        <f t="shared" si="127"/>
        <v>0</v>
      </c>
      <c r="L295" s="20">
        <f t="shared" si="127"/>
        <v>0</v>
      </c>
      <c r="M295" s="20">
        <f t="shared" si="127"/>
        <v>140331500</v>
      </c>
      <c r="N295" s="20">
        <f t="shared" si="127"/>
        <v>146585200</v>
      </c>
      <c r="O295" s="20">
        <f t="shared" si="127"/>
        <v>161066500</v>
      </c>
      <c r="P295" s="20">
        <f t="shared" si="127"/>
        <v>143157675</v>
      </c>
      <c r="Q295" s="20">
        <f t="shared" si="127"/>
        <v>140548500</v>
      </c>
      <c r="R295" s="20">
        <f t="shared" si="127"/>
        <v>140259300</v>
      </c>
      <c r="S295" s="20">
        <f t="shared" si="127"/>
        <v>871948675</v>
      </c>
      <c r="T295" s="12"/>
      <c r="U295" s="20">
        <f t="shared" ref="U295:AG295" si="128">SUM(U243:U287)</f>
        <v>140942500</v>
      </c>
      <c r="V295" s="21">
        <f t="shared" si="128"/>
        <v>401589633</v>
      </c>
      <c r="W295" s="20">
        <f t="shared" si="128"/>
        <v>263986570</v>
      </c>
      <c r="X295" s="20">
        <f t="shared" si="128"/>
        <v>186306181</v>
      </c>
      <c r="Y295" s="20">
        <f t="shared" si="128"/>
        <v>-875917</v>
      </c>
      <c r="Z295" s="20">
        <f t="shared" si="128"/>
        <v>166221744</v>
      </c>
      <c r="AA295" s="20">
        <f t="shared" si="128"/>
        <v>174989744</v>
      </c>
      <c r="AB295" s="20">
        <f t="shared" si="128"/>
        <v>177597567</v>
      </c>
      <c r="AC295" s="20">
        <f t="shared" si="128"/>
        <v>861883744</v>
      </c>
      <c r="AD295" s="20">
        <f t="shared" si="128"/>
        <v>46401556</v>
      </c>
      <c r="AE295" s="20">
        <f t="shared" si="128"/>
        <v>1442963687</v>
      </c>
      <c r="AF295" s="20">
        <f t="shared" si="128"/>
        <v>1364102925</v>
      </c>
      <c r="AG295" s="472">
        <f t="shared" si="128"/>
        <v>5226109934</v>
      </c>
      <c r="AH295" s="807"/>
      <c r="AI295" s="472">
        <f t="shared" ref="AI295:AW295" si="129">SUM(AI243:AI287)</f>
        <v>1308254023</v>
      </c>
      <c r="AJ295" s="825">
        <f t="shared" si="129"/>
        <v>1151876638</v>
      </c>
      <c r="AK295" s="472">
        <f t="shared" si="129"/>
        <v>1445378961</v>
      </c>
      <c r="AL295" s="472">
        <f t="shared" si="129"/>
        <v>957314734</v>
      </c>
      <c r="AM295" s="472">
        <f t="shared" si="129"/>
        <v>667065241</v>
      </c>
      <c r="AN295" s="472">
        <f t="shared" si="129"/>
        <v>1121998833</v>
      </c>
      <c r="AO295" s="472">
        <f t="shared" si="129"/>
        <v>1334670728</v>
      </c>
      <c r="AP295" s="472">
        <f t="shared" si="129"/>
        <v>1352042332</v>
      </c>
      <c r="AQ295" s="472">
        <f t="shared" si="129"/>
        <v>1445491977</v>
      </c>
      <c r="AR295" s="472">
        <f t="shared" si="129"/>
        <v>1220009001</v>
      </c>
      <c r="AS295" s="472">
        <f t="shared" si="129"/>
        <v>1417513884</v>
      </c>
      <c r="AT295" s="472">
        <f t="shared" si="129"/>
        <v>1691905478</v>
      </c>
      <c r="AU295" s="472">
        <f t="shared" si="129"/>
        <v>1479685318</v>
      </c>
      <c r="AV295" s="472">
        <f t="shared" si="129"/>
        <v>1497685318</v>
      </c>
      <c r="AW295" s="472">
        <f t="shared" si="129"/>
        <v>1392685318</v>
      </c>
      <c r="AX295" s="472">
        <f>SUM(AX243:AX294)</f>
        <v>15113521830</v>
      </c>
      <c r="AY295" s="807"/>
      <c r="AZ295" s="472">
        <f t="shared" ref="AZ295:BL295" si="130">SUM(AZ243:AZ287)</f>
        <v>1308254023</v>
      </c>
      <c r="BA295" s="825">
        <f t="shared" si="130"/>
        <v>1151876638</v>
      </c>
      <c r="BB295" s="472">
        <f t="shared" si="130"/>
        <v>1445378961</v>
      </c>
      <c r="BC295" s="472">
        <f t="shared" si="130"/>
        <v>957314734</v>
      </c>
      <c r="BD295" s="472">
        <f t="shared" si="130"/>
        <v>667065241</v>
      </c>
      <c r="BE295" s="472">
        <f t="shared" si="130"/>
        <v>1121998833</v>
      </c>
      <c r="BF295" s="472">
        <f t="shared" si="130"/>
        <v>1334670728</v>
      </c>
      <c r="BG295" s="472">
        <f t="shared" si="130"/>
        <v>1352042332</v>
      </c>
      <c r="BH295" s="472">
        <f t="shared" si="130"/>
        <v>1288319474</v>
      </c>
      <c r="BI295" s="472">
        <f t="shared" si="130"/>
        <v>1300319474</v>
      </c>
      <c r="BJ295" s="472">
        <f t="shared" si="130"/>
        <v>1318319474</v>
      </c>
      <c r="BK295" s="472">
        <f t="shared" si="130"/>
        <v>1213319474</v>
      </c>
      <c r="BL295" s="472">
        <f t="shared" si="130"/>
        <v>14458879386</v>
      </c>
      <c r="BN295" s="472">
        <f t="shared" ref="BN295:BX295" si="131">BN242+BN273+BN282</f>
        <v>1426365844</v>
      </c>
      <c r="BO295" s="472">
        <f t="shared" si="131"/>
        <v>1426365844</v>
      </c>
      <c r="BP295" s="472">
        <f t="shared" si="131"/>
        <v>1572965844</v>
      </c>
      <c r="BQ295" s="472">
        <f t="shared" si="131"/>
        <v>1572965844</v>
      </c>
      <c r="BR295" s="472">
        <f t="shared" si="131"/>
        <v>1489510967.4000001</v>
      </c>
      <c r="BS295" s="472">
        <f t="shared" si="131"/>
        <v>1572965844</v>
      </c>
      <c r="BT295" s="472">
        <f t="shared" si="131"/>
        <v>1628602428.4000001</v>
      </c>
      <c r="BU295" s="472">
        <f t="shared" si="131"/>
        <v>1628602428.4000001</v>
      </c>
      <c r="BV295" s="472">
        <f t="shared" si="131"/>
        <v>1628602428.4000001</v>
      </c>
      <c r="BW295" s="472">
        <f t="shared" si="131"/>
        <v>1628602428.4000001</v>
      </c>
      <c r="BX295" s="472">
        <f t="shared" si="131"/>
        <v>1628602428.4000001</v>
      </c>
      <c r="BY295" s="472">
        <f>BY242+BY273+BY282</f>
        <v>1628602428.4000001</v>
      </c>
      <c r="BZ295" s="472">
        <f>BZ242+BZ273+BZ282</f>
        <v>18832754757.799999</v>
      </c>
      <c r="CB295" s="472">
        <f t="shared" ref="CB295:CN295" si="132">CB242+CB273+CB282</f>
        <v>1426365844</v>
      </c>
      <c r="CC295" s="472">
        <f t="shared" si="132"/>
        <v>1426365844</v>
      </c>
      <c r="CD295" s="472">
        <f t="shared" si="132"/>
        <v>1572965844</v>
      </c>
      <c r="CE295" s="472">
        <f t="shared" si="132"/>
        <v>1572965844</v>
      </c>
      <c r="CF295" s="472">
        <f t="shared" si="132"/>
        <v>1489510967.4000001</v>
      </c>
      <c r="CG295" s="472">
        <f t="shared" si="132"/>
        <v>1572965844</v>
      </c>
      <c r="CH295" s="472">
        <f t="shared" si="132"/>
        <v>1628602428.4000001</v>
      </c>
      <c r="CI295" s="472">
        <f t="shared" si="132"/>
        <v>1628602428.4000001</v>
      </c>
      <c r="CJ295" s="472">
        <f t="shared" si="132"/>
        <v>1628602428.4000001</v>
      </c>
      <c r="CK295" s="472">
        <f t="shared" si="132"/>
        <v>1628602428.4000001</v>
      </c>
      <c r="CL295" s="472">
        <f t="shared" si="132"/>
        <v>1628602428.4000001</v>
      </c>
      <c r="CM295" s="472">
        <f t="shared" si="132"/>
        <v>1628602428.4000001</v>
      </c>
      <c r="CN295" s="472">
        <f t="shared" si="132"/>
        <v>18832754757.799999</v>
      </c>
      <c r="CP295" s="472">
        <f t="shared" ref="CP295:DR295" si="133">CP242+CP273+CP282</f>
        <v>1533766279</v>
      </c>
      <c r="CQ295" s="472">
        <f t="shared" si="133"/>
        <v>1515123883</v>
      </c>
      <c r="CR295" s="469">
        <f t="shared" si="133"/>
        <v>1426575051</v>
      </c>
      <c r="CS295" s="472">
        <f t="shared" si="133"/>
        <v>1095505962</v>
      </c>
      <c r="CT295" s="469">
        <f t="shared" si="133"/>
        <v>1523000000</v>
      </c>
      <c r="CU295" s="472">
        <f t="shared" si="133"/>
        <v>976202565</v>
      </c>
      <c r="CV295" s="469">
        <f t="shared" si="133"/>
        <v>1433000000</v>
      </c>
      <c r="CW295" s="472">
        <f t="shared" si="133"/>
        <v>830950033</v>
      </c>
      <c r="CX295" s="469">
        <f t="shared" si="133"/>
        <v>994500000</v>
      </c>
      <c r="CY295" s="472">
        <f t="shared" si="133"/>
        <v>1358560603</v>
      </c>
      <c r="CZ295" s="469">
        <f t="shared" si="133"/>
        <v>1345000000</v>
      </c>
      <c r="DA295" s="472">
        <f t="shared" si="133"/>
        <v>869446146</v>
      </c>
      <c r="DB295" s="469">
        <f t="shared" si="133"/>
        <v>1780000000</v>
      </c>
      <c r="DC295" s="472">
        <f t="shared" si="133"/>
        <v>1203626442</v>
      </c>
      <c r="DD295" s="469">
        <f t="shared" si="133"/>
        <v>2020000000</v>
      </c>
      <c r="DE295" s="472">
        <f t="shared" si="133"/>
        <v>0</v>
      </c>
      <c r="DF295" s="469">
        <f>DF242+DF273+DF282</f>
        <v>271613790</v>
      </c>
      <c r="DG295" s="472">
        <f t="shared" si="133"/>
        <v>1975000000</v>
      </c>
      <c r="DH295" s="472">
        <f t="shared" si="133"/>
        <v>0</v>
      </c>
      <c r="DI295" s="469">
        <f>DI242+DI273+DI282</f>
        <v>311613790</v>
      </c>
      <c r="DJ295" s="472">
        <f t="shared" si="133"/>
        <v>2025000000</v>
      </c>
      <c r="DK295" s="472">
        <f t="shared" si="133"/>
        <v>0</v>
      </c>
      <c r="DL295" s="469">
        <f>DL242+DL273+DL282</f>
        <v>211613790</v>
      </c>
      <c r="DM295" s="472">
        <f>DM242+DM273+DM282</f>
        <v>2015000000</v>
      </c>
      <c r="DN295" s="472">
        <f t="shared" si="133"/>
        <v>0</v>
      </c>
      <c r="DO295" s="469">
        <f>DO242+DO273+DO282</f>
        <v>241613790</v>
      </c>
      <c r="DP295" s="472">
        <f t="shared" si="133"/>
        <v>1995000000</v>
      </c>
      <c r="DQ295" s="472">
        <f t="shared" si="133"/>
        <v>10419637073</v>
      </c>
      <c r="DR295" s="472">
        <f t="shared" si="133"/>
        <v>17393181913</v>
      </c>
      <c r="DS295" s="1167">
        <f>DS242+DS273+DS282</f>
        <v>1638500000</v>
      </c>
      <c r="DT295" s="1167">
        <f t="shared" ref="DT295:EI295" si="134">DT242+DT273+DT282</f>
        <v>1648500000</v>
      </c>
      <c r="DU295" s="1167">
        <f t="shared" si="134"/>
        <v>1588500000</v>
      </c>
      <c r="DV295" s="1167">
        <f t="shared" si="134"/>
        <v>1266500000</v>
      </c>
      <c r="DW295" s="1167">
        <f t="shared" si="134"/>
        <v>1316500000</v>
      </c>
      <c r="DX295" s="1167">
        <f t="shared" si="134"/>
        <v>1628500000</v>
      </c>
      <c r="DY295" s="1167">
        <f t="shared" si="134"/>
        <v>1328500000</v>
      </c>
      <c r="DZ295" s="1167">
        <f t="shared" si="134"/>
        <v>1328500000</v>
      </c>
      <c r="EA295" s="1167">
        <f t="shared" si="134"/>
        <v>1628500000</v>
      </c>
      <c r="EB295" s="1167">
        <f t="shared" si="134"/>
        <v>1328500000</v>
      </c>
      <c r="EC295" s="1167">
        <f t="shared" si="134"/>
        <v>1328500000</v>
      </c>
      <c r="ED295" s="1167">
        <f t="shared" si="134"/>
        <v>1628500000</v>
      </c>
      <c r="EE295" s="1126">
        <f t="shared" si="134"/>
        <v>17658000000</v>
      </c>
      <c r="EF295" s="1012">
        <f t="shared" si="134"/>
        <v>17888348952.867775</v>
      </c>
      <c r="EG295" s="1012">
        <f t="shared" si="134"/>
        <v>30226010678.453247</v>
      </c>
      <c r="EH295" s="1012">
        <f t="shared" si="134"/>
        <v>42531877317.969986</v>
      </c>
      <c r="EI295" s="1012">
        <f t="shared" si="134"/>
        <v>42699965938.929985</v>
      </c>
      <c r="EJ295" s="367" t="e">
        <v>#N/A</v>
      </c>
    </row>
    <row r="296" spans="1:140" outlineLevel="1">
      <c r="B296" s="378"/>
      <c r="E296" s="392"/>
      <c r="F296" s="380"/>
      <c r="G296" s="180"/>
      <c r="H296" s="1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181"/>
      <c r="U296" s="180"/>
      <c r="V296" s="13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181"/>
      <c r="AI296" s="180"/>
      <c r="AJ296" s="810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521">
        <v>192565844</v>
      </c>
      <c r="AV296" s="521">
        <v>192565844</v>
      </c>
      <c r="AW296" s="521">
        <v>192565844</v>
      </c>
      <c r="AX296" s="6"/>
      <c r="AY296" s="181"/>
      <c r="AZ296" s="180"/>
      <c r="BA296" s="810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N296" s="521">
        <v>192565844</v>
      </c>
      <c r="BO296" s="521">
        <v>192565844</v>
      </c>
      <c r="BP296" s="521">
        <v>192565844</v>
      </c>
      <c r="BQ296" s="521">
        <v>192565844</v>
      </c>
      <c r="BR296" s="521">
        <v>164910967.40000001</v>
      </c>
      <c r="BS296" s="521">
        <v>192565844</v>
      </c>
      <c r="BT296" s="521">
        <v>211002428.40000001</v>
      </c>
      <c r="BU296" s="521">
        <v>211002428.40000001</v>
      </c>
      <c r="BV296" s="521">
        <v>211002428.40000001</v>
      </c>
      <c r="BW296" s="521">
        <v>211002428.40000001</v>
      </c>
      <c r="BX296" s="521">
        <v>211002428.40000001</v>
      </c>
      <c r="BY296" s="521">
        <v>211002428.40000001</v>
      </c>
      <c r="BZ296" s="826">
        <v>2393754757.8000007</v>
      </c>
      <c r="CB296" s="521">
        <v>287685844</v>
      </c>
      <c r="CC296" s="521">
        <v>292851844</v>
      </c>
      <c r="CD296" s="521">
        <v>298276144</v>
      </c>
      <c r="CE296" s="521">
        <v>303971659</v>
      </c>
      <c r="CF296" s="521" t="e">
        <v>#REF!</v>
      </c>
      <c r="CG296" s="521" t="e">
        <v>#REF!</v>
      </c>
      <c r="CH296" s="521" t="e">
        <v>#REF!</v>
      </c>
      <c r="CI296" s="521" t="e">
        <v>#REF!</v>
      </c>
      <c r="CJ296" s="521" t="e">
        <v>#REF!</v>
      </c>
      <c r="CK296" s="521" t="e">
        <v>#REF!</v>
      </c>
      <c r="CL296" s="521" t="e">
        <v>#REF!</v>
      </c>
      <c r="CM296" s="521" t="e">
        <v>#REF!</v>
      </c>
      <c r="CN296" s="521"/>
      <c r="CP296" s="521"/>
      <c r="CQ296" s="521"/>
      <c r="CR296" s="521"/>
      <c r="CS296" s="521"/>
      <c r="CT296" s="521"/>
      <c r="CU296" s="521"/>
      <c r="CV296" s="521"/>
      <c r="CW296" s="521"/>
      <c r="CX296" s="521"/>
      <c r="CY296" s="521"/>
      <c r="CZ296" s="521"/>
      <c r="DA296" s="521"/>
      <c r="DB296" s="521"/>
      <c r="DC296" s="521"/>
      <c r="DD296" s="521"/>
      <c r="DE296" s="521"/>
      <c r="DF296" s="521"/>
      <c r="DG296" s="753"/>
      <c r="DH296" s="521"/>
      <c r="DI296" s="521"/>
      <c r="DJ296" s="753"/>
      <c r="DK296" s="521"/>
      <c r="DL296" s="521"/>
      <c r="DM296" s="753"/>
      <c r="DN296" s="521"/>
      <c r="DO296" s="521"/>
      <c r="DP296" s="753"/>
      <c r="DQ296" s="487"/>
      <c r="DR296" s="507"/>
      <c r="DS296" s="1165"/>
      <c r="DT296" s="1165"/>
      <c r="DU296" s="1165"/>
      <c r="DV296" s="1165"/>
      <c r="DW296" s="1165"/>
      <c r="DX296" s="1165"/>
      <c r="DY296" s="1165"/>
      <c r="DZ296" s="1165"/>
      <c r="EA296" s="1165"/>
      <c r="EB296" s="1165"/>
      <c r="EC296" s="1165"/>
      <c r="ED296" s="1165"/>
      <c r="EE296" s="1127"/>
      <c r="EF296" s="1013"/>
      <c r="EG296" s="1013"/>
      <c r="EH296" s="1013"/>
      <c r="EI296" s="1013"/>
      <c r="EJ296" s="367" t="e">
        <v>#N/A</v>
      </c>
    </row>
    <row r="297" spans="1:140" outlineLevel="1">
      <c r="B297" s="402" t="s">
        <v>594</v>
      </c>
      <c r="C297" s="368"/>
      <c r="D297" s="368"/>
      <c r="E297" s="379"/>
      <c r="F297" s="380"/>
      <c r="G297" s="182"/>
      <c r="H297" s="1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181"/>
      <c r="U297" s="182"/>
      <c r="V297" s="13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181"/>
      <c r="AI297" s="182"/>
      <c r="AJ297" s="810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181"/>
      <c r="AZ297" s="182"/>
      <c r="BA297" s="810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N297" s="473">
        <f t="shared" ref="BN297:BY297" si="135">SUM(BN299:BN342)</f>
        <v>2013623511.5999999</v>
      </c>
      <c r="BO297" s="473">
        <f t="shared" si="135"/>
        <v>2013623511.5999999</v>
      </c>
      <c r="BP297" s="473">
        <f t="shared" si="135"/>
        <v>2013623511.5999999</v>
      </c>
      <c r="BQ297" s="473">
        <f t="shared" si="135"/>
        <v>2089923514</v>
      </c>
      <c r="BR297" s="473">
        <f t="shared" si="135"/>
        <v>1787684986.9000001</v>
      </c>
      <c r="BS297" s="473">
        <f t="shared" si="135"/>
        <v>1953623511.5999999</v>
      </c>
      <c r="BT297" s="473">
        <f t="shared" si="135"/>
        <v>2013623511.5999999</v>
      </c>
      <c r="BU297" s="473">
        <f t="shared" si="135"/>
        <v>2013623511.5999999</v>
      </c>
      <c r="BV297" s="473">
        <f t="shared" si="135"/>
        <v>2013623511.5999999</v>
      </c>
      <c r="BW297" s="473">
        <f t="shared" si="135"/>
        <v>2033623511.5999999</v>
      </c>
      <c r="BX297" s="473">
        <f t="shared" si="135"/>
        <v>2068623511.5999999</v>
      </c>
      <c r="BY297" s="473">
        <f t="shared" si="135"/>
        <v>2015623511.5999999</v>
      </c>
      <c r="BZ297" s="473">
        <f>SUM(BZ299:BZ342)</f>
        <v>24030843616.900002</v>
      </c>
      <c r="CB297" s="473">
        <f t="shared" ref="CB297:CM297" si="136">SUM(CB299:CB342)</f>
        <v>2013623511.5999999</v>
      </c>
      <c r="CC297" s="473">
        <f t="shared" si="136"/>
        <v>2013623511.5999999</v>
      </c>
      <c r="CD297" s="473">
        <f t="shared" si="136"/>
        <v>2013623511.5999999</v>
      </c>
      <c r="CE297" s="473">
        <f t="shared" si="136"/>
        <v>2089923514</v>
      </c>
      <c r="CF297" s="473">
        <f t="shared" si="136"/>
        <v>1787684986.9000001</v>
      </c>
      <c r="CG297" s="473">
        <f t="shared" si="136"/>
        <v>1953623511.5999999</v>
      </c>
      <c r="CH297" s="473">
        <f t="shared" si="136"/>
        <v>2013623511.5999999</v>
      </c>
      <c r="CI297" s="473">
        <f t="shared" si="136"/>
        <v>2013623511.5999999</v>
      </c>
      <c r="CJ297" s="473">
        <f t="shared" si="136"/>
        <v>2013623511.5999999</v>
      </c>
      <c r="CK297" s="473">
        <f t="shared" si="136"/>
        <v>2033623511.5999999</v>
      </c>
      <c r="CL297" s="473">
        <f t="shared" si="136"/>
        <v>2068623511.5999999</v>
      </c>
      <c r="CM297" s="473">
        <f t="shared" si="136"/>
        <v>2015623511.5999999</v>
      </c>
      <c r="CN297" s="473">
        <f>SUM(CN299:CN342)</f>
        <v>24030843616.900002</v>
      </c>
      <c r="CP297" s="473">
        <f>SUM(CP299:CP342)</f>
        <v>1557937303</v>
      </c>
      <c r="CQ297" s="473">
        <f t="shared" ref="CQ297:DP297" si="137">SUM(CQ299:CQ342)</f>
        <v>1669161940</v>
      </c>
      <c r="CR297" s="473">
        <f t="shared" si="137"/>
        <v>1470000000</v>
      </c>
      <c r="CS297" s="473">
        <f t="shared" si="137"/>
        <v>2170731256</v>
      </c>
      <c r="CT297" s="473">
        <f t="shared" si="137"/>
        <v>1987700000</v>
      </c>
      <c r="CU297" s="473">
        <f>SUM(CU299:CU342)</f>
        <v>1962387768</v>
      </c>
      <c r="CV297" s="473">
        <f t="shared" si="137"/>
        <v>2011500000</v>
      </c>
      <c r="CW297" s="473">
        <f t="shared" si="137"/>
        <v>1944043129</v>
      </c>
      <c r="CX297" s="473">
        <f t="shared" si="137"/>
        <v>1496500000</v>
      </c>
      <c r="CY297" s="473">
        <f t="shared" si="137"/>
        <v>2260924385</v>
      </c>
      <c r="CZ297" s="473">
        <f t="shared" si="137"/>
        <v>2636500000</v>
      </c>
      <c r="DA297" s="473">
        <f t="shared" si="137"/>
        <v>2000556566</v>
      </c>
      <c r="DB297" s="473">
        <f t="shared" si="137"/>
        <v>2576500000</v>
      </c>
      <c r="DC297" s="473">
        <f t="shared" si="137"/>
        <v>2594512227</v>
      </c>
      <c r="DD297" s="473">
        <f t="shared" si="137"/>
        <v>2601500000</v>
      </c>
      <c r="DE297" s="473">
        <f t="shared" si="137"/>
        <v>0</v>
      </c>
      <c r="DF297" s="473">
        <f>SUM(DF299:DF342)</f>
        <v>2401500000</v>
      </c>
      <c r="DG297" s="473">
        <f t="shared" si="137"/>
        <v>2294000000</v>
      </c>
      <c r="DH297" s="473">
        <f t="shared" si="137"/>
        <v>0</v>
      </c>
      <c r="DI297" s="473">
        <f>SUM(DI299:DI342)</f>
        <v>2481500000</v>
      </c>
      <c r="DJ297" s="473">
        <f t="shared" si="137"/>
        <v>2429000000</v>
      </c>
      <c r="DK297" s="473">
        <f t="shared" si="137"/>
        <v>0</v>
      </c>
      <c r="DL297" s="473">
        <f>SUM(DL299:DL342)</f>
        <v>2686500000</v>
      </c>
      <c r="DM297" s="473">
        <f>SUM(DM299:DM342)</f>
        <v>2609000000</v>
      </c>
      <c r="DN297" s="473">
        <f t="shared" si="137"/>
        <v>0</v>
      </c>
      <c r="DO297" s="473">
        <f>SUM(DO299:DO342)</f>
        <v>2741500000</v>
      </c>
      <c r="DP297" s="473">
        <f t="shared" si="137"/>
        <v>2614000000</v>
      </c>
      <c r="DQ297" s="473">
        <f>SUM(DQ299:DQ344)</f>
        <v>26471254574</v>
      </c>
      <c r="DR297" s="473">
        <f>SUM(DR299:DR344)</f>
        <v>26106254574</v>
      </c>
      <c r="DS297" s="1166">
        <f>SUM(DS299:DS344)</f>
        <v>2380000000</v>
      </c>
      <c r="DT297" s="1166">
        <f t="shared" ref="DT297:EI297" si="138">SUM(DT299:DT344)</f>
        <v>2380000000</v>
      </c>
      <c r="DU297" s="1166">
        <f t="shared" si="138"/>
        <v>2480000000</v>
      </c>
      <c r="DV297" s="1166">
        <f t="shared" si="138"/>
        <v>2420000000</v>
      </c>
      <c r="DW297" s="1166">
        <f t="shared" si="138"/>
        <v>2320000000</v>
      </c>
      <c r="DX297" s="1166">
        <f t="shared" si="138"/>
        <v>2330000000</v>
      </c>
      <c r="DY297" s="1166">
        <f t="shared" si="138"/>
        <v>2350000000</v>
      </c>
      <c r="DZ297" s="1166">
        <f t="shared" si="138"/>
        <v>2350000000</v>
      </c>
      <c r="EA297" s="1166">
        <f t="shared" si="138"/>
        <v>2450000000</v>
      </c>
      <c r="EB297" s="1166">
        <f t="shared" si="138"/>
        <v>2450000000</v>
      </c>
      <c r="EC297" s="1166">
        <f t="shared" si="138"/>
        <v>2500000000</v>
      </c>
      <c r="ED297" s="1166">
        <f t="shared" si="138"/>
        <v>2500000000</v>
      </c>
      <c r="EE297" s="1128">
        <f t="shared" si="138"/>
        <v>28910000000</v>
      </c>
      <c r="EF297" s="1014">
        <f t="shared" si="138"/>
        <v>29561745710.187241</v>
      </c>
      <c r="EG297" s="1014">
        <f t="shared" si="138"/>
        <v>36240007231.395851</v>
      </c>
      <c r="EH297" s="1014">
        <f t="shared" si="138"/>
        <v>45430611120.079353</v>
      </c>
      <c r="EI297" s="1014">
        <f t="shared" si="138"/>
        <v>46688590584.079353</v>
      </c>
      <c r="EJ297" s="367" t="e">
        <v>#N/A</v>
      </c>
    </row>
    <row r="298" spans="1:140" outlineLevel="2">
      <c r="A298" s="367" t="s">
        <v>192</v>
      </c>
      <c r="B298" s="378"/>
      <c r="C298" s="370" t="s">
        <v>358</v>
      </c>
      <c r="E298" s="396" t="s">
        <v>383</v>
      </c>
      <c r="F298" s="380">
        <v>8000000020</v>
      </c>
      <c r="G298" s="14">
        <v>2186391</v>
      </c>
      <c r="H298" s="14">
        <v>6618240</v>
      </c>
      <c r="I298" s="14">
        <v>4644265</v>
      </c>
      <c r="J298" s="14">
        <v>5642544</v>
      </c>
      <c r="K298" s="14">
        <v>6067692</v>
      </c>
      <c r="L298" s="14">
        <v>4886151</v>
      </c>
      <c r="M298" s="14">
        <v>3815182</v>
      </c>
      <c r="N298" s="14">
        <v>0</v>
      </c>
      <c r="O298" s="14">
        <v>5419230</v>
      </c>
      <c r="P298" s="14">
        <v>3964581</v>
      </c>
      <c r="Q298" s="14">
        <v>7300069</v>
      </c>
      <c r="R298" s="14">
        <v>9711475</v>
      </c>
      <c r="S298" s="14">
        <f>SUM(G298,H298,I298,J298,K298,L298,M298,N298,O298,P298,Q298,R298)</f>
        <v>60255820</v>
      </c>
      <c r="T298" s="15"/>
      <c r="U298" s="14">
        <v>6170728</v>
      </c>
      <c r="V298" s="14">
        <v>8449018</v>
      </c>
      <c r="W298" s="14">
        <v>9327728</v>
      </c>
      <c r="X298" s="14">
        <v>9003000</v>
      </c>
      <c r="Y298" s="14">
        <v>7518863</v>
      </c>
      <c r="Z298" s="14">
        <v>5140998</v>
      </c>
      <c r="AA298" s="14">
        <v>14181000</v>
      </c>
      <c r="AB298" s="14">
        <v>12303000</v>
      </c>
      <c r="AC298" s="14">
        <v>12009979</v>
      </c>
      <c r="AD298" s="14">
        <v>11545000</v>
      </c>
      <c r="AE298" s="14">
        <v>10327998</v>
      </c>
      <c r="AF298" s="14">
        <v>2911000</v>
      </c>
      <c r="AG298" s="759">
        <f>SUM(U298,V298,W298,X298,Y298,Z298,AA298,AB298,AC298,AD298,AE298,AF298)</f>
        <v>108888312</v>
      </c>
      <c r="AH298" s="811"/>
      <c r="AI298" s="759"/>
      <c r="AJ298" s="810"/>
      <c r="AK298" s="758"/>
      <c r="AL298" s="758"/>
      <c r="AM298" s="758"/>
      <c r="AN298" s="758"/>
      <c r="AO298" s="758"/>
      <c r="AP298" s="758"/>
      <c r="AQ298" s="518">
        <v>0</v>
      </c>
      <c r="AR298" s="518"/>
      <c r="AS298" s="518"/>
      <c r="AT298" s="518"/>
      <c r="AU298" s="518"/>
      <c r="AV298" s="518"/>
      <c r="AW298" s="518"/>
      <c r="AX298" s="518">
        <f t="shared" ref="AX298:AX344" si="139">SUM(AI298,AJ298,AK298,AL298,AM298,AN298,AO298,AP298,AQ298,AR298,AS298,AT298)</f>
        <v>0</v>
      </c>
      <c r="AY298" s="811"/>
      <c r="AZ298" s="759"/>
      <c r="BA298" s="810"/>
      <c r="BB298" s="758"/>
      <c r="BC298" s="758"/>
      <c r="BD298" s="758"/>
      <c r="BE298" s="758"/>
      <c r="BF298" s="758"/>
      <c r="BG298" s="518">
        <f>AP298</f>
        <v>0</v>
      </c>
      <c r="BH298" s="758"/>
      <c r="BI298" s="758"/>
      <c r="BJ298" s="758"/>
      <c r="BK298" s="758"/>
      <c r="BL298" s="518">
        <f>SUM(AZ298,BA298,BB298,BC298,BD298,BE298,BF298,BG298,BH298,BI298,BJ298,BK298)</f>
        <v>0</v>
      </c>
      <c r="BN298" s="758"/>
      <c r="BO298" s="758"/>
      <c r="BP298" s="758"/>
      <c r="BQ298" s="758"/>
      <c r="BR298" s="758">
        <f>BQ298*0.85</f>
        <v>0</v>
      </c>
      <c r="BS298" s="758"/>
      <c r="BT298" s="758"/>
      <c r="BU298" s="758"/>
      <c r="BV298" s="758"/>
      <c r="BW298" s="758"/>
      <c r="BX298" s="758"/>
      <c r="BY298" s="758"/>
      <c r="BZ298" s="791">
        <v>0</v>
      </c>
      <c r="CB298" s="758"/>
      <c r="CC298" s="758"/>
      <c r="CD298" s="758"/>
      <c r="CE298" s="758"/>
      <c r="CF298" s="758">
        <f>CE298*0.85</f>
        <v>0</v>
      </c>
      <c r="CG298" s="758"/>
      <c r="CH298" s="758"/>
      <c r="CI298" s="758"/>
      <c r="CJ298" s="758"/>
      <c r="CK298" s="758"/>
      <c r="CL298" s="758"/>
      <c r="CM298" s="758"/>
      <c r="CN298" s="791">
        <v>0</v>
      </c>
      <c r="CP298" s="653"/>
      <c r="CQ298" s="653"/>
      <c r="CR298" s="524"/>
      <c r="CS298" s="653"/>
      <c r="CT298" s="524"/>
      <c r="CU298" s="653"/>
      <c r="CV298" s="524"/>
      <c r="CW298" s="653"/>
      <c r="CX298" s="524"/>
      <c r="CY298" s="653"/>
      <c r="CZ298" s="524"/>
      <c r="DA298" s="653"/>
      <c r="DB298" s="524"/>
      <c r="DC298" s="653">
        <v>0</v>
      </c>
      <c r="DD298" s="524"/>
      <c r="DE298" s="758"/>
      <c r="DF298" s="524"/>
      <c r="DG298" s="757"/>
      <c r="DH298" s="758"/>
      <c r="DI298" s="524"/>
      <c r="DJ298" s="757"/>
      <c r="DK298" s="758"/>
      <c r="DL298" s="524"/>
      <c r="DM298" s="757"/>
      <c r="DN298" s="758"/>
      <c r="DO298" s="524"/>
      <c r="DP298" s="757"/>
      <c r="DQ298" s="493">
        <f t="shared" ref="DQ298:DQ344" si="140">SUM(CP298,CQ298,CS298,CU298,CW298,CY298,DA298,DC298,DF298,DI298,DL298,DO298)</f>
        <v>0</v>
      </c>
      <c r="DR298" s="479">
        <f t="shared" ref="DR298:DR344" si="141">SUM(CP298,CQ298,CS298,CU298,CW298,CY298,DA298,DC298,DG298,DJ298,DM298,DP298)</f>
        <v>0</v>
      </c>
      <c r="DS298" s="1019"/>
      <c r="DT298" s="1019"/>
      <c r="DU298" s="1019"/>
      <c r="DV298" s="1019"/>
      <c r="DW298" s="1019"/>
      <c r="DX298" s="1019"/>
      <c r="DY298" s="1019"/>
      <c r="DZ298" s="1019"/>
      <c r="EA298" s="1019"/>
      <c r="EB298" s="1019"/>
      <c r="EC298" s="1019"/>
      <c r="ED298" s="1019"/>
      <c r="EE298" s="1119">
        <f t="shared" ref="EE298:EE361" si="142">SUM(DS298,DT298,DU298,DV298,DW298,DX298,DY298,DZ298,EA298,EB298,EC298,ED298)</f>
        <v>0</v>
      </c>
      <c r="EF298" s="443">
        <f>EE298*1.17</f>
        <v>0</v>
      </c>
      <c r="EG298" s="443">
        <f>EF298*1.08</f>
        <v>0</v>
      </c>
      <c r="EH298" s="443">
        <f>EG298*1.09</f>
        <v>0</v>
      </c>
      <c r="EI298" s="443">
        <f>EH298*1.09</f>
        <v>0</v>
      </c>
      <c r="EJ298" s="367">
        <v>8000000020</v>
      </c>
    </row>
    <row r="299" spans="1:140" outlineLevel="2">
      <c r="A299" s="367" t="s">
        <v>194</v>
      </c>
      <c r="B299" s="378"/>
      <c r="C299" s="370" t="s">
        <v>358</v>
      </c>
      <c r="D299" s="370" t="s">
        <v>40</v>
      </c>
      <c r="E299" s="396" t="s">
        <v>595</v>
      </c>
      <c r="F299" s="380">
        <v>3000019373</v>
      </c>
      <c r="G299" s="188"/>
      <c r="H299" s="13"/>
      <c r="I299" s="185"/>
      <c r="J299" s="185"/>
      <c r="K299" s="185"/>
      <c r="L299" s="185"/>
      <c r="M299" s="185"/>
      <c r="N299" s="185"/>
      <c r="O299" s="185"/>
      <c r="P299" s="185"/>
      <c r="Q299" s="185"/>
      <c r="R299" s="185"/>
      <c r="S299" s="14"/>
      <c r="T299" s="179"/>
      <c r="U299" s="188"/>
      <c r="V299" s="13"/>
      <c r="W299" s="185"/>
      <c r="X299" s="185"/>
      <c r="Y299" s="185"/>
      <c r="Z299" s="185"/>
      <c r="AA299" s="185"/>
      <c r="AB299" s="185"/>
      <c r="AC299" s="185"/>
      <c r="AD299" s="185"/>
      <c r="AE299" s="185"/>
      <c r="AF299" s="185"/>
      <c r="AG299" s="759"/>
      <c r="AH299" s="788"/>
      <c r="AI299" s="827"/>
      <c r="AJ299" s="810"/>
      <c r="AK299" s="758"/>
      <c r="AL299" s="758"/>
      <c r="AM299" s="758"/>
      <c r="AN299" s="758"/>
      <c r="AO299" s="758"/>
      <c r="AP299" s="758"/>
      <c r="AQ299" s="518"/>
      <c r="AR299" s="813"/>
      <c r="AS299" s="813"/>
      <c r="AT299" s="813">
        <v>7818182</v>
      </c>
      <c r="AU299" s="828"/>
      <c r="AV299" s="828"/>
      <c r="AW299" s="828"/>
      <c r="AX299" s="518">
        <f t="shared" si="139"/>
        <v>7818182</v>
      </c>
      <c r="AY299" s="788"/>
      <c r="AZ299" s="827"/>
      <c r="BA299" s="810"/>
      <c r="BB299" s="758"/>
      <c r="BC299" s="758"/>
      <c r="BD299" s="758"/>
      <c r="BE299" s="758"/>
      <c r="BF299" s="758"/>
      <c r="BG299" s="758"/>
      <c r="BH299" s="758"/>
      <c r="BI299" s="758"/>
      <c r="BJ299" s="758"/>
      <c r="BK299" s="758"/>
      <c r="BL299" s="759"/>
      <c r="BN299" s="758"/>
      <c r="BO299" s="758"/>
      <c r="BP299" s="758"/>
      <c r="BQ299" s="758"/>
      <c r="BR299" s="758"/>
      <c r="BS299" s="758"/>
      <c r="BT299" s="758"/>
      <c r="BU299" s="758"/>
      <c r="BV299" s="758"/>
      <c r="BW299" s="758"/>
      <c r="BX299" s="758"/>
      <c r="BY299" s="758"/>
      <c r="BZ299" s="791">
        <v>0</v>
      </c>
      <c r="CB299" s="758"/>
      <c r="CC299" s="758"/>
      <c r="CD299" s="758"/>
      <c r="CE299" s="758"/>
      <c r="CF299" s="758"/>
      <c r="CG299" s="758"/>
      <c r="CH299" s="758"/>
      <c r="CI299" s="758"/>
      <c r="CJ299" s="758"/>
      <c r="CK299" s="758"/>
      <c r="CL299" s="758"/>
      <c r="CM299" s="758"/>
      <c r="CN299" s="791">
        <v>0</v>
      </c>
      <c r="CP299" s="653">
        <v>8363636</v>
      </c>
      <c r="CQ299" s="653">
        <v>15818182</v>
      </c>
      <c r="CR299" s="524"/>
      <c r="CS299" s="653"/>
      <c r="CT299" s="524">
        <v>9000000</v>
      </c>
      <c r="CU299" s="653">
        <v>9363636</v>
      </c>
      <c r="CV299" s="524">
        <v>9000000</v>
      </c>
      <c r="CW299" s="653">
        <v>72181818</v>
      </c>
      <c r="CX299" s="524">
        <v>25000000</v>
      </c>
      <c r="CY299" s="653">
        <v>23181819</v>
      </c>
      <c r="CZ299" s="524">
        <v>20000000</v>
      </c>
      <c r="DA299" s="653">
        <v>38545456</v>
      </c>
      <c r="DB299" s="524">
        <v>20000000</v>
      </c>
      <c r="DC299" s="653">
        <v>53000002</v>
      </c>
      <c r="DD299" s="524">
        <v>20000000</v>
      </c>
      <c r="DE299" s="758"/>
      <c r="DF299" s="524">
        <v>20000000</v>
      </c>
      <c r="DG299" s="757">
        <v>20000000</v>
      </c>
      <c r="DH299" s="758"/>
      <c r="DI299" s="524">
        <v>20000000</v>
      </c>
      <c r="DJ299" s="757">
        <v>20000000</v>
      </c>
      <c r="DK299" s="758"/>
      <c r="DL299" s="524">
        <v>20000000</v>
      </c>
      <c r="DM299" s="757">
        <v>20000000</v>
      </c>
      <c r="DN299" s="758"/>
      <c r="DO299" s="524">
        <v>20000000</v>
      </c>
      <c r="DP299" s="757">
        <v>20000000</v>
      </c>
      <c r="DQ299" s="493">
        <f t="shared" si="140"/>
        <v>300454549</v>
      </c>
      <c r="DR299" s="479">
        <f t="shared" si="141"/>
        <v>300454549</v>
      </c>
      <c r="DS299" s="1019">
        <v>30000000</v>
      </c>
      <c r="DT299" s="1019">
        <v>30000000</v>
      </c>
      <c r="DU299" s="1019">
        <v>30000000</v>
      </c>
      <c r="DV299" s="1019">
        <v>30000000</v>
      </c>
      <c r="DW299" s="1019">
        <v>30000000</v>
      </c>
      <c r="DX299" s="1019">
        <v>30000000</v>
      </c>
      <c r="DY299" s="1019">
        <v>30000000</v>
      </c>
      <c r="DZ299" s="1019">
        <v>30000000</v>
      </c>
      <c r="EA299" s="1019">
        <v>30000000</v>
      </c>
      <c r="EB299" s="1019">
        <v>30000000</v>
      </c>
      <c r="EC299" s="1019">
        <v>30000000</v>
      </c>
      <c r="ED299" s="1019">
        <v>30000000</v>
      </c>
      <c r="EE299" s="1119">
        <f t="shared" si="142"/>
        <v>360000000</v>
      </c>
      <c r="EF299" s="443"/>
      <c r="EG299" s="443"/>
      <c r="EH299" s="443"/>
      <c r="EI299" s="443"/>
    </row>
    <row r="300" spans="1:140" outlineLevel="2">
      <c r="A300" s="367" t="s">
        <v>194</v>
      </c>
      <c r="B300" s="378"/>
      <c r="C300" s="370" t="s">
        <v>358</v>
      </c>
      <c r="D300" s="370" t="s">
        <v>40</v>
      </c>
      <c r="E300" s="396" t="s">
        <v>596</v>
      </c>
      <c r="F300" s="380">
        <v>3000019596</v>
      </c>
      <c r="G300" s="188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f t="shared" ref="S300:S307" si="143">SUM(G300,H300,I300,J300,K300,L300,M300,N300,O300,P300,Q300,R300)</f>
        <v>0</v>
      </c>
      <c r="T300" s="179"/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759">
        <f t="shared" ref="AG300:AG307" si="144">SUM(U300,V300,W300,X300,Y300,Z300,AA300,AB300,AC300,AD300,AE300,AF300)</f>
        <v>0</v>
      </c>
      <c r="AH300" s="788"/>
      <c r="AI300" s="827"/>
      <c r="AJ300" s="810"/>
      <c r="AK300" s="758"/>
      <c r="AL300" s="758">
        <v>6045452</v>
      </c>
      <c r="AM300" s="758">
        <v>6045452</v>
      </c>
      <c r="AN300" s="758">
        <v>0</v>
      </c>
      <c r="AO300" s="758">
        <v>5181816</v>
      </c>
      <c r="AP300" s="758">
        <v>4318180</v>
      </c>
      <c r="AQ300" s="518">
        <v>5181816</v>
      </c>
      <c r="AR300" s="813">
        <v>8636360</v>
      </c>
      <c r="AS300" s="813">
        <v>5181816</v>
      </c>
      <c r="AT300" s="813">
        <v>12954540</v>
      </c>
      <c r="AU300" s="518">
        <f>BI300</f>
        <v>5181816</v>
      </c>
      <c r="AV300" s="518">
        <f>BJ300</f>
        <v>5181816</v>
      </c>
      <c r="AW300" s="518">
        <f>BK300</f>
        <v>5181816</v>
      </c>
      <c r="AX300" s="518">
        <f t="shared" si="139"/>
        <v>53545432</v>
      </c>
      <c r="AY300" s="788"/>
      <c r="AZ300" s="827"/>
      <c r="BA300" s="810"/>
      <c r="BB300" s="758"/>
      <c r="BC300" s="758">
        <v>6045452</v>
      </c>
      <c r="BD300" s="758">
        <v>6045452</v>
      </c>
      <c r="BE300" s="758">
        <v>0</v>
      </c>
      <c r="BF300" s="758">
        <v>5181816</v>
      </c>
      <c r="BG300" s="518">
        <f>AP300</f>
        <v>4318180</v>
      </c>
      <c r="BH300" s="758">
        <v>5181816</v>
      </c>
      <c r="BI300" s="758">
        <v>5181816</v>
      </c>
      <c r="BJ300" s="758">
        <v>5181816</v>
      </c>
      <c r="BK300" s="758">
        <v>5181816</v>
      </c>
      <c r="BL300" s="759">
        <f t="shared" ref="BL300:BL307" si="145">SUM(AZ300,BA300,BB300,BC300,BD300,BE300,BF300,BG300,BH300,BI300,BJ300,BK300)</f>
        <v>42318164</v>
      </c>
      <c r="BN300" s="758">
        <v>5699997.6000000006</v>
      </c>
      <c r="BO300" s="758">
        <v>5699997.6000000006</v>
      </c>
      <c r="BP300" s="758">
        <v>5699997.6000000006</v>
      </c>
      <c r="BQ300" s="758">
        <v>7000000</v>
      </c>
      <c r="BR300" s="758">
        <f>BQ300*0.85</f>
        <v>5950000</v>
      </c>
      <c r="BS300" s="758">
        <v>5699997.6000000006</v>
      </c>
      <c r="BT300" s="758">
        <v>5699997.6000000006</v>
      </c>
      <c r="BU300" s="758">
        <v>5699997.6000000006</v>
      </c>
      <c r="BV300" s="758">
        <v>5699997.6000000006</v>
      </c>
      <c r="BW300" s="758">
        <v>5699997.6000000006</v>
      </c>
      <c r="BX300" s="758">
        <v>5699997.6000000006</v>
      </c>
      <c r="BY300" s="758">
        <v>5699997.6000000006</v>
      </c>
      <c r="BZ300" s="791">
        <v>69949976</v>
      </c>
      <c r="CB300" s="758">
        <v>5699997.6000000006</v>
      </c>
      <c r="CC300" s="758">
        <v>5699997.6000000006</v>
      </c>
      <c r="CD300" s="758">
        <v>5699997.6000000006</v>
      </c>
      <c r="CE300" s="758">
        <v>7000000</v>
      </c>
      <c r="CF300" s="758">
        <f>CE300*0.85</f>
        <v>5950000</v>
      </c>
      <c r="CG300" s="758">
        <v>5699997.6000000006</v>
      </c>
      <c r="CH300" s="758">
        <v>5699997.6000000006</v>
      </c>
      <c r="CI300" s="758">
        <v>5699997.6000000006</v>
      </c>
      <c r="CJ300" s="758">
        <v>5699997.6000000006</v>
      </c>
      <c r="CK300" s="758">
        <v>5699997.6000000006</v>
      </c>
      <c r="CL300" s="758">
        <v>5699997.6000000006</v>
      </c>
      <c r="CM300" s="758">
        <v>5699997.6000000006</v>
      </c>
      <c r="CN300" s="791">
        <v>69949976</v>
      </c>
      <c r="CP300" s="653">
        <v>20499994</v>
      </c>
      <c r="CQ300" s="653">
        <v>10545451</v>
      </c>
      <c r="CR300" s="524">
        <v>20000000</v>
      </c>
      <c r="CS300" s="653">
        <v>5181816</v>
      </c>
      <c r="CT300" s="524">
        <v>25000000</v>
      </c>
      <c r="CU300" s="653">
        <v>6909088</v>
      </c>
      <c r="CV300" s="524">
        <v>25000000</v>
      </c>
      <c r="CW300" s="653">
        <v>1727272</v>
      </c>
      <c r="CX300" s="524">
        <v>10000000</v>
      </c>
      <c r="CY300" s="653">
        <v>7772724</v>
      </c>
      <c r="CZ300" s="524">
        <v>10000000</v>
      </c>
      <c r="DA300" s="653">
        <v>5181816</v>
      </c>
      <c r="DB300" s="524">
        <v>10000000</v>
      </c>
      <c r="DC300" s="653">
        <v>6909088</v>
      </c>
      <c r="DD300" s="524">
        <v>10000000</v>
      </c>
      <c r="DE300" s="758"/>
      <c r="DF300" s="524">
        <v>10000000</v>
      </c>
      <c r="DG300" s="757">
        <v>10000000</v>
      </c>
      <c r="DH300" s="758"/>
      <c r="DI300" s="524">
        <v>10000000</v>
      </c>
      <c r="DJ300" s="757">
        <v>10000000</v>
      </c>
      <c r="DK300" s="758"/>
      <c r="DL300" s="524">
        <v>10000000</v>
      </c>
      <c r="DM300" s="757">
        <v>10000000</v>
      </c>
      <c r="DN300" s="758"/>
      <c r="DO300" s="524">
        <v>10000000</v>
      </c>
      <c r="DP300" s="757">
        <v>10000000</v>
      </c>
      <c r="DQ300" s="493">
        <f t="shared" si="140"/>
        <v>104727249</v>
      </c>
      <c r="DR300" s="479">
        <f t="shared" si="141"/>
        <v>104727249</v>
      </c>
      <c r="DS300" s="1019">
        <v>10000000</v>
      </c>
      <c r="DT300" s="1019">
        <v>10000000</v>
      </c>
      <c r="DU300" s="1019">
        <v>10000000</v>
      </c>
      <c r="DV300" s="1019">
        <v>10000000</v>
      </c>
      <c r="DW300" s="1019">
        <v>10000000</v>
      </c>
      <c r="DX300" s="1019">
        <v>10000000</v>
      </c>
      <c r="DY300" s="1019">
        <v>10000000</v>
      </c>
      <c r="DZ300" s="1019">
        <v>10000000</v>
      </c>
      <c r="EA300" s="1019">
        <v>10000000</v>
      </c>
      <c r="EB300" s="1019">
        <v>10000000</v>
      </c>
      <c r="EC300" s="1019">
        <v>10000000</v>
      </c>
      <c r="ED300" s="1019">
        <v>10000000</v>
      </c>
      <c r="EE300" s="1119">
        <f t="shared" si="142"/>
        <v>120000000</v>
      </c>
      <c r="EF300" s="443">
        <f t="shared" ref="EF300:EF306" si="146">EE300*1.17</f>
        <v>140400000</v>
      </c>
      <c r="EG300" s="443">
        <f t="shared" ref="EG300:EG306" si="147">EF300*1.08</f>
        <v>151632000</v>
      </c>
      <c r="EH300" s="443">
        <f t="shared" ref="EH300:EI306" si="148">EG300*1.09</f>
        <v>165278880</v>
      </c>
      <c r="EI300" s="443">
        <f t="shared" si="148"/>
        <v>180153979.20000002</v>
      </c>
      <c r="EJ300" s="367">
        <v>3000019596</v>
      </c>
    </row>
    <row r="301" spans="1:140" outlineLevel="2">
      <c r="A301" s="367" t="s">
        <v>194</v>
      </c>
      <c r="B301" s="378"/>
      <c r="C301" s="370" t="s">
        <v>358</v>
      </c>
      <c r="D301" s="370" t="s">
        <v>40</v>
      </c>
      <c r="E301" s="396" t="s">
        <v>386</v>
      </c>
      <c r="F301" s="380">
        <v>3000000217</v>
      </c>
      <c r="G301" s="188"/>
      <c r="H301" s="13"/>
      <c r="I301" s="185"/>
      <c r="J301" s="185">
        <v>0</v>
      </c>
      <c r="K301" s="185"/>
      <c r="L301" s="185"/>
      <c r="M301" s="185"/>
      <c r="N301" s="185"/>
      <c r="O301" s="185"/>
      <c r="P301" s="185"/>
      <c r="Q301" s="185"/>
      <c r="R301" s="185"/>
      <c r="S301" s="14">
        <f t="shared" si="143"/>
        <v>0</v>
      </c>
      <c r="T301" s="179"/>
      <c r="U301" s="188"/>
      <c r="V301" s="13"/>
      <c r="W301" s="185"/>
      <c r="X301" s="185">
        <v>0</v>
      </c>
      <c r="Y301" s="185"/>
      <c r="Z301" s="185"/>
      <c r="AA301" s="185"/>
      <c r="AB301" s="185"/>
      <c r="AC301" s="185"/>
      <c r="AD301" s="185"/>
      <c r="AE301" s="185"/>
      <c r="AF301" s="185"/>
      <c r="AG301" s="759">
        <f t="shared" si="144"/>
        <v>0</v>
      </c>
      <c r="AH301" s="788"/>
      <c r="AI301" s="827"/>
      <c r="AJ301" s="810"/>
      <c r="AK301" s="758"/>
      <c r="AL301" s="758">
        <v>0</v>
      </c>
      <c r="AM301" s="758"/>
      <c r="AN301" s="758"/>
      <c r="AO301" s="758"/>
      <c r="AP301" s="758"/>
      <c r="AQ301" s="518">
        <v>5040000</v>
      </c>
      <c r="AR301" s="813">
        <v>3000000</v>
      </c>
      <c r="AS301" s="813">
        <v>2820000</v>
      </c>
      <c r="AT301" s="813">
        <v>2850000</v>
      </c>
      <c r="AU301" s="828">
        <f>AQ301</f>
        <v>5040000</v>
      </c>
      <c r="AV301" s="828">
        <f>AU301</f>
        <v>5040000</v>
      </c>
      <c r="AW301" s="828">
        <f>AV301</f>
        <v>5040000</v>
      </c>
      <c r="AX301" s="518">
        <f t="shared" si="139"/>
        <v>13710000</v>
      </c>
      <c r="AY301" s="788"/>
      <c r="AZ301" s="827"/>
      <c r="BA301" s="810"/>
      <c r="BB301" s="758"/>
      <c r="BC301" s="758">
        <v>0</v>
      </c>
      <c r="BD301" s="758"/>
      <c r="BE301" s="758"/>
      <c r="BF301" s="758"/>
      <c r="BG301" s="758"/>
      <c r="BH301" s="758"/>
      <c r="BI301" s="758"/>
      <c r="BJ301" s="758"/>
      <c r="BK301" s="758"/>
      <c r="BL301" s="759">
        <f t="shared" si="145"/>
        <v>0</v>
      </c>
      <c r="BN301" s="759"/>
      <c r="BO301" s="759"/>
      <c r="BP301" s="759"/>
      <c r="BQ301" s="759"/>
      <c r="BR301" s="759"/>
      <c r="BS301" s="759"/>
      <c r="BT301" s="759"/>
      <c r="BU301" s="759"/>
      <c r="BV301" s="759"/>
      <c r="BW301" s="759"/>
      <c r="BX301" s="759"/>
      <c r="BY301" s="759"/>
      <c r="BZ301" s="791">
        <v>0</v>
      </c>
      <c r="CB301" s="759"/>
      <c r="CC301" s="759"/>
      <c r="CD301" s="759"/>
      <c r="CE301" s="759"/>
      <c r="CF301" s="759"/>
      <c r="CG301" s="759"/>
      <c r="CH301" s="759"/>
      <c r="CI301" s="759"/>
      <c r="CJ301" s="759"/>
      <c r="CK301" s="759"/>
      <c r="CL301" s="759"/>
      <c r="CM301" s="759"/>
      <c r="CN301" s="791">
        <v>0</v>
      </c>
      <c r="CP301" s="647">
        <v>71200000</v>
      </c>
      <c r="CQ301" s="647">
        <v>25150000</v>
      </c>
      <c r="CR301" s="518"/>
      <c r="CS301" s="647">
        <v>5500000</v>
      </c>
      <c r="CT301" s="518">
        <v>71200000</v>
      </c>
      <c r="CU301" s="647"/>
      <c r="CV301" s="518">
        <v>70000000</v>
      </c>
      <c r="CW301" s="647">
        <v>18950000</v>
      </c>
      <c r="CX301" s="518">
        <v>30000000</v>
      </c>
      <c r="CY301" s="647">
        <v>39950000</v>
      </c>
      <c r="CZ301" s="518">
        <v>25000000</v>
      </c>
      <c r="DA301" s="647">
        <v>113400000</v>
      </c>
      <c r="DB301" s="518">
        <v>25000000</v>
      </c>
      <c r="DC301" s="647">
        <v>50120000</v>
      </c>
      <c r="DD301" s="518">
        <v>25000000</v>
      </c>
      <c r="DE301" s="759"/>
      <c r="DF301" s="518">
        <v>25000000</v>
      </c>
      <c r="DG301" s="748">
        <v>25000000</v>
      </c>
      <c r="DH301" s="759"/>
      <c r="DI301" s="518">
        <v>50000000</v>
      </c>
      <c r="DJ301" s="748">
        <v>50000000</v>
      </c>
      <c r="DK301" s="759"/>
      <c r="DL301" s="518">
        <v>50000000</v>
      </c>
      <c r="DM301" s="748">
        <v>50000000</v>
      </c>
      <c r="DN301" s="759"/>
      <c r="DO301" s="518">
        <v>50000000</v>
      </c>
      <c r="DP301" s="748">
        <v>50000000</v>
      </c>
      <c r="DQ301" s="493">
        <f t="shared" si="140"/>
        <v>499270000</v>
      </c>
      <c r="DR301" s="479">
        <f t="shared" si="141"/>
        <v>499270000</v>
      </c>
      <c r="DS301" s="1163">
        <v>50000000</v>
      </c>
      <c r="DT301" s="1163">
        <v>50000000</v>
      </c>
      <c r="DU301" s="1163">
        <v>50000000</v>
      </c>
      <c r="DV301" s="1163">
        <v>50000000</v>
      </c>
      <c r="DW301" s="1163">
        <v>50000000</v>
      </c>
      <c r="DX301" s="1163">
        <v>50000000</v>
      </c>
      <c r="DY301" s="1163">
        <v>50000000</v>
      </c>
      <c r="DZ301" s="1163">
        <v>50000000</v>
      </c>
      <c r="EA301" s="1163">
        <v>50000000</v>
      </c>
      <c r="EB301" s="1163">
        <v>50000000</v>
      </c>
      <c r="EC301" s="1163">
        <v>50000000</v>
      </c>
      <c r="ED301" s="1163">
        <v>50000000</v>
      </c>
      <c r="EE301" s="1119">
        <f t="shared" si="142"/>
        <v>600000000</v>
      </c>
      <c r="EF301" s="443">
        <f t="shared" si="146"/>
        <v>702000000</v>
      </c>
      <c r="EG301" s="443">
        <f t="shared" si="147"/>
        <v>758160000</v>
      </c>
      <c r="EH301" s="443">
        <f t="shared" si="148"/>
        <v>826394400.00000012</v>
      </c>
      <c r="EI301" s="443">
        <f t="shared" si="148"/>
        <v>900769896.00000024</v>
      </c>
      <c r="EJ301" s="367">
        <v>3000000217</v>
      </c>
    </row>
    <row r="302" spans="1:140" outlineLevel="2">
      <c r="A302" s="367" t="s">
        <v>192</v>
      </c>
      <c r="B302" s="378"/>
      <c r="C302" s="370" t="s">
        <v>358</v>
      </c>
      <c r="E302" s="396" t="s">
        <v>360</v>
      </c>
      <c r="F302" s="380">
        <v>3000000220</v>
      </c>
      <c r="G302" s="14">
        <v>0</v>
      </c>
      <c r="H302" s="14">
        <v>0</v>
      </c>
      <c r="I302" s="14">
        <v>0</v>
      </c>
      <c r="J302" s="14">
        <v>0</v>
      </c>
      <c r="K302" s="14">
        <v>9543000</v>
      </c>
      <c r="L302" s="14">
        <v>9610000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f t="shared" si="143"/>
        <v>19153000</v>
      </c>
      <c r="T302" s="15"/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759">
        <f t="shared" si="144"/>
        <v>0</v>
      </c>
      <c r="AH302" s="811"/>
      <c r="AI302" s="759"/>
      <c r="AJ302" s="810"/>
      <c r="AK302" s="758"/>
      <c r="AL302" s="758"/>
      <c r="AM302" s="758"/>
      <c r="AN302" s="758"/>
      <c r="AO302" s="758"/>
      <c r="AP302" s="758"/>
      <c r="AQ302" s="518">
        <v>0</v>
      </c>
      <c r="AR302" s="518"/>
      <c r="AS302" s="518"/>
      <c r="AT302" s="518"/>
      <c r="AU302" s="518"/>
      <c r="AV302" s="518"/>
      <c r="AW302" s="518"/>
      <c r="AX302" s="518">
        <f t="shared" si="139"/>
        <v>0</v>
      </c>
      <c r="AY302" s="811"/>
      <c r="AZ302" s="759"/>
      <c r="BA302" s="810"/>
      <c r="BB302" s="758"/>
      <c r="BC302" s="758"/>
      <c r="BD302" s="758"/>
      <c r="BE302" s="758"/>
      <c r="BF302" s="758"/>
      <c r="BG302" s="518">
        <f t="shared" ref="BG302:BG307" si="149">AP302</f>
        <v>0</v>
      </c>
      <c r="BH302" s="758"/>
      <c r="BI302" s="758"/>
      <c r="BJ302" s="758"/>
      <c r="BK302" s="758"/>
      <c r="BL302" s="518">
        <f t="shared" si="145"/>
        <v>0</v>
      </c>
      <c r="BN302" s="758"/>
      <c r="BO302" s="758"/>
      <c r="BP302" s="758"/>
      <c r="BQ302" s="758"/>
      <c r="BR302" s="758">
        <f t="shared" ref="BR302:BR307" si="150">BQ302*0.85</f>
        <v>0</v>
      </c>
      <c r="BS302" s="758"/>
      <c r="BT302" s="758"/>
      <c r="BU302" s="758"/>
      <c r="BV302" s="758"/>
      <c r="BW302" s="758"/>
      <c r="BX302" s="758"/>
      <c r="BY302" s="758"/>
      <c r="BZ302" s="791">
        <v>0</v>
      </c>
      <c r="CB302" s="758"/>
      <c r="CC302" s="758"/>
      <c r="CD302" s="758"/>
      <c r="CE302" s="758"/>
      <c r="CF302" s="758">
        <f t="shared" ref="CF302:CF307" si="151">CE302*0.85</f>
        <v>0</v>
      </c>
      <c r="CG302" s="758"/>
      <c r="CH302" s="758"/>
      <c r="CI302" s="758"/>
      <c r="CJ302" s="758"/>
      <c r="CK302" s="758"/>
      <c r="CL302" s="758"/>
      <c r="CM302" s="758"/>
      <c r="CN302" s="791">
        <v>0</v>
      </c>
      <c r="CP302" s="653"/>
      <c r="CQ302" s="653"/>
      <c r="CR302" s="524"/>
      <c r="CS302" s="653"/>
      <c r="CT302" s="524"/>
      <c r="CU302" s="653"/>
      <c r="CV302" s="524"/>
      <c r="CW302" s="653"/>
      <c r="CX302" s="524"/>
      <c r="CY302" s="653"/>
      <c r="CZ302" s="524"/>
      <c r="DA302" s="653"/>
      <c r="DB302" s="524"/>
      <c r="DC302" s="653">
        <v>0</v>
      </c>
      <c r="DD302" s="524"/>
      <c r="DE302" s="758"/>
      <c r="DF302" s="524"/>
      <c r="DG302" s="757"/>
      <c r="DH302" s="758"/>
      <c r="DI302" s="524"/>
      <c r="DJ302" s="757"/>
      <c r="DK302" s="758"/>
      <c r="DL302" s="524"/>
      <c r="DM302" s="757"/>
      <c r="DN302" s="758"/>
      <c r="DO302" s="524"/>
      <c r="DP302" s="757"/>
      <c r="DQ302" s="493">
        <f t="shared" si="140"/>
        <v>0</v>
      </c>
      <c r="DR302" s="479">
        <f t="shared" si="141"/>
        <v>0</v>
      </c>
      <c r="DS302" s="1019"/>
      <c r="DT302" s="1019"/>
      <c r="DU302" s="1019"/>
      <c r="DV302" s="1019"/>
      <c r="DW302" s="1019"/>
      <c r="DX302" s="1019"/>
      <c r="DY302" s="1019"/>
      <c r="DZ302" s="1019"/>
      <c r="EA302" s="1019"/>
      <c r="EB302" s="1019"/>
      <c r="EC302" s="1019"/>
      <c r="ED302" s="1019"/>
      <c r="EE302" s="1119">
        <f t="shared" si="142"/>
        <v>0</v>
      </c>
      <c r="EF302" s="443">
        <f t="shared" si="146"/>
        <v>0</v>
      </c>
      <c r="EG302" s="443">
        <f t="shared" si="147"/>
        <v>0</v>
      </c>
      <c r="EH302" s="443">
        <f t="shared" si="148"/>
        <v>0</v>
      </c>
      <c r="EI302" s="443">
        <f t="shared" si="148"/>
        <v>0</v>
      </c>
      <c r="EJ302" s="367">
        <v>3000000220</v>
      </c>
    </row>
    <row r="303" spans="1:140" outlineLevel="2">
      <c r="A303" s="367" t="s">
        <v>192</v>
      </c>
      <c r="B303" s="378"/>
      <c r="C303" s="370" t="s">
        <v>358</v>
      </c>
      <c r="E303" s="396" t="s">
        <v>597</v>
      </c>
      <c r="F303" s="380">
        <v>3000018650</v>
      </c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>
        <f t="shared" si="143"/>
        <v>0</v>
      </c>
      <c r="T303" s="15"/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4350000</v>
      </c>
      <c r="AC303" s="14">
        <v>4000000</v>
      </c>
      <c r="AD303" s="14">
        <v>0</v>
      </c>
      <c r="AE303" s="14">
        <v>0</v>
      </c>
      <c r="AF303" s="14">
        <v>0</v>
      </c>
      <c r="AG303" s="759">
        <f t="shared" si="144"/>
        <v>8350000</v>
      </c>
      <c r="AH303" s="811"/>
      <c r="AI303" s="759"/>
      <c r="AJ303" s="810"/>
      <c r="AK303" s="758"/>
      <c r="AL303" s="758"/>
      <c r="AM303" s="758"/>
      <c r="AN303" s="758"/>
      <c r="AO303" s="758"/>
      <c r="AP303" s="758"/>
      <c r="AQ303" s="518">
        <v>0</v>
      </c>
      <c r="AR303" s="518"/>
      <c r="AS303" s="518"/>
      <c r="AT303" s="518"/>
      <c r="AU303" s="518"/>
      <c r="AV303" s="518"/>
      <c r="AW303" s="518"/>
      <c r="AX303" s="518">
        <f t="shared" si="139"/>
        <v>0</v>
      </c>
      <c r="AY303" s="811"/>
      <c r="AZ303" s="759"/>
      <c r="BA303" s="810"/>
      <c r="BB303" s="758"/>
      <c r="BC303" s="758"/>
      <c r="BD303" s="758"/>
      <c r="BE303" s="758"/>
      <c r="BF303" s="758"/>
      <c r="BG303" s="518">
        <f t="shared" si="149"/>
        <v>0</v>
      </c>
      <c r="BH303" s="758"/>
      <c r="BI303" s="758"/>
      <c r="BJ303" s="758"/>
      <c r="BK303" s="758"/>
      <c r="BL303" s="518">
        <f t="shared" si="145"/>
        <v>0</v>
      </c>
      <c r="BN303" s="758"/>
      <c r="BO303" s="758"/>
      <c r="BP303" s="758"/>
      <c r="BQ303" s="758"/>
      <c r="BR303" s="758">
        <f t="shared" si="150"/>
        <v>0</v>
      </c>
      <c r="BS303" s="758"/>
      <c r="BT303" s="758"/>
      <c r="BU303" s="758"/>
      <c r="BV303" s="758"/>
      <c r="BW303" s="758"/>
      <c r="BX303" s="758"/>
      <c r="BY303" s="758"/>
      <c r="BZ303" s="791">
        <v>0</v>
      </c>
      <c r="CB303" s="758"/>
      <c r="CC303" s="758"/>
      <c r="CD303" s="758"/>
      <c r="CE303" s="758"/>
      <c r="CF303" s="758">
        <f t="shared" si="151"/>
        <v>0</v>
      </c>
      <c r="CG303" s="758"/>
      <c r="CH303" s="758"/>
      <c r="CI303" s="758"/>
      <c r="CJ303" s="758"/>
      <c r="CK303" s="758"/>
      <c r="CL303" s="758"/>
      <c r="CM303" s="758"/>
      <c r="CN303" s="791">
        <v>0</v>
      </c>
      <c r="CP303" s="653"/>
      <c r="CQ303" s="653"/>
      <c r="CR303" s="524"/>
      <c r="CS303" s="653"/>
      <c r="CT303" s="524"/>
      <c r="CU303" s="653"/>
      <c r="CV303" s="524"/>
      <c r="CW303" s="653"/>
      <c r="CX303" s="524"/>
      <c r="CY303" s="653"/>
      <c r="CZ303" s="524"/>
      <c r="DA303" s="653"/>
      <c r="DB303" s="524"/>
      <c r="DC303" s="653">
        <v>0</v>
      </c>
      <c r="DD303" s="524"/>
      <c r="DE303" s="758"/>
      <c r="DF303" s="524"/>
      <c r="DG303" s="757"/>
      <c r="DH303" s="758"/>
      <c r="DI303" s="524"/>
      <c r="DJ303" s="757"/>
      <c r="DK303" s="758"/>
      <c r="DL303" s="524"/>
      <c r="DM303" s="757"/>
      <c r="DN303" s="758"/>
      <c r="DO303" s="524"/>
      <c r="DP303" s="757"/>
      <c r="DQ303" s="493">
        <f t="shared" si="140"/>
        <v>0</v>
      </c>
      <c r="DR303" s="479">
        <f t="shared" si="141"/>
        <v>0</v>
      </c>
      <c r="DS303" s="1019"/>
      <c r="DT303" s="1019"/>
      <c r="DU303" s="1019"/>
      <c r="DV303" s="1019"/>
      <c r="DW303" s="1019"/>
      <c r="DX303" s="1019"/>
      <c r="DY303" s="1019"/>
      <c r="DZ303" s="1019"/>
      <c r="EA303" s="1019"/>
      <c r="EB303" s="1019"/>
      <c r="EC303" s="1019"/>
      <c r="ED303" s="1019"/>
      <c r="EE303" s="1119">
        <f t="shared" si="142"/>
        <v>0</v>
      </c>
      <c r="EF303" s="443">
        <f t="shared" si="146"/>
        <v>0</v>
      </c>
      <c r="EG303" s="443">
        <f t="shared" si="147"/>
        <v>0</v>
      </c>
      <c r="EH303" s="443">
        <f t="shared" si="148"/>
        <v>0</v>
      </c>
      <c r="EI303" s="443">
        <f t="shared" si="148"/>
        <v>0</v>
      </c>
      <c r="EJ303" s="367">
        <v>3000018650</v>
      </c>
    </row>
    <row r="304" spans="1:140" outlineLevel="2">
      <c r="A304" s="367" t="s">
        <v>194</v>
      </c>
      <c r="B304" s="378"/>
      <c r="C304" s="370" t="s">
        <v>358</v>
      </c>
      <c r="D304" s="370" t="s">
        <v>40</v>
      </c>
      <c r="E304" s="396" t="s">
        <v>44</v>
      </c>
      <c r="F304" s="380">
        <v>3000014429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f t="shared" si="143"/>
        <v>0</v>
      </c>
      <c r="T304" s="15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759">
        <f t="shared" si="144"/>
        <v>0</v>
      </c>
      <c r="AH304" s="811"/>
      <c r="AI304" s="759"/>
      <c r="AJ304" s="810">
        <v>1500000</v>
      </c>
      <c r="AK304" s="758">
        <v>0</v>
      </c>
      <c r="AL304" s="758">
        <v>0</v>
      </c>
      <c r="AM304" s="758">
        <v>0</v>
      </c>
      <c r="AN304" s="758">
        <v>0</v>
      </c>
      <c r="AO304" s="758">
        <v>0</v>
      </c>
      <c r="AP304" s="758">
        <v>0</v>
      </c>
      <c r="AQ304" s="518">
        <v>20578000</v>
      </c>
      <c r="AR304" s="813">
        <v>36453100</v>
      </c>
      <c r="AS304" s="813">
        <v>30276500</v>
      </c>
      <c r="AT304" s="813">
        <v>23456500</v>
      </c>
      <c r="AU304" s="518">
        <f>BI304</f>
        <v>20000000</v>
      </c>
      <c r="AV304" s="518">
        <f>BJ304</f>
        <v>50000000</v>
      </c>
      <c r="AW304" s="518">
        <f>BK304</f>
        <v>50000000</v>
      </c>
      <c r="AX304" s="518">
        <f t="shared" si="139"/>
        <v>112264100</v>
      </c>
      <c r="AY304" s="811"/>
      <c r="AZ304" s="759"/>
      <c r="BA304" s="810">
        <v>1500000</v>
      </c>
      <c r="BB304" s="758">
        <v>0</v>
      </c>
      <c r="BC304" s="758">
        <v>0</v>
      </c>
      <c r="BD304" s="758">
        <v>0</v>
      </c>
      <c r="BE304" s="758">
        <v>0</v>
      </c>
      <c r="BF304" s="758">
        <v>0</v>
      </c>
      <c r="BG304" s="518">
        <f t="shared" si="149"/>
        <v>0</v>
      </c>
      <c r="BH304" s="758">
        <v>20000000</v>
      </c>
      <c r="BI304" s="758">
        <v>20000000</v>
      </c>
      <c r="BJ304" s="758">
        <v>50000000</v>
      </c>
      <c r="BK304" s="758">
        <v>50000000</v>
      </c>
      <c r="BL304" s="759">
        <f t="shared" si="145"/>
        <v>141500000</v>
      </c>
      <c r="BN304" s="758">
        <f>50000000</f>
        <v>50000000</v>
      </c>
      <c r="BO304" s="758">
        <f>50000000</f>
        <v>50000000</v>
      </c>
      <c r="BP304" s="758">
        <f>50000000</f>
        <v>50000000</v>
      </c>
      <c r="BQ304" s="758">
        <f>50000000</f>
        <v>50000000</v>
      </c>
      <c r="BR304" s="758">
        <f t="shared" si="150"/>
        <v>42500000</v>
      </c>
      <c r="BS304" s="758">
        <f t="shared" ref="BS304:BY304" si="152">50000000</f>
        <v>50000000</v>
      </c>
      <c r="BT304" s="758">
        <f t="shared" si="152"/>
        <v>50000000</v>
      </c>
      <c r="BU304" s="758">
        <f t="shared" si="152"/>
        <v>50000000</v>
      </c>
      <c r="BV304" s="758">
        <f t="shared" si="152"/>
        <v>50000000</v>
      </c>
      <c r="BW304" s="758">
        <f t="shared" si="152"/>
        <v>50000000</v>
      </c>
      <c r="BX304" s="758">
        <f t="shared" si="152"/>
        <v>50000000</v>
      </c>
      <c r="BY304" s="758">
        <f t="shared" si="152"/>
        <v>50000000</v>
      </c>
      <c r="BZ304" s="791">
        <v>592500000</v>
      </c>
      <c r="CB304" s="758">
        <f>50000000</f>
        <v>50000000</v>
      </c>
      <c r="CC304" s="758">
        <f>50000000</f>
        <v>50000000</v>
      </c>
      <c r="CD304" s="758">
        <f>50000000</f>
        <v>50000000</v>
      </c>
      <c r="CE304" s="758">
        <f>50000000</f>
        <v>50000000</v>
      </c>
      <c r="CF304" s="758">
        <f t="shared" si="151"/>
        <v>42500000</v>
      </c>
      <c r="CG304" s="758">
        <f t="shared" ref="CG304:CM304" si="153">50000000</f>
        <v>50000000</v>
      </c>
      <c r="CH304" s="758">
        <f t="shared" si="153"/>
        <v>50000000</v>
      </c>
      <c r="CI304" s="758">
        <f t="shared" si="153"/>
        <v>50000000</v>
      </c>
      <c r="CJ304" s="758">
        <f t="shared" si="153"/>
        <v>50000000</v>
      </c>
      <c r="CK304" s="758">
        <f t="shared" si="153"/>
        <v>50000000</v>
      </c>
      <c r="CL304" s="758">
        <f t="shared" si="153"/>
        <v>50000000</v>
      </c>
      <c r="CM304" s="758">
        <f t="shared" si="153"/>
        <v>50000000</v>
      </c>
      <c r="CN304" s="791">
        <v>592500000</v>
      </c>
      <c r="CP304" s="653">
        <v>27082500</v>
      </c>
      <c r="CQ304" s="653">
        <v>3475000</v>
      </c>
      <c r="CR304" s="524">
        <v>25000000</v>
      </c>
      <c r="CS304" s="653">
        <v>13258500</v>
      </c>
      <c r="CT304" s="524">
        <v>25000000</v>
      </c>
      <c r="CU304" s="653">
        <v>2537500</v>
      </c>
      <c r="CV304" s="524">
        <v>30000000</v>
      </c>
      <c r="CW304" s="653"/>
      <c r="CX304" s="524">
        <v>20000000</v>
      </c>
      <c r="CY304" s="653">
        <v>2940000</v>
      </c>
      <c r="CZ304" s="524">
        <v>10000000</v>
      </c>
      <c r="DA304" s="653"/>
      <c r="DB304" s="524">
        <v>20000000</v>
      </c>
      <c r="DC304" s="653">
        <v>0</v>
      </c>
      <c r="DD304" s="524">
        <v>20000000</v>
      </c>
      <c r="DE304" s="758"/>
      <c r="DF304" s="524">
        <v>20000000</v>
      </c>
      <c r="DG304" s="757">
        <v>20000000</v>
      </c>
      <c r="DH304" s="758"/>
      <c r="DI304" s="524">
        <v>20000000</v>
      </c>
      <c r="DJ304" s="757">
        <v>20000000</v>
      </c>
      <c r="DK304" s="758"/>
      <c r="DL304" s="524">
        <v>20000000</v>
      </c>
      <c r="DM304" s="757">
        <v>20000000</v>
      </c>
      <c r="DN304" s="758"/>
      <c r="DO304" s="524">
        <v>20000000</v>
      </c>
      <c r="DP304" s="757">
        <v>20000000</v>
      </c>
      <c r="DQ304" s="493">
        <f t="shared" si="140"/>
        <v>129293500</v>
      </c>
      <c r="DR304" s="479">
        <f t="shared" si="141"/>
        <v>129293500</v>
      </c>
      <c r="DS304" s="1019"/>
      <c r="DT304" s="1019"/>
      <c r="DU304" s="1019"/>
      <c r="DV304" s="1019"/>
      <c r="DW304" s="1019"/>
      <c r="DX304" s="1019"/>
      <c r="DY304" s="1019"/>
      <c r="DZ304" s="1019"/>
      <c r="EA304" s="1019"/>
      <c r="EB304" s="1019"/>
      <c r="EC304" s="1019"/>
      <c r="ED304" s="1019"/>
      <c r="EE304" s="1119">
        <f t="shared" si="142"/>
        <v>0</v>
      </c>
      <c r="EF304" s="443">
        <f t="shared" si="146"/>
        <v>0</v>
      </c>
      <c r="EG304" s="443">
        <f t="shared" si="147"/>
        <v>0</v>
      </c>
      <c r="EH304" s="443">
        <f t="shared" si="148"/>
        <v>0</v>
      </c>
      <c r="EI304" s="443">
        <f t="shared" si="148"/>
        <v>0</v>
      </c>
      <c r="EJ304" s="367">
        <v>3000014429</v>
      </c>
    </row>
    <row r="305" spans="1:140" outlineLevel="2">
      <c r="A305" s="367" t="s">
        <v>192</v>
      </c>
      <c r="B305" s="378"/>
      <c r="C305" s="370" t="s">
        <v>358</v>
      </c>
      <c r="E305" s="396" t="s">
        <v>381</v>
      </c>
      <c r="F305" s="380">
        <v>3000016990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12900000</v>
      </c>
      <c r="R305" s="14">
        <v>0</v>
      </c>
      <c r="S305" s="14">
        <f t="shared" si="143"/>
        <v>12900000</v>
      </c>
      <c r="T305" s="15"/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759">
        <f t="shared" si="144"/>
        <v>0</v>
      </c>
      <c r="AH305" s="811"/>
      <c r="AI305" s="759"/>
      <c r="AJ305" s="810"/>
      <c r="AK305" s="758"/>
      <c r="AL305" s="758"/>
      <c r="AM305" s="758"/>
      <c r="AN305" s="758"/>
      <c r="AO305" s="758"/>
      <c r="AP305" s="758"/>
      <c r="AQ305" s="518">
        <v>0</v>
      </c>
      <c r="AR305" s="518"/>
      <c r="AS305" s="518"/>
      <c r="AT305" s="518"/>
      <c r="AU305" s="518"/>
      <c r="AV305" s="518"/>
      <c r="AW305" s="518"/>
      <c r="AX305" s="518">
        <f t="shared" si="139"/>
        <v>0</v>
      </c>
      <c r="AY305" s="811"/>
      <c r="AZ305" s="759"/>
      <c r="BA305" s="810"/>
      <c r="BB305" s="758"/>
      <c r="BC305" s="758"/>
      <c r="BD305" s="758"/>
      <c r="BE305" s="758"/>
      <c r="BF305" s="758"/>
      <c r="BG305" s="518">
        <f t="shared" si="149"/>
        <v>0</v>
      </c>
      <c r="BH305" s="758"/>
      <c r="BI305" s="758"/>
      <c r="BJ305" s="758"/>
      <c r="BK305" s="758"/>
      <c r="BL305" s="518">
        <f t="shared" si="145"/>
        <v>0</v>
      </c>
      <c r="BN305" s="758"/>
      <c r="BO305" s="758"/>
      <c r="BP305" s="758"/>
      <c r="BQ305" s="758"/>
      <c r="BR305" s="758">
        <f t="shared" si="150"/>
        <v>0</v>
      </c>
      <c r="BS305" s="758"/>
      <c r="BT305" s="758"/>
      <c r="BU305" s="758"/>
      <c r="BV305" s="758"/>
      <c r="BW305" s="758"/>
      <c r="BX305" s="758"/>
      <c r="BY305" s="758"/>
      <c r="BZ305" s="791">
        <v>0</v>
      </c>
      <c r="CB305" s="758"/>
      <c r="CC305" s="758"/>
      <c r="CD305" s="758"/>
      <c r="CE305" s="758"/>
      <c r="CF305" s="758">
        <f t="shared" si="151"/>
        <v>0</v>
      </c>
      <c r="CG305" s="758"/>
      <c r="CH305" s="758"/>
      <c r="CI305" s="758"/>
      <c r="CJ305" s="758"/>
      <c r="CK305" s="758"/>
      <c r="CL305" s="758"/>
      <c r="CM305" s="758"/>
      <c r="CN305" s="791">
        <v>0</v>
      </c>
      <c r="CP305" s="653"/>
      <c r="CQ305" s="653"/>
      <c r="CR305" s="524"/>
      <c r="CS305" s="653"/>
      <c r="CT305" s="524"/>
      <c r="CU305" s="653"/>
      <c r="CV305" s="524"/>
      <c r="CW305" s="653"/>
      <c r="CX305" s="524"/>
      <c r="CY305" s="653"/>
      <c r="CZ305" s="524"/>
      <c r="DA305" s="653"/>
      <c r="DB305" s="524"/>
      <c r="DC305" s="653">
        <v>0</v>
      </c>
      <c r="DD305" s="524"/>
      <c r="DE305" s="758"/>
      <c r="DF305" s="524"/>
      <c r="DG305" s="757"/>
      <c r="DH305" s="758"/>
      <c r="DI305" s="524"/>
      <c r="DJ305" s="757"/>
      <c r="DK305" s="758"/>
      <c r="DL305" s="524"/>
      <c r="DM305" s="757"/>
      <c r="DN305" s="758"/>
      <c r="DO305" s="524"/>
      <c r="DP305" s="757"/>
      <c r="DQ305" s="493">
        <f t="shared" si="140"/>
        <v>0</v>
      </c>
      <c r="DR305" s="479">
        <f t="shared" si="141"/>
        <v>0</v>
      </c>
      <c r="DS305" s="1019"/>
      <c r="DT305" s="1019"/>
      <c r="DU305" s="1019"/>
      <c r="DV305" s="1019"/>
      <c r="DW305" s="1019"/>
      <c r="DX305" s="1019"/>
      <c r="DY305" s="1019"/>
      <c r="DZ305" s="1019"/>
      <c r="EA305" s="1019"/>
      <c r="EB305" s="1019"/>
      <c r="EC305" s="1019"/>
      <c r="ED305" s="1019"/>
      <c r="EE305" s="1119">
        <f t="shared" si="142"/>
        <v>0</v>
      </c>
      <c r="EF305" s="443">
        <f t="shared" si="146"/>
        <v>0</v>
      </c>
      <c r="EG305" s="443">
        <f t="shared" si="147"/>
        <v>0</v>
      </c>
      <c r="EH305" s="443">
        <f t="shared" si="148"/>
        <v>0</v>
      </c>
      <c r="EI305" s="443">
        <f t="shared" si="148"/>
        <v>0</v>
      </c>
      <c r="EJ305" s="367">
        <v>3000016990</v>
      </c>
    </row>
    <row r="306" spans="1:140" outlineLevel="2">
      <c r="A306" s="367" t="s">
        <v>192</v>
      </c>
      <c r="B306" s="378"/>
      <c r="C306" s="370" t="s">
        <v>358</v>
      </c>
      <c r="E306" s="396" t="s">
        <v>598</v>
      </c>
      <c r="F306" s="380">
        <v>3000008794</v>
      </c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>
        <f t="shared" si="143"/>
        <v>0</v>
      </c>
      <c r="T306" s="15"/>
      <c r="U306" s="14">
        <v>0</v>
      </c>
      <c r="V306" s="14">
        <v>6600000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759">
        <f t="shared" si="144"/>
        <v>6600000</v>
      </c>
      <c r="AH306" s="811"/>
      <c r="AI306" s="759"/>
      <c r="AJ306" s="810"/>
      <c r="AK306" s="758"/>
      <c r="AL306" s="758"/>
      <c r="AM306" s="758"/>
      <c r="AN306" s="758"/>
      <c r="AO306" s="758"/>
      <c r="AP306" s="758"/>
      <c r="AQ306" s="518">
        <v>0</v>
      </c>
      <c r="AR306" s="518"/>
      <c r="AS306" s="518"/>
      <c r="AT306" s="518"/>
      <c r="AU306" s="518"/>
      <c r="AV306" s="518"/>
      <c r="AW306" s="518"/>
      <c r="AX306" s="518">
        <f t="shared" si="139"/>
        <v>0</v>
      </c>
      <c r="AY306" s="811"/>
      <c r="AZ306" s="759"/>
      <c r="BA306" s="810"/>
      <c r="BB306" s="758"/>
      <c r="BC306" s="758"/>
      <c r="BD306" s="758"/>
      <c r="BE306" s="758"/>
      <c r="BF306" s="758"/>
      <c r="BG306" s="518">
        <f t="shared" si="149"/>
        <v>0</v>
      </c>
      <c r="BH306" s="758"/>
      <c r="BI306" s="758"/>
      <c r="BJ306" s="758"/>
      <c r="BK306" s="758"/>
      <c r="BL306" s="518">
        <f t="shared" si="145"/>
        <v>0</v>
      </c>
      <c r="BN306" s="758"/>
      <c r="BO306" s="758"/>
      <c r="BP306" s="758"/>
      <c r="BQ306" s="758"/>
      <c r="BR306" s="758">
        <f t="shared" si="150"/>
        <v>0</v>
      </c>
      <c r="BS306" s="758"/>
      <c r="BT306" s="758"/>
      <c r="BU306" s="758"/>
      <c r="BV306" s="758"/>
      <c r="BW306" s="758"/>
      <c r="BX306" s="758"/>
      <c r="BY306" s="758"/>
      <c r="BZ306" s="791">
        <v>0</v>
      </c>
      <c r="CB306" s="758"/>
      <c r="CC306" s="758"/>
      <c r="CD306" s="758"/>
      <c r="CE306" s="758"/>
      <c r="CF306" s="758">
        <f t="shared" si="151"/>
        <v>0</v>
      </c>
      <c r="CG306" s="758"/>
      <c r="CH306" s="758"/>
      <c r="CI306" s="758"/>
      <c r="CJ306" s="758"/>
      <c r="CK306" s="758"/>
      <c r="CL306" s="758"/>
      <c r="CM306" s="758"/>
      <c r="CN306" s="791">
        <v>0</v>
      </c>
      <c r="CP306" s="653"/>
      <c r="CQ306" s="653"/>
      <c r="CR306" s="524"/>
      <c r="CS306" s="653"/>
      <c r="CT306" s="524"/>
      <c r="CU306" s="653"/>
      <c r="CV306" s="524"/>
      <c r="CW306" s="653"/>
      <c r="CX306" s="524">
        <v>10000000</v>
      </c>
      <c r="CY306" s="653"/>
      <c r="CZ306" s="524">
        <v>50000000</v>
      </c>
      <c r="DA306" s="653"/>
      <c r="DB306" s="524">
        <v>25000000</v>
      </c>
      <c r="DC306" s="653">
        <v>0</v>
      </c>
      <c r="DD306" s="524">
        <v>25000000</v>
      </c>
      <c r="DE306" s="758"/>
      <c r="DF306" s="524">
        <v>25000000</v>
      </c>
      <c r="DG306" s="757">
        <v>20000000</v>
      </c>
      <c r="DH306" s="758"/>
      <c r="DI306" s="524">
        <v>25000000</v>
      </c>
      <c r="DJ306" s="757">
        <v>20000000</v>
      </c>
      <c r="DK306" s="758"/>
      <c r="DL306" s="524">
        <v>25000000</v>
      </c>
      <c r="DM306" s="757">
        <v>20000000</v>
      </c>
      <c r="DN306" s="758"/>
      <c r="DO306" s="524">
        <v>25000000</v>
      </c>
      <c r="DP306" s="757">
        <v>20000000</v>
      </c>
      <c r="DQ306" s="493">
        <f t="shared" si="140"/>
        <v>100000000</v>
      </c>
      <c r="DR306" s="479">
        <f t="shared" si="141"/>
        <v>80000000</v>
      </c>
      <c r="DS306" s="1019"/>
      <c r="DT306" s="1019"/>
      <c r="DU306" s="1019"/>
      <c r="DV306" s="1019"/>
      <c r="DW306" s="1019"/>
      <c r="DX306" s="1019"/>
      <c r="DY306" s="1019"/>
      <c r="DZ306" s="1019"/>
      <c r="EA306" s="1019"/>
      <c r="EB306" s="1019"/>
      <c r="EC306" s="1019"/>
      <c r="ED306" s="1019"/>
      <c r="EE306" s="1119">
        <f t="shared" si="142"/>
        <v>0</v>
      </c>
      <c r="EF306" s="443">
        <f t="shared" si="146"/>
        <v>0</v>
      </c>
      <c r="EG306" s="443">
        <f t="shared" si="147"/>
        <v>0</v>
      </c>
      <c r="EH306" s="443">
        <f t="shared" si="148"/>
        <v>0</v>
      </c>
      <c r="EI306" s="443">
        <f t="shared" si="148"/>
        <v>0</v>
      </c>
      <c r="EJ306" s="367">
        <v>3000008794</v>
      </c>
    </row>
    <row r="307" spans="1:140" outlineLevel="2">
      <c r="A307" s="367" t="s">
        <v>194</v>
      </c>
      <c r="B307" s="378"/>
      <c r="C307" s="370" t="s">
        <v>358</v>
      </c>
      <c r="D307" s="370" t="s">
        <v>40</v>
      </c>
      <c r="E307" s="396" t="s">
        <v>395</v>
      </c>
      <c r="F307" s="380">
        <v>8000000019</v>
      </c>
      <c r="G307" s="14">
        <v>398472000</v>
      </c>
      <c r="H307" s="14">
        <v>348674000</v>
      </c>
      <c r="I307" s="14">
        <v>373214500</v>
      </c>
      <c r="J307" s="14">
        <v>412952000</v>
      </c>
      <c r="K307" s="14">
        <v>617646500</v>
      </c>
      <c r="L307" s="14">
        <v>401182000</v>
      </c>
      <c r="M307" s="14">
        <v>239344000</v>
      </c>
      <c r="N307" s="14">
        <v>341084500</v>
      </c>
      <c r="O307" s="14">
        <v>362569000</v>
      </c>
      <c r="P307" s="14">
        <v>550650500</v>
      </c>
      <c r="Q307" s="14">
        <v>692430000</v>
      </c>
      <c r="R307" s="14">
        <v>524636000</v>
      </c>
      <c r="S307" s="14">
        <f t="shared" si="143"/>
        <v>5262855000</v>
      </c>
      <c r="T307" s="179"/>
      <c r="U307" s="14">
        <v>444586000</v>
      </c>
      <c r="V307" s="14">
        <v>559734058</v>
      </c>
      <c r="W307" s="14">
        <v>693181000</v>
      </c>
      <c r="X307" s="14">
        <v>576865750</v>
      </c>
      <c r="Y307" s="14">
        <v>683057000</v>
      </c>
      <c r="Z307" s="14">
        <v>652959500</v>
      </c>
      <c r="AA307" s="14">
        <v>760513500</v>
      </c>
      <c r="AB307" s="14">
        <v>258073500</v>
      </c>
      <c r="AC307" s="14">
        <v>421207000</v>
      </c>
      <c r="AD307" s="14">
        <v>270665000</v>
      </c>
      <c r="AE307" s="14">
        <v>538761500</v>
      </c>
      <c r="AF307" s="14">
        <v>737254500</v>
      </c>
      <c r="AG307" s="759">
        <f t="shared" si="144"/>
        <v>6596858308</v>
      </c>
      <c r="AH307" s="788"/>
      <c r="AI307" s="827">
        <v>473010000</v>
      </c>
      <c r="AJ307" s="810">
        <v>227038000</v>
      </c>
      <c r="AK307" s="758">
        <v>202112000</v>
      </c>
      <c r="AL307" s="758">
        <v>337382000</v>
      </c>
      <c r="AM307" s="758">
        <v>166612000</v>
      </c>
      <c r="AN307" s="758">
        <v>66552000</v>
      </c>
      <c r="AO307" s="758">
        <v>283842500</v>
      </c>
      <c r="AP307" s="758">
        <v>176320000</v>
      </c>
      <c r="AQ307" s="518">
        <v>307495555</v>
      </c>
      <c r="AR307" s="813">
        <v>354650000</v>
      </c>
      <c r="AS307" s="813">
        <v>774329000</v>
      </c>
      <c r="AT307" s="813">
        <v>484746000</v>
      </c>
      <c r="AU307" s="518">
        <f>BI307</f>
        <v>200000000</v>
      </c>
      <c r="AV307" s="518">
        <f>BJ307</f>
        <v>200000000</v>
      </c>
      <c r="AW307" s="518">
        <f>BK307</f>
        <v>283842500</v>
      </c>
      <c r="AX307" s="518">
        <f t="shared" si="139"/>
        <v>3854089055</v>
      </c>
      <c r="AY307" s="788"/>
      <c r="AZ307" s="827">
        <v>473010000</v>
      </c>
      <c r="BA307" s="810">
        <v>227038000</v>
      </c>
      <c r="BB307" s="758">
        <v>202112000</v>
      </c>
      <c r="BC307" s="758">
        <v>337382000</v>
      </c>
      <c r="BD307" s="758">
        <v>166612000</v>
      </c>
      <c r="BE307" s="758">
        <v>66552000</v>
      </c>
      <c r="BF307" s="758">
        <v>283842500</v>
      </c>
      <c r="BG307" s="518">
        <f t="shared" si="149"/>
        <v>176320000</v>
      </c>
      <c r="BH307" s="758">
        <v>283842500</v>
      </c>
      <c r="BI307" s="758">
        <v>200000000</v>
      </c>
      <c r="BJ307" s="758">
        <v>200000000</v>
      </c>
      <c r="BK307" s="758">
        <v>283842500</v>
      </c>
      <c r="BL307" s="759">
        <f t="shared" si="145"/>
        <v>2900553500</v>
      </c>
      <c r="BN307" s="758">
        <v>200000000</v>
      </c>
      <c r="BO307" s="758">
        <v>200000000</v>
      </c>
      <c r="BP307" s="758">
        <v>200000000</v>
      </c>
      <c r="BQ307" s="758">
        <v>200000000</v>
      </c>
      <c r="BR307" s="758">
        <f t="shared" si="150"/>
        <v>170000000</v>
      </c>
      <c r="BS307" s="758">
        <v>200000000</v>
      </c>
      <c r="BT307" s="758">
        <v>200000000</v>
      </c>
      <c r="BU307" s="758">
        <v>200000000</v>
      </c>
      <c r="BV307" s="758">
        <v>200000000</v>
      </c>
      <c r="BW307" s="758">
        <v>200000000</v>
      </c>
      <c r="BX307" s="758">
        <v>200000000</v>
      </c>
      <c r="BY307" s="758">
        <v>200000000</v>
      </c>
      <c r="BZ307" s="791">
        <v>2370000000</v>
      </c>
      <c r="CB307" s="758">
        <v>200000000</v>
      </c>
      <c r="CC307" s="758">
        <v>200000000</v>
      </c>
      <c r="CD307" s="758">
        <v>200000000</v>
      </c>
      <c r="CE307" s="758">
        <v>200000000</v>
      </c>
      <c r="CF307" s="758">
        <f t="shared" si="151"/>
        <v>170000000</v>
      </c>
      <c r="CG307" s="758">
        <v>200000000</v>
      </c>
      <c r="CH307" s="758">
        <v>200000000</v>
      </c>
      <c r="CI307" s="758">
        <v>200000000</v>
      </c>
      <c r="CJ307" s="758">
        <v>200000000</v>
      </c>
      <c r="CK307" s="758">
        <v>200000000</v>
      </c>
      <c r="CL307" s="758">
        <v>200000000</v>
      </c>
      <c r="CM307" s="758">
        <v>200000000</v>
      </c>
      <c r="CN307" s="791">
        <v>2370000000</v>
      </c>
      <c r="CP307" s="653">
        <v>2950000</v>
      </c>
      <c r="CQ307" s="653">
        <v>1960000</v>
      </c>
      <c r="CR307" s="524">
        <v>0</v>
      </c>
      <c r="CS307" s="653">
        <v>1960000</v>
      </c>
      <c r="CT307" s="524">
        <v>0</v>
      </c>
      <c r="CU307" s="653">
        <v>1960000</v>
      </c>
      <c r="CV307" s="524"/>
      <c r="CW307" s="653">
        <v>1470000</v>
      </c>
      <c r="CX307" s="524"/>
      <c r="CY307" s="653"/>
      <c r="CZ307" s="524"/>
      <c r="DA307" s="653">
        <v>2450000</v>
      </c>
      <c r="DB307" s="524"/>
      <c r="DC307" s="653">
        <v>2450000</v>
      </c>
      <c r="DD307" s="524"/>
      <c r="DE307" s="758"/>
      <c r="DF307" s="524"/>
      <c r="DG307" s="757">
        <v>2500000</v>
      </c>
      <c r="DH307" s="758"/>
      <c r="DI307" s="524"/>
      <c r="DJ307" s="757">
        <v>2500000</v>
      </c>
      <c r="DK307" s="758"/>
      <c r="DL307" s="524"/>
      <c r="DM307" s="757">
        <v>2500000</v>
      </c>
      <c r="DN307" s="758"/>
      <c r="DO307" s="524"/>
      <c r="DP307" s="757">
        <v>2500000</v>
      </c>
      <c r="DQ307" s="493">
        <f t="shared" si="140"/>
        <v>15200000</v>
      </c>
      <c r="DR307" s="479">
        <f t="shared" si="141"/>
        <v>25200000</v>
      </c>
      <c r="DS307" s="1019"/>
      <c r="DT307" s="1019"/>
      <c r="DU307" s="1019"/>
      <c r="DV307" s="1019"/>
      <c r="DW307" s="1019"/>
      <c r="DX307" s="1019"/>
      <c r="DY307" s="1019"/>
      <c r="DZ307" s="1019"/>
      <c r="EA307" s="1019"/>
      <c r="EB307" s="1019"/>
      <c r="EC307" s="1019"/>
      <c r="ED307" s="1019"/>
      <c r="EE307" s="1119">
        <f t="shared" si="142"/>
        <v>0</v>
      </c>
      <c r="EF307" s="443">
        <v>3327480000</v>
      </c>
      <c r="EG307" s="443">
        <v>3593678400</v>
      </c>
      <c r="EH307" s="443">
        <v>3917109456.0000005</v>
      </c>
      <c r="EI307" s="443">
        <v>3917109456.0000005</v>
      </c>
      <c r="EJ307" s="367">
        <v>8000000019</v>
      </c>
    </row>
    <row r="308" spans="1:140" outlineLevel="2">
      <c r="A308" s="367" t="s">
        <v>194</v>
      </c>
      <c r="B308" s="378"/>
      <c r="C308" s="370" t="s">
        <v>358</v>
      </c>
      <c r="D308" s="370" t="s">
        <v>40</v>
      </c>
      <c r="E308" s="396" t="s">
        <v>62</v>
      </c>
      <c r="F308" s="380"/>
      <c r="G308" s="188"/>
      <c r="H308" s="13"/>
      <c r="I308" s="185"/>
      <c r="J308" s="185"/>
      <c r="K308" s="185"/>
      <c r="L308" s="185"/>
      <c r="M308" s="185"/>
      <c r="N308" s="185"/>
      <c r="O308" s="185"/>
      <c r="P308" s="185"/>
      <c r="Q308" s="185"/>
      <c r="R308" s="185"/>
      <c r="S308" s="14"/>
      <c r="T308" s="179"/>
      <c r="U308" s="188"/>
      <c r="V308" s="13"/>
      <c r="W308" s="185"/>
      <c r="X308" s="185"/>
      <c r="Y308" s="185"/>
      <c r="Z308" s="185"/>
      <c r="AA308" s="185"/>
      <c r="AB308" s="185"/>
      <c r="AC308" s="185"/>
      <c r="AD308" s="185"/>
      <c r="AE308" s="185"/>
      <c r="AF308" s="185"/>
      <c r="AG308" s="759"/>
      <c r="AH308" s="788"/>
      <c r="AI308" s="827"/>
      <c r="AJ308" s="810"/>
      <c r="AK308" s="758"/>
      <c r="AL308" s="758"/>
      <c r="AM308" s="758"/>
      <c r="AN308" s="758"/>
      <c r="AO308" s="758"/>
      <c r="AP308" s="758"/>
      <c r="AQ308" s="518"/>
      <c r="AR308" s="813"/>
      <c r="AS308" s="813"/>
      <c r="AT308" s="813">
        <v>3009000</v>
      </c>
      <c r="AU308" s="828"/>
      <c r="AV308" s="828"/>
      <c r="AW308" s="828"/>
      <c r="AX308" s="518">
        <f t="shared" si="139"/>
        <v>3009000</v>
      </c>
      <c r="AY308" s="788"/>
      <c r="AZ308" s="827"/>
      <c r="BA308" s="810"/>
      <c r="BB308" s="758"/>
      <c r="BC308" s="758"/>
      <c r="BD308" s="758"/>
      <c r="BE308" s="758"/>
      <c r="BF308" s="758"/>
      <c r="BG308" s="758"/>
      <c r="BH308" s="758"/>
      <c r="BI308" s="758"/>
      <c r="BJ308" s="758"/>
      <c r="BK308" s="758"/>
      <c r="BL308" s="759"/>
      <c r="BN308" s="758"/>
      <c r="BO308" s="758"/>
      <c r="BP308" s="758"/>
      <c r="BQ308" s="758"/>
      <c r="BR308" s="758"/>
      <c r="BS308" s="758"/>
      <c r="BT308" s="758"/>
      <c r="BU308" s="758"/>
      <c r="BV308" s="758"/>
      <c r="BW308" s="758"/>
      <c r="BX308" s="758"/>
      <c r="BY308" s="758"/>
      <c r="BZ308" s="791">
        <v>0</v>
      </c>
      <c r="CB308" s="758"/>
      <c r="CC308" s="758"/>
      <c r="CD308" s="758"/>
      <c r="CE308" s="758"/>
      <c r="CF308" s="758"/>
      <c r="CG308" s="758"/>
      <c r="CH308" s="758"/>
      <c r="CI308" s="758"/>
      <c r="CJ308" s="758"/>
      <c r="CK308" s="758"/>
      <c r="CL308" s="758"/>
      <c r="CM308" s="758"/>
      <c r="CN308" s="791">
        <v>0</v>
      </c>
      <c r="CP308" s="653"/>
      <c r="CQ308" s="653"/>
      <c r="CR308" s="524"/>
      <c r="CS308" s="653"/>
      <c r="CT308" s="524"/>
      <c r="CU308" s="653"/>
      <c r="CV308" s="524"/>
      <c r="CW308" s="653"/>
      <c r="CX308" s="524"/>
      <c r="CY308" s="653"/>
      <c r="CZ308" s="524"/>
      <c r="DA308" s="653"/>
      <c r="DB308" s="524"/>
      <c r="DC308" s="653">
        <v>0</v>
      </c>
      <c r="DD308" s="524"/>
      <c r="DE308" s="758"/>
      <c r="DF308" s="524"/>
      <c r="DG308" s="757"/>
      <c r="DH308" s="758"/>
      <c r="DI308" s="524"/>
      <c r="DJ308" s="757"/>
      <c r="DK308" s="758"/>
      <c r="DL308" s="524"/>
      <c r="DM308" s="757"/>
      <c r="DN308" s="758"/>
      <c r="DO308" s="524"/>
      <c r="DP308" s="757"/>
      <c r="DQ308" s="493">
        <f t="shared" si="140"/>
        <v>0</v>
      </c>
      <c r="DR308" s="479">
        <f t="shared" si="141"/>
        <v>0</v>
      </c>
      <c r="DS308" s="1019"/>
      <c r="DT308" s="1019"/>
      <c r="DU308" s="1019"/>
      <c r="DV308" s="1019"/>
      <c r="DW308" s="1019"/>
      <c r="DX308" s="1019"/>
      <c r="DY308" s="1019"/>
      <c r="DZ308" s="1019"/>
      <c r="EA308" s="1019"/>
      <c r="EB308" s="1019"/>
      <c r="EC308" s="1019"/>
      <c r="ED308" s="1019"/>
      <c r="EE308" s="1119">
        <f t="shared" si="142"/>
        <v>0</v>
      </c>
      <c r="EF308" s="443"/>
      <c r="EG308" s="443"/>
      <c r="EH308" s="443"/>
      <c r="EI308" s="443"/>
    </row>
    <row r="309" spans="1:140" outlineLevel="2">
      <c r="A309" s="367" t="s">
        <v>192</v>
      </c>
      <c r="B309" s="378"/>
      <c r="C309" s="370" t="s">
        <v>358</v>
      </c>
      <c r="E309" s="396" t="s">
        <v>599</v>
      </c>
      <c r="F309" s="380">
        <v>3000018657</v>
      </c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>
        <f t="shared" ref="S309:S325" si="154">SUM(G309,H309,I309,J309,K309,L309,M309,N309,O309,P309,Q309,R309)</f>
        <v>0</v>
      </c>
      <c r="T309" s="15"/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4100000</v>
      </c>
      <c r="AC309" s="14">
        <v>0</v>
      </c>
      <c r="AD309" s="14">
        <v>0</v>
      </c>
      <c r="AE309" s="14">
        <v>0</v>
      </c>
      <c r="AF309" s="14">
        <v>0</v>
      </c>
      <c r="AG309" s="759">
        <f t="shared" ref="AG309:AG325" si="155">SUM(U309,V309,W309,X309,Y309,Z309,AA309,AB309,AC309,AD309,AE309,AF309)</f>
        <v>4100000</v>
      </c>
      <c r="AH309" s="811"/>
      <c r="AI309" s="759"/>
      <c r="AJ309" s="810"/>
      <c r="AK309" s="758"/>
      <c r="AL309" s="758"/>
      <c r="AM309" s="758"/>
      <c r="AN309" s="758"/>
      <c r="AO309" s="758"/>
      <c r="AP309" s="758"/>
      <c r="AQ309" s="518">
        <v>0</v>
      </c>
      <c r="AR309" s="518"/>
      <c r="AS309" s="518"/>
      <c r="AT309" s="518"/>
      <c r="AU309" s="518"/>
      <c r="AV309" s="518"/>
      <c r="AW309" s="518"/>
      <c r="AX309" s="518">
        <f t="shared" si="139"/>
        <v>0</v>
      </c>
      <c r="AY309" s="811"/>
      <c r="AZ309" s="759"/>
      <c r="BA309" s="810"/>
      <c r="BB309" s="758"/>
      <c r="BC309" s="758"/>
      <c r="BD309" s="758"/>
      <c r="BE309" s="758"/>
      <c r="BF309" s="758"/>
      <c r="BG309" s="518">
        <f t="shared" ref="BG309:BG314" si="156">AP309</f>
        <v>0</v>
      </c>
      <c r="BH309" s="758"/>
      <c r="BI309" s="758"/>
      <c r="BJ309" s="758"/>
      <c r="BK309" s="758"/>
      <c r="BL309" s="518">
        <f t="shared" ref="BL309:BL325" si="157">SUM(AZ309,BA309,BB309,BC309,BD309,BE309,BF309,BG309,BH309,BI309,BJ309,BK309)</f>
        <v>0</v>
      </c>
      <c r="BN309" s="758"/>
      <c r="BO309" s="758"/>
      <c r="BP309" s="758"/>
      <c r="BQ309" s="758"/>
      <c r="BR309" s="758">
        <f t="shared" ref="BR309:BR325" si="158">BQ309*0.85</f>
        <v>0</v>
      </c>
      <c r="BS309" s="758"/>
      <c r="BT309" s="758"/>
      <c r="BU309" s="758"/>
      <c r="BV309" s="758"/>
      <c r="BW309" s="758"/>
      <c r="BX309" s="758"/>
      <c r="BY309" s="758"/>
      <c r="BZ309" s="791">
        <v>0</v>
      </c>
      <c r="CB309" s="758"/>
      <c r="CC309" s="758"/>
      <c r="CD309" s="758"/>
      <c r="CE309" s="758"/>
      <c r="CF309" s="758">
        <f t="shared" ref="CF309:CF325" si="159">CE309*0.85</f>
        <v>0</v>
      </c>
      <c r="CG309" s="758"/>
      <c r="CH309" s="758"/>
      <c r="CI309" s="758"/>
      <c r="CJ309" s="758"/>
      <c r="CK309" s="758"/>
      <c r="CL309" s="758"/>
      <c r="CM309" s="758"/>
      <c r="CN309" s="791">
        <v>0</v>
      </c>
      <c r="CP309" s="653"/>
      <c r="CQ309" s="653"/>
      <c r="CR309" s="524"/>
      <c r="CS309" s="653"/>
      <c r="CT309" s="524"/>
      <c r="CU309" s="653"/>
      <c r="CV309" s="524"/>
      <c r="CW309" s="653"/>
      <c r="CX309" s="524"/>
      <c r="CY309" s="653"/>
      <c r="CZ309" s="524"/>
      <c r="DA309" s="653"/>
      <c r="DB309" s="524"/>
      <c r="DC309" s="653">
        <v>0</v>
      </c>
      <c r="DD309" s="524"/>
      <c r="DE309" s="758"/>
      <c r="DF309" s="524"/>
      <c r="DG309" s="757"/>
      <c r="DH309" s="758"/>
      <c r="DI309" s="524"/>
      <c r="DJ309" s="757"/>
      <c r="DK309" s="758"/>
      <c r="DL309" s="524"/>
      <c r="DM309" s="757"/>
      <c r="DN309" s="758"/>
      <c r="DO309" s="524"/>
      <c r="DP309" s="757"/>
      <c r="DQ309" s="493">
        <f t="shared" si="140"/>
        <v>0</v>
      </c>
      <c r="DR309" s="479">
        <f t="shared" si="141"/>
        <v>0</v>
      </c>
      <c r="DS309" s="1019"/>
      <c r="DT309" s="1019"/>
      <c r="DU309" s="1019"/>
      <c r="DV309" s="1019"/>
      <c r="DW309" s="1019"/>
      <c r="DX309" s="1019"/>
      <c r="DY309" s="1019"/>
      <c r="DZ309" s="1019"/>
      <c r="EA309" s="1019"/>
      <c r="EB309" s="1019"/>
      <c r="EC309" s="1019"/>
      <c r="ED309" s="1019"/>
      <c r="EE309" s="1119">
        <f t="shared" si="142"/>
        <v>0</v>
      </c>
      <c r="EF309" s="443">
        <f t="shared" ref="EF309:EF325" si="160">EE309*1.17</f>
        <v>0</v>
      </c>
      <c r="EG309" s="443">
        <f t="shared" ref="EG309:EG315" si="161">EF309*1.08</f>
        <v>0</v>
      </c>
      <c r="EH309" s="443">
        <f t="shared" ref="EH309:EI315" si="162">EG309*1.09</f>
        <v>0</v>
      </c>
      <c r="EI309" s="443">
        <f t="shared" si="162"/>
        <v>0</v>
      </c>
      <c r="EJ309" s="367">
        <v>3000018657</v>
      </c>
    </row>
    <row r="310" spans="1:140" outlineLevel="2">
      <c r="A310" s="367" t="s">
        <v>194</v>
      </c>
      <c r="B310" s="378"/>
      <c r="C310" s="370" t="s">
        <v>358</v>
      </c>
      <c r="D310" s="370" t="s">
        <v>40</v>
      </c>
      <c r="E310" s="396" t="s">
        <v>198</v>
      </c>
      <c r="F310" s="380">
        <v>3000009088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f t="shared" si="154"/>
        <v>0</v>
      </c>
      <c r="T310" s="15"/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759">
        <f t="shared" si="155"/>
        <v>0</v>
      </c>
      <c r="AH310" s="811"/>
      <c r="AI310" s="759">
        <v>283975000</v>
      </c>
      <c r="AJ310" s="810">
        <v>328375000</v>
      </c>
      <c r="AK310" s="758">
        <v>369075000</v>
      </c>
      <c r="AL310" s="758">
        <v>414400000</v>
      </c>
      <c r="AM310" s="758">
        <v>155400000</v>
      </c>
      <c r="AN310" s="758">
        <v>253180000</v>
      </c>
      <c r="AO310" s="758">
        <v>402375000</v>
      </c>
      <c r="AP310" s="758">
        <v>288600000</v>
      </c>
      <c r="AQ310" s="518">
        <v>223850000</v>
      </c>
      <c r="AR310" s="813">
        <v>252525000</v>
      </c>
      <c r="AS310" s="813">
        <v>299700000</v>
      </c>
      <c r="AT310" s="813">
        <v>214600000</v>
      </c>
      <c r="AU310" s="794">
        <f>300000000</f>
        <v>300000000</v>
      </c>
      <c r="AV310" s="794">
        <f>300000000</f>
        <v>300000000</v>
      </c>
      <c r="AW310" s="794">
        <f>300000000</f>
        <v>300000000</v>
      </c>
      <c r="AX310" s="518">
        <f t="shared" si="139"/>
        <v>3486055000</v>
      </c>
      <c r="AY310" s="811"/>
      <c r="AZ310" s="759">
        <v>283975000</v>
      </c>
      <c r="BA310" s="810">
        <v>328375000</v>
      </c>
      <c r="BB310" s="758">
        <v>369075000</v>
      </c>
      <c r="BC310" s="758">
        <v>414400000</v>
      </c>
      <c r="BD310" s="758">
        <v>155400000</v>
      </c>
      <c r="BE310" s="758">
        <v>253180000</v>
      </c>
      <c r="BF310" s="758">
        <v>402375000</v>
      </c>
      <c r="BG310" s="518">
        <f t="shared" si="156"/>
        <v>288600000</v>
      </c>
      <c r="BH310" s="758">
        <v>350000000</v>
      </c>
      <c r="BI310" s="758">
        <v>350000000</v>
      </c>
      <c r="BJ310" s="758">
        <v>350000000</v>
      </c>
      <c r="BK310" s="758">
        <v>350000000</v>
      </c>
      <c r="BL310" s="759">
        <f t="shared" si="157"/>
        <v>3895380000</v>
      </c>
      <c r="BN310" s="758">
        <v>0</v>
      </c>
      <c r="BO310" s="758">
        <v>0</v>
      </c>
      <c r="BP310" s="758">
        <v>0</v>
      </c>
      <c r="BQ310" s="758">
        <v>0</v>
      </c>
      <c r="BR310" s="758">
        <f t="shared" si="158"/>
        <v>0</v>
      </c>
      <c r="BS310" s="758">
        <v>0</v>
      </c>
      <c r="BT310" s="758">
        <v>0</v>
      </c>
      <c r="BU310" s="758">
        <v>0</v>
      </c>
      <c r="BV310" s="758">
        <v>0</v>
      </c>
      <c r="BW310" s="758">
        <v>0</v>
      </c>
      <c r="BX310" s="758">
        <v>0</v>
      </c>
      <c r="BY310" s="758">
        <v>0</v>
      </c>
      <c r="BZ310" s="791">
        <v>0</v>
      </c>
      <c r="CB310" s="758">
        <v>0</v>
      </c>
      <c r="CC310" s="758">
        <v>0</v>
      </c>
      <c r="CD310" s="758">
        <v>0</v>
      </c>
      <c r="CE310" s="758">
        <v>0</v>
      </c>
      <c r="CF310" s="758">
        <f t="shared" si="159"/>
        <v>0</v>
      </c>
      <c r="CG310" s="758">
        <v>0</v>
      </c>
      <c r="CH310" s="758">
        <v>0</v>
      </c>
      <c r="CI310" s="758">
        <v>0</v>
      </c>
      <c r="CJ310" s="758">
        <v>0</v>
      </c>
      <c r="CK310" s="758">
        <v>0</v>
      </c>
      <c r="CL310" s="758">
        <v>0</v>
      </c>
      <c r="CM310" s="758">
        <v>0</v>
      </c>
      <c r="CN310" s="791">
        <v>0</v>
      </c>
      <c r="CP310" s="653">
        <v>24050000</v>
      </c>
      <c r="CQ310" s="653"/>
      <c r="CR310" s="524">
        <v>0</v>
      </c>
      <c r="CS310" s="653"/>
      <c r="CT310" s="524">
        <v>0</v>
      </c>
      <c r="CU310" s="653"/>
      <c r="CV310" s="524"/>
      <c r="CW310" s="653"/>
      <c r="CX310" s="524"/>
      <c r="CY310" s="653"/>
      <c r="CZ310" s="524"/>
      <c r="DA310" s="653"/>
      <c r="DB310" s="524"/>
      <c r="DC310" s="653">
        <v>0</v>
      </c>
      <c r="DD310" s="524"/>
      <c r="DE310" s="758"/>
      <c r="DF310" s="524"/>
      <c r="DG310" s="757"/>
      <c r="DH310" s="758"/>
      <c r="DI310" s="524"/>
      <c r="DJ310" s="757"/>
      <c r="DK310" s="758"/>
      <c r="DL310" s="524"/>
      <c r="DM310" s="757"/>
      <c r="DN310" s="758"/>
      <c r="DO310" s="524"/>
      <c r="DP310" s="757"/>
      <c r="DQ310" s="493">
        <f t="shared" si="140"/>
        <v>24050000</v>
      </c>
      <c r="DR310" s="479">
        <f t="shared" si="141"/>
        <v>24050000</v>
      </c>
      <c r="DS310" s="1019"/>
      <c r="DT310" s="1019"/>
      <c r="DU310" s="1019"/>
      <c r="DV310" s="1019"/>
      <c r="DW310" s="1019"/>
      <c r="DX310" s="1019"/>
      <c r="DY310" s="1019"/>
      <c r="DZ310" s="1019"/>
      <c r="EA310" s="1019"/>
      <c r="EB310" s="1019"/>
      <c r="EC310" s="1019"/>
      <c r="ED310" s="1019"/>
      <c r="EE310" s="1119">
        <f t="shared" si="142"/>
        <v>0</v>
      </c>
      <c r="EF310" s="443">
        <f t="shared" si="160"/>
        <v>0</v>
      </c>
      <c r="EG310" s="443">
        <f t="shared" si="161"/>
        <v>0</v>
      </c>
      <c r="EH310" s="443">
        <f t="shared" si="162"/>
        <v>0</v>
      </c>
      <c r="EI310" s="443">
        <f t="shared" si="162"/>
        <v>0</v>
      </c>
      <c r="EJ310" s="367">
        <v>3000009088</v>
      </c>
    </row>
    <row r="311" spans="1:140" outlineLevel="2">
      <c r="A311" s="367" t="s">
        <v>194</v>
      </c>
      <c r="B311" s="378"/>
      <c r="C311" s="370" t="s">
        <v>358</v>
      </c>
      <c r="D311" s="370" t="s">
        <v>40</v>
      </c>
      <c r="E311" s="396" t="s">
        <v>199</v>
      </c>
      <c r="F311" s="380">
        <v>3000001618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f t="shared" si="154"/>
        <v>0</v>
      </c>
      <c r="T311" s="15"/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759">
        <f t="shared" si="155"/>
        <v>0</v>
      </c>
      <c r="AH311" s="811"/>
      <c r="AI311" s="759">
        <v>31450000</v>
      </c>
      <c r="AJ311" s="810">
        <v>35720000</v>
      </c>
      <c r="AK311" s="758">
        <v>33170000</v>
      </c>
      <c r="AL311" s="758">
        <v>20000000</v>
      </c>
      <c r="AM311" s="758">
        <v>13000000</v>
      </c>
      <c r="AN311" s="758">
        <v>33500000</v>
      </c>
      <c r="AO311" s="758">
        <v>34000000</v>
      </c>
      <c r="AP311" s="758">
        <v>22000000</v>
      </c>
      <c r="AQ311" s="518">
        <v>24000000</v>
      </c>
      <c r="AR311" s="813">
        <v>16000000</v>
      </c>
      <c r="AS311" s="813">
        <v>14000000</v>
      </c>
      <c r="AT311" s="813">
        <v>34000000</v>
      </c>
      <c r="AU311" s="794">
        <f>30000000</f>
        <v>30000000</v>
      </c>
      <c r="AV311" s="794">
        <f>30000000</f>
        <v>30000000</v>
      </c>
      <c r="AW311" s="794">
        <f>30000000</f>
        <v>30000000</v>
      </c>
      <c r="AX311" s="518">
        <f t="shared" si="139"/>
        <v>310840000</v>
      </c>
      <c r="AY311" s="811"/>
      <c r="AZ311" s="759">
        <v>31450000</v>
      </c>
      <c r="BA311" s="810">
        <v>35720000</v>
      </c>
      <c r="BB311" s="758">
        <v>33170000</v>
      </c>
      <c r="BC311" s="758">
        <v>20000000</v>
      </c>
      <c r="BD311" s="758">
        <v>13000000</v>
      </c>
      <c r="BE311" s="758">
        <v>33500000</v>
      </c>
      <c r="BF311" s="758">
        <v>34000000</v>
      </c>
      <c r="BG311" s="518">
        <f t="shared" si="156"/>
        <v>22000000</v>
      </c>
      <c r="BH311" s="758">
        <v>34000000</v>
      </c>
      <c r="BI311" s="758">
        <v>34000000</v>
      </c>
      <c r="BJ311" s="758">
        <v>34000000</v>
      </c>
      <c r="BK311" s="758">
        <v>34000000</v>
      </c>
      <c r="BL311" s="759">
        <f t="shared" si="157"/>
        <v>358840000</v>
      </c>
      <c r="BN311" s="758">
        <v>35000000</v>
      </c>
      <c r="BO311" s="758">
        <v>35000000</v>
      </c>
      <c r="BP311" s="758">
        <v>35000000</v>
      </c>
      <c r="BQ311" s="758">
        <v>35000000</v>
      </c>
      <c r="BR311" s="758">
        <f t="shared" si="158"/>
        <v>29750000</v>
      </c>
      <c r="BS311" s="758">
        <v>35000000</v>
      </c>
      <c r="BT311" s="758">
        <v>35000000</v>
      </c>
      <c r="BU311" s="758">
        <v>35000000</v>
      </c>
      <c r="BV311" s="758">
        <v>35000000</v>
      </c>
      <c r="BW311" s="758">
        <v>35000000</v>
      </c>
      <c r="BX311" s="758">
        <v>35000000</v>
      </c>
      <c r="BY311" s="758">
        <v>35000000</v>
      </c>
      <c r="BZ311" s="791">
        <v>414750000</v>
      </c>
      <c r="CB311" s="758">
        <v>35000000</v>
      </c>
      <c r="CC311" s="758">
        <v>35000000</v>
      </c>
      <c r="CD311" s="758">
        <v>35000000</v>
      </c>
      <c r="CE311" s="758">
        <v>35000000</v>
      </c>
      <c r="CF311" s="758">
        <f t="shared" si="159"/>
        <v>29750000</v>
      </c>
      <c r="CG311" s="758">
        <v>35000000</v>
      </c>
      <c r="CH311" s="758">
        <v>35000000</v>
      </c>
      <c r="CI311" s="758">
        <v>35000000</v>
      </c>
      <c r="CJ311" s="758">
        <v>35000000</v>
      </c>
      <c r="CK311" s="758">
        <v>35000000</v>
      </c>
      <c r="CL311" s="758">
        <v>35000000</v>
      </c>
      <c r="CM311" s="758">
        <v>35000000</v>
      </c>
      <c r="CN311" s="791">
        <v>414750000</v>
      </c>
      <c r="CP311" s="653">
        <v>22000000</v>
      </c>
      <c r="CQ311" s="653">
        <v>26000000</v>
      </c>
      <c r="CR311" s="524">
        <v>25000000</v>
      </c>
      <c r="CS311" s="653">
        <v>27500000</v>
      </c>
      <c r="CT311" s="524">
        <v>25000000</v>
      </c>
      <c r="CU311" s="653">
        <v>31000000</v>
      </c>
      <c r="CV311" s="524">
        <v>35000000</v>
      </c>
      <c r="CW311" s="653">
        <v>19500000</v>
      </c>
      <c r="CX311" s="524">
        <v>15000000</v>
      </c>
      <c r="CY311" s="653">
        <v>44500000</v>
      </c>
      <c r="CZ311" s="524">
        <v>30000000</v>
      </c>
      <c r="DA311" s="653">
        <v>59070000</v>
      </c>
      <c r="DB311" s="524">
        <v>30000000</v>
      </c>
      <c r="DC311" s="653">
        <v>45000000</v>
      </c>
      <c r="DD311" s="524">
        <v>30000000</v>
      </c>
      <c r="DE311" s="758"/>
      <c r="DF311" s="524">
        <v>30000000</v>
      </c>
      <c r="DG311" s="757">
        <v>30000000</v>
      </c>
      <c r="DH311" s="758"/>
      <c r="DI311" s="524">
        <v>30000000</v>
      </c>
      <c r="DJ311" s="757">
        <v>30000000</v>
      </c>
      <c r="DK311" s="758"/>
      <c r="DL311" s="524">
        <v>30000000</v>
      </c>
      <c r="DM311" s="757">
        <v>30000000</v>
      </c>
      <c r="DN311" s="758"/>
      <c r="DO311" s="524">
        <v>30000000</v>
      </c>
      <c r="DP311" s="757">
        <v>30000000</v>
      </c>
      <c r="DQ311" s="493">
        <f t="shared" si="140"/>
        <v>394570000</v>
      </c>
      <c r="DR311" s="479">
        <f t="shared" si="141"/>
        <v>394570000</v>
      </c>
      <c r="DS311" s="1019">
        <v>20000000</v>
      </c>
      <c r="DT311" s="1019">
        <v>20000000</v>
      </c>
      <c r="DU311" s="1019">
        <v>20000000</v>
      </c>
      <c r="DV311" s="1019">
        <v>20000000</v>
      </c>
      <c r="DW311" s="1019">
        <v>20000000</v>
      </c>
      <c r="DX311" s="1019">
        <v>20000000</v>
      </c>
      <c r="DY311" s="1019">
        <v>20000000</v>
      </c>
      <c r="DZ311" s="1019">
        <v>20000000</v>
      </c>
      <c r="EA311" s="1019">
        <v>20000000</v>
      </c>
      <c r="EB311" s="1019">
        <v>20000000</v>
      </c>
      <c r="EC311" s="1019">
        <v>20000000</v>
      </c>
      <c r="ED311" s="1019">
        <v>20000000</v>
      </c>
      <c r="EE311" s="1119">
        <f t="shared" si="142"/>
        <v>240000000</v>
      </c>
      <c r="EF311" s="443">
        <f t="shared" si="160"/>
        <v>280800000</v>
      </c>
      <c r="EG311" s="443">
        <f t="shared" si="161"/>
        <v>303264000</v>
      </c>
      <c r="EH311" s="443">
        <f t="shared" si="162"/>
        <v>330557760</v>
      </c>
      <c r="EI311" s="443">
        <f t="shared" si="162"/>
        <v>360307958.40000004</v>
      </c>
      <c r="EJ311" s="367">
        <v>3000001618</v>
      </c>
    </row>
    <row r="312" spans="1:140" outlineLevel="2">
      <c r="A312" s="367" t="s">
        <v>196</v>
      </c>
      <c r="B312" s="378"/>
      <c r="C312" s="370" t="s">
        <v>358</v>
      </c>
      <c r="D312" s="370" t="s">
        <v>40</v>
      </c>
      <c r="E312" s="396" t="s">
        <v>600</v>
      </c>
      <c r="F312" s="380">
        <v>3000019022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f t="shared" si="154"/>
        <v>0</v>
      </c>
      <c r="T312" s="15"/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4400000</v>
      </c>
      <c r="AE312" s="14">
        <v>13200000</v>
      </c>
      <c r="AF312" s="14">
        <v>0</v>
      </c>
      <c r="AG312" s="759">
        <f t="shared" si="155"/>
        <v>17600000</v>
      </c>
      <c r="AH312" s="811"/>
      <c r="AI312" s="759"/>
      <c r="AJ312" s="810">
        <v>5375000</v>
      </c>
      <c r="AK312" s="758">
        <v>0</v>
      </c>
      <c r="AL312" s="758">
        <v>0</v>
      </c>
      <c r="AM312" s="758">
        <v>0</v>
      </c>
      <c r="AN312" s="758">
        <v>0</v>
      </c>
      <c r="AO312" s="758">
        <v>0</v>
      </c>
      <c r="AP312" s="758">
        <v>0</v>
      </c>
      <c r="AQ312" s="518">
        <v>0</v>
      </c>
      <c r="AR312" s="518"/>
      <c r="AS312" s="518"/>
      <c r="AT312" s="518"/>
      <c r="AU312" s="518">
        <f>BI312</f>
        <v>0</v>
      </c>
      <c r="AV312" s="518">
        <f>BJ312</f>
        <v>0</v>
      </c>
      <c r="AW312" s="518">
        <f>BK312</f>
        <v>0</v>
      </c>
      <c r="AX312" s="518">
        <f t="shared" si="139"/>
        <v>5375000</v>
      </c>
      <c r="AY312" s="811"/>
      <c r="AZ312" s="759"/>
      <c r="BA312" s="810">
        <v>5375000</v>
      </c>
      <c r="BB312" s="758">
        <v>0</v>
      </c>
      <c r="BC312" s="758">
        <v>0</v>
      </c>
      <c r="BD312" s="758">
        <v>0</v>
      </c>
      <c r="BE312" s="758">
        <v>0</v>
      </c>
      <c r="BF312" s="758">
        <v>0</v>
      </c>
      <c r="BG312" s="518">
        <f t="shared" si="156"/>
        <v>0</v>
      </c>
      <c r="BH312" s="758">
        <v>0</v>
      </c>
      <c r="BI312" s="758">
        <v>0</v>
      </c>
      <c r="BJ312" s="758">
        <v>0</v>
      </c>
      <c r="BK312" s="758">
        <v>0</v>
      </c>
      <c r="BL312" s="759">
        <f t="shared" si="157"/>
        <v>5375000</v>
      </c>
      <c r="BN312" s="758">
        <v>0</v>
      </c>
      <c r="BO312" s="758">
        <v>0</v>
      </c>
      <c r="BP312" s="758">
        <v>0</v>
      </c>
      <c r="BQ312" s="758">
        <v>0</v>
      </c>
      <c r="BR312" s="758">
        <f t="shared" si="158"/>
        <v>0</v>
      </c>
      <c r="BS312" s="758">
        <v>0</v>
      </c>
      <c r="BT312" s="758">
        <v>0</v>
      </c>
      <c r="BU312" s="758">
        <v>0</v>
      </c>
      <c r="BV312" s="758">
        <v>0</v>
      </c>
      <c r="BW312" s="758">
        <v>0</v>
      </c>
      <c r="BX312" s="758">
        <v>0</v>
      </c>
      <c r="BY312" s="758">
        <v>0</v>
      </c>
      <c r="BZ312" s="791">
        <v>0</v>
      </c>
      <c r="CB312" s="758">
        <v>0</v>
      </c>
      <c r="CC312" s="758">
        <v>0</v>
      </c>
      <c r="CD312" s="758">
        <v>0</v>
      </c>
      <c r="CE312" s="758">
        <v>0</v>
      </c>
      <c r="CF312" s="758">
        <f t="shared" si="159"/>
        <v>0</v>
      </c>
      <c r="CG312" s="758">
        <v>0</v>
      </c>
      <c r="CH312" s="758">
        <v>0</v>
      </c>
      <c r="CI312" s="758">
        <v>0</v>
      </c>
      <c r="CJ312" s="758">
        <v>0</v>
      </c>
      <c r="CK312" s="758">
        <v>0</v>
      </c>
      <c r="CL312" s="758">
        <v>0</v>
      </c>
      <c r="CM312" s="758">
        <v>0</v>
      </c>
      <c r="CN312" s="791">
        <v>0</v>
      </c>
      <c r="CP312" s="653"/>
      <c r="CQ312" s="653"/>
      <c r="CR312" s="524"/>
      <c r="CS312" s="653"/>
      <c r="CT312" s="524"/>
      <c r="CU312" s="653"/>
      <c r="CV312" s="524"/>
      <c r="CW312" s="653"/>
      <c r="CX312" s="524"/>
      <c r="CY312" s="653"/>
      <c r="CZ312" s="524"/>
      <c r="DA312" s="653"/>
      <c r="DB312" s="524"/>
      <c r="DC312" s="653">
        <v>0</v>
      </c>
      <c r="DD312" s="524"/>
      <c r="DE312" s="758"/>
      <c r="DF312" s="524"/>
      <c r="DG312" s="757"/>
      <c r="DH312" s="758"/>
      <c r="DI312" s="524"/>
      <c r="DJ312" s="757"/>
      <c r="DK312" s="758"/>
      <c r="DL312" s="524"/>
      <c r="DM312" s="757"/>
      <c r="DN312" s="758"/>
      <c r="DO312" s="524"/>
      <c r="DP312" s="757"/>
      <c r="DQ312" s="493">
        <f t="shared" si="140"/>
        <v>0</v>
      </c>
      <c r="DR312" s="479">
        <f t="shared" si="141"/>
        <v>0</v>
      </c>
      <c r="DS312" s="1019"/>
      <c r="DT312" s="1019"/>
      <c r="DU312" s="1019"/>
      <c r="DV312" s="1019"/>
      <c r="DW312" s="1019"/>
      <c r="DX312" s="1019"/>
      <c r="DY312" s="1019"/>
      <c r="DZ312" s="1019"/>
      <c r="EA312" s="1019"/>
      <c r="EB312" s="1019"/>
      <c r="EC312" s="1019"/>
      <c r="ED312" s="1019"/>
      <c r="EE312" s="1119">
        <f t="shared" si="142"/>
        <v>0</v>
      </c>
      <c r="EF312" s="443">
        <f t="shared" si="160"/>
        <v>0</v>
      </c>
      <c r="EG312" s="443">
        <f t="shared" si="161"/>
        <v>0</v>
      </c>
      <c r="EH312" s="443">
        <f t="shared" si="162"/>
        <v>0</v>
      </c>
      <c r="EI312" s="443">
        <f t="shared" si="162"/>
        <v>0</v>
      </c>
      <c r="EJ312" s="367">
        <v>3000019022</v>
      </c>
    </row>
    <row r="313" spans="1:140" outlineLevel="2">
      <c r="A313" s="367" t="s">
        <v>196</v>
      </c>
      <c r="B313" s="378"/>
      <c r="C313" s="370" t="s">
        <v>358</v>
      </c>
      <c r="D313" s="370" t="s">
        <v>40</v>
      </c>
      <c r="E313" s="396" t="s">
        <v>601</v>
      </c>
      <c r="F313" s="380">
        <v>3000019715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f t="shared" si="154"/>
        <v>0</v>
      </c>
      <c r="T313" s="15"/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759">
        <f t="shared" si="155"/>
        <v>0</v>
      </c>
      <c r="AH313" s="811"/>
      <c r="AI313" s="759"/>
      <c r="AJ313" s="810"/>
      <c r="AK313" s="758"/>
      <c r="AL313" s="758">
        <v>0</v>
      </c>
      <c r="AM313" s="758">
        <v>8500000</v>
      </c>
      <c r="AN313" s="758">
        <v>38164000</v>
      </c>
      <c r="AO313" s="758">
        <v>67240000</v>
      </c>
      <c r="AP313" s="758">
        <v>10598000</v>
      </c>
      <c r="AQ313" s="518">
        <v>34285000</v>
      </c>
      <c r="AR313" s="813">
        <v>8785000</v>
      </c>
      <c r="AS313" s="813">
        <v>0</v>
      </c>
      <c r="AT313" s="813">
        <v>0</v>
      </c>
      <c r="AU313" s="794">
        <v>0</v>
      </c>
      <c r="AV313" s="794">
        <v>0</v>
      </c>
      <c r="AW313" s="794">
        <v>0</v>
      </c>
      <c r="AX313" s="518">
        <f t="shared" si="139"/>
        <v>167572000</v>
      </c>
      <c r="AY313" s="811"/>
      <c r="AZ313" s="759"/>
      <c r="BA313" s="810"/>
      <c r="BB313" s="758"/>
      <c r="BC313" s="758">
        <v>0</v>
      </c>
      <c r="BD313" s="758">
        <v>8500000</v>
      </c>
      <c r="BE313" s="758">
        <v>38164000</v>
      </c>
      <c r="BF313" s="758">
        <v>67240000</v>
      </c>
      <c r="BG313" s="518">
        <f t="shared" si="156"/>
        <v>10598000</v>
      </c>
      <c r="BH313" s="758">
        <v>70000000</v>
      </c>
      <c r="BI313" s="758">
        <v>80000000</v>
      </c>
      <c r="BJ313" s="758">
        <v>90000000</v>
      </c>
      <c r="BK313" s="758">
        <v>90000000</v>
      </c>
      <c r="BL313" s="759">
        <f t="shared" si="157"/>
        <v>454502000</v>
      </c>
      <c r="BN313" s="758">
        <v>40000000</v>
      </c>
      <c r="BO313" s="758">
        <v>40000000</v>
      </c>
      <c r="BP313" s="758">
        <v>40000000</v>
      </c>
      <c r="BQ313" s="758">
        <v>40000000</v>
      </c>
      <c r="BR313" s="758">
        <f t="shared" si="158"/>
        <v>34000000</v>
      </c>
      <c r="BS313" s="758">
        <v>40000000</v>
      </c>
      <c r="BT313" s="758">
        <v>40000000</v>
      </c>
      <c r="BU313" s="758">
        <v>40000000</v>
      </c>
      <c r="BV313" s="758">
        <v>40000000</v>
      </c>
      <c r="BW313" s="758">
        <v>40000000</v>
      </c>
      <c r="BX313" s="758">
        <v>40000000</v>
      </c>
      <c r="BY313" s="758">
        <v>40000000</v>
      </c>
      <c r="BZ313" s="791">
        <v>474000000</v>
      </c>
      <c r="CB313" s="758">
        <v>40000000</v>
      </c>
      <c r="CC313" s="758">
        <v>40000000</v>
      </c>
      <c r="CD313" s="758">
        <v>40000000</v>
      </c>
      <c r="CE313" s="758">
        <v>40000000</v>
      </c>
      <c r="CF313" s="758">
        <f t="shared" si="159"/>
        <v>34000000</v>
      </c>
      <c r="CG313" s="758">
        <v>40000000</v>
      </c>
      <c r="CH313" s="758">
        <v>40000000</v>
      </c>
      <c r="CI313" s="758">
        <v>40000000</v>
      </c>
      <c r="CJ313" s="758">
        <v>40000000</v>
      </c>
      <c r="CK313" s="758">
        <v>40000000</v>
      </c>
      <c r="CL313" s="758">
        <v>40000000</v>
      </c>
      <c r="CM313" s="758">
        <v>40000000</v>
      </c>
      <c r="CN313" s="791">
        <v>474000000</v>
      </c>
      <c r="CP313" s="653"/>
      <c r="CQ313" s="653"/>
      <c r="CR313" s="524"/>
      <c r="CS313" s="653"/>
      <c r="CT313" s="524"/>
      <c r="CU313" s="653"/>
      <c r="CV313" s="524"/>
      <c r="CW313" s="653"/>
      <c r="CX313" s="524"/>
      <c r="CY313" s="653"/>
      <c r="CZ313" s="524"/>
      <c r="DA313" s="653"/>
      <c r="DB313" s="524"/>
      <c r="DC313" s="653">
        <v>0</v>
      </c>
      <c r="DD313" s="524"/>
      <c r="DE313" s="758"/>
      <c r="DF313" s="524"/>
      <c r="DG313" s="757"/>
      <c r="DH313" s="758"/>
      <c r="DI313" s="524"/>
      <c r="DJ313" s="757"/>
      <c r="DK313" s="758"/>
      <c r="DL313" s="524"/>
      <c r="DM313" s="757"/>
      <c r="DN313" s="758"/>
      <c r="DO313" s="524"/>
      <c r="DP313" s="757"/>
      <c r="DQ313" s="493">
        <f t="shared" si="140"/>
        <v>0</v>
      </c>
      <c r="DR313" s="479">
        <f t="shared" si="141"/>
        <v>0</v>
      </c>
      <c r="DS313" s="1019"/>
      <c r="DT313" s="1019"/>
      <c r="DU313" s="1019"/>
      <c r="DV313" s="1019"/>
      <c r="DW313" s="1019"/>
      <c r="DX313" s="1019"/>
      <c r="DY313" s="1019"/>
      <c r="DZ313" s="1019"/>
      <c r="EA313" s="1019"/>
      <c r="EB313" s="1019"/>
      <c r="EC313" s="1019"/>
      <c r="ED313" s="1019"/>
      <c r="EE313" s="1119">
        <f t="shared" si="142"/>
        <v>0</v>
      </c>
      <c r="EF313" s="443">
        <f t="shared" si="160"/>
        <v>0</v>
      </c>
      <c r="EG313" s="443">
        <f t="shared" si="161"/>
        <v>0</v>
      </c>
      <c r="EH313" s="443">
        <f t="shared" si="162"/>
        <v>0</v>
      </c>
      <c r="EI313" s="443">
        <f t="shared" si="162"/>
        <v>0</v>
      </c>
      <c r="EJ313" s="367">
        <v>3000019715</v>
      </c>
    </row>
    <row r="314" spans="1:140" outlineLevel="2">
      <c r="A314" s="367" t="s">
        <v>196</v>
      </c>
      <c r="B314" s="378"/>
      <c r="C314" s="370" t="s">
        <v>358</v>
      </c>
      <c r="D314" s="370" t="s">
        <v>40</v>
      </c>
      <c r="E314" s="396" t="s">
        <v>602</v>
      </c>
      <c r="F314" s="380">
        <v>3000019751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f t="shared" si="154"/>
        <v>0</v>
      </c>
      <c r="T314" s="15"/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759">
        <f t="shared" si="155"/>
        <v>0</v>
      </c>
      <c r="AH314" s="811"/>
      <c r="AI314" s="759"/>
      <c r="AJ314" s="810"/>
      <c r="AK314" s="758"/>
      <c r="AL314" s="758">
        <v>0</v>
      </c>
      <c r="AM314" s="758">
        <v>3500000</v>
      </c>
      <c r="AN314" s="758">
        <v>0</v>
      </c>
      <c r="AO314" s="758">
        <v>0</v>
      </c>
      <c r="AP314" s="758">
        <v>0</v>
      </c>
      <c r="AQ314" s="518">
        <v>0</v>
      </c>
      <c r="AR314" s="518"/>
      <c r="AS314" s="518"/>
      <c r="AT314" s="518"/>
      <c r="AU314" s="518">
        <f>BI314</f>
        <v>0</v>
      </c>
      <c r="AV314" s="518">
        <f>BJ314</f>
        <v>0</v>
      </c>
      <c r="AW314" s="518">
        <f>BK314</f>
        <v>0</v>
      </c>
      <c r="AX314" s="518">
        <f t="shared" si="139"/>
        <v>3500000</v>
      </c>
      <c r="AY314" s="811"/>
      <c r="AZ314" s="759"/>
      <c r="BA314" s="810"/>
      <c r="BB314" s="758"/>
      <c r="BC314" s="758">
        <v>0</v>
      </c>
      <c r="BD314" s="758">
        <v>3500000</v>
      </c>
      <c r="BE314" s="758">
        <v>0</v>
      </c>
      <c r="BF314" s="758">
        <v>0</v>
      </c>
      <c r="BG314" s="518">
        <f t="shared" si="156"/>
        <v>0</v>
      </c>
      <c r="BH314" s="758">
        <v>0</v>
      </c>
      <c r="BI314" s="758">
        <v>0</v>
      </c>
      <c r="BJ314" s="758">
        <v>0</v>
      </c>
      <c r="BK314" s="758">
        <v>0</v>
      </c>
      <c r="BL314" s="759">
        <f t="shared" si="157"/>
        <v>3500000</v>
      </c>
      <c r="BN314" s="758">
        <v>0</v>
      </c>
      <c r="BO314" s="758">
        <v>0</v>
      </c>
      <c r="BP314" s="758">
        <v>0</v>
      </c>
      <c r="BQ314" s="758">
        <v>0</v>
      </c>
      <c r="BR314" s="758">
        <f t="shared" si="158"/>
        <v>0</v>
      </c>
      <c r="BS314" s="758">
        <v>0</v>
      </c>
      <c r="BT314" s="758">
        <v>0</v>
      </c>
      <c r="BU314" s="758">
        <v>0</v>
      </c>
      <c r="BV314" s="758">
        <v>0</v>
      </c>
      <c r="BW314" s="758">
        <v>0</v>
      </c>
      <c r="BX314" s="758">
        <v>0</v>
      </c>
      <c r="BY314" s="758">
        <v>0</v>
      </c>
      <c r="BZ314" s="791">
        <v>0</v>
      </c>
      <c r="CB314" s="758">
        <v>0</v>
      </c>
      <c r="CC314" s="758">
        <v>0</v>
      </c>
      <c r="CD314" s="758">
        <v>0</v>
      </c>
      <c r="CE314" s="758">
        <v>0</v>
      </c>
      <c r="CF314" s="758">
        <f t="shared" si="159"/>
        <v>0</v>
      </c>
      <c r="CG314" s="758">
        <v>0</v>
      </c>
      <c r="CH314" s="758">
        <v>0</v>
      </c>
      <c r="CI314" s="758">
        <v>0</v>
      </c>
      <c r="CJ314" s="758">
        <v>0</v>
      </c>
      <c r="CK314" s="758">
        <v>0</v>
      </c>
      <c r="CL314" s="758">
        <v>0</v>
      </c>
      <c r="CM314" s="758">
        <v>0</v>
      </c>
      <c r="CN314" s="791">
        <v>0</v>
      </c>
      <c r="CP314" s="653"/>
      <c r="CQ314" s="653"/>
      <c r="CR314" s="524"/>
      <c r="CS314" s="653"/>
      <c r="CT314" s="524"/>
      <c r="CU314" s="653"/>
      <c r="CV314" s="524"/>
      <c r="CW314" s="653"/>
      <c r="CX314" s="524"/>
      <c r="CY314" s="653"/>
      <c r="CZ314" s="524"/>
      <c r="DA314" s="653"/>
      <c r="DB314" s="524"/>
      <c r="DC314" s="653">
        <v>0</v>
      </c>
      <c r="DD314" s="524"/>
      <c r="DE314" s="758"/>
      <c r="DF314" s="524"/>
      <c r="DG314" s="757"/>
      <c r="DH314" s="758"/>
      <c r="DI314" s="524"/>
      <c r="DJ314" s="757"/>
      <c r="DK314" s="758"/>
      <c r="DL314" s="524"/>
      <c r="DM314" s="757"/>
      <c r="DN314" s="758"/>
      <c r="DO314" s="524"/>
      <c r="DP314" s="757"/>
      <c r="DQ314" s="493">
        <f t="shared" si="140"/>
        <v>0</v>
      </c>
      <c r="DR314" s="479">
        <f t="shared" si="141"/>
        <v>0</v>
      </c>
      <c r="DS314" s="1019"/>
      <c r="DT314" s="1019"/>
      <c r="DU314" s="1019"/>
      <c r="DV314" s="1019"/>
      <c r="DW314" s="1019"/>
      <c r="DX314" s="1019"/>
      <c r="DY314" s="1019"/>
      <c r="DZ314" s="1019"/>
      <c r="EA314" s="1019"/>
      <c r="EB314" s="1019"/>
      <c r="EC314" s="1019"/>
      <c r="ED314" s="1019"/>
      <c r="EE314" s="1119">
        <f t="shared" si="142"/>
        <v>0</v>
      </c>
      <c r="EF314" s="443">
        <f t="shared" si="160"/>
        <v>0</v>
      </c>
      <c r="EG314" s="443">
        <f t="shared" si="161"/>
        <v>0</v>
      </c>
      <c r="EH314" s="443">
        <f t="shared" si="162"/>
        <v>0</v>
      </c>
      <c r="EI314" s="443">
        <f t="shared" si="162"/>
        <v>0</v>
      </c>
      <c r="EJ314" s="367">
        <v>3000019751</v>
      </c>
    </row>
    <row r="315" spans="1:140" outlineLevel="2">
      <c r="A315" s="367" t="s">
        <v>194</v>
      </c>
      <c r="B315" s="378"/>
      <c r="C315" s="370" t="s">
        <v>358</v>
      </c>
      <c r="D315" s="370" t="s">
        <v>40</v>
      </c>
      <c r="E315" s="396" t="s">
        <v>114</v>
      </c>
      <c r="F315" s="380">
        <v>3000019518</v>
      </c>
      <c r="G315" s="188"/>
      <c r="H315" s="13"/>
      <c r="I315" s="185"/>
      <c r="J315" s="185">
        <v>0</v>
      </c>
      <c r="K315" s="185"/>
      <c r="L315" s="185"/>
      <c r="M315" s="185"/>
      <c r="N315" s="185"/>
      <c r="O315" s="185"/>
      <c r="P315" s="185"/>
      <c r="Q315" s="185"/>
      <c r="R315" s="185"/>
      <c r="S315" s="14">
        <f t="shared" si="154"/>
        <v>0</v>
      </c>
      <c r="T315" s="179"/>
      <c r="U315" s="188"/>
      <c r="V315" s="13"/>
      <c r="W315" s="185"/>
      <c r="X315" s="185">
        <v>0</v>
      </c>
      <c r="Y315" s="185"/>
      <c r="Z315" s="185"/>
      <c r="AA315" s="185"/>
      <c r="AB315" s="185"/>
      <c r="AC315" s="185"/>
      <c r="AD315" s="185"/>
      <c r="AE315" s="185"/>
      <c r="AF315" s="185"/>
      <c r="AG315" s="759">
        <f t="shared" si="155"/>
        <v>0</v>
      </c>
      <c r="AH315" s="788"/>
      <c r="AI315" s="827"/>
      <c r="AJ315" s="810"/>
      <c r="AK315" s="758"/>
      <c r="AL315" s="758">
        <v>0</v>
      </c>
      <c r="AM315" s="758"/>
      <c r="AN315" s="758"/>
      <c r="AO315" s="758"/>
      <c r="AP315" s="758"/>
      <c r="AQ315" s="518">
        <v>2000000</v>
      </c>
      <c r="AR315" s="813">
        <v>2400000</v>
      </c>
      <c r="AS315" s="518"/>
      <c r="AT315" s="518"/>
      <c r="AU315" s="828">
        <f>AQ315</f>
        <v>2000000</v>
      </c>
      <c r="AV315" s="828">
        <f>AU315</f>
        <v>2000000</v>
      </c>
      <c r="AW315" s="828">
        <f>AV315</f>
        <v>2000000</v>
      </c>
      <c r="AX315" s="518">
        <f t="shared" si="139"/>
        <v>4400000</v>
      </c>
      <c r="AY315" s="788"/>
      <c r="AZ315" s="827"/>
      <c r="BA315" s="810"/>
      <c r="BB315" s="758"/>
      <c r="BC315" s="758">
        <v>0</v>
      </c>
      <c r="BD315" s="758"/>
      <c r="BE315" s="758"/>
      <c r="BF315" s="758"/>
      <c r="BG315" s="758"/>
      <c r="BH315" s="758"/>
      <c r="BI315" s="758"/>
      <c r="BJ315" s="758"/>
      <c r="BK315" s="758"/>
      <c r="BL315" s="759">
        <f t="shared" si="157"/>
        <v>0</v>
      </c>
      <c r="BN315" s="759">
        <f>2000000</f>
        <v>2000000</v>
      </c>
      <c r="BO315" s="759">
        <f>2000000</f>
        <v>2000000</v>
      </c>
      <c r="BP315" s="759">
        <f>2000000</f>
        <v>2000000</v>
      </c>
      <c r="BQ315" s="759">
        <f>2000000</f>
        <v>2000000</v>
      </c>
      <c r="BR315" s="758">
        <f t="shared" si="158"/>
        <v>1700000</v>
      </c>
      <c r="BS315" s="759">
        <f t="shared" ref="BS315:BY315" si="163">2000000</f>
        <v>2000000</v>
      </c>
      <c r="BT315" s="759">
        <f t="shared" si="163"/>
        <v>2000000</v>
      </c>
      <c r="BU315" s="759">
        <f t="shared" si="163"/>
        <v>2000000</v>
      </c>
      <c r="BV315" s="759">
        <f t="shared" si="163"/>
        <v>2000000</v>
      </c>
      <c r="BW315" s="759">
        <f t="shared" si="163"/>
        <v>2000000</v>
      </c>
      <c r="BX315" s="759">
        <f t="shared" si="163"/>
        <v>2000000</v>
      </c>
      <c r="BY315" s="759">
        <f t="shared" si="163"/>
        <v>2000000</v>
      </c>
      <c r="BZ315" s="791">
        <v>23700000</v>
      </c>
      <c r="CB315" s="759">
        <f>2000000</f>
        <v>2000000</v>
      </c>
      <c r="CC315" s="759">
        <f>2000000</f>
        <v>2000000</v>
      </c>
      <c r="CD315" s="759">
        <f>2000000</f>
        <v>2000000</v>
      </c>
      <c r="CE315" s="759">
        <f>2000000</f>
        <v>2000000</v>
      </c>
      <c r="CF315" s="758">
        <f t="shared" si="159"/>
        <v>1700000</v>
      </c>
      <c r="CG315" s="759">
        <f t="shared" ref="CG315:CM315" si="164">2000000</f>
        <v>2000000</v>
      </c>
      <c r="CH315" s="759">
        <f t="shared" si="164"/>
        <v>2000000</v>
      </c>
      <c r="CI315" s="759">
        <f t="shared" si="164"/>
        <v>2000000</v>
      </c>
      <c r="CJ315" s="759">
        <f t="shared" si="164"/>
        <v>2000000</v>
      </c>
      <c r="CK315" s="759">
        <f t="shared" si="164"/>
        <v>2000000</v>
      </c>
      <c r="CL315" s="759">
        <f t="shared" si="164"/>
        <v>2000000</v>
      </c>
      <c r="CM315" s="759">
        <f t="shared" si="164"/>
        <v>2000000</v>
      </c>
      <c r="CN315" s="791">
        <v>23700000</v>
      </c>
      <c r="CP315" s="647">
        <v>750000</v>
      </c>
      <c r="CQ315" s="647"/>
      <c r="CR315" s="518"/>
      <c r="CS315" s="647">
        <v>2400000</v>
      </c>
      <c r="CT315" s="518">
        <v>2500000</v>
      </c>
      <c r="CU315" s="647"/>
      <c r="CV315" s="518">
        <v>2500000</v>
      </c>
      <c r="CW315" s="647"/>
      <c r="CX315" s="518">
        <v>2500000</v>
      </c>
      <c r="CY315" s="647"/>
      <c r="CZ315" s="518">
        <v>2500000</v>
      </c>
      <c r="DA315" s="647">
        <v>3800000</v>
      </c>
      <c r="DB315" s="518">
        <v>2500000</v>
      </c>
      <c r="DC315" s="647">
        <v>0</v>
      </c>
      <c r="DD315" s="518">
        <v>2500000</v>
      </c>
      <c r="DE315" s="759"/>
      <c r="DF315" s="518">
        <v>2500000</v>
      </c>
      <c r="DG315" s="748">
        <v>2500000</v>
      </c>
      <c r="DH315" s="759"/>
      <c r="DI315" s="518">
        <v>2500000</v>
      </c>
      <c r="DJ315" s="748">
        <v>2500000</v>
      </c>
      <c r="DK315" s="759"/>
      <c r="DL315" s="518">
        <v>2500000</v>
      </c>
      <c r="DM315" s="748">
        <v>2500000</v>
      </c>
      <c r="DN315" s="759"/>
      <c r="DO315" s="518">
        <v>2500000</v>
      </c>
      <c r="DP315" s="748">
        <v>2500000</v>
      </c>
      <c r="DQ315" s="493">
        <f t="shared" si="140"/>
        <v>16950000</v>
      </c>
      <c r="DR315" s="479">
        <f t="shared" si="141"/>
        <v>16950000</v>
      </c>
      <c r="DS315" s="1163">
        <v>5000000</v>
      </c>
      <c r="DT315" s="1163">
        <v>5000000</v>
      </c>
      <c r="DU315" s="1163">
        <v>5000000</v>
      </c>
      <c r="DV315" s="1163">
        <v>5000000</v>
      </c>
      <c r="DW315" s="1163">
        <v>5000000</v>
      </c>
      <c r="DX315" s="1163">
        <v>5000000</v>
      </c>
      <c r="DY315" s="1163">
        <v>5000000</v>
      </c>
      <c r="DZ315" s="1163">
        <v>5000000</v>
      </c>
      <c r="EA315" s="1163">
        <v>5000000</v>
      </c>
      <c r="EB315" s="1163">
        <v>5000000</v>
      </c>
      <c r="EC315" s="1163">
        <v>5000000</v>
      </c>
      <c r="ED315" s="1163">
        <v>5000000</v>
      </c>
      <c r="EE315" s="1119">
        <f t="shared" si="142"/>
        <v>60000000</v>
      </c>
      <c r="EF315" s="443">
        <f t="shared" si="160"/>
        <v>70200000</v>
      </c>
      <c r="EG315" s="443">
        <f t="shared" si="161"/>
        <v>75816000</v>
      </c>
      <c r="EH315" s="443">
        <f t="shared" si="162"/>
        <v>82639440</v>
      </c>
      <c r="EI315" s="443">
        <f t="shared" si="162"/>
        <v>90076989.600000009</v>
      </c>
      <c r="EJ315" s="367">
        <v>3000019518</v>
      </c>
    </row>
    <row r="316" spans="1:140" outlineLevel="2">
      <c r="A316" s="367" t="s">
        <v>196</v>
      </c>
      <c r="B316" s="378"/>
      <c r="C316" s="370" t="s">
        <v>358</v>
      </c>
      <c r="D316" s="370" t="s">
        <v>40</v>
      </c>
      <c r="E316" s="396" t="s">
        <v>603</v>
      </c>
      <c r="F316" s="380">
        <v>3000016749</v>
      </c>
      <c r="G316" s="14">
        <v>0</v>
      </c>
      <c r="H316" s="14">
        <v>0</v>
      </c>
      <c r="I316" s="14">
        <v>0</v>
      </c>
      <c r="J316" s="14">
        <v>98087950</v>
      </c>
      <c r="K316" s="14">
        <v>0</v>
      </c>
      <c r="L316" s="14">
        <v>0</v>
      </c>
      <c r="M316" s="14">
        <v>5482200</v>
      </c>
      <c r="N316" s="14">
        <v>0</v>
      </c>
      <c r="O316" s="14">
        <v>0</v>
      </c>
      <c r="P316" s="14">
        <v>-100000</v>
      </c>
      <c r="Q316" s="14">
        <v>3359000</v>
      </c>
      <c r="R316" s="14">
        <v>0</v>
      </c>
      <c r="S316" s="14">
        <f t="shared" si="154"/>
        <v>106829150</v>
      </c>
      <c r="T316" s="15"/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4100600</v>
      </c>
      <c r="AD316" s="14">
        <v>29570500</v>
      </c>
      <c r="AE316" s="14">
        <v>0</v>
      </c>
      <c r="AF316" s="14">
        <v>-250000</v>
      </c>
      <c r="AG316" s="759">
        <f t="shared" si="155"/>
        <v>33421100</v>
      </c>
      <c r="AH316" s="811"/>
      <c r="AI316" s="759">
        <v>11850000</v>
      </c>
      <c r="AJ316" s="810">
        <v>25695500</v>
      </c>
      <c r="AK316" s="758">
        <v>250000</v>
      </c>
      <c r="AL316" s="758">
        <v>0</v>
      </c>
      <c r="AM316" s="758">
        <v>0</v>
      </c>
      <c r="AN316" s="758">
        <v>42250000</v>
      </c>
      <c r="AO316" s="758">
        <v>48179000</v>
      </c>
      <c r="AP316" s="758">
        <v>-13200000</v>
      </c>
      <c r="AQ316" s="518">
        <v>11700000</v>
      </c>
      <c r="AR316" s="518"/>
      <c r="AS316" s="518"/>
      <c r="AT316" s="518"/>
      <c r="AU316" s="794">
        <f>75000000</f>
        <v>75000000</v>
      </c>
      <c r="AV316" s="794">
        <f>75000000</f>
        <v>75000000</v>
      </c>
      <c r="AW316" s="794">
        <f>75000000</f>
        <v>75000000</v>
      </c>
      <c r="AX316" s="518">
        <f t="shared" si="139"/>
        <v>126724500</v>
      </c>
      <c r="AY316" s="811"/>
      <c r="AZ316" s="759">
        <v>11850000</v>
      </c>
      <c r="BA316" s="810">
        <v>25695500</v>
      </c>
      <c r="BB316" s="758">
        <v>250000</v>
      </c>
      <c r="BC316" s="758">
        <v>0</v>
      </c>
      <c r="BD316" s="758">
        <v>0</v>
      </c>
      <c r="BE316" s="758">
        <v>42250000</v>
      </c>
      <c r="BF316" s="758">
        <v>48179000</v>
      </c>
      <c r="BG316" s="518">
        <f t="shared" ref="BG316:BG325" si="165">AP316</f>
        <v>-13200000</v>
      </c>
      <c r="BH316" s="758">
        <v>100000000</v>
      </c>
      <c r="BI316" s="758">
        <v>150000000</v>
      </c>
      <c r="BJ316" s="758">
        <v>150000000</v>
      </c>
      <c r="BK316" s="758">
        <v>150000000</v>
      </c>
      <c r="BL316" s="759">
        <f t="shared" si="157"/>
        <v>665024500</v>
      </c>
      <c r="BN316" s="758">
        <f>75000000</f>
        <v>75000000</v>
      </c>
      <c r="BO316" s="758">
        <f>75000000</f>
        <v>75000000</v>
      </c>
      <c r="BP316" s="758">
        <f>75000000</f>
        <v>75000000</v>
      </c>
      <c r="BQ316" s="758">
        <f>75000000</f>
        <v>75000000</v>
      </c>
      <c r="BR316" s="758">
        <f t="shared" si="158"/>
        <v>63750000</v>
      </c>
      <c r="BS316" s="758">
        <f t="shared" ref="BS316:BY316" si="166">75000000</f>
        <v>75000000</v>
      </c>
      <c r="BT316" s="758">
        <f t="shared" si="166"/>
        <v>75000000</v>
      </c>
      <c r="BU316" s="758">
        <f t="shared" si="166"/>
        <v>75000000</v>
      </c>
      <c r="BV316" s="758">
        <f t="shared" si="166"/>
        <v>75000000</v>
      </c>
      <c r="BW316" s="758">
        <f t="shared" si="166"/>
        <v>75000000</v>
      </c>
      <c r="BX316" s="758">
        <f t="shared" si="166"/>
        <v>75000000</v>
      </c>
      <c r="BY316" s="758">
        <f t="shared" si="166"/>
        <v>75000000</v>
      </c>
      <c r="BZ316" s="791">
        <v>888750000</v>
      </c>
      <c r="CB316" s="758">
        <f>75000000</f>
        <v>75000000</v>
      </c>
      <c r="CC316" s="758">
        <f>75000000</f>
        <v>75000000</v>
      </c>
      <c r="CD316" s="758">
        <f>75000000</f>
        <v>75000000</v>
      </c>
      <c r="CE316" s="758">
        <f>75000000</f>
        <v>75000000</v>
      </c>
      <c r="CF316" s="758">
        <f t="shared" si="159"/>
        <v>63750000</v>
      </c>
      <c r="CG316" s="758">
        <f t="shared" ref="CG316:CM316" si="167">75000000</f>
        <v>75000000</v>
      </c>
      <c r="CH316" s="758">
        <f t="shared" si="167"/>
        <v>75000000</v>
      </c>
      <c r="CI316" s="758">
        <f t="shared" si="167"/>
        <v>75000000</v>
      </c>
      <c r="CJ316" s="758">
        <f t="shared" si="167"/>
        <v>75000000</v>
      </c>
      <c r="CK316" s="758">
        <f t="shared" si="167"/>
        <v>75000000</v>
      </c>
      <c r="CL316" s="758">
        <f t="shared" si="167"/>
        <v>75000000</v>
      </c>
      <c r="CM316" s="758">
        <f t="shared" si="167"/>
        <v>75000000</v>
      </c>
      <c r="CN316" s="791">
        <v>888750000</v>
      </c>
      <c r="CP316" s="653">
        <v>15500000</v>
      </c>
      <c r="CQ316" s="653"/>
      <c r="CR316" s="524">
        <v>15000000</v>
      </c>
      <c r="CS316" s="653">
        <v>95600000</v>
      </c>
      <c r="CT316" s="524">
        <v>150000000</v>
      </c>
      <c r="CU316" s="653">
        <v>-2500000</v>
      </c>
      <c r="CV316" s="524">
        <v>150000000</v>
      </c>
      <c r="CW316" s="653">
        <v>62900000</v>
      </c>
      <c r="CX316" s="524">
        <v>61000000</v>
      </c>
      <c r="CY316" s="653">
        <v>147600000</v>
      </c>
      <c r="CZ316" s="524">
        <v>500000000</v>
      </c>
      <c r="DA316" s="653">
        <v>11700000</v>
      </c>
      <c r="DB316" s="524">
        <v>500000000</v>
      </c>
      <c r="DC316" s="653">
        <v>154650000</v>
      </c>
      <c r="DD316" s="524">
        <v>500000000</v>
      </c>
      <c r="DE316" s="758"/>
      <c r="DF316" s="524">
        <v>300000000</v>
      </c>
      <c r="DG316" s="757">
        <v>150000000</v>
      </c>
      <c r="DH316" s="758"/>
      <c r="DI316" s="524">
        <v>300000000</v>
      </c>
      <c r="DJ316" s="757">
        <v>150000000</v>
      </c>
      <c r="DK316" s="758"/>
      <c r="DL316" s="524">
        <v>300000000</v>
      </c>
      <c r="DM316" s="757">
        <v>175000000</v>
      </c>
      <c r="DN316" s="758"/>
      <c r="DO316" s="524">
        <v>300000000</v>
      </c>
      <c r="DP316" s="757">
        <v>175000000</v>
      </c>
      <c r="DQ316" s="493">
        <f t="shared" si="140"/>
        <v>1685450000</v>
      </c>
      <c r="DR316" s="479">
        <f t="shared" si="141"/>
        <v>1135450000</v>
      </c>
      <c r="DS316" s="1019">
        <v>200000000</v>
      </c>
      <c r="DT316" s="1019">
        <v>200000000</v>
      </c>
      <c r="DU316" s="1019">
        <v>250000000</v>
      </c>
      <c r="DV316" s="1019">
        <v>250000000</v>
      </c>
      <c r="DW316" s="1019">
        <v>200000000</v>
      </c>
      <c r="DX316" s="1019">
        <v>200000000</v>
      </c>
      <c r="DY316" s="1019">
        <v>200000000</v>
      </c>
      <c r="DZ316" s="1019">
        <v>200000000</v>
      </c>
      <c r="EA316" s="1019">
        <v>300000000</v>
      </c>
      <c r="EB316" s="1019">
        <v>300000000</v>
      </c>
      <c r="EC316" s="1019">
        <v>300000000</v>
      </c>
      <c r="ED316" s="1019">
        <v>300000000</v>
      </c>
      <c r="EE316" s="1119">
        <f t="shared" si="142"/>
        <v>2900000000</v>
      </c>
      <c r="EF316" s="443">
        <f t="shared" si="160"/>
        <v>3393000000</v>
      </c>
      <c r="EG316" s="443">
        <v>2000000000</v>
      </c>
      <c r="EH316" s="443">
        <v>2500000000</v>
      </c>
      <c r="EI316" s="443">
        <v>2500000000</v>
      </c>
      <c r="EJ316" s="367">
        <v>3000016749</v>
      </c>
    </row>
    <row r="317" spans="1:140" outlineLevel="2">
      <c r="A317" s="367" t="s">
        <v>192</v>
      </c>
      <c r="B317" s="378"/>
      <c r="C317" s="370" t="s">
        <v>358</v>
      </c>
      <c r="D317" s="370" t="s">
        <v>40</v>
      </c>
      <c r="E317" s="396" t="s">
        <v>361</v>
      </c>
      <c r="F317" s="380">
        <v>3000002599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8150000</v>
      </c>
      <c r="Q317" s="14">
        <v>8150000</v>
      </c>
      <c r="R317" s="14">
        <v>0</v>
      </c>
      <c r="S317" s="14">
        <f t="shared" si="154"/>
        <v>16300000</v>
      </c>
      <c r="T317" s="15"/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759">
        <f t="shared" si="155"/>
        <v>0</v>
      </c>
      <c r="AH317" s="811"/>
      <c r="AI317" s="759"/>
      <c r="AJ317" s="810"/>
      <c r="AK317" s="758"/>
      <c r="AL317" s="758"/>
      <c r="AM317" s="758"/>
      <c r="AN317" s="758"/>
      <c r="AO317" s="758"/>
      <c r="AP317" s="758"/>
      <c r="AQ317" s="518">
        <v>0</v>
      </c>
      <c r="AR317" s="518"/>
      <c r="AS317" s="518"/>
      <c r="AT317" s="518"/>
      <c r="AU317" s="518"/>
      <c r="AV317" s="518"/>
      <c r="AW317" s="518"/>
      <c r="AX317" s="518">
        <f t="shared" si="139"/>
        <v>0</v>
      </c>
      <c r="AY317" s="811"/>
      <c r="AZ317" s="759"/>
      <c r="BA317" s="810"/>
      <c r="BB317" s="758"/>
      <c r="BC317" s="758"/>
      <c r="BD317" s="758"/>
      <c r="BE317" s="758"/>
      <c r="BF317" s="758"/>
      <c r="BG317" s="518">
        <f t="shared" si="165"/>
        <v>0</v>
      </c>
      <c r="BH317" s="758"/>
      <c r="BI317" s="758"/>
      <c r="BJ317" s="758"/>
      <c r="BK317" s="758"/>
      <c r="BL317" s="518">
        <f t="shared" si="157"/>
        <v>0</v>
      </c>
      <c r="BN317" s="758"/>
      <c r="BO317" s="758"/>
      <c r="BP317" s="758"/>
      <c r="BQ317" s="758"/>
      <c r="BR317" s="758">
        <f t="shared" si="158"/>
        <v>0</v>
      </c>
      <c r="BS317" s="758"/>
      <c r="BT317" s="758"/>
      <c r="BU317" s="758"/>
      <c r="BV317" s="758"/>
      <c r="BW317" s="758"/>
      <c r="BX317" s="758"/>
      <c r="BY317" s="758"/>
      <c r="BZ317" s="791">
        <v>0</v>
      </c>
      <c r="CB317" s="758"/>
      <c r="CC317" s="758"/>
      <c r="CD317" s="758"/>
      <c r="CE317" s="758"/>
      <c r="CF317" s="758">
        <f t="shared" si="159"/>
        <v>0</v>
      </c>
      <c r="CG317" s="758"/>
      <c r="CH317" s="758"/>
      <c r="CI317" s="758"/>
      <c r="CJ317" s="758"/>
      <c r="CK317" s="758"/>
      <c r="CL317" s="758"/>
      <c r="CM317" s="758"/>
      <c r="CN317" s="791">
        <v>0</v>
      </c>
      <c r="CP317" s="653"/>
      <c r="CQ317" s="653"/>
      <c r="CR317" s="524"/>
      <c r="CS317" s="653"/>
      <c r="CT317" s="524"/>
      <c r="CU317" s="653"/>
      <c r="CV317" s="524"/>
      <c r="CW317" s="653"/>
      <c r="CX317" s="524"/>
      <c r="CY317" s="653"/>
      <c r="CZ317" s="524"/>
      <c r="DA317" s="653"/>
      <c r="DB317" s="524"/>
      <c r="DC317" s="653">
        <v>0</v>
      </c>
      <c r="DD317" s="524"/>
      <c r="DE317" s="758"/>
      <c r="DF317" s="524"/>
      <c r="DG317" s="757"/>
      <c r="DH317" s="758"/>
      <c r="DI317" s="524"/>
      <c r="DJ317" s="757"/>
      <c r="DK317" s="758"/>
      <c r="DL317" s="524"/>
      <c r="DM317" s="757"/>
      <c r="DN317" s="758"/>
      <c r="DO317" s="524"/>
      <c r="DP317" s="757"/>
      <c r="DQ317" s="493">
        <f t="shared" si="140"/>
        <v>0</v>
      </c>
      <c r="DR317" s="479">
        <f t="shared" si="141"/>
        <v>0</v>
      </c>
      <c r="DS317" s="1019"/>
      <c r="DT317" s="1019"/>
      <c r="DU317" s="1019"/>
      <c r="DV317" s="1019"/>
      <c r="DW317" s="1019"/>
      <c r="DX317" s="1019"/>
      <c r="DY317" s="1019"/>
      <c r="DZ317" s="1019"/>
      <c r="EA317" s="1019"/>
      <c r="EB317" s="1019"/>
      <c r="EC317" s="1019"/>
      <c r="ED317" s="1019"/>
      <c r="EE317" s="1119">
        <f t="shared" si="142"/>
        <v>0</v>
      </c>
      <c r="EF317" s="443">
        <f t="shared" si="160"/>
        <v>0</v>
      </c>
      <c r="EG317" s="443">
        <f t="shared" ref="EG317:EG325" si="168">EF317*1.08</f>
        <v>0</v>
      </c>
      <c r="EH317" s="443">
        <f t="shared" ref="EH317:EI325" si="169">EG317*1.09</f>
        <v>0</v>
      </c>
      <c r="EI317" s="443">
        <f t="shared" si="169"/>
        <v>0</v>
      </c>
      <c r="EJ317" s="367">
        <v>3000002599</v>
      </c>
    </row>
    <row r="318" spans="1:140" outlineLevel="2">
      <c r="A318" s="367" t="s">
        <v>196</v>
      </c>
      <c r="B318" s="378"/>
      <c r="C318" s="370" t="s">
        <v>358</v>
      </c>
      <c r="D318" s="370" t="s">
        <v>40</v>
      </c>
      <c r="E318" s="396" t="s">
        <v>604</v>
      </c>
      <c r="F318" s="380">
        <v>3000018768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f t="shared" si="154"/>
        <v>0</v>
      </c>
      <c r="T318" s="15"/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4375000</v>
      </c>
      <c r="AD318" s="14">
        <v>0</v>
      </c>
      <c r="AE318" s="14">
        <v>10000000</v>
      </c>
      <c r="AF318" s="14">
        <v>0</v>
      </c>
      <c r="AG318" s="759">
        <f t="shared" si="155"/>
        <v>14375000</v>
      </c>
      <c r="AH318" s="811"/>
      <c r="AI318" s="759">
        <v>4529952</v>
      </c>
      <c r="AJ318" s="810">
        <v>4529952</v>
      </c>
      <c r="AK318" s="758">
        <v>0</v>
      </c>
      <c r="AL318" s="758">
        <v>0</v>
      </c>
      <c r="AM318" s="758">
        <v>0</v>
      </c>
      <c r="AN318" s="758">
        <v>0</v>
      </c>
      <c r="AO318" s="758">
        <v>0</v>
      </c>
      <c r="AP318" s="758">
        <v>0</v>
      </c>
      <c r="AQ318" s="518">
        <v>0</v>
      </c>
      <c r="AR318" s="518"/>
      <c r="AS318" s="518"/>
      <c r="AT318" s="518"/>
      <c r="AU318" s="518">
        <f>BI318</f>
        <v>0</v>
      </c>
      <c r="AV318" s="518">
        <f>BJ318</f>
        <v>0</v>
      </c>
      <c r="AW318" s="518">
        <f>BK318</f>
        <v>0</v>
      </c>
      <c r="AX318" s="518">
        <f t="shared" si="139"/>
        <v>9059904</v>
      </c>
      <c r="AY318" s="811"/>
      <c r="AZ318" s="759">
        <v>4529952</v>
      </c>
      <c r="BA318" s="810">
        <v>4529952</v>
      </c>
      <c r="BB318" s="758">
        <v>0</v>
      </c>
      <c r="BC318" s="758">
        <v>0</v>
      </c>
      <c r="BD318" s="758">
        <v>0</v>
      </c>
      <c r="BE318" s="758">
        <v>0</v>
      </c>
      <c r="BF318" s="758">
        <v>0</v>
      </c>
      <c r="BG318" s="518">
        <f t="shared" si="165"/>
        <v>0</v>
      </c>
      <c r="BH318" s="758">
        <v>0</v>
      </c>
      <c r="BI318" s="758">
        <v>0</v>
      </c>
      <c r="BJ318" s="758">
        <v>0</v>
      </c>
      <c r="BK318" s="758">
        <v>0</v>
      </c>
      <c r="BL318" s="759">
        <f t="shared" si="157"/>
        <v>9059904</v>
      </c>
      <c r="BN318" s="758">
        <v>0</v>
      </c>
      <c r="BO318" s="758">
        <v>0</v>
      </c>
      <c r="BP318" s="758">
        <v>0</v>
      </c>
      <c r="BQ318" s="758">
        <v>0</v>
      </c>
      <c r="BR318" s="758">
        <f t="shared" si="158"/>
        <v>0</v>
      </c>
      <c r="BS318" s="758">
        <v>0</v>
      </c>
      <c r="BT318" s="758">
        <v>0</v>
      </c>
      <c r="BU318" s="758">
        <v>0</v>
      </c>
      <c r="BV318" s="758">
        <v>0</v>
      </c>
      <c r="BW318" s="758">
        <v>0</v>
      </c>
      <c r="BX318" s="758">
        <v>0</v>
      </c>
      <c r="BY318" s="758">
        <v>0</v>
      </c>
      <c r="BZ318" s="791">
        <v>0</v>
      </c>
      <c r="CB318" s="758">
        <v>0</v>
      </c>
      <c r="CC318" s="758">
        <v>0</v>
      </c>
      <c r="CD318" s="758">
        <v>0</v>
      </c>
      <c r="CE318" s="758">
        <v>0</v>
      </c>
      <c r="CF318" s="758">
        <f t="shared" si="159"/>
        <v>0</v>
      </c>
      <c r="CG318" s="758">
        <v>0</v>
      </c>
      <c r="CH318" s="758">
        <v>0</v>
      </c>
      <c r="CI318" s="758">
        <v>0</v>
      </c>
      <c r="CJ318" s="758">
        <v>0</v>
      </c>
      <c r="CK318" s="758">
        <v>0</v>
      </c>
      <c r="CL318" s="758">
        <v>0</v>
      </c>
      <c r="CM318" s="758">
        <v>0</v>
      </c>
      <c r="CN318" s="791">
        <v>0</v>
      </c>
      <c r="CP318" s="653"/>
      <c r="CQ318" s="653"/>
      <c r="CR318" s="524"/>
      <c r="CS318" s="653"/>
      <c r="CT318" s="524"/>
      <c r="CU318" s="653"/>
      <c r="CV318" s="524"/>
      <c r="CW318" s="653"/>
      <c r="CX318" s="524"/>
      <c r="CY318" s="653"/>
      <c r="CZ318" s="524"/>
      <c r="DA318" s="653"/>
      <c r="DB318" s="524"/>
      <c r="DC318" s="653">
        <v>0</v>
      </c>
      <c r="DD318" s="524"/>
      <c r="DE318" s="758"/>
      <c r="DF318" s="524"/>
      <c r="DG318" s="757"/>
      <c r="DH318" s="758"/>
      <c r="DI318" s="524"/>
      <c r="DJ318" s="757"/>
      <c r="DK318" s="758"/>
      <c r="DL318" s="524"/>
      <c r="DM318" s="757"/>
      <c r="DN318" s="758"/>
      <c r="DO318" s="524"/>
      <c r="DP318" s="757"/>
      <c r="DQ318" s="493">
        <f t="shared" si="140"/>
        <v>0</v>
      </c>
      <c r="DR318" s="479">
        <f t="shared" si="141"/>
        <v>0</v>
      </c>
      <c r="DS318" s="1019"/>
      <c r="DT318" s="1019"/>
      <c r="DU318" s="1019"/>
      <c r="DV318" s="1019"/>
      <c r="DW318" s="1019"/>
      <c r="DX318" s="1019"/>
      <c r="DY318" s="1019"/>
      <c r="DZ318" s="1019"/>
      <c r="EA318" s="1019"/>
      <c r="EB318" s="1019"/>
      <c r="EC318" s="1019"/>
      <c r="ED318" s="1019"/>
      <c r="EE318" s="1119">
        <f t="shared" si="142"/>
        <v>0</v>
      </c>
      <c r="EF318" s="443">
        <f t="shared" si="160"/>
        <v>0</v>
      </c>
      <c r="EG318" s="443">
        <f t="shared" si="168"/>
        <v>0</v>
      </c>
      <c r="EH318" s="443">
        <f t="shared" si="169"/>
        <v>0</v>
      </c>
      <c r="EI318" s="443">
        <f t="shared" si="169"/>
        <v>0</v>
      </c>
      <c r="EJ318" s="367">
        <v>3000018768</v>
      </c>
    </row>
    <row r="319" spans="1:140" outlineLevel="2">
      <c r="A319" s="367" t="s">
        <v>192</v>
      </c>
      <c r="B319" s="378"/>
      <c r="C319" s="370" t="s">
        <v>358</v>
      </c>
      <c r="D319" s="370" t="s">
        <v>40</v>
      </c>
      <c r="E319" s="396" t="s">
        <v>605</v>
      </c>
      <c r="F319" s="380">
        <v>3000018646</v>
      </c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>
        <f t="shared" si="154"/>
        <v>0</v>
      </c>
      <c r="T319" s="179"/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7900000</v>
      </c>
      <c r="AC319" s="14">
        <v>20985050</v>
      </c>
      <c r="AD319" s="14">
        <v>36329275</v>
      </c>
      <c r="AE319" s="14">
        <v>14085675</v>
      </c>
      <c r="AF319" s="14">
        <v>0</v>
      </c>
      <c r="AG319" s="759">
        <f t="shared" si="155"/>
        <v>79300000</v>
      </c>
      <c r="AH319" s="788"/>
      <c r="AI319" s="827"/>
      <c r="AJ319" s="810"/>
      <c r="AK319" s="758"/>
      <c r="AL319" s="758"/>
      <c r="AM319" s="758"/>
      <c r="AN319" s="758"/>
      <c r="AO319" s="758"/>
      <c r="AP319" s="758"/>
      <c r="AQ319" s="518">
        <v>0</v>
      </c>
      <c r="AR319" s="518"/>
      <c r="AS319" s="518"/>
      <c r="AT319" s="518"/>
      <c r="AU319" s="518"/>
      <c r="AV319" s="518"/>
      <c r="AW319" s="518"/>
      <c r="AX319" s="518">
        <f t="shared" si="139"/>
        <v>0</v>
      </c>
      <c r="AY319" s="788"/>
      <c r="AZ319" s="827"/>
      <c r="BA319" s="810"/>
      <c r="BB319" s="758"/>
      <c r="BC319" s="758"/>
      <c r="BD319" s="758"/>
      <c r="BE319" s="758"/>
      <c r="BF319" s="758"/>
      <c r="BG319" s="518">
        <f t="shared" si="165"/>
        <v>0</v>
      </c>
      <c r="BH319" s="758"/>
      <c r="BI319" s="758"/>
      <c r="BJ319" s="758"/>
      <c r="BK319" s="758"/>
      <c r="BL319" s="518">
        <f t="shared" si="157"/>
        <v>0</v>
      </c>
      <c r="BN319" s="758"/>
      <c r="BO319" s="758"/>
      <c r="BP319" s="758"/>
      <c r="BQ319" s="758"/>
      <c r="BR319" s="758">
        <f t="shared" si="158"/>
        <v>0</v>
      </c>
      <c r="BS319" s="758"/>
      <c r="BT319" s="758"/>
      <c r="BU319" s="758"/>
      <c r="BV319" s="758"/>
      <c r="BW319" s="758"/>
      <c r="BX319" s="758"/>
      <c r="BY319" s="758"/>
      <c r="BZ319" s="791">
        <v>0</v>
      </c>
      <c r="CB319" s="758"/>
      <c r="CC319" s="758"/>
      <c r="CD319" s="758"/>
      <c r="CE319" s="758"/>
      <c r="CF319" s="758">
        <f t="shared" si="159"/>
        <v>0</v>
      </c>
      <c r="CG319" s="758"/>
      <c r="CH319" s="758"/>
      <c r="CI319" s="758"/>
      <c r="CJ319" s="758"/>
      <c r="CK319" s="758"/>
      <c r="CL319" s="758"/>
      <c r="CM319" s="758"/>
      <c r="CN319" s="791">
        <v>0</v>
      </c>
      <c r="CP319" s="653"/>
      <c r="CQ319" s="653"/>
      <c r="CR319" s="524"/>
      <c r="CS319" s="653"/>
      <c r="CT319" s="524"/>
      <c r="CU319" s="653"/>
      <c r="CV319" s="524"/>
      <c r="CW319" s="653"/>
      <c r="CX319" s="524"/>
      <c r="CY319" s="653"/>
      <c r="CZ319" s="524"/>
      <c r="DA319" s="653"/>
      <c r="DB319" s="524"/>
      <c r="DC319" s="653">
        <v>0</v>
      </c>
      <c r="DD319" s="524"/>
      <c r="DE319" s="758"/>
      <c r="DF319" s="524"/>
      <c r="DG319" s="757"/>
      <c r="DH319" s="758"/>
      <c r="DI319" s="524"/>
      <c r="DJ319" s="757"/>
      <c r="DK319" s="758"/>
      <c r="DL319" s="524"/>
      <c r="DM319" s="757"/>
      <c r="DN319" s="758"/>
      <c r="DO319" s="524"/>
      <c r="DP319" s="757"/>
      <c r="DQ319" s="493">
        <f t="shared" si="140"/>
        <v>0</v>
      </c>
      <c r="DR319" s="479">
        <f t="shared" si="141"/>
        <v>0</v>
      </c>
      <c r="DS319" s="1019"/>
      <c r="DT319" s="1019"/>
      <c r="DU319" s="1019"/>
      <c r="DV319" s="1019"/>
      <c r="DW319" s="1019"/>
      <c r="DX319" s="1019"/>
      <c r="DY319" s="1019"/>
      <c r="DZ319" s="1019"/>
      <c r="EA319" s="1019"/>
      <c r="EB319" s="1019"/>
      <c r="EC319" s="1019"/>
      <c r="ED319" s="1019"/>
      <c r="EE319" s="1119">
        <f t="shared" si="142"/>
        <v>0</v>
      </c>
      <c r="EF319" s="443">
        <f t="shared" si="160"/>
        <v>0</v>
      </c>
      <c r="EG319" s="443">
        <f t="shared" si="168"/>
        <v>0</v>
      </c>
      <c r="EH319" s="443">
        <f t="shared" si="169"/>
        <v>0</v>
      </c>
      <c r="EI319" s="443">
        <f t="shared" si="169"/>
        <v>0</v>
      </c>
      <c r="EJ319" s="367">
        <v>3000018646</v>
      </c>
    </row>
    <row r="320" spans="1:140" outlineLevel="2">
      <c r="A320" s="367" t="s">
        <v>192</v>
      </c>
      <c r="B320" s="378"/>
      <c r="C320" s="370" t="s">
        <v>358</v>
      </c>
      <c r="D320" s="370" t="s">
        <v>40</v>
      </c>
      <c r="E320" s="396" t="s">
        <v>410</v>
      </c>
      <c r="F320" s="380">
        <v>3000015457</v>
      </c>
      <c r="G320" s="14">
        <v>0</v>
      </c>
      <c r="H320" s="14">
        <v>0</v>
      </c>
      <c r="I320" s="14">
        <v>0</v>
      </c>
      <c r="J320" s="14">
        <v>0</v>
      </c>
      <c r="K320" s="14">
        <v>748000</v>
      </c>
      <c r="L320" s="14">
        <v>5182000</v>
      </c>
      <c r="M320" s="14">
        <v>5649000</v>
      </c>
      <c r="N320" s="14">
        <v>0</v>
      </c>
      <c r="O320" s="14">
        <v>0</v>
      </c>
      <c r="P320" s="14">
        <v>4558500</v>
      </c>
      <c r="Q320" s="14">
        <v>0</v>
      </c>
      <c r="R320" s="14">
        <v>0</v>
      </c>
      <c r="S320" s="14">
        <f t="shared" si="154"/>
        <v>16137500</v>
      </c>
      <c r="T320" s="179"/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759">
        <f t="shared" si="155"/>
        <v>0</v>
      </c>
      <c r="AH320" s="788"/>
      <c r="AI320" s="827"/>
      <c r="AJ320" s="810"/>
      <c r="AK320" s="758"/>
      <c r="AL320" s="758"/>
      <c r="AM320" s="758"/>
      <c r="AN320" s="758"/>
      <c r="AO320" s="758"/>
      <c r="AP320" s="758"/>
      <c r="AQ320" s="518">
        <v>0</v>
      </c>
      <c r="AR320" s="518"/>
      <c r="AS320" s="518"/>
      <c r="AT320" s="518"/>
      <c r="AU320" s="518"/>
      <c r="AV320" s="518"/>
      <c r="AW320" s="518"/>
      <c r="AX320" s="518">
        <f t="shared" si="139"/>
        <v>0</v>
      </c>
      <c r="AY320" s="788"/>
      <c r="AZ320" s="827"/>
      <c r="BA320" s="810"/>
      <c r="BB320" s="758"/>
      <c r="BC320" s="758"/>
      <c r="BD320" s="758"/>
      <c r="BE320" s="758"/>
      <c r="BF320" s="758"/>
      <c r="BG320" s="518">
        <f t="shared" si="165"/>
        <v>0</v>
      </c>
      <c r="BH320" s="758"/>
      <c r="BI320" s="758"/>
      <c r="BJ320" s="758"/>
      <c r="BK320" s="758"/>
      <c r="BL320" s="518">
        <f t="shared" si="157"/>
        <v>0</v>
      </c>
      <c r="BN320" s="758"/>
      <c r="BO320" s="758"/>
      <c r="BP320" s="758"/>
      <c r="BQ320" s="758"/>
      <c r="BR320" s="758">
        <f t="shared" si="158"/>
        <v>0</v>
      </c>
      <c r="BS320" s="758"/>
      <c r="BT320" s="758"/>
      <c r="BU320" s="758"/>
      <c r="BV320" s="758"/>
      <c r="BW320" s="758"/>
      <c r="BX320" s="758"/>
      <c r="BY320" s="758"/>
      <c r="BZ320" s="791">
        <v>0</v>
      </c>
      <c r="CB320" s="758"/>
      <c r="CC320" s="758"/>
      <c r="CD320" s="758"/>
      <c r="CE320" s="758"/>
      <c r="CF320" s="758">
        <f t="shared" si="159"/>
        <v>0</v>
      </c>
      <c r="CG320" s="758"/>
      <c r="CH320" s="758"/>
      <c r="CI320" s="758"/>
      <c r="CJ320" s="758"/>
      <c r="CK320" s="758"/>
      <c r="CL320" s="758"/>
      <c r="CM320" s="758"/>
      <c r="CN320" s="791">
        <v>0</v>
      </c>
      <c r="CP320" s="653"/>
      <c r="CQ320" s="653"/>
      <c r="CR320" s="524"/>
      <c r="CS320" s="653"/>
      <c r="CT320" s="524"/>
      <c r="CU320" s="653"/>
      <c r="CV320" s="524"/>
      <c r="CW320" s="653"/>
      <c r="CX320" s="524"/>
      <c r="CY320" s="653"/>
      <c r="CZ320" s="524"/>
      <c r="DA320" s="653"/>
      <c r="DB320" s="524"/>
      <c r="DC320" s="653">
        <v>0</v>
      </c>
      <c r="DD320" s="524"/>
      <c r="DE320" s="758"/>
      <c r="DF320" s="524"/>
      <c r="DG320" s="757"/>
      <c r="DH320" s="758"/>
      <c r="DI320" s="524"/>
      <c r="DJ320" s="757"/>
      <c r="DK320" s="758"/>
      <c r="DL320" s="524"/>
      <c r="DM320" s="757"/>
      <c r="DN320" s="758"/>
      <c r="DO320" s="524"/>
      <c r="DP320" s="757"/>
      <c r="DQ320" s="493">
        <f t="shared" si="140"/>
        <v>0</v>
      </c>
      <c r="DR320" s="479">
        <f t="shared" si="141"/>
        <v>0</v>
      </c>
      <c r="DS320" s="1019"/>
      <c r="DT320" s="1019"/>
      <c r="DU320" s="1019"/>
      <c r="DV320" s="1019"/>
      <c r="DW320" s="1019"/>
      <c r="DX320" s="1019"/>
      <c r="DY320" s="1019"/>
      <c r="DZ320" s="1019"/>
      <c r="EA320" s="1019"/>
      <c r="EB320" s="1019"/>
      <c r="EC320" s="1019"/>
      <c r="ED320" s="1019"/>
      <c r="EE320" s="1119">
        <f t="shared" si="142"/>
        <v>0</v>
      </c>
      <c r="EF320" s="443">
        <f t="shared" si="160"/>
        <v>0</v>
      </c>
      <c r="EG320" s="443">
        <f t="shared" si="168"/>
        <v>0</v>
      </c>
      <c r="EH320" s="443">
        <f t="shared" si="169"/>
        <v>0</v>
      </c>
      <c r="EI320" s="443">
        <f t="shared" si="169"/>
        <v>0</v>
      </c>
      <c r="EJ320" s="367">
        <v>3000015457</v>
      </c>
    </row>
    <row r="321" spans="1:140" outlineLevel="2">
      <c r="A321" s="367" t="s">
        <v>194</v>
      </c>
      <c r="B321" s="378"/>
      <c r="C321" s="370" t="s">
        <v>358</v>
      </c>
      <c r="D321" s="370" t="s">
        <v>40</v>
      </c>
      <c r="E321" s="396" t="s">
        <v>82</v>
      </c>
      <c r="F321" s="380">
        <v>3000013377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17550000</v>
      </c>
      <c r="O321" s="14">
        <v>750000</v>
      </c>
      <c r="P321" s="14">
        <v>11000000</v>
      </c>
      <c r="Q321" s="14">
        <v>1350000</v>
      </c>
      <c r="R321" s="14">
        <v>8200000</v>
      </c>
      <c r="S321" s="14">
        <f t="shared" si="154"/>
        <v>38850000</v>
      </c>
      <c r="T321" s="179"/>
      <c r="U321" s="14">
        <v>0</v>
      </c>
      <c r="V321" s="14">
        <v>1350000</v>
      </c>
      <c r="W321" s="14">
        <v>1600000</v>
      </c>
      <c r="X321" s="14">
        <v>5100000</v>
      </c>
      <c r="Y321" s="14">
        <v>3800000</v>
      </c>
      <c r="Z321" s="14">
        <v>11700000</v>
      </c>
      <c r="AA321" s="14">
        <v>21700000</v>
      </c>
      <c r="AB321" s="14">
        <v>11400000</v>
      </c>
      <c r="AC321" s="14">
        <v>800000</v>
      </c>
      <c r="AD321" s="14">
        <v>25380000</v>
      </c>
      <c r="AE321" s="14">
        <v>800000</v>
      </c>
      <c r="AF321" s="14">
        <v>15400000</v>
      </c>
      <c r="AG321" s="759">
        <f t="shared" si="155"/>
        <v>99030000</v>
      </c>
      <c r="AH321" s="788"/>
      <c r="AI321" s="827">
        <v>7000000</v>
      </c>
      <c r="AJ321" s="810"/>
      <c r="AK321" s="758">
        <v>0</v>
      </c>
      <c r="AL321" s="758">
        <v>0</v>
      </c>
      <c r="AM321" s="758">
        <v>0</v>
      </c>
      <c r="AN321" s="758">
        <v>0</v>
      </c>
      <c r="AO321" s="758">
        <v>0</v>
      </c>
      <c r="AP321" s="758">
        <v>950000</v>
      </c>
      <c r="AQ321" s="518">
        <v>0</v>
      </c>
      <c r="AR321" s="518"/>
      <c r="AS321" s="518"/>
      <c r="AT321" s="518"/>
      <c r="AU321" s="518">
        <f>BI321</f>
        <v>0</v>
      </c>
      <c r="AV321" s="518">
        <f>BJ321</f>
        <v>0</v>
      </c>
      <c r="AW321" s="518">
        <f>BK321</f>
        <v>0</v>
      </c>
      <c r="AX321" s="518">
        <f t="shared" si="139"/>
        <v>7950000</v>
      </c>
      <c r="AY321" s="788"/>
      <c r="AZ321" s="827">
        <v>7000000</v>
      </c>
      <c r="BA321" s="810"/>
      <c r="BB321" s="758">
        <v>0</v>
      </c>
      <c r="BC321" s="758">
        <v>0</v>
      </c>
      <c r="BD321" s="758">
        <v>0</v>
      </c>
      <c r="BE321" s="758">
        <v>0</v>
      </c>
      <c r="BF321" s="758">
        <v>0</v>
      </c>
      <c r="BG321" s="518">
        <f t="shared" si="165"/>
        <v>950000</v>
      </c>
      <c r="BH321" s="758">
        <v>0</v>
      </c>
      <c r="BI321" s="758">
        <v>0</v>
      </c>
      <c r="BJ321" s="758">
        <v>0</v>
      </c>
      <c r="BK321" s="758">
        <v>0</v>
      </c>
      <c r="BL321" s="759">
        <f t="shared" si="157"/>
        <v>7950000</v>
      </c>
      <c r="BN321" s="758">
        <v>0</v>
      </c>
      <c r="BO321" s="758">
        <v>0</v>
      </c>
      <c r="BP321" s="758">
        <v>0</v>
      </c>
      <c r="BQ321" s="758">
        <v>0</v>
      </c>
      <c r="BR321" s="758">
        <f t="shared" si="158"/>
        <v>0</v>
      </c>
      <c r="BS321" s="758">
        <v>0</v>
      </c>
      <c r="BT321" s="758">
        <v>0</v>
      </c>
      <c r="BU321" s="758">
        <v>0</v>
      </c>
      <c r="BV321" s="758">
        <v>0</v>
      </c>
      <c r="BW321" s="758">
        <v>0</v>
      </c>
      <c r="BX321" s="758">
        <v>0</v>
      </c>
      <c r="BY321" s="758">
        <v>0</v>
      </c>
      <c r="BZ321" s="791">
        <v>0</v>
      </c>
      <c r="CB321" s="758">
        <v>0</v>
      </c>
      <c r="CC321" s="758">
        <v>0</v>
      </c>
      <c r="CD321" s="758">
        <v>0</v>
      </c>
      <c r="CE321" s="758">
        <v>0</v>
      </c>
      <c r="CF321" s="758">
        <f t="shared" si="159"/>
        <v>0</v>
      </c>
      <c r="CG321" s="758">
        <v>0</v>
      </c>
      <c r="CH321" s="758">
        <v>0</v>
      </c>
      <c r="CI321" s="758">
        <v>0</v>
      </c>
      <c r="CJ321" s="758">
        <v>0</v>
      </c>
      <c r="CK321" s="758">
        <v>0</v>
      </c>
      <c r="CL321" s="758">
        <v>0</v>
      </c>
      <c r="CM321" s="758">
        <v>0</v>
      </c>
      <c r="CN321" s="791">
        <v>0</v>
      </c>
      <c r="CP321" s="653"/>
      <c r="CQ321" s="653"/>
      <c r="CR321" s="524"/>
      <c r="CS321" s="653"/>
      <c r="CT321" s="524"/>
      <c r="CU321" s="653"/>
      <c r="CV321" s="524"/>
      <c r="CW321" s="653"/>
      <c r="CX321" s="524"/>
      <c r="CY321" s="653"/>
      <c r="CZ321" s="524"/>
      <c r="DA321" s="653"/>
      <c r="DB321" s="524"/>
      <c r="DC321" s="653">
        <v>0</v>
      </c>
      <c r="DD321" s="524"/>
      <c r="DE321" s="758"/>
      <c r="DF321" s="524"/>
      <c r="DG321" s="757"/>
      <c r="DH321" s="758"/>
      <c r="DI321" s="524"/>
      <c r="DJ321" s="757"/>
      <c r="DK321" s="758"/>
      <c r="DL321" s="524"/>
      <c r="DM321" s="757"/>
      <c r="DN321" s="758"/>
      <c r="DO321" s="524"/>
      <c r="DP321" s="757"/>
      <c r="DQ321" s="493">
        <f t="shared" si="140"/>
        <v>0</v>
      </c>
      <c r="DR321" s="479">
        <f t="shared" si="141"/>
        <v>0</v>
      </c>
      <c r="DS321" s="1019"/>
      <c r="DT321" s="1019"/>
      <c r="DU321" s="1019"/>
      <c r="DV321" s="1019"/>
      <c r="DW321" s="1019"/>
      <c r="DX321" s="1019"/>
      <c r="DY321" s="1019"/>
      <c r="DZ321" s="1019"/>
      <c r="EA321" s="1019"/>
      <c r="EB321" s="1019"/>
      <c r="EC321" s="1019"/>
      <c r="ED321" s="1019"/>
      <c r="EE321" s="1119">
        <f t="shared" si="142"/>
        <v>0</v>
      </c>
      <c r="EF321" s="443">
        <f t="shared" si="160"/>
        <v>0</v>
      </c>
      <c r="EG321" s="443">
        <f t="shared" si="168"/>
        <v>0</v>
      </c>
      <c r="EH321" s="443">
        <f t="shared" si="169"/>
        <v>0</v>
      </c>
      <c r="EI321" s="443">
        <f t="shared" si="169"/>
        <v>0</v>
      </c>
      <c r="EJ321" s="367">
        <v>3000013377</v>
      </c>
    </row>
    <row r="322" spans="1:140" outlineLevel="2">
      <c r="A322" s="367" t="s">
        <v>194</v>
      </c>
      <c r="B322" s="378"/>
      <c r="C322" s="370" t="s">
        <v>358</v>
      </c>
      <c r="D322" s="370" t="s">
        <v>40</v>
      </c>
      <c r="E322" s="396" t="s">
        <v>83</v>
      </c>
      <c r="F322" s="380">
        <v>8000000010</v>
      </c>
      <c r="G322" s="14">
        <v>295979303</v>
      </c>
      <c r="H322" s="14">
        <v>311666609</v>
      </c>
      <c r="I322" s="14">
        <v>289731244</v>
      </c>
      <c r="J322" s="14">
        <v>318137881</v>
      </c>
      <c r="K322" s="14">
        <v>336320417</v>
      </c>
      <c r="L322" s="14">
        <v>347081358</v>
      </c>
      <c r="M322" s="14">
        <v>301981443</v>
      </c>
      <c r="N322" s="14">
        <v>318093117</v>
      </c>
      <c r="O322" s="14">
        <v>411367339</v>
      </c>
      <c r="P322" s="14">
        <v>419072333</v>
      </c>
      <c r="Q322" s="14">
        <v>527048225</v>
      </c>
      <c r="R322" s="14">
        <v>381199413</v>
      </c>
      <c r="S322" s="14">
        <f t="shared" si="154"/>
        <v>4257678682</v>
      </c>
      <c r="T322" s="179"/>
      <c r="U322" s="14">
        <v>423545696</v>
      </c>
      <c r="V322" s="14">
        <v>310158707</v>
      </c>
      <c r="W322" s="14">
        <v>300290467</v>
      </c>
      <c r="X322" s="14">
        <v>300812015</v>
      </c>
      <c r="Y322" s="14">
        <v>364215803</v>
      </c>
      <c r="Z322" s="14">
        <v>277333098</v>
      </c>
      <c r="AA322" s="14">
        <v>216373556</v>
      </c>
      <c r="AB322" s="14">
        <v>265162453</v>
      </c>
      <c r="AC322" s="14">
        <v>386048142</v>
      </c>
      <c r="AD322" s="14">
        <v>301799511</v>
      </c>
      <c r="AE322" s="14">
        <v>485160582</v>
      </c>
      <c r="AF322" s="14">
        <v>297803612</v>
      </c>
      <c r="AG322" s="759">
        <f t="shared" si="155"/>
        <v>3928703642</v>
      </c>
      <c r="AH322" s="788"/>
      <c r="AI322" s="827">
        <v>305135208</v>
      </c>
      <c r="AJ322" s="810">
        <v>298516987</v>
      </c>
      <c r="AK322" s="758">
        <v>306726543</v>
      </c>
      <c r="AL322" s="758">
        <v>292014690</v>
      </c>
      <c r="AM322" s="758">
        <v>176076939</v>
      </c>
      <c r="AN322" s="758">
        <v>149225335</v>
      </c>
      <c r="AO322" s="758">
        <v>160846698</v>
      </c>
      <c r="AP322" s="758">
        <v>330641490</v>
      </c>
      <c r="AQ322" s="518">
        <v>371926240</v>
      </c>
      <c r="AR322" s="813">
        <v>376658883</v>
      </c>
      <c r="AS322" s="813">
        <v>282871702</v>
      </c>
      <c r="AT322" s="813">
        <v>259500857</v>
      </c>
      <c r="AU322" s="794">
        <v>371926240</v>
      </c>
      <c r="AV322" s="794">
        <v>371926240</v>
      </c>
      <c r="AW322" s="794">
        <v>371926240</v>
      </c>
      <c r="AX322" s="518">
        <f t="shared" si="139"/>
        <v>3310141572</v>
      </c>
      <c r="AY322" s="788"/>
      <c r="AZ322" s="827">
        <v>305135208</v>
      </c>
      <c r="BA322" s="810">
        <v>298516987</v>
      </c>
      <c r="BB322" s="758">
        <v>306726543</v>
      </c>
      <c r="BC322" s="758">
        <v>292014690</v>
      </c>
      <c r="BD322" s="758">
        <v>176076939</v>
      </c>
      <c r="BE322" s="758">
        <v>149225335</v>
      </c>
      <c r="BF322" s="758">
        <v>160846698</v>
      </c>
      <c r="BG322" s="518">
        <f t="shared" si="165"/>
        <v>330641490</v>
      </c>
      <c r="BH322" s="758">
        <v>208964000</v>
      </c>
      <c r="BI322" s="758">
        <v>278964000</v>
      </c>
      <c r="BJ322" s="758">
        <v>278964000</v>
      </c>
      <c r="BK322" s="758">
        <v>278964000</v>
      </c>
      <c r="BL322" s="759">
        <f t="shared" si="157"/>
        <v>3065039890</v>
      </c>
      <c r="BN322" s="758">
        <f>300000000</f>
        <v>300000000</v>
      </c>
      <c r="BO322" s="758">
        <f>300000000</f>
        <v>300000000</v>
      </c>
      <c r="BP322" s="758">
        <f>300000000</f>
        <v>300000000</v>
      </c>
      <c r="BQ322" s="758">
        <f>300000000</f>
        <v>300000000</v>
      </c>
      <c r="BR322" s="758">
        <f t="shared" si="158"/>
        <v>255000000</v>
      </c>
      <c r="BS322" s="758">
        <f t="shared" ref="BS322:BY322" si="170">300000000</f>
        <v>300000000</v>
      </c>
      <c r="BT322" s="758">
        <f t="shared" si="170"/>
        <v>300000000</v>
      </c>
      <c r="BU322" s="758">
        <f t="shared" si="170"/>
        <v>300000000</v>
      </c>
      <c r="BV322" s="758">
        <f t="shared" si="170"/>
        <v>300000000</v>
      </c>
      <c r="BW322" s="758">
        <f t="shared" si="170"/>
        <v>300000000</v>
      </c>
      <c r="BX322" s="758">
        <f t="shared" si="170"/>
        <v>300000000</v>
      </c>
      <c r="BY322" s="758">
        <f t="shared" si="170"/>
        <v>300000000</v>
      </c>
      <c r="BZ322" s="791">
        <v>3555000000</v>
      </c>
      <c r="CB322" s="758">
        <f>300000000</f>
        <v>300000000</v>
      </c>
      <c r="CC322" s="758">
        <f>300000000</f>
        <v>300000000</v>
      </c>
      <c r="CD322" s="758">
        <f>300000000</f>
        <v>300000000</v>
      </c>
      <c r="CE322" s="758">
        <f>300000000</f>
        <v>300000000</v>
      </c>
      <c r="CF322" s="758">
        <f t="shared" si="159"/>
        <v>255000000</v>
      </c>
      <c r="CG322" s="758">
        <f t="shared" ref="CG322:CM322" si="171">300000000</f>
        <v>300000000</v>
      </c>
      <c r="CH322" s="758">
        <f t="shared" si="171"/>
        <v>300000000</v>
      </c>
      <c r="CI322" s="758">
        <f t="shared" si="171"/>
        <v>300000000</v>
      </c>
      <c r="CJ322" s="758">
        <f t="shared" si="171"/>
        <v>300000000</v>
      </c>
      <c r="CK322" s="758">
        <f t="shared" si="171"/>
        <v>300000000</v>
      </c>
      <c r="CL322" s="758">
        <f t="shared" si="171"/>
        <v>300000000</v>
      </c>
      <c r="CM322" s="758">
        <f t="shared" si="171"/>
        <v>300000000</v>
      </c>
      <c r="CN322" s="791">
        <v>3555000000</v>
      </c>
      <c r="CP322" s="653">
        <v>261811195</v>
      </c>
      <c r="CQ322" s="653">
        <v>333628643</v>
      </c>
      <c r="CR322" s="524">
        <v>265000000</v>
      </c>
      <c r="CS322" s="653">
        <v>332122437</v>
      </c>
      <c r="CT322" s="524">
        <v>265000000</v>
      </c>
      <c r="CU322" s="653">
        <v>269443134</v>
      </c>
      <c r="CV322" s="524">
        <v>300000000</v>
      </c>
      <c r="CW322" s="653">
        <v>261907980</v>
      </c>
      <c r="CX322" s="524">
        <v>200000000</v>
      </c>
      <c r="CY322" s="653">
        <v>220511352</v>
      </c>
      <c r="CZ322" s="524">
        <v>300000000</v>
      </c>
      <c r="DA322" s="653">
        <v>273173210</v>
      </c>
      <c r="DB322" s="524">
        <v>300000000</v>
      </c>
      <c r="DC322" s="653">
        <v>296551727</v>
      </c>
      <c r="DD322" s="524">
        <v>300000000</v>
      </c>
      <c r="DE322" s="758"/>
      <c r="DF322" s="524">
        <v>300000000</v>
      </c>
      <c r="DG322" s="757">
        <v>300000000</v>
      </c>
      <c r="DH322" s="758"/>
      <c r="DI322" s="524">
        <v>300000000</v>
      </c>
      <c r="DJ322" s="757">
        <v>300000000</v>
      </c>
      <c r="DK322" s="758"/>
      <c r="DL322" s="524">
        <v>300000000</v>
      </c>
      <c r="DM322" s="757">
        <v>300000000</v>
      </c>
      <c r="DN322" s="758"/>
      <c r="DO322" s="524">
        <v>300000000</v>
      </c>
      <c r="DP322" s="757">
        <v>300000000</v>
      </c>
      <c r="DQ322" s="493">
        <f t="shared" si="140"/>
        <v>3449149678</v>
      </c>
      <c r="DR322" s="479">
        <f t="shared" si="141"/>
        <v>3449149678</v>
      </c>
      <c r="DS322" s="1019">
        <v>300000000</v>
      </c>
      <c r="DT322" s="1019">
        <v>300000000</v>
      </c>
      <c r="DU322" s="1019">
        <v>300000000</v>
      </c>
      <c r="DV322" s="1019">
        <v>300000000</v>
      </c>
      <c r="DW322" s="1019">
        <v>300000000</v>
      </c>
      <c r="DX322" s="1019">
        <v>300000000</v>
      </c>
      <c r="DY322" s="1019">
        <v>300000000</v>
      </c>
      <c r="DZ322" s="1019">
        <v>300000000</v>
      </c>
      <c r="EA322" s="1019">
        <v>300000000</v>
      </c>
      <c r="EB322" s="1019">
        <v>300000000</v>
      </c>
      <c r="EC322" s="1019">
        <v>300000000</v>
      </c>
      <c r="ED322" s="1019">
        <v>300000000</v>
      </c>
      <c r="EE322" s="1119">
        <f t="shared" si="142"/>
        <v>3600000000</v>
      </c>
      <c r="EF322" s="443">
        <f t="shared" si="160"/>
        <v>4211999999.9999995</v>
      </c>
      <c r="EG322" s="443">
        <f t="shared" si="168"/>
        <v>4548960000</v>
      </c>
      <c r="EH322" s="443">
        <f t="shared" si="169"/>
        <v>4958366400</v>
      </c>
      <c r="EI322" s="443">
        <f t="shared" si="169"/>
        <v>5404619376</v>
      </c>
      <c r="EJ322" s="367">
        <v>8000000010</v>
      </c>
    </row>
    <row r="323" spans="1:140" outlineLevel="2">
      <c r="A323" s="367" t="s">
        <v>192</v>
      </c>
      <c r="B323" s="378"/>
      <c r="C323" s="370" t="s">
        <v>358</v>
      </c>
      <c r="E323" s="396" t="s">
        <v>606</v>
      </c>
      <c r="F323" s="380">
        <v>3000018566</v>
      </c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>
        <f t="shared" si="154"/>
        <v>0</v>
      </c>
      <c r="T323" s="179"/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4700000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759">
        <f t="shared" si="155"/>
        <v>4700000</v>
      </c>
      <c r="AH323" s="788"/>
      <c r="AI323" s="827"/>
      <c r="AJ323" s="810"/>
      <c r="AK323" s="758"/>
      <c r="AL323" s="758"/>
      <c r="AM323" s="758"/>
      <c r="AN323" s="758"/>
      <c r="AO323" s="758"/>
      <c r="AP323" s="758"/>
      <c r="AQ323" s="518">
        <v>0</v>
      </c>
      <c r="AR323" s="518"/>
      <c r="AS323" s="518"/>
      <c r="AT323" s="518"/>
      <c r="AU323" s="518"/>
      <c r="AV323" s="518"/>
      <c r="AW323" s="518"/>
      <c r="AX323" s="518">
        <f t="shared" si="139"/>
        <v>0</v>
      </c>
      <c r="AY323" s="788"/>
      <c r="AZ323" s="827"/>
      <c r="BA323" s="810"/>
      <c r="BB323" s="758"/>
      <c r="BC323" s="758"/>
      <c r="BD323" s="758"/>
      <c r="BE323" s="758"/>
      <c r="BF323" s="758"/>
      <c r="BG323" s="518">
        <f t="shared" si="165"/>
        <v>0</v>
      </c>
      <c r="BH323" s="758"/>
      <c r="BI323" s="758"/>
      <c r="BJ323" s="758"/>
      <c r="BK323" s="758"/>
      <c r="BL323" s="518">
        <f t="shared" si="157"/>
        <v>0</v>
      </c>
      <c r="BN323" s="758"/>
      <c r="BO323" s="758"/>
      <c r="BP323" s="758"/>
      <c r="BQ323" s="758"/>
      <c r="BR323" s="758">
        <f t="shared" si="158"/>
        <v>0</v>
      </c>
      <c r="BS323" s="758"/>
      <c r="BT323" s="758"/>
      <c r="BU323" s="758"/>
      <c r="BV323" s="758"/>
      <c r="BW323" s="758"/>
      <c r="BX323" s="758"/>
      <c r="BY323" s="758"/>
      <c r="BZ323" s="791">
        <v>0</v>
      </c>
      <c r="CB323" s="758"/>
      <c r="CC323" s="758"/>
      <c r="CD323" s="758"/>
      <c r="CE323" s="758"/>
      <c r="CF323" s="758">
        <f t="shared" si="159"/>
        <v>0</v>
      </c>
      <c r="CG323" s="758"/>
      <c r="CH323" s="758"/>
      <c r="CI323" s="758"/>
      <c r="CJ323" s="758"/>
      <c r="CK323" s="758"/>
      <c r="CL323" s="758"/>
      <c r="CM323" s="758"/>
      <c r="CN323" s="791">
        <v>0</v>
      </c>
      <c r="CP323" s="653"/>
      <c r="CQ323" s="653"/>
      <c r="CR323" s="524"/>
      <c r="CS323" s="653"/>
      <c r="CT323" s="524"/>
      <c r="CU323" s="653"/>
      <c r="CV323" s="524"/>
      <c r="CW323" s="653"/>
      <c r="CX323" s="524"/>
      <c r="CY323" s="653"/>
      <c r="CZ323" s="524"/>
      <c r="DA323" s="653"/>
      <c r="DB323" s="524"/>
      <c r="DC323" s="653">
        <v>0</v>
      </c>
      <c r="DD323" s="524"/>
      <c r="DE323" s="758"/>
      <c r="DF323" s="524"/>
      <c r="DG323" s="757"/>
      <c r="DH323" s="758"/>
      <c r="DI323" s="524"/>
      <c r="DJ323" s="757"/>
      <c r="DK323" s="758"/>
      <c r="DL323" s="524"/>
      <c r="DM323" s="757"/>
      <c r="DN323" s="758"/>
      <c r="DO323" s="524"/>
      <c r="DP323" s="757"/>
      <c r="DQ323" s="493">
        <f t="shared" si="140"/>
        <v>0</v>
      </c>
      <c r="DR323" s="479">
        <f t="shared" si="141"/>
        <v>0</v>
      </c>
      <c r="DS323" s="1019"/>
      <c r="DT323" s="1019"/>
      <c r="DU323" s="1019"/>
      <c r="DV323" s="1019"/>
      <c r="DW323" s="1019"/>
      <c r="DX323" s="1019"/>
      <c r="DY323" s="1019"/>
      <c r="DZ323" s="1019"/>
      <c r="EA323" s="1019"/>
      <c r="EB323" s="1019"/>
      <c r="EC323" s="1019"/>
      <c r="ED323" s="1019"/>
      <c r="EE323" s="1119">
        <f t="shared" si="142"/>
        <v>0</v>
      </c>
      <c r="EF323" s="443">
        <f t="shared" si="160"/>
        <v>0</v>
      </c>
      <c r="EG323" s="443">
        <f t="shared" si="168"/>
        <v>0</v>
      </c>
      <c r="EH323" s="443">
        <f t="shared" si="169"/>
        <v>0</v>
      </c>
      <c r="EI323" s="443">
        <f t="shared" si="169"/>
        <v>0</v>
      </c>
      <c r="EJ323" s="367">
        <v>3000018566</v>
      </c>
    </row>
    <row r="324" spans="1:140" outlineLevel="2">
      <c r="A324" s="367" t="s">
        <v>196</v>
      </c>
      <c r="B324" s="378"/>
      <c r="C324" s="370" t="s">
        <v>358</v>
      </c>
      <c r="D324" s="370" t="s">
        <v>40</v>
      </c>
      <c r="E324" s="396" t="s">
        <v>607</v>
      </c>
      <c r="F324" s="380">
        <v>3000017469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f t="shared" si="154"/>
        <v>0</v>
      </c>
      <c r="T324" s="179"/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18000000</v>
      </c>
      <c r="AB324" s="14">
        <v>0</v>
      </c>
      <c r="AC324" s="14">
        <v>0</v>
      </c>
      <c r="AD324" s="14">
        <v>46727702</v>
      </c>
      <c r="AE324" s="14">
        <v>32944438</v>
      </c>
      <c r="AF324" s="14">
        <v>13357985</v>
      </c>
      <c r="AG324" s="759">
        <f t="shared" si="155"/>
        <v>111030125</v>
      </c>
      <c r="AH324" s="788"/>
      <c r="AI324" s="827">
        <v>3636129</v>
      </c>
      <c r="AJ324" s="810">
        <v>9421884</v>
      </c>
      <c r="AK324" s="758">
        <v>500000</v>
      </c>
      <c r="AL324" s="758">
        <v>9472504</v>
      </c>
      <c r="AM324" s="758">
        <v>0</v>
      </c>
      <c r="AN324" s="758">
        <v>0</v>
      </c>
      <c r="AO324" s="758">
        <v>0</v>
      </c>
      <c r="AP324" s="758">
        <v>0</v>
      </c>
      <c r="AQ324" s="518">
        <v>0</v>
      </c>
      <c r="AR324" s="518"/>
      <c r="AS324" s="518"/>
      <c r="AT324" s="518"/>
      <c r="AU324" s="794"/>
      <c r="AV324" s="794"/>
      <c r="AW324" s="794"/>
      <c r="AX324" s="518">
        <f t="shared" si="139"/>
        <v>23030517</v>
      </c>
      <c r="AY324" s="788"/>
      <c r="AZ324" s="827">
        <v>3636129</v>
      </c>
      <c r="BA324" s="810">
        <v>9421884</v>
      </c>
      <c r="BB324" s="758">
        <v>500000</v>
      </c>
      <c r="BC324" s="758">
        <v>9472504</v>
      </c>
      <c r="BD324" s="758">
        <v>0</v>
      </c>
      <c r="BE324" s="758">
        <v>0</v>
      </c>
      <c r="BF324" s="758">
        <v>0</v>
      </c>
      <c r="BG324" s="518">
        <f t="shared" si="165"/>
        <v>0</v>
      </c>
      <c r="BH324" s="758">
        <v>10000000</v>
      </c>
      <c r="BI324" s="758">
        <v>10000000</v>
      </c>
      <c r="BJ324" s="758">
        <v>15000000</v>
      </c>
      <c r="BK324" s="758">
        <v>15000000</v>
      </c>
      <c r="BL324" s="759">
        <f t="shared" si="157"/>
        <v>73030517</v>
      </c>
      <c r="BN324" s="758">
        <v>15000000</v>
      </c>
      <c r="BO324" s="758">
        <v>15000000</v>
      </c>
      <c r="BP324" s="758">
        <v>15000000</v>
      </c>
      <c r="BQ324" s="758">
        <v>15000000</v>
      </c>
      <c r="BR324" s="758">
        <f t="shared" si="158"/>
        <v>12750000</v>
      </c>
      <c r="BS324" s="758">
        <v>15000000</v>
      </c>
      <c r="BT324" s="758">
        <v>15000000</v>
      </c>
      <c r="BU324" s="758">
        <v>15000000</v>
      </c>
      <c r="BV324" s="758">
        <v>15000000</v>
      </c>
      <c r="BW324" s="758">
        <v>15000000</v>
      </c>
      <c r="BX324" s="758">
        <v>15000000</v>
      </c>
      <c r="BY324" s="758">
        <v>15000000</v>
      </c>
      <c r="BZ324" s="791">
        <v>177750000</v>
      </c>
      <c r="CB324" s="758">
        <v>15000000</v>
      </c>
      <c r="CC324" s="758">
        <v>15000000</v>
      </c>
      <c r="CD324" s="758">
        <v>15000000</v>
      </c>
      <c r="CE324" s="758">
        <v>15000000</v>
      </c>
      <c r="CF324" s="758">
        <f t="shared" si="159"/>
        <v>12750000</v>
      </c>
      <c r="CG324" s="758">
        <v>15000000</v>
      </c>
      <c r="CH324" s="758">
        <v>15000000</v>
      </c>
      <c r="CI324" s="758">
        <v>15000000</v>
      </c>
      <c r="CJ324" s="758">
        <v>15000000</v>
      </c>
      <c r="CK324" s="758">
        <v>15000000</v>
      </c>
      <c r="CL324" s="758">
        <v>15000000</v>
      </c>
      <c r="CM324" s="758">
        <v>15000000</v>
      </c>
      <c r="CN324" s="791">
        <v>177750000</v>
      </c>
      <c r="CP324" s="653">
        <v>0</v>
      </c>
      <c r="CQ324" s="653">
        <v>26200000</v>
      </c>
      <c r="CR324" s="524">
        <v>5000000</v>
      </c>
      <c r="CS324" s="653">
        <v>-5600000</v>
      </c>
      <c r="CT324" s="524">
        <v>5000000</v>
      </c>
      <c r="CU324" s="653">
        <v>9300000</v>
      </c>
      <c r="CV324" s="524">
        <v>15000000</v>
      </c>
      <c r="CW324" s="653">
        <v>3800000</v>
      </c>
      <c r="CX324" s="524">
        <v>10000000</v>
      </c>
      <c r="CY324" s="653">
        <v>11500000</v>
      </c>
      <c r="CZ324" s="524">
        <v>30000000</v>
      </c>
      <c r="DA324" s="653">
        <v>5200000</v>
      </c>
      <c r="DB324" s="524">
        <v>15000000</v>
      </c>
      <c r="DC324" s="653">
        <v>3500000</v>
      </c>
      <c r="DD324" s="524">
        <v>15000000</v>
      </c>
      <c r="DE324" s="758"/>
      <c r="DF324" s="524">
        <v>15000000</v>
      </c>
      <c r="DG324" s="757">
        <v>15000000</v>
      </c>
      <c r="DH324" s="758"/>
      <c r="DI324" s="524">
        <v>15000000</v>
      </c>
      <c r="DJ324" s="757">
        <v>15000000</v>
      </c>
      <c r="DK324" s="758"/>
      <c r="DL324" s="524">
        <v>15000000</v>
      </c>
      <c r="DM324" s="757">
        <v>15000000</v>
      </c>
      <c r="DN324" s="758"/>
      <c r="DO324" s="524">
        <v>15000000</v>
      </c>
      <c r="DP324" s="757">
        <v>15000000</v>
      </c>
      <c r="DQ324" s="493">
        <f t="shared" si="140"/>
        <v>113900000</v>
      </c>
      <c r="DR324" s="479">
        <f t="shared" si="141"/>
        <v>113900000</v>
      </c>
      <c r="DS324" s="1019">
        <v>15000000</v>
      </c>
      <c r="DT324" s="1019">
        <v>15000000</v>
      </c>
      <c r="DU324" s="1019">
        <v>15000000</v>
      </c>
      <c r="DV324" s="1019">
        <v>15000000</v>
      </c>
      <c r="DW324" s="1019">
        <v>15000000</v>
      </c>
      <c r="DX324" s="1019">
        <v>15000000</v>
      </c>
      <c r="DY324" s="1019">
        <v>15000000</v>
      </c>
      <c r="DZ324" s="1019">
        <v>15000000</v>
      </c>
      <c r="EA324" s="1019">
        <v>15000000</v>
      </c>
      <c r="EB324" s="1019">
        <v>15000000</v>
      </c>
      <c r="EC324" s="1019">
        <v>15000000</v>
      </c>
      <c r="ED324" s="1019">
        <v>15000000</v>
      </c>
      <c r="EE324" s="1119">
        <f t="shared" si="142"/>
        <v>180000000</v>
      </c>
      <c r="EF324" s="443">
        <f t="shared" si="160"/>
        <v>210600000</v>
      </c>
      <c r="EG324" s="443">
        <f t="shared" si="168"/>
        <v>227448000.00000003</v>
      </c>
      <c r="EH324" s="443">
        <f t="shared" si="169"/>
        <v>247918320.00000006</v>
      </c>
      <c r="EI324" s="443">
        <f t="shared" si="169"/>
        <v>270230968.80000007</v>
      </c>
      <c r="EJ324" s="367">
        <v>3000017469</v>
      </c>
    </row>
    <row r="325" spans="1:140" outlineLevel="2">
      <c r="A325" s="367" t="s">
        <v>192</v>
      </c>
      <c r="B325" s="378"/>
      <c r="C325" s="370" t="s">
        <v>358</v>
      </c>
      <c r="E325" s="396" t="s">
        <v>362</v>
      </c>
      <c r="F325" s="380">
        <v>3000003570</v>
      </c>
      <c r="G325" s="14">
        <v>0</v>
      </c>
      <c r="H325" s="14">
        <v>0</v>
      </c>
      <c r="I325" s="14">
        <v>800000</v>
      </c>
      <c r="J325" s="14">
        <v>800000</v>
      </c>
      <c r="K325" s="14">
        <v>0</v>
      </c>
      <c r="L325" s="14">
        <v>0</v>
      </c>
      <c r="M325" s="14">
        <v>3600000</v>
      </c>
      <c r="N325" s="14">
        <v>0</v>
      </c>
      <c r="O325" s="14">
        <v>3600000</v>
      </c>
      <c r="P325" s="14">
        <v>0</v>
      </c>
      <c r="Q325" s="14">
        <v>-7200000</v>
      </c>
      <c r="R325" s="14">
        <v>0</v>
      </c>
      <c r="S325" s="14">
        <f t="shared" si="154"/>
        <v>1600000</v>
      </c>
      <c r="T325" s="179"/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759">
        <f t="shared" si="155"/>
        <v>0</v>
      </c>
      <c r="AH325" s="788"/>
      <c r="AI325" s="827"/>
      <c r="AJ325" s="810"/>
      <c r="AK325" s="758"/>
      <c r="AL325" s="758"/>
      <c r="AM325" s="758"/>
      <c r="AN325" s="758"/>
      <c r="AO325" s="758"/>
      <c r="AP325" s="758"/>
      <c r="AQ325" s="518">
        <v>0</v>
      </c>
      <c r="AR325" s="518"/>
      <c r="AS325" s="518"/>
      <c r="AT325" s="518"/>
      <c r="AU325" s="518"/>
      <c r="AV325" s="518"/>
      <c r="AW325" s="518"/>
      <c r="AX325" s="518">
        <f t="shared" si="139"/>
        <v>0</v>
      </c>
      <c r="AY325" s="788"/>
      <c r="AZ325" s="827"/>
      <c r="BA325" s="810"/>
      <c r="BB325" s="758"/>
      <c r="BC325" s="758"/>
      <c r="BD325" s="758"/>
      <c r="BE325" s="758"/>
      <c r="BF325" s="758"/>
      <c r="BG325" s="518">
        <f t="shared" si="165"/>
        <v>0</v>
      </c>
      <c r="BH325" s="758"/>
      <c r="BI325" s="758"/>
      <c r="BJ325" s="758"/>
      <c r="BK325" s="758"/>
      <c r="BL325" s="518">
        <f t="shared" si="157"/>
        <v>0</v>
      </c>
      <c r="BN325" s="758"/>
      <c r="BO325" s="758"/>
      <c r="BP325" s="758"/>
      <c r="BQ325" s="758"/>
      <c r="BR325" s="758">
        <f t="shared" si="158"/>
        <v>0</v>
      </c>
      <c r="BS325" s="758"/>
      <c r="BT325" s="758"/>
      <c r="BU325" s="758"/>
      <c r="BV325" s="758"/>
      <c r="BW325" s="758"/>
      <c r="BX325" s="758"/>
      <c r="BY325" s="758"/>
      <c r="BZ325" s="791">
        <v>0</v>
      </c>
      <c r="CB325" s="758"/>
      <c r="CC325" s="758"/>
      <c r="CD325" s="758"/>
      <c r="CE325" s="758"/>
      <c r="CF325" s="758">
        <f t="shared" si="159"/>
        <v>0</v>
      </c>
      <c r="CG325" s="758"/>
      <c r="CH325" s="758"/>
      <c r="CI325" s="758"/>
      <c r="CJ325" s="758"/>
      <c r="CK325" s="758"/>
      <c r="CL325" s="758"/>
      <c r="CM325" s="758"/>
      <c r="CN325" s="791">
        <v>0</v>
      </c>
      <c r="CP325" s="653"/>
      <c r="CQ325" s="653"/>
      <c r="CR325" s="524"/>
      <c r="CS325" s="653"/>
      <c r="CT325" s="524"/>
      <c r="CU325" s="653"/>
      <c r="CV325" s="524"/>
      <c r="CW325" s="653"/>
      <c r="CX325" s="524"/>
      <c r="CY325" s="653"/>
      <c r="CZ325" s="524"/>
      <c r="DA325" s="653"/>
      <c r="DB325" s="524"/>
      <c r="DC325" s="653">
        <v>0</v>
      </c>
      <c r="DD325" s="524"/>
      <c r="DE325" s="758"/>
      <c r="DF325" s="524"/>
      <c r="DG325" s="757"/>
      <c r="DH325" s="758"/>
      <c r="DI325" s="524"/>
      <c r="DJ325" s="757"/>
      <c r="DK325" s="758"/>
      <c r="DL325" s="524"/>
      <c r="DM325" s="757"/>
      <c r="DN325" s="758"/>
      <c r="DO325" s="524"/>
      <c r="DP325" s="757"/>
      <c r="DQ325" s="493">
        <f t="shared" si="140"/>
        <v>0</v>
      </c>
      <c r="DR325" s="479">
        <f t="shared" si="141"/>
        <v>0</v>
      </c>
      <c r="DS325" s="1019"/>
      <c r="DT325" s="1019"/>
      <c r="DU325" s="1019"/>
      <c r="DV325" s="1019"/>
      <c r="DW325" s="1019"/>
      <c r="DX325" s="1019"/>
      <c r="DY325" s="1019"/>
      <c r="DZ325" s="1019"/>
      <c r="EA325" s="1019"/>
      <c r="EB325" s="1019"/>
      <c r="EC325" s="1019"/>
      <c r="ED325" s="1019"/>
      <c r="EE325" s="1119">
        <f t="shared" si="142"/>
        <v>0</v>
      </c>
      <c r="EF325" s="443">
        <f t="shared" si="160"/>
        <v>0</v>
      </c>
      <c r="EG325" s="443">
        <f t="shared" si="168"/>
        <v>0</v>
      </c>
      <c r="EH325" s="443">
        <f t="shared" si="169"/>
        <v>0</v>
      </c>
      <c r="EI325" s="443">
        <f t="shared" si="169"/>
        <v>0</v>
      </c>
      <c r="EJ325" s="367">
        <v>3000003570</v>
      </c>
    </row>
    <row r="326" spans="1:140" outlineLevel="2">
      <c r="A326" s="367" t="s">
        <v>196</v>
      </c>
      <c r="B326" s="378"/>
      <c r="C326" s="370" t="s">
        <v>358</v>
      </c>
      <c r="D326" s="370" t="s">
        <v>40</v>
      </c>
      <c r="E326" s="396" t="s">
        <v>608</v>
      </c>
      <c r="F326" s="380"/>
      <c r="G326" s="188"/>
      <c r="H326" s="13"/>
      <c r="I326" s="185"/>
      <c r="J326" s="185"/>
      <c r="K326" s="185"/>
      <c r="L326" s="185"/>
      <c r="M326" s="185"/>
      <c r="N326" s="185"/>
      <c r="O326" s="185"/>
      <c r="P326" s="185"/>
      <c r="Q326" s="185"/>
      <c r="R326" s="185"/>
      <c r="S326" s="14"/>
      <c r="T326" s="179"/>
      <c r="U326" s="188"/>
      <c r="V326" s="13"/>
      <c r="W326" s="185"/>
      <c r="X326" s="185"/>
      <c r="Y326" s="185"/>
      <c r="Z326" s="185"/>
      <c r="AA326" s="185"/>
      <c r="AB326" s="185"/>
      <c r="AC326" s="185"/>
      <c r="AD326" s="185"/>
      <c r="AE326" s="185"/>
      <c r="AF326" s="185"/>
      <c r="AG326" s="759"/>
      <c r="AH326" s="788"/>
      <c r="AI326" s="827"/>
      <c r="AJ326" s="810"/>
      <c r="AK326" s="758"/>
      <c r="AL326" s="758"/>
      <c r="AM326" s="758"/>
      <c r="AN326" s="758"/>
      <c r="AO326" s="758"/>
      <c r="AP326" s="758"/>
      <c r="AQ326" s="518"/>
      <c r="AR326" s="813">
        <v>1181818</v>
      </c>
      <c r="AS326" s="813">
        <v>0</v>
      </c>
      <c r="AT326" s="813">
        <v>0</v>
      </c>
      <c r="AU326" s="828"/>
      <c r="AV326" s="828"/>
      <c r="AW326" s="828"/>
      <c r="AX326" s="518">
        <f t="shared" si="139"/>
        <v>1181818</v>
      </c>
      <c r="AY326" s="788"/>
      <c r="AZ326" s="827"/>
      <c r="BA326" s="810"/>
      <c r="BB326" s="758"/>
      <c r="BC326" s="758"/>
      <c r="BD326" s="758"/>
      <c r="BE326" s="758"/>
      <c r="BF326" s="758"/>
      <c r="BG326" s="758"/>
      <c r="BH326" s="758"/>
      <c r="BI326" s="758"/>
      <c r="BJ326" s="758"/>
      <c r="BK326" s="758"/>
      <c r="BL326" s="759"/>
      <c r="BN326" s="758"/>
      <c r="BO326" s="758"/>
      <c r="BP326" s="758"/>
      <c r="BQ326" s="758"/>
      <c r="BR326" s="758"/>
      <c r="BS326" s="758"/>
      <c r="BT326" s="758"/>
      <c r="BU326" s="758"/>
      <c r="BV326" s="758"/>
      <c r="BW326" s="758"/>
      <c r="BX326" s="758"/>
      <c r="BY326" s="758"/>
      <c r="BZ326" s="791">
        <v>0</v>
      </c>
      <c r="CB326" s="758"/>
      <c r="CC326" s="758"/>
      <c r="CD326" s="758"/>
      <c r="CE326" s="758"/>
      <c r="CF326" s="758"/>
      <c r="CG326" s="758"/>
      <c r="CH326" s="758"/>
      <c r="CI326" s="758"/>
      <c r="CJ326" s="758"/>
      <c r="CK326" s="758"/>
      <c r="CL326" s="758"/>
      <c r="CM326" s="758"/>
      <c r="CN326" s="791">
        <v>0</v>
      </c>
      <c r="CP326" s="653"/>
      <c r="CQ326" s="653"/>
      <c r="CR326" s="524"/>
      <c r="CS326" s="653"/>
      <c r="CT326" s="524"/>
      <c r="CU326" s="653"/>
      <c r="CV326" s="524"/>
      <c r="CW326" s="653"/>
      <c r="CX326" s="524"/>
      <c r="CY326" s="653"/>
      <c r="CZ326" s="524"/>
      <c r="DA326" s="653"/>
      <c r="DB326" s="524"/>
      <c r="DC326" s="653">
        <v>0</v>
      </c>
      <c r="DD326" s="524"/>
      <c r="DE326" s="758"/>
      <c r="DF326" s="524"/>
      <c r="DG326" s="757"/>
      <c r="DH326" s="758"/>
      <c r="DI326" s="524"/>
      <c r="DJ326" s="757"/>
      <c r="DK326" s="758"/>
      <c r="DL326" s="524"/>
      <c r="DM326" s="757"/>
      <c r="DN326" s="758"/>
      <c r="DO326" s="524"/>
      <c r="DP326" s="757"/>
      <c r="DQ326" s="493">
        <f t="shared" si="140"/>
        <v>0</v>
      </c>
      <c r="DR326" s="479">
        <f t="shared" si="141"/>
        <v>0</v>
      </c>
      <c r="DS326" s="1019"/>
      <c r="DT326" s="1019"/>
      <c r="DU326" s="1019"/>
      <c r="DV326" s="1019"/>
      <c r="DW326" s="1019"/>
      <c r="DX326" s="1019"/>
      <c r="DY326" s="1019"/>
      <c r="DZ326" s="1019"/>
      <c r="EA326" s="1019"/>
      <c r="EB326" s="1019"/>
      <c r="EC326" s="1019"/>
      <c r="ED326" s="1019"/>
      <c r="EE326" s="1119">
        <f t="shared" si="142"/>
        <v>0</v>
      </c>
      <c r="EF326" s="443"/>
      <c r="EG326" s="443"/>
      <c r="EH326" s="443"/>
      <c r="EI326" s="443"/>
    </row>
    <row r="327" spans="1:140" outlineLevel="2">
      <c r="A327" s="367" t="s">
        <v>196</v>
      </c>
      <c r="B327" s="378"/>
      <c r="C327" s="370" t="s">
        <v>358</v>
      </c>
      <c r="D327" s="370" t="s">
        <v>40</v>
      </c>
      <c r="E327" s="396" t="s">
        <v>609</v>
      </c>
      <c r="F327" s="380">
        <v>3000003865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f>SUM(G327,H327,I327,J327,K327,L327,M327,N327,O327,P327,Q327,R327)</f>
        <v>0</v>
      </c>
      <c r="T327" s="179"/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759">
        <f>SUM(U327,V327,W327,X327,Y327,Z327,AA327,AB327,AC327,AD327,AE327,AF327)</f>
        <v>0</v>
      </c>
      <c r="AH327" s="788"/>
      <c r="AI327" s="827"/>
      <c r="AJ327" s="810"/>
      <c r="AK327" s="758"/>
      <c r="AL327" s="758">
        <v>0</v>
      </c>
      <c r="AM327" s="758"/>
      <c r="AN327" s="758"/>
      <c r="AO327" s="758"/>
      <c r="AP327" s="758">
        <v>7330000</v>
      </c>
      <c r="AQ327" s="518">
        <v>25800000</v>
      </c>
      <c r="AR327" s="813">
        <v>45680000</v>
      </c>
      <c r="AS327" s="813">
        <v>48730000</v>
      </c>
      <c r="AT327" s="813">
        <v>43400000</v>
      </c>
      <c r="AU327" s="794">
        <f>30000000</f>
        <v>30000000</v>
      </c>
      <c r="AV327" s="794">
        <f>30000000</f>
        <v>30000000</v>
      </c>
      <c r="AW327" s="794">
        <f>30000000</f>
        <v>30000000</v>
      </c>
      <c r="AX327" s="518">
        <f t="shared" si="139"/>
        <v>170940000</v>
      </c>
      <c r="AY327" s="788"/>
      <c r="AZ327" s="827"/>
      <c r="BA327" s="810"/>
      <c r="BB327" s="758"/>
      <c r="BC327" s="758">
        <v>0</v>
      </c>
      <c r="BD327" s="758"/>
      <c r="BE327" s="758"/>
      <c r="BF327" s="758"/>
      <c r="BG327" s="518">
        <f>AP327</f>
        <v>7330000</v>
      </c>
      <c r="BH327" s="758">
        <v>0</v>
      </c>
      <c r="BI327" s="758">
        <v>0</v>
      </c>
      <c r="BJ327" s="758">
        <v>0</v>
      </c>
      <c r="BK327" s="758">
        <v>0</v>
      </c>
      <c r="BL327" s="759">
        <f>SUM(AZ327,BA327,BB327,BC327,BD327,BE327,BF327,BG327,BH327,BI327,BJ327,BK327)</f>
        <v>7330000</v>
      </c>
      <c r="BN327" s="758">
        <f>30000000</f>
        <v>30000000</v>
      </c>
      <c r="BO327" s="758">
        <f>30000000</f>
        <v>30000000</v>
      </c>
      <c r="BP327" s="758">
        <f>30000000</f>
        <v>30000000</v>
      </c>
      <c r="BQ327" s="758">
        <f>30000000</f>
        <v>30000000</v>
      </c>
      <c r="BR327" s="758">
        <f>BQ327*0.85</f>
        <v>25500000</v>
      </c>
      <c r="BS327" s="758">
        <f t="shared" ref="BS327:BY327" si="172">30000000</f>
        <v>30000000</v>
      </c>
      <c r="BT327" s="758">
        <f t="shared" si="172"/>
        <v>30000000</v>
      </c>
      <c r="BU327" s="758">
        <f t="shared" si="172"/>
        <v>30000000</v>
      </c>
      <c r="BV327" s="758">
        <f t="shared" si="172"/>
        <v>30000000</v>
      </c>
      <c r="BW327" s="758">
        <f t="shared" si="172"/>
        <v>30000000</v>
      </c>
      <c r="BX327" s="758">
        <f t="shared" si="172"/>
        <v>30000000</v>
      </c>
      <c r="BY327" s="758">
        <f t="shared" si="172"/>
        <v>30000000</v>
      </c>
      <c r="BZ327" s="791">
        <v>355500000</v>
      </c>
      <c r="CB327" s="758">
        <f>30000000</f>
        <v>30000000</v>
      </c>
      <c r="CC327" s="758">
        <f>30000000</f>
        <v>30000000</v>
      </c>
      <c r="CD327" s="758">
        <f>30000000</f>
        <v>30000000</v>
      </c>
      <c r="CE327" s="758">
        <f>30000000</f>
        <v>30000000</v>
      </c>
      <c r="CF327" s="758">
        <f>CE327*0.85</f>
        <v>25500000</v>
      </c>
      <c r="CG327" s="758">
        <f t="shared" ref="CG327:CM327" si="173">30000000</f>
        <v>30000000</v>
      </c>
      <c r="CH327" s="758">
        <f t="shared" si="173"/>
        <v>30000000</v>
      </c>
      <c r="CI327" s="758">
        <f t="shared" si="173"/>
        <v>30000000</v>
      </c>
      <c r="CJ327" s="758">
        <f t="shared" si="173"/>
        <v>30000000</v>
      </c>
      <c r="CK327" s="758">
        <f t="shared" si="173"/>
        <v>30000000</v>
      </c>
      <c r="CL327" s="758">
        <f t="shared" si="173"/>
        <v>30000000</v>
      </c>
      <c r="CM327" s="758">
        <f t="shared" si="173"/>
        <v>30000000</v>
      </c>
      <c r="CN327" s="791">
        <v>355500000</v>
      </c>
      <c r="CP327" s="653">
        <v>47600000</v>
      </c>
      <c r="CQ327" s="653">
        <v>57400000</v>
      </c>
      <c r="CR327" s="524">
        <v>50000000</v>
      </c>
      <c r="CS327" s="653">
        <v>36200000</v>
      </c>
      <c r="CT327" s="524">
        <v>60000000</v>
      </c>
      <c r="CU327" s="653">
        <v>38300000</v>
      </c>
      <c r="CV327" s="524">
        <v>75000000</v>
      </c>
      <c r="CW327" s="653">
        <v>30700000</v>
      </c>
      <c r="CX327" s="524">
        <v>30000000</v>
      </c>
      <c r="CY327" s="653">
        <v>33000000</v>
      </c>
      <c r="CZ327" s="524">
        <v>50000000</v>
      </c>
      <c r="DA327" s="653">
        <v>65300000</v>
      </c>
      <c r="DB327" s="524">
        <v>50000000</v>
      </c>
      <c r="DC327" s="653">
        <v>37650000</v>
      </c>
      <c r="DD327" s="524">
        <v>50000000</v>
      </c>
      <c r="DE327" s="758"/>
      <c r="DF327" s="524">
        <v>50000000</v>
      </c>
      <c r="DG327" s="757">
        <v>50000000</v>
      </c>
      <c r="DH327" s="758"/>
      <c r="DI327" s="524">
        <v>50000000</v>
      </c>
      <c r="DJ327" s="757">
        <v>50000000</v>
      </c>
      <c r="DK327" s="758"/>
      <c r="DL327" s="524">
        <v>50000000</v>
      </c>
      <c r="DM327" s="757">
        <v>50000000</v>
      </c>
      <c r="DN327" s="758"/>
      <c r="DO327" s="524">
        <v>50000000</v>
      </c>
      <c r="DP327" s="757">
        <v>50000000</v>
      </c>
      <c r="DQ327" s="493">
        <f t="shared" si="140"/>
        <v>546150000</v>
      </c>
      <c r="DR327" s="479">
        <f t="shared" si="141"/>
        <v>546150000</v>
      </c>
      <c r="DS327" s="1019">
        <v>50000000</v>
      </c>
      <c r="DT327" s="1019">
        <v>50000000</v>
      </c>
      <c r="DU327" s="1019">
        <v>50000000</v>
      </c>
      <c r="DV327" s="1019">
        <v>50000000</v>
      </c>
      <c r="DW327" s="1019">
        <v>50000000</v>
      </c>
      <c r="DX327" s="1019">
        <v>50000000</v>
      </c>
      <c r="DY327" s="1019">
        <v>50000000</v>
      </c>
      <c r="DZ327" s="1019">
        <v>50000000</v>
      </c>
      <c r="EA327" s="1019">
        <v>50000000</v>
      </c>
      <c r="EB327" s="1019">
        <v>50000000</v>
      </c>
      <c r="EC327" s="1019">
        <v>50000000</v>
      </c>
      <c r="ED327" s="1019">
        <v>50000000</v>
      </c>
      <c r="EE327" s="1119">
        <f t="shared" si="142"/>
        <v>600000000</v>
      </c>
      <c r="EF327" s="443">
        <f t="shared" ref="EF327:EF334" si="174">EE327*1.17</f>
        <v>702000000</v>
      </c>
      <c r="EG327" s="443">
        <f>EF327*1.08</f>
        <v>758160000</v>
      </c>
      <c r="EH327" s="443">
        <f t="shared" ref="EH327:EI330" si="175">EG327*1.09</f>
        <v>826394400.00000012</v>
      </c>
      <c r="EI327" s="443">
        <f t="shared" si="175"/>
        <v>900769896.00000024</v>
      </c>
      <c r="EJ327" s="367">
        <v>3000003865</v>
      </c>
    </row>
    <row r="328" spans="1:140" outlineLevel="2">
      <c r="A328" s="367" t="s">
        <v>192</v>
      </c>
      <c r="B328" s="378"/>
      <c r="C328" s="370" t="s">
        <v>358</v>
      </c>
      <c r="E328" s="396" t="s">
        <v>610</v>
      </c>
      <c r="F328" s="380">
        <v>3000018940</v>
      </c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>
        <f>SUM(G328,H328,I328,J328,K328,L328,M328,N328,O328,P328,Q328,R328)</f>
        <v>0</v>
      </c>
      <c r="T328" s="179"/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3000000</v>
      </c>
      <c r="AE328" s="14">
        <v>6000000</v>
      </c>
      <c r="AF328" s="14">
        <v>0</v>
      </c>
      <c r="AG328" s="759">
        <f>SUM(U328,V328,W328,X328,Y328,Z328,AA328,AB328,AC328,AD328,AE328,AF328)</f>
        <v>9000000</v>
      </c>
      <c r="AH328" s="788"/>
      <c r="AI328" s="827"/>
      <c r="AJ328" s="810"/>
      <c r="AK328" s="758"/>
      <c r="AL328" s="758"/>
      <c r="AM328" s="758"/>
      <c r="AN328" s="758"/>
      <c r="AO328" s="758"/>
      <c r="AP328" s="758"/>
      <c r="AQ328" s="518">
        <v>0</v>
      </c>
      <c r="AR328" s="518"/>
      <c r="AS328" s="518"/>
      <c r="AT328" s="518"/>
      <c r="AU328" s="518"/>
      <c r="AV328" s="518"/>
      <c r="AW328" s="518"/>
      <c r="AX328" s="518">
        <f t="shared" si="139"/>
        <v>0</v>
      </c>
      <c r="AY328" s="788"/>
      <c r="AZ328" s="827"/>
      <c r="BA328" s="810"/>
      <c r="BB328" s="758"/>
      <c r="BC328" s="758"/>
      <c r="BD328" s="758"/>
      <c r="BE328" s="758"/>
      <c r="BF328" s="758"/>
      <c r="BG328" s="518">
        <f>AP328</f>
        <v>0</v>
      </c>
      <c r="BH328" s="758"/>
      <c r="BI328" s="758"/>
      <c r="BJ328" s="758"/>
      <c r="BK328" s="758"/>
      <c r="BL328" s="518">
        <f>SUM(AZ328,BA328,BB328,BC328,BD328,BE328,BF328,BG328,BH328,BI328,BJ328,BK328)</f>
        <v>0</v>
      </c>
      <c r="BN328" s="758"/>
      <c r="BO328" s="758"/>
      <c r="BP328" s="758"/>
      <c r="BQ328" s="758"/>
      <c r="BR328" s="758">
        <f>BQ328*0.85</f>
        <v>0</v>
      </c>
      <c r="BS328" s="758"/>
      <c r="BT328" s="758"/>
      <c r="BU328" s="758"/>
      <c r="BV328" s="758"/>
      <c r="BW328" s="758"/>
      <c r="BX328" s="758"/>
      <c r="BY328" s="758"/>
      <c r="BZ328" s="791">
        <v>0</v>
      </c>
      <c r="CB328" s="758"/>
      <c r="CC328" s="758"/>
      <c r="CD328" s="758"/>
      <c r="CE328" s="758"/>
      <c r="CF328" s="758">
        <f>CE328*0.85</f>
        <v>0</v>
      </c>
      <c r="CG328" s="758"/>
      <c r="CH328" s="758"/>
      <c r="CI328" s="758"/>
      <c r="CJ328" s="758"/>
      <c r="CK328" s="758"/>
      <c r="CL328" s="758"/>
      <c r="CM328" s="758"/>
      <c r="CN328" s="791">
        <v>0</v>
      </c>
      <c r="CP328" s="653"/>
      <c r="CQ328" s="653"/>
      <c r="CR328" s="524"/>
      <c r="CS328" s="653"/>
      <c r="CT328" s="524"/>
      <c r="CU328" s="653"/>
      <c r="CV328" s="524"/>
      <c r="CW328" s="653"/>
      <c r="CX328" s="524"/>
      <c r="CY328" s="653"/>
      <c r="CZ328" s="524"/>
      <c r="DA328" s="653"/>
      <c r="DB328" s="524"/>
      <c r="DC328" s="653">
        <v>0</v>
      </c>
      <c r="DD328" s="524"/>
      <c r="DE328" s="758"/>
      <c r="DF328" s="524"/>
      <c r="DG328" s="757"/>
      <c r="DH328" s="758"/>
      <c r="DI328" s="524"/>
      <c r="DJ328" s="757"/>
      <c r="DK328" s="758"/>
      <c r="DL328" s="524"/>
      <c r="DM328" s="757"/>
      <c r="DN328" s="758"/>
      <c r="DO328" s="524"/>
      <c r="DP328" s="757"/>
      <c r="DQ328" s="493">
        <f t="shared" si="140"/>
        <v>0</v>
      </c>
      <c r="DR328" s="479">
        <f t="shared" si="141"/>
        <v>0</v>
      </c>
      <c r="DS328" s="1019"/>
      <c r="DT328" s="1019"/>
      <c r="DU328" s="1019"/>
      <c r="DV328" s="1019"/>
      <c r="DW328" s="1019"/>
      <c r="DX328" s="1019"/>
      <c r="DY328" s="1019"/>
      <c r="DZ328" s="1019"/>
      <c r="EA328" s="1019"/>
      <c r="EB328" s="1019"/>
      <c r="EC328" s="1019"/>
      <c r="ED328" s="1019"/>
      <c r="EE328" s="1119">
        <f t="shared" si="142"/>
        <v>0</v>
      </c>
      <c r="EF328" s="443">
        <f t="shared" si="174"/>
        <v>0</v>
      </c>
      <c r="EG328" s="443">
        <f>EF328*1.08</f>
        <v>0</v>
      </c>
      <c r="EH328" s="443">
        <f t="shared" si="175"/>
        <v>0</v>
      </c>
      <c r="EI328" s="443">
        <f t="shared" si="175"/>
        <v>0</v>
      </c>
      <c r="EJ328" s="367">
        <v>3000018940</v>
      </c>
    </row>
    <row r="329" spans="1:140" outlineLevel="2">
      <c r="A329" s="367" t="s">
        <v>196</v>
      </c>
      <c r="B329" s="378"/>
      <c r="C329" s="370" t="s">
        <v>358</v>
      </c>
      <c r="D329" s="370" t="s">
        <v>40</v>
      </c>
      <c r="E329" s="396" t="s">
        <v>87</v>
      </c>
      <c r="F329" s="380">
        <v>3000007550</v>
      </c>
      <c r="G329" s="14">
        <v>0</v>
      </c>
      <c r="H329" s="14">
        <v>0</v>
      </c>
      <c r="I329" s="14">
        <v>116100000</v>
      </c>
      <c r="J329" s="14">
        <v>307261115</v>
      </c>
      <c r="K329" s="14">
        <v>229210078</v>
      </c>
      <c r="L329" s="14">
        <v>191123785</v>
      </c>
      <c r="M329" s="14">
        <v>169544049</v>
      </c>
      <c r="N329" s="14">
        <v>503559555</v>
      </c>
      <c r="O329" s="14">
        <v>269771967</v>
      </c>
      <c r="P329" s="14">
        <v>242222339</v>
      </c>
      <c r="Q329" s="14">
        <v>258172393</v>
      </c>
      <c r="R329" s="14">
        <v>292284015</v>
      </c>
      <c r="S329" s="14">
        <f>SUM(G329,H329,I329,J329,K329,L329,M329,N329,O329,P329,Q329,R329)</f>
        <v>2579249296</v>
      </c>
      <c r="T329" s="179"/>
      <c r="U329" s="14">
        <v>291877714</v>
      </c>
      <c r="V329" s="14">
        <v>251555446</v>
      </c>
      <c r="W329" s="14">
        <v>338579520</v>
      </c>
      <c r="X329" s="14">
        <v>338026366</v>
      </c>
      <c r="Y329" s="14">
        <v>302082020</v>
      </c>
      <c r="Z329" s="14">
        <v>163980316</v>
      </c>
      <c r="AA329" s="14">
        <v>264529669</v>
      </c>
      <c r="AB329" s="14">
        <v>264338740</v>
      </c>
      <c r="AC329" s="14">
        <v>287203837</v>
      </c>
      <c r="AD329" s="14">
        <v>271625364</v>
      </c>
      <c r="AE329" s="14">
        <v>270657990</v>
      </c>
      <c r="AF329" s="14">
        <v>259718757</v>
      </c>
      <c r="AG329" s="759">
        <f>SUM(U329,V329,W329,X329,Y329,Z329,AA329,AB329,AC329,AD329,AE329,AF329)</f>
        <v>3304175739</v>
      </c>
      <c r="AH329" s="788"/>
      <c r="AI329" s="827">
        <v>249433866</v>
      </c>
      <c r="AJ329" s="810">
        <v>321529414</v>
      </c>
      <c r="AK329" s="758">
        <v>312987466</v>
      </c>
      <c r="AL329" s="758">
        <v>380710114</v>
      </c>
      <c r="AM329" s="758">
        <v>129316372</v>
      </c>
      <c r="AN329" s="758">
        <v>234330267</v>
      </c>
      <c r="AO329" s="758">
        <v>248243514</v>
      </c>
      <c r="AP329" s="758">
        <v>251226543</v>
      </c>
      <c r="AQ329" s="518">
        <v>281889737</v>
      </c>
      <c r="AR329" s="813">
        <v>257802590</v>
      </c>
      <c r="AS329" s="813">
        <v>293818714</v>
      </c>
      <c r="AT329" s="813">
        <v>296518866</v>
      </c>
      <c r="AU329" s="794">
        <f>AQ329</f>
        <v>281889737</v>
      </c>
      <c r="AV329" s="794">
        <f>AU329</f>
        <v>281889737</v>
      </c>
      <c r="AW329" s="794">
        <f>AV329</f>
        <v>281889737</v>
      </c>
      <c r="AX329" s="518">
        <f t="shared" si="139"/>
        <v>3257807463</v>
      </c>
      <c r="AY329" s="788"/>
      <c r="AZ329" s="827">
        <v>249433866</v>
      </c>
      <c r="BA329" s="810">
        <v>321529414</v>
      </c>
      <c r="BB329" s="758">
        <v>312987466</v>
      </c>
      <c r="BC329" s="758">
        <v>380710114</v>
      </c>
      <c r="BD329" s="758">
        <v>129316372</v>
      </c>
      <c r="BE329" s="758">
        <v>234330267</v>
      </c>
      <c r="BF329" s="758">
        <v>248243514</v>
      </c>
      <c r="BG329" s="518">
        <f>AP329</f>
        <v>251226543</v>
      </c>
      <c r="BH329" s="758">
        <v>286923514</v>
      </c>
      <c r="BI329" s="758">
        <v>286923514</v>
      </c>
      <c r="BJ329" s="758">
        <v>302923514</v>
      </c>
      <c r="BK329" s="758">
        <v>302923514</v>
      </c>
      <c r="BL329" s="759">
        <f>SUM(AZ329,BA329,BB329,BC329,BD329,BE329,BF329,BG329,BH329,BI329,BJ329,BK329)</f>
        <v>3307471612</v>
      </c>
      <c r="BN329" s="758">
        <v>302923514</v>
      </c>
      <c r="BO329" s="758">
        <v>302923514</v>
      </c>
      <c r="BP329" s="758">
        <v>302923514</v>
      </c>
      <c r="BQ329" s="758">
        <v>302923514</v>
      </c>
      <c r="BR329" s="758">
        <f>BQ329*0.85</f>
        <v>257484986.90000001</v>
      </c>
      <c r="BS329" s="758">
        <v>302923514</v>
      </c>
      <c r="BT329" s="758">
        <v>302923514</v>
      </c>
      <c r="BU329" s="758">
        <v>302923514</v>
      </c>
      <c r="BV329" s="758">
        <v>302923514</v>
      </c>
      <c r="BW329" s="758">
        <v>302923514</v>
      </c>
      <c r="BX329" s="758">
        <v>302923514</v>
      </c>
      <c r="BY329" s="758">
        <v>302923514</v>
      </c>
      <c r="BZ329" s="791">
        <v>3589643640.9000001</v>
      </c>
      <c r="CB329" s="758">
        <v>302923514</v>
      </c>
      <c r="CC329" s="758">
        <v>302923514</v>
      </c>
      <c r="CD329" s="758">
        <v>302923514</v>
      </c>
      <c r="CE329" s="758">
        <v>302923514</v>
      </c>
      <c r="CF329" s="758">
        <f>CE329*0.85</f>
        <v>257484986.90000001</v>
      </c>
      <c r="CG329" s="758">
        <v>302923514</v>
      </c>
      <c r="CH329" s="758">
        <v>302923514</v>
      </c>
      <c r="CI329" s="758">
        <v>302923514</v>
      </c>
      <c r="CJ329" s="758">
        <v>302923514</v>
      </c>
      <c r="CK329" s="758">
        <v>302923514</v>
      </c>
      <c r="CL329" s="758">
        <v>302923514</v>
      </c>
      <c r="CM329" s="758">
        <v>302923514</v>
      </c>
      <c r="CN329" s="791">
        <v>3589643640.9000001</v>
      </c>
      <c r="CP329" s="653">
        <v>243635695</v>
      </c>
      <c r="CQ329" s="653">
        <v>325211714</v>
      </c>
      <c r="CR329" s="524">
        <v>240000000</v>
      </c>
      <c r="CS329" s="653">
        <v>255148343</v>
      </c>
      <c r="CT329" s="524">
        <v>300000000</v>
      </c>
      <c r="CU329" s="653">
        <v>276279090</v>
      </c>
      <c r="CV329" s="524">
        <v>300000000</v>
      </c>
      <c r="CW329" s="653">
        <v>250016719</v>
      </c>
      <c r="CX329" s="524">
        <v>250000000</v>
      </c>
      <c r="CY329" s="653">
        <v>261253790</v>
      </c>
      <c r="CZ329" s="524">
        <v>250000000</v>
      </c>
      <c r="DA329" s="653">
        <v>260335266</v>
      </c>
      <c r="DB329" s="524">
        <v>250000000</v>
      </c>
      <c r="DC329" s="653">
        <v>257015690</v>
      </c>
      <c r="DD329" s="524">
        <v>250000000</v>
      </c>
      <c r="DE329" s="758"/>
      <c r="DF329" s="524">
        <v>250000000</v>
      </c>
      <c r="DG329" s="757">
        <v>250000000</v>
      </c>
      <c r="DH329" s="758"/>
      <c r="DI329" s="524">
        <v>250000000</v>
      </c>
      <c r="DJ329" s="757">
        <v>250000000</v>
      </c>
      <c r="DK329" s="758"/>
      <c r="DL329" s="524">
        <v>300000000</v>
      </c>
      <c r="DM329" s="757">
        <v>300000000</v>
      </c>
      <c r="DN329" s="758"/>
      <c r="DO329" s="524">
        <v>300000000</v>
      </c>
      <c r="DP329" s="757">
        <v>300000000</v>
      </c>
      <c r="DQ329" s="493">
        <f t="shared" si="140"/>
        <v>3228896307</v>
      </c>
      <c r="DR329" s="479">
        <f t="shared" si="141"/>
        <v>3228896307</v>
      </c>
      <c r="DS329" s="1019">
        <v>300000000</v>
      </c>
      <c r="DT329" s="1019">
        <v>300000000</v>
      </c>
      <c r="DU329" s="1019">
        <v>350000000</v>
      </c>
      <c r="DV329" s="1019">
        <v>350000000</v>
      </c>
      <c r="DW329" s="1019">
        <v>300000000</v>
      </c>
      <c r="DX329" s="1019">
        <v>300000000</v>
      </c>
      <c r="DY329" s="1019">
        <v>300000000</v>
      </c>
      <c r="DZ329" s="1019">
        <v>300000000</v>
      </c>
      <c r="EA329" s="1019">
        <v>300000000</v>
      </c>
      <c r="EB329" s="1019">
        <v>300000000</v>
      </c>
      <c r="EC329" s="1019">
        <v>350000000</v>
      </c>
      <c r="ED329" s="1019">
        <v>350000000</v>
      </c>
      <c r="EE329" s="1119">
        <f t="shared" si="142"/>
        <v>3800000000</v>
      </c>
      <c r="EF329" s="443">
        <f t="shared" si="174"/>
        <v>4446000000</v>
      </c>
      <c r="EG329" s="443">
        <v>6000000000</v>
      </c>
      <c r="EH329" s="443">
        <f t="shared" si="175"/>
        <v>6540000000.000001</v>
      </c>
      <c r="EI329" s="443">
        <f t="shared" si="175"/>
        <v>7128600000.0000019</v>
      </c>
      <c r="EJ329" s="367">
        <v>3000007550</v>
      </c>
    </row>
    <row r="330" spans="1:140" outlineLevel="2">
      <c r="A330" s="367" t="s">
        <v>196</v>
      </c>
      <c r="B330" s="378"/>
      <c r="C330" s="370" t="s">
        <v>358</v>
      </c>
      <c r="D330" s="370" t="s">
        <v>40</v>
      </c>
      <c r="E330" s="396" t="s">
        <v>611</v>
      </c>
      <c r="F330" s="380">
        <v>3000020226</v>
      </c>
      <c r="G330" s="188"/>
      <c r="H330" s="13"/>
      <c r="I330" s="185"/>
      <c r="J330" s="185"/>
      <c r="K330" s="185"/>
      <c r="L330" s="185"/>
      <c r="M330" s="185"/>
      <c r="N330" s="185"/>
      <c r="O330" s="185"/>
      <c r="P330" s="185"/>
      <c r="Q330" s="185"/>
      <c r="R330" s="185"/>
      <c r="S330" s="14"/>
      <c r="T330" s="179"/>
      <c r="U330" s="188"/>
      <c r="V330" s="13"/>
      <c r="W330" s="185"/>
      <c r="X330" s="185"/>
      <c r="Y330" s="185"/>
      <c r="Z330" s="185"/>
      <c r="AA330" s="185"/>
      <c r="AB330" s="185"/>
      <c r="AC330" s="185"/>
      <c r="AD330" s="185"/>
      <c r="AE330" s="185"/>
      <c r="AF330" s="185"/>
      <c r="AG330" s="759"/>
      <c r="AH330" s="788"/>
      <c r="AI330" s="827"/>
      <c r="AJ330" s="810"/>
      <c r="AK330" s="758"/>
      <c r="AL330" s="758"/>
      <c r="AM330" s="758"/>
      <c r="AN330" s="758"/>
      <c r="AO330" s="758"/>
      <c r="AP330" s="758"/>
      <c r="AQ330" s="518"/>
      <c r="AR330" s="813">
        <v>0</v>
      </c>
      <c r="AS330" s="813">
        <v>2700000</v>
      </c>
      <c r="AT330" s="813">
        <v>0</v>
      </c>
      <c r="AU330" s="828"/>
      <c r="AV330" s="828"/>
      <c r="AW330" s="828"/>
      <c r="AX330" s="518">
        <f t="shared" si="139"/>
        <v>2700000</v>
      </c>
      <c r="AY330" s="788"/>
      <c r="AZ330" s="827"/>
      <c r="BA330" s="810"/>
      <c r="BB330" s="758"/>
      <c r="BC330" s="758"/>
      <c r="BD330" s="758"/>
      <c r="BE330" s="758"/>
      <c r="BF330" s="758"/>
      <c r="BG330" s="758"/>
      <c r="BH330" s="758"/>
      <c r="BI330" s="758"/>
      <c r="BJ330" s="758"/>
      <c r="BK330" s="758"/>
      <c r="BL330" s="759"/>
      <c r="BN330" s="759">
        <v>25000000</v>
      </c>
      <c r="BO330" s="759">
        <v>25000000</v>
      </c>
      <c r="BP330" s="759">
        <v>25000000</v>
      </c>
      <c r="BQ330" s="759">
        <v>25000000</v>
      </c>
      <c r="BR330" s="759">
        <v>25000000</v>
      </c>
      <c r="BS330" s="759">
        <v>25000000</v>
      </c>
      <c r="BT330" s="759">
        <v>25000000</v>
      </c>
      <c r="BU330" s="759">
        <v>25000000</v>
      </c>
      <c r="BV330" s="759">
        <v>25000000</v>
      </c>
      <c r="BW330" s="759">
        <v>25000000</v>
      </c>
      <c r="BX330" s="759">
        <v>30000000</v>
      </c>
      <c r="BY330" s="759">
        <v>27000000</v>
      </c>
      <c r="BZ330" s="791">
        <v>307000000</v>
      </c>
      <c r="CB330" s="759">
        <v>25000000</v>
      </c>
      <c r="CC330" s="759">
        <v>25000000</v>
      </c>
      <c r="CD330" s="759">
        <v>25000000</v>
      </c>
      <c r="CE330" s="759">
        <v>25000000</v>
      </c>
      <c r="CF330" s="759">
        <v>25000000</v>
      </c>
      <c r="CG330" s="759">
        <v>25000000</v>
      </c>
      <c r="CH330" s="759">
        <v>25000000</v>
      </c>
      <c r="CI330" s="759">
        <v>25000000</v>
      </c>
      <c r="CJ330" s="759">
        <v>25000000</v>
      </c>
      <c r="CK330" s="759">
        <v>25000000</v>
      </c>
      <c r="CL330" s="759">
        <v>30000000</v>
      </c>
      <c r="CM330" s="759">
        <v>27000000</v>
      </c>
      <c r="CN330" s="791">
        <v>307000000</v>
      </c>
      <c r="CP330" s="647"/>
      <c r="CQ330" s="647"/>
      <c r="CR330" s="518">
        <v>5000000</v>
      </c>
      <c r="CS330" s="647"/>
      <c r="CT330" s="518">
        <v>15000000</v>
      </c>
      <c r="CU330" s="647"/>
      <c r="CV330" s="518">
        <v>10000000</v>
      </c>
      <c r="CW330" s="647"/>
      <c r="CX330" s="518">
        <v>10000000</v>
      </c>
      <c r="CY330" s="647"/>
      <c r="CZ330" s="518">
        <v>15000000</v>
      </c>
      <c r="DA330" s="647"/>
      <c r="DB330" s="518">
        <v>15000000</v>
      </c>
      <c r="DC330" s="647">
        <v>0</v>
      </c>
      <c r="DD330" s="518">
        <v>15000000</v>
      </c>
      <c r="DE330" s="759"/>
      <c r="DF330" s="518">
        <v>15000000</v>
      </c>
      <c r="DG330" s="748">
        <v>15000000</v>
      </c>
      <c r="DH330" s="759"/>
      <c r="DI330" s="518">
        <v>20000000</v>
      </c>
      <c r="DJ330" s="748">
        <v>20000000</v>
      </c>
      <c r="DK330" s="759"/>
      <c r="DL330" s="518">
        <v>25000000</v>
      </c>
      <c r="DM330" s="748">
        <v>25000000</v>
      </c>
      <c r="DN330" s="759"/>
      <c r="DO330" s="518">
        <v>30000000</v>
      </c>
      <c r="DP330" s="748">
        <v>30000000</v>
      </c>
      <c r="DQ330" s="493">
        <f t="shared" si="140"/>
        <v>90000000</v>
      </c>
      <c r="DR330" s="479">
        <f t="shared" si="141"/>
        <v>90000000</v>
      </c>
      <c r="DS330" s="1163"/>
      <c r="DT330" s="1163"/>
      <c r="DU330" s="1163"/>
      <c r="DV330" s="1163"/>
      <c r="DW330" s="1163"/>
      <c r="DX330" s="1163"/>
      <c r="DY330" s="1163"/>
      <c r="DZ330" s="1163"/>
      <c r="EA330" s="1163"/>
      <c r="EB330" s="1163"/>
      <c r="EC330" s="1163"/>
      <c r="ED330" s="1163"/>
      <c r="EE330" s="1119">
        <f t="shared" si="142"/>
        <v>0</v>
      </c>
      <c r="EF330" s="443">
        <f t="shared" si="174"/>
        <v>0</v>
      </c>
      <c r="EG330" s="443">
        <f>EF330*1.08</f>
        <v>0</v>
      </c>
      <c r="EH330" s="443">
        <f t="shared" si="175"/>
        <v>0</v>
      </c>
      <c r="EI330" s="443">
        <f t="shared" si="175"/>
        <v>0</v>
      </c>
      <c r="EJ330" s="367">
        <v>3000020226</v>
      </c>
    </row>
    <row r="331" spans="1:140" outlineLevel="2">
      <c r="A331" s="367" t="s">
        <v>196</v>
      </c>
      <c r="B331" s="378"/>
      <c r="C331" s="370" t="s">
        <v>358</v>
      </c>
      <c r="D331" s="370" t="s">
        <v>40</v>
      </c>
      <c r="E331" s="396" t="s">
        <v>612</v>
      </c>
      <c r="F331" s="380">
        <v>3000004138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f>SUM(G331,H331,I331,J331,K331,L331,M331,N331,O331,P331,Q331,R331)</f>
        <v>0</v>
      </c>
      <c r="T331" s="179"/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759">
        <f>SUM(U331,V331,W331,X331,Y331,Z331,AA331,AB331,AC331,AD331,AE331,AF331)</f>
        <v>0</v>
      </c>
      <c r="AH331" s="788"/>
      <c r="AI331" s="827">
        <v>91393920</v>
      </c>
      <c r="AJ331" s="810">
        <v>129115120</v>
      </c>
      <c r="AK331" s="758">
        <v>52387920</v>
      </c>
      <c r="AL331" s="758">
        <v>152382520</v>
      </c>
      <c r="AM331" s="758">
        <v>88728240</v>
      </c>
      <c r="AN331" s="758">
        <v>63802360</v>
      </c>
      <c r="AO331" s="758">
        <v>154765600</v>
      </c>
      <c r="AP331" s="758">
        <v>58020600</v>
      </c>
      <c r="AQ331" s="518">
        <v>127589240</v>
      </c>
      <c r="AR331" s="813">
        <v>125909760</v>
      </c>
      <c r="AS331" s="813">
        <v>142766520</v>
      </c>
      <c r="AT331" s="813">
        <v>39981180</v>
      </c>
      <c r="AU331" s="794">
        <f t="shared" ref="AU331:AW332" si="176">BI331</f>
        <v>150000000</v>
      </c>
      <c r="AV331" s="794">
        <f t="shared" si="176"/>
        <v>150000000</v>
      </c>
      <c r="AW331" s="794">
        <f t="shared" si="176"/>
        <v>150000000</v>
      </c>
      <c r="AX331" s="518">
        <f t="shared" si="139"/>
        <v>1226842980</v>
      </c>
      <c r="AY331" s="788"/>
      <c r="AZ331" s="827">
        <v>91393920</v>
      </c>
      <c r="BA331" s="810">
        <v>129115120</v>
      </c>
      <c r="BB331" s="758">
        <v>52387920</v>
      </c>
      <c r="BC331" s="758">
        <v>152382520</v>
      </c>
      <c r="BD331" s="758">
        <v>88728240</v>
      </c>
      <c r="BE331" s="758">
        <v>63802360</v>
      </c>
      <c r="BF331" s="758">
        <v>154765600</v>
      </c>
      <c r="BG331" s="518">
        <f>AP331</f>
        <v>58020600</v>
      </c>
      <c r="BH331" s="758">
        <v>154765600</v>
      </c>
      <c r="BI331" s="758">
        <v>150000000</v>
      </c>
      <c r="BJ331" s="758">
        <v>150000000</v>
      </c>
      <c r="BK331" s="758">
        <v>150000000</v>
      </c>
      <c r="BL331" s="759">
        <f>SUM(AZ331,BA331,BB331,BC331,BD331,BE331,BF331,BG331,BH331,BI331,BJ331,BK331)</f>
        <v>1395361880</v>
      </c>
      <c r="BN331" s="758">
        <v>150000000</v>
      </c>
      <c r="BO331" s="758">
        <v>150000000</v>
      </c>
      <c r="BP331" s="758">
        <v>150000000</v>
      </c>
      <c r="BQ331" s="758">
        <v>150000000</v>
      </c>
      <c r="BR331" s="758">
        <f>BQ331*0.85</f>
        <v>127500000</v>
      </c>
      <c r="BS331" s="758">
        <v>100000000</v>
      </c>
      <c r="BT331" s="758">
        <v>150000000</v>
      </c>
      <c r="BU331" s="758">
        <v>150000000</v>
      </c>
      <c r="BV331" s="758">
        <v>150000000</v>
      </c>
      <c r="BW331" s="758">
        <v>150000000</v>
      </c>
      <c r="BX331" s="758">
        <v>150000000</v>
      </c>
      <c r="BY331" s="758">
        <v>150000000</v>
      </c>
      <c r="BZ331" s="791">
        <v>1727500000</v>
      </c>
      <c r="CB331" s="758">
        <v>150000000</v>
      </c>
      <c r="CC331" s="758">
        <v>150000000</v>
      </c>
      <c r="CD331" s="758">
        <v>150000000</v>
      </c>
      <c r="CE331" s="758">
        <v>150000000</v>
      </c>
      <c r="CF331" s="758">
        <f>CE331*0.85</f>
        <v>127500000</v>
      </c>
      <c r="CG331" s="758">
        <v>100000000</v>
      </c>
      <c r="CH331" s="758">
        <v>150000000</v>
      </c>
      <c r="CI331" s="758">
        <v>150000000</v>
      </c>
      <c r="CJ331" s="758">
        <v>150000000</v>
      </c>
      <c r="CK331" s="758">
        <v>150000000</v>
      </c>
      <c r="CL331" s="758">
        <v>150000000</v>
      </c>
      <c r="CM331" s="758">
        <v>150000000</v>
      </c>
      <c r="CN331" s="791">
        <v>1727500000</v>
      </c>
      <c r="CP331" s="653">
        <v>97604090</v>
      </c>
      <c r="CQ331" s="653">
        <v>96445850</v>
      </c>
      <c r="CR331" s="524">
        <v>100000000</v>
      </c>
      <c r="CS331" s="653">
        <v>71250160</v>
      </c>
      <c r="CT331" s="524">
        <v>100000000</v>
      </c>
      <c r="CU331" s="653">
        <v>86948770</v>
      </c>
      <c r="CV331" s="524">
        <v>90000000</v>
      </c>
      <c r="CW331" s="653">
        <v>63415840</v>
      </c>
      <c r="CX331" s="524">
        <v>90000000</v>
      </c>
      <c r="CY331" s="653">
        <v>140067200</v>
      </c>
      <c r="CZ331" s="524">
        <v>100000000</v>
      </c>
      <c r="DA331" s="653">
        <v>99416880</v>
      </c>
      <c r="DB331" s="524">
        <v>100000000</v>
      </c>
      <c r="DC331" s="653">
        <v>89323920</v>
      </c>
      <c r="DD331" s="524">
        <v>100000000</v>
      </c>
      <c r="DE331" s="758"/>
      <c r="DF331" s="524">
        <v>100000000</v>
      </c>
      <c r="DG331" s="757">
        <v>100000000</v>
      </c>
      <c r="DH331" s="758"/>
      <c r="DI331" s="524">
        <v>100000000</v>
      </c>
      <c r="DJ331" s="757">
        <v>100000000</v>
      </c>
      <c r="DK331" s="758"/>
      <c r="DL331" s="524">
        <v>100000000</v>
      </c>
      <c r="DM331" s="757">
        <v>100000000</v>
      </c>
      <c r="DN331" s="758"/>
      <c r="DO331" s="524">
        <v>100000000</v>
      </c>
      <c r="DP331" s="757">
        <v>100000000</v>
      </c>
      <c r="DQ331" s="493">
        <f t="shared" si="140"/>
        <v>1144472710</v>
      </c>
      <c r="DR331" s="479">
        <f t="shared" si="141"/>
        <v>1144472710</v>
      </c>
      <c r="DS331" s="1019">
        <v>100000000</v>
      </c>
      <c r="DT331" s="1019">
        <v>100000000</v>
      </c>
      <c r="DU331" s="1019">
        <v>100000000</v>
      </c>
      <c r="DV331" s="1019">
        <v>90000000</v>
      </c>
      <c r="DW331" s="1019">
        <v>90000000</v>
      </c>
      <c r="DX331" s="1019">
        <v>100000000</v>
      </c>
      <c r="DY331" s="1019">
        <v>120000000</v>
      </c>
      <c r="DZ331" s="1019">
        <v>120000000</v>
      </c>
      <c r="EA331" s="1019">
        <v>120000000</v>
      </c>
      <c r="EB331" s="1019">
        <v>120000000</v>
      </c>
      <c r="EC331" s="1019">
        <v>120000000</v>
      </c>
      <c r="ED331" s="1019">
        <v>120000000</v>
      </c>
      <c r="EE331" s="1119">
        <f t="shared" si="142"/>
        <v>1300000000</v>
      </c>
      <c r="EF331" s="443">
        <f t="shared" si="174"/>
        <v>1521000000</v>
      </c>
      <c r="EG331" s="443">
        <v>3000000000</v>
      </c>
      <c r="EH331" s="443">
        <v>3500000000</v>
      </c>
      <c r="EI331" s="443">
        <v>3500000000</v>
      </c>
      <c r="EJ331" s="367">
        <v>3000004138</v>
      </c>
    </row>
    <row r="332" spans="1:140" outlineLevel="2">
      <c r="A332" s="367" t="s">
        <v>196</v>
      </c>
      <c r="B332" s="378"/>
      <c r="C332" s="370" t="s">
        <v>358</v>
      </c>
      <c r="D332" s="370" t="s">
        <v>40</v>
      </c>
      <c r="E332" s="396" t="s">
        <v>613</v>
      </c>
      <c r="F332" s="380">
        <v>3000019328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f>SUM(G332,H332,I332,J332,K332,L332,M332,N332,O332,P332,Q332,R332)</f>
        <v>0</v>
      </c>
      <c r="T332" s="179"/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759">
        <f>SUM(U332,V332,W332,X332,Y332,Z332,AA332,AB332,AC332,AD332,AE332,AF332)</f>
        <v>0</v>
      </c>
      <c r="AH332" s="788"/>
      <c r="AI332" s="827">
        <v>4550000</v>
      </c>
      <c r="AJ332" s="810"/>
      <c r="AK332" s="758">
        <v>0</v>
      </c>
      <c r="AL332" s="758">
        <v>0</v>
      </c>
      <c r="AM332" s="758">
        <v>0</v>
      </c>
      <c r="AN332" s="758">
        <v>0</v>
      </c>
      <c r="AO332" s="758">
        <v>0</v>
      </c>
      <c r="AP332" s="758">
        <v>0</v>
      </c>
      <c r="AQ332" s="518">
        <v>0</v>
      </c>
      <c r="AR332" s="518"/>
      <c r="AS332" s="518"/>
      <c r="AT332" s="518"/>
      <c r="AU332" s="518">
        <f t="shared" si="176"/>
        <v>0</v>
      </c>
      <c r="AV332" s="518">
        <f t="shared" si="176"/>
        <v>0</v>
      </c>
      <c r="AW332" s="518">
        <f t="shared" si="176"/>
        <v>0</v>
      </c>
      <c r="AX332" s="518">
        <f t="shared" si="139"/>
        <v>4550000</v>
      </c>
      <c r="AY332" s="788"/>
      <c r="AZ332" s="827">
        <v>4550000</v>
      </c>
      <c r="BA332" s="810"/>
      <c r="BB332" s="758">
        <v>0</v>
      </c>
      <c r="BC332" s="758">
        <v>0</v>
      </c>
      <c r="BD332" s="758">
        <v>0</v>
      </c>
      <c r="BE332" s="758">
        <v>0</v>
      </c>
      <c r="BF332" s="758">
        <v>0</v>
      </c>
      <c r="BG332" s="518">
        <f>AP332</f>
        <v>0</v>
      </c>
      <c r="BH332" s="758">
        <v>0</v>
      </c>
      <c r="BI332" s="758">
        <v>0</v>
      </c>
      <c r="BJ332" s="758">
        <v>0</v>
      </c>
      <c r="BK332" s="758">
        <v>0</v>
      </c>
      <c r="BL332" s="759">
        <f>SUM(AZ332,BA332,BB332,BC332,BD332,BE332,BF332,BG332,BH332,BI332,BJ332,BK332)</f>
        <v>4550000</v>
      </c>
      <c r="BN332" s="758">
        <v>0</v>
      </c>
      <c r="BO332" s="758">
        <v>0</v>
      </c>
      <c r="BP332" s="758">
        <v>0</v>
      </c>
      <c r="BQ332" s="758">
        <v>0</v>
      </c>
      <c r="BR332" s="758">
        <f>BQ332*0.85</f>
        <v>0</v>
      </c>
      <c r="BS332" s="758">
        <v>0</v>
      </c>
      <c r="BT332" s="758">
        <v>0</v>
      </c>
      <c r="BU332" s="758">
        <v>0</v>
      </c>
      <c r="BV332" s="758">
        <v>0</v>
      </c>
      <c r="BW332" s="758">
        <v>0</v>
      </c>
      <c r="BX332" s="758">
        <v>0</v>
      </c>
      <c r="BY332" s="758">
        <v>0</v>
      </c>
      <c r="BZ332" s="791">
        <v>0</v>
      </c>
      <c r="CB332" s="758">
        <v>0</v>
      </c>
      <c r="CC332" s="758">
        <v>0</v>
      </c>
      <c r="CD332" s="758">
        <v>0</v>
      </c>
      <c r="CE332" s="758">
        <v>0</v>
      </c>
      <c r="CF332" s="758">
        <f>CE332*0.85</f>
        <v>0</v>
      </c>
      <c r="CG332" s="758">
        <v>0</v>
      </c>
      <c r="CH332" s="758">
        <v>0</v>
      </c>
      <c r="CI332" s="758">
        <v>0</v>
      </c>
      <c r="CJ332" s="758">
        <v>0</v>
      </c>
      <c r="CK332" s="758">
        <v>0</v>
      </c>
      <c r="CL332" s="758">
        <v>0</v>
      </c>
      <c r="CM332" s="758">
        <v>0</v>
      </c>
      <c r="CN332" s="791">
        <v>0</v>
      </c>
      <c r="CP332" s="653"/>
      <c r="CQ332" s="653"/>
      <c r="CR332" s="524"/>
      <c r="CS332" s="653"/>
      <c r="CT332" s="524"/>
      <c r="CU332" s="653"/>
      <c r="CV332" s="524"/>
      <c r="CW332" s="653"/>
      <c r="CX332" s="524"/>
      <c r="CY332" s="653"/>
      <c r="CZ332" s="524"/>
      <c r="DA332" s="653"/>
      <c r="DB332" s="524"/>
      <c r="DC332" s="653">
        <v>0</v>
      </c>
      <c r="DD332" s="524"/>
      <c r="DE332" s="758"/>
      <c r="DF332" s="524"/>
      <c r="DG332" s="757"/>
      <c r="DH332" s="758"/>
      <c r="DI332" s="524"/>
      <c r="DJ332" s="757"/>
      <c r="DK332" s="758"/>
      <c r="DL332" s="524"/>
      <c r="DM332" s="757"/>
      <c r="DN332" s="758"/>
      <c r="DO332" s="524"/>
      <c r="DP332" s="757"/>
      <c r="DQ332" s="493">
        <f t="shared" si="140"/>
        <v>0</v>
      </c>
      <c r="DR332" s="479">
        <f t="shared" si="141"/>
        <v>0</v>
      </c>
      <c r="DS332" s="1019"/>
      <c r="DT332" s="1019"/>
      <c r="DU332" s="1019"/>
      <c r="DV332" s="1019"/>
      <c r="DW332" s="1019"/>
      <c r="DX332" s="1019"/>
      <c r="DY332" s="1019"/>
      <c r="DZ332" s="1019"/>
      <c r="EA332" s="1019"/>
      <c r="EB332" s="1019"/>
      <c r="EC332" s="1019"/>
      <c r="ED332" s="1019"/>
      <c r="EE332" s="1119">
        <f t="shared" si="142"/>
        <v>0</v>
      </c>
      <c r="EF332" s="443">
        <f t="shared" si="174"/>
        <v>0</v>
      </c>
      <c r="EG332" s="443">
        <f>EF332*1.08</f>
        <v>0</v>
      </c>
      <c r="EH332" s="443">
        <f>EG332*1.09</f>
        <v>0</v>
      </c>
      <c r="EI332" s="443">
        <f>EH332*1.09</f>
        <v>0</v>
      </c>
      <c r="EJ332" s="367">
        <v>3000019328</v>
      </c>
    </row>
    <row r="333" spans="1:140" outlineLevel="2">
      <c r="A333" s="367" t="s">
        <v>196</v>
      </c>
      <c r="B333" s="378"/>
      <c r="C333" s="370" t="s">
        <v>358</v>
      </c>
      <c r="D333" s="370" t="s">
        <v>40</v>
      </c>
      <c r="E333" s="396" t="s">
        <v>434</v>
      </c>
      <c r="F333" s="380">
        <v>3000014770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f>SUM(G333,H333,I333,J333,K333,L333,M333,N333,O333,P333,Q333,R333)</f>
        <v>0</v>
      </c>
      <c r="T333" s="179"/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4500000</v>
      </c>
      <c r="AF333" s="14">
        <v>34200000</v>
      </c>
      <c r="AG333" s="759">
        <f>SUM(U333,V333,W333,X333,Y333,Z333,AA333,AB333,AC333,AD333,AE333,AF333)</f>
        <v>38700000</v>
      </c>
      <c r="AH333" s="788"/>
      <c r="AI333" s="827">
        <v>9000000</v>
      </c>
      <c r="AJ333" s="810">
        <v>13500000</v>
      </c>
      <c r="AK333" s="758">
        <v>84628200</v>
      </c>
      <c r="AL333" s="758">
        <v>111165000</v>
      </c>
      <c r="AM333" s="758">
        <v>-3515000</v>
      </c>
      <c r="AN333" s="758">
        <v>515000</v>
      </c>
      <c r="AO333" s="758">
        <v>27500000</v>
      </c>
      <c r="AP333" s="758">
        <v>39200000</v>
      </c>
      <c r="AQ333" s="518">
        <v>13500000</v>
      </c>
      <c r="AR333" s="813">
        <v>0</v>
      </c>
      <c r="AS333" s="813">
        <v>0</v>
      </c>
      <c r="AT333" s="813">
        <v>13500000</v>
      </c>
      <c r="AU333" s="794">
        <f>50000000</f>
        <v>50000000</v>
      </c>
      <c r="AV333" s="794">
        <f>50000000</f>
        <v>50000000</v>
      </c>
      <c r="AW333" s="794">
        <f>50000000</f>
        <v>50000000</v>
      </c>
      <c r="AX333" s="518">
        <f t="shared" si="139"/>
        <v>308993200</v>
      </c>
      <c r="AY333" s="788"/>
      <c r="AZ333" s="827">
        <v>9000000</v>
      </c>
      <c r="BA333" s="810">
        <v>13500000</v>
      </c>
      <c r="BB333" s="758">
        <v>84628200</v>
      </c>
      <c r="BC333" s="758">
        <v>111165000</v>
      </c>
      <c r="BD333" s="758">
        <v>-3515000</v>
      </c>
      <c r="BE333" s="758">
        <v>515000</v>
      </c>
      <c r="BF333" s="758">
        <v>27500000</v>
      </c>
      <c r="BG333" s="518">
        <f>AP333</f>
        <v>39200000</v>
      </c>
      <c r="BH333" s="758">
        <v>50000000</v>
      </c>
      <c r="BI333" s="758">
        <v>80000000</v>
      </c>
      <c r="BJ333" s="758">
        <v>80000000</v>
      </c>
      <c r="BK333" s="758">
        <v>80000000</v>
      </c>
      <c r="BL333" s="759">
        <f>SUM(AZ333,BA333,BB333,BC333,BD333,BE333,BF333,BG333,BH333,BI333,BJ333,BK333)</f>
        <v>571993200</v>
      </c>
      <c r="BN333" s="758">
        <v>50000000</v>
      </c>
      <c r="BO333" s="758">
        <v>50000000</v>
      </c>
      <c r="BP333" s="758">
        <v>50000000</v>
      </c>
      <c r="BQ333" s="758">
        <v>75000000</v>
      </c>
      <c r="BR333" s="758">
        <f>BQ333*0.85</f>
        <v>63750000</v>
      </c>
      <c r="BS333" s="758">
        <v>40000000</v>
      </c>
      <c r="BT333" s="758">
        <v>50000000</v>
      </c>
      <c r="BU333" s="758">
        <v>50000000</v>
      </c>
      <c r="BV333" s="758">
        <v>50000000</v>
      </c>
      <c r="BW333" s="758">
        <v>70000000</v>
      </c>
      <c r="BX333" s="758">
        <v>50000000</v>
      </c>
      <c r="BY333" s="758">
        <v>50000000</v>
      </c>
      <c r="BZ333" s="791">
        <v>648750000</v>
      </c>
      <c r="CB333" s="758">
        <v>50000000</v>
      </c>
      <c r="CC333" s="758">
        <v>50000000</v>
      </c>
      <c r="CD333" s="758">
        <v>50000000</v>
      </c>
      <c r="CE333" s="758">
        <v>75000000</v>
      </c>
      <c r="CF333" s="758">
        <f>CE333*0.85</f>
        <v>63750000</v>
      </c>
      <c r="CG333" s="758">
        <v>40000000</v>
      </c>
      <c r="CH333" s="758">
        <v>50000000</v>
      </c>
      <c r="CI333" s="758">
        <v>50000000</v>
      </c>
      <c r="CJ333" s="758">
        <v>50000000</v>
      </c>
      <c r="CK333" s="758">
        <v>70000000</v>
      </c>
      <c r="CL333" s="758">
        <v>50000000</v>
      </c>
      <c r="CM333" s="758">
        <v>50000000</v>
      </c>
      <c r="CN333" s="791">
        <v>648750000</v>
      </c>
      <c r="CP333" s="653"/>
      <c r="CQ333" s="653">
        <v>13500000</v>
      </c>
      <c r="CR333" s="524">
        <v>15000000</v>
      </c>
      <c r="CS333" s="653">
        <v>6500000</v>
      </c>
      <c r="CT333" s="524">
        <v>20000000</v>
      </c>
      <c r="CU333" s="653"/>
      <c r="CV333" s="524">
        <v>30000000</v>
      </c>
      <c r="CW333" s="653"/>
      <c r="CX333" s="524">
        <v>0</v>
      </c>
      <c r="CY333" s="653"/>
      <c r="CZ333" s="524">
        <v>20000000</v>
      </c>
      <c r="DA333" s="653"/>
      <c r="DB333" s="524">
        <v>20000000</v>
      </c>
      <c r="DC333" s="653">
        <v>0</v>
      </c>
      <c r="DD333" s="524">
        <v>20000000</v>
      </c>
      <c r="DE333" s="758"/>
      <c r="DF333" s="524">
        <v>20000000</v>
      </c>
      <c r="DG333" s="757">
        <v>20000000</v>
      </c>
      <c r="DH333" s="758"/>
      <c r="DI333" s="524">
        <v>20000000</v>
      </c>
      <c r="DJ333" s="757">
        <v>20000000</v>
      </c>
      <c r="DK333" s="758"/>
      <c r="DL333" s="524">
        <v>20000000</v>
      </c>
      <c r="DM333" s="757">
        <v>20000000</v>
      </c>
      <c r="DN333" s="758"/>
      <c r="DO333" s="524">
        <v>20000000</v>
      </c>
      <c r="DP333" s="757">
        <v>20000000</v>
      </c>
      <c r="DQ333" s="493">
        <f t="shared" si="140"/>
        <v>100000000</v>
      </c>
      <c r="DR333" s="479">
        <f t="shared" si="141"/>
        <v>100000000</v>
      </c>
      <c r="DS333" s="1019">
        <v>20000000</v>
      </c>
      <c r="DT333" s="1019">
        <v>20000000</v>
      </c>
      <c r="DU333" s="1019">
        <v>20000000</v>
      </c>
      <c r="DV333" s="1019">
        <v>20000000</v>
      </c>
      <c r="DW333" s="1019">
        <v>20000000</v>
      </c>
      <c r="DX333" s="1019">
        <v>20000000</v>
      </c>
      <c r="DY333" s="1019">
        <v>20000000</v>
      </c>
      <c r="DZ333" s="1019">
        <v>20000000</v>
      </c>
      <c r="EA333" s="1019">
        <v>20000000</v>
      </c>
      <c r="EB333" s="1019">
        <v>20000000</v>
      </c>
      <c r="EC333" s="1019">
        <v>20000000</v>
      </c>
      <c r="ED333" s="1019">
        <v>20000000</v>
      </c>
      <c r="EE333" s="1119">
        <f t="shared" si="142"/>
        <v>240000000</v>
      </c>
      <c r="EF333" s="443">
        <f t="shared" si="174"/>
        <v>280800000</v>
      </c>
      <c r="EG333" s="443">
        <v>1200000000</v>
      </c>
      <c r="EH333" s="443">
        <v>2000000000</v>
      </c>
      <c r="EI333" s="443">
        <v>2000000000</v>
      </c>
      <c r="EJ333" s="367">
        <v>3000014770</v>
      </c>
    </row>
    <row r="334" spans="1:140" outlineLevel="2">
      <c r="A334" s="367" t="s">
        <v>194</v>
      </c>
      <c r="B334" s="378"/>
      <c r="C334" s="370" t="s">
        <v>358</v>
      </c>
      <c r="D334" s="370" t="s">
        <v>40</v>
      </c>
      <c r="E334" s="396" t="s">
        <v>614</v>
      </c>
      <c r="F334" s="380">
        <v>3000004648</v>
      </c>
      <c r="G334" s="188"/>
      <c r="H334" s="13"/>
      <c r="I334" s="185"/>
      <c r="J334" s="185"/>
      <c r="K334" s="185"/>
      <c r="L334" s="185"/>
      <c r="M334" s="185"/>
      <c r="N334" s="185"/>
      <c r="O334" s="185"/>
      <c r="P334" s="185"/>
      <c r="Q334" s="185"/>
      <c r="R334" s="185"/>
      <c r="S334" s="14"/>
      <c r="T334" s="179"/>
      <c r="U334" s="188"/>
      <c r="V334" s="13"/>
      <c r="W334" s="185"/>
      <c r="X334" s="185"/>
      <c r="Y334" s="185"/>
      <c r="Z334" s="185"/>
      <c r="AA334" s="185"/>
      <c r="AB334" s="185"/>
      <c r="AC334" s="185"/>
      <c r="AD334" s="185"/>
      <c r="AE334" s="185"/>
      <c r="AF334" s="185"/>
      <c r="AG334" s="759"/>
      <c r="AH334" s="788"/>
      <c r="AI334" s="827"/>
      <c r="AJ334" s="810"/>
      <c r="AK334" s="758"/>
      <c r="AL334" s="758"/>
      <c r="AM334" s="758"/>
      <c r="AN334" s="758"/>
      <c r="AO334" s="758"/>
      <c r="AP334" s="758"/>
      <c r="AQ334" s="518"/>
      <c r="AR334" s="813">
        <v>4150000</v>
      </c>
      <c r="AS334" s="813">
        <v>19550000</v>
      </c>
      <c r="AT334" s="813">
        <v>16500000</v>
      </c>
      <c r="AU334" s="828"/>
      <c r="AV334" s="828"/>
      <c r="AW334" s="828"/>
      <c r="AX334" s="518">
        <f t="shared" si="139"/>
        <v>40200000</v>
      </c>
      <c r="AY334" s="788"/>
      <c r="AZ334" s="827"/>
      <c r="BA334" s="810"/>
      <c r="BB334" s="758"/>
      <c r="BC334" s="758"/>
      <c r="BD334" s="758"/>
      <c r="BE334" s="758"/>
      <c r="BF334" s="758"/>
      <c r="BG334" s="758"/>
      <c r="BH334" s="758"/>
      <c r="BI334" s="758"/>
      <c r="BJ334" s="758"/>
      <c r="BK334" s="758"/>
      <c r="BL334" s="759"/>
      <c r="BN334" s="759">
        <v>50000000</v>
      </c>
      <c r="BO334" s="759">
        <v>50000000</v>
      </c>
      <c r="BP334" s="759">
        <v>50000000</v>
      </c>
      <c r="BQ334" s="759">
        <v>50000000</v>
      </c>
      <c r="BR334" s="759">
        <v>50000000</v>
      </c>
      <c r="BS334" s="759">
        <v>50000000</v>
      </c>
      <c r="BT334" s="759">
        <v>50000000</v>
      </c>
      <c r="BU334" s="759">
        <v>50000000</v>
      </c>
      <c r="BV334" s="759">
        <v>50000000</v>
      </c>
      <c r="BW334" s="759">
        <v>50000000</v>
      </c>
      <c r="BX334" s="759">
        <v>50000000</v>
      </c>
      <c r="BY334" s="759">
        <v>50000000</v>
      </c>
      <c r="BZ334" s="791">
        <v>600000000</v>
      </c>
      <c r="CB334" s="759">
        <v>50000000</v>
      </c>
      <c r="CC334" s="759">
        <v>50000000</v>
      </c>
      <c r="CD334" s="759">
        <v>50000000</v>
      </c>
      <c r="CE334" s="759">
        <v>50000000</v>
      </c>
      <c r="CF334" s="759">
        <v>50000000</v>
      </c>
      <c r="CG334" s="759">
        <v>50000000</v>
      </c>
      <c r="CH334" s="759">
        <v>50000000</v>
      </c>
      <c r="CI334" s="759">
        <v>50000000</v>
      </c>
      <c r="CJ334" s="759">
        <v>50000000</v>
      </c>
      <c r="CK334" s="759">
        <v>50000000</v>
      </c>
      <c r="CL334" s="759">
        <v>50000000</v>
      </c>
      <c r="CM334" s="759">
        <v>50000000</v>
      </c>
      <c r="CN334" s="791">
        <v>600000000</v>
      </c>
      <c r="CP334" s="647">
        <v>7800000</v>
      </c>
      <c r="CQ334" s="647">
        <v>21450000</v>
      </c>
      <c r="CR334" s="518"/>
      <c r="CS334" s="647">
        <v>18900000</v>
      </c>
      <c r="CT334" s="518">
        <v>20000000</v>
      </c>
      <c r="CU334" s="647">
        <v>21500000</v>
      </c>
      <c r="CV334" s="518" t="s">
        <v>615</v>
      </c>
      <c r="CW334" s="647">
        <v>10650000</v>
      </c>
      <c r="CX334" s="518">
        <v>20000000</v>
      </c>
      <c r="CY334" s="647">
        <v>17500000</v>
      </c>
      <c r="CZ334" s="518">
        <v>20000000</v>
      </c>
      <c r="DA334" s="647">
        <v>12200000</v>
      </c>
      <c r="DB334" s="518">
        <v>20000000</v>
      </c>
      <c r="DC334" s="647">
        <v>27900000</v>
      </c>
      <c r="DD334" s="518">
        <v>20000000</v>
      </c>
      <c r="DE334" s="759"/>
      <c r="DF334" s="518">
        <v>20000000</v>
      </c>
      <c r="DG334" s="748">
        <v>20000000</v>
      </c>
      <c r="DH334" s="759"/>
      <c r="DI334" s="518">
        <v>20000000</v>
      </c>
      <c r="DJ334" s="748">
        <v>20000000</v>
      </c>
      <c r="DK334" s="759"/>
      <c r="DL334" s="518">
        <v>20000000</v>
      </c>
      <c r="DM334" s="748">
        <v>20000000</v>
      </c>
      <c r="DN334" s="759"/>
      <c r="DO334" s="518">
        <v>20000000</v>
      </c>
      <c r="DP334" s="748">
        <v>20000000</v>
      </c>
      <c r="DQ334" s="493">
        <f t="shared" si="140"/>
        <v>217900000</v>
      </c>
      <c r="DR334" s="479">
        <f t="shared" si="141"/>
        <v>217900000</v>
      </c>
      <c r="DS334" s="1163">
        <v>30000000</v>
      </c>
      <c r="DT334" s="1163">
        <v>30000000</v>
      </c>
      <c r="DU334" s="1163">
        <v>30000000</v>
      </c>
      <c r="DV334" s="1163">
        <v>30000000</v>
      </c>
      <c r="DW334" s="1163">
        <v>30000000</v>
      </c>
      <c r="DX334" s="1163">
        <v>30000000</v>
      </c>
      <c r="DY334" s="1163">
        <v>30000000</v>
      </c>
      <c r="DZ334" s="1163">
        <v>30000000</v>
      </c>
      <c r="EA334" s="1163">
        <v>30000000</v>
      </c>
      <c r="EB334" s="1163">
        <v>30000000</v>
      </c>
      <c r="EC334" s="1163">
        <v>30000000</v>
      </c>
      <c r="ED334" s="1163">
        <v>30000000</v>
      </c>
      <c r="EE334" s="1119">
        <f t="shared" si="142"/>
        <v>360000000</v>
      </c>
      <c r="EF334" s="443">
        <f t="shared" si="174"/>
        <v>421200000</v>
      </c>
      <c r="EG334" s="443">
        <f>100000000*12</f>
        <v>1200000000</v>
      </c>
      <c r="EH334" s="443">
        <v>2000000000</v>
      </c>
      <c r="EI334" s="443">
        <v>2000000000</v>
      </c>
      <c r="EJ334" s="367">
        <v>3000004648</v>
      </c>
    </row>
    <row r="335" spans="1:140" outlineLevel="2">
      <c r="A335" s="367" t="s">
        <v>196</v>
      </c>
      <c r="B335" s="378"/>
      <c r="C335" s="370" t="s">
        <v>358</v>
      </c>
      <c r="D335" s="370" t="s">
        <v>40</v>
      </c>
      <c r="E335" s="396" t="s">
        <v>616</v>
      </c>
      <c r="F335" s="380"/>
      <c r="G335" s="188"/>
      <c r="H335" s="13"/>
      <c r="I335" s="185"/>
      <c r="J335" s="185"/>
      <c r="K335" s="185"/>
      <c r="L335" s="185"/>
      <c r="M335" s="185"/>
      <c r="N335" s="185"/>
      <c r="O335" s="185"/>
      <c r="P335" s="185"/>
      <c r="Q335" s="185"/>
      <c r="R335" s="185"/>
      <c r="S335" s="14"/>
      <c r="T335" s="179"/>
      <c r="U335" s="188"/>
      <c r="V335" s="13"/>
      <c r="W335" s="185"/>
      <c r="X335" s="185"/>
      <c r="Y335" s="185"/>
      <c r="Z335" s="185"/>
      <c r="AA335" s="185"/>
      <c r="AB335" s="185"/>
      <c r="AC335" s="185"/>
      <c r="AD335" s="185"/>
      <c r="AE335" s="185"/>
      <c r="AF335" s="185"/>
      <c r="AG335" s="759"/>
      <c r="AH335" s="788"/>
      <c r="AI335" s="827"/>
      <c r="AJ335" s="810"/>
      <c r="AK335" s="758"/>
      <c r="AL335" s="758"/>
      <c r="AM335" s="758"/>
      <c r="AN335" s="758"/>
      <c r="AO335" s="758"/>
      <c r="AP335" s="758"/>
      <c r="AQ335" s="518"/>
      <c r="AR335" s="813"/>
      <c r="AS335" s="813"/>
      <c r="AT335" s="813">
        <v>3200000</v>
      </c>
      <c r="AU335" s="828"/>
      <c r="AV335" s="828"/>
      <c r="AW335" s="828"/>
      <c r="AX335" s="518">
        <f t="shared" si="139"/>
        <v>3200000</v>
      </c>
      <c r="AY335" s="788"/>
      <c r="AZ335" s="827"/>
      <c r="BA335" s="810"/>
      <c r="BB335" s="758"/>
      <c r="BC335" s="758"/>
      <c r="BD335" s="758"/>
      <c r="BE335" s="758"/>
      <c r="BF335" s="758"/>
      <c r="BG335" s="758"/>
      <c r="BH335" s="758"/>
      <c r="BI335" s="758"/>
      <c r="BJ335" s="758"/>
      <c r="BK335" s="758"/>
      <c r="BL335" s="759"/>
      <c r="BN335" s="758"/>
      <c r="BO335" s="758"/>
      <c r="BP335" s="758"/>
      <c r="BQ335" s="758"/>
      <c r="BR335" s="758"/>
      <c r="BS335" s="758"/>
      <c r="BT335" s="758"/>
      <c r="BU335" s="758"/>
      <c r="BV335" s="758"/>
      <c r="BW335" s="758"/>
      <c r="BX335" s="758"/>
      <c r="BY335" s="758"/>
      <c r="BZ335" s="791">
        <v>0</v>
      </c>
      <c r="CB335" s="758"/>
      <c r="CC335" s="758"/>
      <c r="CD335" s="758"/>
      <c r="CE335" s="758"/>
      <c r="CF335" s="758"/>
      <c r="CG335" s="758"/>
      <c r="CH335" s="758"/>
      <c r="CI335" s="758"/>
      <c r="CJ335" s="758"/>
      <c r="CK335" s="758"/>
      <c r="CL335" s="758"/>
      <c r="CM335" s="758"/>
      <c r="CN335" s="791">
        <v>0</v>
      </c>
      <c r="CP335" s="653"/>
      <c r="CQ335" s="653"/>
      <c r="CR335" s="524"/>
      <c r="CS335" s="653"/>
      <c r="CT335" s="524"/>
      <c r="CU335" s="653"/>
      <c r="CV335" s="524"/>
      <c r="CW335" s="653"/>
      <c r="CX335" s="524"/>
      <c r="CY335" s="653"/>
      <c r="CZ335" s="524"/>
      <c r="DA335" s="653"/>
      <c r="DB335" s="524"/>
      <c r="DC335" s="653">
        <v>0</v>
      </c>
      <c r="DD335" s="524"/>
      <c r="DE335" s="758"/>
      <c r="DF335" s="524"/>
      <c r="DG335" s="757"/>
      <c r="DH335" s="758"/>
      <c r="DI335" s="524"/>
      <c r="DJ335" s="757"/>
      <c r="DK335" s="758"/>
      <c r="DL335" s="524"/>
      <c r="DM335" s="757"/>
      <c r="DN335" s="758"/>
      <c r="DO335" s="524"/>
      <c r="DP335" s="757"/>
      <c r="DQ335" s="493">
        <f t="shared" si="140"/>
        <v>0</v>
      </c>
      <c r="DR335" s="479">
        <f t="shared" si="141"/>
        <v>0</v>
      </c>
      <c r="DS335" s="1019"/>
      <c r="DT335" s="1019"/>
      <c r="DU335" s="1019"/>
      <c r="DV335" s="1019"/>
      <c r="DW335" s="1019"/>
      <c r="DX335" s="1019"/>
      <c r="DY335" s="1019"/>
      <c r="DZ335" s="1019"/>
      <c r="EA335" s="1019"/>
      <c r="EB335" s="1019"/>
      <c r="EC335" s="1019"/>
      <c r="ED335" s="1019"/>
      <c r="EE335" s="1119">
        <f t="shared" si="142"/>
        <v>0</v>
      </c>
      <c r="EF335" s="443"/>
      <c r="EG335" s="443"/>
      <c r="EH335" s="443"/>
      <c r="EI335" s="443"/>
    </row>
    <row r="336" spans="1:140" outlineLevel="2">
      <c r="A336" s="367" t="s">
        <v>194</v>
      </c>
      <c r="B336" s="378"/>
      <c r="C336" s="370" t="s">
        <v>358</v>
      </c>
      <c r="D336" s="370" t="s">
        <v>40</v>
      </c>
      <c r="E336" s="396" t="s">
        <v>203</v>
      </c>
      <c r="F336" s="380">
        <v>3000007677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f t="shared" ref="S336:S343" si="177">SUM(G336,H336,I336,J336,K336,L336,M336,N336,O336,P336,Q336,R336)</f>
        <v>0</v>
      </c>
      <c r="T336" s="179"/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759">
        <f t="shared" ref="AG336:AG343" si="178">SUM(U336,V336,W336,X336,Y336,Z336,AA336,AB336,AC336,AD336,AE336,AF336)</f>
        <v>0</v>
      </c>
      <c r="AH336" s="788"/>
      <c r="AI336" s="827">
        <v>38474000</v>
      </c>
      <c r="AJ336" s="810">
        <v>48482000</v>
      </c>
      <c r="AK336" s="758">
        <v>47276000</v>
      </c>
      <c r="AL336" s="758">
        <v>48288000</v>
      </c>
      <c r="AM336" s="758">
        <v>44556000</v>
      </c>
      <c r="AN336" s="758">
        <v>14996000</v>
      </c>
      <c r="AO336" s="758">
        <v>68253000</v>
      </c>
      <c r="AP336" s="758">
        <v>29909000</v>
      </c>
      <c r="AQ336" s="518">
        <v>64930000</v>
      </c>
      <c r="AR336" s="813">
        <v>45807000</v>
      </c>
      <c r="AS336" s="813">
        <v>35957000</v>
      </c>
      <c r="AT336" s="813">
        <v>43444000</v>
      </c>
      <c r="AU336" s="794">
        <f>AQ336</f>
        <v>64930000</v>
      </c>
      <c r="AV336" s="794">
        <f>AU336</f>
        <v>64930000</v>
      </c>
      <c r="AW336" s="794">
        <f>AV336</f>
        <v>64930000</v>
      </c>
      <c r="AX336" s="518">
        <f t="shared" si="139"/>
        <v>530372000</v>
      </c>
      <c r="AY336" s="788"/>
      <c r="AZ336" s="827">
        <v>38474000</v>
      </c>
      <c r="BA336" s="810">
        <v>48482000</v>
      </c>
      <c r="BB336" s="758">
        <v>47276000</v>
      </c>
      <c r="BC336" s="758">
        <v>48288000</v>
      </c>
      <c r="BD336" s="758">
        <v>44556000</v>
      </c>
      <c r="BE336" s="758">
        <v>14996000</v>
      </c>
      <c r="BF336" s="758">
        <v>68253000</v>
      </c>
      <c r="BG336" s="518">
        <f t="shared" ref="BG336:BG343" si="179">AP336</f>
        <v>29909000</v>
      </c>
      <c r="BH336" s="758">
        <v>68000000</v>
      </c>
      <c r="BI336" s="758">
        <v>68000000</v>
      </c>
      <c r="BJ336" s="758">
        <v>68000000</v>
      </c>
      <c r="BK336" s="758">
        <v>68000000</v>
      </c>
      <c r="BL336" s="759">
        <f t="shared" ref="BL336:BL343" si="180">SUM(AZ336,BA336,BB336,BC336,BD336,BE336,BF336,BG336,BH336,BI336,BJ336,BK336)</f>
        <v>612234000</v>
      </c>
      <c r="BN336" s="758">
        <v>68000000</v>
      </c>
      <c r="BO336" s="758">
        <v>68000000</v>
      </c>
      <c r="BP336" s="758">
        <v>68000000</v>
      </c>
      <c r="BQ336" s="758">
        <v>68000000</v>
      </c>
      <c r="BR336" s="758">
        <f t="shared" ref="BR336:BR343" si="181">BQ336*0.85</f>
        <v>57800000</v>
      </c>
      <c r="BS336" s="758">
        <v>68000000</v>
      </c>
      <c r="BT336" s="758">
        <v>68000000</v>
      </c>
      <c r="BU336" s="758">
        <v>68000000</v>
      </c>
      <c r="BV336" s="758">
        <v>68000000</v>
      </c>
      <c r="BW336" s="758">
        <v>68000000</v>
      </c>
      <c r="BX336" s="758">
        <v>68000000</v>
      </c>
      <c r="BY336" s="758">
        <v>68000000</v>
      </c>
      <c r="BZ336" s="791">
        <v>805800000</v>
      </c>
      <c r="CB336" s="758">
        <v>68000000</v>
      </c>
      <c r="CC336" s="758">
        <v>68000000</v>
      </c>
      <c r="CD336" s="758">
        <v>68000000</v>
      </c>
      <c r="CE336" s="758">
        <v>68000000</v>
      </c>
      <c r="CF336" s="758">
        <f t="shared" ref="CF336:CF343" si="182">CE336*0.85</f>
        <v>57800000</v>
      </c>
      <c r="CG336" s="758">
        <v>68000000</v>
      </c>
      <c r="CH336" s="758">
        <v>68000000</v>
      </c>
      <c r="CI336" s="758">
        <v>68000000</v>
      </c>
      <c r="CJ336" s="758">
        <v>68000000</v>
      </c>
      <c r="CK336" s="758">
        <v>68000000</v>
      </c>
      <c r="CL336" s="758">
        <v>68000000</v>
      </c>
      <c r="CM336" s="758">
        <v>68000000</v>
      </c>
      <c r="CN336" s="791">
        <v>805800000</v>
      </c>
      <c r="CP336" s="653">
        <v>52632000</v>
      </c>
      <c r="CQ336" s="653">
        <v>36282000</v>
      </c>
      <c r="CR336" s="524">
        <v>50000000</v>
      </c>
      <c r="CS336" s="653">
        <v>59334000</v>
      </c>
      <c r="CT336" s="524">
        <v>55000000</v>
      </c>
      <c r="CU336" s="653">
        <v>42865000</v>
      </c>
      <c r="CV336" s="524">
        <v>55000000</v>
      </c>
      <c r="CW336" s="653">
        <v>26507000</v>
      </c>
      <c r="CX336" s="524">
        <v>30000000</v>
      </c>
      <c r="CY336" s="653">
        <v>56933000</v>
      </c>
      <c r="CZ336" s="524">
        <v>55000000</v>
      </c>
      <c r="DA336" s="653">
        <v>45771000</v>
      </c>
      <c r="DB336" s="524">
        <v>50000000</v>
      </c>
      <c r="DC336" s="653">
        <v>46013000</v>
      </c>
      <c r="DD336" s="524">
        <v>50000000</v>
      </c>
      <c r="DE336" s="758"/>
      <c r="DF336" s="524">
        <v>50000000</v>
      </c>
      <c r="DG336" s="757">
        <v>50000000</v>
      </c>
      <c r="DH336" s="758"/>
      <c r="DI336" s="524">
        <v>50000000</v>
      </c>
      <c r="DJ336" s="757">
        <v>50000000</v>
      </c>
      <c r="DK336" s="758"/>
      <c r="DL336" s="524">
        <v>50000000</v>
      </c>
      <c r="DM336" s="757">
        <v>50000000</v>
      </c>
      <c r="DN336" s="758"/>
      <c r="DO336" s="524">
        <v>50000000</v>
      </c>
      <c r="DP336" s="757">
        <v>50000000</v>
      </c>
      <c r="DQ336" s="493">
        <f t="shared" si="140"/>
        <v>566337000</v>
      </c>
      <c r="DR336" s="479">
        <f t="shared" si="141"/>
        <v>566337000</v>
      </c>
      <c r="DS336" s="1019">
        <v>50000000</v>
      </c>
      <c r="DT336" s="1019">
        <v>50000000</v>
      </c>
      <c r="DU336" s="1019">
        <v>50000000</v>
      </c>
      <c r="DV336" s="1019">
        <v>50000000</v>
      </c>
      <c r="DW336" s="1019">
        <v>50000000</v>
      </c>
      <c r="DX336" s="1019">
        <v>50000000</v>
      </c>
      <c r="DY336" s="1019">
        <v>50000000</v>
      </c>
      <c r="DZ336" s="1019">
        <v>50000000</v>
      </c>
      <c r="EA336" s="1019">
        <v>50000000</v>
      </c>
      <c r="EB336" s="1019">
        <v>50000000</v>
      </c>
      <c r="EC336" s="1019">
        <v>50000000</v>
      </c>
      <c r="ED336" s="1019">
        <v>50000000</v>
      </c>
      <c r="EE336" s="1119">
        <f t="shared" si="142"/>
        <v>600000000</v>
      </c>
      <c r="EF336" s="443">
        <f>EE336*1.17</f>
        <v>702000000</v>
      </c>
      <c r="EG336" s="443">
        <v>1500000000</v>
      </c>
      <c r="EH336" s="443">
        <v>2000000000</v>
      </c>
      <c r="EI336" s="443">
        <v>2000000000</v>
      </c>
      <c r="EJ336" s="367">
        <v>3000007677</v>
      </c>
    </row>
    <row r="337" spans="1:156" outlineLevel="2">
      <c r="A337" s="367" t="s">
        <v>194</v>
      </c>
      <c r="B337" s="378"/>
      <c r="C337" s="370" t="s">
        <v>358</v>
      </c>
      <c r="D337" s="370" t="s">
        <v>40</v>
      </c>
      <c r="E337" s="396" t="s">
        <v>204</v>
      </c>
      <c r="F337" s="380">
        <v>3000005193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f t="shared" si="177"/>
        <v>0</v>
      </c>
      <c r="T337" s="179"/>
      <c r="U337" s="14">
        <v>11875125</v>
      </c>
      <c r="V337" s="14">
        <v>15765625</v>
      </c>
      <c r="W337" s="14">
        <v>15209000</v>
      </c>
      <c r="X337" s="14">
        <v>30563250</v>
      </c>
      <c r="Y337" s="14">
        <v>111166750</v>
      </c>
      <c r="Z337" s="14">
        <v>115129700</v>
      </c>
      <c r="AA337" s="14">
        <v>55381600</v>
      </c>
      <c r="AB337" s="14">
        <v>46764200</v>
      </c>
      <c r="AC337" s="14">
        <v>213570650</v>
      </c>
      <c r="AD337" s="14">
        <v>133367650</v>
      </c>
      <c r="AE337" s="14">
        <v>66156100</v>
      </c>
      <c r="AF337" s="14">
        <v>114286475</v>
      </c>
      <c r="AG337" s="759">
        <f t="shared" si="178"/>
        <v>929236125</v>
      </c>
      <c r="AH337" s="788"/>
      <c r="AI337" s="827">
        <v>193454800</v>
      </c>
      <c r="AJ337" s="810">
        <v>133126925</v>
      </c>
      <c r="AK337" s="758">
        <v>62198125</v>
      </c>
      <c r="AL337" s="758">
        <v>192830850</v>
      </c>
      <c r="AM337" s="758">
        <v>64643275</v>
      </c>
      <c r="AN337" s="758">
        <v>26501200</v>
      </c>
      <c r="AO337" s="758">
        <v>26393972</v>
      </c>
      <c r="AP337" s="758">
        <v>93088209</v>
      </c>
      <c r="AQ337" s="518">
        <v>124958177</v>
      </c>
      <c r="AR337" s="813">
        <v>99659559</v>
      </c>
      <c r="AS337" s="813">
        <v>108968540</v>
      </c>
      <c r="AT337" s="813">
        <v>245309745</v>
      </c>
      <c r="AU337" s="794">
        <f>AQ337</f>
        <v>124958177</v>
      </c>
      <c r="AV337" s="794">
        <f>AU337</f>
        <v>124958177</v>
      </c>
      <c r="AW337" s="794">
        <f>AV337</f>
        <v>124958177</v>
      </c>
      <c r="AX337" s="518">
        <f t="shared" si="139"/>
        <v>1371133377</v>
      </c>
      <c r="AY337" s="788"/>
      <c r="AZ337" s="827">
        <v>193454800</v>
      </c>
      <c r="BA337" s="810">
        <v>133126925</v>
      </c>
      <c r="BB337" s="758">
        <v>62198125</v>
      </c>
      <c r="BC337" s="758">
        <v>192830850</v>
      </c>
      <c r="BD337" s="758">
        <v>64643275</v>
      </c>
      <c r="BE337" s="758">
        <v>26501200</v>
      </c>
      <c r="BF337" s="758">
        <v>26393972</v>
      </c>
      <c r="BG337" s="518">
        <f t="shared" si="179"/>
        <v>93088209</v>
      </c>
      <c r="BH337" s="758">
        <v>200000000</v>
      </c>
      <c r="BI337" s="758">
        <v>200000000</v>
      </c>
      <c r="BJ337" s="758">
        <v>200000000</v>
      </c>
      <c r="BK337" s="758">
        <v>200000000</v>
      </c>
      <c r="BL337" s="759">
        <f t="shared" si="180"/>
        <v>1592237356</v>
      </c>
      <c r="BN337" s="758">
        <v>150000000</v>
      </c>
      <c r="BO337" s="758">
        <v>150000000</v>
      </c>
      <c r="BP337" s="758">
        <v>150000000</v>
      </c>
      <c r="BQ337" s="758">
        <v>200000000</v>
      </c>
      <c r="BR337" s="758">
        <f t="shared" si="181"/>
        <v>170000000</v>
      </c>
      <c r="BS337" s="758">
        <v>150000000</v>
      </c>
      <c r="BT337" s="758">
        <v>150000000</v>
      </c>
      <c r="BU337" s="758">
        <v>150000000</v>
      </c>
      <c r="BV337" s="758">
        <v>150000000</v>
      </c>
      <c r="BW337" s="758">
        <v>150000000</v>
      </c>
      <c r="BX337" s="758">
        <v>200000000</v>
      </c>
      <c r="BY337" s="758">
        <v>150000000</v>
      </c>
      <c r="BZ337" s="791">
        <v>1920000000</v>
      </c>
      <c r="CB337" s="758">
        <v>150000000</v>
      </c>
      <c r="CC337" s="758">
        <v>150000000</v>
      </c>
      <c r="CD337" s="758">
        <v>150000000</v>
      </c>
      <c r="CE337" s="758">
        <v>200000000</v>
      </c>
      <c r="CF337" s="758">
        <f t="shared" si="182"/>
        <v>170000000</v>
      </c>
      <c r="CG337" s="758">
        <v>150000000</v>
      </c>
      <c r="CH337" s="758">
        <v>150000000</v>
      </c>
      <c r="CI337" s="758">
        <v>150000000</v>
      </c>
      <c r="CJ337" s="758">
        <v>150000000</v>
      </c>
      <c r="CK337" s="758">
        <v>150000000</v>
      </c>
      <c r="CL337" s="758">
        <v>200000000</v>
      </c>
      <c r="CM337" s="758">
        <v>150000000</v>
      </c>
      <c r="CN337" s="791">
        <v>1920000000</v>
      </c>
      <c r="CP337" s="653">
        <v>375139193</v>
      </c>
      <c r="CQ337" s="653">
        <v>341342100</v>
      </c>
      <c r="CR337" s="524">
        <v>375000000</v>
      </c>
      <c r="CS337" s="653">
        <v>426848000</v>
      </c>
      <c r="CT337" s="524">
        <v>400000000</v>
      </c>
      <c r="CU337" s="653">
        <v>661116550</v>
      </c>
      <c r="CV337" s="524">
        <v>500000000</v>
      </c>
      <c r="CW337" s="653">
        <v>456980500</v>
      </c>
      <c r="CX337" s="524">
        <v>300000000</v>
      </c>
      <c r="CY337" s="653">
        <v>579072500</v>
      </c>
      <c r="CZ337" s="524">
        <v>600000000</v>
      </c>
      <c r="DA337" s="653">
        <v>354075450</v>
      </c>
      <c r="DB337" s="524">
        <v>600000000</v>
      </c>
      <c r="DC337" s="653">
        <v>642594800</v>
      </c>
      <c r="DD337" s="524">
        <v>600000000</v>
      </c>
      <c r="DE337" s="758"/>
      <c r="DF337" s="524">
        <v>600000000</v>
      </c>
      <c r="DG337" s="757">
        <v>700000000</v>
      </c>
      <c r="DH337" s="758"/>
      <c r="DI337" s="524">
        <v>600000000</v>
      </c>
      <c r="DJ337" s="757">
        <v>700000000</v>
      </c>
      <c r="DK337" s="758"/>
      <c r="DL337" s="524">
        <v>650000000</v>
      </c>
      <c r="DM337" s="757">
        <v>700000000</v>
      </c>
      <c r="DN337" s="758"/>
      <c r="DO337" s="524">
        <v>700000000</v>
      </c>
      <c r="DP337" s="757">
        <v>700000000</v>
      </c>
      <c r="DQ337" s="493">
        <f t="shared" si="140"/>
        <v>6387169093</v>
      </c>
      <c r="DR337" s="479">
        <f t="shared" si="141"/>
        <v>6637169093</v>
      </c>
      <c r="DS337" s="1019">
        <v>750000000</v>
      </c>
      <c r="DT337" s="1019">
        <v>750000000</v>
      </c>
      <c r="DU337" s="1019">
        <v>750000000</v>
      </c>
      <c r="DV337" s="1019">
        <v>700000000</v>
      </c>
      <c r="DW337" s="1019">
        <v>700000000</v>
      </c>
      <c r="DX337" s="1019">
        <v>700000000</v>
      </c>
      <c r="DY337" s="1019">
        <v>700000000</v>
      </c>
      <c r="DZ337" s="1019">
        <v>700000000</v>
      </c>
      <c r="EA337" s="1019">
        <v>700000000</v>
      </c>
      <c r="EB337" s="1019">
        <v>700000000</v>
      </c>
      <c r="EC337" s="1019">
        <v>700000000</v>
      </c>
      <c r="ED337" s="1019">
        <v>700000000</v>
      </c>
      <c r="EE337" s="1119">
        <f t="shared" si="142"/>
        <v>8550000000</v>
      </c>
      <c r="EF337" s="443">
        <v>2695680000</v>
      </c>
      <c r="EG337" s="443">
        <v>3200000000</v>
      </c>
      <c r="EH337" s="443">
        <f>300000000*12</f>
        <v>3600000000</v>
      </c>
      <c r="EI337" s="443">
        <f>300000000*12</f>
        <v>3600000000</v>
      </c>
      <c r="EJ337" s="367">
        <v>3000005193</v>
      </c>
    </row>
    <row r="338" spans="1:156" outlineLevel="2">
      <c r="A338" s="367" t="s">
        <v>194</v>
      </c>
      <c r="B338" s="378"/>
      <c r="C338" s="370" t="s">
        <v>358</v>
      </c>
      <c r="D338" s="370" t="s">
        <v>40</v>
      </c>
      <c r="E338" s="396" t="s">
        <v>446</v>
      </c>
      <c r="F338" s="380">
        <v>3000005216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f t="shared" si="177"/>
        <v>0</v>
      </c>
      <c r="T338" s="179"/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759">
        <f t="shared" si="178"/>
        <v>0</v>
      </c>
      <c r="AH338" s="788"/>
      <c r="AI338" s="827">
        <v>23000000</v>
      </c>
      <c r="AJ338" s="810">
        <v>56500000</v>
      </c>
      <c r="AK338" s="758">
        <v>73700000</v>
      </c>
      <c r="AL338" s="758">
        <v>62850000</v>
      </c>
      <c r="AM338" s="758">
        <v>34900000</v>
      </c>
      <c r="AN338" s="758">
        <v>46700000</v>
      </c>
      <c r="AO338" s="758">
        <v>0</v>
      </c>
      <c r="AP338" s="758">
        <v>0</v>
      </c>
      <c r="AQ338" s="518">
        <v>0</v>
      </c>
      <c r="AR338" s="813">
        <v>0</v>
      </c>
      <c r="AS338" s="813">
        <v>0</v>
      </c>
      <c r="AT338" s="813">
        <v>5500000</v>
      </c>
      <c r="AU338" s="518">
        <f>BI338</f>
        <v>0</v>
      </c>
      <c r="AV338" s="518">
        <f>BJ338</f>
        <v>0</v>
      </c>
      <c r="AW338" s="518">
        <f>BK338</f>
        <v>0</v>
      </c>
      <c r="AX338" s="518">
        <f t="shared" si="139"/>
        <v>303150000</v>
      </c>
      <c r="AY338" s="788"/>
      <c r="AZ338" s="827">
        <v>23000000</v>
      </c>
      <c r="BA338" s="810">
        <v>56500000</v>
      </c>
      <c r="BB338" s="758">
        <v>73700000</v>
      </c>
      <c r="BC338" s="758">
        <v>62850000</v>
      </c>
      <c r="BD338" s="758">
        <v>34900000</v>
      </c>
      <c r="BE338" s="758">
        <v>46700000</v>
      </c>
      <c r="BF338" s="758">
        <v>0</v>
      </c>
      <c r="BG338" s="518">
        <f t="shared" si="179"/>
        <v>0</v>
      </c>
      <c r="BH338" s="758">
        <v>0</v>
      </c>
      <c r="BI338" s="758">
        <v>0</v>
      </c>
      <c r="BJ338" s="758">
        <v>0</v>
      </c>
      <c r="BK338" s="758">
        <v>0</v>
      </c>
      <c r="BL338" s="759">
        <f t="shared" si="180"/>
        <v>297650000</v>
      </c>
      <c r="BN338" s="758">
        <f>65000000</f>
        <v>65000000</v>
      </c>
      <c r="BO338" s="758">
        <f>65000000</f>
        <v>65000000</v>
      </c>
      <c r="BP338" s="758">
        <f>65000000</f>
        <v>65000000</v>
      </c>
      <c r="BQ338" s="758">
        <f>65000000</f>
        <v>65000000</v>
      </c>
      <c r="BR338" s="758">
        <f t="shared" si="181"/>
        <v>55250000</v>
      </c>
      <c r="BS338" s="758">
        <f t="shared" ref="BS338:BY338" si="183">65000000</f>
        <v>65000000</v>
      </c>
      <c r="BT338" s="758">
        <f t="shared" si="183"/>
        <v>65000000</v>
      </c>
      <c r="BU338" s="758">
        <f t="shared" si="183"/>
        <v>65000000</v>
      </c>
      <c r="BV338" s="758">
        <f t="shared" si="183"/>
        <v>65000000</v>
      </c>
      <c r="BW338" s="758">
        <f t="shared" si="183"/>
        <v>65000000</v>
      </c>
      <c r="BX338" s="758">
        <f t="shared" si="183"/>
        <v>65000000</v>
      </c>
      <c r="BY338" s="758">
        <f t="shared" si="183"/>
        <v>65000000</v>
      </c>
      <c r="BZ338" s="791">
        <v>770250000</v>
      </c>
      <c r="CB338" s="758">
        <f>65000000</f>
        <v>65000000</v>
      </c>
      <c r="CC338" s="758">
        <f>65000000</f>
        <v>65000000</v>
      </c>
      <c r="CD338" s="758">
        <f>65000000</f>
        <v>65000000</v>
      </c>
      <c r="CE338" s="758">
        <f>65000000</f>
        <v>65000000</v>
      </c>
      <c r="CF338" s="758">
        <f t="shared" si="182"/>
        <v>55250000</v>
      </c>
      <c r="CG338" s="758">
        <f t="shared" ref="CG338:CM338" si="184">65000000</f>
        <v>65000000</v>
      </c>
      <c r="CH338" s="758">
        <f t="shared" si="184"/>
        <v>65000000</v>
      </c>
      <c r="CI338" s="758">
        <f t="shared" si="184"/>
        <v>65000000</v>
      </c>
      <c r="CJ338" s="758">
        <f t="shared" si="184"/>
        <v>65000000</v>
      </c>
      <c r="CK338" s="758">
        <f t="shared" si="184"/>
        <v>65000000</v>
      </c>
      <c r="CL338" s="758">
        <f t="shared" si="184"/>
        <v>65000000</v>
      </c>
      <c r="CM338" s="758">
        <f t="shared" si="184"/>
        <v>65000000</v>
      </c>
      <c r="CN338" s="791">
        <v>770250000</v>
      </c>
      <c r="CP338" s="653">
        <v>5500000</v>
      </c>
      <c r="CQ338" s="653">
        <v>10900000</v>
      </c>
      <c r="CR338" s="524">
        <v>5000000</v>
      </c>
      <c r="CS338" s="653">
        <v>5300000</v>
      </c>
      <c r="CT338" s="524">
        <v>40000000</v>
      </c>
      <c r="CU338" s="653">
        <v>61950000</v>
      </c>
      <c r="CV338" s="524">
        <v>15000000</v>
      </c>
      <c r="CW338" s="653">
        <v>47100000</v>
      </c>
      <c r="CX338" s="524">
        <v>53000000</v>
      </c>
      <c r="CY338" s="653">
        <v>48250000</v>
      </c>
      <c r="CZ338" s="524">
        <v>100000000</v>
      </c>
      <c r="DA338" s="653">
        <v>20400000</v>
      </c>
      <c r="DB338" s="524">
        <v>75000000</v>
      </c>
      <c r="DC338" s="653">
        <v>20000000</v>
      </c>
      <c r="DD338" s="524">
        <v>100000000</v>
      </c>
      <c r="DE338" s="758"/>
      <c r="DF338" s="524">
        <v>100000000</v>
      </c>
      <c r="DG338" s="757">
        <v>45000000</v>
      </c>
      <c r="DH338" s="758"/>
      <c r="DI338" s="524">
        <v>150000000</v>
      </c>
      <c r="DJ338" s="757">
        <v>150000000</v>
      </c>
      <c r="DK338" s="758"/>
      <c r="DL338" s="524">
        <v>150000000</v>
      </c>
      <c r="DM338" s="757">
        <v>150000000</v>
      </c>
      <c r="DN338" s="758"/>
      <c r="DO338" s="524">
        <v>150000000</v>
      </c>
      <c r="DP338" s="757">
        <v>150000000</v>
      </c>
      <c r="DQ338" s="493">
        <f t="shared" si="140"/>
        <v>769400000</v>
      </c>
      <c r="DR338" s="479">
        <f t="shared" si="141"/>
        <v>714400000</v>
      </c>
      <c r="DS338" s="1019">
        <v>50000000</v>
      </c>
      <c r="DT338" s="1019">
        <v>50000000</v>
      </c>
      <c r="DU338" s="1019">
        <v>50000000</v>
      </c>
      <c r="DV338" s="1019">
        <v>50000000</v>
      </c>
      <c r="DW338" s="1019">
        <v>50000000</v>
      </c>
      <c r="DX338" s="1019">
        <v>50000000</v>
      </c>
      <c r="DY338" s="1019">
        <v>50000000</v>
      </c>
      <c r="DZ338" s="1019">
        <v>50000000</v>
      </c>
      <c r="EA338" s="1019">
        <v>50000000</v>
      </c>
      <c r="EB338" s="1019">
        <v>50000000</v>
      </c>
      <c r="EC338" s="1019">
        <v>50000000</v>
      </c>
      <c r="ED338" s="1019">
        <v>50000000</v>
      </c>
      <c r="EE338" s="1119">
        <f t="shared" si="142"/>
        <v>600000000</v>
      </c>
      <c r="EF338" s="443">
        <f>EE338*1.17</f>
        <v>702000000</v>
      </c>
      <c r="EG338" s="443">
        <v>1500000000</v>
      </c>
      <c r="EH338" s="443">
        <f>300000000*12</f>
        <v>3600000000</v>
      </c>
      <c r="EI338" s="443">
        <f>300000000*12</f>
        <v>3600000000</v>
      </c>
      <c r="EJ338" s="367">
        <v>3000005216</v>
      </c>
    </row>
    <row r="339" spans="1:156" outlineLevel="2">
      <c r="A339" s="367" t="s">
        <v>192</v>
      </c>
      <c r="B339" s="378"/>
      <c r="C339" s="370" t="s">
        <v>358</v>
      </c>
      <c r="E339" s="396" t="s">
        <v>447</v>
      </c>
      <c r="F339" s="380">
        <v>3000013775</v>
      </c>
      <c r="G339" s="188">
        <v>0</v>
      </c>
      <c r="H339" s="14">
        <v>3780898</v>
      </c>
      <c r="I339" s="14">
        <v>1552000</v>
      </c>
      <c r="J339" s="14">
        <v>11879500</v>
      </c>
      <c r="K339" s="14">
        <v>30911050</v>
      </c>
      <c r="L339" s="14">
        <v>52327602</v>
      </c>
      <c r="M339" s="14">
        <v>27827966</v>
      </c>
      <c r="N339" s="14">
        <v>38384500</v>
      </c>
      <c r="O339" s="14">
        <v>161455850</v>
      </c>
      <c r="P339" s="14">
        <v>150333963</v>
      </c>
      <c r="Q339" s="14">
        <v>-214500</v>
      </c>
      <c r="R339" s="14">
        <v>50201500</v>
      </c>
      <c r="S339" s="14">
        <f t="shared" si="177"/>
        <v>528440329</v>
      </c>
      <c r="T339" s="179"/>
      <c r="U339" s="14">
        <v>43634000</v>
      </c>
      <c r="V339" s="14">
        <v>31596250</v>
      </c>
      <c r="W339" s="14">
        <v>4918500</v>
      </c>
      <c r="X339" s="14">
        <v>30579200</v>
      </c>
      <c r="Y339" s="14">
        <v>-8265750</v>
      </c>
      <c r="Z339" s="14">
        <v>5230000</v>
      </c>
      <c r="AA339" s="14">
        <v>13984300</v>
      </c>
      <c r="AB339" s="14">
        <v>11189250</v>
      </c>
      <c r="AC339" s="14">
        <v>0</v>
      </c>
      <c r="AD339" s="14">
        <v>0</v>
      </c>
      <c r="AE339" s="14">
        <v>0</v>
      </c>
      <c r="AF339" s="14">
        <v>0</v>
      </c>
      <c r="AG339" s="759">
        <f t="shared" si="178"/>
        <v>132865750</v>
      </c>
      <c r="AH339" s="788"/>
      <c r="AI339" s="827"/>
      <c r="AJ339" s="810"/>
      <c r="AK339" s="758"/>
      <c r="AL339" s="758"/>
      <c r="AM339" s="758"/>
      <c r="AN339" s="758"/>
      <c r="AO339" s="758"/>
      <c r="AP339" s="758"/>
      <c r="AQ339" s="518">
        <v>0</v>
      </c>
      <c r="AR339" s="518"/>
      <c r="AS339" s="518"/>
      <c r="AT339" s="518"/>
      <c r="AU339" s="518"/>
      <c r="AV339" s="518"/>
      <c r="AW339" s="518"/>
      <c r="AX339" s="518">
        <f t="shared" si="139"/>
        <v>0</v>
      </c>
      <c r="AY339" s="788"/>
      <c r="AZ339" s="827"/>
      <c r="BA339" s="810"/>
      <c r="BB339" s="758"/>
      <c r="BC339" s="758"/>
      <c r="BD339" s="758"/>
      <c r="BE339" s="758"/>
      <c r="BF339" s="758"/>
      <c r="BG339" s="518">
        <f t="shared" si="179"/>
        <v>0</v>
      </c>
      <c r="BH339" s="758"/>
      <c r="BI339" s="758"/>
      <c r="BJ339" s="758"/>
      <c r="BK339" s="758"/>
      <c r="BL339" s="518">
        <f t="shared" si="180"/>
        <v>0</v>
      </c>
      <c r="BN339" s="758"/>
      <c r="BO339" s="758"/>
      <c r="BP339" s="758"/>
      <c r="BQ339" s="758"/>
      <c r="BR339" s="758">
        <f t="shared" si="181"/>
        <v>0</v>
      </c>
      <c r="BS339" s="758"/>
      <c r="BT339" s="758"/>
      <c r="BU339" s="758"/>
      <c r="BV339" s="758"/>
      <c r="BW339" s="758"/>
      <c r="BX339" s="758"/>
      <c r="BY339" s="758"/>
      <c r="BZ339" s="791">
        <v>0</v>
      </c>
      <c r="CB339" s="758"/>
      <c r="CC339" s="758"/>
      <c r="CD339" s="758"/>
      <c r="CE339" s="758"/>
      <c r="CF339" s="758">
        <f t="shared" si="182"/>
        <v>0</v>
      </c>
      <c r="CG339" s="758"/>
      <c r="CH339" s="758"/>
      <c r="CI339" s="758"/>
      <c r="CJ339" s="758"/>
      <c r="CK339" s="758"/>
      <c r="CL339" s="758"/>
      <c r="CM339" s="758"/>
      <c r="CN339" s="791">
        <v>0</v>
      </c>
      <c r="CP339" s="653"/>
      <c r="CQ339" s="653"/>
      <c r="CR339" s="524"/>
      <c r="CS339" s="653"/>
      <c r="CT339" s="524"/>
      <c r="CU339" s="653"/>
      <c r="CV339" s="524"/>
      <c r="CW339" s="653"/>
      <c r="CX339" s="524"/>
      <c r="CY339" s="653"/>
      <c r="CZ339" s="524"/>
      <c r="DA339" s="653"/>
      <c r="DB339" s="524"/>
      <c r="DC339" s="653">
        <v>0</v>
      </c>
      <c r="DD339" s="524"/>
      <c r="DE339" s="758"/>
      <c r="DF339" s="524"/>
      <c r="DG339" s="757"/>
      <c r="DH339" s="758"/>
      <c r="DI339" s="524"/>
      <c r="DJ339" s="757"/>
      <c r="DK339" s="758"/>
      <c r="DL339" s="524"/>
      <c r="DM339" s="757"/>
      <c r="DN339" s="758"/>
      <c r="DO339" s="524"/>
      <c r="DP339" s="757"/>
      <c r="DQ339" s="493">
        <f t="shared" si="140"/>
        <v>0</v>
      </c>
      <c r="DR339" s="479">
        <f t="shared" si="141"/>
        <v>0</v>
      </c>
      <c r="DS339" s="1019"/>
      <c r="DT339" s="1019"/>
      <c r="DU339" s="1019"/>
      <c r="DV339" s="1019"/>
      <c r="DW339" s="1019"/>
      <c r="DX339" s="1019"/>
      <c r="DY339" s="1019"/>
      <c r="DZ339" s="1019"/>
      <c r="EA339" s="1019"/>
      <c r="EB339" s="1019"/>
      <c r="EC339" s="1019"/>
      <c r="ED339" s="1019"/>
      <c r="EE339" s="1119">
        <f t="shared" si="142"/>
        <v>0</v>
      </c>
      <c r="EF339" s="443">
        <f>EE339*1.17</f>
        <v>0</v>
      </c>
      <c r="EG339" s="443">
        <f>EF339*1.08</f>
        <v>0</v>
      </c>
      <c r="EH339" s="443">
        <f t="shared" ref="EH339:EI341" si="185">EG339*1.09</f>
        <v>0</v>
      </c>
      <c r="EI339" s="443">
        <f t="shared" si="185"/>
        <v>0</v>
      </c>
      <c r="EJ339" s="367">
        <v>3000013775</v>
      </c>
    </row>
    <row r="340" spans="1:156" outlineLevel="2">
      <c r="A340" s="367" t="s">
        <v>192</v>
      </c>
      <c r="B340" s="378"/>
      <c r="C340" s="370" t="s">
        <v>358</v>
      </c>
      <c r="E340" s="396" t="s">
        <v>617</v>
      </c>
      <c r="F340" s="380">
        <v>3000015746</v>
      </c>
      <c r="G340" s="188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5949900</v>
      </c>
      <c r="M340" s="14">
        <v>0</v>
      </c>
      <c r="N340" s="14">
        <v>0</v>
      </c>
      <c r="O340" s="14">
        <v>0</v>
      </c>
      <c r="P340" s="14">
        <v>3672900</v>
      </c>
      <c r="Q340" s="14">
        <v>0</v>
      </c>
      <c r="R340" s="14">
        <v>5949900</v>
      </c>
      <c r="S340" s="14">
        <f t="shared" si="177"/>
        <v>15572700</v>
      </c>
      <c r="T340" s="179"/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759">
        <f t="shared" si="178"/>
        <v>0</v>
      </c>
      <c r="AH340" s="788"/>
      <c r="AI340" s="827"/>
      <c r="AJ340" s="810"/>
      <c r="AK340" s="758"/>
      <c r="AL340" s="758"/>
      <c r="AM340" s="758"/>
      <c r="AN340" s="758"/>
      <c r="AO340" s="758"/>
      <c r="AP340" s="758"/>
      <c r="AQ340" s="518">
        <v>0</v>
      </c>
      <c r="AR340" s="518"/>
      <c r="AS340" s="518"/>
      <c r="AT340" s="518"/>
      <c r="AU340" s="518"/>
      <c r="AV340" s="518"/>
      <c r="AW340" s="518"/>
      <c r="AX340" s="518">
        <f t="shared" si="139"/>
        <v>0</v>
      </c>
      <c r="AY340" s="788"/>
      <c r="AZ340" s="827"/>
      <c r="BA340" s="810"/>
      <c r="BB340" s="758"/>
      <c r="BC340" s="758"/>
      <c r="BD340" s="758"/>
      <c r="BE340" s="758"/>
      <c r="BF340" s="758"/>
      <c r="BG340" s="518">
        <f t="shared" si="179"/>
        <v>0</v>
      </c>
      <c r="BH340" s="758"/>
      <c r="BI340" s="758"/>
      <c r="BJ340" s="758"/>
      <c r="BK340" s="758"/>
      <c r="BL340" s="518">
        <f t="shared" si="180"/>
        <v>0</v>
      </c>
      <c r="BN340" s="758"/>
      <c r="BO340" s="758"/>
      <c r="BP340" s="758"/>
      <c r="BQ340" s="758"/>
      <c r="BR340" s="758">
        <f t="shared" si="181"/>
        <v>0</v>
      </c>
      <c r="BS340" s="758"/>
      <c r="BT340" s="758"/>
      <c r="BU340" s="758"/>
      <c r="BV340" s="758"/>
      <c r="BW340" s="758"/>
      <c r="BX340" s="758"/>
      <c r="BY340" s="758"/>
      <c r="BZ340" s="791">
        <v>0</v>
      </c>
      <c r="CB340" s="758"/>
      <c r="CC340" s="758"/>
      <c r="CD340" s="758"/>
      <c r="CE340" s="758"/>
      <c r="CF340" s="758">
        <f t="shared" si="182"/>
        <v>0</v>
      </c>
      <c r="CG340" s="758"/>
      <c r="CH340" s="758"/>
      <c r="CI340" s="758"/>
      <c r="CJ340" s="758"/>
      <c r="CK340" s="758"/>
      <c r="CL340" s="758"/>
      <c r="CM340" s="758"/>
      <c r="CN340" s="791">
        <v>0</v>
      </c>
      <c r="CP340" s="653"/>
      <c r="CQ340" s="653"/>
      <c r="CR340" s="524"/>
      <c r="CS340" s="653"/>
      <c r="CT340" s="524"/>
      <c r="CU340" s="653"/>
      <c r="CV340" s="524"/>
      <c r="CW340" s="653"/>
      <c r="CX340" s="524"/>
      <c r="CY340" s="653"/>
      <c r="CZ340" s="524"/>
      <c r="DA340" s="653"/>
      <c r="DB340" s="524"/>
      <c r="DC340" s="653">
        <v>0</v>
      </c>
      <c r="DD340" s="524"/>
      <c r="DE340" s="758"/>
      <c r="DF340" s="524"/>
      <c r="DG340" s="757"/>
      <c r="DH340" s="758"/>
      <c r="DI340" s="524"/>
      <c r="DJ340" s="757"/>
      <c r="DK340" s="758"/>
      <c r="DL340" s="524"/>
      <c r="DM340" s="757"/>
      <c r="DN340" s="758"/>
      <c r="DO340" s="524"/>
      <c r="DP340" s="757"/>
      <c r="DQ340" s="493">
        <f t="shared" si="140"/>
        <v>0</v>
      </c>
      <c r="DR340" s="479">
        <f t="shared" si="141"/>
        <v>0</v>
      </c>
      <c r="DS340" s="1019"/>
      <c r="DT340" s="1019"/>
      <c r="DU340" s="1019"/>
      <c r="DV340" s="1019"/>
      <c r="DW340" s="1019"/>
      <c r="DX340" s="1019"/>
      <c r="DY340" s="1019"/>
      <c r="DZ340" s="1019"/>
      <c r="EA340" s="1019"/>
      <c r="EB340" s="1019"/>
      <c r="EC340" s="1019"/>
      <c r="ED340" s="1019"/>
      <c r="EE340" s="1119">
        <f t="shared" si="142"/>
        <v>0</v>
      </c>
      <c r="EF340" s="443">
        <f>EE340*1.17</f>
        <v>0</v>
      </c>
      <c r="EG340" s="443">
        <f>EF340*1.08</f>
        <v>0</v>
      </c>
      <c r="EH340" s="443">
        <f t="shared" si="185"/>
        <v>0</v>
      </c>
      <c r="EI340" s="443">
        <f t="shared" si="185"/>
        <v>0</v>
      </c>
      <c r="EJ340" s="367">
        <v>3000015746</v>
      </c>
    </row>
    <row r="341" spans="1:156" outlineLevel="2">
      <c r="A341" s="367" t="s">
        <v>192</v>
      </c>
      <c r="B341" s="378"/>
      <c r="C341" s="370" t="s">
        <v>358</v>
      </c>
      <c r="E341" s="396" t="s">
        <v>448</v>
      </c>
      <c r="F341" s="380">
        <v>3000007757</v>
      </c>
      <c r="G341" s="188">
        <v>0</v>
      </c>
      <c r="H341" s="14">
        <v>0</v>
      </c>
      <c r="I341" s="14">
        <v>0</v>
      </c>
      <c r="J341" s="14">
        <v>3905500</v>
      </c>
      <c r="K341" s="14">
        <v>7293500</v>
      </c>
      <c r="L341" s="14">
        <v>0</v>
      </c>
      <c r="M341" s="14">
        <v>5865550</v>
      </c>
      <c r="N341" s="14">
        <v>0</v>
      </c>
      <c r="O341" s="14">
        <v>0</v>
      </c>
      <c r="P341" s="14">
        <v>3935050</v>
      </c>
      <c r="Q341" s="14">
        <v>2575500</v>
      </c>
      <c r="R341" s="14">
        <v>3777840</v>
      </c>
      <c r="S341" s="14">
        <f t="shared" si="177"/>
        <v>27352940</v>
      </c>
      <c r="T341" s="179"/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759">
        <f t="shared" si="178"/>
        <v>0</v>
      </c>
      <c r="AH341" s="788"/>
      <c r="AI341" s="827"/>
      <c r="AJ341" s="810"/>
      <c r="AK341" s="758"/>
      <c r="AL341" s="758"/>
      <c r="AM341" s="758"/>
      <c r="AN341" s="758"/>
      <c r="AO341" s="758"/>
      <c r="AP341" s="758"/>
      <c r="AQ341" s="518">
        <v>0</v>
      </c>
      <c r="AR341" s="518"/>
      <c r="AS341" s="518"/>
      <c r="AT341" s="518"/>
      <c r="AU341" s="518"/>
      <c r="AV341" s="518"/>
      <c r="AW341" s="518"/>
      <c r="AX341" s="518">
        <f t="shared" si="139"/>
        <v>0</v>
      </c>
      <c r="AY341" s="788"/>
      <c r="AZ341" s="827"/>
      <c r="BA341" s="810"/>
      <c r="BB341" s="758"/>
      <c r="BC341" s="758"/>
      <c r="BD341" s="758"/>
      <c r="BE341" s="758"/>
      <c r="BF341" s="758"/>
      <c r="BG341" s="518">
        <f t="shared" si="179"/>
        <v>0</v>
      </c>
      <c r="BH341" s="758"/>
      <c r="BI341" s="758"/>
      <c r="BJ341" s="758"/>
      <c r="BK341" s="758"/>
      <c r="BL341" s="518">
        <f t="shared" si="180"/>
        <v>0</v>
      </c>
      <c r="BN341" s="758"/>
      <c r="BO341" s="758"/>
      <c r="BP341" s="758"/>
      <c r="BQ341" s="758"/>
      <c r="BR341" s="758">
        <f t="shared" si="181"/>
        <v>0</v>
      </c>
      <c r="BS341" s="758"/>
      <c r="BT341" s="758"/>
      <c r="BU341" s="758"/>
      <c r="BV341" s="758"/>
      <c r="BW341" s="758"/>
      <c r="BX341" s="758"/>
      <c r="BY341" s="758"/>
      <c r="BZ341" s="791">
        <v>0</v>
      </c>
      <c r="CB341" s="758"/>
      <c r="CC341" s="758"/>
      <c r="CD341" s="758"/>
      <c r="CE341" s="758"/>
      <c r="CF341" s="758">
        <f t="shared" si="182"/>
        <v>0</v>
      </c>
      <c r="CG341" s="758"/>
      <c r="CH341" s="758"/>
      <c r="CI341" s="758"/>
      <c r="CJ341" s="758"/>
      <c r="CK341" s="758"/>
      <c r="CL341" s="758"/>
      <c r="CM341" s="758"/>
      <c r="CN341" s="791">
        <v>0</v>
      </c>
      <c r="CP341" s="653"/>
      <c r="CQ341" s="653"/>
      <c r="CR341" s="524"/>
      <c r="CS341" s="653"/>
      <c r="CT341" s="524"/>
      <c r="CU341" s="653"/>
      <c r="CV341" s="524"/>
      <c r="CW341" s="653"/>
      <c r="CX341" s="524"/>
      <c r="CY341" s="653"/>
      <c r="CZ341" s="524"/>
      <c r="DA341" s="653"/>
      <c r="DB341" s="524"/>
      <c r="DC341" s="653">
        <v>0</v>
      </c>
      <c r="DD341" s="524"/>
      <c r="DE341" s="758"/>
      <c r="DF341" s="524"/>
      <c r="DG341" s="757"/>
      <c r="DH341" s="758"/>
      <c r="DI341" s="524"/>
      <c r="DJ341" s="757"/>
      <c r="DK341" s="758"/>
      <c r="DL341" s="524"/>
      <c r="DM341" s="757"/>
      <c r="DN341" s="758"/>
      <c r="DO341" s="524"/>
      <c r="DP341" s="757"/>
      <c r="DQ341" s="493">
        <f t="shared" si="140"/>
        <v>0</v>
      </c>
      <c r="DR341" s="479">
        <f t="shared" si="141"/>
        <v>0</v>
      </c>
      <c r="DS341" s="1019"/>
      <c r="DT341" s="1019"/>
      <c r="DU341" s="1019"/>
      <c r="DV341" s="1019"/>
      <c r="DW341" s="1019"/>
      <c r="DX341" s="1019"/>
      <c r="DY341" s="1019"/>
      <c r="DZ341" s="1019"/>
      <c r="EA341" s="1019"/>
      <c r="EB341" s="1019"/>
      <c r="EC341" s="1019"/>
      <c r="ED341" s="1019"/>
      <c r="EE341" s="1119">
        <f t="shared" si="142"/>
        <v>0</v>
      </c>
      <c r="EF341" s="443">
        <f>EE341*1.17</f>
        <v>0</v>
      </c>
      <c r="EG341" s="443">
        <f>EF341*1.08</f>
        <v>0</v>
      </c>
      <c r="EH341" s="443">
        <f t="shared" si="185"/>
        <v>0</v>
      </c>
      <c r="EI341" s="443">
        <f t="shared" si="185"/>
        <v>0</v>
      </c>
      <c r="EJ341" s="367">
        <v>3000007757</v>
      </c>
    </row>
    <row r="342" spans="1:156" outlineLevel="2">
      <c r="A342" s="367" t="s">
        <v>196</v>
      </c>
      <c r="B342" s="378"/>
      <c r="C342" s="370" t="s">
        <v>358</v>
      </c>
      <c r="D342" s="370" t="s">
        <v>40</v>
      </c>
      <c r="E342" s="396" t="s">
        <v>103</v>
      </c>
      <c r="F342" s="380">
        <v>3000009257</v>
      </c>
      <c r="G342" s="188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f t="shared" si="177"/>
        <v>0</v>
      </c>
      <c r="T342" s="179"/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137600000</v>
      </c>
      <c r="AE342" s="14">
        <v>325730000</v>
      </c>
      <c r="AF342" s="14">
        <v>952430000</v>
      </c>
      <c r="AG342" s="759">
        <f t="shared" si="178"/>
        <v>1415760000</v>
      </c>
      <c r="AH342" s="788"/>
      <c r="AI342" s="827">
        <v>651289230</v>
      </c>
      <c r="AJ342" s="810">
        <v>529950000</v>
      </c>
      <c r="AK342" s="758">
        <v>472460000</v>
      </c>
      <c r="AL342" s="758">
        <v>481800000</v>
      </c>
      <c r="AM342" s="758">
        <v>1041237000</v>
      </c>
      <c r="AN342" s="758">
        <v>496488955</v>
      </c>
      <c r="AO342" s="758">
        <v>380350000</v>
      </c>
      <c r="AP342" s="758">
        <v>424330000</v>
      </c>
      <c r="AQ342" s="518">
        <v>303700000</v>
      </c>
      <c r="AR342" s="813">
        <v>507770000</v>
      </c>
      <c r="AS342" s="813">
        <v>401570000</v>
      </c>
      <c r="AT342" s="813">
        <v>746160000</v>
      </c>
      <c r="AU342" s="794">
        <f>AQ342</f>
        <v>303700000</v>
      </c>
      <c r="AV342" s="794">
        <f>AU342</f>
        <v>303700000</v>
      </c>
      <c r="AW342" s="794">
        <f>AV342</f>
        <v>303700000</v>
      </c>
      <c r="AX342" s="518">
        <f t="shared" si="139"/>
        <v>6437105185</v>
      </c>
      <c r="AY342" s="788"/>
      <c r="AZ342" s="827">
        <v>651289230</v>
      </c>
      <c r="BA342" s="810">
        <v>529950000</v>
      </c>
      <c r="BB342" s="758">
        <v>472460000</v>
      </c>
      <c r="BC342" s="758">
        <v>481800000</v>
      </c>
      <c r="BD342" s="758">
        <v>1041237000</v>
      </c>
      <c r="BE342" s="758">
        <v>496488955</v>
      </c>
      <c r="BF342" s="758">
        <v>380350000</v>
      </c>
      <c r="BG342" s="518">
        <f t="shared" si="179"/>
        <v>424330000</v>
      </c>
      <c r="BH342" s="758">
        <v>660000000</v>
      </c>
      <c r="BI342" s="758">
        <v>660000000</v>
      </c>
      <c r="BJ342" s="758">
        <v>360000000</v>
      </c>
      <c r="BK342" s="758">
        <v>360000000</v>
      </c>
      <c r="BL342" s="759">
        <f t="shared" si="180"/>
        <v>6517905185</v>
      </c>
      <c r="BN342" s="758">
        <f>400000000</f>
        <v>400000000</v>
      </c>
      <c r="BO342" s="758">
        <f>400000000</f>
        <v>400000000</v>
      </c>
      <c r="BP342" s="758">
        <f>400000000</f>
        <v>400000000</v>
      </c>
      <c r="BQ342" s="758">
        <f>400000000</f>
        <v>400000000</v>
      </c>
      <c r="BR342" s="758">
        <f t="shared" si="181"/>
        <v>340000000</v>
      </c>
      <c r="BS342" s="758">
        <f t="shared" ref="BS342:BY342" si="186">400000000</f>
        <v>400000000</v>
      </c>
      <c r="BT342" s="758">
        <f t="shared" si="186"/>
        <v>400000000</v>
      </c>
      <c r="BU342" s="758">
        <f t="shared" si="186"/>
        <v>400000000</v>
      </c>
      <c r="BV342" s="758">
        <f t="shared" si="186"/>
        <v>400000000</v>
      </c>
      <c r="BW342" s="758">
        <f t="shared" si="186"/>
        <v>400000000</v>
      </c>
      <c r="BX342" s="758">
        <f t="shared" si="186"/>
        <v>400000000</v>
      </c>
      <c r="BY342" s="758">
        <f t="shared" si="186"/>
        <v>400000000</v>
      </c>
      <c r="BZ342" s="791">
        <v>4740000000</v>
      </c>
      <c r="CB342" s="758">
        <f>400000000</f>
        <v>400000000</v>
      </c>
      <c r="CC342" s="758">
        <f>400000000</f>
        <v>400000000</v>
      </c>
      <c r="CD342" s="758">
        <f>400000000</f>
        <v>400000000</v>
      </c>
      <c r="CE342" s="758">
        <f>400000000</f>
        <v>400000000</v>
      </c>
      <c r="CF342" s="758">
        <f t="shared" si="182"/>
        <v>340000000</v>
      </c>
      <c r="CG342" s="758">
        <f t="shared" ref="CG342:CM342" si="187">400000000</f>
        <v>400000000</v>
      </c>
      <c r="CH342" s="758">
        <f t="shared" si="187"/>
        <v>400000000</v>
      </c>
      <c r="CI342" s="758">
        <f t="shared" si="187"/>
        <v>400000000</v>
      </c>
      <c r="CJ342" s="758">
        <f t="shared" si="187"/>
        <v>400000000</v>
      </c>
      <c r="CK342" s="758">
        <f t="shared" si="187"/>
        <v>400000000</v>
      </c>
      <c r="CL342" s="758">
        <f t="shared" si="187"/>
        <v>400000000</v>
      </c>
      <c r="CM342" s="758">
        <f t="shared" si="187"/>
        <v>400000000</v>
      </c>
      <c r="CN342" s="791">
        <v>4740000000</v>
      </c>
      <c r="CP342" s="653">
        <v>273819000</v>
      </c>
      <c r="CQ342" s="653">
        <v>323853000</v>
      </c>
      <c r="CR342" s="524">
        <v>275000000</v>
      </c>
      <c r="CS342" s="653">
        <v>813328000</v>
      </c>
      <c r="CT342" s="524">
        <v>400000000</v>
      </c>
      <c r="CU342" s="653">
        <v>445415000</v>
      </c>
      <c r="CV342" s="524">
        <v>300000000</v>
      </c>
      <c r="CW342" s="653">
        <v>616236000</v>
      </c>
      <c r="CX342" s="524">
        <v>330000000</v>
      </c>
      <c r="CY342" s="653">
        <v>626892000</v>
      </c>
      <c r="CZ342" s="524">
        <v>449000000</v>
      </c>
      <c r="DA342" s="653">
        <v>630537488</v>
      </c>
      <c r="DB342" s="524">
        <v>449000000</v>
      </c>
      <c r="DC342" s="653">
        <v>861834000</v>
      </c>
      <c r="DD342" s="524">
        <v>449000000</v>
      </c>
      <c r="DE342" s="758"/>
      <c r="DF342" s="524">
        <v>449000000</v>
      </c>
      <c r="DG342" s="757">
        <v>449000000</v>
      </c>
      <c r="DH342" s="758"/>
      <c r="DI342" s="524">
        <v>449000000</v>
      </c>
      <c r="DJ342" s="757">
        <v>449000000</v>
      </c>
      <c r="DK342" s="758"/>
      <c r="DL342" s="524">
        <f>449000000+100000000</f>
        <v>549000000</v>
      </c>
      <c r="DM342" s="757">
        <f>449000000+100000000</f>
        <v>549000000</v>
      </c>
      <c r="DN342" s="758"/>
      <c r="DO342" s="524">
        <f>449000000+100000000</f>
        <v>549000000</v>
      </c>
      <c r="DP342" s="757">
        <f>449000000+100000000</f>
        <v>549000000</v>
      </c>
      <c r="DQ342" s="493">
        <f t="shared" si="140"/>
        <v>6587914488</v>
      </c>
      <c r="DR342" s="479">
        <f t="shared" si="141"/>
        <v>6587914488</v>
      </c>
      <c r="DS342" s="1019">
        <v>400000000</v>
      </c>
      <c r="DT342" s="1019">
        <v>400000000</v>
      </c>
      <c r="DU342" s="1019">
        <v>400000000</v>
      </c>
      <c r="DV342" s="1019">
        <v>400000000</v>
      </c>
      <c r="DW342" s="1019">
        <v>400000000</v>
      </c>
      <c r="DX342" s="1019">
        <v>400000000</v>
      </c>
      <c r="DY342" s="1019">
        <v>400000000</v>
      </c>
      <c r="DZ342" s="1019">
        <v>400000000</v>
      </c>
      <c r="EA342" s="1019">
        <v>400000000</v>
      </c>
      <c r="EB342" s="1019">
        <v>400000000</v>
      </c>
      <c r="EC342" s="1019">
        <v>400000000</v>
      </c>
      <c r="ED342" s="1019">
        <v>400000000</v>
      </c>
      <c r="EE342" s="1119">
        <f t="shared" si="142"/>
        <v>4800000000</v>
      </c>
      <c r="EF342" s="443">
        <f>(EE342*1.17)+138585710.187239</f>
        <v>5754585710.1872387</v>
      </c>
      <c r="EG342" s="443">
        <f>(EF342*1.08)+7936264.39363416</f>
        <v>6222888831.3958521</v>
      </c>
      <c r="EH342" s="443">
        <f>(700000000*12)-64047935.9206443</f>
        <v>8335952064.0793552</v>
      </c>
      <c r="EI342" s="443">
        <f>(700000000*12)-64047935.9206443</f>
        <v>8335952064.0793552</v>
      </c>
      <c r="EJ342" s="367">
        <v>3000009257</v>
      </c>
      <c r="EK342" s="367">
        <v>1</v>
      </c>
    </row>
    <row r="343" spans="1:156" outlineLevel="2">
      <c r="A343" s="367" t="s">
        <v>194</v>
      </c>
      <c r="B343" s="378"/>
      <c r="C343" s="370" t="s">
        <v>358</v>
      </c>
      <c r="D343" s="370" t="s">
        <v>40</v>
      </c>
      <c r="E343" s="396" t="s">
        <v>618</v>
      </c>
      <c r="F343" s="380">
        <v>3000019329</v>
      </c>
      <c r="G343" s="188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f t="shared" si="177"/>
        <v>0</v>
      </c>
      <c r="T343" s="179"/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759">
        <f t="shared" si="178"/>
        <v>0</v>
      </c>
      <c r="AH343" s="788"/>
      <c r="AI343" s="827"/>
      <c r="AJ343" s="810">
        <v>34800000</v>
      </c>
      <c r="AK343" s="758">
        <v>41850000</v>
      </c>
      <c r="AL343" s="758">
        <v>63729650</v>
      </c>
      <c r="AM343" s="758">
        <v>30190000</v>
      </c>
      <c r="AN343" s="758">
        <v>27730350</v>
      </c>
      <c r="AO343" s="758">
        <v>0</v>
      </c>
      <c r="AP343" s="758">
        <v>0</v>
      </c>
      <c r="AQ343" s="518">
        <v>0</v>
      </c>
      <c r="AR343" s="518"/>
      <c r="AS343" s="518"/>
      <c r="AT343" s="518"/>
      <c r="AU343" s="518">
        <f>BI343</f>
        <v>0</v>
      </c>
      <c r="AV343" s="518">
        <f>BJ343</f>
        <v>0</v>
      </c>
      <c r="AW343" s="518">
        <f>BK343</f>
        <v>0</v>
      </c>
      <c r="AX343" s="518">
        <f t="shared" si="139"/>
        <v>198300000</v>
      </c>
      <c r="AY343" s="788"/>
      <c r="AZ343" s="827"/>
      <c r="BA343" s="810">
        <v>34800000</v>
      </c>
      <c r="BB343" s="758">
        <v>41850000</v>
      </c>
      <c r="BC343" s="758">
        <v>63729650</v>
      </c>
      <c r="BD343" s="758">
        <v>30190000</v>
      </c>
      <c r="BE343" s="758">
        <v>27730350</v>
      </c>
      <c r="BF343" s="758">
        <v>0</v>
      </c>
      <c r="BG343" s="518">
        <f t="shared" si="179"/>
        <v>0</v>
      </c>
      <c r="BH343" s="758">
        <v>0</v>
      </c>
      <c r="BI343" s="758">
        <v>0</v>
      </c>
      <c r="BJ343" s="758">
        <v>0</v>
      </c>
      <c r="BK343" s="758">
        <v>0</v>
      </c>
      <c r="BL343" s="759">
        <f t="shared" si="180"/>
        <v>198300000</v>
      </c>
      <c r="BN343" s="758">
        <v>0</v>
      </c>
      <c r="BO343" s="758">
        <v>0</v>
      </c>
      <c r="BP343" s="758">
        <v>0</v>
      </c>
      <c r="BQ343" s="758">
        <v>0</v>
      </c>
      <c r="BR343" s="758">
        <f t="shared" si="181"/>
        <v>0</v>
      </c>
      <c r="BS343" s="758">
        <v>0</v>
      </c>
      <c r="BT343" s="758">
        <v>0</v>
      </c>
      <c r="BU343" s="758">
        <v>0</v>
      </c>
      <c r="BV343" s="758">
        <v>0</v>
      </c>
      <c r="BW343" s="758">
        <v>0</v>
      </c>
      <c r="BX343" s="758">
        <v>0</v>
      </c>
      <c r="BY343" s="758">
        <v>0</v>
      </c>
      <c r="BZ343" s="791">
        <v>0</v>
      </c>
      <c r="CB343" s="758">
        <v>0</v>
      </c>
      <c r="CC343" s="758">
        <v>0</v>
      </c>
      <c r="CD343" s="758">
        <v>0</v>
      </c>
      <c r="CE343" s="758">
        <v>0</v>
      </c>
      <c r="CF343" s="758">
        <f t="shared" si="182"/>
        <v>0</v>
      </c>
      <c r="CG343" s="758">
        <v>0</v>
      </c>
      <c r="CH343" s="758">
        <v>0</v>
      </c>
      <c r="CI343" s="758">
        <v>0</v>
      </c>
      <c r="CJ343" s="758">
        <v>0</v>
      </c>
      <c r="CK343" s="758">
        <v>0</v>
      </c>
      <c r="CL343" s="758">
        <v>0</v>
      </c>
      <c r="CM343" s="758">
        <v>0</v>
      </c>
      <c r="CN343" s="791">
        <v>0</v>
      </c>
      <c r="CP343" s="653">
        <v>0</v>
      </c>
      <c r="CQ343" s="653"/>
      <c r="CR343" s="524"/>
      <c r="CS343" s="653"/>
      <c r="CT343" s="524">
        <v>0</v>
      </c>
      <c r="CU343" s="653"/>
      <c r="CV343" s="524"/>
      <c r="CW343" s="653"/>
      <c r="CX343" s="524"/>
      <c r="CY343" s="653"/>
      <c r="CZ343" s="524"/>
      <c r="DA343" s="653"/>
      <c r="DB343" s="524"/>
      <c r="DC343" s="653">
        <v>0</v>
      </c>
      <c r="DD343" s="524"/>
      <c r="DE343" s="758"/>
      <c r="DF343" s="524"/>
      <c r="DG343" s="757"/>
      <c r="DH343" s="758"/>
      <c r="DI343" s="524"/>
      <c r="DJ343" s="757"/>
      <c r="DK343" s="758"/>
      <c r="DL343" s="524"/>
      <c r="DM343" s="757"/>
      <c r="DN343" s="758"/>
      <c r="DO343" s="524"/>
      <c r="DP343" s="757"/>
      <c r="DQ343" s="493">
        <f t="shared" si="140"/>
        <v>0</v>
      </c>
      <c r="DR343" s="479">
        <f t="shared" si="141"/>
        <v>0</v>
      </c>
      <c r="DS343" s="1019"/>
      <c r="DT343" s="1019"/>
      <c r="DU343" s="1019"/>
      <c r="DV343" s="1019"/>
      <c r="DW343" s="1019"/>
      <c r="DX343" s="1019"/>
      <c r="DY343" s="1019"/>
      <c r="DZ343" s="1019"/>
      <c r="EA343" s="1019"/>
      <c r="EB343" s="1019"/>
      <c r="EC343" s="1019"/>
      <c r="ED343" s="1019"/>
      <c r="EE343" s="1119">
        <f t="shared" si="142"/>
        <v>0</v>
      </c>
      <c r="EF343" s="443">
        <f>EE343*1.17</f>
        <v>0</v>
      </c>
      <c r="EG343" s="443">
        <f>EF343*1.08</f>
        <v>0</v>
      </c>
      <c r="EH343" s="443">
        <f>EG343*1.09</f>
        <v>0</v>
      </c>
      <c r="EI343" s="443">
        <f>EH343*1.09</f>
        <v>0</v>
      </c>
      <c r="EJ343" s="367">
        <v>3000019329</v>
      </c>
    </row>
    <row r="344" spans="1:156" outlineLevel="2">
      <c r="A344" s="367" t="s">
        <v>194</v>
      </c>
      <c r="B344" s="378"/>
      <c r="C344" s="370" t="s">
        <v>358</v>
      </c>
      <c r="D344" s="370" t="s">
        <v>40</v>
      </c>
      <c r="E344" s="396" t="s">
        <v>619</v>
      </c>
      <c r="F344" s="380">
        <v>3000019989</v>
      </c>
      <c r="G344" s="188"/>
      <c r="H344" s="13"/>
      <c r="I344" s="185"/>
      <c r="J344" s="185"/>
      <c r="K344" s="185"/>
      <c r="L344" s="185"/>
      <c r="M344" s="185"/>
      <c r="N344" s="185"/>
      <c r="O344" s="185"/>
      <c r="P344" s="185"/>
      <c r="Q344" s="185"/>
      <c r="R344" s="185"/>
      <c r="S344" s="14"/>
      <c r="T344" s="179"/>
      <c r="U344" s="188"/>
      <c r="V344" s="13"/>
      <c r="W344" s="185"/>
      <c r="X344" s="185"/>
      <c r="Y344" s="185"/>
      <c r="Z344" s="185"/>
      <c r="AA344" s="185"/>
      <c r="AB344" s="185"/>
      <c r="AC344" s="185"/>
      <c r="AD344" s="185"/>
      <c r="AE344" s="185"/>
      <c r="AF344" s="185"/>
      <c r="AG344" s="759"/>
      <c r="AH344" s="788"/>
      <c r="AI344" s="827"/>
      <c r="AJ344" s="810"/>
      <c r="AK344" s="758"/>
      <c r="AL344" s="758"/>
      <c r="AM344" s="758"/>
      <c r="AN344" s="758"/>
      <c r="AO344" s="758"/>
      <c r="AP344" s="758"/>
      <c r="AQ344" s="518"/>
      <c r="AR344" s="813"/>
      <c r="AS344" s="813"/>
      <c r="AT344" s="813">
        <v>772727</v>
      </c>
      <c r="AU344" s="828"/>
      <c r="AV344" s="828"/>
      <c r="AW344" s="828"/>
      <c r="AX344" s="518">
        <f t="shared" si="139"/>
        <v>772727</v>
      </c>
      <c r="AY344" s="788"/>
      <c r="AZ344" s="827"/>
      <c r="BA344" s="810"/>
      <c r="BB344" s="758"/>
      <c r="BC344" s="758"/>
      <c r="BD344" s="758"/>
      <c r="BE344" s="758"/>
      <c r="BF344" s="758"/>
      <c r="BG344" s="758"/>
      <c r="BH344" s="758"/>
      <c r="BI344" s="758"/>
      <c r="BJ344" s="758"/>
      <c r="BK344" s="758"/>
      <c r="BL344" s="759"/>
      <c r="BN344" s="758"/>
      <c r="BO344" s="758"/>
      <c r="BP344" s="758"/>
      <c r="BQ344" s="758"/>
      <c r="BR344" s="758"/>
      <c r="BS344" s="758"/>
      <c r="BT344" s="758"/>
      <c r="BU344" s="758"/>
      <c r="BV344" s="758"/>
      <c r="BW344" s="758"/>
      <c r="BX344" s="758"/>
      <c r="BY344" s="758"/>
      <c r="BZ344" s="791">
        <v>0</v>
      </c>
      <c r="CB344" s="758"/>
      <c r="CC344" s="758"/>
      <c r="CD344" s="758"/>
      <c r="CE344" s="758"/>
      <c r="CF344" s="758"/>
      <c r="CG344" s="758"/>
      <c r="CH344" s="758"/>
      <c r="CI344" s="758"/>
      <c r="CJ344" s="758"/>
      <c r="CK344" s="758"/>
      <c r="CL344" s="758"/>
      <c r="CM344" s="758"/>
      <c r="CN344" s="791">
        <v>0</v>
      </c>
      <c r="CP344" s="653"/>
      <c r="CQ344" s="653"/>
      <c r="CR344" s="524"/>
      <c r="CS344" s="653"/>
      <c r="CT344" s="524"/>
      <c r="CU344" s="653"/>
      <c r="CV344" s="524"/>
      <c r="CW344" s="653"/>
      <c r="CX344" s="524"/>
      <c r="CY344" s="653"/>
      <c r="CZ344" s="524"/>
      <c r="DA344" s="653"/>
      <c r="DB344" s="524"/>
      <c r="DC344" s="653">
        <v>0</v>
      </c>
      <c r="DD344" s="524"/>
      <c r="DE344" s="758"/>
      <c r="DF344" s="524"/>
      <c r="DG344" s="757"/>
      <c r="DH344" s="758"/>
      <c r="DI344" s="524"/>
      <c r="DJ344" s="757"/>
      <c r="DK344" s="758"/>
      <c r="DL344" s="524"/>
      <c r="DM344" s="757"/>
      <c r="DN344" s="758"/>
      <c r="DO344" s="524"/>
      <c r="DP344" s="757"/>
      <c r="DQ344" s="493">
        <f t="shared" si="140"/>
        <v>0</v>
      </c>
      <c r="DR344" s="479">
        <f t="shared" si="141"/>
        <v>0</v>
      </c>
      <c r="DS344" s="1019"/>
      <c r="DT344" s="1019"/>
      <c r="DU344" s="1019"/>
      <c r="DV344" s="1019"/>
      <c r="DW344" s="1019"/>
      <c r="DX344" s="1019"/>
      <c r="DY344" s="1019"/>
      <c r="DZ344" s="1019"/>
      <c r="EA344" s="1019"/>
      <c r="EB344" s="1019"/>
      <c r="EC344" s="1019"/>
      <c r="ED344" s="1019"/>
      <c r="EE344" s="1119">
        <f t="shared" si="142"/>
        <v>0</v>
      </c>
      <c r="EF344" s="443"/>
      <c r="EG344" s="443"/>
      <c r="EH344" s="443"/>
      <c r="EI344" s="443"/>
    </row>
    <row r="345" spans="1:156" s="255" customFormat="1" ht="18.5" outlineLevel="2">
      <c r="A345" s="981"/>
      <c r="B345" s="393"/>
      <c r="C345" s="394"/>
      <c r="D345" s="394"/>
      <c r="E345" s="395" t="s">
        <v>474</v>
      </c>
      <c r="F345" s="982"/>
      <c r="G345" s="256"/>
      <c r="H345" s="256"/>
      <c r="I345" s="256"/>
      <c r="J345" s="256"/>
      <c r="K345" s="256"/>
      <c r="L345" s="256"/>
      <c r="M345" s="256"/>
      <c r="N345" s="256"/>
      <c r="O345" s="256"/>
      <c r="P345" s="256"/>
      <c r="Q345" s="256"/>
      <c r="R345" s="256"/>
      <c r="S345" s="257"/>
      <c r="T345" s="258"/>
      <c r="U345" s="256"/>
      <c r="V345" s="256"/>
      <c r="W345" s="256"/>
      <c r="X345" s="256"/>
      <c r="Y345" s="256"/>
      <c r="Z345" s="256"/>
      <c r="AA345" s="256"/>
      <c r="AB345" s="256"/>
      <c r="AC345" s="256"/>
      <c r="AD345" s="256"/>
      <c r="AE345" s="256"/>
      <c r="AF345" s="256"/>
      <c r="AG345" s="800"/>
      <c r="AH345" s="801"/>
      <c r="AI345" s="802"/>
      <c r="AJ345" s="803"/>
      <c r="AK345" s="800"/>
      <c r="AL345" s="800"/>
      <c r="AM345" s="800"/>
      <c r="AN345" s="800"/>
      <c r="AO345" s="800"/>
      <c r="AP345" s="800"/>
      <c r="AQ345" s="800"/>
      <c r="AR345" s="800"/>
      <c r="AS345" s="800"/>
      <c r="AT345" s="800"/>
      <c r="AU345" s="800"/>
      <c r="AV345" s="800"/>
      <c r="AW345" s="800"/>
      <c r="AX345" s="800"/>
      <c r="AY345" s="801"/>
      <c r="AZ345" s="802"/>
      <c r="BA345" s="803"/>
      <c r="BB345" s="800"/>
      <c r="BC345" s="800"/>
      <c r="BD345" s="800"/>
      <c r="BE345" s="800"/>
      <c r="BF345" s="800"/>
      <c r="BG345" s="800"/>
      <c r="BH345" s="800"/>
      <c r="BI345" s="800"/>
      <c r="BJ345" s="800"/>
      <c r="BK345" s="800"/>
      <c r="BL345" s="800"/>
      <c r="BM345" s="983"/>
      <c r="BN345" s="467">
        <f t="shared" ref="BN345:BY345" si="188">SUM(BN346:BN375)</f>
        <v>462000000</v>
      </c>
      <c r="BO345" s="467">
        <f t="shared" si="188"/>
        <v>462000000</v>
      </c>
      <c r="BP345" s="467">
        <f t="shared" si="188"/>
        <v>460000000</v>
      </c>
      <c r="BQ345" s="467">
        <f t="shared" si="188"/>
        <v>460000000</v>
      </c>
      <c r="BR345" s="467">
        <f t="shared" si="188"/>
        <v>392500000</v>
      </c>
      <c r="BS345" s="467">
        <f t="shared" si="188"/>
        <v>465000000</v>
      </c>
      <c r="BT345" s="467">
        <f t="shared" si="188"/>
        <v>465000000</v>
      </c>
      <c r="BU345" s="467">
        <f t="shared" si="188"/>
        <v>465000000</v>
      </c>
      <c r="BV345" s="467">
        <f t="shared" si="188"/>
        <v>465000000</v>
      </c>
      <c r="BW345" s="467">
        <f t="shared" si="188"/>
        <v>465000000</v>
      </c>
      <c r="BX345" s="467">
        <f t="shared" si="188"/>
        <v>465000000</v>
      </c>
      <c r="BY345" s="467">
        <f t="shared" si="188"/>
        <v>465000000</v>
      </c>
      <c r="BZ345" s="467">
        <f>SUM(BZ346:BZ375)</f>
        <v>5491500000</v>
      </c>
      <c r="CA345" s="3"/>
      <c r="CB345" s="467">
        <f t="shared" ref="CB345:CM345" si="189">SUM(CB346:CB375)</f>
        <v>462000000</v>
      </c>
      <c r="CC345" s="467">
        <f t="shared" si="189"/>
        <v>462000000</v>
      </c>
      <c r="CD345" s="467">
        <f t="shared" si="189"/>
        <v>460000000</v>
      </c>
      <c r="CE345" s="467">
        <f t="shared" si="189"/>
        <v>460000000</v>
      </c>
      <c r="CF345" s="467">
        <f t="shared" si="189"/>
        <v>392500000</v>
      </c>
      <c r="CG345" s="467">
        <f t="shared" si="189"/>
        <v>465000000</v>
      </c>
      <c r="CH345" s="467">
        <f t="shared" si="189"/>
        <v>465000000</v>
      </c>
      <c r="CI345" s="467">
        <f t="shared" si="189"/>
        <v>465000000</v>
      </c>
      <c r="CJ345" s="467">
        <f t="shared" si="189"/>
        <v>465000000</v>
      </c>
      <c r="CK345" s="467">
        <f t="shared" si="189"/>
        <v>465000000</v>
      </c>
      <c r="CL345" s="467">
        <f t="shared" si="189"/>
        <v>465000000</v>
      </c>
      <c r="CM345" s="467">
        <f t="shared" si="189"/>
        <v>465000000</v>
      </c>
      <c r="CN345" s="467">
        <f>SUM(CN346:CN375)</f>
        <v>5491500000</v>
      </c>
      <c r="CO345" s="983"/>
      <c r="CP345" s="467">
        <f>SUM(CP346:CP375)</f>
        <v>65500000</v>
      </c>
      <c r="CQ345" s="467">
        <f t="shared" ref="CQ345:DP345" si="190">SUM(CQ346:CQ375)</f>
        <v>108440000</v>
      </c>
      <c r="CR345" s="467">
        <f t="shared" si="190"/>
        <v>155500000</v>
      </c>
      <c r="CS345" s="467">
        <f t="shared" si="190"/>
        <v>157999230</v>
      </c>
      <c r="CT345" s="467">
        <f t="shared" si="190"/>
        <v>395500000</v>
      </c>
      <c r="CU345" s="467">
        <f>SUM(CU346:CU375)</f>
        <v>161090000</v>
      </c>
      <c r="CV345" s="467">
        <f t="shared" si="190"/>
        <v>480500000</v>
      </c>
      <c r="CW345" s="467">
        <f t="shared" si="190"/>
        <v>118465000</v>
      </c>
      <c r="CX345" s="467">
        <f t="shared" si="190"/>
        <v>325000000</v>
      </c>
      <c r="CY345" s="467">
        <f t="shared" si="190"/>
        <v>37600000</v>
      </c>
      <c r="CZ345" s="467">
        <f t="shared" si="190"/>
        <v>550000000</v>
      </c>
      <c r="DA345" s="467">
        <f t="shared" si="190"/>
        <v>76405000</v>
      </c>
      <c r="DB345" s="467">
        <f t="shared" si="190"/>
        <v>455000000</v>
      </c>
      <c r="DC345" s="467">
        <f t="shared" si="190"/>
        <v>132735000</v>
      </c>
      <c r="DD345" s="467">
        <f t="shared" si="190"/>
        <v>500000000</v>
      </c>
      <c r="DE345" s="467">
        <f t="shared" si="190"/>
        <v>0</v>
      </c>
      <c r="DF345" s="467">
        <f>SUM(DF346:DF375)</f>
        <v>530000000</v>
      </c>
      <c r="DG345" s="467">
        <f t="shared" si="190"/>
        <v>330000000</v>
      </c>
      <c r="DH345" s="467">
        <f t="shared" si="190"/>
        <v>0</v>
      </c>
      <c r="DI345" s="467">
        <f>SUM(DI346:DI375)</f>
        <v>555000000</v>
      </c>
      <c r="DJ345" s="467">
        <f t="shared" si="190"/>
        <v>330000000</v>
      </c>
      <c r="DK345" s="467">
        <f t="shared" si="190"/>
        <v>0</v>
      </c>
      <c r="DL345" s="467">
        <f>SUM(DL346:DL375)</f>
        <v>655000000</v>
      </c>
      <c r="DM345" s="467">
        <f>SUM(DM346:DM375)</f>
        <v>330000000</v>
      </c>
      <c r="DN345" s="467">
        <f t="shared" si="190"/>
        <v>0</v>
      </c>
      <c r="DO345" s="467">
        <f>SUM(DO346:DO375)</f>
        <v>655000000</v>
      </c>
      <c r="DP345" s="467">
        <f t="shared" si="190"/>
        <v>330000000</v>
      </c>
      <c r="DQ345" s="467">
        <f>SUM(DQ346:DQ375)</f>
        <v>3253234230</v>
      </c>
      <c r="DR345" s="467">
        <f>SUM(DR346:DR375)</f>
        <v>2178234230</v>
      </c>
      <c r="DS345" s="444">
        <f>SUM(DS346:DS375)</f>
        <v>398000000</v>
      </c>
      <c r="DT345" s="444">
        <f t="shared" ref="DT345:EI345" si="191">SUM(DT346:DT375)</f>
        <v>398000000</v>
      </c>
      <c r="DU345" s="444">
        <f t="shared" si="191"/>
        <v>438000000</v>
      </c>
      <c r="DV345" s="444">
        <f t="shared" si="191"/>
        <v>438000000</v>
      </c>
      <c r="DW345" s="444">
        <f t="shared" si="191"/>
        <v>398000000</v>
      </c>
      <c r="DX345" s="444">
        <f t="shared" si="191"/>
        <v>398000000</v>
      </c>
      <c r="DY345" s="444">
        <f t="shared" si="191"/>
        <v>398000000</v>
      </c>
      <c r="DZ345" s="444">
        <f t="shared" si="191"/>
        <v>398000000</v>
      </c>
      <c r="EA345" s="444">
        <f t="shared" si="191"/>
        <v>398000000</v>
      </c>
      <c r="EB345" s="444">
        <f t="shared" si="191"/>
        <v>398000000</v>
      </c>
      <c r="EC345" s="444">
        <f t="shared" si="191"/>
        <v>450000000</v>
      </c>
      <c r="ED345" s="444">
        <f t="shared" si="191"/>
        <v>450000000</v>
      </c>
      <c r="EE345" s="1125">
        <f>SUM(EE346:EE375)</f>
        <v>4960000000</v>
      </c>
      <c r="EF345" s="444">
        <f t="shared" si="191"/>
        <v>15546960000</v>
      </c>
      <c r="EG345" s="444">
        <f t="shared" si="191"/>
        <v>24887452800</v>
      </c>
      <c r="EH345" s="444">
        <f t="shared" si="191"/>
        <v>37000000000</v>
      </c>
      <c r="EI345" s="444">
        <f t="shared" si="191"/>
        <v>37000000000</v>
      </c>
      <c r="EJ345" s="981"/>
      <c r="EK345" s="981"/>
      <c r="EL345" s="984"/>
      <c r="EM345" s="984"/>
      <c r="EN345" s="984"/>
      <c r="EO345" s="984"/>
      <c r="EP345" s="984"/>
      <c r="EQ345" s="984"/>
      <c r="ER345" s="984"/>
      <c r="ES345" s="984"/>
      <c r="ET345" s="984"/>
      <c r="EU345" s="984"/>
      <c r="EV345" s="984"/>
      <c r="EW345" s="984"/>
      <c r="EX345" s="984"/>
      <c r="EY345" s="984"/>
      <c r="EZ345" s="984"/>
    </row>
    <row r="346" spans="1:156" outlineLevel="2">
      <c r="A346" s="367" t="s">
        <v>196</v>
      </c>
      <c r="B346" s="378"/>
      <c r="C346" s="370" t="s">
        <v>358</v>
      </c>
      <c r="D346" s="370" t="s">
        <v>108</v>
      </c>
      <c r="E346" s="396" t="s">
        <v>620</v>
      </c>
      <c r="F346" s="380">
        <v>3000020645</v>
      </c>
      <c r="G346" s="14"/>
      <c r="H346" s="13"/>
      <c r="I346" s="185"/>
      <c r="J346" s="185"/>
      <c r="K346" s="185"/>
      <c r="L346" s="185"/>
      <c r="M346" s="185"/>
      <c r="N346" s="185"/>
      <c r="O346" s="185"/>
      <c r="P346" s="185"/>
      <c r="Q346" s="185"/>
      <c r="R346" s="185"/>
      <c r="S346" s="14"/>
      <c r="T346" s="179"/>
      <c r="U346" s="14"/>
      <c r="V346" s="13"/>
      <c r="W346" s="185"/>
      <c r="X346" s="185"/>
      <c r="Y346" s="185"/>
      <c r="Z346" s="185"/>
      <c r="AA346" s="185"/>
      <c r="AB346" s="185"/>
      <c r="AC346" s="185"/>
      <c r="AD346" s="185"/>
      <c r="AE346" s="185"/>
      <c r="AF346" s="185"/>
      <c r="AG346" s="759"/>
      <c r="AH346" s="788"/>
      <c r="AI346" s="827"/>
      <c r="AJ346" s="810"/>
      <c r="AK346" s="758"/>
      <c r="AL346" s="758"/>
      <c r="AM346" s="758"/>
      <c r="AN346" s="758"/>
      <c r="AO346" s="758"/>
      <c r="AP346" s="758"/>
      <c r="AQ346" s="518"/>
      <c r="AR346" s="518"/>
      <c r="AS346" s="518"/>
      <c r="AT346" s="518"/>
      <c r="AU346" s="828"/>
      <c r="AV346" s="828"/>
      <c r="AW346" s="828"/>
      <c r="AX346" s="518">
        <f>SUM(AI346,AJ346,AK346,AL346,AM346,AN346,AO346,AP346,AQ346,AR346,AS346,AT346)</f>
        <v>0</v>
      </c>
      <c r="AY346" s="788"/>
      <c r="AZ346" s="827"/>
      <c r="BA346" s="810"/>
      <c r="BB346" s="758"/>
      <c r="BC346" s="758"/>
      <c r="BD346" s="758"/>
      <c r="BE346" s="758"/>
      <c r="BF346" s="758"/>
      <c r="BG346" s="758"/>
      <c r="BH346" s="758"/>
      <c r="BI346" s="758"/>
      <c r="BJ346" s="758"/>
      <c r="BK346" s="758"/>
      <c r="BL346" s="759"/>
      <c r="BN346" s="758">
        <f>300000000/2</f>
        <v>150000000</v>
      </c>
      <c r="BO346" s="758">
        <f>300000000/2</f>
        <v>150000000</v>
      </c>
      <c r="BP346" s="758">
        <f>300000000/2</f>
        <v>150000000</v>
      </c>
      <c r="BQ346" s="758">
        <f>300000000/2</f>
        <v>150000000</v>
      </c>
      <c r="BR346" s="758">
        <v>127500000</v>
      </c>
      <c r="BS346" s="758">
        <f t="shared" ref="BS346:BY346" si="192">300000000/2</f>
        <v>150000000</v>
      </c>
      <c r="BT346" s="758">
        <f t="shared" si="192"/>
        <v>150000000</v>
      </c>
      <c r="BU346" s="758">
        <f t="shared" si="192"/>
        <v>150000000</v>
      </c>
      <c r="BV346" s="758">
        <f t="shared" si="192"/>
        <v>150000000</v>
      </c>
      <c r="BW346" s="758">
        <f t="shared" si="192"/>
        <v>150000000</v>
      </c>
      <c r="BX346" s="758">
        <f t="shared" si="192"/>
        <v>150000000</v>
      </c>
      <c r="BY346" s="758">
        <f t="shared" si="192"/>
        <v>150000000</v>
      </c>
      <c r="BZ346" s="791">
        <v>1777500000</v>
      </c>
      <c r="CB346" s="758">
        <f>300000000/2</f>
        <v>150000000</v>
      </c>
      <c r="CC346" s="758">
        <f>300000000/2</f>
        <v>150000000</v>
      </c>
      <c r="CD346" s="758">
        <f>300000000/2</f>
        <v>150000000</v>
      </c>
      <c r="CE346" s="758">
        <f>300000000/2</f>
        <v>150000000</v>
      </c>
      <c r="CF346" s="758">
        <v>127500000</v>
      </c>
      <c r="CG346" s="758">
        <f t="shared" ref="CG346:CM346" si="193">300000000/2</f>
        <v>150000000</v>
      </c>
      <c r="CH346" s="758">
        <f t="shared" si="193"/>
        <v>150000000</v>
      </c>
      <c r="CI346" s="758">
        <f t="shared" si="193"/>
        <v>150000000</v>
      </c>
      <c r="CJ346" s="758">
        <f t="shared" si="193"/>
        <v>150000000</v>
      </c>
      <c r="CK346" s="758">
        <f t="shared" si="193"/>
        <v>150000000</v>
      </c>
      <c r="CL346" s="758">
        <f t="shared" si="193"/>
        <v>150000000</v>
      </c>
      <c r="CM346" s="758">
        <f t="shared" si="193"/>
        <v>150000000</v>
      </c>
      <c r="CN346" s="791">
        <v>1777500000</v>
      </c>
      <c r="CP346" s="653"/>
      <c r="CQ346" s="653">
        <v>13250000</v>
      </c>
      <c r="CR346" s="524"/>
      <c r="CS346" s="653"/>
      <c r="CT346" s="524"/>
      <c r="CU346" s="653"/>
      <c r="CV346" s="524"/>
      <c r="CW346" s="653"/>
      <c r="CX346" s="524"/>
      <c r="CY346" s="653"/>
      <c r="CZ346" s="524"/>
      <c r="DA346" s="653"/>
      <c r="DB346" s="524"/>
      <c r="DC346" s="653">
        <v>0</v>
      </c>
      <c r="DD346" s="524"/>
      <c r="DE346" s="758"/>
      <c r="DF346" s="524"/>
      <c r="DG346" s="757"/>
      <c r="DH346" s="758"/>
      <c r="DI346" s="524"/>
      <c r="DJ346" s="757"/>
      <c r="DK346" s="758"/>
      <c r="DL346" s="524"/>
      <c r="DM346" s="757"/>
      <c r="DN346" s="758"/>
      <c r="DO346" s="524"/>
      <c r="DP346" s="757"/>
      <c r="DQ346" s="493">
        <f t="shared" ref="DQ346:DQ375" si="194">SUM(CP346,CQ346,CS346,CU346,CW346,CY346,DA346,DC346,DF346,DI346,DL346,DO346)</f>
        <v>13250000</v>
      </c>
      <c r="DR346" s="479">
        <f t="shared" ref="DR346:DR407" si="195">SUM(CP346,CQ346,CS346,CU346,CW346,CY346,DA346,DC346,DG346,DJ346,DM346,DP346)</f>
        <v>13250000</v>
      </c>
      <c r="DS346" s="1019"/>
      <c r="DT346" s="1019"/>
      <c r="DU346" s="1019"/>
      <c r="DV346" s="1019"/>
      <c r="DW346" s="1019"/>
      <c r="DX346" s="1019"/>
      <c r="DY346" s="1019"/>
      <c r="DZ346" s="1019"/>
      <c r="EA346" s="1019"/>
      <c r="EB346" s="1019"/>
      <c r="EC346" s="1019"/>
      <c r="ED346" s="1019"/>
      <c r="EE346" s="1119">
        <f t="shared" si="142"/>
        <v>0</v>
      </c>
      <c r="EF346" s="443">
        <v>2495610000</v>
      </c>
      <c r="EG346" s="443">
        <v>3695258800</v>
      </c>
      <c r="EH346" s="443">
        <v>5500000000</v>
      </c>
      <c r="EI346" s="443">
        <v>5500000000</v>
      </c>
    </row>
    <row r="347" spans="1:156" outlineLevel="2">
      <c r="B347" s="378"/>
      <c r="C347" s="370" t="s">
        <v>358</v>
      </c>
      <c r="D347" s="370" t="s">
        <v>108</v>
      </c>
      <c r="E347" s="396" t="s">
        <v>621</v>
      </c>
      <c r="F347" s="380" t="s">
        <v>622</v>
      </c>
      <c r="G347" s="14"/>
      <c r="H347" s="13"/>
      <c r="I347" s="185"/>
      <c r="J347" s="185"/>
      <c r="K347" s="185"/>
      <c r="L347" s="185"/>
      <c r="M347" s="185"/>
      <c r="N347" s="185"/>
      <c r="O347" s="185"/>
      <c r="P347" s="185"/>
      <c r="Q347" s="185"/>
      <c r="R347" s="185"/>
      <c r="S347" s="14"/>
      <c r="T347" s="179"/>
      <c r="U347" s="14"/>
      <c r="V347" s="13"/>
      <c r="W347" s="185"/>
      <c r="X347" s="185"/>
      <c r="Y347" s="185"/>
      <c r="Z347" s="185"/>
      <c r="AA347" s="185"/>
      <c r="AB347" s="185"/>
      <c r="AC347" s="185"/>
      <c r="AD347" s="185"/>
      <c r="AE347" s="185"/>
      <c r="AF347" s="185"/>
      <c r="AG347" s="759"/>
      <c r="AH347" s="788"/>
      <c r="AI347" s="827"/>
      <c r="AJ347" s="810"/>
      <c r="AK347" s="758"/>
      <c r="AL347" s="758"/>
      <c r="AM347" s="758"/>
      <c r="AN347" s="758"/>
      <c r="AO347" s="758"/>
      <c r="AP347" s="758"/>
      <c r="AQ347" s="518"/>
      <c r="AR347" s="518"/>
      <c r="AS347" s="518"/>
      <c r="AT347" s="518"/>
      <c r="AU347" s="828"/>
      <c r="AV347" s="828"/>
      <c r="AW347" s="828"/>
      <c r="AX347" s="518"/>
      <c r="AY347" s="788"/>
      <c r="AZ347" s="827"/>
      <c r="BA347" s="810"/>
      <c r="BB347" s="758"/>
      <c r="BC347" s="758"/>
      <c r="BD347" s="758"/>
      <c r="BE347" s="758"/>
      <c r="BF347" s="758"/>
      <c r="BG347" s="758"/>
      <c r="BH347" s="758"/>
      <c r="BI347" s="758"/>
      <c r="BJ347" s="758"/>
      <c r="BK347" s="758"/>
      <c r="BL347" s="759"/>
      <c r="BN347" s="758"/>
      <c r="BO347" s="758"/>
      <c r="BP347" s="758"/>
      <c r="BQ347" s="758"/>
      <c r="BR347" s="758"/>
      <c r="BS347" s="758"/>
      <c r="BT347" s="758"/>
      <c r="BU347" s="758"/>
      <c r="BV347" s="758"/>
      <c r="BW347" s="758"/>
      <c r="BX347" s="758"/>
      <c r="BY347" s="758"/>
      <c r="BZ347" s="791"/>
      <c r="CB347" s="758"/>
      <c r="CC347" s="758"/>
      <c r="CD347" s="758"/>
      <c r="CE347" s="758"/>
      <c r="CF347" s="758"/>
      <c r="CG347" s="758"/>
      <c r="CH347" s="758"/>
      <c r="CI347" s="758"/>
      <c r="CJ347" s="758"/>
      <c r="CK347" s="758"/>
      <c r="CL347" s="758"/>
      <c r="CM347" s="758"/>
      <c r="CN347" s="791"/>
      <c r="CP347" s="653"/>
      <c r="CQ347" s="653"/>
      <c r="CR347" s="524"/>
      <c r="CS347" s="653"/>
      <c r="CT347" s="524"/>
      <c r="CU347" s="653"/>
      <c r="CV347" s="524"/>
      <c r="CW347" s="653"/>
      <c r="CX347" s="524"/>
      <c r="CY347" s="653"/>
      <c r="CZ347" s="524"/>
      <c r="DA347" s="653">
        <v>5000000</v>
      </c>
      <c r="DB347" s="524"/>
      <c r="DC347" s="653">
        <v>0</v>
      </c>
      <c r="DD347" s="524"/>
      <c r="DE347" s="758"/>
      <c r="DF347" s="524"/>
      <c r="DG347" s="757"/>
      <c r="DH347" s="758"/>
      <c r="DI347" s="524"/>
      <c r="DJ347" s="757"/>
      <c r="DK347" s="758"/>
      <c r="DL347" s="524"/>
      <c r="DM347" s="757"/>
      <c r="DN347" s="758"/>
      <c r="DO347" s="524"/>
      <c r="DP347" s="757"/>
      <c r="DQ347" s="493">
        <f t="shared" si="194"/>
        <v>5000000</v>
      </c>
      <c r="DR347" s="479">
        <f t="shared" si="195"/>
        <v>5000000</v>
      </c>
      <c r="DS347" s="1019"/>
      <c r="DT347" s="1019"/>
      <c r="DU347" s="1019"/>
      <c r="DV347" s="1019"/>
      <c r="DW347" s="1019"/>
      <c r="DX347" s="1019"/>
      <c r="DY347" s="1019"/>
      <c r="DZ347" s="1019"/>
      <c r="EA347" s="1019"/>
      <c r="EB347" s="1019"/>
      <c r="EC347" s="1019"/>
      <c r="ED347" s="1019"/>
      <c r="EE347" s="1119">
        <f t="shared" si="142"/>
        <v>0</v>
      </c>
      <c r="EF347" s="443"/>
      <c r="EG347" s="443"/>
      <c r="EH347" s="443"/>
      <c r="EI347" s="443"/>
    </row>
    <row r="348" spans="1:156" outlineLevel="2">
      <c r="B348" s="378"/>
      <c r="C348" s="370" t="s">
        <v>358</v>
      </c>
      <c r="D348" s="370" t="s">
        <v>108</v>
      </c>
      <c r="E348" s="396" t="s">
        <v>476</v>
      </c>
      <c r="F348" s="380" t="s">
        <v>477</v>
      </c>
      <c r="G348" s="14"/>
      <c r="H348" s="13"/>
      <c r="I348" s="185"/>
      <c r="J348" s="185"/>
      <c r="K348" s="185"/>
      <c r="L348" s="185"/>
      <c r="M348" s="185"/>
      <c r="N348" s="185"/>
      <c r="O348" s="185"/>
      <c r="P348" s="185"/>
      <c r="Q348" s="185"/>
      <c r="R348" s="185"/>
      <c r="S348" s="14"/>
      <c r="T348" s="179"/>
      <c r="U348" s="14"/>
      <c r="V348" s="13"/>
      <c r="W348" s="185"/>
      <c r="X348" s="185"/>
      <c r="Y348" s="185"/>
      <c r="Z348" s="185"/>
      <c r="AA348" s="185"/>
      <c r="AB348" s="185"/>
      <c r="AC348" s="185"/>
      <c r="AD348" s="185"/>
      <c r="AE348" s="185"/>
      <c r="AF348" s="185"/>
      <c r="AG348" s="759"/>
      <c r="AH348" s="788"/>
      <c r="AI348" s="827"/>
      <c r="AJ348" s="810"/>
      <c r="AK348" s="758"/>
      <c r="AL348" s="758"/>
      <c r="AM348" s="758"/>
      <c r="AN348" s="758"/>
      <c r="AO348" s="758"/>
      <c r="AP348" s="758"/>
      <c r="AQ348" s="518"/>
      <c r="AR348" s="518"/>
      <c r="AS348" s="518"/>
      <c r="AT348" s="518"/>
      <c r="AU348" s="828"/>
      <c r="AV348" s="828"/>
      <c r="AW348" s="828"/>
      <c r="AX348" s="518"/>
      <c r="AY348" s="788"/>
      <c r="AZ348" s="827"/>
      <c r="BA348" s="810"/>
      <c r="BB348" s="758"/>
      <c r="BC348" s="758"/>
      <c r="BD348" s="758"/>
      <c r="BE348" s="758"/>
      <c r="BF348" s="758"/>
      <c r="BG348" s="758"/>
      <c r="BH348" s="758"/>
      <c r="BI348" s="758"/>
      <c r="BJ348" s="758"/>
      <c r="BK348" s="758"/>
      <c r="BL348" s="759"/>
      <c r="BN348" s="758"/>
      <c r="BO348" s="758"/>
      <c r="BP348" s="758"/>
      <c r="BQ348" s="758"/>
      <c r="BR348" s="758"/>
      <c r="BS348" s="758"/>
      <c r="BT348" s="758"/>
      <c r="BU348" s="758"/>
      <c r="BV348" s="758"/>
      <c r="BW348" s="758"/>
      <c r="BX348" s="758"/>
      <c r="BY348" s="758"/>
      <c r="BZ348" s="791"/>
      <c r="CB348" s="758"/>
      <c r="CC348" s="758"/>
      <c r="CD348" s="758"/>
      <c r="CE348" s="758"/>
      <c r="CF348" s="758"/>
      <c r="CG348" s="758"/>
      <c r="CH348" s="758"/>
      <c r="CI348" s="758"/>
      <c r="CJ348" s="758"/>
      <c r="CK348" s="758"/>
      <c r="CL348" s="758"/>
      <c r="CM348" s="758"/>
      <c r="CN348" s="791"/>
      <c r="CP348" s="653"/>
      <c r="CQ348" s="653"/>
      <c r="CR348" s="524"/>
      <c r="CS348" s="653"/>
      <c r="CT348" s="524"/>
      <c r="CU348" s="653"/>
      <c r="CV348" s="524"/>
      <c r="CW348" s="653"/>
      <c r="CX348" s="524"/>
      <c r="CY348" s="653"/>
      <c r="CZ348" s="524"/>
      <c r="DA348" s="653"/>
      <c r="DB348" s="524"/>
      <c r="DC348" s="653">
        <v>7400000</v>
      </c>
      <c r="DD348" s="524"/>
      <c r="DE348" s="758"/>
      <c r="DF348" s="524"/>
      <c r="DG348" s="757"/>
      <c r="DH348" s="758"/>
      <c r="DI348" s="524"/>
      <c r="DJ348" s="757"/>
      <c r="DK348" s="758"/>
      <c r="DL348" s="524"/>
      <c r="DM348" s="757"/>
      <c r="DN348" s="758"/>
      <c r="DO348" s="524"/>
      <c r="DP348" s="757"/>
      <c r="DQ348" s="493">
        <f t="shared" si="194"/>
        <v>7400000</v>
      </c>
      <c r="DR348" s="479">
        <f t="shared" si="195"/>
        <v>7400000</v>
      </c>
      <c r="DS348" s="1019"/>
      <c r="DT348" s="1019"/>
      <c r="DU348" s="1019"/>
      <c r="DV348" s="1019"/>
      <c r="DW348" s="1019"/>
      <c r="DX348" s="1019"/>
      <c r="DY348" s="1019"/>
      <c r="DZ348" s="1019"/>
      <c r="EA348" s="1019"/>
      <c r="EB348" s="1019"/>
      <c r="EC348" s="1019"/>
      <c r="ED348" s="1019"/>
      <c r="EE348" s="1119">
        <f t="shared" si="142"/>
        <v>0</v>
      </c>
      <c r="EF348" s="443"/>
      <c r="EG348" s="443"/>
      <c r="EH348" s="443"/>
      <c r="EI348" s="443"/>
    </row>
    <row r="349" spans="1:156" outlineLevel="2">
      <c r="A349" s="367" t="s">
        <v>196</v>
      </c>
      <c r="B349" s="378"/>
      <c r="C349" s="370" t="s">
        <v>358</v>
      </c>
      <c r="D349" s="370" t="s">
        <v>108</v>
      </c>
      <c r="E349" s="396" t="s">
        <v>623</v>
      </c>
      <c r="F349" s="380">
        <v>3000000615</v>
      </c>
      <c r="G349" s="14"/>
      <c r="H349" s="13"/>
      <c r="I349" s="185"/>
      <c r="J349" s="185"/>
      <c r="K349" s="185"/>
      <c r="L349" s="185"/>
      <c r="M349" s="185"/>
      <c r="N349" s="185"/>
      <c r="O349" s="185"/>
      <c r="P349" s="185"/>
      <c r="Q349" s="185"/>
      <c r="R349" s="185"/>
      <c r="S349" s="14"/>
      <c r="T349" s="179"/>
      <c r="U349" s="14"/>
      <c r="V349" s="13"/>
      <c r="W349" s="185"/>
      <c r="X349" s="185"/>
      <c r="Y349" s="185"/>
      <c r="Z349" s="185"/>
      <c r="AA349" s="185"/>
      <c r="AB349" s="185"/>
      <c r="AC349" s="185"/>
      <c r="AD349" s="185"/>
      <c r="AE349" s="185"/>
      <c r="AF349" s="185"/>
      <c r="AG349" s="759"/>
      <c r="AH349" s="788"/>
      <c r="AI349" s="827"/>
      <c r="AJ349" s="810"/>
      <c r="AK349" s="758"/>
      <c r="AL349" s="758"/>
      <c r="AM349" s="758"/>
      <c r="AN349" s="758"/>
      <c r="AO349" s="758"/>
      <c r="AP349" s="758"/>
      <c r="AQ349" s="518"/>
      <c r="AR349" s="813"/>
      <c r="AS349" s="813"/>
      <c r="AT349" s="813"/>
      <c r="AU349" s="828"/>
      <c r="AV349" s="828"/>
      <c r="AW349" s="828"/>
      <c r="AX349" s="518">
        <f>SUM(AI349,AJ349,AK349,AL349,AM349,AN349,AO349,AP349,AQ349,AR349,AS349,AT349)</f>
        <v>0</v>
      </c>
      <c r="AY349" s="788"/>
      <c r="AZ349" s="827"/>
      <c r="BA349" s="810"/>
      <c r="BB349" s="758"/>
      <c r="BC349" s="758"/>
      <c r="BD349" s="758"/>
      <c r="BE349" s="758"/>
      <c r="BF349" s="758"/>
      <c r="BG349" s="758"/>
      <c r="BH349" s="758"/>
      <c r="BI349" s="758"/>
      <c r="BJ349" s="758"/>
      <c r="BK349" s="758"/>
      <c r="BL349" s="759"/>
      <c r="BN349" s="758"/>
      <c r="BO349" s="758"/>
      <c r="BP349" s="758"/>
      <c r="BQ349" s="758"/>
      <c r="BR349" s="758"/>
      <c r="BS349" s="758"/>
      <c r="BT349" s="758"/>
      <c r="BU349" s="758"/>
      <c r="BV349" s="758"/>
      <c r="BW349" s="758"/>
      <c r="BX349" s="758"/>
      <c r="BY349" s="758"/>
      <c r="BZ349" s="791">
        <v>0</v>
      </c>
      <c r="CB349" s="758"/>
      <c r="CC349" s="758"/>
      <c r="CD349" s="758"/>
      <c r="CE349" s="758"/>
      <c r="CF349" s="758"/>
      <c r="CG349" s="758"/>
      <c r="CH349" s="758"/>
      <c r="CI349" s="758"/>
      <c r="CJ349" s="758"/>
      <c r="CK349" s="758"/>
      <c r="CL349" s="758"/>
      <c r="CM349" s="758"/>
      <c r="CN349" s="791">
        <v>0</v>
      </c>
      <c r="CP349" s="653">
        <v>5500000</v>
      </c>
      <c r="CQ349" s="653"/>
      <c r="CR349" s="524">
        <v>5500000</v>
      </c>
      <c r="CS349" s="653"/>
      <c r="CT349" s="524">
        <v>5500000</v>
      </c>
      <c r="CU349" s="653"/>
      <c r="CV349" s="524">
        <v>5500000</v>
      </c>
      <c r="CW349" s="653"/>
      <c r="CX349" s="524">
        <v>0</v>
      </c>
      <c r="CY349" s="653"/>
      <c r="CZ349" s="524">
        <v>0</v>
      </c>
      <c r="DA349" s="653"/>
      <c r="DB349" s="524">
        <v>0</v>
      </c>
      <c r="DC349" s="653">
        <v>0</v>
      </c>
      <c r="DD349" s="524">
        <v>0</v>
      </c>
      <c r="DE349" s="758"/>
      <c r="DF349" s="524">
        <v>0</v>
      </c>
      <c r="DG349" s="757">
        <v>0</v>
      </c>
      <c r="DH349" s="758"/>
      <c r="DI349" s="524">
        <v>0</v>
      </c>
      <c r="DJ349" s="757">
        <v>0</v>
      </c>
      <c r="DK349" s="758"/>
      <c r="DL349" s="524">
        <v>0</v>
      </c>
      <c r="DM349" s="757">
        <v>0</v>
      </c>
      <c r="DN349" s="758"/>
      <c r="DO349" s="524">
        <v>0</v>
      </c>
      <c r="DP349" s="757">
        <v>0</v>
      </c>
      <c r="DQ349" s="493">
        <f t="shared" si="194"/>
        <v>5500000</v>
      </c>
      <c r="DR349" s="479">
        <f t="shared" si="195"/>
        <v>5500000</v>
      </c>
      <c r="DS349" s="1019"/>
      <c r="DT349" s="1019"/>
      <c r="DU349" s="1019"/>
      <c r="DV349" s="1019"/>
      <c r="DW349" s="1019"/>
      <c r="DX349" s="1019"/>
      <c r="DY349" s="1019"/>
      <c r="DZ349" s="1019"/>
      <c r="EA349" s="1019"/>
      <c r="EB349" s="1019"/>
      <c r="EC349" s="1019"/>
      <c r="ED349" s="1019"/>
      <c r="EE349" s="1119">
        <f t="shared" si="142"/>
        <v>0</v>
      </c>
      <c r="EF349" s="443"/>
      <c r="EG349" s="443"/>
      <c r="EH349" s="443"/>
      <c r="EI349" s="443"/>
    </row>
    <row r="350" spans="1:156" outlineLevel="2">
      <c r="B350" s="378"/>
      <c r="C350" s="370" t="s">
        <v>358</v>
      </c>
      <c r="D350" s="370" t="s">
        <v>108</v>
      </c>
      <c r="E350" s="396" t="s">
        <v>243</v>
      </c>
      <c r="F350" s="380" t="s">
        <v>624</v>
      </c>
      <c r="G350" s="188"/>
      <c r="H350" s="13"/>
      <c r="I350" s="185"/>
      <c r="J350" s="185"/>
      <c r="K350" s="185"/>
      <c r="L350" s="185"/>
      <c r="M350" s="185"/>
      <c r="N350" s="185"/>
      <c r="O350" s="185"/>
      <c r="P350" s="185"/>
      <c r="Q350" s="185"/>
      <c r="R350" s="185"/>
      <c r="S350" s="14"/>
      <c r="T350" s="179"/>
      <c r="U350" s="188"/>
      <c r="V350" s="13"/>
      <c r="W350" s="185"/>
      <c r="X350" s="185"/>
      <c r="Y350" s="185"/>
      <c r="Z350" s="185"/>
      <c r="AA350" s="185"/>
      <c r="AB350" s="185"/>
      <c r="AC350" s="185"/>
      <c r="AD350" s="185"/>
      <c r="AE350" s="185"/>
      <c r="AF350" s="185"/>
      <c r="AG350" s="759"/>
      <c r="AH350" s="788"/>
      <c r="AI350" s="827"/>
      <c r="AJ350" s="810"/>
      <c r="AK350" s="758"/>
      <c r="AL350" s="758"/>
      <c r="AM350" s="758"/>
      <c r="AN350" s="758"/>
      <c r="AO350" s="758"/>
      <c r="AP350" s="758"/>
      <c r="AQ350" s="518"/>
      <c r="AR350" s="813"/>
      <c r="AS350" s="813"/>
      <c r="AT350" s="813"/>
      <c r="AU350" s="828"/>
      <c r="AV350" s="828"/>
      <c r="AW350" s="828"/>
      <c r="AX350" s="518"/>
      <c r="AY350" s="788"/>
      <c r="AZ350" s="827"/>
      <c r="BA350" s="810"/>
      <c r="BB350" s="758"/>
      <c r="BC350" s="758"/>
      <c r="BD350" s="758"/>
      <c r="BE350" s="758"/>
      <c r="BF350" s="758"/>
      <c r="BG350" s="758"/>
      <c r="BH350" s="758"/>
      <c r="BI350" s="758"/>
      <c r="BJ350" s="758"/>
      <c r="BK350" s="758"/>
      <c r="BL350" s="759"/>
      <c r="BN350" s="758"/>
      <c r="BO350" s="758"/>
      <c r="BP350" s="758"/>
      <c r="BQ350" s="758"/>
      <c r="BR350" s="758"/>
      <c r="BS350" s="758"/>
      <c r="BT350" s="758"/>
      <c r="BU350" s="758"/>
      <c r="BV350" s="758"/>
      <c r="BW350" s="758"/>
      <c r="BX350" s="758"/>
      <c r="BY350" s="758"/>
      <c r="BZ350" s="791"/>
      <c r="CB350" s="758"/>
      <c r="CC350" s="758"/>
      <c r="CD350" s="758"/>
      <c r="CE350" s="758"/>
      <c r="CF350" s="758"/>
      <c r="CG350" s="758"/>
      <c r="CH350" s="758"/>
      <c r="CI350" s="758"/>
      <c r="CJ350" s="758"/>
      <c r="CK350" s="758"/>
      <c r="CL350" s="758"/>
      <c r="CM350" s="758"/>
      <c r="CN350" s="791"/>
      <c r="CP350" s="653"/>
      <c r="CQ350" s="653"/>
      <c r="CR350" s="524"/>
      <c r="CS350" s="653"/>
      <c r="CT350" s="524"/>
      <c r="CU350" s="653"/>
      <c r="CV350" s="524"/>
      <c r="CW350" s="653"/>
      <c r="CX350" s="524"/>
      <c r="CY350" s="653"/>
      <c r="CZ350" s="524"/>
      <c r="DA350" s="653">
        <v>1550000</v>
      </c>
      <c r="DB350" s="524"/>
      <c r="DC350" s="653">
        <v>0</v>
      </c>
      <c r="DD350" s="524"/>
      <c r="DE350" s="758"/>
      <c r="DF350" s="524"/>
      <c r="DG350" s="757"/>
      <c r="DH350" s="758"/>
      <c r="DI350" s="524"/>
      <c r="DJ350" s="757"/>
      <c r="DK350" s="758"/>
      <c r="DL350" s="524"/>
      <c r="DM350" s="757"/>
      <c r="DN350" s="758"/>
      <c r="DO350" s="524"/>
      <c r="DP350" s="757"/>
      <c r="DQ350" s="493">
        <f t="shared" si="194"/>
        <v>1550000</v>
      </c>
      <c r="DR350" s="479">
        <f t="shared" si="195"/>
        <v>1550000</v>
      </c>
      <c r="DS350" s="1019"/>
      <c r="DT350" s="1019"/>
      <c r="DU350" s="1019"/>
      <c r="DV350" s="1019"/>
      <c r="DW350" s="1019"/>
      <c r="DX350" s="1019"/>
      <c r="DY350" s="1019"/>
      <c r="DZ350" s="1019"/>
      <c r="EA350" s="1019"/>
      <c r="EB350" s="1019"/>
      <c r="EC350" s="1019"/>
      <c r="ED350" s="1019"/>
      <c r="EE350" s="1119">
        <f t="shared" si="142"/>
        <v>0</v>
      </c>
      <c r="EF350" s="443"/>
      <c r="EG350" s="443"/>
      <c r="EH350" s="443"/>
      <c r="EI350" s="443"/>
    </row>
    <row r="351" spans="1:156" outlineLevel="2">
      <c r="A351" s="389"/>
      <c r="B351" s="378"/>
      <c r="C351" s="370" t="s">
        <v>358</v>
      </c>
      <c r="D351" s="370" t="s">
        <v>108</v>
      </c>
      <c r="E351" s="396" t="s">
        <v>52</v>
      </c>
      <c r="F351" s="380">
        <v>3211020000</v>
      </c>
      <c r="G351" s="188"/>
      <c r="H351" s="13"/>
      <c r="I351" s="185"/>
      <c r="J351" s="185"/>
      <c r="K351" s="185"/>
      <c r="L351" s="185"/>
      <c r="M351" s="185"/>
      <c r="N351" s="185"/>
      <c r="O351" s="185"/>
      <c r="P351" s="185"/>
      <c r="Q351" s="185"/>
      <c r="R351" s="185"/>
      <c r="S351" s="14"/>
      <c r="T351" s="179"/>
      <c r="U351" s="188"/>
      <c r="V351" s="13"/>
      <c r="W351" s="185"/>
      <c r="X351" s="185"/>
      <c r="Y351" s="185"/>
      <c r="Z351" s="185"/>
      <c r="AA351" s="185"/>
      <c r="AB351" s="185"/>
      <c r="AC351" s="185"/>
      <c r="AD351" s="185"/>
      <c r="AE351" s="185"/>
      <c r="AF351" s="185"/>
      <c r="AG351" s="759"/>
      <c r="AH351" s="788"/>
      <c r="AI351" s="827"/>
      <c r="AJ351" s="810"/>
      <c r="AK351" s="758"/>
      <c r="AL351" s="758"/>
      <c r="AM351" s="758"/>
      <c r="AN351" s="758"/>
      <c r="AO351" s="758"/>
      <c r="AP351" s="758"/>
      <c r="AQ351" s="518"/>
      <c r="AR351" s="813"/>
      <c r="AS351" s="813"/>
      <c r="AT351" s="813"/>
      <c r="AU351" s="828"/>
      <c r="AV351" s="828"/>
      <c r="AW351" s="828"/>
      <c r="AX351" s="518"/>
      <c r="AY351" s="788"/>
      <c r="AZ351" s="827"/>
      <c r="BA351" s="810"/>
      <c r="BB351" s="758"/>
      <c r="BC351" s="758"/>
      <c r="BD351" s="758"/>
      <c r="BE351" s="758"/>
      <c r="BF351" s="758"/>
      <c r="BG351" s="758"/>
      <c r="BH351" s="758"/>
      <c r="BI351" s="758"/>
      <c r="BJ351" s="758"/>
      <c r="BK351" s="758"/>
      <c r="BL351" s="759"/>
      <c r="BN351" s="758"/>
      <c r="BO351" s="758"/>
      <c r="BP351" s="758"/>
      <c r="BQ351" s="758"/>
      <c r="BR351" s="758"/>
      <c r="BS351" s="758"/>
      <c r="BT351" s="758"/>
      <c r="BU351" s="758"/>
      <c r="BV351" s="758"/>
      <c r="BW351" s="758"/>
      <c r="BX351" s="758"/>
      <c r="BY351" s="758"/>
      <c r="BZ351" s="791"/>
      <c r="CB351" s="758"/>
      <c r="CC351" s="758"/>
      <c r="CD351" s="758"/>
      <c r="CE351" s="758"/>
      <c r="CF351" s="758"/>
      <c r="CG351" s="758"/>
      <c r="CH351" s="758"/>
      <c r="CI351" s="758"/>
      <c r="CJ351" s="758"/>
      <c r="CK351" s="758"/>
      <c r="CL351" s="758"/>
      <c r="CM351" s="758"/>
      <c r="CN351" s="791"/>
      <c r="CP351" s="653"/>
      <c r="CQ351" s="653"/>
      <c r="CR351" s="524"/>
      <c r="CS351" s="653"/>
      <c r="CT351" s="524"/>
      <c r="CU351" s="653">
        <v>16400000</v>
      </c>
      <c r="CV351" s="524"/>
      <c r="CW351" s="653"/>
      <c r="CX351" s="524"/>
      <c r="CY351" s="653"/>
      <c r="CZ351" s="524"/>
      <c r="DA351" s="653"/>
      <c r="DB351" s="524"/>
      <c r="DC351" s="653">
        <v>0</v>
      </c>
      <c r="DD351" s="524">
        <v>20000000</v>
      </c>
      <c r="DE351" s="758"/>
      <c r="DF351" s="524">
        <v>20000000</v>
      </c>
      <c r="DG351" s="757">
        <v>20000000</v>
      </c>
      <c r="DH351" s="758"/>
      <c r="DI351" s="524">
        <v>20000000</v>
      </c>
      <c r="DJ351" s="757">
        <v>20000000</v>
      </c>
      <c r="DK351" s="758"/>
      <c r="DL351" s="524">
        <v>20000000</v>
      </c>
      <c r="DM351" s="757">
        <v>20000000</v>
      </c>
      <c r="DN351" s="758"/>
      <c r="DO351" s="524">
        <v>20000000</v>
      </c>
      <c r="DP351" s="757">
        <v>20000000</v>
      </c>
      <c r="DQ351" s="493">
        <f t="shared" si="194"/>
        <v>96400000</v>
      </c>
      <c r="DR351" s="479">
        <f t="shared" si="195"/>
        <v>96400000</v>
      </c>
      <c r="DS351" s="1019"/>
      <c r="DT351" s="1019"/>
      <c r="DU351" s="1019"/>
      <c r="DV351" s="1019"/>
      <c r="DW351" s="1019"/>
      <c r="DX351" s="1019"/>
      <c r="DY351" s="1019"/>
      <c r="DZ351" s="1019"/>
      <c r="EA351" s="1019"/>
      <c r="EB351" s="1019"/>
      <c r="EC351" s="1019"/>
      <c r="ED351" s="1019"/>
      <c r="EE351" s="1119">
        <f t="shared" si="142"/>
        <v>0</v>
      </c>
      <c r="EF351" s="443"/>
      <c r="EG351" s="443"/>
      <c r="EH351" s="443"/>
      <c r="EI351" s="443"/>
    </row>
    <row r="352" spans="1:156" outlineLevel="2">
      <c r="A352" s="389"/>
      <c r="B352" s="378"/>
      <c r="C352" s="370" t="s">
        <v>358</v>
      </c>
      <c r="D352" s="370" t="s">
        <v>108</v>
      </c>
      <c r="E352" s="396" t="s">
        <v>625</v>
      </c>
      <c r="F352" s="380" t="s">
        <v>626</v>
      </c>
      <c r="G352" s="188"/>
      <c r="H352" s="13"/>
      <c r="I352" s="185"/>
      <c r="J352" s="185"/>
      <c r="K352" s="185"/>
      <c r="L352" s="185"/>
      <c r="M352" s="185"/>
      <c r="N352" s="185"/>
      <c r="O352" s="185"/>
      <c r="P352" s="185"/>
      <c r="Q352" s="185"/>
      <c r="R352" s="185"/>
      <c r="S352" s="14"/>
      <c r="T352" s="179"/>
      <c r="U352" s="188"/>
      <c r="V352" s="13"/>
      <c r="W352" s="185"/>
      <c r="X352" s="185"/>
      <c r="Y352" s="185"/>
      <c r="Z352" s="185"/>
      <c r="AA352" s="185"/>
      <c r="AB352" s="185"/>
      <c r="AC352" s="185"/>
      <c r="AD352" s="185"/>
      <c r="AE352" s="185"/>
      <c r="AF352" s="185"/>
      <c r="AG352" s="759"/>
      <c r="AH352" s="788"/>
      <c r="AI352" s="827"/>
      <c r="AJ352" s="810"/>
      <c r="AK352" s="758"/>
      <c r="AL352" s="758"/>
      <c r="AM352" s="758"/>
      <c r="AN352" s="758"/>
      <c r="AO352" s="758"/>
      <c r="AP352" s="758"/>
      <c r="AQ352" s="518"/>
      <c r="AR352" s="813"/>
      <c r="AS352" s="813"/>
      <c r="AT352" s="813"/>
      <c r="AU352" s="828"/>
      <c r="AV352" s="828"/>
      <c r="AW352" s="828"/>
      <c r="AX352" s="518"/>
      <c r="AY352" s="788"/>
      <c r="AZ352" s="827"/>
      <c r="BA352" s="810"/>
      <c r="BB352" s="758"/>
      <c r="BC352" s="758"/>
      <c r="BD352" s="758"/>
      <c r="BE352" s="758"/>
      <c r="BF352" s="758"/>
      <c r="BG352" s="758"/>
      <c r="BH352" s="758"/>
      <c r="BI352" s="758"/>
      <c r="BJ352" s="758"/>
      <c r="BK352" s="758"/>
      <c r="BL352" s="759"/>
      <c r="BN352" s="758"/>
      <c r="BO352" s="758"/>
      <c r="BP352" s="758"/>
      <c r="BQ352" s="758"/>
      <c r="BR352" s="758"/>
      <c r="BS352" s="758"/>
      <c r="BT352" s="758"/>
      <c r="BU352" s="758"/>
      <c r="BV352" s="758"/>
      <c r="BW352" s="758"/>
      <c r="BX352" s="758"/>
      <c r="BY352" s="758"/>
      <c r="BZ352" s="791"/>
      <c r="CB352" s="758"/>
      <c r="CC352" s="758"/>
      <c r="CD352" s="758"/>
      <c r="CE352" s="758"/>
      <c r="CF352" s="758"/>
      <c r="CG352" s="758"/>
      <c r="CH352" s="758"/>
      <c r="CI352" s="758"/>
      <c r="CJ352" s="758"/>
      <c r="CK352" s="758"/>
      <c r="CL352" s="758"/>
      <c r="CM352" s="758"/>
      <c r="CN352" s="791"/>
      <c r="CP352" s="653"/>
      <c r="CQ352" s="653"/>
      <c r="CR352" s="524"/>
      <c r="CS352" s="653"/>
      <c r="CT352" s="524"/>
      <c r="CU352" s="653"/>
      <c r="CV352" s="524"/>
      <c r="CW352" s="653"/>
      <c r="CX352" s="524"/>
      <c r="CY352" s="653"/>
      <c r="CZ352" s="524"/>
      <c r="DA352" s="653"/>
      <c r="DB352" s="524"/>
      <c r="DC352" s="653">
        <v>4600000</v>
      </c>
      <c r="DD352" s="524"/>
      <c r="DE352" s="758"/>
      <c r="DF352" s="524"/>
      <c r="DG352" s="757"/>
      <c r="DH352" s="758"/>
      <c r="DI352" s="524"/>
      <c r="DJ352" s="757"/>
      <c r="DK352" s="758"/>
      <c r="DL352" s="524"/>
      <c r="DM352" s="757"/>
      <c r="DN352" s="758"/>
      <c r="DO352" s="524"/>
      <c r="DP352" s="757"/>
      <c r="DQ352" s="493">
        <f t="shared" si="194"/>
        <v>4600000</v>
      </c>
      <c r="DR352" s="479">
        <f t="shared" si="195"/>
        <v>4600000</v>
      </c>
      <c r="DS352" s="1019">
        <v>50000000</v>
      </c>
      <c r="DT352" s="1019">
        <v>50000000</v>
      </c>
      <c r="DU352" s="1019">
        <v>75000000</v>
      </c>
      <c r="DV352" s="1019">
        <v>75000000</v>
      </c>
      <c r="DW352" s="1019">
        <v>50000000</v>
      </c>
      <c r="DX352" s="1019">
        <v>50000000</v>
      </c>
      <c r="DY352" s="1019">
        <v>50000000</v>
      </c>
      <c r="DZ352" s="1019">
        <v>50000000</v>
      </c>
      <c r="EA352" s="1019">
        <v>50000000</v>
      </c>
      <c r="EB352" s="1019">
        <v>50000000</v>
      </c>
      <c r="EC352" s="1019">
        <v>75000000</v>
      </c>
      <c r="ED352" s="1019">
        <v>75000000</v>
      </c>
      <c r="EE352" s="1119">
        <f t="shared" si="142"/>
        <v>700000000</v>
      </c>
      <c r="EF352" s="443"/>
      <c r="EG352" s="443"/>
      <c r="EH352" s="443"/>
      <c r="EI352" s="443"/>
    </row>
    <row r="353" spans="1:140" outlineLevel="2">
      <c r="A353" s="367" t="s">
        <v>196</v>
      </c>
      <c r="B353" s="378"/>
      <c r="C353" s="370" t="s">
        <v>358</v>
      </c>
      <c r="D353" s="370" t="s">
        <v>108</v>
      </c>
      <c r="E353" s="396" t="s">
        <v>479</v>
      </c>
      <c r="F353" s="380">
        <v>3000000758</v>
      </c>
      <c r="G353" s="188"/>
      <c r="H353" s="13"/>
      <c r="I353" s="185"/>
      <c r="J353" s="185"/>
      <c r="K353" s="185"/>
      <c r="L353" s="185"/>
      <c r="M353" s="185"/>
      <c r="N353" s="185"/>
      <c r="O353" s="185"/>
      <c r="P353" s="185"/>
      <c r="Q353" s="185"/>
      <c r="R353" s="185"/>
      <c r="S353" s="14"/>
      <c r="T353" s="179"/>
      <c r="U353" s="188"/>
      <c r="V353" s="13"/>
      <c r="W353" s="185"/>
      <c r="X353" s="185"/>
      <c r="Y353" s="185"/>
      <c r="Z353" s="185"/>
      <c r="AA353" s="185"/>
      <c r="AB353" s="185"/>
      <c r="AC353" s="185"/>
      <c r="AD353" s="185"/>
      <c r="AE353" s="185"/>
      <c r="AF353" s="185"/>
      <c r="AG353" s="759"/>
      <c r="AH353" s="788"/>
      <c r="AI353" s="827"/>
      <c r="AJ353" s="810"/>
      <c r="AK353" s="758"/>
      <c r="AL353" s="758"/>
      <c r="AM353" s="758"/>
      <c r="AN353" s="758"/>
      <c r="AO353" s="758"/>
      <c r="AP353" s="758"/>
      <c r="AQ353" s="518"/>
      <c r="AR353" s="518"/>
      <c r="AS353" s="518"/>
      <c r="AT353" s="518"/>
      <c r="AU353" s="828"/>
      <c r="AV353" s="828"/>
      <c r="AW353" s="828"/>
      <c r="AX353" s="518">
        <f>SUM(AI353,AJ353,AK353,AL353,AM353,AN353,AO353,AP353,AQ353,AR353,AS353,AT353)</f>
        <v>0</v>
      </c>
      <c r="AY353" s="788"/>
      <c r="AZ353" s="827"/>
      <c r="BA353" s="810"/>
      <c r="BB353" s="758"/>
      <c r="BC353" s="758"/>
      <c r="BD353" s="758"/>
      <c r="BE353" s="758"/>
      <c r="BF353" s="758"/>
      <c r="BG353" s="758"/>
      <c r="BH353" s="758"/>
      <c r="BI353" s="758"/>
      <c r="BJ353" s="758"/>
      <c r="BK353" s="758"/>
      <c r="BL353" s="759"/>
      <c r="BN353" s="759">
        <v>12000000</v>
      </c>
      <c r="BO353" s="759">
        <v>12000000</v>
      </c>
      <c r="BP353" s="759">
        <v>10000000</v>
      </c>
      <c r="BQ353" s="759">
        <v>10000000</v>
      </c>
      <c r="BR353" s="759">
        <v>10000000</v>
      </c>
      <c r="BS353" s="759">
        <v>15000000</v>
      </c>
      <c r="BT353" s="759">
        <v>15000000</v>
      </c>
      <c r="BU353" s="759">
        <v>15000000</v>
      </c>
      <c r="BV353" s="759">
        <v>15000000</v>
      </c>
      <c r="BW353" s="759">
        <v>15000000</v>
      </c>
      <c r="BX353" s="759">
        <v>15000000</v>
      </c>
      <c r="BY353" s="759">
        <v>15000000</v>
      </c>
      <c r="BZ353" s="791">
        <v>159000000</v>
      </c>
      <c r="CB353" s="759">
        <v>12000000</v>
      </c>
      <c r="CC353" s="759">
        <v>12000000</v>
      </c>
      <c r="CD353" s="759">
        <v>10000000</v>
      </c>
      <c r="CE353" s="759">
        <v>10000000</v>
      </c>
      <c r="CF353" s="759">
        <v>10000000</v>
      </c>
      <c r="CG353" s="759">
        <v>15000000</v>
      </c>
      <c r="CH353" s="759">
        <v>15000000</v>
      </c>
      <c r="CI353" s="759">
        <v>15000000</v>
      </c>
      <c r="CJ353" s="759">
        <v>15000000</v>
      </c>
      <c r="CK353" s="759">
        <v>15000000</v>
      </c>
      <c r="CL353" s="759">
        <v>15000000</v>
      </c>
      <c r="CM353" s="759">
        <v>15000000</v>
      </c>
      <c r="CN353" s="791">
        <v>159000000</v>
      </c>
      <c r="CP353" s="647"/>
      <c r="CQ353" s="647">
        <v>16950000</v>
      </c>
      <c r="CR353" s="518">
        <v>30000000</v>
      </c>
      <c r="CS353" s="647">
        <v>15800000</v>
      </c>
      <c r="CT353" s="518">
        <v>30000000</v>
      </c>
      <c r="CU353" s="647">
        <v>23250000</v>
      </c>
      <c r="CV353" s="518">
        <v>30000000</v>
      </c>
      <c r="CW353" s="647">
        <v>6050000</v>
      </c>
      <c r="CX353" s="518">
        <v>30000000</v>
      </c>
      <c r="CY353" s="647"/>
      <c r="CZ353" s="518">
        <v>10000000</v>
      </c>
      <c r="DA353" s="647">
        <v>4300000</v>
      </c>
      <c r="DB353" s="518">
        <v>20000000</v>
      </c>
      <c r="DC353" s="647">
        <v>0</v>
      </c>
      <c r="DD353" s="518">
        <v>20000000</v>
      </c>
      <c r="DE353" s="759"/>
      <c r="DF353" s="518">
        <v>20000000</v>
      </c>
      <c r="DG353" s="748">
        <v>20000000</v>
      </c>
      <c r="DH353" s="759"/>
      <c r="DI353" s="518">
        <v>20000000</v>
      </c>
      <c r="DJ353" s="748">
        <v>20000000</v>
      </c>
      <c r="DK353" s="759"/>
      <c r="DL353" s="518">
        <v>20000000</v>
      </c>
      <c r="DM353" s="748">
        <v>20000000</v>
      </c>
      <c r="DN353" s="759"/>
      <c r="DO353" s="518">
        <v>20000000</v>
      </c>
      <c r="DP353" s="748">
        <v>20000000</v>
      </c>
      <c r="DQ353" s="493">
        <f t="shared" si="194"/>
        <v>146350000</v>
      </c>
      <c r="DR353" s="479">
        <f t="shared" si="195"/>
        <v>146350000</v>
      </c>
      <c r="DS353" s="1163">
        <v>20000000</v>
      </c>
      <c r="DT353" s="1163">
        <v>20000000</v>
      </c>
      <c r="DU353" s="1163">
        <v>25000000</v>
      </c>
      <c r="DV353" s="1163">
        <v>25000000</v>
      </c>
      <c r="DW353" s="1163">
        <v>20000000</v>
      </c>
      <c r="DX353" s="1163">
        <v>20000000</v>
      </c>
      <c r="DY353" s="1163">
        <v>20000000</v>
      </c>
      <c r="DZ353" s="1163">
        <v>20000000</v>
      </c>
      <c r="EA353" s="1163">
        <v>20000000</v>
      </c>
      <c r="EB353" s="1163">
        <v>20000000</v>
      </c>
      <c r="EC353" s="1163">
        <v>20000000</v>
      </c>
      <c r="ED353" s="1163">
        <v>20000000</v>
      </c>
      <c r="EE353" s="1119">
        <f t="shared" si="142"/>
        <v>250000000</v>
      </c>
      <c r="EF353" s="443">
        <f>EE353*1.17</f>
        <v>292500000</v>
      </c>
      <c r="EG353" s="443">
        <f>EF353*1.08</f>
        <v>315900000</v>
      </c>
      <c r="EH353" s="443">
        <v>400000000</v>
      </c>
      <c r="EI353" s="443">
        <v>400000000</v>
      </c>
      <c r="EJ353" s="367">
        <v>3000000758</v>
      </c>
    </row>
    <row r="354" spans="1:140" outlineLevel="2">
      <c r="A354" s="389"/>
      <c r="B354" s="378"/>
      <c r="C354" s="370" t="s">
        <v>358</v>
      </c>
      <c r="D354" s="370" t="s">
        <v>108</v>
      </c>
      <c r="E354" s="396" t="s">
        <v>485</v>
      </c>
      <c r="F354" s="380">
        <v>3000015702</v>
      </c>
      <c r="G354" s="188"/>
      <c r="H354" s="13"/>
      <c r="I354" s="185"/>
      <c r="J354" s="185"/>
      <c r="K354" s="185"/>
      <c r="L354" s="185"/>
      <c r="M354" s="185"/>
      <c r="N354" s="185"/>
      <c r="O354" s="185"/>
      <c r="P354" s="185"/>
      <c r="Q354" s="185"/>
      <c r="R354" s="185"/>
      <c r="S354" s="14"/>
      <c r="T354" s="179"/>
      <c r="U354" s="188"/>
      <c r="V354" s="13"/>
      <c r="W354" s="185"/>
      <c r="X354" s="185"/>
      <c r="Y354" s="185"/>
      <c r="Z354" s="185"/>
      <c r="AA354" s="185"/>
      <c r="AB354" s="185"/>
      <c r="AC354" s="185"/>
      <c r="AD354" s="185"/>
      <c r="AE354" s="185"/>
      <c r="AF354" s="185"/>
      <c r="AG354" s="759"/>
      <c r="AH354" s="788"/>
      <c r="AI354" s="827"/>
      <c r="AJ354" s="810"/>
      <c r="AK354" s="758"/>
      <c r="AL354" s="758"/>
      <c r="AM354" s="758"/>
      <c r="AN354" s="758"/>
      <c r="AO354" s="758"/>
      <c r="AP354" s="758"/>
      <c r="AQ354" s="518"/>
      <c r="AR354" s="813"/>
      <c r="AS354" s="813"/>
      <c r="AT354" s="813"/>
      <c r="AU354" s="828"/>
      <c r="AV354" s="828"/>
      <c r="AW354" s="828"/>
      <c r="AX354" s="518"/>
      <c r="AY354" s="788"/>
      <c r="AZ354" s="827"/>
      <c r="BA354" s="810"/>
      <c r="BB354" s="758"/>
      <c r="BC354" s="758"/>
      <c r="BD354" s="758"/>
      <c r="BE354" s="758"/>
      <c r="BF354" s="758"/>
      <c r="BG354" s="758"/>
      <c r="BH354" s="758"/>
      <c r="BI354" s="758"/>
      <c r="BJ354" s="758"/>
      <c r="BK354" s="758"/>
      <c r="BL354" s="759"/>
      <c r="BN354" s="758"/>
      <c r="BO354" s="758"/>
      <c r="BP354" s="758"/>
      <c r="BQ354" s="758"/>
      <c r="BR354" s="758"/>
      <c r="BS354" s="758"/>
      <c r="BT354" s="758"/>
      <c r="BU354" s="758"/>
      <c r="BV354" s="758"/>
      <c r="BW354" s="758"/>
      <c r="BX354" s="758"/>
      <c r="BY354" s="758"/>
      <c r="BZ354" s="791"/>
      <c r="CB354" s="758"/>
      <c r="CC354" s="758"/>
      <c r="CD354" s="758"/>
      <c r="CE354" s="758"/>
      <c r="CF354" s="758"/>
      <c r="CG354" s="758"/>
      <c r="CH354" s="758"/>
      <c r="CI354" s="758"/>
      <c r="CJ354" s="758"/>
      <c r="CK354" s="758"/>
      <c r="CL354" s="758"/>
      <c r="CM354" s="758"/>
      <c r="CN354" s="791"/>
      <c r="CP354" s="653"/>
      <c r="CQ354" s="653"/>
      <c r="CR354" s="524"/>
      <c r="CS354" s="653"/>
      <c r="CT354" s="524"/>
      <c r="CU354" s="653">
        <v>5000000</v>
      </c>
      <c r="CV354" s="524"/>
      <c r="CW354" s="653"/>
      <c r="CX354" s="524"/>
      <c r="CY354" s="653"/>
      <c r="CZ354" s="524"/>
      <c r="DA354" s="653"/>
      <c r="DB354" s="524"/>
      <c r="DC354" s="653">
        <v>0</v>
      </c>
      <c r="DD354" s="524"/>
      <c r="DE354" s="758"/>
      <c r="DF354" s="524"/>
      <c r="DG354" s="757"/>
      <c r="DH354" s="758"/>
      <c r="DI354" s="524"/>
      <c r="DJ354" s="757"/>
      <c r="DK354" s="758"/>
      <c r="DL354" s="524"/>
      <c r="DM354" s="757"/>
      <c r="DN354" s="758"/>
      <c r="DO354" s="524"/>
      <c r="DP354" s="757"/>
      <c r="DQ354" s="493">
        <f t="shared" si="194"/>
        <v>5000000</v>
      </c>
      <c r="DR354" s="479">
        <f t="shared" si="195"/>
        <v>5000000</v>
      </c>
      <c r="DS354" s="1019"/>
      <c r="DT354" s="1019"/>
      <c r="DU354" s="1019"/>
      <c r="DV354" s="1019"/>
      <c r="DW354" s="1019"/>
      <c r="DX354" s="1019"/>
      <c r="DY354" s="1019"/>
      <c r="DZ354" s="1019"/>
      <c r="EA354" s="1019"/>
      <c r="EB354" s="1019"/>
      <c r="EC354" s="1019"/>
      <c r="ED354" s="1019"/>
      <c r="EE354" s="1119">
        <f t="shared" si="142"/>
        <v>0</v>
      </c>
      <c r="EF354" s="443"/>
      <c r="EG354" s="443"/>
      <c r="EH354" s="443"/>
      <c r="EI354" s="443"/>
    </row>
    <row r="355" spans="1:140" outlineLevel="2">
      <c r="A355" s="389"/>
      <c r="B355" s="378"/>
      <c r="C355" s="370" t="s">
        <v>358</v>
      </c>
      <c r="D355" s="370" t="s">
        <v>108</v>
      </c>
      <c r="E355" s="396" t="s">
        <v>73</v>
      </c>
      <c r="F355" s="380">
        <v>3000020184</v>
      </c>
      <c r="G355" s="188"/>
      <c r="H355" s="13"/>
      <c r="I355" s="185"/>
      <c r="J355" s="185"/>
      <c r="K355" s="185"/>
      <c r="L355" s="185"/>
      <c r="M355" s="185"/>
      <c r="N355" s="185"/>
      <c r="O355" s="185"/>
      <c r="P355" s="185"/>
      <c r="Q355" s="185"/>
      <c r="R355" s="185"/>
      <c r="S355" s="14"/>
      <c r="T355" s="179"/>
      <c r="U355" s="188"/>
      <c r="V355" s="13"/>
      <c r="W355" s="185"/>
      <c r="X355" s="185"/>
      <c r="Y355" s="185"/>
      <c r="Z355" s="185"/>
      <c r="AA355" s="185"/>
      <c r="AB355" s="185"/>
      <c r="AC355" s="185"/>
      <c r="AD355" s="185"/>
      <c r="AE355" s="185"/>
      <c r="AF355" s="185"/>
      <c r="AG355" s="759"/>
      <c r="AH355" s="788"/>
      <c r="AI355" s="827"/>
      <c r="AJ355" s="810"/>
      <c r="AK355" s="758"/>
      <c r="AL355" s="758"/>
      <c r="AM355" s="758"/>
      <c r="AN355" s="758"/>
      <c r="AO355" s="758"/>
      <c r="AP355" s="758"/>
      <c r="AQ355" s="518"/>
      <c r="AR355" s="813"/>
      <c r="AS355" s="813"/>
      <c r="AT355" s="813"/>
      <c r="AU355" s="828"/>
      <c r="AV355" s="828"/>
      <c r="AW355" s="828"/>
      <c r="AX355" s="518"/>
      <c r="AY355" s="788"/>
      <c r="AZ355" s="827"/>
      <c r="BA355" s="810"/>
      <c r="BB355" s="758"/>
      <c r="BC355" s="758"/>
      <c r="BD355" s="758"/>
      <c r="BE355" s="758"/>
      <c r="BF355" s="758"/>
      <c r="BG355" s="758"/>
      <c r="BH355" s="758"/>
      <c r="BI355" s="758"/>
      <c r="BJ355" s="758"/>
      <c r="BK355" s="758"/>
      <c r="BL355" s="759"/>
      <c r="BN355" s="758"/>
      <c r="BO355" s="758"/>
      <c r="BP355" s="758"/>
      <c r="BQ355" s="758"/>
      <c r="BR355" s="758"/>
      <c r="BS355" s="758"/>
      <c r="BT355" s="758"/>
      <c r="BU355" s="758"/>
      <c r="BV355" s="758"/>
      <c r="BW355" s="758"/>
      <c r="BX355" s="758"/>
      <c r="BY355" s="758"/>
      <c r="BZ355" s="791"/>
      <c r="CB355" s="758"/>
      <c r="CC355" s="758"/>
      <c r="CD355" s="758"/>
      <c r="CE355" s="758"/>
      <c r="CF355" s="758"/>
      <c r="CG355" s="758"/>
      <c r="CH355" s="758"/>
      <c r="CI355" s="758"/>
      <c r="CJ355" s="758"/>
      <c r="CK355" s="758"/>
      <c r="CL355" s="758"/>
      <c r="CM355" s="758"/>
      <c r="CN355" s="791"/>
      <c r="CP355" s="653"/>
      <c r="CQ355" s="653"/>
      <c r="CR355" s="524"/>
      <c r="CS355" s="653"/>
      <c r="CT355" s="524"/>
      <c r="CU355" s="653">
        <v>6000000</v>
      </c>
      <c r="CV355" s="524"/>
      <c r="CW355" s="653">
        <v>1500000</v>
      </c>
      <c r="CX355" s="524"/>
      <c r="CY355" s="653"/>
      <c r="CZ355" s="524"/>
      <c r="DA355" s="653"/>
      <c r="DB355" s="524"/>
      <c r="DC355" s="653">
        <v>0</v>
      </c>
      <c r="DD355" s="524"/>
      <c r="DE355" s="758"/>
      <c r="DF355" s="524"/>
      <c r="DG355" s="757"/>
      <c r="DH355" s="758"/>
      <c r="DI355" s="524"/>
      <c r="DJ355" s="757"/>
      <c r="DK355" s="758"/>
      <c r="DL355" s="524"/>
      <c r="DM355" s="757"/>
      <c r="DN355" s="758"/>
      <c r="DO355" s="524"/>
      <c r="DP355" s="757"/>
      <c r="DQ355" s="493">
        <f t="shared" si="194"/>
        <v>7500000</v>
      </c>
      <c r="DR355" s="479">
        <f t="shared" si="195"/>
        <v>7500000</v>
      </c>
      <c r="DS355" s="1019"/>
      <c r="DT355" s="1019"/>
      <c r="DU355" s="1019"/>
      <c r="DV355" s="1019"/>
      <c r="DW355" s="1019"/>
      <c r="DX355" s="1019"/>
      <c r="DY355" s="1019"/>
      <c r="DZ355" s="1019"/>
      <c r="EA355" s="1019"/>
      <c r="EB355" s="1019"/>
      <c r="EC355" s="1019"/>
      <c r="ED355" s="1019"/>
      <c r="EE355" s="1119">
        <f t="shared" si="142"/>
        <v>0</v>
      </c>
      <c r="EF355" s="443"/>
      <c r="EG355" s="443"/>
      <c r="EH355" s="443"/>
      <c r="EI355" s="443"/>
    </row>
    <row r="356" spans="1:140" outlineLevel="2">
      <c r="A356" s="367" t="s">
        <v>194</v>
      </c>
      <c r="B356" s="378"/>
      <c r="C356" s="370" t="s">
        <v>358</v>
      </c>
      <c r="D356" s="370" t="s">
        <v>108</v>
      </c>
      <c r="E356" s="396" t="s">
        <v>135</v>
      </c>
      <c r="F356" s="380">
        <v>3000011390</v>
      </c>
      <c r="G356" s="188"/>
      <c r="H356" s="13"/>
      <c r="I356" s="185"/>
      <c r="J356" s="185"/>
      <c r="K356" s="185"/>
      <c r="L356" s="185"/>
      <c r="M356" s="185"/>
      <c r="N356" s="185"/>
      <c r="O356" s="185"/>
      <c r="P356" s="185"/>
      <c r="Q356" s="185"/>
      <c r="R356" s="185"/>
      <c r="S356" s="14"/>
      <c r="T356" s="179"/>
      <c r="U356" s="188"/>
      <c r="V356" s="13"/>
      <c r="W356" s="185"/>
      <c r="X356" s="185"/>
      <c r="Y356" s="185"/>
      <c r="Z356" s="185"/>
      <c r="AA356" s="185"/>
      <c r="AB356" s="185"/>
      <c r="AC356" s="185"/>
      <c r="AD356" s="185"/>
      <c r="AE356" s="185"/>
      <c r="AF356" s="185"/>
      <c r="AG356" s="759"/>
      <c r="AH356" s="788"/>
      <c r="AI356" s="827"/>
      <c r="AJ356" s="810"/>
      <c r="AK356" s="758"/>
      <c r="AL356" s="758"/>
      <c r="AM356" s="758"/>
      <c r="AN356" s="758"/>
      <c r="AO356" s="758"/>
      <c r="AP356" s="758"/>
      <c r="AQ356" s="518"/>
      <c r="AR356" s="518"/>
      <c r="AS356" s="518"/>
      <c r="AT356" s="518"/>
      <c r="AU356" s="828"/>
      <c r="AV356" s="828"/>
      <c r="AW356" s="828"/>
      <c r="AX356" s="518">
        <f>SUM(AI356,AJ356,AK356,AL356,AM356,AN356,AO356,AP356,AQ356,AR356,AS356,AT356)</f>
        <v>0</v>
      </c>
      <c r="AY356" s="788"/>
      <c r="AZ356" s="827"/>
      <c r="BA356" s="810"/>
      <c r="BB356" s="758"/>
      <c r="BC356" s="758"/>
      <c r="BD356" s="758"/>
      <c r="BE356" s="758"/>
      <c r="BF356" s="758"/>
      <c r="BG356" s="758"/>
      <c r="BH356" s="758"/>
      <c r="BI356" s="758"/>
      <c r="BJ356" s="758"/>
      <c r="BK356" s="758"/>
      <c r="BL356" s="759"/>
      <c r="BN356" s="758">
        <f>300000000/2</f>
        <v>150000000</v>
      </c>
      <c r="BO356" s="758">
        <f>300000000/2</f>
        <v>150000000</v>
      </c>
      <c r="BP356" s="758">
        <f>300000000/2</f>
        <v>150000000</v>
      </c>
      <c r="BQ356" s="758">
        <f>300000000/2</f>
        <v>150000000</v>
      </c>
      <c r="BR356" s="758">
        <v>127500000</v>
      </c>
      <c r="BS356" s="758">
        <f t="shared" ref="BS356:BY356" si="196">300000000/2</f>
        <v>150000000</v>
      </c>
      <c r="BT356" s="758">
        <f t="shared" si="196"/>
        <v>150000000</v>
      </c>
      <c r="BU356" s="758">
        <f t="shared" si="196"/>
        <v>150000000</v>
      </c>
      <c r="BV356" s="758">
        <f t="shared" si="196"/>
        <v>150000000</v>
      </c>
      <c r="BW356" s="758">
        <f t="shared" si="196"/>
        <v>150000000</v>
      </c>
      <c r="BX356" s="758">
        <f t="shared" si="196"/>
        <v>150000000</v>
      </c>
      <c r="BY356" s="758">
        <f t="shared" si="196"/>
        <v>150000000</v>
      </c>
      <c r="BZ356" s="791">
        <v>1777500000</v>
      </c>
      <c r="CB356" s="758">
        <f>300000000/2</f>
        <v>150000000</v>
      </c>
      <c r="CC356" s="758">
        <f>300000000/2</f>
        <v>150000000</v>
      </c>
      <c r="CD356" s="758">
        <f>300000000/2</f>
        <v>150000000</v>
      </c>
      <c r="CE356" s="758">
        <f>300000000/2</f>
        <v>150000000</v>
      </c>
      <c r="CF356" s="758">
        <v>127500000</v>
      </c>
      <c r="CG356" s="758">
        <f t="shared" ref="CG356:CM356" si="197">300000000/2</f>
        <v>150000000</v>
      </c>
      <c r="CH356" s="758">
        <f t="shared" si="197"/>
        <v>150000000</v>
      </c>
      <c r="CI356" s="758">
        <f t="shared" si="197"/>
        <v>150000000</v>
      </c>
      <c r="CJ356" s="758">
        <f t="shared" si="197"/>
        <v>150000000</v>
      </c>
      <c r="CK356" s="758">
        <f t="shared" si="197"/>
        <v>150000000</v>
      </c>
      <c r="CL356" s="758">
        <f t="shared" si="197"/>
        <v>150000000</v>
      </c>
      <c r="CM356" s="758">
        <f t="shared" si="197"/>
        <v>150000000</v>
      </c>
      <c r="CN356" s="791">
        <v>1777500000</v>
      </c>
      <c r="CP356" s="653"/>
      <c r="CQ356" s="653">
        <v>4800000</v>
      </c>
      <c r="CR356" s="524"/>
      <c r="CS356" s="653"/>
      <c r="CT356" s="524"/>
      <c r="CU356" s="653"/>
      <c r="CV356" s="524"/>
      <c r="CW356" s="653"/>
      <c r="CX356" s="524"/>
      <c r="CY356" s="653"/>
      <c r="CZ356" s="524"/>
      <c r="DA356" s="653"/>
      <c r="DB356" s="524"/>
      <c r="DC356" s="653">
        <v>0</v>
      </c>
      <c r="DD356" s="524"/>
      <c r="DE356" s="758"/>
      <c r="DF356" s="524"/>
      <c r="DG356" s="757"/>
      <c r="DH356" s="758"/>
      <c r="DI356" s="524"/>
      <c r="DJ356" s="757"/>
      <c r="DK356" s="758"/>
      <c r="DL356" s="524"/>
      <c r="DM356" s="757"/>
      <c r="DN356" s="758"/>
      <c r="DO356" s="524"/>
      <c r="DP356" s="757"/>
      <c r="DQ356" s="493">
        <f t="shared" si="194"/>
        <v>4800000</v>
      </c>
      <c r="DR356" s="479">
        <f t="shared" si="195"/>
        <v>4800000</v>
      </c>
      <c r="DS356" s="1019"/>
      <c r="DT356" s="1019"/>
      <c r="DU356" s="1019"/>
      <c r="DV356" s="1019"/>
      <c r="DW356" s="1019"/>
      <c r="DX356" s="1019"/>
      <c r="DY356" s="1019"/>
      <c r="DZ356" s="1019"/>
      <c r="EA356" s="1019"/>
      <c r="EB356" s="1019"/>
      <c r="EC356" s="1019"/>
      <c r="ED356" s="1019"/>
      <c r="EE356" s="1119">
        <f t="shared" si="142"/>
        <v>0</v>
      </c>
      <c r="EF356" s="443">
        <v>2495610000</v>
      </c>
      <c r="EG356" s="443">
        <v>3695258800</v>
      </c>
      <c r="EH356" s="443">
        <v>5500000000</v>
      </c>
      <c r="EI356" s="443">
        <v>5500000000</v>
      </c>
    </row>
    <row r="357" spans="1:140" outlineLevel="2">
      <c r="A357" s="367" t="s">
        <v>196</v>
      </c>
      <c r="B357" s="378"/>
      <c r="C357" s="370" t="s">
        <v>358</v>
      </c>
      <c r="D357" s="370" t="s">
        <v>108</v>
      </c>
      <c r="E357" s="396" t="s">
        <v>627</v>
      </c>
      <c r="F357" s="380">
        <v>3000010143</v>
      </c>
      <c r="G357" s="188"/>
      <c r="H357" s="13"/>
      <c r="I357" s="185"/>
      <c r="J357" s="185"/>
      <c r="K357" s="185"/>
      <c r="L357" s="185"/>
      <c r="M357" s="185"/>
      <c r="N357" s="185"/>
      <c r="O357" s="185"/>
      <c r="P357" s="185"/>
      <c r="Q357" s="185"/>
      <c r="R357" s="185"/>
      <c r="S357" s="14"/>
      <c r="T357" s="179"/>
      <c r="U357" s="188"/>
      <c r="V357" s="13"/>
      <c r="W357" s="185"/>
      <c r="X357" s="185"/>
      <c r="Y357" s="185"/>
      <c r="Z357" s="185"/>
      <c r="AA357" s="185"/>
      <c r="AB357" s="185"/>
      <c r="AC357" s="185"/>
      <c r="AD357" s="185"/>
      <c r="AE357" s="185"/>
      <c r="AF357" s="185"/>
      <c r="AG357" s="759"/>
      <c r="AH357" s="788"/>
      <c r="AI357" s="827"/>
      <c r="AJ357" s="810"/>
      <c r="AK357" s="758"/>
      <c r="AL357" s="758"/>
      <c r="AM357" s="758"/>
      <c r="AN357" s="758"/>
      <c r="AO357" s="758"/>
      <c r="AP357" s="758"/>
      <c r="AQ357" s="518"/>
      <c r="AR357" s="518"/>
      <c r="AS357" s="518"/>
      <c r="AT357" s="518"/>
      <c r="AU357" s="828"/>
      <c r="AV357" s="828"/>
      <c r="AW357" s="828"/>
      <c r="AX357" s="518">
        <f>SUM(AI357,AJ357,AK357,AL357,AM357,AN357,AO357,AP357,AQ357,AR357,AS357,AT357)</f>
        <v>0</v>
      </c>
      <c r="AY357" s="788"/>
      <c r="AZ357" s="827"/>
      <c r="BA357" s="810"/>
      <c r="BB357" s="758"/>
      <c r="BC357" s="758"/>
      <c r="BD357" s="758"/>
      <c r="BE357" s="758"/>
      <c r="BF357" s="758"/>
      <c r="BG357" s="758"/>
      <c r="BH357" s="758"/>
      <c r="BI357" s="758"/>
      <c r="BJ357" s="758"/>
      <c r="BK357" s="758"/>
      <c r="BL357" s="759"/>
      <c r="BN357" s="758"/>
      <c r="BO357" s="758"/>
      <c r="BP357" s="758"/>
      <c r="BQ357" s="758"/>
      <c r="BR357" s="758"/>
      <c r="BS357" s="758"/>
      <c r="BT357" s="758"/>
      <c r="BU357" s="758"/>
      <c r="BV357" s="758"/>
      <c r="BW357" s="758"/>
      <c r="BX357" s="758"/>
      <c r="BY357" s="758"/>
      <c r="BZ357" s="791"/>
      <c r="CB357" s="758"/>
      <c r="CC357" s="758"/>
      <c r="CD357" s="758"/>
      <c r="CE357" s="758"/>
      <c r="CF357" s="758"/>
      <c r="CG357" s="758"/>
      <c r="CH357" s="758"/>
      <c r="CI357" s="758"/>
      <c r="CJ357" s="758"/>
      <c r="CK357" s="758"/>
      <c r="CL357" s="758"/>
      <c r="CM357" s="758"/>
      <c r="CN357" s="791"/>
      <c r="CP357" s="653"/>
      <c r="CQ357" s="653"/>
      <c r="CR357" s="524"/>
      <c r="CS357" s="653">
        <v>1545455</v>
      </c>
      <c r="CT357" s="524">
        <v>5000000</v>
      </c>
      <c r="CU357" s="653"/>
      <c r="CV357" s="524">
        <v>10000000</v>
      </c>
      <c r="CW357" s="653"/>
      <c r="CX357" s="524">
        <v>10000000</v>
      </c>
      <c r="CY357" s="653"/>
      <c r="CZ357" s="524">
        <v>10000000</v>
      </c>
      <c r="DA357" s="653"/>
      <c r="DB357" s="524">
        <v>5000000</v>
      </c>
      <c r="DC357" s="653">
        <v>0</v>
      </c>
      <c r="DD357" s="524">
        <v>5000000</v>
      </c>
      <c r="DE357" s="758"/>
      <c r="DF357" s="524">
        <v>5000000</v>
      </c>
      <c r="DG357" s="757">
        <v>5000000</v>
      </c>
      <c r="DH357" s="758"/>
      <c r="DI357" s="524">
        <v>5000000</v>
      </c>
      <c r="DJ357" s="757">
        <v>5000000</v>
      </c>
      <c r="DK357" s="758"/>
      <c r="DL357" s="524">
        <v>5000000</v>
      </c>
      <c r="DM357" s="757">
        <v>5000000</v>
      </c>
      <c r="DN357" s="758"/>
      <c r="DO357" s="524">
        <v>5000000</v>
      </c>
      <c r="DP357" s="757">
        <v>5000000</v>
      </c>
      <c r="DQ357" s="493">
        <f t="shared" si="194"/>
        <v>21545455</v>
      </c>
      <c r="DR357" s="479">
        <f t="shared" si="195"/>
        <v>21545455</v>
      </c>
      <c r="DS357" s="1019">
        <v>5000000</v>
      </c>
      <c r="DT357" s="1019">
        <v>5000000</v>
      </c>
      <c r="DU357" s="1019">
        <v>5000000</v>
      </c>
      <c r="DV357" s="1019">
        <v>5000000</v>
      </c>
      <c r="DW357" s="1019">
        <v>5000000</v>
      </c>
      <c r="DX357" s="1019">
        <v>5000000</v>
      </c>
      <c r="DY357" s="1019">
        <v>5000000</v>
      </c>
      <c r="DZ357" s="1019">
        <v>5000000</v>
      </c>
      <c r="EA357" s="1019">
        <v>5000000</v>
      </c>
      <c r="EB357" s="1019">
        <v>5000000</v>
      </c>
      <c r="EC357" s="1019">
        <v>5000000</v>
      </c>
      <c r="ED357" s="1019">
        <v>5000000</v>
      </c>
      <c r="EE357" s="1119">
        <f t="shared" si="142"/>
        <v>60000000</v>
      </c>
      <c r="EF357" s="443">
        <v>2495610000</v>
      </c>
      <c r="EG357" s="443">
        <v>3695258800</v>
      </c>
      <c r="EH357" s="443">
        <v>5500000000</v>
      </c>
      <c r="EI357" s="443">
        <v>5500000000</v>
      </c>
    </row>
    <row r="358" spans="1:140" outlineLevel="2">
      <c r="B358" s="378"/>
      <c r="C358" s="370" t="s">
        <v>358</v>
      </c>
      <c r="D358" s="370" t="s">
        <v>108</v>
      </c>
      <c r="E358" s="396" t="s">
        <v>545</v>
      </c>
      <c r="F358" s="380" t="s">
        <v>546</v>
      </c>
      <c r="G358" s="188"/>
      <c r="H358" s="13"/>
      <c r="I358" s="185"/>
      <c r="J358" s="185"/>
      <c r="K358" s="185"/>
      <c r="L358" s="185"/>
      <c r="M358" s="185"/>
      <c r="N358" s="185"/>
      <c r="O358" s="185"/>
      <c r="P358" s="185"/>
      <c r="Q358" s="185"/>
      <c r="R358" s="185"/>
      <c r="S358" s="14"/>
      <c r="T358" s="179"/>
      <c r="U358" s="188"/>
      <c r="V358" s="13"/>
      <c r="W358" s="185"/>
      <c r="X358" s="185"/>
      <c r="Y358" s="185"/>
      <c r="Z358" s="185"/>
      <c r="AA358" s="185"/>
      <c r="AB358" s="185"/>
      <c r="AC358" s="185"/>
      <c r="AD358" s="185"/>
      <c r="AE358" s="185"/>
      <c r="AF358" s="185"/>
      <c r="AG358" s="759"/>
      <c r="AH358" s="788"/>
      <c r="AI358" s="827"/>
      <c r="AJ358" s="810"/>
      <c r="AK358" s="758"/>
      <c r="AL358" s="758"/>
      <c r="AM358" s="758"/>
      <c r="AN358" s="758"/>
      <c r="AO358" s="758"/>
      <c r="AP358" s="758"/>
      <c r="AQ358" s="518"/>
      <c r="AR358" s="518"/>
      <c r="AS358" s="518"/>
      <c r="AT358" s="518"/>
      <c r="AU358" s="828"/>
      <c r="AV358" s="828"/>
      <c r="AW358" s="828"/>
      <c r="AX358" s="518"/>
      <c r="AY358" s="788"/>
      <c r="AZ358" s="827"/>
      <c r="BA358" s="810"/>
      <c r="BB358" s="758"/>
      <c r="BC358" s="758"/>
      <c r="BD358" s="758"/>
      <c r="BE358" s="758"/>
      <c r="BF358" s="758"/>
      <c r="BG358" s="758"/>
      <c r="BH358" s="758"/>
      <c r="BI358" s="758"/>
      <c r="BJ358" s="758"/>
      <c r="BK358" s="758"/>
      <c r="BL358" s="759"/>
      <c r="BN358" s="758"/>
      <c r="BO358" s="758"/>
      <c r="BP358" s="758"/>
      <c r="BQ358" s="758"/>
      <c r="BR358" s="758"/>
      <c r="BS358" s="758"/>
      <c r="BT358" s="758"/>
      <c r="BU358" s="758"/>
      <c r="BV358" s="758"/>
      <c r="BW358" s="758"/>
      <c r="BX358" s="758"/>
      <c r="BY358" s="758"/>
      <c r="BZ358" s="791"/>
      <c r="CB358" s="758"/>
      <c r="CC358" s="758"/>
      <c r="CD358" s="758"/>
      <c r="CE358" s="758"/>
      <c r="CF358" s="758"/>
      <c r="CG358" s="758"/>
      <c r="CH358" s="758"/>
      <c r="CI358" s="758"/>
      <c r="CJ358" s="758"/>
      <c r="CK358" s="758"/>
      <c r="CL358" s="758"/>
      <c r="CM358" s="758"/>
      <c r="CN358" s="791"/>
      <c r="CP358" s="653"/>
      <c r="CQ358" s="653"/>
      <c r="CR358" s="524"/>
      <c r="CS358" s="653"/>
      <c r="CT358" s="524"/>
      <c r="CU358" s="653"/>
      <c r="CV358" s="524"/>
      <c r="CW358" s="653"/>
      <c r="CX358" s="524"/>
      <c r="CY358" s="653"/>
      <c r="CZ358" s="524"/>
      <c r="DA358" s="653"/>
      <c r="DB358" s="524"/>
      <c r="DC358" s="653">
        <v>31300000</v>
      </c>
      <c r="DD358" s="524"/>
      <c r="DE358" s="758"/>
      <c r="DF358" s="524"/>
      <c r="DG358" s="757"/>
      <c r="DH358" s="758"/>
      <c r="DI358" s="524"/>
      <c r="DJ358" s="757"/>
      <c r="DK358" s="758"/>
      <c r="DL358" s="524"/>
      <c r="DM358" s="757"/>
      <c r="DN358" s="758"/>
      <c r="DO358" s="524"/>
      <c r="DP358" s="757"/>
      <c r="DQ358" s="493">
        <f t="shared" si="194"/>
        <v>31300000</v>
      </c>
      <c r="DR358" s="479">
        <f t="shared" si="195"/>
        <v>31300000</v>
      </c>
      <c r="DS358" s="1019">
        <v>40000000</v>
      </c>
      <c r="DT358" s="1019">
        <v>40000000</v>
      </c>
      <c r="DU358" s="1019">
        <v>50000000</v>
      </c>
      <c r="DV358" s="1019">
        <v>50000000</v>
      </c>
      <c r="DW358" s="1019">
        <v>40000000</v>
      </c>
      <c r="DX358" s="1019">
        <v>40000000</v>
      </c>
      <c r="DY358" s="1019">
        <v>40000000</v>
      </c>
      <c r="DZ358" s="1019">
        <v>40000000</v>
      </c>
      <c r="EA358" s="1019">
        <v>40000000</v>
      </c>
      <c r="EB358" s="1019">
        <v>40000000</v>
      </c>
      <c r="EC358" s="1019">
        <v>40000000</v>
      </c>
      <c r="ED358" s="1019">
        <v>40000000</v>
      </c>
      <c r="EE358" s="1119">
        <f t="shared" si="142"/>
        <v>500000000</v>
      </c>
      <c r="EF358" s="443"/>
      <c r="EG358" s="443"/>
      <c r="EH358" s="443"/>
      <c r="EI358" s="443"/>
    </row>
    <row r="359" spans="1:140" outlineLevel="2">
      <c r="A359" s="367" t="s">
        <v>194</v>
      </c>
      <c r="B359" s="378"/>
      <c r="C359" s="370" t="s">
        <v>358</v>
      </c>
      <c r="D359" s="370" t="s">
        <v>108</v>
      </c>
      <c r="E359" s="396" t="s">
        <v>628</v>
      </c>
      <c r="F359" s="380">
        <v>8000000038</v>
      </c>
      <c r="G359" s="188"/>
      <c r="H359" s="13"/>
      <c r="I359" s="185"/>
      <c r="J359" s="185"/>
      <c r="K359" s="185"/>
      <c r="L359" s="185"/>
      <c r="M359" s="185"/>
      <c r="N359" s="185"/>
      <c r="O359" s="185"/>
      <c r="P359" s="185"/>
      <c r="Q359" s="185"/>
      <c r="R359" s="185"/>
      <c r="S359" s="14"/>
      <c r="T359" s="179"/>
      <c r="U359" s="188"/>
      <c r="V359" s="13"/>
      <c r="W359" s="185"/>
      <c r="X359" s="185"/>
      <c r="Y359" s="185"/>
      <c r="Z359" s="185"/>
      <c r="AA359" s="185"/>
      <c r="AB359" s="185"/>
      <c r="AC359" s="185"/>
      <c r="AD359" s="185"/>
      <c r="AE359" s="185"/>
      <c r="AF359" s="185"/>
      <c r="AG359" s="759"/>
      <c r="AH359" s="788"/>
      <c r="AI359" s="827"/>
      <c r="AJ359" s="810"/>
      <c r="AK359" s="758"/>
      <c r="AL359" s="758"/>
      <c r="AM359" s="758"/>
      <c r="AN359" s="758"/>
      <c r="AO359" s="758"/>
      <c r="AP359" s="758"/>
      <c r="AQ359" s="518"/>
      <c r="AR359" s="518"/>
      <c r="AS359" s="518"/>
      <c r="AT359" s="518"/>
      <c r="AU359" s="828"/>
      <c r="AV359" s="828"/>
      <c r="AW359" s="828"/>
      <c r="AX359" s="518">
        <f>SUM(AI359,AJ359,AK359,AL359,AM359,AN359,AO359,AP359,AQ359,AR359,AS359,AT359)</f>
        <v>0</v>
      </c>
      <c r="AY359" s="788"/>
      <c r="AZ359" s="827"/>
      <c r="BA359" s="810"/>
      <c r="BB359" s="758"/>
      <c r="BC359" s="758"/>
      <c r="BD359" s="758"/>
      <c r="BE359" s="758"/>
      <c r="BF359" s="758"/>
      <c r="BG359" s="758"/>
      <c r="BH359" s="758"/>
      <c r="BI359" s="758"/>
      <c r="BJ359" s="758"/>
      <c r="BK359" s="758"/>
      <c r="BL359" s="759"/>
      <c r="BN359" s="759">
        <f>50000000</f>
        <v>50000000</v>
      </c>
      <c r="BO359" s="759">
        <f>50000000</f>
        <v>50000000</v>
      </c>
      <c r="BP359" s="759">
        <f>50000000</f>
        <v>50000000</v>
      </c>
      <c r="BQ359" s="759">
        <f>50000000</f>
        <v>50000000</v>
      </c>
      <c r="BR359" s="758">
        <f>BQ359*0.85</f>
        <v>42500000</v>
      </c>
      <c r="BS359" s="759">
        <f t="shared" ref="BS359:BY359" si="198">50000000</f>
        <v>50000000</v>
      </c>
      <c r="BT359" s="759">
        <f t="shared" si="198"/>
        <v>50000000</v>
      </c>
      <c r="BU359" s="759">
        <f t="shared" si="198"/>
        <v>50000000</v>
      </c>
      <c r="BV359" s="759">
        <f t="shared" si="198"/>
        <v>50000000</v>
      </c>
      <c r="BW359" s="759">
        <f t="shared" si="198"/>
        <v>50000000</v>
      </c>
      <c r="BX359" s="759">
        <f t="shared" si="198"/>
        <v>50000000</v>
      </c>
      <c r="BY359" s="759">
        <f t="shared" si="198"/>
        <v>50000000</v>
      </c>
      <c r="BZ359" s="791">
        <v>592500000</v>
      </c>
      <c r="CB359" s="759">
        <f>50000000</f>
        <v>50000000</v>
      </c>
      <c r="CC359" s="759">
        <f>50000000</f>
        <v>50000000</v>
      </c>
      <c r="CD359" s="759">
        <f>50000000</f>
        <v>50000000</v>
      </c>
      <c r="CE359" s="759">
        <f>50000000</f>
        <v>50000000</v>
      </c>
      <c r="CF359" s="758">
        <f>CE359*0.85</f>
        <v>42500000</v>
      </c>
      <c r="CG359" s="759">
        <f t="shared" ref="CG359:CM359" si="199">50000000</f>
        <v>50000000</v>
      </c>
      <c r="CH359" s="759">
        <f t="shared" si="199"/>
        <v>50000000</v>
      </c>
      <c r="CI359" s="759">
        <f t="shared" si="199"/>
        <v>50000000</v>
      </c>
      <c r="CJ359" s="759">
        <f t="shared" si="199"/>
        <v>50000000</v>
      </c>
      <c r="CK359" s="759">
        <f t="shared" si="199"/>
        <v>50000000</v>
      </c>
      <c r="CL359" s="759">
        <f t="shared" si="199"/>
        <v>50000000</v>
      </c>
      <c r="CM359" s="759">
        <f t="shared" si="199"/>
        <v>50000000</v>
      </c>
      <c r="CN359" s="791">
        <v>592500000</v>
      </c>
      <c r="CP359" s="647"/>
      <c r="CQ359" s="647"/>
      <c r="CR359" s="518"/>
      <c r="CS359" s="647">
        <v>8600000</v>
      </c>
      <c r="CT359" s="518">
        <v>30000000</v>
      </c>
      <c r="CU359" s="647">
        <v>21100000</v>
      </c>
      <c r="CV359" s="518">
        <v>30000000</v>
      </c>
      <c r="CW359" s="647">
        <v>38700000</v>
      </c>
      <c r="CX359" s="518">
        <v>20000000</v>
      </c>
      <c r="CY359" s="647"/>
      <c r="CZ359" s="518">
        <v>30000000</v>
      </c>
      <c r="DA359" s="647">
        <v>4300000</v>
      </c>
      <c r="DB359" s="518">
        <v>30000000</v>
      </c>
      <c r="DC359" s="647">
        <v>0</v>
      </c>
      <c r="DD359" s="518">
        <v>30000000</v>
      </c>
      <c r="DE359" s="759"/>
      <c r="DF359" s="518">
        <v>30000000</v>
      </c>
      <c r="DG359" s="748">
        <v>30000000</v>
      </c>
      <c r="DH359" s="759"/>
      <c r="DI359" s="518">
        <v>30000000</v>
      </c>
      <c r="DJ359" s="748">
        <v>30000000</v>
      </c>
      <c r="DK359" s="759"/>
      <c r="DL359" s="518">
        <v>30000000</v>
      </c>
      <c r="DM359" s="748">
        <v>30000000</v>
      </c>
      <c r="DN359" s="759"/>
      <c r="DO359" s="518">
        <v>30000000</v>
      </c>
      <c r="DP359" s="748">
        <v>30000000</v>
      </c>
      <c r="DQ359" s="493">
        <f t="shared" si="194"/>
        <v>192700000</v>
      </c>
      <c r="DR359" s="479">
        <f t="shared" si="195"/>
        <v>192700000</v>
      </c>
      <c r="DS359" s="1163"/>
      <c r="DT359" s="1163"/>
      <c r="DU359" s="1163"/>
      <c r="DV359" s="1163"/>
      <c r="DW359" s="1163"/>
      <c r="DX359" s="1163"/>
      <c r="DY359" s="1163"/>
      <c r="DZ359" s="1163"/>
      <c r="EA359" s="1163"/>
      <c r="EB359" s="1163"/>
      <c r="EC359" s="1163"/>
      <c r="ED359" s="1163"/>
      <c r="EE359" s="1119">
        <f t="shared" si="142"/>
        <v>0</v>
      </c>
      <c r="EF359" s="443">
        <f>EE359*1.17</f>
        <v>0</v>
      </c>
      <c r="EG359" s="443">
        <f>EF359*1.08</f>
        <v>0</v>
      </c>
      <c r="EH359" s="443">
        <f>EG359*1.09</f>
        <v>0</v>
      </c>
      <c r="EI359" s="443">
        <f>EH359*1.09</f>
        <v>0</v>
      </c>
      <c r="EJ359" s="367">
        <v>8000000038</v>
      </c>
    </row>
    <row r="360" spans="1:140" outlineLevel="2">
      <c r="A360" s="367" t="s">
        <v>194</v>
      </c>
      <c r="B360" s="378"/>
      <c r="C360" s="370" t="s">
        <v>358</v>
      </c>
      <c r="D360" s="370" t="s">
        <v>108</v>
      </c>
      <c r="E360" s="396" t="s">
        <v>411</v>
      </c>
      <c r="F360" s="380">
        <v>8000000017</v>
      </c>
      <c r="G360" s="188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f>SUM(G360,H360,I360,J360,K360,L360,M360,N360,O360,P360,Q360,R360)</f>
        <v>0</v>
      </c>
      <c r="T360" s="179"/>
      <c r="U360" s="188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759">
        <f>SUM(U360,V360,W360,X360,Y360,Z360,AA360,AB360,AC360,AD360,AE360,AF360)</f>
        <v>0</v>
      </c>
      <c r="AH360" s="788"/>
      <c r="AI360" s="827"/>
      <c r="AJ360" s="810"/>
      <c r="AK360" s="758"/>
      <c r="AL360" s="758">
        <v>0</v>
      </c>
      <c r="AM360" s="758"/>
      <c r="AN360" s="758"/>
      <c r="AO360" s="758"/>
      <c r="AP360" s="758"/>
      <c r="AQ360" s="518">
        <v>0</v>
      </c>
      <c r="AR360" s="518"/>
      <c r="AS360" s="518"/>
      <c r="AT360" s="518"/>
      <c r="AU360" s="518">
        <f>BI360</f>
        <v>0</v>
      </c>
      <c r="AV360" s="518">
        <f>BJ360</f>
        <v>0</v>
      </c>
      <c r="AW360" s="518">
        <f>BK360</f>
        <v>0</v>
      </c>
      <c r="AX360" s="518">
        <f>SUM(AI360,AJ360,AK360,AL360,AM360,AN360,AO360,AP360,AQ360,AR360,AS360,AT360)</f>
        <v>0</v>
      </c>
      <c r="AY360" s="788"/>
      <c r="AZ360" s="827"/>
      <c r="BA360" s="810"/>
      <c r="BB360" s="758"/>
      <c r="BC360" s="758">
        <v>0</v>
      </c>
      <c r="BD360" s="758"/>
      <c r="BE360" s="758"/>
      <c r="BF360" s="758"/>
      <c r="BG360" s="518">
        <f>AP360</f>
        <v>0</v>
      </c>
      <c r="BH360" s="758"/>
      <c r="BI360" s="758"/>
      <c r="BJ360" s="758"/>
      <c r="BK360" s="758"/>
      <c r="BL360" s="759">
        <f>SUM(AZ360,BA360,BB360,BC360,BD360,BE360,BF360,BG360,BH360,BI360,BJ360,BK360)</f>
        <v>0</v>
      </c>
      <c r="BN360" s="758">
        <f>100000000</f>
        <v>100000000</v>
      </c>
      <c r="BO360" s="758">
        <f>100000000</f>
        <v>100000000</v>
      </c>
      <c r="BP360" s="758">
        <f>100000000</f>
        <v>100000000</v>
      </c>
      <c r="BQ360" s="758">
        <f>100000000</f>
        <v>100000000</v>
      </c>
      <c r="BR360" s="758">
        <f>BQ360*0.85</f>
        <v>85000000</v>
      </c>
      <c r="BS360" s="758">
        <f t="shared" ref="BS360:BY360" si="200">100000000</f>
        <v>100000000</v>
      </c>
      <c r="BT360" s="758">
        <f t="shared" si="200"/>
        <v>100000000</v>
      </c>
      <c r="BU360" s="758">
        <f t="shared" si="200"/>
        <v>100000000</v>
      </c>
      <c r="BV360" s="758">
        <f t="shared" si="200"/>
        <v>100000000</v>
      </c>
      <c r="BW360" s="758">
        <f t="shared" si="200"/>
        <v>100000000</v>
      </c>
      <c r="BX360" s="758">
        <f t="shared" si="200"/>
        <v>100000000</v>
      </c>
      <c r="BY360" s="758">
        <f t="shared" si="200"/>
        <v>100000000</v>
      </c>
      <c r="BZ360" s="791">
        <v>1185000000</v>
      </c>
      <c r="CB360" s="758">
        <f>100000000</f>
        <v>100000000</v>
      </c>
      <c r="CC360" s="758">
        <f>100000000</f>
        <v>100000000</v>
      </c>
      <c r="CD360" s="758">
        <f>100000000</f>
        <v>100000000</v>
      </c>
      <c r="CE360" s="758">
        <f>100000000</f>
        <v>100000000</v>
      </c>
      <c r="CF360" s="758">
        <f>CE360*0.85</f>
        <v>85000000</v>
      </c>
      <c r="CG360" s="758">
        <f t="shared" ref="CG360:CM360" si="201">100000000</f>
        <v>100000000</v>
      </c>
      <c r="CH360" s="758">
        <f t="shared" si="201"/>
        <v>100000000</v>
      </c>
      <c r="CI360" s="758">
        <f t="shared" si="201"/>
        <v>100000000</v>
      </c>
      <c r="CJ360" s="758">
        <f t="shared" si="201"/>
        <v>100000000</v>
      </c>
      <c r="CK360" s="758">
        <f t="shared" si="201"/>
        <v>100000000</v>
      </c>
      <c r="CL360" s="758">
        <f t="shared" si="201"/>
        <v>100000000</v>
      </c>
      <c r="CM360" s="758">
        <f t="shared" si="201"/>
        <v>100000000</v>
      </c>
      <c r="CN360" s="791">
        <v>1185000000</v>
      </c>
      <c r="CP360" s="653"/>
      <c r="CQ360" s="653"/>
      <c r="CR360" s="524">
        <v>40000000</v>
      </c>
      <c r="CS360" s="653">
        <v>22176000</v>
      </c>
      <c r="CT360" s="524">
        <v>50000000</v>
      </c>
      <c r="CU360" s="653">
        <v>1650000</v>
      </c>
      <c r="CV360" s="524">
        <v>50000000</v>
      </c>
      <c r="CW360" s="653">
        <v>42900000</v>
      </c>
      <c r="CX360" s="524">
        <v>20000000</v>
      </c>
      <c r="CY360" s="653">
        <v>25575000</v>
      </c>
      <c r="CZ360" s="524">
        <v>20000000</v>
      </c>
      <c r="DA360" s="653">
        <v>20625000</v>
      </c>
      <c r="DB360" s="524">
        <v>20000000</v>
      </c>
      <c r="DC360" s="653">
        <v>14850000</v>
      </c>
      <c r="DD360" s="524">
        <v>20000000</v>
      </c>
      <c r="DE360" s="758"/>
      <c r="DF360" s="524">
        <v>50000000</v>
      </c>
      <c r="DG360" s="757">
        <v>50000000</v>
      </c>
      <c r="DH360" s="758"/>
      <c r="DI360" s="524">
        <v>50000000</v>
      </c>
      <c r="DJ360" s="757">
        <v>50000000</v>
      </c>
      <c r="DK360" s="758"/>
      <c r="DL360" s="524">
        <v>50000000</v>
      </c>
      <c r="DM360" s="757">
        <v>50000000</v>
      </c>
      <c r="DN360" s="758"/>
      <c r="DO360" s="524">
        <v>50000000</v>
      </c>
      <c r="DP360" s="757">
        <v>50000000</v>
      </c>
      <c r="DQ360" s="493">
        <f t="shared" si="194"/>
        <v>327776000</v>
      </c>
      <c r="DR360" s="479">
        <f t="shared" si="195"/>
        <v>327776000</v>
      </c>
      <c r="DS360" s="1019">
        <v>20000000</v>
      </c>
      <c r="DT360" s="1019">
        <v>20000000</v>
      </c>
      <c r="DU360" s="1019">
        <v>20000000</v>
      </c>
      <c r="DV360" s="1019">
        <v>20000000</v>
      </c>
      <c r="DW360" s="1019">
        <v>20000000</v>
      </c>
      <c r="DX360" s="1019">
        <v>20000000</v>
      </c>
      <c r="DY360" s="1019">
        <v>20000000</v>
      </c>
      <c r="DZ360" s="1019">
        <v>20000000</v>
      </c>
      <c r="EA360" s="1019">
        <v>20000000</v>
      </c>
      <c r="EB360" s="1019">
        <v>20000000</v>
      </c>
      <c r="EC360" s="1019">
        <v>20000000</v>
      </c>
      <c r="ED360" s="1019">
        <v>20000000</v>
      </c>
      <c r="EE360" s="1119">
        <f t="shared" si="142"/>
        <v>240000000</v>
      </c>
      <c r="EF360" s="443">
        <f>EE360*1.17</f>
        <v>280800000</v>
      </c>
      <c r="EG360" s="443">
        <f>200000000*12</f>
        <v>2400000000</v>
      </c>
      <c r="EH360" s="443">
        <f>300000000*12</f>
        <v>3600000000</v>
      </c>
      <c r="EI360" s="443">
        <f>300000000*12</f>
        <v>3600000000</v>
      </c>
      <c r="EJ360" s="367">
        <v>8000000017</v>
      </c>
    </row>
    <row r="361" spans="1:140" outlineLevel="2">
      <c r="A361" s="367" t="s">
        <v>196</v>
      </c>
      <c r="B361" s="378"/>
      <c r="C361" s="370" t="s">
        <v>358</v>
      </c>
      <c r="D361" s="370" t="s">
        <v>108</v>
      </c>
      <c r="E361" s="396" t="s">
        <v>504</v>
      </c>
      <c r="F361" s="380">
        <v>3000003715</v>
      </c>
      <c r="G361" s="188"/>
      <c r="H361" s="13"/>
      <c r="I361" s="185"/>
      <c r="J361" s="185"/>
      <c r="K361" s="185"/>
      <c r="L361" s="185"/>
      <c r="M361" s="185"/>
      <c r="N361" s="185"/>
      <c r="O361" s="185"/>
      <c r="P361" s="185"/>
      <c r="Q361" s="185"/>
      <c r="R361" s="185"/>
      <c r="S361" s="14"/>
      <c r="T361" s="179"/>
      <c r="U361" s="188"/>
      <c r="V361" s="13"/>
      <c r="W361" s="185"/>
      <c r="X361" s="185"/>
      <c r="Y361" s="185"/>
      <c r="Z361" s="185"/>
      <c r="AA361" s="185"/>
      <c r="AB361" s="185"/>
      <c r="AC361" s="185"/>
      <c r="AD361" s="185"/>
      <c r="AE361" s="185"/>
      <c r="AF361" s="185"/>
      <c r="AG361" s="759"/>
      <c r="AH361" s="788"/>
      <c r="AI361" s="827"/>
      <c r="AJ361" s="810"/>
      <c r="AK361" s="758"/>
      <c r="AL361" s="758"/>
      <c r="AM361" s="758"/>
      <c r="AN361" s="758"/>
      <c r="AO361" s="758"/>
      <c r="AP361" s="758"/>
      <c r="AQ361" s="518"/>
      <c r="AR361" s="518"/>
      <c r="AS361" s="518"/>
      <c r="AT361" s="518"/>
      <c r="AU361" s="828"/>
      <c r="AV361" s="828"/>
      <c r="AW361" s="828"/>
      <c r="AX361" s="518">
        <f>SUM(AI361,AJ361,AK361,AL361,AM361,AN361,AO361,AP361,AQ361,AR361,AS361,AT361)</f>
        <v>0</v>
      </c>
      <c r="AY361" s="788"/>
      <c r="AZ361" s="827"/>
      <c r="BA361" s="810"/>
      <c r="BB361" s="758"/>
      <c r="BC361" s="758"/>
      <c r="BD361" s="758"/>
      <c r="BE361" s="758"/>
      <c r="BF361" s="758"/>
      <c r="BG361" s="758"/>
      <c r="BH361" s="758"/>
      <c r="BI361" s="758"/>
      <c r="BJ361" s="758"/>
      <c r="BK361" s="758"/>
      <c r="BL361" s="759"/>
      <c r="BN361" s="758"/>
      <c r="BO361" s="758"/>
      <c r="BP361" s="758"/>
      <c r="BQ361" s="758"/>
      <c r="BR361" s="758"/>
      <c r="BS361" s="758"/>
      <c r="BT361" s="758"/>
      <c r="BU361" s="758"/>
      <c r="BV361" s="758"/>
      <c r="BW361" s="758"/>
      <c r="BX361" s="758"/>
      <c r="BY361" s="758"/>
      <c r="BZ361" s="791"/>
      <c r="CB361" s="758"/>
      <c r="CC361" s="758"/>
      <c r="CD361" s="758"/>
      <c r="CE361" s="758"/>
      <c r="CF361" s="758"/>
      <c r="CG361" s="758"/>
      <c r="CH361" s="758"/>
      <c r="CI361" s="758"/>
      <c r="CJ361" s="758"/>
      <c r="CK361" s="758"/>
      <c r="CL361" s="758"/>
      <c r="CM361" s="758"/>
      <c r="CN361" s="791"/>
      <c r="CP361" s="653"/>
      <c r="CQ361" s="653"/>
      <c r="CR361" s="524"/>
      <c r="CS361" s="653">
        <v>4300000</v>
      </c>
      <c r="CT361" s="524">
        <v>20000000</v>
      </c>
      <c r="CU361" s="653">
        <v>12700000</v>
      </c>
      <c r="CV361" s="524">
        <v>20000000</v>
      </c>
      <c r="CW361" s="653">
        <v>4300000</v>
      </c>
      <c r="CX361" s="524">
        <v>15000000</v>
      </c>
      <c r="CY361" s="653">
        <v>4325000</v>
      </c>
      <c r="CZ361" s="524">
        <v>20000000</v>
      </c>
      <c r="DA361" s="653">
        <v>16900000</v>
      </c>
      <c r="DB361" s="524">
        <v>20000000</v>
      </c>
      <c r="DC361" s="653">
        <v>8500000</v>
      </c>
      <c r="DD361" s="524">
        <v>20000000</v>
      </c>
      <c r="DE361" s="758"/>
      <c r="DF361" s="524">
        <v>20000000</v>
      </c>
      <c r="DG361" s="757">
        <v>20000000</v>
      </c>
      <c r="DH361" s="758"/>
      <c r="DI361" s="524">
        <v>20000000</v>
      </c>
      <c r="DJ361" s="757">
        <v>20000000</v>
      </c>
      <c r="DK361" s="758"/>
      <c r="DL361" s="524">
        <v>20000000</v>
      </c>
      <c r="DM361" s="757">
        <v>20000000</v>
      </c>
      <c r="DN361" s="758"/>
      <c r="DO361" s="524">
        <v>20000000</v>
      </c>
      <c r="DP361" s="757">
        <v>20000000</v>
      </c>
      <c r="DQ361" s="493">
        <f t="shared" si="194"/>
        <v>131025000</v>
      </c>
      <c r="DR361" s="479">
        <f t="shared" si="195"/>
        <v>131025000</v>
      </c>
      <c r="DS361" s="1019">
        <v>25000000</v>
      </c>
      <c r="DT361" s="1019">
        <v>25000000</v>
      </c>
      <c r="DU361" s="1019">
        <v>25000000</v>
      </c>
      <c r="DV361" s="1019">
        <v>25000000</v>
      </c>
      <c r="DW361" s="1019">
        <v>25000000</v>
      </c>
      <c r="DX361" s="1019">
        <v>25000000</v>
      </c>
      <c r="DY361" s="1019">
        <v>25000000</v>
      </c>
      <c r="DZ361" s="1019">
        <v>25000000</v>
      </c>
      <c r="EA361" s="1019">
        <v>25000000</v>
      </c>
      <c r="EB361" s="1019">
        <v>25000000</v>
      </c>
      <c r="EC361" s="1019">
        <v>25000000</v>
      </c>
      <c r="ED361" s="1019">
        <v>25000000</v>
      </c>
      <c r="EE361" s="1119">
        <f t="shared" si="142"/>
        <v>300000000</v>
      </c>
      <c r="EF361" s="443">
        <v>2495610000</v>
      </c>
      <c r="EG361" s="443">
        <v>3695258800</v>
      </c>
      <c r="EH361" s="443">
        <v>5500000000</v>
      </c>
      <c r="EI361" s="443">
        <v>5500000000</v>
      </c>
    </row>
    <row r="362" spans="1:140" outlineLevel="2">
      <c r="A362" s="389"/>
      <c r="B362" s="378"/>
      <c r="C362" s="370" t="s">
        <v>358</v>
      </c>
      <c r="D362" s="370" t="s">
        <v>108</v>
      </c>
      <c r="E362" s="396" t="s">
        <v>418</v>
      </c>
      <c r="F362" s="380">
        <v>3000019455</v>
      </c>
      <c r="G362" s="188"/>
      <c r="H362" s="13"/>
      <c r="I362" s="185"/>
      <c r="J362" s="185"/>
      <c r="K362" s="185"/>
      <c r="L362" s="185"/>
      <c r="M362" s="185"/>
      <c r="N362" s="185"/>
      <c r="O362" s="185"/>
      <c r="P362" s="185"/>
      <c r="Q362" s="185"/>
      <c r="R362" s="185"/>
      <c r="S362" s="14"/>
      <c r="T362" s="179"/>
      <c r="U362" s="188"/>
      <c r="V362" s="13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759"/>
      <c r="AH362" s="788"/>
      <c r="AI362" s="827"/>
      <c r="AJ362" s="810"/>
      <c r="AK362" s="758"/>
      <c r="AL362" s="758"/>
      <c r="AM362" s="758"/>
      <c r="AN362" s="758"/>
      <c r="AO362" s="758"/>
      <c r="AP362" s="758"/>
      <c r="AQ362" s="518"/>
      <c r="AR362" s="518"/>
      <c r="AS362" s="518"/>
      <c r="AT362" s="518"/>
      <c r="AU362" s="828"/>
      <c r="AV362" s="828"/>
      <c r="AW362" s="828"/>
      <c r="AX362" s="518"/>
      <c r="AY362" s="788"/>
      <c r="AZ362" s="827"/>
      <c r="BA362" s="810"/>
      <c r="BB362" s="758"/>
      <c r="BC362" s="758"/>
      <c r="BD362" s="758"/>
      <c r="BE362" s="758"/>
      <c r="BF362" s="758"/>
      <c r="BG362" s="758"/>
      <c r="BH362" s="758"/>
      <c r="BI362" s="758"/>
      <c r="BJ362" s="758"/>
      <c r="BK362" s="758"/>
      <c r="BL362" s="759"/>
      <c r="BN362" s="758"/>
      <c r="BO362" s="758"/>
      <c r="BP362" s="758"/>
      <c r="BQ362" s="758"/>
      <c r="BR362" s="758"/>
      <c r="BS362" s="758"/>
      <c r="BT362" s="758"/>
      <c r="BU362" s="758"/>
      <c r="BV362" s="758"/>
      <c r="BW362" s="758"/>
      <c r="BX362" s="758"/>
      <c r="BY362" s="758"/>
      <c r="BZ362" s="791"/>
      <c r="CB362" s="758"/>
      <c r="CC362" s="758"/>
      <c r="CD362" s="758"/>
      <c r="CE362" s="758"/>
      <c r="CF362" s="758"/>
      <c r="CG362" s="758"/>
      <c r="CH362" s="758"/>
      <c r="CI362" s="758"/>
      <c r="CJ362" s="758"/>
      <c r="CK362" s="758"/>
      <c r="CL362" s="758"/>
      <c r="CM362" s="758"/>
      <c r="CN362" s="791"/>
      <c r="CP362" s="653"/>
      <c r="CQ362" s="653"/>
      <c r="CR362" s="524"/>
      <c r="CS362" s="653">
        <v>4250000</v>
      </c>
      <c r="CT362" s="524"/>
      <c r="CU362" s="653"/>
      <c r="CV362" s="524"/>
      <c r="CW362" s="653"/>
      <c r="CX362" s="524"/>
      <c r="CY362" s="653"/>
      <c r="CZ362" s="524"/>
      <c r="DA362" s="653"/>
      <c r="DB362" s="524"/>
      <c r="DC362" s="653">
        <v>0</v>
      </c>
      <c r="DD362" s="524"/>
      <c r="DE362" s="758"/>
      <c r="DF362" s="524"/>
      <c r="DG362" s="757"/>
      <c r="DH362" s="758"/>
      <c r="DI362" s="524"/>
      <c r="DJ362" s="757"/>
      <c r="DK362" s="758"/>
      <c r="DL362" s="524"/>
      <c r="DM362" s="757"/>
      <c r="DN362" s="758"/>
      <c r="DO362" s="524"/>
      <c r="DP362" s="757"/>
      <c r="DQ362" s="493">
        <f t="shared" si="194"/>
        <v>4250000</v>
      </c>
      <c r="DR362" s="479">
        <f t="shared" si="195"/>
        <v>4250000</v>
      </c>
      <c r="DS362" s="1019"/>
      <c r="DT362" s="1019"/>
      <c r="DU362" s="1019"/>
      <c r="DV362" s="1019"/>
      <c r="DW362" s="1019"/>
      <c r="DX362" s="1019"/>
      <c r="DY362" s="1019"/>
      <c r="DZ362" s="1019"/>
      <c r="EA362" s="1019"/>
      <c r="EB362" s="1019"/>
      <c r="EC362" s="1019"/>
      <c r="ED362" s="1019"/>
      <c r="EE362" s="1119">
        <f t="shared" ref="EE362:EE408" si="202">SUM(DS362,DT362,DU362,DV362,DW362,DX362,DY362,DZ362,EA362,EB362,EC362,ED362)</f>
        <v>0</v>
      </c>
      <c r="EF362" s="443"/>
      <c r="EG362" s="443"/>
      <c r="EH362" s="443"/>
      <c r="EI362" s="443"/>
    </row>
    <row r="363" spans="1:140" outlineLevel="2">
      <c r="A363" s="367" t="s">
        <v>196</v>
      </c>
      <c r="B363" s="378"/>
      <c r="C363" s="370" t="s">
        <v>358</v>
      </c>
      <c r="D363" s="370" t="s">
        <v>108</v>
      </c>
      <c r="E363" s="396" t="s">
        <v>629</v>
      </c>
      <c r="F363" s="380">
        <v>3000003865</v>
      </c>
      <c r="G363" s="188"/>
      <c r="H363" s="13"/>
      <c r="I363" s="185"/>
      <c r="J363" s="185"/>
      <c r="K363" s="185"/>
      <c r="L363" s="185"/>
      <c r="M363" s="185"/>
      <c r="N363" s="185"/>
      <c r="O363" s="185"/>
      <c r="P363" s="185"/>
      <c r="Q363" s="185"/>
      <c r="R363" s="185"/>
      <c r="S363" s="14"/>
      <c r="T363" s="179"/>
      <c r="U363" s="188"/>
      <c r="V363" s="13"/>
      <c r="W363" s="185"/>
      <c r="X363" s="185"/>
      <c r="Y363" s="185"/>
      <c r="Z363" s="185"/>
      <c r="AA363" s="185"/>
      <c r="AB363" s="185"/>
      <c r="AC363" s="185"/>
      <c r="AD363" s="185"/>
      <c r="AE363" s="185"/>
      <c r="AF363" s="185"/>
      <c r="AG363" s="759"/>
      <c r="AH363" s="788"/>
      <c r="AI363" s="827"/>
      <c r="AJ363" s="810"/>
      <c r="AK363" s="758"/>
      <c r="AL363" s="758"/>
      <c r="AM363" s="758"/>
      <c r="AN363" s="758"/>
      <c r="AO363" s="758"/>
      <c r="AP363" s="758"/>
      <c r="AQ363" s="518"/>
      <c r="AR363" s="518"/>
      <c r="AS363" s="518"/>
      <c r="AT363" s="518"/>
      <c r="AU363" s="828"/>
      <c r="AV363" s="828"/>
      <c r="AW363" s="828"/>
      <c r="AX363" s="518">
        <f>SUM(AI363,AJ363,AK363,AL363,AM363,AN363,AO363,AP363,AQ363,AR363,AS363,AT363)</f>
        <v>0</v>
      </c>
      <c r="AY363" s="788"/>
      <c r="AZ363" s="827"/>
      <c r="BA363" s="810"/>
      <c r="BB363" s="758"/>
      <c r="BC363" s="758"/>
      <c r="BD363" s="758"/>
      <c r="BE363" s="758"/>
      <c r="BF363" s="758"/>
      <c r="BG363" s="758"/>
      <c r="BH363" s="758"/>
      <c r="BI363" s="758"/>
      <c r="BJ363" s="758"/>
      <c r="BK363" s="758"/>
      <c r="BL363" s="759"/>
      <c r="BN363" s="758"/>
      <c r="BO363" s="758"/>
      <c r="BP363" s="758"/>
      <c r="BQ363" s="758"/>
      <c r="BR363" s="758"/>
      <c r="BS363" s="758"/>
      <c r="BT363" s="758"/>
      <c r="BU363" s="758"/>
      <c r="BV363" s="758"/>
      <c r="BW363" s="758"/>
      <c r="BX363" s="758"/>
      <c r="BY363" s="758"/>
      <c r="BZ363" s="791"/>
      <c r="CB363" s="758"/>
      <c r="CC363" s="758"/>
      <c r="CD363" s="758"/>
      <c r="CE363" s="758"/>
      <c r="CF363" s="758"/>
      <c r="CG363" s="758"/>
      <c r="CH363" s="758"/>
      <c r="CI363" s="758"/>
      <c r="CJ363" s="758"/>
      <c r="CK363" s="758"/>
      <c r="CL363" s="758"/>
      <c r="CM363" s="758"/>
      <c r="CN363" s="791"/>
      <c r="CP363" s="653"/>
      <c r="CQ363" s="653"/>
      <c r="CR363" s="524"/>
      <c r="CS363" s="653">
        <v>1400000</v>
      </c>
      <c r="CT363" s="524">
        <v>5000000</v>
      </c>
      <c r="CU363" s="653"/>
      <c r="CV363" s="524">
        <v>15000000</v>
      </c>
      <c r="CW363" s="653"/>
      <c r="CX363" s="524">
        <v>5000000</v>
      </c>
      <c r="CY363" s="653"/>
      <c r="CZ363" s="524">
        <v>10000000</v>
      </c>
      <c r="DA363" s="653"/>
      <c r="DB363" s="524">
        <v>10000000</v>
      </c>
      <c r="DC363" s="653">
        <v>0</v>
      </c>
      <c r="DD363" s="524">
        <v>10000000</v>
      </c>
      <c r="DE363" s="758"/>
      <c r="DF363" s="524">
        <v>10000000</v>
      </c>
      <c r="DG363" s="757">
        <v>10000000</v>
      </c>
      <c r="DH363" s="758"/>
      <c r="DI363" s="524">
        <v>10000000</v>
      </c>
      <c r="DJ363" s="757">
        <v>10000000</v>
      </c>
      <c r="DK363" s="758"/>
      <c r="DL363" s="524">
        <v>10000000</v>
      </c>
      <c r="DM363" s="757">
        <v>10000000</v>
      </c>
      <c r="DN363" s="758"/>
      <c r="DO363" s="524">
        <v>10000000</v>
      </c>
      <c r="DP363" s="757">
        <v>10000000</v>
      </c>
      <c r="DQ363" s="493">
        <f t="shared" si="194"/>
        <v>41400000</v>
      </c>
      <c r="DR363" s="479">
        <f t="shared" si="195"/>
        <v>41400000</v>
      </c>
      <c r="DS363" s="1019"/>
      <c r="DT363" s="1019"/>
      <c r="DU363" s="1019"/>
      <c r="DV363" s="1019"/>
      <c r="DW363" s="1019"/>
      <c r="DX363" s="1019"/>
      <c r="DY363" s="1019"/>
      <c r="DZ363" s="1019"/>
      <c r="EA363" s="1019"/>
      <c r="EB363" s="1019"/>
      <c r="EC363" s="1019"/>
      <c r="ED363" s="1019"/>
      <c r="EE363" s="1119">
        <f t="shared" si="202"/>
        <v>0</v>
      </c>
      <c r="EF363" s="443">
        <v>2495610000</v>
      </c>
      <c r="EG363" s="443">
        <v>3695258800</v>
      </c>
      <c r="EH363" s="443">
        <v>5500000000</v>
      </c>
      <c r="EI363" s="443">
        <v>5500000000</v>
      </c>
    </row>
    <row r="364" spans="1:140" outlineLevel="2">
      <c r="B364" s="378"/>
      <c r="C364" s="370" t="s">
        <v>358</v>
      </c>
      <c r="D364" s="370" t="s">
        <v>108</v>
      </c>
      <c r="E364" s="396" t="s">
        <v>630</v>
      </c>
      <c r="F364" s="380" t="s">
        <v>631</v>
      </c>
      <c r="G364" s="188"/>
      <c r="H364" s="13"/>
      <c r="I364" s="185"/>
      <c r="J364" s="185"/>
      <c r="K364" s="185"/>
      <c r="L364" s="185"/>
      <c r="M364" s="185"/>
      <c r="N364" s="185"/>
      <c r="O364" s="185"/>
      <c r="P364" s="185"/>
      <c r="Q364" s="185"/>
      <c r="R364" s="185"/>
      <c r="S364" s="14"/>
      <c r="T364" s="179"/>
      <c r="U364" s="188"/>
      <c r="V364" s="13"/>
      <c r="W364" s="185"/>
      <c r="X364" s="185"/>
      <c r="Y364" s="185"/>
      <c r="Z364" s="185"/>
      <c r="AA364" s="185"/>
      <c r="AB364" s="185"/>
      <c r="AC364" s="185"/>
      <c r="AD364" s="185"/>
      <c r="AE364" s="185"/>
      <c r="AF364" s="185"/>
      <c r="AG364" s="759"/>
      <c r="AH364" s="788"/>
      <c r="AI364" s="827"/>
      <c r="AJ364" s="810"/>
      <c r="AK364" s="758"/>
      <c r="AL364" s="758"/>
      <c r="AM364" s="758"/>
      <c r="AN364" s="758"/>
      <c r="AO364" s="758"/>
      <c r="AP364" s="758"/>
      <c r="AQ364" s="518"/>
      <c r="AR364" s="518"/>
      <c r="AS364" s="518"/>
      <c r="AT364" s="518"/>
      <c r="AU364" s="828"/>
      <c r="AV364" s="828"/>
      <c r="AW364" s="828"/>
      <c r="AX364" s="518"/>
      <c r="AY364" s="788"/>
      <c r="AZ364" s="827"/>
      <c r="BA364" s="810"/>
      <c r="BB364" s="758"/>
      <c r="BC364" s="758"/>
      <c r="BD364" s="758"/>
      <c r="BE364" s="758"/>
      <c r="BF364" s="758"/>
      <c r="BG364" s="758"/>
      <c r="BH364" s="758"/>
      <c r="BI364" s="758"/>
      <c r="BJ364" s="758"/>
      <c r="BK364" s="758"/>
      <c r="BL364" s="759"/>
      <c r="BN364" s="758"/>
      <c r="BO364" s="758"/>
      <c r="BP364" s="758"/>
      <c r="BQ364" s="758"/>
      <c r="BR364" s="758"/>
      <c r="BS364" s="758"/>
      <c r="BT364" s="758"/>
      <c r="BU364" s="758"/>
      <c r="BV364" s="758"/>
      <c r="BW364" s="758"/>
      <c r="BX364" s="758"/>
      <c r="BY364" s="758"/>
      <c r="BZ364" s="791"/>
      <c r="CB364" s="758"/>
      <c r="CC364" s="758"/>
      <c r="CD364" s="758"/>
      <c r="CE364" s="758"/>
      <c r="CF364" s="758"/>
      <c r="CG364" s="758"/>
      <c r="CH364" s="758"/>
      <c r="CI364" s="758"/>
      <c r="CJ364" s="758"/>
      <c r="CK364" s="758"/>
      <c r="CL364" s="758"/>
      <c r="CM364" s="758"/>
      <c r="CN364" s="791"/>
      <c r="CP364" s="653"/>
      <c r="CQ364" s="653"/>
      <c r="CR364" s="524"/>
      <c r="CS364" s="653"/>
      <c r="CT364" s="524"/>
      <c r="CU364" s="653"/>
      <c r="CV364" s="524"/>
      <c r="CW364" s="653"/>
      <c r="CX364" s="524"/>
      <c r="CY364" s="653"/>
      <c r="CZ364" s="524"/>
      <c r="DA364" s="653"/>
      <c r="DB364" s="524"/>
      <c r="DC364" s="653">
        <v>10500000</v>
      </c>
      <c r="DD364" s="524"/>
      <c r="DE364" s="758"/>
      <c r="DF364" s="524"/>
      <c r="DG364" s="757"/>
      <c r="DH364" s="758"/>
      <c r="DI364" s="524"/>
      <c r="DJ364" s="757"/>
      <c r="DK364" s="758"/>
      <c r="DL364" s="524"/>
      <c r="DM364" s="757"/>
      <c r="DN364" s="758"/>
      <c r="DO364" s="524"/>
      <c r="DP364" s="757"/>
      <c r="DQ364" s="493">
        <f t="shared" si="194"/>
        <v>10500000</v>
      </c>
      <c r="DR364" s="479">
        <f t="shared" si="195"/>
        <v>10500000</v>
      </c>
      <c r="DS364" s="1019">
        <v>10000000</v>
      </c>
      <c r="DT364" s="1019">
        <v>10000000</v>
      </c>
      <c r="DU364" s="1019">
        <v>10000000</v>
      </c>
      <c r="DV364" s="1019">
        <v>10000000</v>
      </c>
      <c r="DW364" s="1019">
        <v>10000000</v>
      </c>
      <c r="DX364" s="1019">
        <v>10000000</v>
      </c>
      <c r="DY364" s="1019">
        <v>10000000</v>
      </c>
      <c r="DZ364" s="1019">
        <v>10000000</v>
      </c>
      <c r="EA364" s="1019">
        <v>10000000</v>
      </c>
      <c r="EB364" s="1019">
        <v>10000000</v>
      </c>
      <c r="EC364" s="1019">
        <v>10000000</v>
      </c>
      <c r="ED364" s="1019">
        <v>10000000</v>
      </c>
      <c r="EE364" s="1119">
        <f t="shared" si="202"/>
        <v>120000000</v>
      </c>
      <c r="EF364" s="443"/>
      <c r="EG364" s="443"/>
      <c r="EH364" s="443"/>
      <c r="EI364" s="443"/>
    </row>
    <row r="365" spans="1:140" outlineLevel="2">
      <c r="B365" s="378"/>
      <c r="C365" s="370" t="s">
        <v>358</v>
      </c>
      <c r="D365" s="370" t="s">
        <v>108</v>
      </c>
      <c r="E365" s="396" t="s">
        <v>171</v>
      </c>
      <c r="F365" s="380" t="s">
        <v>632</v>
      </c>
      <c r="G365" s="188"/>
      <c r="H365" s="13"/>
      <c r="I365" s="185"/>
      <c r="J365" s="185"/>
      <c r="K365" s="185"/>
      <c r="L365" s="185"/>
      <c r="M365" s="185"/>
      <c r="N365" s="185"/>
      <c r="O365" s="185"/>
      <c r="P365" s="185"/>
      <c r="Q365" s="185"/>
      <c r="R365" s="185"/>
      <c r="S365" s="14"/>
      <c r="T365" s="179"/>
      <c r="U365" s="188"/>
      <c r="V365" s="13"/>
      <c r="W365" s="185"/>
      <c r="X365" s="185"/>
      <c r="Y365" s="185"/>
      <c r="Z365" s="185"/>
      <c r="AA365" s="185"/>
      <c r="AB365" s="185"/>
      <c r="AC365" s="185"/>
      <c r="AD365" s="185"/>
      <c r="AE365" s="185"/>
      <c r="AF365" s="185"/>
      <c r="AG365" s="759"/>
      <c r="AH365" s="788"/>
      <c r="AI365" s="827"/>
      <c r="AJ365" s="810"/>
      <c r="AK365" s="758"/>
      <c r="AL365" s="758"/>
      <c r="AM365" s="758"/>
      <c r="AN365" s="758"/>
      <c r="AO365" s="758"/>
      <c r="AP365" s="758"/>
      <c r="AQ365" s="518"/>
      <c r="AR365" s="518"/>
      <c r="AS365" s="518"/>
      <c r="AT365" s="518"/>
      <c r="AU365" s="828"/>
      <c r="AV365" s="828"/>
      <c r="AW365" s="828"/>
      <c r="AX365" s="518"/>
      <c r="AY365" s="788"/>
      <c r="AZ365" s="827"/>
      <c r="BA365" s="810"/>
      <c r="BB365" s="758"/>
      <c r="BC365" s="758"/>
      <c r="BD365" s="758"/>
      <c r="BE365" s="758"/>
      <c r="BF365" s="758"/>
      <c r="BG365" s="758"/>
      <c r="BH365" s="758"/>
      <c r="BI365" s="758"/>
      <c r="BJ365" s="758"/>
      <c r="BK365" s="758"/>
      <c r="BL365" s="759"/>
      <c r="BN365" s="758"/>
      <c r="BO365" s="758"/>
      <c r="BP365" s="758"/>
      <c r="BQ365" s="758"/>
      <c r="BR365" s="758"/>
      <c r="BS365" s="758"/>
      <c r="BT365" s="758"/>
      <c r="BU365" s="758"/>
      <c r="BV365" s="758"/>
      <c r="BW365" s="758"/>
      <c r="BX365" s="758"/>
      <c r="BY365" s="758"/>
      <c r="BZ365" s="791"/>
      <c r="CB365" s="758"/>
      <c r="CC365" s="758"/>
      <c r="CD365" s="758"/>
      <c r="CE365" s="758"/>
      <c r="CF365" s="758"/>
      <c r="CG365" s="758"/>
      <c r="CH365" s="758"/>
      <c r="CI365" s="758"/>
      <c r="CJ365" s="758"/>
      <c r="CK365" s="758"/>
      <c r="CL365" s="758"/>
      <c r="CM365" s="758"/>
      <c r="CN365" s="791"/>
      <c r="CP365" s="653"/>
      <c r="CQ365" s="653"/>
      <c r="CR365" s="524"/>
      <c r="CS365" s="653"/>
      <c r="CT365" s="524"/>
      <c r="CU365" s="653"/>
      <c r="CV365" s="524"/>
      <c r="CW365" s="653"/>
      <c r="CX365" s="524"/>
      <c r="CY365" s="653"/>
      <c r="CZ365" s="524"/>
      <c r="DA365" s="653"/>
      <c r="DB365" s="524"/>
      <c r="DC365" s="653">
        <v>16000000</v>
      </c>
      <c r="DD365" s="524"/>
      <c r="DE365" s="758"/>
      <c r="DF365" s="524"/>
      <c r="DG365" s="757"/>
      <c r="DH365" s="758"/>
      <c r="DI365" s="524"/>
      <c r="DJ365" s="757"/>
      <c r="DK365" s="758"/>
      <c r="DL365" s="524"/>
      <c r="DM365" s="757"/>
      <c r="DN365" s="758"/>
      <c r="DO365" s="524"/>
      <c r="DP365" s="757"/>
      <c r="DQ365" s="493">
        <f t="shared" si="194"/>
        <v>16000000</v>
      </c>
      <c r="DR365" s="479">
        <f t="shared" si="195"/>
        <v>16000000</v>
      </c>
      <c r="DS365" s="1019"/>
      <c r="DT365" s="1019"/>
      <c r="DU365" s="1019"/>
      <c r="DV365" s="1019"/>
      <c r="DW365" s="1019"/>
      <c r="DX365" s="1019"/>
      <c r="DY365" s="1019"/>
      <c r="DZ365" s="1019"/>
      <c r="EA365" s="1019"/>
      <c r="EB365" s="1019"/>
      <c r="EC365" s="1019"/>
      <c r="ED365" s="1019"/>
      <c r="EE365" s="1119">
        <f t="shared" si="202"/>
        <v>0</v>
      </c>
      <c r="EF365" s="443"/>
      <c r="EG365" s="443"/>
      <c r="EH365" s="443"/>
      <c r="EI365" s="443"/>
    </row>
    <row r="366" spans="1:140" outlineLevel="2">
      <c r="B366" s="378"/>
      <c r="C366" s="370" t="s">
        <v>358</v>
      </c>
      <c r="D366" s="370" t="s">
        <v>108</v>
      </c>
      <c r="E366" s="396" t="s">
        <v>441</v>
      </c>
      <c r="F366" s="380" t="s">
        <v>633</v>
      </c>
      <c r="G366" s="188"/>
      <c r="H366" s="13"/>
      <c r="I366" s="185"/>
      <c r="J366" s="185"/>
      <c r="K366" s="185"/>
      <c r="L366" s="185"/>
      <c r="M366" s="185"/>
      <c r="N366" s="185"/>
      <c r="O366" s="185"/>
      <c r="P366" s="185"/>
      <c r="Q366" s="185"/>
      <c r="R366" s="185"/>
      <c r="S366" s="14"/>
      <c r="T366" s="179"/>
      <c r="U366" s="188"/>
      <c r="V366" s="13"/>
      <c r="W366" s="185"/>
      <c r="X366" s="185"/>
      <c r="Y366" s="185"/>
      <c r="Z366" s="185"/>
      <c r="AA366" s="185"/>
      <c r="AB366" s="185"/>
      <c r="AC366" s="185"/>
      <c r="AD366" s="185"/>
      <c r="AE366" s="185"/>
      <c r="AF366" s="185"/>
      <c r="AG366" s="759"/>
      <c r="AH366" s="788"/>
      <c r="AI366" s="827"/>
      <c r="AJ366" s="810"/>
      <c r="AK366" s="758"/>
      <c r="AL366" s="758"/>
      <c r="AM366" s="758"/>
      <c r="AN366" s="758"/>
      <c r="AO366" s="758"/>
      <c r="AP366" s="758"/>
      <c r="AQ366" s="518"/>
      <c r="AR366" s="518"/>
      <c r="AS366" s="518"/>
      <c r="AT366" s="518"/>
      <c r="AU366" s="828"/>
      <c r="AV366" s="828"/>
      <c r="AW366" s="828"/>
      <c r="AX366" s="518"/>
      <c r="AY366" s="788"/>
      <c r="AZ366" s="827"/>
      <c r="BA366" s="810"/>
      <c r="BB366" s="758"/>
      <c r="BC366" s="758"/>
      <c r="BD366" s="758"/>
      <c r="BE366" s="758"/>
      <c r="BF366" s="758"/>
      <c r="BG366" s="758"/>
      <c r="BH366" s="758"/>
      <c r="BI366" s="758"/>
      <c r="BJ366" s="758"/>
      <c r="BK366" s="758"/>
      <c r="BL366" s="759"/>
      <c r="BN366" s="758"/>
      <c r="BO366" s="758"/>
      <c r="BP366" s="758"/>
      <c r="BQ366" s="758"/>
      <c r="BR366" s="758"/>
      <c r="BS366" s="758"/>
      <c r="BT366" s="758"/>
      <c r="BU366" s="758"/>
      <c r="BV366" s="758"/>
      <c r="BW366" s="758"/>
      <c r="BX366" s="758"/>
      <c r="BY366" s="758"/>
      <c r="BZ366" s="791"/>
      <c r="CB366" s="758"/>
      <c r="CC366" s="758"/>
      <c r="CD366" s="758"/>
      <c r="CE366" s="758"/>
      <c r="CF366" s="758"/>
      <c r="CG366" s="758"/>
      <c r="CH366" s="758"/>
      <c r="CI366" s="758"/>
      <c r="CJ366" s="758"/>
      <c r="CK366" s="758"/>
      <c r="CL366" s="758"/>
      <c r="CM366" s="758"/>
      <c r="CN366" s="791"/>
      <c r="CP366" s="653"/>
      <c r="CQ366" s="653"/>
      <c r="CR366" s="524"/>
      <c r="CS366" s="653"/>
      <c r="CT366" s="524"/>
      <c r="CU366" s="653"/>
      <c r="CV366" s="524"/>
      <c r="CW366" s="653"/>
      <c r="CX366" s="524"/>
      <c r="CY366" s="653"/>
      <c r="CZ366" s="524"/>
      <c r="DA366" s="653"/>
      <c r="DB366" s="524"/>
      <c r="DC366" s="653">
        <v>4050000</v>
      </c>
      <c r="DD366" s="524"/>
      <c r="DE366" s="758"/>
      <c r="DF366" s="524"/>
      <c r="DG366" s="757"/>
      <c r="DH366" s="758"/>
      <c r="DI366" s="524"/>
      <c r="DJ366" s="757"/>
      <c r="DK366" s="758"/>
      <c r="DL366" s="524"/>
      <c r="DM366" s="757"/>
      <c r="DN366" s="758"/>
      <c r="DO366" s="524"/>
      <c r="DP366" s="757"/>
      <c r="DQ366" s="493">
        <f t="shared" si="194"/>
        <v>4050000</v>
      </c>
      <c r="DR366" s="479">
        <f t="shared" si="195"/>
        <v>4050000</v>
      </c>
      <c r="DS366" s="1019"/>
      <c r="DT366" s="1019"/>
      <c r="DU366" s="1019"/>
      <c r="DV366" s="1019"/>
      <c r="DW366" s="1019"/>
      <c r="DX366" s="1019"/>
      <c r="DY366" s="1019"/>
      <c r="DZ366" s="1019"/>
      <c r="EA366" s="1019"/>
      <c r="EB366" s="1019"/>
      <c r="EC366" s="1019"/>
      <c r="ED366" s="1019"/>
      <c r="EE366" s="1119">
        <f t="shared" si="202"/>
        <v>0</v>
      </c>
      <c r="EF366" s="443"/>
      <c r="EG366" s="443"/>
      <c r="EH366" s="443"/>
      <c r="EI366" s="443"/>
    </row>
    <row r="367" spans="1:140" outlineLevel="2">
      <c r="A367" s="438" t="s">
        <v>276</v>
      </c>
      <c r="B367" s="378"/>
      <c r="C367" s="370" t="s">
        <v>358</v>
      </c>
      <c r="D367" s="370" t="s">
        <v>108</v>
      </c>
      <c r="E367" s="396" t="s">
        <v>634</v>
      </c>
      <c r="F367" s="380">
        <v>3000020742</v>
      </c>
      <c r="G367" s="188"/>
      <c r="H367" s="13"/>
      <c r="I367" s="185"/>
      <c r="J367" s="185"/>
      <c r="K367" s="185"/>
      <c r="L367" s="185"/>
      <c r="M367" s="185"/>
      <c r="N367" s="185"/>
      <c r="O367" s="185"/>
      <c r="P367" s="185"/>
      <c r="Q367" s="185"/>
      <c r="R367" s="185"/>
      <c r="S367" s="14"/>
      <c r="T367" s="179"/>
      <c r="U367" s="188"/>
      <c r="V367" s="13"/>
      <c r="W367" s="185"/>
      <c r="X367" s="185"/>
      <c r="Y367" s="185"/>
      <c r="Z367" s="185"/>
      <c r="AA367" s="185"/>
      <c r="AB367" s="185"/>
      <c r="AC367" s="185"/>
      <c r="AD367" s="185"/>
      <c r="AE367" s="185"/>
      <c r="AF367" s="185"/>
      <c r="AG367" s="759"/>
      <c r="AH367" s="788"/>
      <c r="AI367" s="827"/>
      <c r="AJ367" s="810"/>
      <c r="AK367" s="758"/>
      <c r="AL367" s="758"/>
      <c r="AM367" s="758"/>
      <c r="AN367" s="758"/>
      <c r="AO367" s="758"/>
      <c r="AP367" s="758"/>
      <c r="AQ367" s="518"/>
      <c r="AR367" s="518"/>
      <c r="AS367" s="518"/>
      <c r="AT367" s="518"/>
      <c r="AU367" s="828"/>
      <c r="AV367" s="828"/>
      <c r="AW367" s="828"/>
      <c r="AX367" s="518">
        <f>SUM(AI367,AJ367,AK367,AL367,AM367,AN367,AO367,AP367,AQ367,AR367,AS367,AT367)</f>
        <v>0</v>
      </c>
      <c r="AY367" s="788"/>
      <c r="AZ367" s="827"/>
      <c r="BA367" s="810"/>
      <c r="BB367" s="758"/>
      <c r="BC367" s="758"/>
      <c r="BD367" s="758"/>
      <c r="BE367" s="758"/>
      <c r="BF367" s="758"/>
      <c r="BG367" s="758"/>
      <c r="BH367" s="758"/>
      <c r="BI367" s="758"/>
      <c r="BJ367" s="758"/>
      <c r="BK367" s="758"/>
      <c r="BL367" s="759"/>
      <c r="BN367" s="758"/>
      <c r="BO367" s="758"/>
      <c r="BP367" s="758"/>
      <c r="BQ367" s="758"/>
      <c r="BR367" s="758"/>
      <c r="BS367" s="758"/>
      <c r="BT367" s="758"/>
      <c r="BU367" s="758"/>
      <c r="BV367" s="758"/>
      <c r="BW367" s="758"/>
      <c r="BX367" s="758"/>
      <c r="BY367" s="758"/>
      <c r="BZ367" s="791"/>
      <c r="CB367" s="758"/>
      <c r="CC367" s="758"/>
      <c r="CD367" s="758"/>
      <c r="CE367" s="758"/>
      <c r="CF367" s="758"/>
      <c r="CG367" s="758"/>
      <c r="CH367" s="758"/>
      <c r="CI367" s="758"/>
      <c r="CJ367" s="758"/>
      <c r="CK367" s="758"/>
      <c r="CL367" s="758"/>
      <c r="CM367" s="758"/>
      <c r="CN367" s="791"/>
      <c r="CP367" s="653"/>
      <c r="CQ367" s="653"/>
      <c r="CR367" s="524"/>
      <c r="CS367" s="653">
        <v>29710000</v>
      </c>
      <c r="CT367" s="524">
        <v>100000000</v>
      </c>
      <c r="CU367" s="653">
        <v>51290000</v>
      </c>
      <c r="CV367" s="524">
        <v>100000000</v>
      </c>
      <c r="CW367" s="653">
        <v>27775000</v>
      </c>
      <c r="CX367" s="524">
        <v>70000000</v>
      </c>
      <c r="CY367" s="653">
        <v>6050000</v>
      </c>
      <c r="CZ367" s="524">
        <v>100000000</v>
      </c>
      <c r="DA367" s="653">
        <v>18975000</v>
      </c>
      <c r="DB367" s="524">
        <v>100000000</v>
      </c>
      <c r="DC367" s="653">
        <v>15575000</v>
      </c>
      <c r="DD367" s="524">
        <v>100000000</v>
      </c>
      <c r="DE367" s="758"/>
      <c r="DF367" s="524">
        <v>100000000</v>
      </c>
      <c r="DG367" s="757">
        <v>25000000</v>
      </c>
      <c r="DH367" s="758"/>
      <c r="DI367" s="524">
        <v>100000000</v>
      </c>
      <c r="DJ367" s="757">
        <v>25000000</v>
      </c>
      <c r="DK367" s="758"/>
      <c r="DL367" s="524">
        <v>150000000</v>
      </c>
      <c r="DM367" s="757">
        <v>25000000</v>
      </c>
      <c r="DN367" s="758"/>
      <c r="DO367" s="524">
        <v>150000000</v>
      </c>
      <c r="DP367" s="757">
        <v>25000000</v>
      </c>
      <c r="DQ367" s="493">
        <f t="shared" si="194"/>
        <v>649375000</v>
      </c>
      <c r="DR367" s="479">
        <f t="shared" si="195"/>
        <v>249375000</v>
      </c>
      <c r="DS367" s="1019">
        <v>50000000</v>
      </c>
      <c r="DT367" s="1019">
        <v>50000000</v>
      </c>
      <c r="DU367" s="1019">
        <v>50000000</v>
      </c>
      <c r="DV367" s="1019">
        <v>50000000</v>
      </c>
      <c r="DW367" s="1019">
        <v>50000000</v>
      </c>
      <c r="DX367" s="1019">
        <v>50000000</v>
      </c>
      <c r="DY367" s="1019">
        <v>50000000</v>
      </c>
      <c r="DZ367" s="1019">
        <v>50000000</v>
      </c>
      <c r="EA367" s="1019">
        <v>50000000</v>
      </c>
      <c r="EB367" s="1019">
        <v>50000000</v>
      </c>
      <c r="EC367" s="1019">
        <v>50000000</v>
      </c>
      <c r="ED367" s="1019">
        <v>50000000</v>
      </c>
      <c r="EE367" s="1119">
        <f t="shared" si="202"/>
        <v>600000000</v>
      </c>
      <c r="EF367" s="443">
        <v>2495610000</v>
      </c>
      <c r="EG367" s="443">
        <v>3695258800</v>
      </c>
      <c r="EH367" s="443">
        <v>5500000000</v>
      </c>
      <c r="EI367" s="443">
        <v>5500000000</v>
      </c>
    </row>
    <row r="368" spans="1:140" outlineLevel="2">
      <c r="A368" s="389"/>
      <c r="B368" s="378"/>
      <c r="C368" s="370" t="s">
        <v>358</v>
      </c>
      <c r="D368" s="370" t="s">
        <v>108</v>
      </c>
      <c r="E368" s="396" t="s">
        <v>457</v>
      </c>
      <c r="F368" s="380">
        <v>3000005833</v>
      </c>
      <c r="G368" s="188"/>
      <c r="H368" s="13"/>
      <c r="I368" s="185"/>
      <c r="J368" s="185"/>
      <c r="K368" s="185"/>
      <c r="L368" s="185"/>
      <c r="M368" s="185"/>
      <c r="N368" s="185"/>
      <c r="O368" s="185"/>
      <c r="P368" s="185"/>
      <c r="Q368" s="185"/>
      <c r="R368" s="185"/>
      <c r="S368" s="14"/>
      <c r="T368" s="179"/>
      <c r="U368" s="188"/>
      <c r="V368" s="13"/>
      <c r="W368" s="185"/>
      <c r="X368" s="185"/>
      <c r="Y368" s="185"/>
      <c r="Z368" s="185"/>
      <c r="AA368" s="185"/>
      <c r="AB368" s="185"/>
      <c r="AC368" s="185"/>
      <c r="AD368" s="185"/>
      <c r="AE368" s="185"/>
      <c r="AF368" s="185"/>
      <c r="AG368" s="759"/>
      <c r="AH368" s="788"/>
      <c r="AI368" s="827"/>
      <c r="AJ368" s="810"/>
      <c r="AK368" s="758"/>
      <c r="AL368" s="758"/>
      <c r="AM368" s="758"/>
      <c r="AN368" s="758"/>
      <c r="AO368" s="758"/>
      <c r="AP368" s="758"/>
      <c r="AQ368" s="518"/>
      <c r="AR368" s="518"/>
      <c r="AS368" s="518"/>
      <c r="AT368" s="518"/>
      <c r="AU368" s="828"/>
      <c r="AV368" s="828"/>
      <c r="AW368" s="828"/>
      <c r="AX368" s="518"/>
      <c r="AY368" s="788"/>
      <c r="AZ368" s="827"/>
      <c r="BA368" s="810"/>
      <c r="BB368" s="758"/>
      <c r="BC368" s="758"/>
      <c r="BD368" s="758"/>
      <c r="BE368" s="758"/>
      <c r="BF368" s="758"/>
      <c r="BG368" s="758"/>
      <c r="BH368" s="758"/>
      <c r="BI368" s="758"/>
      <c r="BJ368" s="758"/>
      <c r="BK368" s="758"/>
      <c r="BL368" s="759"/>
      <c r="BN368" s="758"/>
      <c r="BO368" s="758"/>
      <c r="BP368" s="758"/>
      <c r="BQ368" s="758"/>
      <c r="BR368" s="758"/>
      <c r="BS368" s="758"/>
      <c r="BT368" s="758"/>
      <c r="BU368" s="758"/>
      <c r="BV368" s="758"/>
      <c r="BW368" s="758"/>
      <c r="BX368" s="758"/>
      <c r="BY368" s="758"/>
      <c r="BZ368" s="791"/>
      <c r="CB368" s="758"/>
      <c r="CC368" s="758"/>
      <c r="CD368" s="758"/>
      <c r="CE368" s="758"/>
      <c r="CF368" s="758"/>
      <c r="CG368" s="758"/>
      <c r="CH368" s="758"/>
      <c r="CI368" s="758"/>
      <c r="CJ368" s="758"/>
      <c r="CK368" s="758"/>
      <c r="CL368" s="758"/>
      <c r="CM368" s="758"/>
      <c r="CN368" s="791"/>
      <c r="CP368" s="653"/>
      <c r="CQ368" s="653"/>
      <c r="CR368" s="524"/>
      <c r="CS368" s="653">
        <v>2900000</v>
      </c>
      <c r="CT368" s="524"/>
      <c r="CU368" s="653"/>
      <c r="CV368" s="524">
        <v>50000000</v>
      </c>
      <c r="CW368" s="653"/>
      <c r="CX368" s="524">
        <v>30000000</v>
      </c>
      <c r="CY368" s="653"/>
      <c r="CZ368" s="524">
        <v>50000000</v>
      </c>
      <c r="DA368" s="653"/>
      <c r="DB368" s="524">
        <v>50000000</v>
      </c>
      <c r="DC368" s="653">
        <v>0</v>
      </c>
      <c r="DD368" s="524">
        <v>75000000</v>
      </c>
      <c r="DE368" s="758"/>
      <c r="DF368" s="524">
        <v>75000000</v>
      </c>
      <c r="DG368" s="757">
        <v>50000000</v>
      </c>
      <c r="DH368" s="758"/>
      <c r="DI368" s="524">
        <v>100000000</v>
      </c>
      <c r="DJ368" s="757">
        <v>50000000</v>
      </c>
      <c r="DK368" s="758"/>
      <c r="DL368" s="524">
        <v>150000000</v>
      </c>
      <c r="DM368" s="757">
        <v>50000000</v>
      </c>
      <c r="DN368" s="758"/>
      <c r="DO368" s="524">
        <v>150000000</v>
      </c>
      <c r="DP368" s="757">
        <v>50000000</v>
      </c>
      <c r="DQ368" s="493">
        <f t="shared" si="194"/>
        <v>477900000</v>
      </c>
      <c r="DR368" s="479">
        <f t="shared" si="195"/>
        <v>202900000</v>
      </c>
      <c r="DS368" s="1019">
        <v>50000000</v>
      </c>
      <c r="DT368" s="1019">
        <v>50000000</v>
      </c>
      <c r="DU368" s="1019">
        <v>50000000</v>
      </c>
      <c r="DV368" s="1019">
        <v>50000000</v>
      </c>
      <c r="DW368" s="1019">
        <v>50000000</v>
      </c>
      <c r="DX368" s="1019">
        <v>50000000</v>
      </c>
      <c r="DY368" s="1019">
        <v>50000000</v>
      </c>
      <c r="DZ368" s="1019">
        <v>50000000</v>
      </c>
      <c r="EA368" s="1019">
        <v>50000000</v>
      </c>
      <c r="EB368" s="1019">
        <v>50000000</v>
      </c>
      <c r="EC368" s="1019">
        <v>50000000</v>
      </c>
      <c r="ED368" s="1019">
        <v>50000000</v>
      </c>
      <c r="EE368" s="1119">
        <f t="shared" si="202"/>
        <v>600000000</v>
      </c>
      <c r="EF368" s="443"/>
      <c r="EG368" s="443"/>
      <c r="EH368" s="443"/>
      <c r="EI368" s="443"/>
    </row>
    <row r="369" spans="1:156" outlineLevel="2">
      <c r="A369" s="389"/>
      <c r="B369" s="378"/>
      <c r="C369" s="370" t="s">
        <v>358</v>
      </c>
      <c r="D369" s="370" t="s">
        <v>108</v>
      </c>
      <c r="E369" s="396" t="s">
        <v>174</v>
      </c>
      <c r="F369" s="380">
        <v>3000018793</v>
      </c>
      <c r="G369" s="188"/>
      <c r="H369" s="13"/>
      <c r="I369" s="185"/>
      <c r="J369" s="185"/>
      <c r="K369" s="185"/>
      <c r="L369" s="185"/>
      <c r="M369" s="185"/>
      <c r="N369" s="185"/>
      <c r="O369" s="185"/>
      <c r="P369" s="185"/>
      <c r="Q369" s="185"/>
      <c r="R369" s="185"/>
      <c r="S369" s="14"/>
      <c r="T369" s="179"/>
      <c r="U369" s="188"/>
      <c r="V369" s="13"/>
      <c r="W369" s="185"/>
      <c r="X369" s="185"/>
      <c r="Y369" s="185"/>
      <c r="Z369" s="185"/>
      <c r="AA369" s="185"/>
      <c r="AB369" s="185"/>
      <c r="AC369" s="185"/>
      <c r="AD369" s="185"/>
      <c r="AE369" s="185"/>
      <c r="AF369" s="185"/>
      <c r="AG369" s="759"/>
      <c r="AH369" s="788"/>
      <c r="AI369" s="827"/>
      <c r="AJ369" s="810"/>
      <c r="AK369" s="758"/>
      <c r="AL369" s="758"/>
      <c r="AM369" s="758"/>
      <c r="AN369" s="758"/>
      <c r="AO369" s="758"/>
      <c r="AP369" s="758"/>
      <c r="AQ369" s="518"/>
      <c r="AR369" s="518"/>
      <c r="AS369" s="518"/>
      <c r="AT369" s="518"/>
      <c r="AU369" s="828"/>
      <c r="AV369" s="828"/>
      <c r="AW369" s="828"/>
      <c r="AX369" s="518"/>
      <c r="AY369" s="788"/>
      <c r="AZ369" s="827"/>
      <c r="BA369" s="810"/>
      <c r="BB369" s="758"/>
      <c r="BC369" s="758"/>
      <c r="BD369" s="758"/>
      <c r="BE369" s="758"/>
      <c r="BF369" s="758"/>
      <c r="BG369" s="758"/>
      <c r="BH369" s="758"/>
      <c r="BI369" s="758"/>
      <c r="BJ369" s="758"/>
      <c r="BK369" s="758"/>
      <c r="BL369" s="759"/>
      <c r="BN369" s="758"/>
      <c r="BO369" s="758"/>
      <c r="BP369" s="758"/>
      <c r="BQ369" s="758"/>
      <c r="BR369" s="758"/>
      <c r="BS369" s="758"/>
      <c r="BT369" s="758"/>
      <c r="BU369" s="758"/>
      <c r="BV369" s="758"/>
      <c r="BW369" s="758"/>
      <c r="BX369" s="758"/>
      <c r="BY369" s="758"/>
      <c r="BZ369" s="791"/>
      <c r="CB369" s="758"/>
      <c r="CC369" s="758"/>
      <c r="CD369" s="758"/>
      <c r="CE369" s="758"/>
      <c r="CF369" s="758"/>
      <c r="CG369" s="758"/>
      <c r="CH369" s="758"/>
      <c r="CI369" s="758"/>
      <c r="CJ369" s="758"/>
      <c r="CK369" s="758"/>
      <c r="CL369" s="758"/>
      <c r="CM369" s="758"/>
      <c r="CN369" s="791"/>
      <c r="CP369" s="653"/>
      <c r="CQ369" s="653"/>
      <c r="CR369" s="524"/>
      <c r="CS369" s="653">
        <v>4250000</v>
      </c>
      <c r="CT369" s="524"/>
      <c r="CU369" s="653">
        <v>13500000</v>
      </c>
      <c r="CV369" s="524"/>
      <c r="CW369" s="653"/>
      <c r="CX369" s="524"/>
      <c r="CY369" s="653"/>
      <c r="CZ369" s="524"/>
      <c r="DA369" s="653"/>
      <c r="DB369" s="524"/>
      <c r="DC369" s="653">
        <v>0</v>
      </c>
      <c r="DD369" s="524"/>
      <c r="DE369" s="758"/>
      <c r="DF369" s="524"/>
      <c r="DG369" s="757"/>
      <c r="DH369" s="758"/>
      <c r="DI369" s="524"/>
      <c r="DJ369" s="757"/>
      <c r="DK369" s="758"/>
      <c r="DL369" s="524"/>
      <c r="DM369" s="757"/>
      <c r="DN369" s="758"/>
      <c r="DO369" s="524"/>
      <c r="DP369" s="757"/>
      <c r="DQ369" s="493">
        <f t="shared" si="194"/>
        <v>17750000</v>
      </c>
      <c r="DR369" s="479">
        <f t="shared" si="195"/>
        <v>17750000</v>
      </c>
      <c r="DS369" s="1019"/>
      <c r="DT369" s="1019"/>
      <c r="DU369" s="1019"/>
      <c r="DV369" s="1019"/>
      <c r="DW369" s="1019"/>
      <c r="DX369" s="1019"/>
      <c r="DY369" s="1019"/>
      <c r="DZ369" s="1019"/>
      <c r="EA369" s="1019"/>
      <c r="EB369" s="1019"/>
      <c r="EC369" s="1019"/>
      <c r="ED369" s="1019"/>
      <c r="EE369" s="1119">
        <f t="shared" si="202"/>
        <v>0</v>
      </c>
      <c r="EF369" s="443"/>
      <c r="EG369" s="443"/>
      <c r="EH369" s="443"/>
      <c r="EI369" s="443"/>
    </row>
    <row r="370" spans="1:156" outlineLevel="2">
      <c r="A370" s="389"/>
      <c r="B370" s="378"/>
      <c r="C370" s="370" t="s">
        <v>358</v>
      </c>
      <c r="D370" s="370" t="s">
        <v>108</v>
      </c>
      <c r="E370" s="396" t="s">
        <v>175</v>
      </c>
      <c r="F370" s="380" t="s">
        <v>527</v>
      </c>
      <c r="G370" s="188"/>
      <c r="H370" s="13"/>
      <c r="I370" s="185"/>
      <c r="J370" s="185"/>
      <c r="K370" s="185"/>
      <c r="L370" s="185"/>
      <c r="M370" s="185"/>
      <c r="N370" s="185"/>
      <c r="O370" s="185"/>
      <c r="P370" s="185"/>
      <c r="Q370" s="185"/>
      <c r="R370" s="185"/>
      <c r="S370" s="14"/>
      <c r="T370" s="179"/>
      <c r="U370" s="188"/>
      <c r="V370" s="13"/>
      <c r="W370" s="185"/>
      <c r="X370" s="185"/>
      <c r="Y370" s="185"/>
      <c r="Z370" s="185"/>
      <c r="AA370" s="185"/>
      <c r="AB370" s="185"/>
      <c r="AC370" s="185"/>
      <c r="AD370" s="185"/>
      <c r="AE370" s="185"/>
      <c r="AF370" s="185"/>
      <c r="AG370" s="759"/>
      <c r="AH370" s="788"/>
      <c r="AI370" s="827"/>
      <c r="AJ370" s="810"/>
      <c r="AK370" s="758"/>
      <c r="AL370" s="758"/>
      <c r="AM370" s="758"/>
      <c r="AN370" s="758"/>
      <c r="AO370" s="758"/>
      <c r="AP370" s="758"/>
      <c r="AQ370" s="518"/>
      <c r="AR370" s="518"/>
      <c r="AS370" s="518"/>
      <c r="AT370" s="518"/>
      <c r="AU370" s="828"/>
      <c r="AV370" s="828"/>
      <c r="AW370" s="828"/>
      <c r="AX370" s="518"/>
      <c r="AY370" s="788"/>
      <c r="AZ370" s="827"/>
      <c r="BA370" s="810"/>
      <c r="BB370" s="758"/>
      <c r="BC370" s="758"/>
      <c r="BD370" s="758"/>
      <c r="BE370" s="758"/>
      <c r="BF370" s="758"/>
      <c r="BG370" s="758"/>
      <c r="BH370" s="758"/>
      <c r="BI370" s="758"/>
      <c r="BJ370" s="758"/>
      <c r="BK370" s="758"/>
      <c r="BL370" s="759"/>
      <c r="BN370" s="758"/>
      <c r="BO370" s="758"/>
      <c r="BP370" s="758"/>
      <c r="BQ370" s="758"/>
      <c r="BR370" s="758"/>
      <c r="BS370" s="758"/>
      <c r="BT370" s="758"/>
      <c r="BU370" s="758"/>
      <c r="BV370" s="758"/>
      <c r="BW370" s="758"/>
      <c r="BX370" s="758"/>
      <c r="BY370" s="758"/>
      <c r="BZ370" s="791"/>
      <c r="CB370" s="758"/>
      <c r="CC370" s="758"/>
      <c r="CD370" s="758"/>
      <c r="CE370" s="758"/>
      <c r="CF370" s="758"/>
      <c r="CG370" s="758"/>
      <c r="CH370" s="758"/>
      <c r="CI370" s="758"/>
      <c r="CJ370" s="758"/>
      <c r="CK370" s="758"/>
      <c r="CL370" s="758"/>
      <c r="CM370" s="758"/>
      <c r="CN370" s="791"/>
      <c r="CP370" s="653"/>
      <c r="CQ370" s="653"/>
      <c r="CR370" s="524"/>
      <c r="CS370" s="653"/>
      <c r="CT370" s="524"/>
      <c r="CU370" s="653"/>
      <c r="CV370" s="524"/>
      <c r="CW370" s="653"/>
      <c r="CX370" s="524"/>
      <c r="CY370" s="653"/>
      <c r="CZ370" s="524"/>
      <c r="DA370" s="653"/>
      <c r="DB370" s="524"/>
      <c r="DC370" s="653">
        <v>6400000</v>
      </c>
      <c r="DD370" s="524"/>
      <c r="DE370" s="758"/>
      <c r="DF370" s="524"/>
      <c r="DG370" s="757"/>
      <c r="DH370" s="758"/>
      <c r="DI370" s="524"/>
      <c r="DJ370" s="757"/>
      <c r="DK370" s="758"/>
      <c r="DL370" s="524"/>
      <c r="DM370" s="757"/>
      <c r="DN370" s="758"/>
      <c r="DO370" s="524"/>
      <c r="DP370" s="757"/>
      <c r="DQ370" s="493">
        <f t="shared" si="194"/>
        <v>6400000</v>
      </c>
      <c r="DR370" s="479">
        <f t="shared" si="195"/>
        <v>6400000</v>
      </c>
      <c r="DS370" s="1019"/>
      <c r="DT370" s="1019"/>
      <c r="DU370" s="1019"/>
      <c r="DV370" s="1019"/>
      <c r="DW370" s="1019"/>
      <c r="DX370" s="1019"/>
      <c r="DY370" s="1019"/>
      <c r="DZ370" s="1019"/>
      <c r="EA370" s="1019"/>
      <c r="EB370" s="1019"/>
      <c r="EC370" s="1019"/>
      <c r="ED370" s="1019"/>
      <c r="EE370" s="1119">
        <f t="shared" si="202"/>
        <v>0</v>
      </c>
      <c r="EF370" s="443"/>
      <c r="EG370" s="443"/>
      <c r="EH370" s="443"/>
      <c r="EI370" s="443"/>
    </row>
    <row r="371" spans="1:156" outlineLevel="2">
      <c r="A371" s="367" t="s">
        <v>196</v>
      </c>
      <c r="B371" s="378"/>
      <c r="C371" s="370" t="s">
        <v>358</v>
      </c>
      <c r="D371" s="370" t="s">
        <v>108</v>
      </c>
      <c r="E371" s="396" t="s">
        <v>635</v>
      </c>
      <c r="F371" s="380">
        <v>3000009294</v>
      </c>
      <c r="G371" s="188"/>
      <c r="H371" s="13"/>
      <c r="I371" s="185"/>
      <c r="J371" s="185"/>
      <c r="K371" s="185"/>
      <c r="L371" s="185"/>
      <c r="M371" s="185"/>
      <c r="N371" s="185"/>
      <c r="O371" s="185"/>
      <c r="P371" s="185"/>
      <c r="Q371" s="185"/>
      <c r="R371" s="185"/>
      <c r="S371" s="14"/>
      <c r="T371" s="179"/>
      <c r="U371" s="188"/>
      <c r="V371" s="13"/>
      <c r="W371" s="185"/>
      <c r="X371" s="185"/>
      <c r="Y371" s="185"/>
      <c r="Z371" s="185"/>
      <c r="AA371" s="185"/>
      <c r="AB371" s="185"/>
      <c r="AC371" s="185"/>
      <c r="AD371" s="185"/>
      <c r="AE371" s="185"/>
      <c r="AF371" s="185"/>
      <c r="AG371" s="759"/>
      <c r="AH371" s="788"/>
      <c r="AI371" s="827"/>
      <c r="AJ371" s="810"/>
      <c r="AK371" s="758"/>
      <c r="AL371" s="758"/>
      <c r="AM371" s="758"/>
      <c r="AN371" s="758"/>
      <c r="AO371" s="758"/>
      <c r="AP371" s="758"/>
      <c r="AQ371" s="518"/>
      <c r="AR371" s="813"/>
      <c r="AS371" s="813"/>
      <c r="AT371" s="813"/>
      <c r="AU371" s="828"/>
      <c r="AV371" s="828"/>
      <c r="AW371" s="828"/>
      <c r="AX371" s="518">
        <f>SUM(AI371,AJ371,AK371,AL371,AM371,AN371,AO371,AP371,AQ371,AR371,AS371,AT371)</f>
        <v>0</v>
      </c>
      <c r="AY371" s="788"/>
      <c r="AZ371" s="827"/>
      <c r="BA371" s="810"/>
      <c r="BB371" s="758"/>
      <c r="BC371" s="758"/>
      <c r="BD371" s="758"/>
      <c r="BE371" s="758"/>
      <c r="BF371" s="758"/>
      <c r="BG371" s="758"/>
      <c r="BH371" s="758"/>
      <c r="BI371" s="758"/>
      <c r="BJ371" s="758"/>
      <c r="BK371" s="758"/>
      <c r="BL371" s="759"/>
      <c r="BN371" s="758"/>
      <c r="BO371" s="758"/>
      <c r="BP371" s="758"/>
      <c r="BQ371" s="758"/>
      <c r="BR371" s="758"/>
      <c r="BS371" s="758"/>
      <c r="BT371" s="758"/>
      <c r="BU371" s="758"/>
      <c r="BV371" s="758"/>
      <c r="BW371" s="758"/>
      <c r="BX371" s="758"/>
      <c r="BY371" s="758"/>
      <c r="BZ371" s="791">
        <v>0</v>
      </c>
      <c r="CB371" s="758"/>
      <c r="CC371" s="758"/>
      <c r="CD371" s="758"/>
      <c r="CE371" s="758"/>
      <c r="CF371" s="758"/>
      <c r="CG371" s="758"/>
      <c r="CH371" s="758"/>
      <c r="CI371" s="758"/>
      <c r="CJ371" s="758"/>
      <c r="CK371" s="758"/>
      <c r="CL371" s="758"/>
      <c r="CM371" s="758"/>
      <c r="CN371" s="791">
        <v>0</v>
      </c>
      <c r="CP371" s="653">
        <v>9000000</v>
      </c>
      <c r="CQ371" s="653">
        <v>73440000</v>
      </c>
      <c r="CR371" s="524">
        <v>30000000</v>
      </c>
      <c r="CS371" s="653">
        <v>59517775</v>
      </c>
      <c r="CT371" s="524">
        <v>100000000</v>
      </c>
      <c r="CU371" s="653">
        <v>10200000</v>
      </c>
      <c r="CV371" s="524">
        <v>100000000</v>
      </c>
      <c r="CW371" s="653">
        <v>-2760000</v>
      </c>
      <c r="CX371" s="524">
        <v>100000000</v>
      </c>
      <c r="CY371" s="653"/>
      <c r="CZ371" s="524">
        <v>200000000</v>
      </c>
      <c r="DA371" s="653">
        <v>4755000</v>
      </c>
      <c r="DB371" s="524">
        <v>100000000</v>
      </c>
      <c r="DC371" s="653">
        <v>9560000</v>
      </c>
      <c r="DD371" s="524">
        <v>100000000</v>
      </c>
      <c r="DE371" s="758"/>
      <c r="DF371" s="524">
        <v>100000000</v>
      </c>
      <c r="DG371" s="757">
        <v>50000000</v>
      </c>
      <c r="DH371" s="758"/>
      <c r="DI371" s="524">
        <v>100000000</v>
      </c>
      <c r="DJ371" s="757">
        <v>50000000</v>
      </c>
      <c r="DK371" s="758"/>
      <c r="DL371" s="524">
        <v>100000000</v>
      </c>
      <c r="DM371" s="757">
        <v>50000000</v>
      </c>
      <c r="DN371" s="758"/>
      <c r="DO371" s="524">
        <v>100000000</v>
      </c>
      <c r="DP371" s="757">
        <v>50000000</v>
      </c>
      <c r="DQ371" s="493">
        <f t="shared" si="194"/>
        <v>563712775</v>
      </c>
      <c r="DR371" s="479">
        <f t="shared" si="195"/>
        <v>363712775</v>
      </c>
      <c r="DS371" s="1019">
        <v>73000000</v>
      </c>
      <c r="DT371" s="1019">
        <v>73000000</v>
      </c>
      <c r="DU371" s="1019">
        <v>73000000</v>
      </c>
      <c r="DV371" s="1019">
        <v>73000000</v>
      </c>
      <c r="DW371" s="1019">
        <v>73000000</v>
      </c>
      <c r="DX371" s="1019">
        <v>73000000</v>
      </c>
      <c r="DY371" s="1019">
        <v>73000000</v>
      </c>
      <c r="DZ371" s="1019">
        <v>73000000</v>
      </c>
      <c r="EA371" s="1019">
        <v>73000000</v>
      </c>
      <c r="EB371" s="1019">
        <v>73000000</v>
      </c>
      <c r="EC371" s="1019">
        <v>100000000</v>
      </c>
      <c r="ED371" s="1019">
        <v>100000000</v>
      </c>
      <c r="EE371" s="1119">
        <f t="shared" si="202"/>
        <v>930000000</v>
      </c>
      <c r="EF371" s="443"/>
      <c r="EG371" s="443"/>
      <c r="EH371" s="443"/>
      <c r="EI371" s="443"/>
    </row>
    <row r="372" spans="1:156" outlineLevel="2">
      <c r="A372" s="389"/>
      <c r="B372" s="378"/>
      <c r="C372" s="370" t="s">
        <v>358</v>
      </c>
      <c r="D372" s="370" t="s">
        <v>108</v>
      </c>
      <c r="E372" s="396" t="s">
        <v>636</v>
      </c>
      <c r="F372" s="380">
        <v>3000020869</v>
      </c>
      <c r="G372" s="188"/>
      <c r="H372" s="13"/>
      <c r="I372" s="185"/>
      <c r="J372" s="185"/>
      <c r="K372" s="185"/>
      <c r="L372" s="185"/>
      <c r="M372" s="185"/>
      <c r="N372" s="185"/>
      <c r="O372" s="185"/>
      <c r="P372" s="185"/>
      <c r="Q372" s="185"/>
      <c r="R372" s="185"/>
      <c r="S372" s="14"/>
      <c r="T372" s="179"/>
      <c r="U372" s="188"/>
      <c r="V372" s="13"/>
      <c r="W372" s="185"/>
      <c r="X372" s="185"/>
      <c r="Y372" s="185"/>
      <c r="Z372" s="185"/>
      <c r="AA372" s="185"/>
      <c r="AB372" s="185"/>
      <c r="AC372" s="185"/>
      <c r="AD372" s="185"/>
      <c r="AE372" s="185"/>
      <c r="AF372" s="185"/>
      <c r="AG372" s="759"/>
      <c r="AH372" s="788"/>
      <c r="AI372" s="827"/>
      <c r="AJ372" s="810"/>
      <c r="AK372" s="758"/>
      <c r="AL372" s="758"/>
      <c r="AM372" s="758"/>
      <c r="AN372" s="758"/>
      <c r="AO372" s="758"/>
      <c r="AP372" s="758"/>
      <c r="AQ372" s="518"/>
      <c r="AR372" s="518"/>
      <c r="AS372" s="518"/>
      <c r="AT372" s="518"/>
      <c r="AU372" s="828"/>
      <c r="AV372" s="828"/>
      <c r="AW372" s="828"/>
      <c r="AX372" s="518"/>
      <c r="AY372" s="788"/>
      <c r="AZ372" s="827"/>
      <c r="BA372" s="810"/>
      <c r="BB372" s="758"/>
      <c r="BC372" s="758"/>
      <c r="BD372" s="758"/>
      <c r="BE372" s="758"/>
      <c r="BF372" s="758"/>
      <c r="BG372" s="758"/>
      <c r="BH372" s="758"/>
      <c r="BI372" s="758"/>
      <c r="BJ372" s="758"/>
      <c r="BK372" s="758"/>
      <c r="BL372" s="759"/>
      <c r="BN372" s="758"/>
      <c r="BO372" s="758"/>
      <c r="BP372" s="758"/>
      <c r="BQ372" s="758"/>
      <c r="BR372" s="758"/>
      <c r="BS372" s="758"/>
      <c r="BT372" s="758"/>
      <c r="BU372" s="758"/>
      <c r="BV372" s="758"/>
      <c r="BW372" s="758"/>
      <c r="BX372" s="758"/>
      <c r="BY372" s="758"/>
      <c r="BZ372" s="791"/>
      <c r="CB372" s="758"/>
      <c r="CC372" s="758"/>
      <c r="CD372" s="758"/>
      <c r="CE372" s="758"/>
      <c r="CF372" s="758"/>
      <c r="CG372" s="758"/>
      <c r="CH372" s="758"/>
      <c r="CI372" s="758"/>
      <c r="CJ372" s="758"/>
      <c r="CK372" s="758"/>
      <c r="CL372" s="758"/>
      <c r="CM372" s="758"/>
      <c r="CN372" s="791"/>
      <c r="CP372" s="653"/>
      <c r="CQ372" s="653"/>
      <c r="CR372" s="524"/>
      <c r="CS372" s="653">
        <v>7800000</v>
      </c>
      <c r="CT372" s="524"/>
      <c r="CU372" s="653"/>
      <c r="CV372" s="524">
        <v>20000000</v>
      </c>
      <c r="CW372" s="653"/>
      <c r="CX372" s="524">
        <v>0</v>
      </c>
      <c r="CY372" s="653"/>
      <c r="CZ372" s="524">
        <v>100000000</v>
      </c>
      <c r="DA372" s="653"/>
      <c r="DB372" s="524">
        <v>100000000</v>
      </c>
      <c r="DC372" s="653">
        <v>0</v>
      </c>
      <c r="DD372" s="524">
        <v>100000000</v>
      </c>
      <c r="DE372" s="758"/>
      <c r="DF372" s="524">
        <v>100000000</v>
      </c>
      <c r="DG372" s="757">
        <v>50000000</v>
      </c>
      <c r="DH372" s="758"/>
      <c r="DI372" s="524">
        <v>100000000</v>
      </c>
      <c r="DJ372" s="757">
        <v>50000000</v>
      </c>
      <c r="DK372" s="758"/>
      <c r="DL372" s="524">
        <v>100000000</v>
      </c>
      <c r="DM372" s="757">
        <v>50000000</v>
      </c>
      <c r="DN372" s="758"/>
      <c r="DO372" s="524">
        <v>100000000</v>
      </c>
      <c r="DP372" s="757">
        <v>50000000</v>
      </c>
      <c r="DQ372" s="493">
        <f t="shared" si="194"/>
        <v>407800000</v>
      </c>
      <c r="DR372" s="479">
        <f t="shared" si="195"/>
        <v>207800000</v>
      </c>
      <c r="DS372" s="1019">
        <v>50000000</v>
      </c>
      <c r="DT372" s="1019">
        <v>50000000</v>
      </c>
      <c r="DU372" s="1019">
        <v>50000000</v>
      </c>
      <c r="DV372" s="1019">
        <v>50000000</v>
      </c>
      <c r="DW372" s="1019">
        <v>50000000</v>
      </c>
      <c r="DX372" s="1019">
        <v>50000000</v>
      </c>
      <c r="DY372" s="1019">
        <v>50000000</v>
      </c>
      <c r="DZ372" s="1019">
        <v>50000000</v>
      </c>
      <c r="EA372" s="1019">
        <v>50000000</v>
      </c>
      <c r="EB372" s="1019">
        <v>50000000</v>
      </c>
      <c r="EC372" s="1019">
        <v>50000000</v>
      </c>
      <c r="ED372" s="1019">
        <v>50000000</v>
      </c>
      <c r="EE372" s="1119">
        <f t="shared" si="202"/>
        <v>600000000</v>
      </c>
      <c r="EF372" s="443"/>
      <c r="EG372" s="443"/>
      <c r="EH372" s="443"/>
      <c r="EI372" s="443"/>
    </row>
    <row r="373" spans="1:156" outlineLevel="2">
      <c r="A373" s="389"/>
      <c r="B373" s="378"/>
      <c r="C373" s="370" t="s">
        <v>358</v>
      </c>
      <c r="D373" s="370" t="s">
        <v>108</v>
      </c>
      <c r="E373" s="396" t="s">
        <v>176</v>
      </c>
      <c r="F373" s="380" t="s">
        <v>637</v>
      </c>
      <c r="G373" s="188"/>
      <c r="H373" s="13"/>
      <c r="I373" s="185"/>
      <c r="J373" s="185"/>
      <c r="K373" s="185"/>
      <c r="L373" s="185"/>
      <c r="M373" s="185"/>
      <c r="N373" s="185"/>
      <c r="O373" s="185"/>
      <c r="P373" s="185"/>
      <c r="Q373" s="185"/>
      <c r="R373" s="185"/>
      <c r="S373" s="14"/>
      <c r="T373" s="179"/>
      <c r="U373" s="188"/>
      <c r="V373" s="13"/>
      <c r="W373" s="185"/>
      <c r="X373" s="185"/>
      <c r="Y373" s="185"/>
      <c r="Z373" s="185"/>
      <c r="AA373" s="185"/>
      <c r="AB373" s="185"/>
      <c r="AC373" s="185"/>
      <c r="AD373" s="185"/>
      <c r="AE373" s="185"/>
      <c r="AF373" s="185"/>
      <c r="AG373" s="759"/>
      <c r="AH373" s="788"/>
      <c r="AI373" s="827"/>
      <c r="AJ373" s="810"/>
      <c r="AK373" s="758"/>
      <c r="AL373" s="758"/>
      <c r="AM373" s="758"/>
      <c r="AN373" s="758"/>
      <c r="AO373" s="758"/>
      <c r="AP373" s="758"/>
      <c r="AQ373" s="518"/>
      <c r="AR373" s="518"/>
      <c r="AS373" s="518"/>
      <c r="AT373" s="518"/>
      <c r="AU373" s="828"/>
      <c r="AV373" s="828"/>
      <c r="AW373" s="828"/>
      <c r="AX373" s="518"/>
      <c r="AY373" s="788"/>
      <c r="AZ373" s="827"/>
      <c r="BA373" s="810"/>
      <c r="BB373" s="758"/>
      <c r="BC373" s="758"/>
      <c r="BD373" s="758"/>
      <c r="BE373" s="758"/>
      <c r="BF373" s="758"/>
      <c r="BG373" s="758"/>
      <c r="BH373" s="758"/>
      <c r="BI373" s="758"/>
      <c r="BJ373" s="758"/>
      <c r="BK373" s="758"/>
      <c r="BL373" s="759"/>
      <c r="BN373" s="758"/>
      <c r="BO373" s="758"/>
      <c r="BP373" s="758"/>
      <c r="BQ373" s="758"/>
      <c r="BR373" s="758"/>
      <c r="BS373" s="758"/>
      <c r="BT373" s="758"/>
      <c r="BU373" s="758"/>
      <c r="BV373" s="758"/>
      <c r="BW373" s="758"/>
      <c r="BX373" s="758"/>
      <c r="BY373" s="758"/>
      <c r="BZ373" s="791"/>
      <c r="CB373" s="758"/>
      <c r="CC373" s="758"/>
      <c r="CD373" s="758"/>
      <c r="CE373" s="758"/>
      <c r="CF373" s="758"/>
      <c r="CG373" s="758"/>
      <c r="CH373" s="758"/>
      <c r="CI373" s="758"/>
      <c r="CJ373" s="758"/>
      <c r="CK373" s="758"/>
      <c r="CL373" s="758"/>
      <c r="CM373" s="758"/>
      <c r="CN373" s="791"/>
      <c r="CP373" s="653"/>
      <c r="CQ373" s="653"/>
      <c r="CR373" s="524"/>
      <c r="CS373" s="653"/>
      <c r="CT373" s="524"/>
      <c r="CU373" s="653"/>
      <c r="CV373" s="524"/>
      <c r="CW373" s="653"/>
      <c r="CX373" s="524"/>
      <c r="CY373" s="653">
        <v>1650000</v>
      </c>
      <c r="CZ373" s="524"/>
      <c r="DA373" s="653"/>
      <c r="DB373" s="524"/>
      <c r="DC373" s="653">
        <v>0</v>
      </c>
      <c r="DD373" s="524"/>
      <c r="DE373" s="758"/>
      <c r="DF373" s="524"/>
      <c r="DG373" s="757"/>
      <c r="DH373" s="758"/>
      <c r="DI373" s="524"/>
      <c r="DJ373" s="757"/>
      <c r="DK373" s="758"/>
      <c r="DL373" s="524"/>
      <c r="DM373" s="757"/>
      <c r="DN373" s="758"/>
      <c r="DO373" s="524"/>
      <c r="DP373" s="757"/>
      <c r="DQ373" s="493">
        <f t="shared" si="194"/>
        <v>1650000</v>
      </c>
      <c r="DR373" s="479">
        <f t="shared" si="195"/>
        <v>1650000</v>
      </c>
      <c r="DS373" s="1019"/>
      <c r="DT373" s="1019"/>
      <c r="DU373" s="1019"/>
      <c r="DV373" s="1019"/>
      <c r="DW373" s="1019"/>
      <c r="DX373" s="1019"/>
      <c r="DY373" s="1019"/>
      <c r="DZ373" s="1019"/>
      <c r="EA373" s="1019"/>
      <c r="EB373" s="1019"/>
      <c r="EC373" s="1019"/>
      <c r="ED373" s="1019"/>
      <c r="EE373" s="1119">
        <f t="shared" si="202"/>
        <v>0</v>
      </c>
      <c r="EF373" s="443"/>
      <c r="EG373" s="443"/>
      <c r="EH373" s="443"/>
      <c r="EI373" s="443"/>
    </row>
    <row r="374" spans="1:156" outlineLevel="2">
      <c r="A374" s="389"/>
      <c r="B374" s="378"/>
      <c r="C374" s="370" t="s">
        <v>358</v>
      </c>
      <c r="D374" s="370" t="s">
        <v>108</v>
      </c>
      <c r="E374" s="396" t="s">
        <v>638</v>
      </c>
      <c r="F374" s="380" t="s">
        <v>639</v>
      </c>
      <c r="G374" s="188"/>
      <c r="H374" s="13"/>
      <c r="I374" s="185"/>
      <c r="J374" s="185"/>
      <c r="K374" s="185"/>
      <c r="L374" s="185"/>
      <c r="M374" s="185"/>
      <c r="N374" s="185"/>
      <c r="O374" s="185"/>
      <c r="P374" s="185"/>
      <c r="Q374" s="185"/>
      <c r="R374" s="185"/>
      <c r="S374" s="14"/>
      <c r="T374" s="179"/>
      <c r="U374" s="188"/>
      <c r="V374" s="13"/>
      <c r="W374" s="185"/>
      <c r="X374" s="185"/>
      <c r="Y374" s="185"/>
      <c r="Z374" s="185"/>
      <c r="AA374" s="185"/>
      <c r="AB374" s="185"/>
      <c r="AC374" s="185"/>
      <c r="AD374" s="185"/>
      <c r="AE374" s="185"/>
      <c r="AF374" s="185"/>
      <c r="AG374" s="759"/>
      <c r="AH374" s="788"/>
      <c r="AI374" s="827"/>
      <c r="AJ374" s="810"/>
      <c r="AK374" s="758"/>
      <c r="AL374" s="758"/>
      <c r="AM374" s="758"/>
      <c r="AN374" s="758"/>
      <c r="AO374" s="758"/>
      <c r="AP374" s="758"/>
      <c r="AQ374" s="518"/>
      <c r="AR374" s="518"/>
      <c r="AS374" s="518"/>
      <c r="AT374" s="518"/>
      <c r="AU374" s="828"/>
      <c r="AV374" s="828"/>
      <c r="AW374" s="828"/>
      <c r="AX374" s="518"/>
      <c r="AY374" s="788"/>
      <c r="AZ374" s="827"/>
      <c r="BA374" s="810"/>
      <c r="BB374" s="758"/>
      <c r="BC374" s="758"/>
      <c r="BD374" s="758"/>
      <c r="BE374" s="758"/>
      <c r="BF374" s="758"/>
      <c r="BG374" s="758"/>
      <c r="BH374" s="758"/>
      <c r="BI374" s="758"/>
      <c r="BJ374" s="758"/>
      <c r="BK374" s="758"/>
      <c r="BL374" s="759"/>
      <c r="BN374" s="758"/>
      <c r="BO374" s="758"/>
      <c r="BP374" s="758"/>
      <c r="BQ374" s="758"/>
      <c r="BR374" s="758"/>
      <c r="BS374" s="758"/>
      <c r="BT374" s="758"/>
      <c r="BU374" s="758"/>
      <c r="BV374" s="758"/>
      <c r="BW374" s="758"/>
      <c r="BX374" s="758"/>
      <c r="BY374" s="758"/>
      <c r="BZ374" s="791"/>
      <c r="CB374" s="758"/>
      <c r="CC374" s="758"/>
      <c r="CD374" s="758"/>
      <c r="CE374" s="758"/>
      <c r="CF374" s="758"/>
      <c r="CG374" s="758"/>
      <c r="CH374" s="758"/>
      <c r="CI374" s="758"/>
      <c r="CJ374" s="758"/>
      <c r="CK374" s="758"/>
      <c r="CL374" s="758"/>
      <c r="CM374" s="758"/>
      <c r="CN374" s="791"/>
      <c r="CP374" s="653"/>
      <c r="CQ374" s="653"/>
      <c r="CR374" s="524"/>
      <c r="CS374" s="653"/>
      <c r="CT374" s="524"/>
      <c r="CU374" s="653"/>
      <c r="CV374" s="524"/>
      <c r="CW374" s="653"/>
      <c r="CX374" s="524"/>
      <c r="CY374" s="653"/>
      <c r="CZ374" s="524"/>
      <c r="DA374" s="653"/>
      <c r="DB374" s="524"/>
      <c r="DC374" s="653">
        <v>4000000</v>
      </c>
      <c r="DD374" s="524"/>
      <c r="DE374" s="758"/>
      <c r="DF374" s="524"/>
      <c r="DG374" s="757"/>
      <c r="DH374" s="758"/>
      <c r="DI374" s="524"/>
      <c r="DJ374" s="757"/>
      <c r="DK374" s="758"/>
      <c r="DL374" s="524"/>
      <c r="DM374" s="757"/>
      <c r="DN374" s="758"/>
      <c r="DO374" s="524"/>
      <c r="DP374" s="757"/>
      <c r="DQ374" s="493">
        <f t="shared" si="194"/>
        <v>4000000</v>
      </c>
      <c r="DR374" s="479">
        <f t="shared" si="195"/>
        <v>4000000</v>
      </c>
      <c r="DS374" s="1019">
        <v>5000000</v>
      </c>
      <c r="DT374" s="1019">
        <v>5000000</v>
      </c>
      <c r="DU374" s="1019">
        <v>5000000</v>
      </c>
      <c r="DV374" s="1019">
        <v>5000000</v>
      </c>
      <c r="DW374" s="1019">
        <v>5000000</v>
      </c>
      <c r="DX374" s="1019">
        <v>5000000</v>
      </c>
      <c r="DY374" s="1019">
        <v>5000000</v>
      </c>
      <c r="DZ374" s="1019">
        <v>5000000</v>
      </c>
      <c r="EA374" s="1019">
        <v>5000000</v>
      </c>
      <c r="EB374" s="1019">
        <v>5000000</v>
      </c>
      <c r="EC374" s="1019">
        <v>5000000</v>
      </c>
      <c r="ED374" s="1019">
        <v>5000000</v>
      </c>
      <c r="EE374" s="1119">
        <f t="shared" si="202"/>
        <v>60000000</v>
      </c>
      <c r="EF374" s="443"/>
      <c r="EG374" s="443"/>
      <c r="EH374" s="443"/>
      <c r="EI374" s="443"/>
    </row>
    <row r="375" spans="1:156" outlineLevel="2">
      <c r="A375" s="367" t="s">
        <v>196</v>
      </c>
      <c r="B375" s="378"/>
      <c r="C375" s="370" t="s">
        <v>358</v>
      </c>
      <c r="D375" s="370" t="s">
        <v>108</v>
      </c>
      <c r="E375" s="396" t="s">
        <v>432</v>
      </c>
      <c r="F375" s="380">
        <v>3000019454</v>
      </c>
      <c r="G375" s="188"/>
      <c r="H375" s="13"/>
      <c r="I375" s="185"/>
      <c r="J375" s="185"/>
      <c r="K375" s="185"/>
      <c r="L375" s="185"/>
      <c r="M375" s="185"/>
      <c r="N375" s="185"/>
      <c r="O375" s="185"/>
      <c r="P375" s="185"/>
      <c r="Q375" s="185"/>
      <c r="R375" s="185"/>
      <c r="S375" s="14"/>
      <c r="T375" s="179"/>
      <c r="U375" s="188"/>
      <c r="V375" s="13"/>
      <c r="W375" s="185"/>
      <c r="X375" s="185"/>
      <c r="Y375" s="185"/>
      <c r="Z375" s="185"/>
      <c r="AA375" s="185"/>
      <c r="AB375" s="185"/>
      <c r="AC375" s="185"/>
      <c r="AD375" s="185"/>
      <c r="AE375" s="185"/>
      <c r="AF375" s="185"/>
      <c r="AG375" s="759"/>
      <c r="AH375" s="788"/>
      <c r="AI375" s="827"/>
      <c r="AJ375" s="810"/>
      <c r="AK375" s="758"/>
      <c r="AL375" s="758"/>
      <c r="AM375" s="758"/>
      <c r="AN375" s="758"/>
      <c r="AO375" s="758"/>
      <c r="AP375" s="758"/>
      <c r="AQ375" s="518"/>
      <c r="AR375" s="813"/>
      <c r="AS375" s="813"/>
      <c r="AT375" s="813"/>
      <c r="AU375" s="828"/>
      <c r="AV375" s="828"/>
      <c r="AW375" s="828"/>
      <c r="AX375" s="518">
        <f>SUM(AI375,AJ375,AK375,AL375,AM375,AN375,AO375,AP375,AQ375,AR375,AS375,AT375)</f>
        <v>0</v>
      </c>
      <c r="AY375" s="788"/>
      <c r="AZ375" s="827"/>
      <c r="BA375" s="810"/>
      <c r="BB375" s="758"/>
      <c r="BC375" s="758"/>
      <c r="BD375" s="758"/>
      <c r="BE375" s="758"/>
      <c r="BF375" s="758"/>
      <c r="BG375" s="758"/>
      <c r="BH375" s="758"/>
      <c r="BI375" s="758"/>
      <c r="BJ375" s="758"/>
      <c r="BK375" s="758"/>
      <c r="BL375" s="759"/>
      <c r="BN375" s="758"/>
      <c r="BO375" s="758"/>
      <c r="BP375" s="758"/>
      <c r="BQ375" s="758"/>
      <c r="BR375" s="758"/>
      <c r="BS375" s="758"/>
      <c r="BT375" s="758"/>
      <c r="BU375" s="758"/>
      <c r="BV375" s="758"/>
      <c r="BW375" s="758"/>
      <c r="BX375" s="758"/>
      <c r="BY375" s="758"/>
      <c r="BZ375" s="791">
        <v>0</v>
      </c>
      <c r="CB375" s="758"/>
      <c r="CC375" s="758"/>
      <c r="CD375" s="758"/>
      <c r="CE375" s="758"/>
      <c r="CF375" s="758"/>
      <c r="CG375" s="758"/>
      <c r="CH375" s="758"/>
      <c r="CI375" s="758"/>
      <c r="CJ375" s="758"/>
      <c r="CK375" s="758"/>
      <c r="CL375" s="758"/>
      <c r="CM375" s="758"/>
      <c r="CN375" s="791">
        <v>0</v>
      </c>
      <c r="CP375" s="653">
        <v>51000000</v>
      </c>
      <c r="CQ375" s="653"/>
      <c r="CR375" s="524">
        <v>50000000</v>
      </c>
      <c r="CS375" s="653">
        <v>-4250000</v>
      </c>
      <c r="CT375" s="524">
        <v>50000000</v>
      </c>
      <c r="CU375" s="653"/>
      <c r="CV375" s="524">
        <v>50000000</v>
      </c>
      <c r="CW375" s="653"/>
      <c r="CX375" s="524">
        <v>25000000</v>
      </c>
      <c r="CY375" s="653"/>
      <c r="CZ375" s="524"/>
      <c r="DA375" s="653"/>
      <c r="DB375" s="524"/>
      <c r="DC375" s="653">
        <v>0</v>
      </c>
      <c r="DD375" s="524"/>
      <c r="DE375" s="758"/>
      <c r="DF375" s="524"/>
      <c r="DG375" s="757"/>
      <c r="DH375" s="758"/>
      <c r="DI375" s="524"/>
      <c r="DJ375" s="757"/>
      <c r="DK375" s="758"/>
      <c r="DL375" s="524"/>
      <c r="DM375" s="757"/>
      <c r="DN375" s="758"/>
      <c r="DO375" s="524"/>
      <c r="DP375" s="757"/>
      <c r="DQ375" s="493">
        <f t="shared" si="194"/>
        <v>46750000</v>
      </c>
      <c r="DR375" s="479">
        <f t="shared" si="195"/>
        <v>46750000</v>
      </c>
      <c r="DS375" s="1019"/>
      <c r="DT375" s="1019"/>
      <c r="DU375" s="1019"/>
      <c r="DV375" s="1019"/>
      <c r="DW375" s="1019"/>
      <c r="DX375" s="1019"/>
      <c r="DY375" s="1019"/>
      <c r="DZ375" s="1019"/>
      <c r="EA375" s="1019"/>
      <c r="EB375" s="1019"/>
      <c r="EC375" s="1019"/>
      <c r="ED375" s="1019"/>
      <c r="EE375" s="1119">
        <f t="shared" si="202"/>
        <v>0</v>
      </c>
      <c r="EF375" s="443"/>
      <c r="EG375" s="443"/>
      <c r="EH375" s="443"/>
      <c r="EI375" s="443"/>
    </row>
    <row r="376" spans="1:156" s="251" customFormat="1" ht="18.5" outlineLevel="2">
      <c r="A376" s="988"/>
      <c r="B376" s="397"/>
      <c r="C376" s="398"/>
      <c r="D376" s="398"/>
      <c r="E376" s="399" t="s">
        <v>531</v>
      </c>
      <c r="F376" s="989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3"/>
      <c r="T376" s="254"/>
      <c r="U376" s="252"/>
      <c r="V376" s="252"/>
      <c r="W376" s="252"/>
      <c r="X376" s="252"/>
      <c r="Y376" s="252"/>
      <c r="Z376" s="252"/>
      <c r="AA376" s="252"/>
      <c r="AB376" s="252"/>
      <c r="AC376" s="252"/>
      <c r="AD376" s="252"/>
      <c r="AE376" s="252"/>
      <c r="AF376" s="252"/>
      <c r="AG376" s="804"/>
      <c r="AH376" s="801"/>
      <c r="AI376" s="805"/>
      <c r="AJ376" s="806"/>
      <c r="AK376" s="804"/>
      <c r="AL376" s="804"/>
      <c r="AM376" s="804"/>
      <c r="AN376" s="804"/>
      <c r="AO376" s="804"/>
      <c r="AP376" s="804"/>
      <c r="AQ376" s="804"/>
      <c r="AR376" s="804"/>
      <c r="AS376" s="804"/>
      <c r="AT376" s="804"/>
      <c r="AU376" s="804"/>
      <c r="AV376" s="804"/>
      <c r="AW376" s="804"/>
      <c r="AX376" s="804"/>
      <c r="AY376" s="801"/>
      <c r="AZ376" s="805"/>
      <c r="BA376" s="806"/>
      <c r="BB376" s="804"/>
      <c r="BC376" s="804"/>
      <c r="BD376" s="804"/>
      <c r="BE376" s="804"/>
      <c r="BF376" s="804"/>
      <c r="BG376" s="804"/>
      <c r="BH376" s="804"/>
      <c r="BI376" s="804"/>
      <c r="BJ376" s="804"/>
      <c r="BK376" s="804"/>
      <c r="BL376" s="804"/>
      <c r="BM376" s="983"/>
      <c r="BN376" s="468">
        <f t="shared" ref="BN376:BZ376" si="203">SUM(BN377:BN400)</f>
        <v>65000000</v>
      </c>
      <c r="BO376" s="468">
        <f t="shared" si="203"/>
        <v>65000000</v>
      </c>
      <c r="BP376" s="468">
        <f t="shared" si="203"/>
        <v>65000000</v>
      </c>
      <c r="BQ376" s="468">
        <f t="shared" si="203"/>
        <v>75000000</v>
      </c>
      <c r="BR376" s="468">
        <f t="shared" si="203"/>
        <v>68250000</v>
      </c>
      <c r="BS376" s="468">
        <f t="shared" si="203"/>
        <v>65000000</v>
      </c>
      <c r="BT376" s="468">
        <f t="shared" si="203"/>
        <v>65000000</v>
      </c>
      <c r="BU376" s="468">
        <f t="shared" si="203"/>
        <v>65000000</v>
      </c>
      <c r="BV376" s="468">
        <f t="shared" si="203"/>
        <v>75000000</v>
      </c>
      <c r="BW376" s="468">
        <f t="shared" si="203"/>
        <v>75000000</v>
      </c>
      <c r="BX376" s="468">
        <f t="shared" si="203"/>
        <v>85000000</v>
      </c>
      <c r="BY376" s="468">
        <f t="shared" si="203"/>
        <v>80000000</v>
      </c>
      <c r="BZ376" s="468">
        <f t="shared" si="203"/>
        <v>848250000</v>
      </c>
      <c r="CA376" s="3"/>
      <c r="CB376" s="468">
        <f t="shared" ref="CB376:CM376" si="204">SUM(CB377:CB400)</f>
        <v>65000000</v>
      </c>
      <c r="CC376" s="468">
        <f t="shared" si="204"/>
        <v>65000000</v>
      </c>
      <c r="CD376" s="468">
        <f t="shared" si="204"/>
        <v>65000000</v>
      </c>
      <c r="CE376" s="468">
        <f t="shared" si="204"/>
        <v>75000000</v>
      </c>
      <c r="CF376" s="468">
        <f t="shared" si="204"/>
        <v>68250000</v>
      </c>
      <c r="CG376" s="468">
        <f t="shared" si="204"/>
        <v>65000000</v>
      </c>
      <c r="CH376" s="468">
        <f t="shared" si="204"/>
        <v>65000000</v>
      </c>
      <c r="CI376" s="468">
        <f t="shared" si="204"/>
        <v>65000000</v>
      </c>
      <c r="CJ376" s="468">
        <f t="shared" si="204"/>
        <v>75000000</v>
      </c>
      <c r="CK376" s="468">
        <f t="shared" si="204"/>
        <v>75000000</v>
      </c>
      <c r="CL376" s="468">
        <f t="shared" si="204"/>
        <v>85000000</v>
      </c>
      <c r="CM376" s="468">
        <f t="shared" si="204"/>
        <v>80000000</v>
      </c>
      <c r="CN376" s="468">
        <f>SUM(CN377:CN400)</f>
        <v>848250000</v>
      </c>
      <c r="CO376" s="983"/>
      <c r="CP376" s="468">
        <f>SUM(CP377:CP400)</f>
        <v>0</v>
      </c>
      <c r="CQ376" s="468">
        <f t="shared" ref="CQ376:DP376" si="205">SUM(CQ377:CQ400)</f>
        <v>0</v>
      </c>
      <c r="CR376" s="468">
        <f t="shared" si="205"/>
        <v>0</v>
      </c>
      <c r="CS376" s="468">
        <f t="shared" si="205"/>
        <v>0</v>
      </c>
      <c r="CT376" s="468">
        <f t="shared" si="205"/>
        <v>30000000</v>
      </c>
      <c r="CU376" s="468">
        <f t="shared" si="205"/>
        <v>0</v>
      </c>
      <c r="CV376" s="468">
        <f t="shared" si="205"/>
        <v>30000000</v>
      </c>
      <c r="CW376" s="468">
        <f t="shared" si="205"/>
        <v>4550000</v>
      </c>
      <c r="CX376" s="468">
        <f t="shared" si="205"/>
        <v>60000000</v>
      </c>
      <c r="CY376" s="468">
        <f t="shared" si="205"/>
        <v>34850000</v>
      </c>
      <c r="CZ376" s="468">
        <f t="shared" si="205"/>
        <v>1282500000</v>
      </c>
      <c r="DA376" s="468">
        <f t="shared" si="205"/>
        <v>124700000</v>
      </c>
      <c r="DB376" s="468">
        <f t="shared" si="205"/>
        <v>1782500000</v>
      </c>
      <c r="DC376" s="468">
        <f t="shared" si="205"/>
        <v>60700000</v>
      </c>
      <c r="DD376" s="468">
        <f t="shared" si="205"/>
        <v>1782500000</v>
      </c>
      <c r="DE376" s="468">
        <f t="shared" si="205"/>
        <v>0</v>
      </c>
      <c r="DF376" s="468">
        <f>SUM(DF377:DF400)</f>
        <v>1782500000</v>
      </c>
      <c r="DG376" s="468">
        <f t="shared" si="205"/>
        <v>1407500000</v>
      </c>
      <c r="DH376" s="468">
        <f t="shared" si="205"/>
        <v>0</v>
      </c>
      <c r="DI376" s="468">
        <f>SUM(DI377:DI400)</f>
        <v>1807500000</v>
      </c>
      <c r="DJ376" s="468">
        <f t="shared" si="205"/>
        <v>1432500000</v>
      </c>
      <c r="DK376" s="468">
        <f t="shared" si="205"/>
        <v>0</v>
      </c>
      <c r="DL376" s="468">
        <f>SUM(DL377:DL400)</f>
        <v>1882500000</v>
      </c>
      <c r="DM376" s="468">
        <f>SUM(DM377:DM400)</f>
        <v>1457500000</v>
      </c>
      <c r="DN376" s="468">
        <f t="shared" si="205"/>
        <v>0</v>
      </c>
      <c r="DO376" s="468">
        <f>SUM(DO377:DO400)</f>
        <v>1882500000</v>
      </c>
      <c r="DP376" s="468">
        <f t="shared" si="205"/>
        <v>1457500000</v>
      </c>
      <c r="DQ376" s="468">
        <f>SUM(DQ377:DQ400)</f>
        <v>7579800000</v>
      </c>
      <c r="DR376" s="468">
        <f>SUM(DR377:DR400)</f>
        <v>5979800000</v>
      </c>
      <c r="DS376" s="445">
        <f>SUM(DS377:DS408)</f>
        <v>1020000000</v>
      </c>
      <c r="DT376" s="445">
        <f t="shared" ref="DT376:ED376" si="206">SUM(DT377:DT408)</f>
        <v>1020000000</v>
      </c>
      <c r="DU376" s="445">
        <f t="shared" si="206"/>
        <v>1170000000</v>
      </c>
      <c r="DV376" s="445">
        <f t="shared" si="206"/>
        <v>1170000000</v>
      </c>
      <c r="DW376" s="445">
        <f t="shared" si="206"/>
        <v>1020000000</v>
      </c>
      <c r="DX376" s="445">
        <f t="shared" si="206"/>
        <v>1020000000</v>
      </c>
      <c r="DY376" s="445">
        <f t="shared" si="206"/>
        <v>1020000000</v>
      </c>
      <c r="DZ376" s="445">
        <f t="shared" si="206"/>
        <v>1020000000</v>
      </c>
      <c r="EA376" s="445">
        <f t="shared" si="206"/>
        <v>1020000000</v>
      </c>
      <c r="EB376" s="445">
        <f t="shared" si="206"/>
        <v>1120000000</v>
      </c>
      <c r="EC376" s="445">
        <f t="shared" si="206"/>
        <v>1195000000</v>
      </c>
      <c r="ED376" s="445">
        <f t="shared" si="206"/>
        <v>1195000000</v>
      </c>
      <c r="EE376" s="1120">
        <f>SUM(EE377:EE408)</f>
        <v>12990000000</v>
      </c>
      <c r="EF376" s="445">
        <f>SUM(EF377:EF400)</f>
        <v>38134150000</v>
      </c>
      <c r="EG376" s="445">
        <f>SUM(EG377:EG400)</f>
        <v>58028882000</v>
      </c>
      <c r="EH376" s="445">
        <f>SUM(EH377:EH400)</f>
        <v>95700000000</v>
      </c>
      <c r="EI376" s="445">
        <f>SUM(EI377:EI400)</f>
        <v>95700000000</v>
      </c>
      <c r="EJ376" s="988"/>
      <c r="EK376" s="988"/>
      <c r="EL376" s="990"/>
      <c r="EM376" s="990"/>
      <c r="EN376" s="990"/>
      <c r="EO376" s="990"/>
      <c r="EP376" s="990"/>
      <c r="EQ376" s="990"/>
      <c r="ER376" s="990"/>
      <c r="ES376" s="990"/>
      <c r="ET376" s="990"/>
      <c r="EU376" s="990"/>
      <c r="EV376" s="990"/>
      <c r="EW376" s="990"/>
      <c r="EX376" s="990"/>
      <c r="EY376" s="990"/>
      <c r="EZ376" s="990"/>
    </row>
    <row r="377" spans="1:156" outlineLevel="2">
      <c r="A377" s="389"/>
      <c r="B377" s="378"/>
      <c r="C377" s="370" t="s">
        <v>358</v>
      </c>
      <c r="D377" s="297" t="s">
        <v>121</v>
      </c>
      <c r="E377" s="396" t="s">
        <v>640</v>
      </c>
      <c r="F377" s="380"/>
      <c r="G377" s="19"/>
      <c r="H377" s="1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37"/>
      <c r="U377" s="19"/>
      <c r="V377" s="13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37"/>
      <c r="AI377" s="19"/>
      <c r="AJ377" s="810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37"/>
      <c r="AZ377" s="19"/>
      <c r="BA377" s="810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N377" s="759"/>
      <c r="BO377" s="810"/>
      <c r="BP377" s="758"/>
      <c r="BQ377" s="758"/>
      <c r="BR377" s="758"/>
      <c r="BS377" s="758"/>
      <c r="BT377" s="758"/>
      <c r="BU377" s="758"/>
      <c r="BV377" s="758"/>
      <c r="BW377" s="758"/>
      <c r="BX377" s="758"/>
      <c r="BY377" s="758"/>
      <c r="BZ377" s="799"/>
      <c r="CB377" s="759"/>
      <c r="CC377" s="810"/>
      <c r="CD377" s="758"/>
      <c r="CE377" s="758"/>
      <c r="CF377" s="758"/>
      <c r="CG377" s="758"/>
      <c r="CH377" s="758"/>
      <c r="CI377" s="758"/>
      <c r="CJ377" s="758"/>
      <c r="CK377" s="758"/>
      <c r="CL377" s="758"/>
      <c r="CM377" s="758"/>
      <c r="CN377" s="6"/>
      <c r="CP377" s="647"/>
      <c r="CQ377" s="647"/>
      <c r="CR377" s="518"/>
      <c r="CS377" s="647"/>
      <c r="CT377" s="518"/>
      <c r="CU377" s="647"/>
      <c r="CV377" s="518"/>
      <c r="CW377" s="647"/>
      <c r="CX377" s="518"/>
      <c r="CY377" s="647"/>
      <c r="CZ377" s="518">
        <v>50000000</v>
      </c>
      <c r="DA377" s="647"/>
      <c r="DB377" s="518">
        <v>50000000</v>
      </c>
      <c r="DC377" s="647">
        <v>0</v>
      </c>
      <c r="DD377" s="518">
        <v>50000000</v>
      </c>
      <c r="DE377" s="758"/>
      <c r="DF377" s="518">
        <v>50000000</v>
      </c>
      <c r="DG377" s="757">
        <v>50000000</v>
      </c>
      <c r="DH377" s="758"/>
      <c r="DI377" s="518">
        <v>50000000</v>
      </c>
      <c r="DJ377" s="757">
        <v>50000000</v>
      </c>
      <c r="DK377" s="758"/>
      <c r="DL377" s="518">
        <v>50000000</v>
      </c>
      <c r="DM377" s="757">
        <v>50000000</v>
      </c>
      <c r="DN377" s="758"/>
      <c r="DO377" s="518">
        <v>50000000</v>
      </c>
      <c r="DP377" s="757">
        <v>50000000</v>
      </c>
      <c r="DQ377" s="493">
        <f t="shared" ref="DQ377:DQ400" si="207">SUM(CP377,CQ377,CS377,CU377,CW377,CY377,DA377,DC377,DF377,DI377,DL377,DO377)</f>
        <v>200000000</v>
      </c>
      <c r="DR377" s="479">
        <f t="shared" si="195"/>
        <v>200000000</v>
      </c>
      <c r="DS377" s="1163"/>
      <c r="DT377" s="1163"/>
      <c r="DU377" s="1163"/>
      <c r="DV377" s="1163"/>
      <c r="DW377" s="1163"/>
      <c r="DX377" s="1163"/>
      <c r="DY377" s="1163"/>
      <c r="DZ377" s="1163"/>
      <c r="EA377" s="1163"/>
      <c r="EB377" s="1163"/>
      <c r="EC377" s="1163"/>
      <c r="ED377" s="1163"/>
      <c r="EE377" s="1119">
        <f t="shared" si="202"/>
        <v>0</v>
      </c>
      <c r="EF377" s="457"/>
      <c r="EG377" s="457"/>
      <c r="EH377" s="457"/>
      <c r="EI377" s="457"/>
    </row>
    <row r="378" spans="1:156" outlineLevel="2">
      <c r="A378" s="367" t="s">
        <v>194</v>
      </c>
      <c r="B378" s="378"/>
      <c r="C378" s="370" t="s">
        <v>358</v>
      </c>
      <c r="D378" s="297" t="s">
        <v>121</v>
      </c>
      <c r="E378" s="396" t="s">
        <v>455</v>
      </c>
      <c r="F378" s="380">
        <v>3000000215</v>
      </c>
      <c r="G378" s="188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f>SUM(G378,H378,I378,J378,K378,L378,M378,N378,O378,P378,Q378,R378)</f>
        <v>0</v>
      </c>
      <c r="T378" s="179"/>
      <c r="U378" s="188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759">
        <f>SUM(U378,V378,W378,X378,Y378,Z378,AA378,AB378,AC378,AD378,AE378,AF378)</f>
        <v>0</v>
      </c>
      <c r="AH378" s="788"/>
      <c r="AI378" s="827"/>
      <c r="AJ378" s="810"/>
      <c r="AK378" s="758"/>
      <c r="AL378" s="758">
        <v>0</v>
      </c>
      <c r="AM378" s="758"/>
      <c r="AN378" s="758"/>
      <c r="AO378" s="758"/>
      <c r="AP378" s="758">
        <v>1840000</v>
      </c>
      <c r="AQ378" s="518">
        <v>-1840000</v>
      </c>
      <c r="AR378" s="518"/>
      <c r="AS378" s="518"/>
      <c r="AT378" s="518"/>
      <c r="AU378" s="518">
        <f>BI378</f>
        <v>0</v>
      </c>
      <c r="AV378" s="518">
        <f>BJ378</f>
        <v>0</v>
      </c>
      <c r="AW378" s="518">
        <f>BK378</f>
        <v>0</v>
      </c>
      <c r="AX378" s="518">
        <f>SUM(AI378,AJ378,AK378,AL378,AM378,AN378,AO378,AP378,AQ378,AR378,AS378,AT378)</f>
        <v>0</v>
      </c>
      <c r="AY378" s="788"/>
      <c r="AZ378" s="827"/>
      <c r="BA378" s="810"/>
      <c r="BB378" s="758"/>
      <c r="BC378" s="758">
        <v>0</v>
      </c>
      <c r="BD378" s="758"/>
      <c r="BE378" s="758"/>
      <c r="BF378" s="758"/>
      <c r="BG378" s="518">
        <f>AP378</f>
        <v>1840000</v>
      </c>
      <c r="BH378" s="758">
        <v>0</v>
      </c>
      <c r="BI378" s="758">
        <v>0</v>
      </c>
      <c r="BJ378" s="758">
        <v>0</v>
      </c>
      <c r="BK378" s="758">
        <v>0</v>
      </c>
      <c r="BL378" s="759">
        <f>SUM(AZ378,BA378,BB378,BC378,BD378,BE378,BF378,BG378,BH378,BI378,BJ378,BK378)</f>
        <v>1840000</v>
      </c>
      <c r="BN378" s="758">
        <v>20000000</v>
      </c>
      <c r="BO378" s="758">
        <v>20000000</v>
      </c>
      <c r="BP378" s="758">
        <v>20000000</v>
      </c>
      <c r="BQ378" s="758">
        <v>20000000</v>
      </c>
      <c r="BR378" s="758">
        <f>BQ378*0.85</f>
        <v>17000000</v>
      </c>
      <c r="BS378" s="758">
        <v>20000000</v>
      </c>
      <c r="BT378" s="758">
        <v>20000000</v>
      </c>
      <c r="BU378" s="758">
        <v>20000000</v>
      </c>
      <c r="BV378" s="758">
        <v>20000000</v>
      </c>
      <c r="BW378" s="758">
        <v>20000000</v>
      </c>
      <c r="BX378" s="758">
        <v>20000000</v>
      </c>
      <c r="BY378" s="758">
        <v>20000000</v>
      </c>
      <c r="BZ378" s="791">
        <v>237000000</v>
      </c>
      <c r="CB378" s="758">
        <v>20000000</v>
      </c>
      <c r="CC378" s="758">
        <v>20000000</v>
      </c>
      <c r="CD378" s="758">
        <v>20000000</v>
      </c>
      <c r="CE378" s="758">
        <v>20000000</v>
      </c>
      <c r="CF378" s="758">
        <f>CE378*0.85</f>
        <v>17000000</v>
      </c>
      <c r="CG378" s="758">
        <v>20000000</v>
      </c>
      <c r="CH378" s="758">
        <v>20000000</v>
      </c>
      <c r="CI378" s="758">
        <v>20000000</v>
      </c>
      <c r="CJ378" s="758">
        <v>20000000</v>
      </c>
      <c r="CK378" s="758">
        <v>20000000</v>
      </c>
      <c r="CL378" s="758">
        <v>20000000</v>
      </c>
      <c r="CM378" s="758">
        <v>20000000</v>
      </c>
      <c r="CN378" s="791">
        <v>237000000</v>
      </c>
      <c r="CP378" s="653"/>
      <c r="CQ378" s="653"/>
      <c r="CR378" s="524"/>
      <c r="CS378" s="653"/>
      <c r="CT378" s="524"/>
      <c r="CU378" s="653"/>
      <c r="CV378" s="524"/>
      <c r="CW378" s="653"/>
      <c r="CX378" s="524"/>
      <c r="CY378" s="653"/>
      <c r="CZ378" s="524"/>
      <c r="DA378" s="653"/>
      <c r="DB378" s="524"/>
      <c r="DC378" s="653">
        <v>0</v>
      </c>
      <c r="DD378" s="524"/>
      <c r="DE378" s="758"/>
      <c r="DF378" s="524"/>
      <c r="DG378" s="757"/>
      <c r="DH378" s="758"/>
      <c r="DI378" s="524"/>
      <c r="DJ378" s="757"/>
      <c r="DK378" s="758"/>
      <c r="DL378" s="524"/>
      <c r="DM378" s="757"/>
      <c r="DN378" s="758"/>
      <c r="DO378" s="524"/>
      <c r="DP378" s="757"/>
      <c r="DQ378" s="493">
        <f t="shared" si="207"/>
        <v>0</v>
      </c>
      <c r="DR378" s="479">
        <f t="shared" si="195"/>
        <v>0</v>
      </c>
      <c r="DS378" s="1019"/>
      <c r="DT378" s="1019"/>
      <c r="DU378" s="1019"/>
      <c r="DV378" s="1019"/>
      <c r="DW378" s="1019"/>
      <c r="DX378" s="1019"/>
      <c r="DY378" s="1019"/>
      <c r="DZ378" s="1019"/>
      <c r="EA378" s="1019"/>
      <c r="EB378" s="1019"/>
      <c r="EC378" s="1019"/>
      <c r="ED378" s="1019"/>
      <c r="EE378" s="1119">
        <f t="shared" si="202"/>
        <v>0</v>
      </c>
      <c r="EF378" s="443">
        <f>EE378*1.17</f>
        <v>0</v>
      </c>
      <c r="EG378" s="443">
        <v>800000000</v>
      </c>
      <c r="EH378" s="443">
        <f>300000000*12</f>
        <v>3600000000</v>
      </c>
      <c r="EI378" s="443">
        <f>300000000*12</f>
        <v>3600000000</v>
      </c>
      <c r="EJ378" s="367">
        <v>3000000215</v>
      </c>
    </row>
    <row r="379" spans="1:156" outlineLevel="2">
      <c r="A379" s="367" t="s">
        <v>194</v>
      </c>
      <c r="B379" s="378"/>
      <c r="C379" s="370" t="s">
        <v>358</v>
      </c>
      <c r="D379" s="297" t="s">
        <v>121</v>
      </c>
      <c r="E379" s="396" t="s">
        <v>390</v>
      </c>
      <c r="F379" s="380"/>
      <c r="G379" s="180"/>
      <c r="H379" s="1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181"/>
      <c r="U379" s="180"/>
      <c r="V379" s="13"/>
      <c r="W379" s="6"/>
      <c r="X379" s="6"/>
      <c r="Y379" s="6"/>
      <c r="Z379" s="6"/>
      <c r="AA379" s="6"/>
      <c r="AB379" s="6"/>
      <c r="AC379" s="6"/>
      <c r="AD379" s="6"/>
      <c r="AE379" s="175">
        <v>15000000</v>
      </c>
      <c r="AF379" s="6"/>
      <c r="AG379" s="6"/>
      <c r="AH379" s="181"/>
      <c r="AI379" s="180"/>
      <c r="AJ379" s="810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181"/>
      <c r="AZ379" s="180"/>
      <c r="BA379" s="810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N379" s="759"/>
      <c r="BO379" s="810"/>
      <c r="BP379" s="758"/>
      <c r="BQ379" s="758"/>
      <c r="BR379" s="758"/>
      <c r="BS379" s="758"/>
      <c r="BT379" s="758"/>
      <c r="BU379" s="758"/>
      <c r="BV379" s="758"/>
      <c r="BW379" s="758"/>
      <c r="BX379" s="758"/>
      <c r="BY379" s="758"/>
      <c r="BZ379" s="799"/>
      <c r="CB379" s="759"/>
      <c r="CC379" s="810"/>
      <c r="CD379" s="758"/>
      <c r="CE379" s="758"/>
      <c r="CF379" s="758"/>
      <c r="CG379" s="758"/>
      <c r="CH379" s="758"/>
      <c r="CI379" s="758"/>
      <c r="CJ379" s="758"/>
      <c r="CK379" s="758"/>
      <c r="CL379" s="758"/>
      <c r="CM379" s="758"/>
      <c r="CN379" s="6"/>
      <c r="CP379" s="647"/>
      <c r="CQ379" s="647"/>
      <c r="CR379" s="518"/>
      <c r="CS379" s="647"/>
      <c r="CT379" s="518"/>
      <c r="CU379" s="647"/>
      <c r="CV379" s="518"/>
      <c r="CW379" s="647"/>
      <c r="CX379" s="518"/>
      <c r="CY379" s="647"/>
      <c r="CZ379" s="518">
        <v>0</v>
      </c>
      <c r="DA379" s="647"/>
      <c r="DB379" s="518">
        <v>50000000</v>
      </c>
      <c r="DC379" s="647">
        <v>0</v>
      </c>
      <c r="DD379" s="518">
        <v>50000000</v>
      </c>
      <c r="DE379" s="758"/>
      <c r="DF379" s="518">
        <v>50000000</v>
      </c>
      <c r="DG379" s="757">
        <v>50000000</v>
      </c>
      <c r="DH379" s="758"/>
      <c r="DI379" s="518">
        <v>50000000</v>
      </c>
      <c r="DJ379" s="757">
        <v>50000000</v>
      </c>
      <c r="DK379" s="758"/>
      <c r="DL379" s="518">
        <v>50000000</v>
      </c>
      <c r="DM379" s="757">
        <v>50000000</v>
      </c>
      <c r="DN379" s="758"/>
      <c r="DO379" s="518">
        <v>50000000</v>
      </c>
      <c r="DP379" s="757">
        <v>50000000</v>
      </c>
      <c r="DQ379" s="493">
        <f t="shared" si="207"/>
        <v>200000000</v>
      </c>
      <c r="DR379" s="479">
        <f t="shared" si="195"/>
        <v>200000000</v>
      </c>
      <c r="DS379" s="1163"/>
      <c r="DT379" s="1163"/>
      <c r="DU379" s="1163"/>
      <c r="DV379" s="1163"/>
      <c r="DW379" s="1163"/>
      <c r="DX379" s="1163"/>
      <c r="DY379" s="1163"/>
      <c r="DZ379" s="1163"/>
      <c r="EA379" s="1163"/>
      <c r="EB379" s="1163"/>
      <c r="EC379" s="1163"/>
      <c r="ED379" s="1163"/>
      <c r="EE379" s="1119">
        <f t="shared" si="202"/>
        <v>0</v>
      </c>
      <c r="EF379" s="457">
        <v>2495610000</v>
      </c>
      <c r="EG379" s="457">
        <v>3695258800</v>
      </c>
      <c r="EH379" s="457">
        <v>5500000000</v>
      </c>
      <c r="EI379" s="457">
        <v>5500000000</v>
      </c>
    </row>
    <row r="380" spans="1:156" outlineLevel="2">
      <c r="A380" s="367" t="s">
        <v>194</v>
      </c>
      <c r="B380" s="378"/>
      <c r="C380" s="370" t="s">
        <v>358</v>
      </c>
      <c r="D380" s="297" t="s">
        <v>121</v>
      </c>
      <c r="E380" s="396" t="s">
        <v>208</v>
      </c>
      <c r="F380" s="380">
        <v>3000015986</v>
      </c>
      <c r="G380" s="188"/>
      <c r="H380" s="13"/>
      <c r="I380" s="185"/>
      <c r="J380" s="185"/>
      <c r="K380" s="185"/>
      <c r="L380" s="185"/>
      <c r="M380" s="185"/>
      <c r="N380" s="185"/>
      <c r="O380" s="185"/>
      <c r="P380" s="185"/>
      <c r="Q380" s="185"/>
      <c r="R380" s="185"/>
      <c r="S380" s="14"/>
      <c r="T380" s="179"/>
      <c r="U380" s="188"/>
      <c r="V380" s="13"/>
      <c r="W380" s="185"/>
      <c r="X380" s="185"/>
      <c r="Y380" s="185"/>
      <c r="Z380" s="185"/>
      <c r="AA380" s="185"/>
      <c r="AB380" s="185"/>
      <c r="AC380" s="185"/>
      <c r="AD380" s="185"/>
      <c r="AE380" s="185"/>
      <c r="AF380" s="185"/>
      <c r="AG380" s="759"/>
      <c r="AH380" s="788"/>
      <c r="AI380" s="827"/>
      <c r="AJ380" s="810"/>
      <c r="AK380" s="758"/>
      <c r="AL380" s="758"/>
      <c r="AM380" s="758"/>
      <c r="AN380" s="758"/>
      <c r="AO380" s="758"/>
      <c r="AP380" s="758"/>
      <c r="AQ380" s="518"/>
      <c r="AR380" s="518"/>
      <c r="AS380" s="518"/>
      <c r="AT380" s="518"/>
      <c r="AU380" s="828"/>
      <c r="AV380" s="828"/>
      <c r="AW380" s="828"/>
      <c r="AX380" s="518">
        <f>SUM(AI380,AJ380,AK380,AL380,AM380,AN380,AO380,AP380,AQ380,AR380,AS380,AT380)</f>
        <v>0</v>
      </c>
      <c r="AY380" s="788"/>
      <c r="AZ380" s="827"/>
      <c r="BA380" s="810"/>
      <c r="BB380" s="758"/>
      <c r="BC380" s="758"/>
      <c r="BD380" s="758"/>
      <c r="BE380" s="758"/>
      <c r="BF380" s="758"/>
      <c r="BG380" s="758"/>
      <c r="BH380" s="758"/>
      <c r="BI380" s="758"/>
      <c r="BJ380" s="758"/>
      <c r="BK380" s="758"/>
      <c r="BL380" s="759"/>
      <c r="BN380" s="759">
        <v>30000000</v>
      </c>
      <c r="BO380" s="759">
        <v>30000000</v>
      </c>
      <c r="BP380" s="759">
        <v>30000000</v>
      </c>
      <c r="BQ380" s="759">
        <v>30000000</v>
      </c>
      <c r="BR380" s="759">
        <v>30000000</v>
      </c>
      <c r="BS380" s="759">
        <v>30000000</v>
      </c>
      <c r="BT380" s="759">
        <v>30000000</v>
      </c>
      <c r="BU380" s="759">
        <v>30000000</v>
      </c>
      <c r="BV380" s="759">
        <v>40000000</v>
      </c>
      <c r="BW380" s="759">
        <v>40000000</v>
      </c>
      <c r="BX380" s="759">
        <v>40000000</v>
      </c>
      <c r="BY380" s="759">
        <v>40000000</v>
      </c>
      <c r="BZ380" s="791">
        <v>400000000</v>
      </c>
      <c r="CB380" s="759">
        <v>30000000</v>
      </c>
      <c r="CC380" s="759">
        <v>30000000</v>
      </c>
      <c r="CD380" s="759">
        <v>30000000</v>
      </c>
      <c r="CE380" s="759">
        <v>30000000</v>
      </c>
      <c r="CF380" s="759">
        <v>30000000</v>
      </c>
      <c r="CG380" s="759">
        <v>30000000</v>
      </c>
      <c r="CH380" s="759">
        <v>30000000</v>
      </c>
      <c r="CI380" s="759">
        <v>30000000</v>
      </c>
      <c r="CJ380" s="759">
        <v>40000000</v>
      </c>
      <c r="CK380" s="759">
        <v>40000000</v>
      </c>
      <c r="CL380" s="759">
        <v>40000000</v>
      </c>
      <c r="CM380" s="759">
        <v>40000000</v>
      </c>
      <c r="CN380" s="791">
        <v>400000000</v>
      </c>
      <c r="CP380" s="647"/>
      <c r="CQ380" s="647"/>
      <c r="CR380" s="518"/>
      <c r="CS380" s="647"/>
      <c r="CT380" s="518"/>
      <c r="CU380" s="647"/>
      <c r="CV380" s="518"/>
      <c r="CW380" s="647"/>
      <c r="CX380" s="518"/>
      <c r="CY380" s="647"/>
      <c r="CZ380" s="518"/>
      <c r="DA380" s="647"/>
      <c r="DB380" s="518"/>
      <c r="DC380" s="647">
        <v>0</v>
      </c>
      <c r="DD380" s="518"/>
      <c r="DE380" s="759"/>
      <c r="DF380" s="518"/>
      <c r="DG380" s="748"/>
      <c r="DH380" s="759"/>
      <c r="DI380" s="518"/>
      <c r="DJ380" s="748"/>
      <c r="DK380" s="759"/>
      <c r="DL380" s="518"/>
      <c r="DM380" s="748"/>
      <c r="DN380" s="759"/>
      <c r="DO380" s="518"/>
      <c r="DP380" s="748"/>
      <c r="DQ380" s="493">
        <f t="shared" si="207"/>
        <v>0</v>
      </c>
      <c r="DR380" s="479">
        <f t="shared" si="195"/>
        <v>0</v>
      </c>
      <c r="DS380" s="1163"/>
      <c r="DT380" s="1163"/>
      <c r="DU380" s="1163"/>
      <c r="DV380" s="1163"/>
      <c r="DW380" s="1163"/>
      <c r="DX380" s="1163"/>
      <c r="DY380" s="1163"/>
      <c r="DZ380" s="1163"/>
      <c r="EA380" s="1163"/>
      <c r="EB380" s="1163"/>
      <c r="EC380" s="1163"/>
      <c r="ED380" s="1163"/>
      <c r="EE380" s="1119">
        <f t="shared" si="202"/>
        <v>0</v>
      </c>
      <c r="EF380" s="443">
        <v>700000000</v>
      </c>
      <c r="EG380" s="443">
        <f>100000000*12</f>
        <v>1200000000</v>
      </c>
      <c r="EH380" s="443">
        <f>200000000*12</f>
        <v>2400000000</v>
      </c>
      <c r="EI380" s="443">
        <f>200000000*12</f>
        <v>2400000000</v>
      </c>
      <c r="EJ380" s="367">
        <v>3000015986</v>
      </c>
    </row>
    <row r="381" spans="1:156" outlineLevel="2">
      <c r="A381" s="389" t="s">
        <v>276</v>
      </c>
      <c r="B381" s="378"/>
      <c r="C381" s="370" t="s">
        <v>358</v>
      </c>
      <c r="D381" s="297" t="s">
        <v>121</v>
      </c>
      <c r="E381" s="396" t="s">
        <v>641</v>
      </c>
      <c r="F381" s="380"/>
      <c r="G381" s="180"/>
      <c r="H381" s="1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181"/>
      <c r="U381" s="180"/>
      <c r="V381" s="13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181"/>
      <c r="AI381" s="180"/>
      <c r="AJ381" s="810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181"/>
      <c r="AZ381" s="180"/>
      <c r="BA381" s="810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N381" s="759"/>
      <c r="BO381" s="810"/>
      <c r="BP381" s="758"/>
      <c r="BQ381" s="758"/>
      <c r="BR381" s="758"/>
      <c r="BS381" s="758"/>
      <c r="BT381" s="758"/>
      <c r="BU381" s="758"/>
      <c r="BV381" s="758"/>
      <c r="BW381" s="758"/>
      <c r="BX381" s="758"/>
      <c r="BY381" s="758"/>
      <c r="BZ381" s="799"/>
      <c r="CB381" s="759"/>
      <c r="CC381" s="810"/>
      <c r="CD381" s="758"/>
      <c r="CE381" s="758"/>
      <c r="CF381" s="758"/>
      <c r="CG381" s="758"/>
      <c r="CH381" s="758"/>
      <c r="CI381" s="758"/>
      <c r="CJ381" s="758"/>
      <c r="CK381" s="758"/>
      <c r="CL381" s="758"/>
      <c r="CM381" s="758"/>
      <c r="CN381" s="6"/>
      <c r="CP381" s="647"/>
      <c r="CQ381" s="647"/>
      <c r="CR381" s="518"/>
      <c r="CS381" s="647"/>
      <c r="CT381" s="518"/>
      <c r="CU381" s="647"/>
      <c r="CV381" s="518"/>
      <c r="CW381" s="647"/>
      <c r="CX381" s="518"/>
      <c r="CY381" s="647"/>
      <c r="CZ381" s="518">
        <v>200000000</v>
      </c>
      <c r="DA381" s="647"/>
      <c r="DB381" s="518">
        <v>200000000</v>
      </c>
      <c r="DC381" s="647">
        <v>0</v>
      </c>
      <c r="DD381" s="518">
        <v>200000000</v>
      </c>
      <c r="DE381" s="758"/>
      <c r="DF381" s="518">
        <v>200000000</v>
      </c>
      <c r="DG381" s="757">
        <v>150000000</v>
      </c>
      <c r="DH381" s="758"/>
      <c r="DI381" s="518">
        <v>200000000</v>
      </c>
      <c r="DJ381" s="757">
        <v>150000000</v>
      </c>
      <c r="DK381" s="758"/>
      <c r="DL381" s="518">
        <v>200000000</v>
      </c>
      <c r="DM381" s="757">
        <v>150000000</v>
      </c>
      <c r="DN381" s="758"/>
      <c r="DO381" s="518">
        <v>200000000</v>
      </c>
      <c r="DP381" s="757">
        <v>150000000</v>
      </c>
      <c r="DQ381" s="493">
        <f t="shared" si="207"/>
        <v>800000000</v>
      </c>
      <c r="DR381" s="479">
        <f t="shared" si="195"/>
        <v>600000000</v>
      </c>
      <c r="DS381" s="1163"/>
      <c r="DT381" s="1163"/>
      <c r="DU381" s="1163"/>
      <c r="DV381" s="1163"/>
      <c r="DW381" s="1163"/>
      <c r="DX381" s="1163"/>
      <c r="DY381" s="1163"/>
      <c r="DZ381" s="1163"/>
      <c r="EA381" s="1163"/>
      <c r="EB381" s="1163"/>
      <c r="EC381" s="1163"/>
      <c r="ED381" s="1163"/>
      <c r="EE381" s="1119">
        <f t="shared" si="202"/>
        <v>0</v>
      </c>
      <c r="EF381" s="457"/>
      <c r="EG381" s="457"/>
      <c r="EH381" s="457"/>
      <c r="EI381" s="457"/>
    </row>
    <row r="382" spans="1:156" outlineLevel="2">
      <c r="A382" s="367" t="s">
        <v>196</v>
      </c>
      <c r="B382" s="378"/>
      <c r="C382" s="370" t="s">
        <v>358</v>
      </c>
      <c r="D382" s="297" t="s">
        <v>121</v>
      </c>
      <c r="E382" s="396" t="s">
        <v>642</v>
      </c>
      <c r="F382" s="380"/>
      <c r="G382" s="19"/>
      <c r="H382" s="1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181"/>
      <c r="U382" s="19"/>
      <c r="V382" s="13"/>
      <c r="W382" s="6"/>
      <c r="X382" s="6"/>
      <c r="Y382" s="6"/>
      <c r="Z382" s="6"/>
      <c r="AA382" s="6"/>
      <c r="AB382" s="6"/>
      <c r="AC382" s="175">
        <v>50000000</v>
      </c>
      <c r="AD382" s="6"/>
      <c r="AE382" s="175">
        <v>200000000</v>
      </c>
      <c r="AF382" s="6"/>
      <c r="AG382" s="6"/>
      <c r="AH382" s="181"/>
      <c r="AI382" s="180"/>
      <c r="AJ382" s="810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181"/>
      <c r="AZ382" s="180"/>
      <c r="BA382" s="810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N382" s="759"/>
      <c r="BO382" s="810"/>
      <c r="BP382" s="758"/>
      <c r="BQ382" s="758"/>
      <c r="BR382" s="758"/>
      <c r="BS382" s="758"/>
      <c r="BT382" s="758"/>
      <c r="BU382" s="758"/>
      <c r="BV382" s="758"/>
      <c r="BW382" s="758"/>
      <c r="BX382" s="758"/>
      <c r="BY382" s="758"/>
      <c r="BZ382" s="799"/>
      <c r="CB382" s="759"/>
      <c r="CC382" s="810"/>
      <c r="CD382" s="758"/>
      <c r="CE382" s="758"/>
      <c r="CF382" s="758"/>
      <c r="CG382" s="758"/>
      <c r="CH382" s="758"/>
      <c r="CI382" s="758"/>
      <c r="CJ382" s="758"/>
      <c r="CK382" s="758"/>
      <c r="CL382" s="758"/>
      <c r="CM382" s="758"/>
      <c r="CN382" s="6"/>
      <c r="CP382" s="647"/>
      <c r="CQ382" s="647"/>
      <c r="CR382" s="518"/>
      <c r="CS382" s="647"/>
      <c r="CT382" s="518"/>
      <c r="CU382" s="647"/>
      <c r="CV382" s="518"/>
      <c r="CW382" s="647"/>
      <c r="CX382" s="518"/>
      <c r="CY382" s="647"/>
      <c r="CZ382" s="518">
        <v>50000000</v>
      </c>
      <c r="DA382" s="647"/>
      <c r="DB382" s="518">
        <v>200000000</v>
      </c>
      <c r="DC382" s="647">
        <v>0</v>
      </c>
      <c r="DD382" s="518">
        <v>200000000</v>
      </c>
      <c r="DE382" s="758"/>
      <c r="DF382" s="518">
        <v>200000000</v>
      </c>
      <c r="DG382" s="757">
        <v>150000000</v>
      </c>
      <c r="DH382" s="758"/>
      <c r="DI382" s="518">
        <v>200000000</v>
      </c>
      <c r="DJ382" s="757">
        <v>150000000</v>
      </c>
      <c r="DK382" s="758"/>
      <c r="DL382" s="518">
        <v>200000000</v>
      </c>
      <c r="DM382" s="757">
        <v>150000000</v>
      </c>
      <c r="DN382" s="758"/>
      <c r="DO382" s="518">
        <v>200000000</v>
      </c>
      <c r="DP382" s="757">
        <v>150000000</v>
      </c>
      <c r="DQ382" s="493">
        <f t="shared" si="207"/>
        <v>800000000</v>
      </c>
      <c r="DR382" s="479">
        <f t="shared" si="195"/>
        <v>600000000</v>
      </c>
      <c r="DS382" s="1163">
        <v>75000000</v>
      </c>
      <c r="DT382" s="1163">
        <v>75000000</v>
      </c>
      <c r="DU382" s="1163">
        <v>75000000</v>
      </c>
      <c r="DV382" s="1163">
        <v>75000000</v>
      </c>
      <c r="DW382" s="1163">
        <v>75000000</v>
      </c>
      <c r="DX382" s="1163">
        <v>75000000</v>
      </c>
      <c r="DY382" s="1163">
        <v>75000000</v>
      </c>
      <c r="DZ382" s="1163">
        <v>75000000</v>
      </c>
      <c r="EA382" s="1163">
        <v>75000000</v>
      </c>
      <c r="EB382" s="1163">
        <v>75000000</v>
      </c>
      <c r="EC382" s="1163">
        <v>75000000</v>
      </c>
      <c r="ED382" s="1163">
        <v>75000000</v>
      </c>
      <c r="EE382" s="1119">
        <f t="shared" si="202"/>
        <v>900000000</v>
      </c>
      <c r="EF382" s="457">
        <v>2495610000</v>
      </c>
      <c r="EG382" s="457">
        <v>3695258800</v>
      </c>
      <c r="EH382" s="457">
        <v>5500000000</v>
      </c>
      <c r="EI382" s="457">
        <v>5500000000</v>
      </c>
    </row>
    <row r="383" spans="1:156" outlineLevel="2">
      <c r="A383" s="367" t="s">
        <v>194</v>
      </c>
      <c r="B383" s="378"/>
      <c r="C383" s="370" t="s">
        <v>358</v>
      </c>
      <c r="D383" s="297" t="s">
        <v>121</v>
      </c>
      <c r="E383" s="396" t="s">
        <v>643</v>
      </c>
      <c r="F383" s="380"/>
      <c r="G383" s="188"/>
      <c r="H383" s="13"/>
      <c r="I383" s="185"/>
      <c r="J383" s="185"/>
      <c r="K383" s="185"/>
      <c r="L383" s="185"/>
      <c r="M383" s="185"/>
      <c r="N383" s="185"/>
      <c r="O383" s="185"/>
      <c r="P383" s="185"/>
      <c r="Q383" s="185"/>
      <c r="R383" s="185"/>
      <c r="S383" s="14"/>
      <c r="T383" s="179"/>
      <c r="U383" s="188"/>
      <c r="V383" s="13"/>
      <c r="W383" s="185"/>
      <c r="X383" s="185"/>
      <c r="Y383" s="185"/>
      <c r="Z383" s="185"/>
      <c r="AA383" s="185"/>
      <c r="AB383" s="185"/>
      <c r="AC383" s="185"/>
      <c r="AD383" s="185"/>
      <c r="AE383" s="185"/>
      <c r="AF383" s="185"/>
      <c r="AG383" s="759"/>
      <c r="AH383" s="788"/>
      <c r="AI383" s="827"/>
      <c r="AJ383" s="810"/>
      <c r="AK383" s="758"/>
      <c r="AL383" s="758"/>
      <c r="AM383" s="758"/>
      <c r="AN383" s="758"/>
      <c r="AO383" s="758"/>
      <c r="AP383" s="758"/>
      <c r="AQ383" s="518"/>
      <c r="AR383" s="518"/>
      <c r="AS383" s="518"/>
      <c r="AT383" s="518"/>
      <c r="AU383" s="828"/>
      <c r="AV383" s="828"/>
      <c r="AW383" s="828"/>
      <c r="AX383" s="518"/>
      <c r="AY383" s="788"/>
      <c r="AZ383" s="827"/>
      <c r="BA383" s="810"/>
      <c r="BB383" s="758"/>
      <c r="BC383" s="758"/>
      <c r="BD383" s="758"/>
      <c r="BE383" s="758"/>
      <c r="BF383" s="758"/>
      <c r="BG383" s="758"/>
      <c r="BH383" s="758"/>
      <c r="BI383" s="758"/>
      <c r="BJ383" s="758"/>
      <c r="BK383" s="758"/>
      <c r="BL383" s="759"/>
      <c r="BN383" s="758"/>
      <c r="BO383" s="758"/>
      <c r="BP383" s="758"/>
      <c r="BQ383" s="758"/>
      <c r="BR383" s="758"/>
      <c r="BS383" s="758"/>
      <c r="BT383" s="758"/>
      <c r="BU383" s="758"/>
      <c r="BV383" s="758"/>
      <c r="BW383" s="758"/>
      <c r="BX383" s="758"/>
      <c r="BY383" s="758"/>
      <c r="BZ383" s="791"/>
      <c r="CB383" s="758"/>
      <c r="CC383" s="758"/>
      <c r="CD383" s="758"/>
      <c r="CE383" s="758"/>
      <c r="CF383" s="758"/>
      <c r="CG383" s="758"/>
      <c r="CH383" s="758"/>
      <c r="CI383" s="758"/>
      <c r="CJ383" s="758"/>
      <c r="CK383" s="758"/>
      <c r="CL383" s="758"/>
      <c r="CM383" s="758"/>
      <c r="CN383" s="791"/>
      <c r="CP383" s="653"/>
      <c r="CQ383" s="653"/>
      <c r="CR383" s="524"/>
      <c r="CS383" s="653"/>
      <c r="CT383" s="524"/>
      <c r="CU383" s="653"/>
      <c r="CV383" s="524"/>
      <c r="CW383" s="653"/>
      <c r="CX383" s="524">
        <v>10000000</v>
      </c>
      <c r="CY383" s="653"/>
      <c r="CZ383" s="524">
        <v>15000000</v>
      </c>
      <c r="DA383" s="653"/>
      <c r="DB383" s="524">
        <v>15000000</v>
      </c>
      <c r="DC383" s="653">
        <v>0</v>
      </c>
      <c r="DD383" s="524">
        <v>15000000</v>
      </c>
      <c r="DE383" s="524"/>
      <c r="DF383" s="524">
        <v>15000000</v>
      </c>
      <c r="DG383" s="757">
        <v>15000000</v>
      </c>
      <c r="DH383" s="524"/>
      <c r="DI383" s="524">
        <v>15000000</v>
      </c>
      <c r="DJ383" s="757">
        <v>15000000</v>
      </c>
      <c r="DK383" s="524"/>
      <c r="DL383" s="524">
        <v>15000000</v>
      </c>
      <c r="DM383" s="757">
        <v>15000000</v>
      </c>
      <c r="DN383" s="524"/>
      <c r="DO383" s="524">
        <v>15000000</v>
      </c>
      <c r="DP383" s="757">
        <v>15000000</v>
      </c>
      <c r="DQ383" s="493">
        <f t="shared" si="207"/>
        <v>60000000</v>
      </c>
      <c r="DR383" s="479">
        <f t="shared" si="195"/>
        <v>60000000</v>
      </c>
      <c r="DS383" s="1019">
        <v>30000000</v>
      </c>
      <c r="DT383" s="1019">
        <v>30000000</v>
      </c>
      <c r="DU383" s="1019">
        <v>30000000</v>
      </c>
      <c r="DV383" s="1019">
        <v>30000000</v>
      </c>
      <c r="DW383" s="1019">
        <v>30000000</v>
      </c>
      <c r="DX383" s="1019">
        <v>30000000</v>
      </c>
      <c r="DY383" s="1019">
        <v>30000000</v>
      </c>
      <c r="DZ383" s="1019">
        <v>30000000</v>
      </c>
      <c r="EA383" s="1019">
        <v>30000000</v>
      </c>
      <c r="EB383" s="1019">
        <v>30000000</v>
      </c>
      <c r="EC383" s="1019">
        <v>30000000</v>
      </c>
      <c r="ED383" s="1019">
        <v>30000000</v>
      </c>
      <c r="EE383" s="1119">
        <f t="shared" si="202"/>
        <v>360000000</v>
      </c>
      <c r="EF383" s="458">
        <v>2495610000</v>
      </c>
      <c r="EG383" s="458">
        <v>3695258800</v>
      </c>
      <c r="EH383" s="458">
        <v>5500000000</v>
      </c>
      <c r="EI383" s="458">
        <v>5500000000</v>
      </c>
    </row>
    <row r="384" spans="1:156" outlineLevel="2">
      <c r="A384" s="389"/>
      <c r="B384" s="378"/>
      <c r="C384" s="370" t="s">
        <v>358</v>
      </c>
      <c r="D384" s="297" t="s">
        <v>121</v>
      </c>
      <c r="E384" s="396" t="s">
        <v>644</v>
      </c>
      <c r="F384" s="380"/>
      <c r="G384" s="180"/>
      <c r="H384" s="1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181"/>
      <c r="U384" s="180"/>
      <c r="V384" s="13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181"/>
      <c r="AI384" s="180"/>
      <c r="AJ384" s="810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181"/>
      <c r="AZ384" s="180"/>
      <c r="BA384" s="810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N384" s="759"/>
      <c r="BO384" s="810"/>
      <c r="BP384" s="758"/>
      <c r="BQ384" s="758"/>
      <c r="BR384" s="758"/>
      <c r="BS384" s="758"/>
      <c r="BT384" s="758"/>
      <c r="BU384" s="758"/>
      <c r="BV384" s="758"/>
      <c r="BW384" s="758"/>
      <c r="BX384" s="758"/>
      <c r="BY384" s="758"/>
      <c r="BZ384" s="799"/>
      <c r="CB384" s="759"/>
      <c r="CC384" s="810"/>
      <c r="CD384" s="758"/>
      <c r="CE384" s="758"/>
      <c r="CF384" s="758"/>
      <c r="CG384" s="758"/>
      <c r="CH384" s="758"/>
      <c r="CI384" s="758"/>
      <c r="CJ384" s="758"/>
      <c r="CK384" s="758"/>
      <c r="CL384" s="758"/>
      <c r="CM384" s="758"/>
      <c r="CN384" s="6"/>
      <c r="CP384" s="647"/>
      <c r="CQ384" s="647"/>
      <c r="CR384" s="518"/>
      <c r="CS384" s="647"/>
      <c r="CT384" s="518"/>
      <c r="CU384" s="647"/>
      <c r="CV384" s="518"/>
      <c r="CW384" s="647"/>
      <c r="CX384" s="518"/>
      <c r="CY384" s="647"/>
      <c r="CZ384" s="518"/>
      <c r="DA384" s="647"/>
      <c r="DB384" s="518">
        <v>200000000</v>
      </c>
      <c r="DC384" s="647">
        <v>0</v>
      </c>
      <c r="DD384" s="518">
        <v>200000000</v>
      </c>
      <c r="DE384" s="524"/>
      <c r="DF384" s="518">
        <v>200000000</v>
      </c>
      <c r="DG384" s="757">
        <v>100000000</v>
      </c>
      <c r="DH384" s="524"/>
      <c r="DI384" s="518">
        <v>200000000</v>
      </c>
      <c r="DJ384" s="757">
        <v>100000000</v>
      </c>
      <c r="DK384" s="524"/>
      <c r="DL384" s="518">
        <v>200000000</v>
      </c>
      <c r="DM384" s="757">
        <v>100000000</v>
      </c>
      <c r="DN384" s="524"/>
      <c r="DO384" s="518">
        <v>200000000</v>
      </c>
      <c r="DP384" s="757">
        <v>100000000</v>
      </c>
      <c r="DQ384" s="493">
        <f t="shared" si="207"/>
        <v>800000000</v>
      </c>
      <c r="DR384" s="479">
        <f t="shared" si="195"/>
        <v>400000000</v>
      </c>
      <c r="DS384" s="1163"/>
      <c r="DT384" s="1163"/>
      <c r="DU384" s="1163"/>
      <c r="DV384" s="1163"/>
      <c r="DW384" s="1163"/>
      <c r="DX384" s="1163"/>
      <c r="DY384" s="1163"/>
      <c r="DZ384" s="1163"/>
      <c r="EA384" s="1163"/>
      <c r="EB384" s="1163"/>
      <c r="EC384" s="1163"/>
      <c r="ED384" s="1163"/>
      <c r="EE384" s="1119">
        <f t="shared" si="202"/>
        <v>0</v>
      </c>
      <c r="EF384" s="457"/>
      <c r="EG384" s="457"/>
      <c r="EH384" s="457"/>
      <c r="EI384" s="457"/>
    </row>
    <row r="385" spans="1:140" outlineLevel="2">
      <c r="A385" s="367" t="s">
        <v>196</v>
      </c>
      <c r="B385" s="378"/>
      <c r="C385" s="370" t="s">
        <v>358</v>
      </c>
      <c r="D385" s="297" t="s">
        <v>121</v>
      </c>
      <c r="E385" s="396" t="s">
        <v>645</v>
      </c>
      <c r="F385" s="380">
        <v>3000001937</v>
      </c>
      <c r="G385" s="188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f>SUM(G385,H385,I385,J385,K385,L385,M385,N385,O385,P385,Q385,R385)</f>
        <v>0</v>
      </c>
      <c r="T385" s="179"/>
      <c r="U385" s="188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759">
        <f>SUM(U385,V385,W385,X385,Y385,Z385,AA385,AB385,AC385,AD385,AE385,AF385)</f>
        <v>0</v>
      </c>
      <c r="AH385" s="788"/>
      <c r="AI385" s="827"/>
      <c r="AJ385" s="810"/>
      <c r="AK385" s="758"/>
      <c r="AL385" s="758">
        <v>0</v>
      </c>
      <c r="AM385" s="758"/>
      <c r="AN385" s="758"/>
      <c r="AO385" s="758"/>
      <c r="AP385" s="758"/>
      <c r="AQ385" s="518">
        <v>0</v>
      </c>
      <c r="AR385" s="518"/>
      <c r="AS385" s="518"/>
      <c r="AT385" s="518"/>
      <c r="AU385" s="794">
        <f>20000000</f>
        <v>20000000</v>
      </c>
      <c r="AV385" s="794">
        <f>20000000</f>
        <v>20000000</v>
      </c>
      <c r="AW385" s="794">
        <f>20000000</f>
        <v>20000000</v>
      </c>
      <c r="AX385" s="518">
        <f>SUM(AI385,AJ385,AK385,AL385,AM385,AN385,AO385,AP385,AQ385,AR385,AS385,AT385)</f>
        <v>0</v>
      </c>
      <c r="AY385" s="788"/>
      <c r="AZ385" s="827"/>
      <c r="BA385" s="810"/>
      <c r="BB385" s="758"/>
      <c r="BC385" s="758">
        <v>0</v>
      </c>
      <c r="BD385" s="758"/>
      <c r="BE385" s="758"/>
      <c r="BF385" s="758"/>
      <c r="BG385" s="518">
        <f>AP385</f>
        <v>0</v>
      </c>
      <c r="BH385" s="758">
        <v>20000000</v>
      </c>
      <c r="BI385" s="758">
        <v>50000000</v>
      </c>
      <c r="BJ385" s="758">
        <v>50000000</v>
      </c>
      <c r="BK385" s="758">
        <v>50000000</v>
      </c>
      <c r="BL385" s="759">
        <f>SUM(AZ385,BA385,BB385,BC385,BD385,BE385,BF385,BG385,BH385,BI385,BJ385,BK385)</f>
        <v>170000000</v>
      </c>
      <c r="BN385" s="758">
        <v>15000000</v>
      </c>
      <c r="BO385" s="758">
        <v>15000000</v>
      </c>
      <c r="BP385" s="758">
        <v>15000000</v>
      </c>
      <c r="BQ385" s="758">
        <v>25000000</v>
      </c>
      <c r="BR385" s="758">
        <f>BQ385*0.85</f>
        <v>21250000</v>
      </c>
      <c r="BS385" s="758">
        <v>15000000</v>
      </c>
      <c r="BT385" s="758">
        <v>15000000</v>
      </c>
      <c r="BU385" s="758">
        <v>15000000</v>
      </c>
      <c r="BV385" s="758">
        <v>15000000</v>
      </c>
      <c r="BW385" s="758">
        <v>15000000</v>
      </c>
      <c r="BX385" s="758">
        <v>25000000</v>
      </c>
      <c r="BY385" s="758">
        <v>20000000</v>
      </c>
      <c r="BZ385" s="791">
        <v>211250000</v>
      </c>
      <c r="CB385" s="758">
        <v>15000000</v>
      </c>
      <c r="CC385" s="758">
        <v>15000000</v>
      </c>
      <c r="CD385" s="758">
        <v>15000000</v>
      </c>
      <c r="CE385" s="758">
        <v>25000000</v>
      </c>
      <c r="CF385" s="758">
        <f>CE385*0.85</f>
        <v>21250000</v>
      </c>
      <c r="CG385" s="758">
        <v>15000000</v>
      </c>
      <c r="CH385" s="758">
        <v>15000000</v>
      </c>
      <c r="CI385" s="758">
        <v>15000000</v>
      </c>
      <c r="CJ385" s="758">
        <v>15000000</v>
      </c>
      <c r="CK385" s="758">
        <v>15000000</v>
      </c>
      <c r="CL385" s="758">
        <v>25000000</v>
      </c>
      <c r="CM385" s="758">
        <v>20000000</v>
      </c>
      <c r="CN385" s="791">
        <v>211250000</v>
      </c>
      <c r="CP385" s="653"/>
      <c r="CQ385" s="653"/>
      <c r="CR385" s="524"/>
      <c r="CS385" s="653"/>
      <c r="CT385" s="524"/>
      <c r="CU385" s="653"/>
      <c r="CV385" s="524"/>
      <c r="CW385" s="653"/>
      <c r="CX385" s="524"/>
      <c r="CY385" s="653"/>
      <c r="CZ385" s="524"/>
      <c r="DA385" s="653"/>
      <c r="DB385" s="524"/>
      <c r="DC385" s="653">
        <v>0</v>
      </c>
      <c r="DD385" s="524"/>
      <c r="DE385" s="524"/>
      <c r="DF385" s="524"/>
      <c r="DG385" s="757"/>
      <c r="DH385" s="524"/>
      <c r="DI385" s="524"/>
      <c r="DJ385" s="757"/>
      <c r="DK385" s="524"/>
      <c r="DL385" s="524"/>
      <c r="DM385" s="757"/>
      <c r="DN385" s="524"/>
      <c r="DO385" s="524"/>
      <c r="DP385" s="757"/>
      <c r="DQ385" s="493">
        <f t="shared" si="207"/>
        <v>0</v>
      </c>
      <c r="DR385" s="479">
        <f t="shared" si="195"/>
        <v>0</v>
      </c>
      <c r="DS385" s="1019"/>
      <c r="DT385" s="1019"/>
      <c r="DU385" s="1019"/>
      <c r="DV385" s="1019"/>
      <c r="DW385" s="1019"/>
      <c r="DX385" s="1019"/>
      <c r="DY385" s="1019"/>
      <c r="DZ385" s="1019"/>
      <c r="EA385" s="1019"/>
      <c r="EB385" s="1019"/>
      <c r="EC385" s="1019"/>
      <c r="ED385" s="1019"/>
      <c r="EE385" s="1119">
        <f t="shared" si="202"/>
        <v>0</v>
      </c>
      <c r="EF385" s="443">
        <f>EE385*1.17</f>
        <v>0</v>
      </c>
      <c r="EG385" s="443">
        <f>50000000*12</f>
        <v>600000000</v>
      </c>
      <c r="EH385" s="443">
        <f>600000000*12</f>
        <v>7200000000</v>
      </c>
      <c r="EI385" s="443">
        <f>600000000*12</f>
        <v>7200000000</v>
      </c>
      <c r="EJ385" s="367">
        <v>3000001937</v>
      </c>
    </row>
    <row r="386" spans="1:140" outlineLevel="2">
      <c r="A386" s="367" t="s">
        <v>196</v>
      </c>
      <c r="B386" s="378"/>
      <c r="C386" s="370" t="s">
        <v>358</v>
      </c>
      <c r="D386" s="297" t="s">
        <v>121</v>
      </c>
      <c r="E386" s="396" t="s">
        <v>646</v>
      </c>
      <c r="F386" s="380"/>
      <c r="G386" s="188"/>
      <c r="H386" s="13"/>
      <c r="I386" s="185"/>
      <c r="J386" s="185"/>
      <c r="K386" s="185"/>
      <c r="L386" s="185"/>
      <c r="M386" s="185"/>
      <c r="N386" s="185"/>
      <c r="O386" s="185"/>
      <c r="P386" s="185"/>
      <c r="Q386" s="185"/>
      <c r="R386" s="185"/>
      <c r="S386" s="14"/>
      <c r="T386" s="179"/>
      <c r="U386" s="188"/>
      <c r="V386" s="13"/>
      <c r="W386" s="185"/>
      <c r="X386" s="185"/>
      <c r="Y386" s="185"/>
      <c r="Z386" s="185"/>
      <c r="AA386" s="185"/>
      <c r="AB386" s="185"/>
      <c r="AC386" s="185"/>
      <c r="AD386" s="185"/>
      <c r="AE386" s="185"/>
      <c r="AF386" s="185"/>
      <c r="AG386" s="759"/>
      <c r="AH386" s="788"/>
      <c r="AI386" s="827"/>
      <c r="AJ386" s="810"/>
      <c r="AK386" s="758"/>
      <c r="AL386" s="758"/>
      <c r="AM386" s="758"/>
      <c r="AN386" s="758"/>
      <c r="AO386" s="758"/>
      <c r="AP386" s="758"/>
      <c r="AQ386" s="518"/>
      <c r="AR386" s="518"/>
      <c r="AS386" s="518"/>
      <c r="AT386" s="518"/>
      <c r="AU386" s="828"/>
      <c r="AV386" s="828"/>
      <c r="AW386" s="828"/>
      <c r="AX386" s="518">
        <f>SUM(AI386,AJ386,AK386,AL386,AM386,AN386,AO386,AP386,AQ386,AR386,AS386,AT386)</f>
        <v>0</v>
      </c>
      <c r="AY386" s="788"/>
      <c r="AZ386" s="827"/>
      <c r="BA386" s="810"/>
      <c r="BB386" s="758"/>
      <c r="BC386" s="758"/>
      <c r="BD386" s="758"/>
      <c r="BE386" s="758"/>
      <c r="BF386" s="758"/>
      <c r="BG386" s="758"/>
      <c r="BH386" s="758"/>
      <c r="BI386" s="758"/>
      <c r="BJ386" s="758"/>
      <c r="BK386" s="758"/>
      <c r="BL386" s="759"/>
      <c r="BN386" s="758"/>
      <c r="BO386" s="758"/>
      <c r="BP386" s="758"/>
      <c r="BQ386" s="758"/>
      <c r="BR386" s="758"/>
      <c r="BS386" s="758"/>
      <c r="BT386" s="758"/>
      <c r="BU386" s="758"/>
      <c r="BV386" s="758"/>
      <c r="BW386" s="758"/>
      <c r="BX386" s="758"/>
      <c r="BY386" s="758"/>
      <c r="BZ386" s="791"/>
      <c r="CB386" s="758"/>
      <c r="CC386" s="758"/>
      <c r="CD386" s="758"/>
      <c r="CE386" s="758"/>
      <c r="CF386" s="758"/>
      <c r="CG386" s="758"/>
      <c r="CH386" s="758"/>
      <c r="CI386" s="758"/>
      <c r="CJ386" s="758"/>
      <c r="CK386" s="758"/>
      <c r="CL386" s="758"/>
      <c r="CM386" s="758"/>
      <c r="CN386" s="791"/>
      <c r="CP386" s="653"/>
      <c r="CQ386" s="653"/>
      <c r="CR386" s="524"/>
      <c r="CS386" s="653"/>
      <c r="CT386" s="524">
        <v>30000000</v>
      </c>
      <c r="CU386" s="653"/>
      <c r="CV386" s="524">
        <v>30000000</v>
      </c>
      <c r="CW386" s="653"/>
      <c r="CX386" s="524">
        <v>0</v>
      </c>
      <c r="CY386" s="653"/>
      <c r="CZ386" s="524">
        <v>0</v>
      </c>
      <c r="DA386" s="653"/>
      <c r="DB386" s="524"/>
      <c r="DC386" s="653">
        <v>0</v>
      </c>
      <c r="DD386" s="524"/>
      <c r="DE386" s="524"/>
      <c r="DF386" s="524"/>
      <c r="DG386" s="757"/>
      <c r="DH386" s="524"/>
      <c r="DI386" s="524"/>
      <c r="DJ386" s="757"/>
      <c r="DK386" s="524"/>
      <c r="DL386" s="524"/>
      <c r="DM386" s="757"/>
      <c r="DN386" s="524"/>
      <c r="DO386" s="524"/>
      <c r="DP386" s="757"/>
      <c r="DQ386" s="493">
        <f t="shared" si="207"/>
        <v>0</v>
      </c>
      <c r="DR386" s="479">
        <f t="shared" si="195"/>
        <v>0</v>
      </c>
      <c r="DS386" s="1019"/>
      <c r="DT386" s="1019"/>
      <c r="DU386" s="1019"/>
      <c r="DV386" s="1019"/>
      <c r="DW386" s="1019"/>
      <c r="DX386" s="1019"/>
      <c r="DY386" s="1019"/>
      <c r="DZ386" s="1019"/>
      <c r="EA386" s="1019"/>
      <c r="EB386" s="1019"/>
      <c r="EC386" s="1019"/>
      <c r="ED386" s="1019"/>
      <c r="EE386" s="1119">
        <f t="shared" si="202"/>
        <v>0</v>
      </c>
      <c r="EF386" s="443">
        <v>2495610000</v>
      </c>
      <c r="EG386" s="443">
        <v>3695258800</v>
      </c>
      <c r="EH386" s="443">
        <v>5500000000</v>
      </c>
      <c r="EI386" s="443">
        <v>5500000000</v>
      </c>
    </row>
    <row r="387" spans="1:140" outlineLevel="2">
      <c r="A387" s="389"/>
      <c r="B387" s="378"/>
      <c r="C387" s="370" t="s">
        <v>358</v>
      </c>
      <c r="D387" s="297" t="s">
        <v>121</v>
      </c>
      <c r="E387" s="396" t="s">
        <v>647</v>
      </c>
      <c r="F387" s="380">
        <v>3000002495</v>
      </c>
      <c r="G387" s="180"/>
      <c r="H387" s="1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181"/>
      <c r="U387" s="180"/>
      <c r="V387" s="13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181"/>
      <c r="AI387" s="180"/>
      <c r="AJ387" s="810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181"/>
      <c r="AZ387" s="180"/>
      <c r="BA387" s="810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N387" s="759"/>
      <c r="BO387" s="810"/>
      <c r="BP387" s="758"/>
      <c r="BQ387" s="758"/>
      <c r="BR387" s="758"/>
      <c r="BS387" s="758"/>
      <c r="BT387" s="758"/>
      <c r="BU387" s="758"/>
      <c r="BV387" s="758"/>
      <c r="BW387" s="758"/>
      <c r="BX387" s="758"/>
      <c r="BY387" s="758"/>
      <c r="BZ387" s="799"/>
      <c r="CB387" s="759"/>
      <c r="CC387" s="810"/>
      <c r="CD387" s="758"/>
      <c r="CE387" s="758"/>
      <c r="CF387" s="758"/>
      <c r="CG387" s="758"/>
      <c r="CH387" s="758"/>
      <c r="CI387" s="758"/>
      <c r="CJ387" s="758"/>
      <c r="CK387" s="758"/>
      <c r="CL387" s="758"/>
      <c r="CM387" s="758"/>
      <c r="CN387" s="6"/>
      <c r="CP387" s="647"/>
      <c r="CQ387" s="647"/>
      <c r="CR387" s="518"/>
      <c r="CS387" s="647"/>
      <c r="CT387" s="518"/>
      <c r="CU387" s="647"/>
      <c r="CV387" s="518"/>
      <c r="CW387" s="647"/>
      <c r="CX387" s="518"/>
      <c r="CY387" s="647"/>
      <c r="CZ387" s="518">
        <v>50000000</v>
      </c>
      <c r="DA387" s="647"/>
      <c r="DB387" s="518">
        <v>50000000</v>
      </c>
      <c r="DC387" s="647">
        <v>0</v>
      </c>
      <c r="DD387" s="518">
        <v>50000000</v>
      </c>
      <c r="DE387" s="524"/>
      <c r="DF387" s="518">
        <v>50000000</v>
      </c>
      <c r="DG387" s="757">
        <v>50000000</v>
      </c>
      <c r="DH387" s="524"/>
      <c r="DI387" s="518">
        <v>50000000</v>
      </c>
      <c r="DJ387" s="757">
        <v>50000000</v>
      </c>
      <c r="DK387" s="524"/>
      <c r="DL387" s="518">
        <v>50000000</v>
      </c>
      <c r="DM387" s="757">
        <v>50000000</v>
      </c>
      <c r="DN387" s="524"/>
      <c r="DO387" s="518">
        <v>50000000</v>
      </c>
      <c r="DP387" s="757">
        <v>50000000</v>
      </c>
      <c r="DQ387" s="493">
        <f t="shared" si="207"/>
        <v>200000000</v>
      </c>
      <c r="DR387" s="479">
        <f t="shared" si="195"/>
        <v>200000000</v>
      </c>
      <c r="DS387" s="1163"/>
      <c r="DT387" s="1163"/>
      <c r="DU387" s="1163"/>
      <c r="DV387" s="1163"/>
      <c r="DW387" s="1163"/>
      <c r="DX387" s="1163"/>
      <c r="DY387" s="1163"/>
      <c r="DZ387" s="1163"/>
      <c r="EA387" s="1163"/>
      <c r="EB387" s="1163"/>
      <c r="EC387" s="1163"/>
      <c r="ED387" s="1163"/>
      <c r="EE387" s="1119">
        <f t="shared" si="202"/>
        <v>0</v>
      </c>
      <c r="EF387" s="457"/>
      <c r="EG387" s="457"/>
      <c r="EH387" s="457"/>
      <c r="EI387" s="457"/>
    </row>
    <row r="388" spans="1:140" outlineLevel="2">
      <c r="A388" s="367" t="s">
        <v>196</v>
      </c>
      <c r="B388" s="378"/>
      <c r="C388" s="370" t="s">
        <v>358</v>
      </c>
      <c r="D388" s="297" t="s">
        <v>121</v>
      </c>
      <c r="E388" s="396" t="s">
        <v>648</v>
      </c>
      <c r="F388" s="380"/>
      <c r="G388" s="188"/>
      <c r="H388" s="13"/>
      <c r="I388" s="185"/>
      <c r="J388" s="185"/>
      <c r="K388" s="185"/>
      <c r="L388" s="185"/>
      <c r="M388" s="185"/>
      <c r="N388" s="185"/>
      <c r="O388" s="185"/>
      <c r="P388" s="185"/>
      <c r="Q388" s="185"/>
      <c r="R388" s="185"/>
      <c r="S388" s="14"/>
      <c r="T388" s="179"/>
      <c r="U388" s="188"/>
      <c r="V388" s="13"/>
      <c r="W388" s="185"/>
      <c r="X388" s="185"/>
      <c r="Y388" s="185"/>
      <c r="Z388" s="185"/>
      <c r="AA388" s="185"/>
      <c r="AB388" s="185"/>
      <c r="AC388" s="185"/>
      <c r="AD388" s="185"/>
      <c r="AE388" s="185"/>
      <c r="AF388" s="185"/>
      <c r="AG388" s="759"/>
      <c r="AH388" s="788"/>
      <c r="AI388" s="827"/>
      <c r="AJ388" s="810"/>
      <c r="AK388" s="758"/>
      <c r="AL388" s="758"/>
      <c r="AM388" s="758"/>
      <c r="AN388" s="758"/>
      <c r="AO388" s="758"/>
      <c r="AP388" s="758"/>
      <c r="AQ388" s="518"/>
      <c r="AR388" s="518"/>
      <c r="AS388" s="518"/>
      <c r="AT388" s="518"/>
      <c r="AU388" s="828"/>
      <c r="AV388" s="828"/>
      <c r="AW388" s="828"/>
      <c r="AX388" s="518"/>
      <c r="AY388" s="788"/>
      <c r="AZ388" s="827"/>
      <c r="BA388" s="810"/>
      <c r="BB388" s="758"/>
      <c r="BC388" s="758"/>
      <c r="BD388" s="758"/>
      <c r="BE388" s="758"/>
      <c r="BF388" s="758"/>
      <c r="BG388" s="758"/>
      <c r="BH388" s="758"/>
      <c r="BI388" s="758"/>
      <c r="BJ388" s="758"/>
      <c r="BK388" s="758"/>
      <c r="BL388" s="759"/>
      <c r="BN388" s="758"/>
      <c r="BO388" s="758"/>
      <c r="BP388" s="758"/>
      <c r="BQ388" s="758"/>
      <c r="BR388" s="758"/>
      <c r="BS388" s="758"/>
      <c r="BT388" s="758"/>
      <c r="BU388" s="758"/>
      <c r="BV388" s="758"/>
      <c r="BW388" s="758"/>
      <c r="BX388" s="758"/>
      <c r="BY388" s="758"/>
      <c r="BZ388" s="791"/>
      <c r="CB388" s="758"/>
      <c r="CC388" s="758"/>
      <c r="CD388" s="758"/>
      <c r="CE388" s="758"/>
      <c r="CF388" s="758"/>
      <c r="CG388" s="758"/>
      <c r="CH388" s="758"/>
      <c r="CI388" s="758"/>
      <c r="CJ388" s="758"/>
      <c r="CK388" s="758"/>
      <c r="CL388" s="758"/>
      <c r="CM388" s="758"/>
      <c r="CN388" s="791"/>
      <c r="CP388" s="653"/>
      <c r="CQ388" s="653"/>
      <c r="CR388" s="524"/>
      <c r="CS388" s="653"/>
      <c r="CT388" s="524"/>
      <c r="CU388" s="653"/>
      <c r="CV388" s="524"/>
      <c r="CW388" s="653"/>
      <c r="CX388" s="524">
        <v>0</v>
      </c>
      <c r="CY388" s="653"/>
      <c r="CZ388" s="524">
        <v>200000000</v>
      </c>
      <c r="DA388" s="653"/>
      <c r="DB388" s="524">
        <v>200000000</v>
      </c>
      <c r="DC388" s="653">
        <v>0</v>
      </c>
      <c r="DD388" s="524">
        <v>200000000</v>
      </c>
      <c r="DE388" s="524"/>
      <c r="DF388" s="524">
        <v>200000000</v>
      </c>
      <c r="DG388" s="757">
        <v>100000000</v>
      </c>
      <c r="DH388" s="524"/>
      <c r="DI388" s="524">
        <v>200000000</v>
      </c>
      <c r="DJ388" s="757">
        <v>100000000</v>
      </c>
      <c r="DK388" s="524"/>
      <c r="DL388" s="524">
        <v>250000000</v>
      </c>
      <c r="DM388" s="757">
        <v>100000000</v>
      </c>
      <c r="DN388" s="524"/>
      <c r="DO388" s="524">
        <v>250000000</v>
      </c>
      <c r="DP388" s="757">
        <v>100000000</v>
      </c>
      <c r="DQ388" s="493">
        <f t="shared" si="207"/>
        <v>900000000</v>
      </c>
      <c r="DR388" s="479">
        <f t="shared" si="195"/>
        <v>400000000</v>
      </c>
      <c r="DS388" s="1019">
        <v>100000000</v>
      </c>
      <c r="DT388" s="1019">
        <v>100000000</v>
      </c>
      <c r="DU388" s="1019">
        <v>100000000</v>
      </c>
      <c r="DV388" s="1019">
        <v>100000000</v>
      </c>
      <c r="DW388" s="1019">
        <v>100000000</v>
      </c>
      <c r="DX388" s="1019">
        <v>100000000</v>
      </c>
      <c r="DY388" s="1019">
        <v>100000000</v>
      </c>
      <c r="DZ388" s="1019">
        <v>100000000</v>
      </c>
      <c r="EA388" s="1019">
        <v>100000000</v>
      </c>
      <c r="EB388" s="1019">
        <v>100000000</v>
      </c>
      <c r="EC388" s="1019">
        <v>100000000</v>
      </c>
      <c r="ED388" s="1019">
        <v>100000000</v>
      </c>
      <c r="EE388" s="1119">
        <f t="shared" si="202"/>
        <v>1200000000</v>
      </c>
      <c r="EF388" s="458">
        <v>2495610000</v>
      </c>
      <c r="EG388" s="458">
        <v>3695258800</v>
      </c>
      <c r="EH388" s="458">
        <v>5500000000</v>
      </c>
      <c r="EI388" s="458">
        <v>5500000000</v>
      </c>
    </row>
    <row r="389" spans="1:140" outlineLevel="2">
      <c r="A389" s="367" t="s">
        <v>196</v>
      </c>
      <c r="B389" s="378"/>
      <c r="C389" s="370" t="s">
        <v>358</v>
      </c>
      <c r="D389" s="297" t="s">
        <v>121</v>
      </c>
      <c r="E389" s="396" t="s">
        <v>649</v>
      </c>
      <c r="F389" s="380"/>
      <c r="G389" s="188"/>
      <c r="H389" s="13"/>
      <c r="I389" s="185"/>
      <c r="J389" s="185"/>
      <c r="K389" s="185"/>
      <c r="L389" s="185"/>
      <c r="M389" s="185"/>
      <c r="N389" s="185"/>
      <c r="O389" s="185"/>
      <c r="P389" s="185"/>
      <c r="Q389" s="185"/>
      <c r="R389" s="185"/>
      <c r="S389" s="14"/>
      <c r="T389" s="179"/>
      <c r="U389" s="188"/>
      <c r="V389" s="13"/>
      <c r="W389" s="185"/>
      <c r="X389" s="185"/>
      <c r="Y389" s="185"/>
      <c r="Z389" s="185"/>
      <c r="AA389" s="185"/>
      <c r="AB389" s="185"/>
      <c r="AC389" s="185"/>
      <c r="AD389" s="185"/>
      <c r="AE389" s="185"/>
      <c r="AF389" s="185"/>
      <c r="AG389" s="759"/>
      <c r="AH389" s="788"/>
      <c r="AI389" s="827"/>
      <c r="AJ389" s="810"/>
      <c r="AK389" s="758"/>
      <c r="AL389" s="758"/>
      <c r="AM389" s="758"/>
      <c r="AN389" s="758"/>
      <c r="AO389" s="758"/>
      <c r="AP389" s="758"/>
      <c r="AQ389" s="518"/>
      <c r="AR389" s="518"/>
      <c r="AS389" s="518"/>
      <c r="AT389" s="518"/>
      <c r="AU389" s="828"/>
      <c r="AV389" s="828"/>
      <c r="AW389" s="828"/>
      <c r="AX389" s="518">
        <f>SUM(AI389,AJ389,AK389,AL389,AM389,AN389,AO389,AP389,AQ389,AR389,AS389,AT389)</f>
        <v>0</v>
      </c>
      <c r="AY389" s="788"/>
      <c r="AZ389" s="827"/>
      <c r="BA389" s="810"/>
      <c r="BB389" s="758"/>
      <c r="BC389" s="758"/>
      <c r="BD389" s="758"/>
      <c r="BE389" s="758"/>
      <c r="BF389" s="758"/>
      <c r="BG389" s="758"/>
      <c r="BH389" s="758"/>
      <c r="BI389" s="758"/>
      <c r="BJ389" s="758"/>
      <c r="BK389" s="758"/>
      <c r="BL389" s="759"/>
      <c r="BN389" s="758"/>
      <c r="BO389" s="758"/>
      <c r="BP389" s="758"/>
      <c r="BQ389" s="758"/>
      <c r="BR389" s="758"/>
      <c r="BS389" s="758"/>
      <c r="BT389" s="758"/>
      <c r="BU389" s="758"/>
      <c r="BV389" s="758"/>
      <c r="BW389" s="758"/>
      <c r="BX389" s="758"/>
      <c r="BY389" s="758"/>
      <c r="BZ389" s="791"/>
      <c r="CB389" s="758"/>
      <c r="CC389" s="758"/>
      <c r="CD389" s="758"/>
      <c r="CE389" s="758"/>
      <c r="CF389" s="758"/>
      <c r="CG389" s="758"/>
      <c r="CH389" s="758"/>
      <c r="CI389" s="758"/>
      <c r="CJ389" s="758"/>
      <c r="CK389" s="758"/>
      <c r="CL389" s="758"/>
      <c r="CM389" s="758"/>
      <c r="CN389" s="791"/>
      <c r="CP389" s="653"/>
      <c r="CQ389" s="653"/>
      <c r="CR389" s="524"/>
      <c r="CS389" s="653"/>
      <c r="CT389" s="524"/>
      <c r="CU389" s="653"/>
      <c r="CV389" s="524" t="s">
        <v>615</v>
      </c>
      <c r="CW389" s="653"/>
      <c r="CX389" s="524">
        <v>0</v>
      </c>
      <c r="CY389" s="653"/>
      <c r="CZ389" s="524">
        <v>50000000</v>
      </c>
      <c r="DA389" s="653"/>
      <c r="DB389" s="524">
        <v>50000000</v>
      </c>
      <c r="DC389" s="653">
        <v>0</v>
      </c>
      <c r="DD389" s="524">
        <v>50000000</v>
      </c>
      <c r="DE389" s="524"/>
      <c r="DF389" s="524">
        <v>50000000</v>
      </c>
      <c r="DG389" s="757">
        <v>50000000</v>
      </c>
      <c r="DH389" s="524"/>
      <c r="DI389" s="524">
        <v>75000000</v>
      </c>
      <c r="DJ389" s="757">
        <v>75000000</v>
      </c>
      <c r="DK389" s="524"/>
      <c r="DL389" s="524">
        <v>100000000</v>
      </c>
      <c r="DM389" s="757">
        <v>100000000</v>
      </c>
      <c r="DN389" s="524"/>
      <c r="DO389" s="524">
        <v>100000000</v>
      </c>
      <c r="DP389" s="757">
        <v>100000000</v>
      </c>
      <c r="DQ389" s="493">
        <f t="shared" si="207"/>
        <v>325000000</v>
      </c>
      <c r="DR389" s="479">
        <f t="shared" si="195"/>
        <v>325000000</v>
      </c>
      <c r="DS389" s="1019">
        <v>25000000</v>
      </c>
      <c r="DT389" s="1019">
        <v>25000000</v>
      </c>
      <c r="DU389" s="1019">
        <v>25000000</v>
      </c>
      <c r="DV389" s="1019">
        <v>25000000</v>
      </c>
      <c r="DW389" s="1019">
        <v>25000000</v>
      </c>
      <c r="DX389" s="1019">
        <v>25000000</v>
      </c>
      <c r="DY389" s="1019">
        <v>25000000</v>
      </c>
      <c r="DZ389" s="1019">
        <v>25000000</v>
      </c>
      <c r="EA389" s="1019">
        <v>25000000</v>
      </c>
      <c r="EB389" s="1019">
        <v>25000000</v>
      </c>
      <c r="EC389" s="1019">
        <v>25000000</v>
      </c>
      <c r="ED389" s="1019">
        <v>25000000</v>
      </c>
      <c r="EE389" s="1119">
        <f t="shared" si="202"/>
        <v>300000000</v>
      </c>
      <c r="EF389" s="443">
        <v>2495610000</v>
      </c>
      <c r="EG389" s="443">
        <v>3695258800</v>
      </c>
      <c r="EH389" s="443">
        <v>5500000000</v>
      </c>
      <c r="EI389" s="443">
        <v>5500000000</v>
      </c>
    </row>
    <row r="390" spans="1:140" outlineLevel="2">
      <c r="A390" s="367" t="s">
        <v>196</v>
      </c>
      <c r="B390" s="378"/>
      <c r="C390" s="370" t="s">
        <v>358</v>
      </c>
      <c r="D390" s="297" t="s">
        <v>121</v>
      </c>
      <c r="E390" s="396" t="s">
        <v>650</v>
      </c>
      <c r="F390" s="380"/>
      <c r="G390" s="188"/>
      <c r="H390" s="13"/>
      <c r="I390" s="185"/>
      <c r="J390" s="185"/>
      <c r="K390" s="185"/>
      <c r="L390" s="185"/>
      <c r="M390" s="185"/>
      <c r="N390" s="185"/>
      <c r="O390" s="185"/>
      <c r="P390" s="185"/>
      <c r="Q390" s="185"/>
      <c r="R390" s="185"/>
      <c r="S390" s="14"/>
      <c r="T390" s="179"/>
      <c r="U390" s="188"/>
      <c r="V390" s="13"/>
      <c r="W390" s="185"/>
      <c r="X390" s="185"/>
      <c r="Y390" s="185"/>
      <c r="Z390" s="185"/>
      <c r="AA390" s="185"/>
      <c r="AB390" s="185"/>
      <c r="AC390" s="185"/>
      <c r="AD390" s="185"/>
      <c r="AE390" s="185"/>
      <c r="AF390" s="185"/>
      <c r="AG390" s="759"/>
      <c r="AH390" s="788"/>
      <c r="AI390" s="827"/>
      <c r="AJ390" s="810"/>
      <c r="AK390" s="758"/>
      <c r="AL390" s="758"/>
      <c r="AM390" s="758"/>
      <c r="AN390" s="758"/>
      <c r="AO390" s="758"/>
      <c r="AP390" s="758"/>
      <c r="AQ390" s="518"/>
      <c r="AR390" s="518"/>
      <c r="AS390" s="518"/>
      <c r="AT390" s="518"/>
      <c r="AU390" s="828"/>
      <c r="AV390" s="828"/>
      <c r="AW390" s="828"/>
      <c r="AX390" s="518">
        <f>SUM(AI390,AJ390,AK390,AL390,AM390,AN390,AO390,AP390,AQ390,AR390,AS390,AT390)</f>
        <v>0</v>
      </c>
      <c r="AY390" s="788"/>
      <c r="AZ390" s="827"/>
      <c r="BA390" s="810"/>
      <c r="BB390" s="758"/>
      <c r="BC390" s="758"/>
      <c r="BD390" s="758"/>
      <c r="BE390" s="758"/>
      <c r="BF390" s="758"/>
      <c r="BG390" s="758"/>
      <c r="BH390" s="758"/>
      <c r="BI390" s="758"/>
      <c r="BJ390" s="758"/>
      <c r="BK390" s="758"/>
      <c r="BL390" s="759"/>
      <c r="BN390" s="758"/>
      <c r="BO390" s="758"/>
      <c r="BP390" s="758"/>
      <c r="BQ390" s="758"/>
      <c r="BR390" s="758"/>
      <c r="BS390" s="758"/>
      <c r="BT390" s="758"/>
      <c r="BU390" s="758"/>
      <c r="BV390" s="758"/>
      <c r="BW390" s="758"/>
      <c r="BX390" s="758"/>
      <c r="BY390" s="758"/>
      <c r="BZ390" s="791"/>
      <c r="CB390" s="758"/>
      <c r="CC390" s="758"/>
      <c r="CD390" s="758"/>
      <c r="CE390" s="758"/>
      <c r="CF390" s="758"/>
      <c r="CG390" s="758"/>
      <c r="CH390" s="758"/>
      <c r="CI390" s="758"/>
      <c r="CJ390" s="758"/>
      <c r="CK390" s="758"/>
      <c r="CL390" s="758"/>
      <c r="CM390" s="758"/>
      <c r="CN390" s="791"/>
      <c r="CP390" s="653"/>
      <c r="CQ390" s="653"/>
      <c r="CR390" s="524"/>
      <c r="CS390" s="653"/>
      <c r="CT390" s="524"/>
      <c r="CU390" s="653"/>
      <c r="CV390" s="524" t="s">
        <v>615</v>
      </c>
      <c r="CW390" s="653"/>
      <c r="CX390" s="524">
        <v>25000000</v>
      </c>
      <c r="CY390" s="653"/>
      <c r="CZ390" s="524">
        <v>25000000</v>
      </c>
      <c r="DA390" s="653"/>
      <c r="DB390" s="524">
        <v>25000000</v>
      </c>
      <c r="DC390" s="653">
        <v>0</v>
      </c>
      <c r="DD390" s="524">
        <v>25000000</v>
      </c>
      <c r="DE390" s="524"/>
      <c r="DF390" s="524">
        <v>25000000</v>
      </c>
      <c r="DG390" s="757">
        <v>25000000</v>
      </c>
      <c r="DH390" s="524"/>
      <c r="DI390" s="524">
        <v>25000000</v>
      </c>
      <c r="DJ390" s="757">
        <v>25000000</v>
      </c>
      <c r="DK390" s="524"/>
      <c r="DL390" s="524">
        <v>25000000</v>
      </c>
      <c r="DM390" s="757">
        <v>25000000</v>
      </c>
      <c r="DN390" s="524"/>
      <c r="DO390" s="524">
        <v>25000000</v>
      </c>
      <c r="DP390" s="757">
        <v>25000000</v>
      </c>
      <c r="DQ390" s="493">
        <f t="shared" si="207"/>
        <v>100000000</v>
      </c>
      <c r="DR390" s="479">
        <f t="shared" si="195"/>
        <v>100000000</v>
      </c>
      <c r="DS390" s="1019"/>
      <c r="DT390" s="1019"/>
      <c r="DU390" s="1019"/>
      <c r="DV390" s="1019"/>
      <c r="DW390" s="1019"/>
      <c r="DX390" s="1019"/>
      <c r="DY390" s="1019"/>
      <c r="DZ390" s="1019"/>
      <c r="EA390" s="1019"/>
      <c r="EB390" s="1019"/>
      <c r="EC390" s="1019"/>
      <c r="ED390" s="1019"/>
      <c r="EE390" s="1119">
        <f t="shared" si="202"/>
        <v>0</v>
      </c>
      <c r="EF390" s="443">
        <v>2495610000</v>
      </c>
      <c r="EG390" s="443">
        <v>3695258800</v>
      </c>
      <c r="EH390" s="443">
        <v>5500000000</v>
      </c>
      <c r="EI390" s="443">
        <v>5500000000</v>
      </c>
    </row>
    <row r="391" spans="1:140" outlineLevel="2">
      <c r="A391" s="389"/>
      <c r="B391" s="378"/>
      <c r="C391" s="370" t="s">
        <v>358</v>
      </c>
      <c r="D391" s="297" t="s">
        <v>121</v>
      </c>
      <c r="E391" s="396" t="s">
        <v>651</v>
      </c>
      <c r="F391" s="380"/>
      <c r="G391" s="180"/>
      <c r="H391" s="1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181"/>
      <c r="U391" s="180"/>
      <c r="V391" s="13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181"/>
      <c r="AI391" s="180"/>
      <c r="AJ391" s="810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181"/>
      <c r="AZ391" s="180"/>
      <c r="BA391" s="810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N391" s="759"/>
      <c r="BO391" s="810"/>
      <c r="BP391" s="758"/>
      <c r="BQ391" s="758"/>
      <c r="BR391" s="758"/>
      <c r="BS391" s="758"/>
      <c r="BT391" s="758"/>
      <c r="BU391" s="758"/>
      <c r="BV391" s="758"/>
      <c r="BW391" s="758"/>
      <c r="BX391" s="758"/>
      <c r="BY391" s="758"/>
      <c r="BZ391" s="799"/>
      <c r="CB391" s="759"/>
      <c r="CC391" s="810"/>
      <c r="CD391" s="758"/>
      <c r="CE391" s="758"/>
      <c r="CF391" s="758"/>
      <c r="CG391" s="758"/>
      <c r="CH391" s="758"/>
      <c r="CI391" s="758"/>
      <c r="CJ391" s="758"/>
      <c r="CK391" s="758"/>
      <c r="CL391" s="758"/>
      <c r="CM391" s="758"/>
      <c r="CN391" s="6"/>
      <c r="CP391" s="647"/>
      <c r="CQ391" s="647"/>
      <c r="CR391" s="518"/>
      <c r="CS391" s="647"/>
      <c r="CT391" s="518"/>
      <c r="CU391" s="647"/>
      <c r="CV391" s="518"/>
      <c r="CW391" s="647"/>
      <c r="CX391" s="518"/>
      <c r="CY391" s="647"/>
      <c r="CZ391" s="518">
        <v>100000000</v>
      </c>
      <c r="DA391" s="647"/>
      <c r="DB391" s="518">
        <v>100000000</v>
      </c>
      <c r="DC391" s="647">
        <v>0</v>
      </c>
      <c r="DD391" s="518">
        <v>100000000</v>
      </c>
      <c r="DE391" s="524"/>
      <c r="DF391" s="518">
        <v>100000000</v>
      </c>
      <c r="DG391" s="757">
        <v>75000000</v>
      </c>
      <c r="DH391" s="524"/>
      <c r="DI391" s="518">
        <v>100000000</v>
      </c>
      <c r="DJ391" s="757">
        <v>75000000</v>
      </c>
      <c r="DK391" s="524"/>
      <c r="DL391" s="518">
        <v>100000000</v>
      </c>
      <c r="DM391" s="757">
        <v>75000000</v>
      </c>
      <c r="DN391" s="524"/>
      <c r="DO391" s="518">
        <v>100000000</v>
      </c>
      <c r="DP391" s="757">
        <v>75000000</v>
      </c>
      <c r="DQ391" s="493">
        <f t="shared" si="207"/>
        <v>400000000</v>
      </c>
      <c r="DR391" s="479">
        <f t="shared" si="195"/>
        <v>300000000</v>
      </c>
      <c r="DS391" s="1163"/>
      <c r="DT391" s="1163"/>
      <c r="DU391" s="1163"/>
      <c r="DV391" s="1163"/>
      <c r="DW391" s="1163"/>
      <c r="DX391" s="1163"/>
      <c r="DY391" s="1163"/>
      <c r="DZ391" s="1163"/>
      <c r="EA391" s="1163"/>
      <c r="EB391" s="1163"/>
      <c r="EC391" s="1163"/>
      <c r="ED391" s="1163"/>
      <c r="EE391" s="1119">
        <f t="shared" si="202"/>
        <v>0</v>
      </c>
      <c r="EF391" s="457">
        <v>2495610000</v>
      </c>
      <c r="EG391" s="457">
        <v>3695258800</v>
      </c>
      <c r="EH391" s="457">
        <v>5500000000</v>
      </c>
      <c r="EI391" s="457">
        <v>5500000000</v>
      </c>
    </row>
    <row r="392" spans="1:140" outlineLevel="2">
      <c r="A392" s="367" t="s">
        <v>194</v>
      </c>
      <c r="B392" s="378"/>
      <c r="C392" s="370" t="s">
        <v>358</v>
      </c>
      <c r="D392" s="297" t="s">
        <v>121</v>
      </c>
      <c r="E392" s="396" t="s">
        <v>652</v>
      </c>
      <c r="F392" s="380"/>
      <c r="G392" s="180"/>
      <c r="H392" s="1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181"/>
      <c r="U392" s="180"/>
      <c r="V392" s="13"/>
      <c r="W392" s="6"/>
      <c r="X392" s="6"/>
      <c r="Y392" s="6"/>
      <c r="Z392" s="6"/>
      <c r="AA392" s="6"/>
      <c r="AB392" s="6"/>
      <c r="AC392" s="175">
        <v>15000000</v>
      </c>
      <c r="AD392" s="6"/>
      <c r="AE392" s="175">
        <v>15000000</v>
      </c>
      <c r="AF392" s="6"/>
      <c r="AG392" s="6"/>
      <c r="AH392" s="181"/>
      <c r="AI392" s="180"/>
      <c r="AJ392" s="810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181"/>
      <c r="AZ392" s="180"/>
      <c r="BA392" s="810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N392" s="759"/>
      <c r="BO392" s="810"/>
      <c r="BP392" s="758"/>
      <c r="BQ392" s="758"/>
      <c r="BR392" s="758"/>
      <c r="BS392" s="758"/>
      <c r="BT392" s="758"/>
      <c r="BU392" s="758"/>
      <c r="BV392" s="758"/>
      <c r="BW392" s="758"/>
      <c r="BX392" s="758"/>
      <c r="BY392" s="758"/>
      <c r="BZ392" s="799"/>
      <c r="CB392" s="759"/>
      <c r="CC392" s="810"/>
      <c r="CD392" s="758"/>
      <c r="CE392" s="758"/>
      <c r="CF392" s="758"/>
      <c r="CG392" s="758"/>
      <c r="CH392" s="758"/>
      <c r="CI392" s="758"/>
      <c r="CJ392" s="758"/>
      <c r="CK392" s="758"/>
      <c r="CL392" s="758"/>
      <c r="CM392" s="758"/>
      <c r="CN392" s="6"/>
      <c r="CP392" s="647"/>
      <c r="CQ392" s="647"/>
      <c r="CR392" s="518"/>
      <c r="CS392" s="647"/>
      <c r="CT392" s="518"/>
      <c r="CU392" s="647"/>
      <c r="CV392" s="518"/>
      <c r="CW392" s="647"/>
      <c r="CX392" s="518"/>
      <c r="CY392" s="647"/>
      <c r="CZ392" s="518">
        <v>0</v>
      </c>
      <c r="DA392" s="647"/>
      <c r="DB392" s="518">
        <v>50000000</v>
      </c>
      <c r="DC392" s="647">
        <v>0</v>
      </c>
      <c r="DD392" s="518">
        <v>50000000</v>
      </c>
      <c r="DE392" s="524"/>
      <c r="DF392" s="518">
        <v>50000000</v>
      </c>
      <c r="DG392" s="757">
        <v>50000000</v>
      </c>
      <c r="DH392" s="524"/>
      <c r="DI392" s="518">
        <v>50000000</v>
      </c>
      <c r="DJ392" s="757">
        <v>50000000</v>
      </c>
      <c r="DK392" s="524"/>
      <c r="DL392" s="518">
        <v>50000000</v>
      </c>
      <c r="DM392" s="757">
        <v>50000000</v>
      </c>
      <c r="DN392" s="524"/>
      <c r="DO392" s="518">
        <v>50000000</v>
      </c>
      <c r="DP392" s="757">
        <v>50000000</v>
      </c>
      <c r="DQ392" s="493">
        <f t="shared" si="207"/>
        <v>200000000</v>
      </c>
      <c r="DR392" s="479">
        <f t="shared" si="195"/>
        <v>200000000</v>
      </c>
      <c r="DS392" s="1163">
        <v>10000000</v>
      </c>
      <c r="DT392" s="1163">
        <v>10000000</v>
      </c>
      <c r="DU392" s="1163">
        <v>10000000</v>
      </c>
      <c r="DV392" s="1163">
        <v>10000000</v>
      </c>
      <c r="DW392" s="1163">
        <v>10000000</v>
      </c>
      <c r="DX392" s="1163">
        <v>10000000</v>
      </c>
      <c r="DY392" s="1163">
        <v>10000000</v>
      </c>
      <c r="DZ392" s="1163">
        <v>10000000</v>
      </c>
      <c r="EA392" s="1163">
        <v>10000000</v>
      </c>
      <c r="EB392" s="1163">
        <v>10000000</v>
      </c>
      <c r="EC392" s="1163">
        <v>10000000</v>
      </c>
      <c r="ED392" s="1163">
        <v>10000000</v>
      </c>
      <c r="EE392" s="1119">
        <f t="shared" si="202"/>
        <v>120000000</v>
      </c>
      <c r="EF392" s="457">
        <v>2495610000</v>
      </c>
      <c r="EG392" s="457">
        <v>3695258800</v>
      </c>
      <c r="EH392" s="457">
        <v>5500000000</v>
      </c>
      <c r="EI392" s="457">
        <v>5500000000</v>
      </c>
    </row>
    <row r="393" spans="1:140" outlineLevel="2">
      <c r="A393" s="389"/>
      <c r="B393" s="378"/>
      <c r="C393" s="370" t="s">
        <v>358</v>
      </c>
      <c r="D393" s="297" t="s">
        <v>121</v>
      </c>
      <c r="E393" s="396" t="s">
        <v>550</v>
      </c>
      <c r="F393" s="380"/>
      <c r="G393" s="180"/>
      <c r="H393" s="1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181"/>
      <c r="U393" s="180"/>
      <c r="V393" s="13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181"/>
      <c r="AI393" s="180"/>
      <c r="AJ393" s="810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181"/>
      <c r="AZ393" s="180"/>
      <c r="BA393" s="810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N393" s="759"/>
      <c r="BO393" s="810"/>
      <c r="BP393" s="758"/>
      <c r="BQ393" s="758"/>
      <c r="BR393" s="758"/>
      <c r="BS393" s="758"/>
      <c r="BT393" s="758"/>
      <c r="BU393" s="758"/>
      <c r="BV393" s="758"/>
      <c r="BW393" s="758"/>
      <c r="BX393" s="758"/>
      <c r="BY393" s="758"/>
      <c r="BZ393" s="799"/>
      <c r="CB393" s="759"/>
      <c r="CC393" s="810"/>
      <c r="CD393" s="758"/>
      <c r="CE393" s="758"/>
      <c r="CF393" s="758"/>
      <c r="CG393" s="758"/>
      <c r="CH393" s="758"/>
      <c r="CI393" s="758"/>
      <c r="CJ393" s="758"/>
      <c r="CK393" s="758"/>
      <c r="CL393" s="758"/>
      <c r="CM393" s="758"/>
      <c r="CN393" s="6"/>
      <c r="CP393" s="647"/>
      <c r="CQ393" s="647"/>
      <c r="CR393" s="518"/>
      <c r="CS393" s="647"/>
      <c r="CT393" s="518"/>
      <c r="CU393" s="647"/>
      <c r="CV393" s="518"/>
      <c r="CW393" s="647"/>
      <c r="CX393" s="518"/>
      <c r="CY393" s="647"/>
      <c r="CZ393" s="518">
        <v>200000000</v>
      </c>
      <c r="DA393" s="647"/>
      <c r="DB393" s="518">
        <v>200000000</v>
      </c>
      <c r="DC393" s="647">
        <v>0</v>
      </c>
      <c r="DD393" s="518">
        <v>200000000</v>
      </c>
      <c r="DE393" s="524"/>
      <c r="DF393" s="518">
        <v>200000000</v>
      </c>
      <c r="DG393" s="757">
        <v>150000000</v>
      </c>
      <c r="DH393" s="524"/>
      <c r="DI393" s="518">
        <v>200000000</v>
      </c>
      <c r="DJ393" s="757">
        <v>150000000</v>
      </c>
      <c r="DK393" s="524"/>
      <c r="DL393" s="518">
        <v>200000000</v>
      </c>
      <c r="DM393" s="757">
        <v>150000000</v>
      </c>
      <c r="DN393" s="524"/>
      <c r="DO393" s="518">
        <v>200000000</v>
      </c>
      <c r="DP393" s="757">
        <v>150000000</v>
      </c>
      <c r="DQ393" s="493">
        <f t="shared" si="207"/>
        <v>800000000</v>
      </c>
      <c r="DR393" s="479">
        <f t="shared" si="195"/>
        <v>600000000</v>
      </c>
      <c r="DS393" s="1163">
        <v>100000000</v>
      </c>
      <c r="DT393" s="1163">
        <v>100000000</v>
      </c>
      <c r="DU393" s="1163">
        <v>150000000</v>
      </c>
      <c r="DV393" s="1163">
        <v>150000000</v>
      </c>
      <c r="DW393" s="1163">
        <v>100000000</v>
      </c>
      <c r="DX393" s="1163">
        <v>100000000</v>
      </c>
      <c r="DY393" s="1163">
        <v>100000000</v>
      </c>
      <c r="DZ393" s="1163">
        <v>100000000</v>
      </c>
      <c r="EA393" s="1163">
        <v>100000000</v>
      </c>
      <c r="EB393" s="1163">
        <v>100000000</v>
      </c>
      <c r="EC393" s="1163">
        <v>100000000</v>
      </c>
      <c r="ED393" s="1163">
        <v>100000000</v>
      </c>
      <c r="EE393" s="1119">
        <f t="shared" si="202"/>
        <v>1300000000</v>
      </c>
      <c r="EF393" s="457">
        <v>2495610000</v>
      </c>
      <c r="EG393" s="457">
        <v>3695258800</v>
      </c>
      <c r="EH393" s="457">
        <v>5500000000</v>
      </c>
      <c r="EI393" s="457">
        <v>5500000000</v>
      </c>
    </row>
    <row r="394" spans="1:140" outlineLevel="2">
      <c r="A394" s="389"/>
      <c r="B394" s="378"/>
      <c r="C394" s="370" t="s">
        <v>358</v>
      </c>
      <c r="D394" s="297" t="s">
        <v>121</v>
      </c>
      <c r="E394" s="396" t="s">
        <v>653</v>
      </c>
      <c r="F394" s="380"/>
      <c r="G394" s="180"/>
      <c r="H394" s="1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181"/>
      <c r="U394" s="180"/>
      <c r="V394" s="13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181"/>
      <c r="AI394" s="180"/>
      <c r="AJ394" s="810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181"/>
      <c r="AZ394" s="180"/>
      <c r="BA394" s="810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N394" s="759"/>
      <c r="BO394" s="810"/>
      <c r="BP394" s="758"/>
      <c r="BQ394" s="758"/>
      <c r="BR394" s="758"/>
      <c r="BS394" s="758"/>
      <c r="BT394" s="758"/>
      <c r="BU394" s="758"/>
      <c r="BV394" s="758"/>
      <c r="BW394" s="758"/>
      <c r="BX394" s="758"/>
      <c r="BY394" s="758"/>
      <c r="BZ394" s="799"/>
      <c r="CB394" s="759"/>
      <c r="CC394" s="810"/>
      <c r="CD394" s="758"/>
      <c r="CE394" s="758"/>
      <c r="CF394" s="758"/>
      <c r="CG394" s="758"/>
      <c r="CH394" s="758"/>
      <c r="CI394" s="758"/>
      <c r="CJ394" s="758"/>
      <c r="CK394" s="758"/>
      <c r="CL394" s="758"/>
      <c r="CM394" s="758"/>
      <c r="CN394" s="6"/>
      <c r="CP394" s="647"/>
      <c r="CQ394" s="647"/>
      <c r="CR394" s="518"/>
      <c r="CS394" s="647"/>
      <c r="CT394" s="518"/>
      <c r="CU394" s="647"/>
      <c r="CV394" s="518"/>
      <c r="CW394" s="647"/>
      <c r="CX394" s="518"/>
      <c r="CY394" s="647"/>
      <c r="CZ394" s="518">
        <v>100000000</v>
      </c>
      <c r="DA394" s="647"/>
      <c r="DB394" s="518">
        <v>100000000</v>
      </c>
      <c r="DC394" s="647">
        <v>0</v>
      </c>
      <c r="DD394" s="518">
        <v>100000000</v>
      </c>
      <c r="DE394" s="524"/>
      <c r="DF394" s="518">
        <v>100000000</v>
      </c>
      <c r="DG394" s="757">
        <v>100000000</v>
      </c>
      <c r="DH394" s="524"/>
      <c r="DI394" s="518">
        <v>100000000</v>
      </c>
      <c r="DJ394" s="757">
        <v>100000000</v>
      </c>
      <c r="DK394" s="524"/>
      <c r="DL394" s="518">
        <v>100000000</v>
      </c>
      <c r="DM394" s="757">
        <v>100000000</v>
      </c>
      <c r="DN394" s="524"/>
      <c r="DO394" s="518">
        <v>100000000</v>
      </c>
      <c r="DP394" s="757">
        <v>100000000</v>
      </c>
      <c r="DQ394" s="493">
        <f t="shared" si="207"/>
        <v>400000000</v>
      </c>
      <c r="DR394" s="479">
        <f t="shared" si="195"/>
        <v>400000000</v>
      </c>
      <c r="DS394" s="1163">
        <v>65000000</v>
      </c>
      <c r="DT394" s="1163">
        <v>65000000</v>
      </c>
      <c r="DU394" s="1163">
        <v>65000000</v>
      </c>
      <c r="DV394" s="1163">
        <v>65000000</v>
      </c>
      <c r="DW394" s="1163">
        <v>65000000</v>
      </c>
      <c r="DX394" s="1163">
        <v>65000000</v>
      </c>
      <c r="DY394" s="1163">
        <v>65000000</v>
      </c>
      <c r="DZ394" s="1163">
        <v>65000000</v>
      </c>
      <c r="EA394" s="1163">
        <v>65000000</v>
      </c>
      <c r="EB394" s="1163">
        <v>65000000</v>
      </c>
      <c r="EC394" s="1163">
        <v>65000000</v>
      </c>
      <c r="ED394" s="1163">
        <v>65000000</v>
      </c>
      <c r="EE394" s="1119">
        <f t="shared" si="202"/>
        <v>780000000</v>
      </c>
      <c r="EF394" s="457"/>
      <c r="EG394" s="457"/>
      <c r="EH394" s="457"/>
      <c r="EI394" s="457"/>
    </row>
    <row r="395" spans="1:140" outlineLevel="2">
      <c r="A395" s="367" t="s">
        <v>196</v>
      </c>
      <c r="B395" s="378"/>
      <c r="C395" s="370" t="s">
        <v>358</v>
      </c>
      <c r="D395" s="297" t="s">
        <v>121</v>
      </c>
      <c r="E395" s="396" t="s">
        <v>630</v>
      </c>
      <c r="F395" s="380"/>
      <c r="G395" s="188"/>
      <c r="H395" s="13"/>
      <c r="I395" s="185"/>
      <c r="J395" s="185"/>
      <c r="K395" s="185"/>
      <c r="L395" s="185"/>
      <c r="M395" s="185"/>
      <c r="N395" s="185"/>
      <c r="O395" s="185"/>
      <c r="P395" s="185"/>
      <c r="Q395" s="185"/>
      <c r="R395" s="185"/>
      <c r="S395" s="14"/>
      <c r="T395" s="179"/>
      <c r="U395" s="188"/>
      <c r="V395" s="13"/>
      <c r="W395" s="185"/>
      <c r="X395" s="185"/>
      <c r="Y395" s="185"/>
      <c r="Z395" s="185"/>
      <c r="AA395" s="185"/>
      <c r="AB395" s="185"/>
      <c r="AC395" s="185"/>
      <c r="AD395" s="185"/>
      <c r="AE395" s="185"/>
      <c r="AF395" s="185"/>
      <c r="AG395" s="759"/>
      <c r="AH395" s="788"/>
      <c r="AI395" s="827"/>
      <c r="AJ395" s="810"/>
      <c r="AK395" s="758"/>
      <c r="AL395" s="758"/>
      <c r="AM395" s="758"/>
      <c r="AN395" s="758"/>
      <c r="AO395" s="758"/>
      <c r="AP395" s="758"/>
      <c r="AQ395" s="518"/>
      <c r="AR395" s="518"/>
      <c r="AS395" s="518"/>
      <c r="AT395" s="518"/>
      <c r="AU395" s="828"/>
      <c r="AV395" s="828"/>
      <c r="AW395" s="828"/>
      <c r="AX395" s="518"/>
      <c r="AY395" s="788"/>
      <c r="AZ395" s="827"/>
      <c r="BA395" s="810"/>
      <c r="BB395" s="758"/>
      <c r="BC395" s="758"/>
      <c r="BD395" s="758"/>
      <c r="BE395" s="758"/>
      <c r="BF395" s="758"/>
      <c r="BG395" s="758"/>
      <c r="BH395" s="758"/>
      <c r="BI395" s="758"/>
      <c r="BJ395" s="758"/>
      <c r="BK395" s="758"/>
      <c r="BL395" s="759"/>
      <c r="BN395" s="758"/>
      <c r="BO395" s="758"/>
      <c r="BP395" s="758"/>
      <c r="BQ395" s="758"/>
      <c r="BR395" s="758"/>
      <c r="BS395" s="758"/>
      <c r="BT395" s="758"/>
      <c r="BU395" s="758"/>
      <c r="BV395" s="758"/>
      <c r="BW395" s="758"/>
      <c r="BX395" s="758"/>
      <c r="BY395" s="758"/>
      <c r="BZ395" s="791"/>
      <c r="CB395" s="758"/>
      <c r="CC395" s="758"/>
      <c r="CD395" s="758"/>
      <c r="CE395" s="758"/>
      <c r="CF395" s="758"/>
      <c r="CG395" s="758"/>
      <c r="CH395" s="758"/>
      <c r="CI395" s="758"/>
      <c r="CJ395" s="758"/>
      <c r="CK395" s="758"/>
      <c r="CL395" s="758"/>
      <c r="CM395" s="758"/>
      <c r="CN395" s="791"/>
      <c r="CP395" s="653"/>
      <c r="CQ395" s="653"/>
      <c r="CR395" s="524"/>
      <c r="CS395" s="653"/>
      <c r="CT395" s="524"/>
      <c r="CU395" s="653"/>
      <c r="CV395" s="524"/>
      <c r="CW395" s="653"/>
      <c r="CX395" s="524"/>
      <c r="CY395" s="653"/>
      <c r="CZ395" s="524">
        <v>20000000</v>
      </c>
      <c r="DA395" s="653"/>
      <c r="DB395" s="524">
        <v>20000000</v>
      </c>
      <c r="DC395" s="653">
        <v>0</v>
      </c>
      <c r="DD395" s="524">
        <v>20000000</v>
      </c>
      <c r="DE395" s="524"/>
      <c r="DF395" s="524">
        <v>20000000</v>
      </c>
      <c r="DG395" s="757">
        <v>20000000</v>
      </c>
      <c r="DH395" s="524"/>
      <c r="DI395" s="524">
        <v>20000000</v>
      </c>
      <c r="DJ395" s="757">
        <v>20000000</v>
      </c>
      <c r="DK395" s="524"/>
      <c r="DL395" s="524">
        <v>20000000</v>
      </c>
      <c r="DM395" s="757">
        <v>20000000</v>
      </c>
      <c r="DN395" s="524"/>
      <c r="DO395" s="524">
        <v>20000000</v>
      </c>
      <c r="DP395" s="757">
        <v>20000000</v>
      </c>
      <c r="DQ395" s="493">
        <f t="shared" si="207"/>
        <v>80000000</v>
      </c>
      <c r="DR395" s="479">
        <f t="shared" si="195"/>
        <v>80000000</v>
      </c>
      <c r="DS395" s="1019">
        <v>20000000</v>
      </c>
      <c r="DT395" s="1019">
        <v>20000000</v>
      </c>
      <c r="DU395" s="1019">
        <v>20000000</v>
      </c>
      <c r="DV395" s="1019">
        <v>20000000</v>
      </c>
      <c r="DW395" s="1019">
        <v>20000000</v>
      </c>
      <c r="DX395" s="1019">
        <v>20000000</v>
      </c>
      <c r="DY395" s="1019">
        <v>20000000</v>
      </c>
      <c r="DZ395" s="1019">
        <v>20000000</v>
      </c>
      <c r="EA395" s="1019">
        <v>20000000</v>
      </c>
      <c r="EB395" s="1019">
        <v>20000000</v>
      </c>
      <c r="EC395" s="1019">
        <v>20000000</v>
      </c>
      <c r="ED395" s="1019">
        <v>20000000</v>
      </c>
      <c r="EE395" s="1119">
        <f t="shared" si="202"/>
        <v>240000000</v>
      </c>
      <c r="EF395" s="458">
        <v>2495610000</v>
      </c>
      <c r="EG395" s="458">
        <v>3695258800</v>
      </c>
      <c r="EH395" s="458">
        <v>5500000000</v>
      </c>
      <c r="EI395" s="458">
        <v>5500000000</v>
      </c>
    </row>
    <row r="396" spans="1:140" outlineLevel="2">
      <c r="A396" s="367" t="s">
        <v>194</v>
      </c>
      <c r="B396" s="378"/>
      <c r="C396" s="370" t="s">
        <v>358</v>
      </c>
      <c r="D396" s="297" t="s">
        <v>121</v>
      </c>
      <c r="E396" s="396" t="s">
        <v>654</v>
      </c>
      <c r="F396" s="380"/>
      <c r="G396" s="180"/>
      <c r="H396" s="1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181"/>
      <c r="U396" s="180"/>
      <c r="V396" s="13"/>
      <c r="W396" s="6"/>
      <c r="X396" s="6"/>
      <c r="Y396" s="6"/>
      <c r="Z396" s="6"/>
      <c r="AA396" s="6"/>
      <c r="AB396" s="6"/>
      <c r="AC396" s="6"/>
      <c r="AD396" s="6"/>
      <c r="AE396" s="175">
        <v>15000000</v>
      </c>
      <c r="AF396" s="6"/>
      <c r="AG396" s="6"/>
      <c r="AH396" s="181"/>
      <c r="AI396" s="180"/>
      <c r="AJ396" s="810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181"/>
      <c r="AZ396" s="180"/>
      <c r="BA396" s="810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N396" s="759"/>
      <c r="BO396" s="810"/>
      <c r="BP396" s="758"/>
      <c r="BQ396" s="758"/>
      <c r="BR396" s="758"/>
      <c r="BS396" s="758"/>
      <c r="BT396" s="758"/>
      <c r="BU396" s="758"/>
      <c r="BV396" s="758"/>
      <c r="BW396" s="758"/>
      <c r="BX396" s="758"/>
      <c r="BY396" s="758"/>
      <c r="BZ396" s="799"/>
      <c r="CB396" s="759"/>
      <c r="CC396" s="810"/>
      <c r="CD396" s="758"/>
      <c r="CE396" s="758"/>
      <c r="CF396" s="758"/>
      <c r="CG396" s="758"/>
      <c r="CH396" s="758"/>
      <c r="CI396" s="758"/>
      <c r="CJ396" s="758"/>
      <c r="CK396" s="758"/>
      <c r="CL396" s="758"/>
      <c r="CM396" s="758"/>
      <c r="CN396" s="6"/>
      <c r="CP396" s="647"/>
      <c r="CQ396" s="647"/>
      <c r="CR396" s="518"/>
      <c r="CS396" s="647"/>
      <c r="CT396" s="518"/>
      <c r="CU396" s="647"/>
      <c r="CV396" s="518"/>
      <c r="CW396" s="647"/>
      <c r="CX396" s="518"/>
      <c r="CY396" s="647"/>
      <c r="CZ396" s="518">
        <v>0</v>
      </c>
      <c r="DA396" s="647"/>
      <c r="DB396" s="518">
        <v>50000000</v>
      </c>
      <c r="DC396" s="647">
        <v>0</v>
      </c>
      <c r="DD396" s="518">
        <v>50000000</v>
      </c>
      <c r="DE396" s="524"/>
      <c r="DF396" s="518">
        <v>50000000</v>
      </c>
      <c r="DG396" s="757">
        <v>50000000</v>
      </c>
      <c r="DH396" s="524"/>
      <c r="DI396" s="518">
        <v>50000000</v>
      </c>
      <c r="DJ396" s="757">
        <v>50000000</v>
      </c>
      <c r="DK396" s="524"/>
      <c r="DL396" s="518">
        <v>50000000</v>
      </c>
      <c r="DM396" s="757">
        <v>50000000</v>
      </c>
      <c r="DN396" s="524"/>
      <c r="DO396" s="518">
        <v>50000000</v>
      </c>
      <c r="DP396" s="757">
        <v>50000000</v>
      </c>
      <c r="DQ396" s="493">
        <f t="shared" si="207"/>
        <v>200000000</v>
      </c>
      <c r="DR396" s="479">
        <f t="shared" si="195"/>
        <v>200000000</v>
      </c>
      <c r="DS396" s="1163"/>
      <c r="DT396" s="1163"/>
      <c r="DU396" s="1163"/>
      <c r="DV396" s="1163"/>
      <c r="DW396" s="1163"/>
      <c r="DX396" s="1163"/>
      <c r="DY396" s="1163"/>
      <c r="DZ396" s="1163"/>
      <c r="EA396" s="1163"/>
      <c r="EB396" s="1163"/>
      <c r="EC396" s="1163"/>
      <c r="ED396" s="1163"/>
      <c r="EE396" s="1119">
        <f t="shared" si="202"/>
        <v>0</v>
      </c>
      <c r="EF396" s="457">
        <v>2495610000</v>
      </c>
      <c r="EG396" s="457">
        <v>3695258800</v>
      </c>
      <c r="EH396" s="457">
        <v>5500000000</v>
      </c>
      <c r="EI396" s="457">
        <v>5500000000</v>
      </c>
    </row>
    <row r="397" spans="1:140" outlineLevel="2">
      <c r="A397" s="389"/>
      <c r="B397" s="378"/>
      <c r="C397" s="370" t="s">
        <v>358</v>
      </c>
      <c r="D397" s="297" t="s">
        <v>121</v>
      </c>
      <c r="E397" s="396" t="s">
        <v>655</v>
      </c>
      <c r="F397" s="380" t="s">
        <v>656</v>
      </c>
      <c r="G397" s="188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f>SUM(G397,H397,I397,J397,K397,L397,M397,N397,O397,P397,Q397,R397)</f>
        <v>0</v>
      </c>
      <c r="T397" s="179"/>
      <c r="U397" s="188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759">
        <f>SUM(U397,V397,W397,X397,Y397,Z397,AA397,AB397,AC397,AD397,AE397,AF397)</f>
        <v>0</v>
      </c>
      <c r="AH397" s="788"/>
      <c r="AI397" s="827"/>
      <c r="AJ397" s="810"/>
      <c r="AK397" s="758"/>
      <c r="AL397" s="758">
        <v>0</v>
      </c>
      <c r="AM397" s="758"/>
      <c r="AN397" s="758"/>
      <c r="AO397" s="758"/>
      <c r="AP397" s="758"/>
      <c r="AQ397" s="518">
        <v>0</v>
      </c>
      <c r="AR397" s="518"/>
      <c r="AS397" s="518"/>
      <c r="AT397" s="518"/>
      <c r="AU397" s="518">
        <f>BI397</f>
        <v>0</v>
      </c>
      <c r="AV397" s="518">
        <f>BJ397</f>
        <v>0</v>
      </c>
      <c r="AW397" s="518">
        <f>BK397</f>
        <v>0</v>
      </c>
      <c r="AX397" s="518">
        <f>SUM(AI397,AJ397,AK397,AL397,AM397,AN397,AO397,AP397,AQ397,AR397,AS397,AT397)</f>
        <v>0</v>
      </c>
      <c r="AY397" s="788"/>
      <c r="AZ397" s="827"/>
      <c r="BA397" s="810"/>
      <c r="BB397" s="758"/>
      <c r="BC397" s="758">
        <v>0</v>
      </c>
      <c r="BD397" s="758"/>
      <c r="BE397" s="758"/>
      <c r="BF397" s="758"/>
      <c r="BG397" s="518">
        <f>AP397</f>
        <v>0</v>
      </c>
      <c r="BH397" s="758"/>
      <c r="BI397" s="758"/>
      <c r="BJ397" s="758"/>
      <c r="BK397" s="758"/>
      <c r="BL397" s="759">
        <f>SUM(AZ397,BA397,BB397,BC397,BD397,BE397,BF397,BG397,BH397,BI397,BJ397,BK397)</f>
        <v>0</v>
      </c>
      <c r="BN397" s="758"/>
      <c r="BO397" s="758"/>
      <c r="BP397" s="758"/>
      <c r="BQ397" s="758"/>
      <c r="BR397" s="758">
        <f>BQ397*0.85</f>
        <v>0</v>
      </c>
      <c r="BS397" s="758"/>
      <c r="BT397" s="758"/>
      <c r="BU397" s="758"/>
      <c r="BV397" s="758"/>
      <c r="BW397" s="758"/>
      <c r="BX397" s="758"/>
      <c r="BY397" s="758"/>
      <c r="BZ397" s="791">
        <v>0</v>
      </c>
      <c r="CB397" s="758"/>
      <c r="CC397" s="758"/>
      <c r="CD397" s="758"/>
      <c r="CE397" s="758"/>
      <c r="CF397" s="758">
        <f>CE397*0.85</f>
        <v>0</v>
      </c>
      <c r="CG397" s="758"/>
      <c r="CH397" s="758"/>
      <c r="CI397" s="758"/>
      <c r="CJ397" s="758"/>
      <c r="CK397" s="758"/>
      <c r="CL397" s="758"/>
      <c r="CM397" s="758"/>
      <c r="CN397" s="791">
        <v>0</v>
      </c>
      <c r="CP397" s="653"/>
      <c r="CQ397" s="653"/>
      <c r="CR397" s="524"/>
      <c r="CS397" s="653"/>
      <c r="CT397" s="524"/>
      <c r="CU397" s="653"/>
      <c r="CV397" s="524"/>
      <c r="CW397" s="653"/>
      <c r="CX397" s="524"/>
      <c r="CY397" s="653"/>
      <c r="CZ397" s="524"/>
      <c r="DA397" s="653"/>
      <c r="DB397" s="524"/>
      <c r="DC397" s="653">
        <v>0</v>
      </c>
      <c r="DD397" s="524"/>
      <c r="DE397" s="524"/>
      <c r="DF397" s="524"/>
      <c r="DG397" s="757"/>
      <c r="DH397" s="524"/>
      <c r="DI397" s="524"/>
      <c r="DJ397" s="757"/>
      <c r="DK397" s="524"/>
      <c r="DL397" s="524"/>
      <c r="DM397" s="757"/>
      <c r="DN397" s="524"/>
      <c r="DO397" s="524"/>
      <c r="DP397" s="757"/>
      <c r="DQ397" s="493">
        <f t="shared" si="207"/>
        <v>0</v>
      </c>
      <c r="DR397" s="479">
        <f t="shared" si="195"/>
        <v>0</v>
      </c>
      <c r="DS397" s="1019"/>
      <c r="DT397" s="1019"/>
      <c r="DU397" s="1019"/>
      <c r="DV397" s="1019"/>
      <c r="DW397" s="1019"/>
      <c r="DX397" s="1019"/>
      <c r="DY397" s="1019"/>
      <c r="DZ397" s="1019"/>
      <c r="EA397" s="1019"/>
      <c r="EB397" s="1019"/>
      <c r="EC397" s="1019"/>
      <c r="ED397" s="1019"/>
      <c r="EE397" s="1119">
        <f t="shared" si="202"/>
        <v>0</v>
      </c>
      <c r="EF397" s="443">
        <f>EE397*1.17</f>
        <v>0</v>
      </c>
      <c r="EG397" s="443">
        <f>EF397*1.08</f>
        <v>0</v>
      </c>
      <c r="EH397" s="443">
        <f>EG397*1.09</f>
        <v>0</v>
      </c>
      <c r="EI397" s="443">
        <f>EH397*1.09</f>
        <v>0</v>
      </c>
      <c r="EJ397" s="367" t="s">
        <v>656</v>
      </c>
    </row>
    <row r="398" spans="1:140" outlineLevel="2">
      <c r="A398" s="389"/>
      <c r="B398" s="378"/>
      <c r="C398" s="370" t="s">
        <v>358</v>
      </c>
      <c r="D398" s="297" t="s">
        <v>121</v>
      </c>
      <c r="E398" s="396" t="s">
        <v>657</v>
      </c>
      <c r="F398" s="380"/>
      <c r="G398" s="180"/>
      <c r="H398" s="1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181"/>
      <c r="U398" s="180"/>
      <c r="V398" s="13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181"/>
      <c r="AI398" s="180"/>
      <c r="AJ398" s="810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181"/>
      <c r="AZ398" s="180"/>
      <c r="BA398" s="810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N398" s="759"/>
      <c r="BO398" s="810"/>
      <c r="BP398" s="758"/>
      <c r="BQ398" s="758"/>
      <c r="BR398" s="758"/>
      <c r="BS398" s="758"/>
      <c r="BT398" s="758"/>
      <c r="BU398" s="758"/>
      <c r="BV398" s="758"/>
      <c r="BW398" s="758"/>
      <c r="BX398" s="758"/>
      <c r="BY398" s="758"/>
      <c r="BZ398" s="799"/>
      <c r="CB398" s="759"/>
      <c r="CC398" s="810"/>
      <c r="CD398" s="758"/>
      <c r="CE398" s="758"/>
      <c r="CF398" s="758"/>
      <c r="CG398" s="758"/>
      <c r="CH398" s="758"/>
      <c r="CI398" s="758"/>
      <c r="CJ398" s="758"/>
      <c r="CK398" s="758"/>
      <c r="CL398" s="758"/>
      <c r="CM398" s="758"/>
      <c r="CN398" s="6"/>
      <c r="CP398" s="647"/>
      <c r="CQ398" s="647"/>
      <c r="CR398" s="518"/>
      <c r="CS398" s="647"/>
      <c r="CT398" s="518"/>
      <c r="CU398" s="647"/>
      <c r="CV398" s="518"/>
      <c r="CW398" s="647"/>
      <c r="CX398" s="518"/>
      <c r="CY398" s="647"/>
      <c r="CZ398" s="518">
        <v>100000000</v>
      </c>
      <c r="DA398" s="647"/>
      <c r="DB398" s="518">
        <v>100000000</v>
      </c>
      <c r="DC398" s="647">
        <v>0</v>
      </c>
      <c r="DD398" s="518">
        <v>100000000</v>
      </c>
      <c r="DE398" s="524"/>
      <c r="DF398" s="518">
        <v>100000000</v>
      </c>
      <c r="DG398" s="757">
        <v>100000000</v>
      </c>
      <c r="DH398" s="524"/>
      <c r="DI398" s="518">
        <v>100000000</v>
      </c>
      <c r="DJ398" s="757">
        <v>100000000</v>
      </c>
      <c r="DK398" s="524"/>
      <c r="DL398" s="518">
        <v>100000000</v>
      </c>
      <c r="DM398" s="757">
        <v>100000000</v>
      </c>
      <c r="DN398" s="524"/>
      <c r="DO398" s="518">
        <v>100000000</v>
      </c>
      <c r="DP398" s="757">
        <v>100000000</v>
      </c>
      <c r="DQ398" s="493">
        <f t="shared" si="207"/>
        <v>400000000</v>
      </c>
      <c r="DR398" s="479">
        <f t="shared" si="195"/>
        <v>400000000</v>
      </c>
      <c r="DS398" s="1163"/>
      <c r="DT398" s="1163"/>
      <c r="DU398" s="1163"/>
      <c r="DV398" s="1163"/>
      <c r="DW398" s="1163"/>
      <c r="DX398" s="1163"/>
      <c r="DY398" s="1163"/>
      <c r="DZ398" s="1163"/>
      <c r="EA398" s="1163"/>
      <c r="EB398" s="1163"/>
      <c r="EC398" s="1163"/>
      <c r="ED398" s="1163"/>
      <c r="EE398" s="1119">
        <f t="shared" si="202"/>
        <v>0</v>
      </c>
      <c r="EF398" s="457">
        <v>2495610000</v>
      </c>
      <c r="EG398" s="457">
        <v>3695258800</v>
      </c>
      <c r="EH398" s="457">
        <v>5500000000</v>
      </c>
      <c r="EI398" s="457">
        <v>5500000000</v>
      </c>
    </row>
    <row r="399" spans="1:140" outlineLevel="2">
      <c r="A399" s="367" t="s">
        <v>196</v>
      </c>
      <c r="B399" s="378"/>
      <c r="C399" s="370" t="s">
        <v>358</v>
      </c>
      <c r="D399" s="297" t="s">
        <v>121</v>
      </c>
      <c r="E399" s="396" t="s">
        <v>658</v>
      </c>
      <c r="F399" s="380"/>
      <c r="G399" s="180"/>
      <c r="H399" s="1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181"/>
      <c r="U399" s="180"/>
      <c r="V399" s="13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181"/>
      <c r="AI399" s="180"/>
      <c r="AJ399" s="810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181"/>
      <c r="AZ399" s="180"/>
      <c r="BA399" s="810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N399" s="759"/>
      <c r="BO399" s="810"/>
      <c r="BP399" s="758"/>
      <c r="BQ399" s="758">
        <v>0</v>
      </c>
      <c r="BR399" s="758">
        <f>BQ399*0.85</f>
        <v>0</v>
      </c>
      <c r="BS399" s="758"/>
      <c r="BT399" s="758"/>
      <c r="BU399" s="758"/>
      <c r="BV399" s="758"/>
      <c r="BW399" s="758"/>
      <c r="BX399" s="758"/>
      <c r="BY399" s="758"/>
      <c r="BZ399" s="799"/>
      <c r="CB399" s="759"/>
      <c r="CC399" s="810"/>
      <c r="CD399" s="758"/>
      <c r="CE399" s="758">
        <v>0</v>
      </c>
      <c r="CF399" s="758">
        <f>CE399*0.85</f>
        <v>0</v>
      </c>
      <c r="CG399" s="758"/>
      <c r="CH399" s="758"/>
      <c r="CI399" s="758"/>
      <c r="CJ399" s="758"/>
      <c r="CK399" s="758"/>
      <c r="CL399" s="758"/>
      <c r="CM399" s="758"/>
      <c r="CN399" s="6"/>
      <c r="CP399" s="647"/>
      <c r="CQ399" s="647"/>
      <c r="CR399" s="518"/>
      <c r="CS399" s="647"/>
      <c r="CT399" s="518"/>
      <c r="CU399" s="647"/>
      <c r="CV399" s="518"/>
      <c r="CW399" s="647">
        <f>CU399*0.85</f>
        <v>0</v>
      </c>
      <c r="CX399" s="518">
        <v>0</v>
      </c>
      <c r="CY399" s="647"/>
      <c r="CZ399" s="518">
        <v>82500000</v>
      </c>
      <c r="DA399" s="647"/>
      <c r="DB399" s="518">
        <v>82500000</v>
      </c>
      <c r="DC399" s="647">
        <v>0</v>
      </c>
      <c r="DD399" s="518">
        <v>82500000</v>
      </c>
      <c r="DE399" s="524"/>
      <c r="DF399" s="518">
        <v>82500000</v>
      </c>
      <c r="DG399" s="757">
        <v>82500000</v>
      </c>
      <c r="DH399" s="524"/>
      <c r="DI399" s="518">
        <v>82500000</v>
      </c>
      <c r="DJ399" s="757">
        <v>82500000</v>
      </c>
      <c r="DK399" s="524"/>
      <c r="DL399" s="518">
        <v>82500000</v>
      </c>
      <c r="DM399" s="757">
        <v>82500000</v>
      </c>
      <c r="DN399" s="524"/>
      <c r="DO399" s="518">
        <v>82500000</v>
      </c>
      <c r="DP399" s="757">
        <v>82500000</v>
      </c>
      <c r="DQ399" s="493">
        <f t="shared" si="207"/>
        <v>330000000</v>
      </c>
      <c r="DR399" s="479">
        <f t="shared" si="195"/>
        <v>330000000</v>
      </c>
      <c r="DS399" s="1163">
        <v>75000000</v>
      </c>
      <c r="DT399" s="1163">
        <v>75000000</v>
      </c>
      <c r="DU399" s="1163">
        <v>75000000</v>
      </c>
      <c r="DV399" s="1163">
        <v>75000000</v>
      </c>
      <c r="DW399" s="1163">
        <v>75000000</v>
      </c>
      <c r="DX399" s="1163">
        <v>75000000</v>
      </c>
      <c r="DY399" s="1163">
        <v>75000000</v>
      </c>
      <c r="DZ399" s="1163">
        <v>75000000</v>
      </c>
      <c r="EA399" s="1163">
        <v>75000000</v>
      </c>
      <c r="EB399" s="1163">
        <v>75000000</v>
      </c>
      <c r="EC399" s="1163">
        <v>75000000</v>
      </c>
      <c r="ED399" s="1163">
        <v>75000000</v>
      </c>
      <c r="EE399" s="1119">
        <f t="shared" si="202"/>
        <v>900000000</v>
      </c>
      <c r="EF399" s="457">
        <v>2495610000</v>
      </c>
      <c r="EG399" s="457">
        <v>3695258800</v>
      </c>
      <c r="EH399" s="457">
        <v>5500000000</v>
      </c>
      <c r="EI399" s="457">
        <v>5500000000</v>
      </c>
      <c r="EJ399" s="367" t="e">
        <v>#N/A</v>
      </c>
    </row>
    <row r="400" spans="1:140" outlineLevel="2">
      <c r="A400" s="367" t="s">
        <v>196</v>
      </c>
      <c r="B400" s="378"/>
      <c r="C400" s="370" t="s">
        <v>358</v>
      </c>
      <c r="D400" s="297" t="s">
        <v>121</v>
      </c>
      <c r="E400" s="396" t="s">
        <v>659</v>
      </c>
      <c r="F400" s="380" t="s">
        <v>660</v>
      </c>
      <c r="G400" s="188"/>
      <c r="H400" s="13"/>
      <c r="I400" s="185"/>
      <c r="J400" s="185"/>
      <c r="K400" s="185"/>
      <c r="L400" s="185"/>
      <c r="M400" s="185"/>
      <c r="N400" s="185"/>
      <c r="O400" s="185"/>
      <c r="P400" s="185"/>
      <c r="Q400" s="185"/>
      <c r="R400" s="185"/>
      <c r="S400" s="14"/>
      <c r="T400" s="179"/>
      <c r="U400" s="188"/>
      <c r="V400" s="13"/>
      <c r="W400" s="185"/>
      <c r="X400" s="185"/>
      <c r="Y400" s="185"/>
      <c r="Z400" s="185"/>
      <c r="AA400" s="185"/>
      <c r="AB400" s="185"/>
      <c r="AC400" s="185"/>
      <c r="AD400" s="185"/>
      <c r="AE400" s="185"/>
      <c r="AF400" s="185"/>
      <c r="AG400" s="759"/>
      <c r="AH400" s="788"/>
      <c r="AI400" s="827"/>
      <c r="AJ400" s="810"/>
      <c r="AK400" s="758"/>
      <c r="AL400" s="758"/>
      <c r="AM400" s="758"/>
      <c r="AN400" s="758"/>
      <c r="AO400" s="758"/>
      <c r="AP400" s="758"/>
      <c r="AQ400" s="518"/>
      <c r="AR400" s="518"/>
      <c r="AS400" s="518"/>
      <c r="AT400" s="518"/>
      <c r="AU400" s="828"/>
      <c r="AV400" s="828"/>
      <c r="AW400" s="828"/>
      <c r="AX400" s="518"/>
      <c r="AY400" s="788"/>
      <c r="AZ400" s="827"/>
      <c r="BA400" s="810"/>
      <c r="BB400" s="758"/>
      <c r="BC400" s="758"/>
      <c r="BD400" s="758"/>
      <c r="BE400" s="758"/>
      <c r="BF400" s="758"/>
      <c r="BG400" s="758"/>
      <c r="BH400" s="758"/>
      <c r="BI400" s="758"/>
      <c r="BJ400" s="758"/>
      <c r="BK400" s="758"/>
      <c r="BL400" s="759"/>
      <c r="BN400" s="758"/>
      <c r="BO400" s="758"/>
      <c r="BP400" s="758"/>
      <c r="BQ400" s="758"/>
      <c r="BR400" s="758"/>
      <c r="BS400" s="758"/>
      <c r="BT400" s="758"/>
      <c r="BU400" s="758"/>
      <c r="BV400" s="758"/>
      <c r="BW400" s="758"/>
      <c r="BX400" s="758"/>
      <c r="BY400" s="758"/>
      <c r="BZ400" s="791"/>
      <c r="CB400" s="758"/>
      <c r="CC400" s="758"/>
      <c r="CD400" s="758"/>
      <c r="CE400" s="758"/>
      <c r="CF400" s="758"/>
      <c r="CG400" s="758"/>
      <c r="CH400" s="758"/>
      <c r="CI400" s="758"/>
      <c r="CJ400" s="758"/>
      <c r="CK400" s="758"/>
      <c r="CL400" s="758"/>
      <c r="CM400" s="758"/>
      <c r="CN400" s="791"/>
      <c r="CP400" s="653"/>
      <c r="CQ400" s="653"/>
      <c r="CR400" s="524"/>
      <c r="CS400" s="653"/>
      <c r="CT400" s="524"/>
      <c r="CU400" s="653"/>
      <c r="CV400" s="524"/>
      <c r="CW400" s="653">
        <v>4550000</v>
      </c>
      <c r="CX400" s="524">
        <v>25000000</v>
      </c>
      <c r="CY400" s="653">
        <v>34850000</v>
      </c>
      <c r="CZ400" s="524">
        <v>40000000</v>
      </c>
      <c r="DA400" s="653">
        <v>124700000</v>
      </c>
      <c r="DB400" s="524">
        <v>40000000</v>
      </c>
      <c r="DC400" s="653">
        <v>60700000</v>
      </c>
      <c r="DD400" s="524">
        <v>40000000</v>
      </c>
      <c r="DE400" s="524"/>
      <c r="DF400" s="524">
        <v>40000000</v>
      </c>
      <c r="DG400" s="757">
        <v>40000000</v>
      </c>
      <c r="DH400" s="524"/>
      <c r="DI400" s="524">
        <v>40000000</v>
      </c>
      <c r="DJ400" s="757">
        <v>40000000</v>
      </c>
      <c r="DK400" s="524"/>
      <c r="DL400" s="524">
        <v>40000000</v>
      </c>
      <c r="DM400" s="757">
        <v>40000000</v>
      </c>
      <c r="DN400" s="524"/>
      <c r="DO400" s="524">
        <v>40000000</v>
      </c>
      <c r="DP400" s="757">
        <v>40000000</v>
      </c>
      <c r="DQ400" s="493">
        <f t="shared" si="207"/>
        <v>384800000</v>
      </c>
      <c r="DR400" s="479">
        <f t="shared" si="195"/>
        <v>384800000</v>
      </c>
      <c r="DS400" s="1019">
        <v>100000000</v>
      </c>
      <c r="DT400" s="1019">
        <v>100000000</v>
      </c>
      <c r="DU400" s="1019">
        <v>100000000</v>
      </c>
      <c r="DV400" s="1019">
        <v>100000000</v>
      </c>
      <c r="DW400" s="1019">
        <v>100000000</v>
      </c>
      <c r="DX400" s="1019">
        <v>100000000</v>
      </c>
      <c r="DY400" s="1019">
        <v>100000000</v>
      </c>
      <c r="DZ400" s="1019">
        <v>100000000</v>
      </c>
      <c r="EA400" s="1019">
        <v>100000000</v>
      </c>
      <c r="EB400" s="1019">
        <v>175000000</v>
      </c>
      <c r="EC400" s="1019">
        <v>175000000</v>
      </c>
      <c r="ED400" s="1019">
        <v>175000000</v>
      </c>
      <c r="EE400" s="1119">
        <f t="shared" si="202"/>
        <v>1425000000</v>
      </c>
      <c r="EF400" s="458">
        <v>2495610000</v>
      </c>
      <c r="EG400" s="458">
        <v>3695258800</v>
      </c>
      <c r="EH400" s="458">
        <v>5500000000</v>
      </c>
      <c r="EI400" s="458">
        <v>5500000000</v>
      </c>
    </row>
    <row r="401" spans="1:140" outlineLevel="2">
      <c r="A401" s="367" t="s">
        <v>194</v>
      </c>
      <c r="B401" s="378"/>
      <c r="C401" s="370" t="s">
        <v>358</v>
      </c>
      <c r="D401" s="297" t="s">
        <v>121</v>
      </c>
      <c r="E401" s="396" t="s">
        <v>661</v>
      </c>
      <c r="F401" s="380"/>
      <c r="G401" s="188"/>
      <c r="H401" s="13"/>
      <c r="I401" s="185"/>
      <c r="J401" s="185"/>
      <c r="K401" s="185"/>
      <c r="L401" s="185"/>
      <c r="M401" s="185"/>
      <c r="N401" s="185"/>
      <c r="O401" s="185"/>
      <c r="P401" s="185"/>
      <c r="Q401" s="185"/>
      <c r="R401" s="185"/>
      <c r="S401" s="14"/>
      <c r="T401" s="179"/>
      <c r="U401" s="188"/>
      <c r="V401" s="13"/>
      <c r="W401" s="185"/>
      <c r="X401" s="185"/>
      <c r="Y401" s="185"/>
      <c r="Z401" s="185"/>
      <c r="AA401" s="185"/>
      <c r="AB401" s="185"/>
      <c r="AC401" s="185"/>
      <c r="AD401" s="185"/>
      <c r="AE401" s="185"/>
      <c r="AF401" s="185"/>
      <c r="AG401" s="759"/>
      <c r="AH401" s="788"/>
      <c r="AI401" s="827"/>
      <c r="AJ401" s="810"/>
      <c r="AK401" s="758"/>
      <c r="AL401" s="758"/>
      <c r="AM401" s="758"/>
      <c r="AN401" s="758"/>
      <c r="AO401" s="758"/>
      <c r="AP401" s="758"/>
      <c r="AQ401" s="518"/>
      <c r="AR401" s="518"/>
      <c r="AS401" s="518"/>
      <c r="AT401" s="518"/>
      <c r="AU401" s="828"/>
      <c r="AV401" s="828"/>
      <c r="AW401" s="828"/>
      <c r="AX401" s="518"/>
      <c r="AY401" s="788"/>
      <c r="AZ401" s="827"/>
      <c r="BA401" s="810"/>
      <c r="BB401" s="758"/>
      <c r="BC401" s="758"/>
      <c r="BD401" s="758"/>
      <c r="BE401" s="758"/>
      <c r="BF401" s="758"/>
      <c r="BG401" s="758"/>
      <c r="BH401" s="758"/>
      <c r="BI401" s="758"/>
      <c r="BJ401" s="758"/>
      <c r="BK401" s="758"/>
      <c r="BL401" s="759"/>
      <c r="BN401" s="758"/>
      <c r="BO401" s="758"/>
      <c r="BP401" s="758"/>
      <c r="BQ401" s="758"/>
      <c r="BR401" s="758"/>
      <c r="BS401" s="758"/>
      <c r="BT401" s="758"/>
      <c r="BU401" s="758"/>
      <c r="BV401" s="758"/>
      <c r="BW401" s="758"/>
      <c r="BX401" s="758"/>
      <c r="BY401" s="758"/>
      <c r="BZ401" s="791"/>
      <c r="CB401" s="758"/>
      <c r="CC401" s="758"/>
      <c r="CD401" s="758"/>
      <c r="CE401" s="758"/>
      <c r="CF401" s="758"/>
      <c r="CG401" s="758"/>
      <c r="CH401" s="758"/>
      <c r="CI401" s="758"/>
      <c r="CJ401" s="758"/>
      <c r="CK401" s="758"/>
      <c r="CL401" s="758"/>
      <c r="CM401" s="758"/>
      <c r="CN401" s="791"/>
      <c r="CP401" s="653"/>
      <c r="CQ401" s="653"/>
      <c r="CR401" s="524"/>
      <c r="CS401" s="653"/>
      <c r="CT401" s="524"/>
      <c r="CU401" s="653"/>
      <c r="CV401" s="524"/>
      <c r="CW401" s="653"/>
      <c r="CX401" s="524"/>
      <c r="CY401" s="653"/>
      <c r="CZ401" s="524"/>
      <c r="DA401" s="653"/>
      <c r="DB401" s="524"/>
      <c r="DC401" s="653"/>
      <c r="DD401" s="524"/>
      <c r="DE401" s="524"/>
      <c r="DF401" s="524"/>
      <c r="DG401" s="757"/>
      <c r="DH401" s="524"/>
      <c r="DI401" s="524"/>
      <c r="DJ401" s="757"/>
      <c r="DK401" s="524"/>
      <c r="DL401" s="524"/>
      <c r="DM401" s="757"/>
      <c r="DN401" s="524"/>
      <c r="DO401" s="524"/>
      <c r="DP401" s="757"/>
      <c r="DQ401" s="493"/>
      <c r="DR401" s="479">
        <f t="shared" si="195"/>
        <v>0</v>
      </c>
      <c r="DS401" s="1019">
        <v>20000000</v>
      </c>
      <c r="DT401" s="1019">
        <v>20000000</v>
      </c>
      <c r="DU401" s="1019">
        <v>20000000</v>
      </c>
      <c r="DV401" s="1019">
        <v>20000000</v>
      </c>
      <c r="DW401" s="1019">
        <v>20000000</v>
      </c>
      <c r="DX401" s="1019">
        <v>20000000</v>
      </c>
      <c r="DY401" s="1019">
        <v>20000000</v>
      </c>
      <c r="DZ401" s="1019">
        <v>20000000</v>
      </c>
      <c r="EA401" s="1019">
        <v>20000000</v>
      </c>
      <c r="EB401" s="1019">
        <v>20000000</v>
      </c>
      <c r="EC401" s="1019">
        <v>20000000</v>
      </c>
      <c r="ED401" s="1019">
        <v>20000000</v>
      </c>
      <c r="EE401" s="1119">
        <f t="shared" si="202"/>
        <v>240000000</v>
      </c>
      <c r="EF401" s="458"/>
      <c r="EG401" s="458"/>
      <c r="EH401" s="458"/>
      <c r="EI401" s="458"/>
    </row>
    <row r="402" spans="1:140" outlineLevel="2">
      <c r="A402" s="367" t="s">
        <v>276</v>
      </c>
      <c r="B402" s="378"/>
      <c r="C402" s="370" t="s">
        <v>358</v>
      </c>
      <c r="D402" s="297" t="s">
        <v>121</v>
      </c>
      <c r="E402" s="396" t="s">
        <v>662</v>
      </c>
      <c r="F402" s="380"/>
      <c r="G402" s="188"/>
      <c r="H402" s="13"/>
      <c r="I402" s="185"/>
      <c r="J402" s="185"/>
      <c r="K402" s="185"/>
      <c r="L402" s="185"/>
      <c r="M402" s="185"/>
      <c r="N402" s="185"/>
      <c r="O402" s="185"/>
      <c r="P402" s="185"/>
      <c r="Q402" s="185"/>
      <c r="R402" s="185"/>
      <c r="S402" s="14"/>
      <c r="T402" s="179"/>
      <c r="U402" s="188"/>
      <c r="V402" s="13"/>
      <c r="W402" s="185"/>
      <c r="X402" s="185"/>
      <c r="Y402" s="185"/>
      <c r="Z402" s="185"/>
      <c r="AA402" s="185"/>
      <c r="AB402" s="185"/>
      <c r="AC402" s="185"/>
      <c r="AD402" s="185"/>
      <c r="AE402" s="185"/>
      <c r="AF402" s="185"/>
      <c r="AG402" s="759"/>
      <c r="AH402" s="788"/>
      <c r="AI402" s="827"/>
      <c r="AJ402" s="810"/>
      <c r="AK402" s="758"/>
      <c r="AL402" s="758"/>
      <c r="AM402" s="758"/>
      <c r="AN402" s="758"/>
      <c r="AO402" s="758"/>
      <c r="AP402" s="758"/>
      <c r="AQ402" s="518"/>
      <c r="AR402" s="518"/>
      <c r="AS402" s="518"/>
      <c r="AT402" s="518"/>
      <c r="AU402" s="828"/>
      <c r="AV402" s="828"/>
      <c r="AW402" s="828"/>
      <c r="AX402" s="518"/>
      <c r="AY402" s="788"/>
      <c r="AZ402" s="827"/>
      <c r="BA402" s="810"/>
      <c r="BB402" s="758"/>
      <c r="BC402" s="758"/>
      <c r="BD402" s="758"/>
      <c r="BE402" s="758"/>
      <c r="BF402" s="758"/>
      <c r="BG402" s="758"/>
      <c r="BH402" s="758"/>
      <c r="BI402" s="758"/>
      <c r="BJ402" s="758"/>
      <c r="BK402" s="758"/>
      <c r="BL402" s="759"/>
      <c r="BN402" s="758"/>
      <c r="BO402" s="758"/>
      <c r="BP402" s="758"/>
      <c r="BQ402" s="758"/>
      <c r="BR402" s="758"/>
      <c r="BS402" s="758"/>
      <c r="BT402" s="758"/>
      <c r="BU402" s="758"/>
      <c r="BV402" s="758"/>
      <c r="BW402" s="758"/>
      <c r="BX402" s="758"/>
      <c r="BY402" s="758"/>
      <c r="BZ402" s="791"/>
      <c r="CB402" s="758"/>
      <c r="CC402" s="758"/>
      <c r="CD402" s="758"/>
      <c r="CE402" s="758"/>
      <c r="CF402" s="758"/>
      <c r="CG402" s="758"/>
      <c r="CH402" s="758"/>
      <c r="CI402" s="758"/>
      <c r="CJ402" s="758"/>
      <c r="CK402" s="758"/>
      <c r="CL402" s="758"/>
      <c r="CM402" s="758"/>
      <c r="CN402" s="791"/>
      <c r="CP402" s="653"/>
      <c r="CQ402" s="653"/>
      <c r="CR402" s="524"/>
      <c r="CS402" s="653"/>
      <c r="CT402" s="524"/>
      <c r="CU402" s="653"/>
      <c r="CV402" s="524"/>
      <c r="CW402" s="653"/>
      <c r="CX402" s="524"/>
      <c r="CY402" s="653"/>
      <c r="CZ402" s="524"/>
      <c r="DA402" s="653"/>
      <c r="DB402" s="524"/>
      <c r="DC402" s="653"/>
      <c r="DD402" s="524"/>
      <c r="DE402" s="524"/>
      <c r="DF402" s="524"/>
      <c r="DG402" s="757"/>
      <c r="DH402" s="524"/>
      <c r="DI402" s="524"/>
      <c r="DJ402" s="757"/>
      <c r="DK402" s="524"/>
      <c r="DL402" s="524"/>
      <c r="DM402" s="757"/>
      <c r="DN402" s="524"/>
      <c r="DO402" s="524"/>
      <c r="DP402" s="757"/>
      <c r="DQ402" s="493"/>
      <c r="DR402" s="479">
        <f t="shared" si="195"/>
        <v>0</v>
      </c>
      <c r="DS402" s="1019">
        <v>100000000</v>
      </c>
      <c r="DT402" s="1019">
        <v>100000000</v>
      </c>
      <c r="DU402" s="1019">
        <v>100000000</v>
      </c>
      <c r="DV402" s="1019">
        <v>100000000</v>
      </c>
      <c r="DW402" s="1019">
        <v>100000000</v>
      </c>
      <c r="DX402" s="1019">
        <v>100000000</v>
      </c>
      <c r="DY402" s="1019">
        <v>100000000</v>
      </c>
      <c r="DZ402" s="1019">
        <v>100000000</v>
      </c>
      <c r="EA402" s="1019">
        <v>100000000</v>
      </c>
      <c r="EB402" s="1019">
        <v>100000000</v>
      </c>
      <c r="EC402" s="1019">
        <v>100000000</v>
      </c>
      <c r="ED402" s="1019">
        <v>100000000</v>
      </c>
      <c r="EE402" s="1119">
        <f t="shared" si="202"/>
        <v>1200000000</v>
      </c>
      <c r="EF402" s="458"/>
      <c r="EG402" s="458"/>
      <c r="EH402" s="458"/>
      <c r="EI402" s="458"/>
    </row>
    <row r="403" spans="1:140" outlineLevel="2">
      <c r="A403" s="367" t="s">
        <v>196</v>
      </c>
      <c r="B403" s="378"/>
      <c r="C403" s="370" t="s">
        <v>358</v>
      </c>
      <c r="D403" s="297" t="s">
        <v>121</v>
      </c>
      <c r="E403" s="396" t="s">
        <v>663</v>
      </c>
      <c r="F403" s="380"/>
      <c r="G403" s="188"/>
      <c r="H403" s="13"/>
      <c r="I403" s="185"/>
      <c r="J403" s="185"/>
      <c r="K403" s="185"/>
      <c r="L403" s="185"/>
      <c r="M403" s="185"/>
      <c r="N403" s="185"/>
      <c r="O403" s="185"/>
      <c r="P403" s="185"/>
      <c r="Q403" s="185"/>
      <c r="R403" s="185"/>
      <c r="S403" s="14"/>
      <c r="T403" s="179"/>
      <c r="U403" s="188"/>
      <c r="V403" s="13"/>
      <c r="W403" s="185"/>
      <c r="X403" s="185"/>
      <c r="Y403" s="185"/>
      <c r="Z403" s="185"/>
      <c r="AA403" s="185"/>
      <c r="AB403" s="185"/>
      <c r="AC403" s="185"/>
      <c r="AD403" s="185"/>
      <c r="AE403" s="185"/>
      <c r="AF403" s="185"/>
      <c r="AG403" s="759"/>
      <c r="AH403" s="788"/>
      <c r="AI403" s="827"/>
      <c r="AJ403" s="810"/>
      <c r="AK403" s="758"/>
      <c r="AL403" s="758"/>
      <c r="AM403" s="758"/>
      <c r="AN403" s="758"/>
      <c r="AO403" s="758"/>
      <c r="AP403" s="758"/>
      <c r="AQ403" s="518"/>
      <c r="AR403" s="518"/>
      <c r="AS403" s="518"/>
      <c r="AT403" s="518"/>
      <c r="AU403" s="828"/>
      <c r="AV403" s="828"/>
      <c r="AW403" s="828"/>
      <c r="AX403" s="518"/>
      <c r="AY403" s="788"/>
      <c r="AZ403" s="827"/>
      <c r="BA403" s="810"/>
      <c r="BB403" s="758"/>
      <c r="BC403" s="758"/>
      <c r="BD403" s="758"/>
      <c r="BE403" s="758"/>
      <c r="BF403" s="758"/>
      <c r="BG403" s="758"/>
      <c r="BH403" s="758"/>
      <c r="BI403" s="758"/>
      <c r="BJ403" s="758"/>
      <c r="BK403" s="758"/>
      <c r="BL403" s="759"/>
      <c r="BN403" s="758"/>
      <c r="BO403" s="758"/>
      <c r="BP403" s="758"/>
      <c r="BQ403" s="758"/>
      <c r="BR403" s="758"/>
      <c r="BS403" s="758"/>
      <c r="BT403" s="758"/>
      <c r="BU403" s="758"/>
      <c r="BV403" s="758"/>
      <c r="BW403" s="758"/>
      <c r="BX403" s="758"/>
      <c r="BY403" s="758"/>
      <c r="BZ403" s="791"/>
      <c r="CB403" s="758"/>
      <c r="CC403" s="758"/>
      <c r="CD403" s="758"/>
      <c r="CE403" s="758"/>
      <c r="CF403" s="758"/>
      <c r="CG403" s="758"/>
      <c r="CH403" s="758"/>
      <c r="CI403" s="758"/>
      <c r="CJ403" s="758"/>
      <c r="CK403" s="758"/>
      <c r="CL403" s="758"/>
      <c r="CM403" s="758"/>
      <c r="CN403" s="791"/>
      <c r="CP403" s="653"/>
      <c r="CQ403" s="653"/>
      <c r="CR403" s="524"/>
      <c r="CS403" s="653"/>
      <c r="CT403" s="524"/>
      <c r="CU403" s="653"/>
      <c r="CV403" s="524"/>
      <c r="CW403" s="653"/>
      <c r="CX403" s="524"/>
      <c r="CY403" s="653"/>
      <c r="CZ403" s="524"/>
      <c r="DA403" s="653"/>
      <c r="DB403" s="524"/>
      <c r="DC403" s="653"/>
      <c r="DD403" s="524"/>
      <c r="DE403" s="524"/>
      <c r="DF403" s="524"/>
      <c r="DG403" s="757"/>
      <c r="DH403" s="524"/>
      <c r="DI403" s="524"/>
      <c r="DJ403" s="757"/>
      <c r="DK403" s="524"/>
      <c r="DL403" s="524"/>
      <c r="DM403" s="757"/>
      <c r="DN403" s="524"/>
      <c r="DO403" s="524"/>
      <c r="DP403" s="757"/>
      <c r="DQ403" s="493"/>
      <c r="DR403" s="479">
        <f t="shared" si="195"/>
        <v>0</v>
      </c>
      <c r="DS403" s="1019">
        <v>75000000</v>
      </c>
      <c r="DT403" s="1019">
        <v>75000000</v>
      </c>
      <c r="DU403" s="1019">
        <v>100000000</v>
      </c>
      <c r="DV403" s="1019">
        <v>100000000</v>
      </c>
      <c r="DW403" s="1019">
        <v>75000000</v>
      </c>
      <c r="DX403" s="1019">
        <v>75000000</v>
      </c>
      <c r="DY403" s="1019">
        <v>75000000</v>
      </c>
      <c r="DZ403" s="1019">
        <v>75000000</v>
      </c>
      <c r="EA403" s="1019">
        <v>75000000</v>
      </c>
      <c r="EB403" s="1019">
        <v>100000000</v>
      </c>
      <c r="EC403" s="1019">
        <v>100000000</v>
      </c>
      <c r="ED403" s="1019">
        <v>100000000</v>
      </c>
      <c r="EE403" s="1119">
        <f t="shared" si="202"/>
        <v>1025000000</v>
      </c>
      <c r="EF403" s="458"/>
      <c r="EG403" s="458"/>
      <c r="EH403" s="458"/>
      <c r="EI403" s="458"/>
    </row>
    <row r="404" spans="1:140" outlineLevel="2">
      <c r="A404" s="367" t="s">
        <v>196</v>
      </c>
      <c r="B404" s="378"/>
      <c r="C404" s="370" t="s">
        <v>358</v>
      </c>
      <c r="D404" s="297" t="s">
        <v>121</v>
      </c>
      <c r="E404" s="396" t="s">
        <v>664</v>
      </c>
      <c r="F404" s="380"/>
      <c r="G404" s="188"/>
      <c r="H404" s="13"/>
      <c r="I404" s="185"/>
      <c r="J404" s="185"/>
      <c r="K404" s="185"/>
      <c r="L404" s="185"/>
      <c r="M404" s="185"/>
      <c r="N404" s="185"/>
      <c r="O404" s="185"/>
      <c r="P404" s="185"/>
      <c r="Q404" s="185"/>
      <c r="R404" s="185"/>
      <c r="S404" s="14"/>
      <c r="T404" s="179"/>
      <c r="U404" s="188"/>
      <c r="V404" s="13"/>
      <c r="W404" s="185"/>
      <c r="X404" s="185"/>
      <c r="Y404" s="185"/>
      <c r="Z404" s="185"/>
      <c r="AA404" s="185"/>
      <c r="AB404" s="185"/>
      <c r="AC404" s="185"/>
      <c r="AD404" s="185"/>
      <c r="AE404" s="185"/>
      <c r="AF404" s="185"/>
      <c r="AG404" s="759"/>
      <c r="AH404" s="788"/>
      <c r="AI404" s="827"/>
      <c r="AJ404" s="810"/>
      <c r="AK404" s="758"/>
      <c r="AL404" s="758"/>
      <c r="AM404" s="758"/>
      <c r="AN404" s="758"/>
      <c r="AO404" s="758"/>
      <c r="AP404" s="758"/>
      <c r="AQ404" s="518"/>
      <c r="AR404" s="518"/>
      <c r="AS404" s="518"/>
      <c r="AT404" s="518"/>
      <c r="AU404" s="828"/>
      <c r="AV404" s="828"/>
      <c r="AW404" s="828"/>
      <c r="AX404" s="518"/>
      <c r="AY404" s="788"/>
      <c r="AZ404" s="827"/>
      <c r="BA404" s="810"/>
      <c r="BB404" s="758"/>
      <c r="BC404" s="758"/>
      <c r="BD404" s="758"/>
      <c r="BE404" s="758"/>
      <c r="BF404" s="758"/>
      <c r="BG404" s="758"/>
      <c r="BH404" s="758"/>
      <c r="BI404" s="758"/>
      <c r="BJ404" s="758"/>
      <c r="BK404" s="758"/>
      <c r="BL404" s="759"/>
      <c r="BN404" s="758"/>
      <c r="BO404" s="758"/>
      <c r="BP404" s="758"/>
      <c r="BQ404" s="758"/>
      <c r="BR404" s="758"/>
      <c r="BS404" s="758"/>
      <c r="BT404" s="758"/>
      <c r="BU404" s="758"/>
      <c r="BV404" s="758"/>
      <c r="BW404" s="758"/>
      <c r="BX404" s="758"/>
      <c r="BY404" s="758"/>
      <c r="BZ404" s="791"/>
      <c r="CB404" s="758"/>
      <c r="CC404" s="758"/>
      <c r="CD404" s="758"/>
      <c r="CE404" s="758"/>
      <c r="CF404" s="758"/>
      <c r="CG404" s="758"/>
      <c r="CH404" s="758"/>
      <c r="CI404" s="758"/>
      <c r="CJ404" s="758"/>
      <c r="CK404" s="758"/>
      <c r="CL404" s="758"/>
      <c r="CM404" s="758"/>
      <c r="CN404" s="791"/>
      <c r="CP404" s="653"/>
      <c r="CQ404" s="653"/>
      <c r="CR404" s="524"/>
      <c r="CS404" s="653"/>
      <c r="CT404" s="524"/>
      <c r="CU404" s="653"/>
      <c r="CV404" s="524"/>
      <c r="CW404" s="653"/>
      <c r="CX404" s="524"/>
      <c r="CY404" s="653"/>
      <c r="CZ404" s="524"/>
      <c r="DA404" s="653"/>
      <c r="DB404" s="524"/>
      <c r="DC404" s="653"/>
      <c r="DD404" s="524"/>
      <c r="DE404" s="524"/>
      <c r="DF404" s="524"/>
      <c r="DG404" s="757"/>
      <c r="DH404" s="524"/>
      <c r="DI404" s="524"/>
      <c r="DJ404" s="757"/>
      <c r="DK404" s="524"/>
      <c r="DL404" s="524"/>
      <c r="DM404" s="757"/>
      <c r="DN404" s="524"/>
      <c r="DO404" s="524"/>
      <c r="DP404" s="757"/>
      <c r="DQ404" s="493"/>
      <c r="DR404" s="479">
        <f t="shared" si="195"/>
        <v>0</v>
      </c>
      <c r="DS404" s="1019">
        <v>40000000</v>
      </c>
      <c r="DT404" s="1019">
        <v>40000000</v>
      </c>
      <c r="DU404" s="1019">
        <v>40000000</v>
      </c>
      <c r="DV404" s="1019">
        <v>40000000</v>
      </c>
      <c r="DW404" s="1019">
        <v>40000000</v>
      </c>
      <c r="DX404" s="1019">
        <v>40000000</v>
      </c>
      <c r="DY404" s="1019">
        <v>40000000</v>
      </c>
      <c r="DZ404" s="1019">
        <v>40000000</v>
      </c>
      <c r="EA404" s="1019">
        <v>40000000</v>
      </c>
      <c r="EB404" s="1019">
        <v>40000000</v>
      </c>
      <c r="EC404" s="1019">
        <v>40000000</v>
      </c>
      <c r="ED404" s="1019">
        <v>40000000</v>
      </c>
      <c r="EE404" s="1119">
        <f t="shared" si="202"/>
        <v>480000000</v>
      </c>
      <c r="EF404" s="458"/>
      <c r="EG404" s="458"/>
      <c r="EH404" s="458"/>
      <c r="EI404" s="458"/>
    </row>
    <row r="405" spans="1:140" outlineLevel="2">
      <c r="A405" s="367" t="s">
        <v>276</v>
      </c>
      <c r="B405" s="378"/>
      <c r="C405" s="370" t="s">
        <v>358</v>
      </c>
      <c r="D405" s="297" t="s">
        <v>121</v>
      </c>
      <c r="E405" s="396" t="s">
        <v>665</v>
      </c>
      <c r="F405" s="380"/>
      <c r="G405" s="188"/>
      <c r="H405" s="13"/>
      <c r="I405" s="185"/>
      <c r="J405" s="185"/>
      <c r="K405" s="185"/>
      <c r="L405" s="185"/>
      <c r="M405" s="185"/>
      <c r="N405" s="185"/>
      <c r="O405" s="185"/>
      <c r="P405" s="185"/>
      <c r="Q405" s="185"/>
      <c r="R405" s="185"/>
      <c r="S405" s="14"/>
      <c r="T405" s="179"/>
      <c r="U405" s="188"/>
      <c r="V405" s="13"/>
      <c r="W405" s="185"/>
      <c r="X405" s="185"/>
      <c r="Y405" s="185"/>
      <c r="Z405" s="185"/>
      <c r="AA405" s="185"/>
      <c r="AB405" s="185"/>
      <c r="AC405" s="185"/>
      <c r="AD405" s="185"/>
      <c r="AE405" s="185"/>
      <c r="AF405" s="185"/>
      <c r="AG405" s="759"/>
      <c r="AH405" s="788"/>
      <c r="AI405" s="827"/>
      <c r="AJ405" s="810"/>
      <c r="AK405" s="758"/>
      <c r="AL405" s="758"/>
      <c r="AM405" s="758"/>
      <c r="AN405" s="758"/>
      <c r="AO405" s="758"/>
      <c r="AP405" s="758"/>
      <c r="AQ405" s="518"/>
      <c r="AR405" s="518"/>
      <c r="AS405" s="518"/>
      <c r="AT405" s="518"/>
      <c r="AU405" s="828"/>
      <c r="AV405" s="828"/>
      <c r="AW405" s="828"/>
      <c r="AX405" s="518"/>
      <c r="AY405" s="788"/>
      <c r="AZ405" s="827"/>
      <c r="BA405" s="810"/>
      <c r="BB405" s="758"/>
      <c r="BC405" s="758"/>
      <c r="BD405" s="758"/>
      <c r="BE405" s="758"/>
      <c r="BF405" s="758"/>
      <c r="BG405" s="758"/>
      <c r="BH405" s="758"/>
      <c r="BI405" s="758"/>
      <c r="BJ405" s="758"/>
      <c r="BK405" s="758"/>
      <c r="BL405" s="759"/>
      <c r="BN405" s="758"/>
      <c r="BO405" s="758"/>
      <c r="BP405" s="758"/>
      <c r="BQ405" s="758"/>
      <c r="BR405" s="758"/>
      <c r="BS405" s="758"/>
      <c r="BT405" s="758"/>
      <c r="BU405" s="758"/>
      <c r="BV405" s="758"/>
      <c r="BW405" s="758"/>
      <c r="BX405" s="758"/>
      <c r="BY405" s="758"/>
      <c r="BZ405" s="791"/>
      <c r="CB405" s="758"/>
      <c r="CC405" s="758"/>
      <c r="CD405" s="758"/>
      <c r="CE405" s="758"/>
      <c r="CF405" s="758"/>
      <c r="CG405" s="758"/>
      <c r="CH405" s="758"/>
      <c r="CI405" s="758"/>
      <c r="CJ405" s="758"/>
      <c r="CK405" s="758"/>
      <c r="CL405" s="758"/>
      <c r="CM405" s="758"/>
      <c r="CN405" s="791"/>
      <c r="CP405" s="653"/>
      <c r="CQ405" s="653"/>
      <c r="CR405" s="524"/>
      <c r="CS405" s="653"/>
      <c r="CT405" s="524"/>
      <c r="CU405" s="653"/>
      <c r="CV405" s="524"/>
      <c r="CW405" s="653"/>
      <c r="CX405" s="524"/>
      <c r="CY405" s="653"/>
      <c r="CZ405" s="524"/>
      <c r="DA405" s="653"/>
      <c r="DB405" s="524"/>
      <c r="DC405" s="653"/>
      <c r="DD405" s="524"/>
      <c r="DE405" s="524"/>
      <c r="DF405" s="524"/>
      <c r="DG405" s="757"/>
      <c r="DH405" s="524"/>
      <c r="DI405" s="524"/>
      <c r="DJ405" s="757"/>
      <c r="DK405" s="524"/>
      <c r="DL405" s="524"/>
      <c r="DM405" s="757"/>
      <c r="DN405" s="524"/>
      <c r="DO405" s="524"/>
      <c r="DP405" s="757"/>
      <c r="DQ405" s="493"/>
      <c r="DR405" s="479">
        <f t="shared" si="195"/>
        <v>0</v>
      </c>
      <c r="DS405" s="1019">
        <v>100000000</v>
      </c>
      <c r="DT405" s="1019">
        <v>100000000</v>
      </c>
      <c r="DU405" s="1019">
        <v>150000000</v>
      </c>
      <c r="DV405" s="1019">
        <v>150000000</v>
      </c>
      <c r="DW405" s="1019">
        <v>100000000</v>
      </c>
      <c r="DX405" s="1019">
        <v>100000000</v>
      </c>
      <c r="DY405" s="1019">
        <v>100000000</v>
      </c>
      <c r="DZ405" s="1019">
        <v>100000000</v>
      </c>
      <c r="EA405" s="1019">
        <v>100000000</v>
      </c>
      <c r="EB405" s="1019">
        <v>100000000</v>
      </c>
      <c r="EC405" s="1019">
        <v>150000000</v>
      </c>
      <c r="ED405" s="1019">
        <v>150000000</v>
      </c>
      <c r="EE405" s="1119">
        <f t="shared" si="202"/>
        <v>1400000000</v>
      </c>
      <c r="EF405" s="458"/>
      <c r="EG405" s="458"/>
      <c r="EH405" s="458"/>
      <c r="EI405" s="458"/>
    </row>
    <row r="406" spans="1:140" outlineLevel="2">
      <c r="A406" s="367" t="s">
        <v>196</v>
      </c>
      <c r="B406" s="378"/>
      <c r="C406" s="370" t="s">
        <v>358</v>
      </c>
      <c r="D406" s="297" t="s">
        <v>121</v>
      </c>
      <c r="E406" s="396" t="s">
        <v>666</v>
      </c>
      <c r="F406" s="380"/>
      <c r="G406" s="188"/>
      <c r="H406" s="13"/>
      <c r="I406" s="185"/>
      <c r="J406" s="185"/>
      <c r="K406" s="185"/>
      <c r="L406" s="185"/>
      <c r="M406" s="185"/>
      <c r="N406" s="185"/>
      <c r="O406" s="185"/>
      <c r="P406" s="185"/>
      <c r="Q406" s="185"/>
      <c r="R406" s="185"/>
      <c r="S406" s="14"/>
      <c r="T406" s="179"/>
      <c r="U406" s="188"/>
      <c r="V406" s="13"/>
      <c r="W406" s="185"/>
      <c r="X406" s="185"/>
      <c r="Y406" s="185"/>
      <c r="Z406" s="185"/>
      <c r="AA406" s="185"/>
      <c r="AB406" s="185"/>
      <c r="AC406" s="185"/>
      <c r="AD406" s="185"/>
      <c r="AE406" s="185"/>
      <c r="AF406" s="185"/>
      <c r="AG406" s="759"/>
      <c r="AH406" s="788"/>
      <c r="AI406" s="827"/>
      <c r="AJ406" s="810"/>
      <c r="AK406" s="758"/>
      <c r="AL406" s="758"/>
      <c r="AM406" s="758"/>
      <c r="AN406" s="758"/>
      <c r="AO406" s="758"/>
      <c r="AP406" s="758"/>
      <c r="AQ406" s="518"/>
      <c r="AR406" s="518"/>
      <c r="AS406" s="518"/>
      <c r="AT406" s="518"/>
      <c r="AU406" s="828"/>
      <c r="AV406" s="828"/>
      <c r="AW406" s="828"/>
      <c r="AX406" s="518"/>
      <c r="AY406" s="788"/>
      <c r="AZ406" s="827"/>
      <c r="BA406" s="810"/>
      <c r="BB406" s="758"/>
      <c r="BC406" s="758"/>
      <c r="BD406" s="758"/>
      <c r="BE406" s="758"/>
      <c r="BF406" s="758"/>
      <c r="BG406" s="758"/>
      <c r="BH406" s="758"/>
      <c r="BI406" s="758"/>
      <c r="BJ406" s="758"/>
      <c r="BK406" s="758"/>
      <c r="BL406" s="759"/>
      <c r="BN406" s="758"/>
      <c r="BO406" s="758"/>
      <c r="BP406" s="758"/>
      <c r="BQ406" s="758"/>
      <c r="BR406" s="758"/>
      <c r="BS406" s="758"/>
      <c r="BT406" s="758"/>
      <c r="BU406" s="758"/>
      <c r="BV406" s="758"/>
      <c r="BW406" s="758"/>
      <c r="BX406" s="758"/>
      <c r="BY406" s="758"/>
      <c r="BZ406" s="791"/>
      <c r="CB406" s="758"/>
      <c r="CC406" s="758"/>
      <c r="CD406" s="758"/>
      <c r="CE406" s="758"/>
      <c r="CF406" s="758"/>
      <c r="CG406" s="758"/>
      <c r="CH406" s="758"/>
      <c r="CI406" s="758"/>
      <c r="CJ406" s="758"/>
      <c r="CK406" s="758"/>
      <c r="CL406" s="758"/>
      <c r="CM406" s="758"/>
      <c r="CN406" s="791"/>
      <c r="CP406" s="653"/>
      <c r="CQ406" s="653"/>
      <c r="CR406" s="524"/>
      <c r="CS406" s="653"/>
      <c r="CT406" s="524"/>
      <c r="CU406" s="653"/>
      <c r="CV406" s="524"/>
      <c r="CW406" s="653"/>
      <c r="CX406" s="524"/>
      <c r="CY406" s="653"/>
      <c r="CZ406" s="524"/>
      <c r="DA406" s="653"/>
      <c r="DB406" s="524"/>
      <c r="DC406" s="653"/>
      <c r="DD406" s="524"/>
      <c r="DE406" s="524"/>
      <c r="DF406" s="524"/>
      <c r="DG406" s="757"/>
      <c r="DH406" s="524"/>
      <c r="DI406" s="524"/>
      <c r="DJ406" s="757"/>
      <c r="DK406" s="524"/>
      <c r="DL406" s="524"/>
      <c r="DM406" s="757"/>
      <c r="DN406" s="524"/>
      <c r="DO406" s="524"/>
      <c r="DP406" s="757"/>
      <c r="DQ406" s="493"/>
      <c r="DR406" s="479">
        <f t="shared" si="195"/>
        <v>0</v>
      </c>
      <c r="DS406" s="1019">
        <v>35000000</v>
      </c>
      <c r="DT406" s="1019">
        <v>35000000</v>
      </c>
      <c r="DU406" s="1019">
        <v>35000000</v>
      </c>
      <c r="DV406" s="1019">
        <v>35000000</v>
      </c>
      <c r="DW406" s="1019">
        <v>35000000</v>
      </c>
      <c r="DX406" s="1019">
        <v>35000000</v>
      </c>
      <c r="DY406" s="1019">
        <v>35000000</v>
      </c>
      <c r="DZ406" s="1019">
        <v>35000000</v>
      </c>
      <c r="EA406" s="1019">
        <v>35000000</v>
      </c>
      <c r="EB406" s="1019">
        <v>35000000</v>
      </c>
      <c r="EC406" s="1019">
        <v>35000000</v>
      </c>
      <c r="ED406" s="1019">
        <v>35000000</v>
      </c>
      <c r="EE406" s="1119">
        <f t="shared" si="202"/>
        <v>420000000</v>
      </c>
      <c r="EF406" s="458"/>
      <c r="EG406" s="458"/>
      <c r="EH406" s="458"/>
      <c r="EI406" s="458"/>
    </row>
    <row r="407" spans="1:140" outlineLevel="2">
      <c r="A407" s="367" t="s">
        <v>194</v>
      </c>
      <c r="B407" s="378"/>
      <c r="C407" s="370" t="s">
        <v>358</v>
      </c>
      <c r="D407" s="297" t="s">
        <v>121</v>
      </c>
      <c r="E407" s="396" t="s">
        <v>667</v>
      </c>
      <c r="F407" s="380"/>
      <c r="G407" s="188"/>
      <c r="H407" s="13"/>
      <c r="I407" s="185"/>
      <c r="J407" s="185"/>
      <c r="K407" s="185"/>
      <c r="L407" s="185"/>
      <c r="M407" s="185"/>
      <c r="N407" s="185"/>
      <c r="O407" s="185"/>
      <c r="P407" s="185"/>
      <c r="Q407" s="185"/>
      <c r="R407" s="185"/>
      <c r="S407" s="14"/>
      <c r="T407" s="179"/>
      <c r="U407" s="188"/>
      <c r="V407" s="13"/>
      <c r="W407" s="185"/>
      <c r="X407" s="185"/>
      <c r="Y407" s="185"/>
      <c r="Z407" s="185"/>
      <c r="AA407" s="185"/>
      <c r="AB407" s="185"/>
      <c r="AC407" s="185"/>
      <c r="AD407" s="185"/>
      <c r="AE407" s="185"/>
      <c r="AF407" s="185"/>
      <c r="AG407" s="759"/>
      <c r="AH407" s="788"/>
      <c r="AI407" s="827"/>
      <c r="AJ407" s="810"/>
      <c r="AK407" s="758"/>
      <c r="AL407" s="758"/>
      <c r="AM407" s="758"/>
      <c r="AN407" s="758"/>
      <c r="AO407" s="758"/>
      <c r="AP407" s="758"/>
      <c r="AQ407" s="518"/>
      <c r="AR407" s="518"/>
      <c r="AS407" s="518"/>
      <c r="AT407" s="518"/>
      <c r="AU407" s="828"/>
      <c r="AV407" s="828"/>
      <c r="AW407" s="828"/>
      <c r="AX407" s="518"/>
      <c r="AY407" s="788"/>
      <c r="AZ407" s="827"/>
      <c r="BA407" s="810"/>
      <c r="BB407" s="758"/>
      <c r="BC407" s="758"/>
      <c r="BD407" s="758"/>
      <c r="BE407" s="758"/>
      <c r="BF407" s="758"/>
      <c r="BG407" s="758"/>
      <c r="BH407" s="758"/>
      <c r="BI407" s="758"/>
      <c r="BJ407" s="758"/>
      <c r="BK407" s="758"/>
      <c r="BL407" s="759"/>
      <c r="BN407" s="758"/>
      <c r="BO407" s="758"/>
      <c r="BP407" s="758"/>
      <c r="BQ407" s="758"/>
      <c r="BR407" s="758"/>
      <c r="BS407" s="758"/>
      <c r="BT407" s="758"/>
      <c r="BU407" s="758"/>
      <c r="BV407" s="758"/>
      <c r="BW407" s="758"/>
      <c r="BX407" s="758"/>
      <c r="BY407" s="758"/>
      <c r="BZ407" s="791"/>
      <c r="CB407" s="758"/>
      <c r="CC407" s="758"/>
      <c r="CD407" s="758"/>
      <c r="CE407" s="758"/>
      <c r="CF407" s="758"/>
      <c r="CG407" s="758"/>
      <c r="CH407" s="758"/>
      <c r="CI407" s="758"/>
      <c r="CJ407" s="758"/>
      <c r="CK407" s="758"/>
      <c r="CL407" s="758"/>
      <c r="CM407" s="758"/>
      <c r="CN407" s="791"/>
      <c r="CP407" s="653"/>
      <c r="CQ407" s="653"/>
      <c r="CR407" s="524"/>
      <c r="CS407" s="653"/>
      <c r="CT407" s="524"/>
      <c r="CU407" s="653"/>
      <c r="CV407" s="524"/>
      <c r="CW407" s="653"/>
      <c r="CX407" s="524"/>
      <c r="CY407" s="653"/>
      <c r="CZ407" s="524"/>
      <c r="DA407" s="653"/>
      <c r="DB407" s="524"/>
      <c r="DC407" s="653"/>
      <c r="DD407" s="524"/>
      <c r="DE407" s="524"/>
      <c r="DF407" s="524"/>
      <c r="DG407" s="757"/>
      <c r="DH407" s="524"/>
      <c r="DI407" s="524"/>
      <c r="DJ407" s="757"/>
      <c r="DK407" s="524"/>
      <c r="DL407" s="524"/>
      <c r="DM407" s="757"/>
      <c r="DN407" s="524"/>
      <c r="DO407" s="524"/>
      <c r="DP407" s="757"/>
      <c r="DQ407" s="493"/>
      <c r="DR407" s="479">
        <f t="shared" si="195"/>
        <v>0</v>
      </c>
      <c r="DS407" s="1019">
        <v>50000000</v>
      </c>
      <c r="DT407" s="1019">
        <v>50000000</v>
      </c>
      <c r="DU407" s="1019">
        <v>75000000</v>
      </c>
      <c r="DV407" s="1019">
        <v>75000000</v>
      </c>
      <c r="DW407" s="1019">
        <v>50000000</v>
      </c>
      <c r="DX407" s="1019">
        <v>50000000</v>
      </c>
      <c r="DY407" s="1019">
        <v>50000000</v>
      </c>
      <c r="DZ407" s="1019">
        <v>50000000</v>
      </c>
      <c r="EA407" s="1019">
        <v>50000000</v>
      </c>
      <c r="EB407" s="1019">
        <v>50000000</v>
      </c>
      <c r="EC407" s="1019">
        <v>75000000</v>
      </c>
      <c r="ED407" s="1019">
        <v>75000000</v>
      </c>
      <c r="EE407" s="1119">
        <f t="shared" si="202"/>
        <v>700000000</v>
      </c>
      <c r="EF407" s="458"/>
      <c r="EG407" s="458"/>
      <c r="EH407" s="458"/>
      <c r="EI407" s="458"/>
    </row>
    <row r="408" spans="1:140" ht="15" outlineLevel="2" thickBot="1">
      <c r="B408" s="378"/>
      <c r="E408" s="392"/>
      <c r="F408" s="380"/>
      <c r="G408" s="180"/>
      <c r="H408" s="1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181"/>
      <c r="U408" s="180"/>
      <c r="V408" s="13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181"/>
      <c r="AI408" s="180"/>
      <c r="AJ408" s="810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181"/>
      <c r="AZ408" s="180"/>
      <c r="BA408" s="810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N408" s="759"/>
      <c r="BO408" s="810"/>
      <c r="BP408" s="758"/>
      <c r="BQ408" s="758"/>
      <c r="BR408" s="758"/>
      <c r="BS408" s="758"/>
      <c r="BT408" s="758"/>
      <c r="BU408" s="758"/>
      <c r="BV408" s="758"/>
      <c r="BW408" s="758"/>
      <c r="BX408" s="758"/>
      <c r="BY408" s="758"/>
      <c r="BZ408" s="799"/>
      <c r="CB408" s="759"/>
      <c r="CC408" s="810"/>
      <c r="CD408" s="758"/>
      <c r="CE408" s="758"/>
      <c r="CF408" s="758"/>
      <c r="CG408" s="758"/>
      <c r="CH408" s="758"/>
      <c r="CI408" s="758"/>
      <c r="CJ408" s="758"/>
      <c r="CK408" s="758"/>
      <c r="CL408" s="758"/>
      <c r="CM408" s="758"/>
      <c r="CN408" s="6"/>
      <c r="CP408" s="647"/>
      <c r="CQ408" s="647"/>
      <c r="CR408" s="518"/>
      <c r="CS408" s="647"/>
      <c r="CT408" s="518"/>
      <c r="CU408" s="647"/>
      <c r="CV408" s="518"/>
      <c r="CW408" s="647"/>
      <c r="CX408" s="518"/>
      <c r="CY408" s="647"/>
      <c r="CZ408" s="518"/>
      <c r="DA408" s="647"/>
      <c r="DB408" s="518"/>
      <c r="DC408" s="647"/>
      <c r="DD408" s="518"/>
      <c r="DE408" s="758"/>
      <c r="DF408" s="518"/>
      <c r="DG408" s="757"/>
      <c r="DH408" s="758"/>
      <c r="DI408" s="518"/>
      <c r="DJ408" s="757"/>
      <c r="DK408" s="758"/>
      <c r="DL408" s="518"/>
      <c r="DM408" s="757"/>
      <c r="DN408" s="758"/>
      <c r="DO408" s="518"/>
      <c r="DP408" s="757"/>
      <c r="DQ408" s="497"/>
      <c r="DR408" s="508"/>
      <c r="DS408" s="1163"/>
      <c r="DT408" s="1163"/>
      <c r="DU408" s="1163"/>
      <c r="DV408" s="1163"/>
      <c r="DW408" s="1163"/>
      <c r="DX408" s="1163"/>
      <c r="DY408" s="1163"/>
      <c r="DZ408" s="1163"/>
      <c r="EA408" s="1163"/>
      <c r="EB408" s="1163"/>
      <c r="EC408" s="1163"/>
      <c r="ED408" s="1163"/>
      <c r="EE408" s="1119">
        <f t="shared" si="202"/>
        <v>0</v>
      </c>
      <c r="EF408" s="457"/>
      <c r="EG408" s="457"/>
      <c r="EH408" s="457"/>
      <c r="EI408" s="457"/>
    </row>
    <row r="409" spans="1:140" ht="15" outlineLevel="1" thickBot="1">
      <c r="B409" s="378"/>
      <c r="E409" s="392"/>
      <c r="F409" s="380"/>
      <c r="G409" s="20">
        <f t="shared" ref="G409:S409" si="208">SUM(G298:G394)</f>
        <v>696637694</v>
      </c>
      <c r="H409" s="21">
        <f t="shared" si="208"/>
        <v>670739747</v>
      </c>
      <c r="I409" s="20">
        <f t="shared" si="208"/>
        <v>786042009</v>
      </c>
      <c r="J409" s="20">
        <f t="shared" si="208"/>
        <v>1158666490</v>
      </c>
      <c r="K409" s="20">
        <f t="shared" si="208"/>
        <v>1237740237</v>
      </c>
      <c r="L409" s="20">
        <f t="shared" si="208"/>
        <v>1017342796</v>
      </c>
      <c r="M409" s="20">
        <f t="shared" si="208"/>
        <v>763109390</v>
      </c>
      <c r="N409" s="20">
        <f t="shared" si="208"/>
        <v>1218671672</v>
      </c>
      <c r="O409" s="20">
        <f t="shared" si="208"/>
        <v>1214933386</v>
      </c>
      <c r="P409" s="20">
        <f t="shared" si="208"/>
        <v>1397460166</v>
      </c>
      <c r="Q409" s="20">
        <f t="shared" si="208"/>
        <v>1505870687</v>
      </c>
      <c r="R409" s="20">
        <f t="shared" si="208"/>
        <v>1275960143</v>
      </c>
      <c r="S409" s="20">
        <f t="shared" si="208"/>
        <v>12943174417</v>
      </c>
      <c r="T409" s="12"/>
      <c r="U409" s="20">
        <f t="shared" ref="U409:AG409" si="209">SUM(U298:U394)</f>
        <v>1221689263</v>
      </c>
      <c r="V409" s="21">
        <f t="shared" si="209"/>
        <v>1185209104</v>
      </c>
      <c r="W409" s="20">
        <f t="shared" si="209"/>
        <v>1363106215</v>
      </c>
      <c r="X409" s="20">
        <f t="shared" si="209"/>
        <v>1290949581</v>
      </c>
      <c r="Y409" s="20">
        <f t="shared" si="209"/>
        <v>1463574686</v>
      </c>
      <c r="Z409" s="20">
        <f t="shared" si="209"/>
        <v>1231473612</v>
      </c>
      <c r="AA409" s="20">
        <f t="shared" si="209"/>
        <v>1369363625</v>
      </c>
      <c r="AB409" s="20">
        <f t="shared" si="209"/>
        <v>885581143</v>
      </c>
      <c r="AC409" s="20">
        <f t="shared" si="209"/>
        <v>1419300258</v>
      </c>
      <c r="AD409" s="20">
        <f t="shared" si="209"/>
        <v>1272010002</v>
      </c>
      <c r="AE409" s="20">
        <f t="shared" si="209"/>
        <v>2008324283</v>
      </c>
      <c r="AF409" s="20">
        <f t="shared" si="209"/>
        <v>2427112329</v>
      </c>
      <c r="AG409" s="472">
        <f t="shared" si="209"/>
        <v>16842694101</v>
      </c>
      <c r="AH409" s="807"/>
      <c r="AI409" s="472">
        <f t="shared" ref="AI409:AX409" si="210">SUM(AI298:AI394)</f>
        <v>2381182105</v>
      </c>
      <c r="AJ409" s="825">
        <f t="shared" si="210"/>
        <v>2203175782</v>
      </c>
      <c r="AK409" s="472">
        <f t="shared" si="210"/>
        <v>2059321254</v>
      </c>
      <c r="AL409" s="472">
        <f t="shared" si="210"/>
        <v>2573070780</v>
      </c>
      <c r="AM409" s="472">
        <f t="shared" si="210"/>
        <v>1959190278</v>
      </c>
      <c r="AN409" s="472">
        <f t="shared" si="210"/>
        <v>1493935467</v>
      </c>
      <c r="AO409" s="472">
        <f t="shared" si="210"/>
        <v>1907171100</v>
      </c>
      <c r="AP409" s="472">
        <f t="shared" si="210"/>
        <v>1725172022</v>
      </c>
      <c r="AQ409" s="472">
        <f t="shared" si="210"/>
        <v>1946583765</v>
      </c>
      <c r="AR409" s="472">
        <f t="shared" si="210"/>
        <v>2147069070</v>
      </c>
      <c r="AS409" s="472">
        <f t="shared" si="210"/>
        <v>2463239792</v>
      </c>
      <c r="AT409" s="472">
        <f t="shared" si="210"/>
        <v>2497221597</v>
      </c>
      <c r="AU409" s="472">
        <f t="shared" si="210"/>
        <v>2034625970</v>
      </c>
      <c r="AV409" s="472">
        <f t="shared" si="210"/>
        <v>2064625970</v>
      </c>
      <c r="AW409" s="472">
        <f t="shared" si="210"/>
        <v>2148468470</v>
      </c>
      <c r="AX409" s="472">
        <f t="shared" si="210"/>
        <v>25356333012</v>
      </c>
      <c r="AY409" s="807"/>
      <c r="AZ409" s="472">
        <f t="shared" ref="AZ409:BL409" si="211">SUM(AZ298:AZ394)</f>
        <v>2381182105</v>
      </c>
      <c r="BA409" s="825">
        <f t="shared" si="211"/>
        <v>2203175782</v>
      </c>
      <c r="BB409" s="472">
        <f t="shared" si="211"/>
        <v>2059321254</v>
      </c>
      <c r="BC409" s="472">
        <f t="shared" si="211"/>
        <v>2573070780</v>
      </c>
      <c r="BD409" s="472">
        <f t="shared" si="211"/>
        <v>1959190278</v>
      </c>
      <c r="BE409" s="472">
        <f t="shared" si="211"/>
        <v>1493935467</v>
      </c>
      <c r="BF409" s="472">
        <f t="shared" si="211"/>
        <v>1907171100</v>
      </c>
      <c r="BG409" s="472">
        <f t="shared" si="211"/>
        <v>1725172022</v>
      </c>
      <c r="BH409" s="472">
        <f t="shared" si="211"/>
        <v>2521677430</v>
      </c>
      <c r="BI409" s="472">
        <f t="shared" si="211"/>
        <v>2623069330</v>
      </c>
      <c r="BJ409" s="472">
        <f t="shared" si="211"/>
        <v>2384069330</v>
      </c>
      <c r="BK409" s="472">
        <f t="shared" si="211"/>
        <v>2467911830</v>
      </c>
      <c r="BL409" s="472">
        <f t="shared" si="211"/>
        <v>26298946708</v>
      </c>
      <c r="BN409" s="472">
        <f t="shared" ref="BN409:BY409" si="212">BN376+BN345+BN297</f>
        <v>2540623511.5999999</v>
      </c>
      <c r="BO409" s="472">
        <f t="shared" si="212"/>
        <v>2540623511.5999999</v>
      </c>
      <c r="BP409" s="472">
        <f t="shared" si="212"/>
        <v>2538623511.5999999</v>
      </c>
      <c r="BQ409" s="472">
        <f t="shared" si="212"/>
        <v>2624923514</v>
      </c>
      <c r="BR409" s="472">
        <f t="shared" si="212"/>
        <v>2248434986.9000001</v>
      </c>
      <c r="BS409" s="472">
        <f t="shared" si="212"/>
        <v>2483623511.5999999</v>
      </c>
      <c r="BT409" s="472">
        <f t="shared" si="212"/>
        <v>2543623511.5999999</v>
      </c>
      <c r="BU409" s="472">
        <f t="shared" si="212"/>
        <v>2543623511.5999999</v>
      </c>
      <c r="BV409" s="472">
        <f t="shared" si="212"/>
        <v>2553623511.5999999</v>
      </c>
      <c r="BW409" s="472">
        <f t="shared" si="212"/>
        <v>2573623511.5999999</v>
      </c>
      <c r="BX409" s="472">
        <f t="shared" si="212"/>
        <v>2618623511.5999999</v>
      </c>
      <c r="BY409" s="472">
        <f t="shared" si="212"/>
        <v>2560623511.5999999</v>
      </c>
      <c r="BZ409" s="469">
        <f>BZ376+BZ345+BZ297</f>
        <v>30370593616.900002</v>
      </c>
      <c r="CB409" s="472">
        <f t="shared" ref="CB409:CN409" si="213">CB376+CB345+CB297</f>
        <v>2540623511.5999999</v>
      </c>
      <c r="CC409" s="472">
        <f t="shared" si="213"/>
        <v>2540623511.5999999</v>
      </c>
      <c r="CD409" s="472">
        <f t="shared" si="213"/>
        <v>2538623511.5999999</v>
      </c>
      <c r="CE409" s="472">
        <f t="shared" si="213"/>
        <v>2624923514</v>
      </c>
      <c r="CF409" s="472">
        <f t="shared" si="213"/>
        <v>2248434986.9000001</v>
      </c>
      <c r="CG409" s="472">
        <f t="shared" si="213"/>
        <v>2483623511.5999999</v>
      </c>
      <c r="CH409" s="472">
        <f t="shared" si="213"/>
        <v>2543623511.5999999</v>
      </c>
      <c r="CI409" s="472">
        <f t="shared" si="213"/>
        <v>2543623511.5999999</v>
      </c>
      <c r="CJ409" s="472">
        <f t="shared" si="213"/>
        <v>2553623511.5999999</v>
      </c>
      <c r="CK409" s="472">
        <f t="shared" si="213"/>
        <v>2573623511.5999999</v>
      </c>
      <c r="CL409" s="472">
        <f t="shared" si="213"/>
        <v>2618623511.5999999</v>
      </c>
      <c r="CM409" s="472">
        <f t="shared" si="213"/>
        <v>2560623511.5999999</v>
      </c>
      <c r="CN409" s="469">
        <f t="shared" si="213"/>
        <v>30370593616.900002</v>
      </c>
      <c r="CP409" s="472">
        <f>CP376+CP345+CP297</f>
        <v>1623437303</v>
      </c>
      <c r="CQ409" s="472">
        <f t="shared" ref="CQ409:DR409" si="214">CQ376+CQ345+CQ297</f>
        <v>1777601940</v>
      </c>
      <c r="CR409" s="472">
        <f t="shared" si="214"/>
        <v>1625500000</v>
      </c>
      <c r="CS409" s="472">
        <f t="shared" si="214"/>
        <v>2328730486</v>
      </c>
      <c r="CT409" s="472">
        <f t="shared" si="214"/>
        <v>2413200000</v>
      </c>
      <c r="CU409" s="472">
        <f t="shared" si="214"/>
        <v>2123477768</v>
      </c>
      <c r="CV409" s="472">
        <f t="shared" si="214"/>
        <v>2522000000</v>
      </c>
      <c r="CW409" s="472">
        <f t="shared" si="214"/>
        <v>2067058129</v>
      </c>
      <c r="CX409" s="472">
        <f t="shared" si="214"/>
        <v>1881500000</v>
      </c>
      <c r="CY409" s="472">
        <f t="shared" si="214"/>
        <v>2333374385</v>
      </c>
      <c r="CZ409" s="472">
        <f t="shared" si="214"/>
        <v>4469000000</v>
      </c>
      <c r="DA409" s="472">
        <f t="shared" si="214"/>
        <v>2201661566</v>
      </c>
      <c r="DB409" s="472">
        <f t="shared" si="214"/>
        <v>4814000000</v>
      </c>
      <c r="DC409" s="472">
        <f t="shared" si="214"/>
        <v>2787947227</v>
      </c>
      <c r="DD409" s="472">
        <f t="shared" si="214"/>
        <v>4884000000</v>
      </c>
      <c r="DE409" s="472">
        <f t="shared" si="214"/>
        <v>0</v>
      </c>
      <c r="DF409" s="472">
        <f>DF376+DF345+DF297</f>
        <v>4714000000</v>
      </c>
      <c r="DG409" s="472">
        <f t="shared" si="214"/>
        <v>4031500000</v>
      </c>
      <c r="DH409" s="472">
        <f t="shared" si="214"/>
        <v>0</v>
      </c>
      <c r="DI409" s="472">
        <f>DI376+DI345+DI297</f>
        <v>4844000000</v>
      </c>
      <c r="DJ409" s="472">
        <f t="shared" si="214"/>
        <v>4191500000</v>
      </c>
      <c r="DK409" s="472">
        <f t="shared" si="214"/>
        <v>0</v>
      </c>
      <c r="DL409" s="472">
        <f>DL376+DL345+DL297</f>
        <v>5224000000</v>
      </c>
      <c r="DM409" s="472">
        <f>DM376+DM345+DM297</f>
        <v>4396500000</v>
      </c>
      <c r="DN409" s="472">
        <f t="shared" si="214"/>
        <v>0</v>
      </c>
      <c r="DO409" s="472">
        <f>DO376+DO345+DO297</f>
        <v>5279000000</v>
      </c>
      <c r="DP409" s="472">
        <f t="shared" si="214"/>
        <v>4401500000</v>
      </c>
      <c r="DQ409" s="472">
        <f>DQ376+DQ345+DQ297</f>
        <v>37304288804</v>
      </c>
      <c r="DR409" s="472">
        <f t="shared" si="214"/>
        <v>34264288804</v>
      </c>
      <c r="DS409" s="1167">
        <f>DS376+DS345+DS297</f>
        <v>3798000000</v>
      </c>
      <c r="DT409" s="1167">
        <f t="shared" ref="DT409:EI409" si="215">DT376+DT345+DT297</f>
        <v>3798000000</v>
      </c>
      <c r="DU409" s="1167">
        <f t="shared" si="215"/>
        <v>4088000000</v>
      </c>
      <c r="DV409" s="1167">
        <f t="shared" si="215"/>
        <v>4028000000</v>
      </c>
      <c r="DW409" s="1167">
        <f t="shared" si="215"/>
        <v>3738000000</v>
      </c>
      <c r="DX409" s="1167">
        <f t="shared" si="215"/>
        <v>3748000000</v>
      </c>
      <c r="DY409" s="1167">
        <f t="shared" si="215"/>
        <v>3768000000</v>
      </c>
      <c r="DZ409" s="1167">
        <f t="shared" si="215"/>
        <v>3768000000</v>
      </c>
      <c r="EA409" s="1167">
        <f t="shared" si="215"/>
        <v>3868000000</v>
      </c>
      <c r="EB409" s="1167">
        <f t="shared" si="215"/>
        <v>3968000000</v>
      </c>
      <c r="EC409" s="1167">
        <f t="shared" si="215"/>
        <v>4145000000</v>
      </c>
      <c r="ED409" s="1167">
        <f t="shared" si="215"/>
        <v>4145000000</v>
      </c>
      <c r="EE409" s="1126">
        <f t="shared" si="215"/>
        <v>46860000000</v>
      </c>
      <c r="EF409" s="1012">
        <f t="shared" si="215"/>
        <v>83242855710.187241</v>
      </c>
      <c r="EG409" s="1012">
        <f t="shared" si="215"/>
        <v>119156342031.39584</v>
      </c>
      <c r="EH409" s="1012">
        <f t="shared" si="215"/>
        <v>178130611120.07935</v>
      </c>
      <c r="EI409" s="1012">
        <f t="shared" si="215"/>
        <v>179388590584.07935</v>
      </c>
      <c r="EJ409" s="367" t="e">
        <v>#N/A</v>
      </c>
    </row>
    <row r="410" spans="1:140" outlineLevel="1">
      <c r="B410" s="378"/>
      <c r="E410" s="392"/>
      <c r="F410" s="380"/>
      <c r="G410" s="180"/>
      <c r="H410" s="1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181"/>
      <c r="U410" s="180"/>
      <c r="V410" s="13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181"/>
      <c r="AI410" s="180"/>
      <c r="AJ410" s="810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521">
        <v>88964000</v>
      </c>
      <c r="AV410" s="521">
        <v>88964000</v>
      </c>
      <c r="AW410" s="521">
        <v>88964000</v>
      </c>
      <c r="AX410" s="6"/>
      <c r="AY410" s="181"/>
      <c r="AZ410" s="829"/>
      <c r="BA410" s="830"/>
      <c r="BB410" s="831"/>
      <c r="BC410" s="831"/>
      <c r="BD410" s="831"/>
      <c r="BE410" s="831"/>
      <c r="BF410" s="831"/>
      <c r="BG410" s="831"/>
      <c r="BH410" s="831"/>
      <c r="BI410" s="831"/>
      <c r="BJ410" s="831"/>
      <c r="BK410" s="831"/>
      <c r="BL410" s="6"/>
      <c r="BN410" s="19"/>
      <c r="BO410" s="810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832">
        <v>0.26785263475147492</v>
      </c>
      <c r="CB410" s="19"/>
      <c r="CC410" s="810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833">
        <v>0.26785263475147492</v>
      </c>
      <c r="CP410" s="525">
        <v>2540623512</v>
      </c>
      <c r="CQ410" s="525">
        <v>2540623512</v>
      </c>
      <c r="CR410" s="517"/>
      <c r="CS410" s="525">
        <v>2538623512</v>
      </c>
      <c r="CT410" s="517"/>
      <c r="CU410" s="525">
        <v>2624923514</v>
      </c>
      <c r="CV410" s="517"/>
      <c r="CW410" s="525"/>
      <c r="CX410" s="517">
        <v>2248434987</v>
      </c>
      <c r="CY410" s="525"/>
      <c r="CZ410" s="517">
        <v>2483623512</v>
      </c>
      <c r="DA410" s="525"/>
      <c r="DB410" s="517">
        <v>2543623512</v>
      </c>
      <c r="DC410" s="525"/>
      <c r="DD410" s="517">
        <v>2543623512</v>
      </c>
      <c r="DE410" s="761"/>
      <c r="DF410" s="517">
        <v>2553623512</v>
      </c>
      <c r="DG410" s="760">
        <v>2553623512</v>
      </c>
      <c r="DH410" s="761"/>
      <c r="DI410" s="517">
        <v>2573623512</v>
      </c>
      <c r="DJ410" s="762">
        <v>2573623512</v>
      </c>
      <c r="DK410" s="761"/>
      <c r="DL410" s="517">
        <v>2618623512</v>
      </c>
      <c r="DM410" s="763">
        <v>2618623512</v>
      </c>
      <c r="DN410" s="761"/>
      <c r="DO410" s="517">
        <v>2560623512</v>
      </c>
      <c r="DP410" s="762">
        <v>2560623512</v>
      </c>
      <c r="DQ410" s="498"/>
      <c r="DR410" s="509"/>
      <c r="DS410" s="1165"/>
      <c r="DT410" s="1165"/>
      <c r="DU410" s="1165"/>
      <c r="DV410" s="1165"/>
      <c r="DW410" s="1165"/>
      <c r="DX410" s="1165"/>
      <c r="DY410" s="1165"/>
      <c r="DZ410" s="1165"/>
      <c r="EA410" s="1165"/>
      <c r="EB410" s="1165"/>
      <c r="EC410" s="1165"/>
      <c r="ED410" s="1165"/>
      <c r="EE410" s="1129"/>
      <c r="EF410" s="1015"/>
      <c r="EG410" s="1015"/>
      <c r="EH410" s="1015"/>
      <c r="EI410" s="1015"/>
      <c r="EJ410" s="367" t="e">
        <v>#N/A</v>
      </c>
    </row>
    <row r="411" spans="1:140" outlineLevel="1">
      <c r="B411" s="402" t="s">
        <v>668</v>
      </c>
      <c r="C411" s="368"/>
      <c r="D411" s="368"/>
      <c r="E411" s="379"/>
      <c r="F411" s="380"/>
      <c r="G411" s="183"/>
      <c r="H411" s="183"/>
      <c r="I411" s="183"/>
      <c r="J411" s="183"/>
      <c r="K411" s="183"/>
      <c r="L411" s="183"/>
      <c r="M411" s="183"/>
      <c r="N411" s="183"/>
      <c r="O411" s="183"/>
      <c r="P411" s="183"/>
      <c r="Q411" s="183"/>
      <c r="R411" s="183"/>
      <c r="S411" s="183"/>
      <c r="T411" s="181"/>
      <c r="U411" s="182"/>
      <c r="V411" s="13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181"/>
      <c r="AI411" s="182"/>
      <c r="AJ411" s="810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181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6"/>
      <c r="BN411" s="473">
        <f t="shared" ref="BN411:BZ411" si="216">SUM(BN412:BN429)</f>
        <v>534900000</v>
      </c>
      <c r="BO411" s="473">
        <f t="shared" si="216"/>
        <v>834900000</v>
      </c>
      <c r="BP411" s="473">
        <f t="shared" si="216"/>
        <v>834900000</v>
      </c>
      <c r="BQ411" s="473">
        <f t="shared" si="216"/>
        <v>834900000</v>
      </c>
      <c r="BR411" s="473">
        <f t="shared" si="216"/>
        <v>467997200</v>
      </c>
      <c r="BS411" s="473">
        <f t="shared" si="216"/>
        <v>534900000</v>
      </c>
      <c r="BT411" s="473">
        <f t="shared" si="216"/>
        <v>534900000</v>
      </c>
      <c r="BU411" s="473">
        <f t="shared" si="216"/>
        <v>534900000</v>
      </c>
      <c r="BV411" s="473">
        <f t="shared" si="216"/>
        <v>604900000</v>
      </c>
      <c r="BW411" s="473">
        <f t="shared" si="216"/>
        <v>604900000</v>
      </c>
      <c r="BX411" s="473">
        <f t="shared" si="216"/>
        <v>604900000</v>
      </c>
      <c r="BY411" s="473">
        <f t="shared" si="216"/>
        <v>604900000</v>
      </c>
      <c r="BZ411" s="473">
        <f t="shared" si="216"/>
        <v>7531897200</v>
      </c>
      <c r="CB411" s="473">
        <f t="shared" ref="CB411:CN411" si="217">SUM(CB412:CB429)</f>
        <v>534900000</v>
      </c>
      <c r="CC411" s="473">
        <f t="shared" si="217"/>
        <v>834900000</v>
      </c>
      <c r="CD411" s="473">
        <f t="shared" si="217"/>
        <v>834900000</v>
      </c>
      <c r="CE411" s="473">
        <f t="shared" si="217"/>
        <v>834900000</v>
      </c>
      <c r="CF411" s="473">
        <f t="shared" si="217"/>
        <v>467997200</v>
      </c>
      <c r="CG411" s="473">
        <f t="shared" si="217"/>
        <v>534900000</v>
      </c>
      <c r="CH411" s="473">
        <f t="shared" si="217"/>
        <v>534900000</v>
      </c>
      <c r="CI411" s="473">
        <f t="shared" si="217"/>
        <v>534900000</v>
      </c>
      <c r="CJ411" s="473">
        <f t="shared" si="217"/>
        <v>604900000</v>
      </c>
      <c r="CK411" s="473">
        <f t="shared" si="217"/>
        <v>604900000</v>
      </c>
      <c r="CL411" s="473">
        <f t="shared" si="217"/>
        <v>604900000</v>
      </c>
      <c r="CM411" s="473">
        <f t="shared" si="217"/>
        <v>604900000</v>
      </c>
      <c r="CN411" s="473">
        <f t="shared" si="217"/>
        <v>7531897200</v>
      </c>
      <c r="CP411" s="473">
        <f t="shared" ref="CP411:DP411" si="218">SUM(CP412:CP429)</f>
        <v>277258072</v>
      </c>
      <c r="CQ411" s="473">
        <f t="shared" si="218"/>
        <v>261226060</v>
      </c>
      <c r="CR411" s="473">
        <f t="shared" si="218"/>
        <v>169686060</v>
      </c>
      <c r="CS411" s="473">
        <f t="shared" si="218"/>
        <v>231779100</v>
      </c>
      <c r="CT411" s="473">
        <f t="shared" si="218"/>
        <v>380000000</v>
      </c>
      <c r="CU411" s="473">
        <f t="shared" si="218"/>
        <v>1030884700</v>
      </c>
      <c r="CV411" s="473">
        <f t="shared" si="218"/>
        <v>678400000</v>
      </c>
      <c r="CW411" s="473">
        <f t="shared" si="218"/>
        <v>798286800</v>
      </c>
      <c r="CX411" s="473">
        <f t="shared" si="218"/>
        <v>628900000</v>
      </c>
      <c r="CY411" s="473">
        <f t="shared" si="218"/>
        <v>930442650</v>
      </c>
      <c r="CZ411" s="473">
        <f t="shared" si="218"/>
        <v>595000000</v>
      </c>
      <c r="DA411" s="473">
        <f t="shared" si="218"/>
        <v>1171373750</v>
      </c>
      <c r="DB411" s="473">
        <f t="shared" si="218"/>
        <v>570000000</v>
      </c>
      <c r="DC411" s="473">
        <f t="shared" si="218"/>
        <v>756124200</v>
      </c>
      <c r="DD411" s="473">
        <f t="shared" si="218"/>
        <v>570000000</v>
      </c>
      <c r="DE411" s="473">
        <f t="shared" si="218"/>
        <v>0</v>
      </c>
      <c r="DF411" s="473">
        <f>SUM(DF412:DF429)</f>
        <v>600000000</v>
      </c>
      <c r="DG411" s="473">
        <f t="shared" si="218"/>
        <v>600000000</v>
      </c>
      <c r="DH411" s="473">
        <f t="shared" si="218"/>
        <v>0</v>
      </c>
      <c r="DI411" s="473">
        <f>SUM(DI412:DI429)</f>
        <v>600000000</v>
      </c>
      <c r="DJ411" s="473">
        <f t="shared" si="218"/>
        <v>600000000</v>
      </c>
      <c r="DK411" s="473">
        <f t="shared" si="218"/>
        <v>0</v>
      </c>
      <c r="DL411" s="473">
        <f>SUM(DL412:DL429)</f>
        <v>670000000</v>
      </c>
      <c r="DM411" s="473">
        <f>SUM(DM412:DM429)</f>
        <v>670000000</v>
      </c>
      <c r="DN411" s="473">
        <f t="shared" si="218"/>
        <v>0</v>
      </c>
      <c r="DO411" s="473">
        <f>SUM(DO412:DO429)</f>
        <v>670000000</v>
      </c>
      <c r="DP411" s="473">
        <f t="shared" si="218"/>
        <v>670000000</v>
      </c>
      <c r="DQ411" s="473">
        <f>SUM(DQ412:DQ429)</f>
        <v>7997375332</v>
      </c>
      <c r="DR411" s="473">
        <f>SUM(DR412:DR429)</f>
        <v>7997375332</v>
      </c>
      <c r="DS411" s="1166">
        <f>SUM(DS412:DS429)</f>
        <v>688800000</v>
      </c>
      <c r="DT411" s="1166">
        <f t="shared" ref="DT411:EI411" si="219">SUM(DT412:DT429)</f>
        <v>688800000</v>
      </c>
      <c r="DU411" s="1166">
        <f t="shared" si="219"/>
        <v>688800000</v>
      </c>
      <c r="DV411" s="1166">
        <f t="shared" si="219"/>
        <v>698600000</v>
      </c>
      <c r="DW411" s="1166">
        <f t="shared" si="219"/>
        <v>688800000</v>
      </c>
      <c r="DX411" s="1166">
        <f t="shared" si="219"/>
        <v>702800000</v>
      </c>
      <c r="DY411" s="1166">
        <f t="shared" si="219"/>
        <v>688800000</v>
      </c>
      <c r="DZ411" s="1166">
        <f t="shared" si="219"/>
        <v>688800000</v>
      </c>
      <c r="EA411" s="1166">
        <f t="shared" si="219"/>
        <v>688800000</v>
      </c>
      <c r="EB411" s="1166">
        <f t="shared" si="219"/>
        <v>688800000</v>
      </c>
      <c r="EC411" s="1166">
        <f t="shared" si="219"/>
        <v>712600000</v>
      </c>
      <c r="ED411" s="1166">
        <f t="shared" si="219"/>
        <v>688800000</v>
      </c>
      <c r="EE411" s="1128">
        <f t="shared" si="219"/>
        <v>8313200000</v>
      </c>
      <c r="EF411" s="1014">
        <f t="shared" si="219"/>
        <v>12599479062</v>
      </c>
      <c r="EG411" s="1014">
        <f t="shared" si="219"/>
        <v>13647235054</v>
      </c>
      <c r="EH411" s="1014">
        <f t="shared" si="219"/>
        <v>14068714443.52</v>
      </c>
      <c r="EI411" s="1014">
        <f t="shared" si="219"/>
        <v>14094944202.52</v>
      </c>
      <c r="EJ411" s="367" t="e">
        <v>#N/A</v>
      </c>
    </row>
    <row r="412" spans="1:140" outlineLevel="2">
      <c r="A412" s="367" t="s">
        <v>242</v>
      </c>
      <c r="B412" s="378"/>
      <c r="C412" s="370" t="s">
        <v>358</v>
      </c>
      <c r="D412" s="370" t="s">
        <v>40</v>
      </c>
      <c r="E412" s="396" t="s">
        <v>44</v>
      </c>
      <c r="F412" s="380">
        <v>3000014429</v>
      </c>
      <c r="G412" s="180"/>
      <c r="H412" s="13"/>
      <c r="I412" s="6"/>
      <c r="J412" s="190"/>
      <c r="K412" s="185"/>
      <c r="L412" s="6"/>
      <c r="M412" s="6"/>
      <c r="N412" s="185"/>
      <c r="O412" s="7"/>
      <c r="P412" s="7"/>
      <c r="Q412" s="7"/>
      <c r="R412" s="7"/>
      <c r="S412" s="14"/>
      <c r="T412" s="179"/>
      <c r="U412" s="180"/>
      <c r="V412" s="13"/>
      <c r="W412" s="6"/>
      <c r="X412" s="190"/>
      <c r="Y412" s="185"/>
      <c r="Z412" s="6"/>
      <c r="AA412" s="6"/>
      <c r="AB412" s="185"/>
      <c r="AC412" s="7"/>
      <c r="AD412" s="7"/>
      <c r="AE412" s="7"/>
      <c r="AF412" s="7"/>
      <c r="AG412" s="759"/>
      <c r="AH412" s="788"/>
      <c r="AI412" s="180"/>
      <c r="AJ412" s="810"/>
      <c r="AK412" s="6"/>
      <c r="AL412" s="834"/>
      <c r="AM412" s="758"/>
      <c r="AN412" s="6"/>
      <c r="AO412" s="6"/>
      <c r="AP412" s="758"/>
      <c r="AQ412" s="518">
        <v>2099000</v>
      </c>
      <c r="AR412" s="518">
        <v>4025000</v>
      </c>
      <c r="AS412" s="518">
        <v>12708000</v>
      </c>
      <c r="AT412" s="518">
        <v>6675000</v>
      </c>
      <c r="AU412" s="794">
        <f>AQ412</f>
        <v>2099000</v>
      </c>
      <c r="AV412" s="794">
        <f>AU412</f>
        <v>2099000</v>
      </c>
      <c r="AW412" s="794">
        <f>AV412</f>
        <v>2099000</v>
      </c>
      <c r="AX412" s="518">
        <f>SUM(AI412,AJ412,AK412,AL412,AM412,AN412,AO412,AP412,AQ412,AR412,AS412,AT412)</f>
        <v>25507000</v>
      </c>
      <c r="AY412" s="788"/>
      <c r="AZ412" s="180"/>
      <c r="BA412" s="810"/>
      <c r="BB412" s="6"/>
      <c r="BC412" s="834"/>
      <c r="BD412" s="758"/>
      <c r="BE412" s="6"/>
      <c r="BF412" s="6"/>
      <c r="BG412" s="518"/>
      <c r="BH412" s="758"/>
      <c r="BI412" s="758"/>
      <c r="BJ412" s="758"/>
      <c r="BK412" s="758"/>
      <c r="BL412" s="518">
        <f>SUM(AZ412,BA412,BB412,BC412,BD412,BE412,BF412,BG412,BH412,BI412,BJ412,BK412)</f>
        <v>0</v>
      </c>
      <c r="BN412" s="758">
        <v>40000000</v>
      </c>
      <c r="BO412" s="758">
        <v>40000000</v>
      </c>
      <c r="BP412" s="758">
        <v>40000000</v>
      </c>
      <c r="BQ412" s="758">
        <v>40000000</v>
      </c>
      <c r="BR412" s="758">
        <v>38000000</v>
      </c>
      <c r="BS412" s="758">
        <v>40000000</v>
      </c>
      <c r="BT412" s="758">
        <v>40000000</v>
      </c>
      <c r="BU412" s="758">
        <v>40000000</v>
      </c>
      <c r="BV412" s="758">
        <v>40000000</v>
      </c>
      <c r="BW412" s="758">
        <v>40000000</v>
      </c>
      <c r="BX412" s="758">
        <v>40000000</v>
      </c>
      <c r="BY412" s="758">
        <v>40000000</v>
      </c>
      <c r="BZ412" s="791">
        <v>478000000</v>
      </c>
      <c r="CB412" s="758">
        <v>40000000</v>
      </c>
      <c r="CC412" s="758">
        <v>40000000</v>
      </c>
      <c r="CD412" s="758">
        <v>40000000</v>
      </c>
      <c r="CE412" s="758">
        <v>40000000</v>
      </c>
      <c r="CF412" s="758">
        <v>38000000</v>
      </c>
      <c r="CG412" s="758">
        <v>40000000</v>
      </c>
      <c r="CH412" s="758">
        <v>40000000</v>
      </c>
      <c r="CI412" s="758">
        <v>40000000</v>
      </c>
      <c r="CJ412" s="758">
        <v>40000000</v>
      </c>
      <c r="CK412" s="758">
        <v>40000000</v>
      </c>
      <c r="CL412" s="758">
        <v>40000000</v>
      </c>
      <c r="CM412" s="758">
        <v>40000000</v>
      </c>
      <c r="CN412" s="791">
        <v>478000000</v>
      </c>
      <c r="CP412" s="653"/>
      <c r="CQ412" s="653"/>
      <c r="CR412" s="524"/>
      <c r="CS412" s="653">
        <v>27258700</v>
      </c>
      <c r="CT412" s="524">
        <v>5000000</v>
      </c>
      <c r="CU412" s="653">
        <v>2905000</v>
      </c>
      <c r="CV412" s="524">
        <v>5000000</v>
      </c>
      <c r="CW412" s="653"/>
      <c r="CX412" s="524">
        <v>1900000</v>
      </c>
      <c r="CY412" s="653"/>
      <c r="CZ412" s="524">
        <v>4000000</v>
      </c>
      <c r="DA412" s="653"/>
      <c r="DB412" s="524">
        <v>4000000</v>
      </c>
      <c r="DC412" s="653">
        <v>0</v>
      </c>
      <c r="DD412" s="524">
        <v>4000000</v>
      </c>
      <c r="DE412" s="758"/>
      <c r="DF412" s="524">
        <v>4000000</v>
      </c>
      <c r="DG412" s="757">
        <v>4000000</v>
      </c>
      <c r="DH412" s="758"/>
      <c r="DI412" s="524">
        <v>4000000</v>
      </c>
      <c r="DJ412" s="757">
        <v>4000000</v>
      </c>
      <c r="DK412" s="758"/>
      <c r="DL412" s="524">
        <v>4000000</v>
      </c>
      <c r="DM412" s="757">
        <v>4000000</v>
      </c>
      <c r="DN412" s="758"/>
      <c r="DO412" s="524">
        <v>4000000</v>
      </c>
      <c r="DP412" s="757">
        <v>4000000</v>
      </c>
      <c r="DQ412" s="493">
        <f t="shared" ref="DQ412:DQ429" si="220">SUM(CP412,CQ412,CS412,CU412,CW412,CY412,DA412,DC412,DF412,DI412,DL412,DO412)</f>
        <v>46163700</v>
      </c>
      <c r="DR412" s="479">
        <f t="shared" ref="DR412:DR434" si="221">SUM(CP412,CQ412,CS412,CU412,CW412,CY412,DA412,DC412,DG412,DJ412,DM412,DP412)</f>
        <v>46163700</v>
      </c>
      <c r="DS412" s="1168">
        <v>4500000</v>
      </c>
      <c r="DT412" s="1169">
        <v>4500000</v>
      </c>
      <c r="DU412" s="1169">
        <v>4500000</v>
      </c>
      <c r="DV412" s="1169">
        <v>4500000</v>
      </c>
      <c r="DW412" s="1169">
        <v>4500000</v>
      </c>
      <c r="DX412" s="1169">
        <v>4500000</v>
      </c>
      <c r="DY412" s="1169">
        <v>4500000</v>
      </c>
      <c r="DZ412" s="1169">
        <v>4500000</v>
      </c>
      <c r="EA412" s="1169">
        <v>4500000</v>
      </c>
      <c r="EB412" s="1169">
        <v>4500000</v>
      </c>
      <c r="EC412" s="1169">
        <v>4500000</v>
      </c>
      <c r="ED412" s="1169">
        <v>4500000</v>
      </c>
      <c r="EE412" s="1130">
        <v>54000000</v>
      </c>
      <c r="EF412" s="1087">
        <v>63180000</v>
      </c>
      <c r="EG412" s="1087">
        <v>68234400</v>
      </c>
      <c r="EH412" s="1087">
        <v>74375496</v>
      </c>
      <c r="EI412" s="1087">
        <v>81069291</v>
      </c>
      <c r="EJ412" s="367">
        <v>3000014429</v>
      </c>
    </row>
    <row r="413" spans="1:140" outlineLevel="2">
      <c r="A413" s="367" t="s">
        <v>242</v>
      </c>
      <c r="B413" s="378"/>
      <c r="C413" s="370" t="s">
        <v>358</v>
      </c>
      <c r="D413" s="370" t="s">
        <v>40</v>
      </c>
      <c r="E413" s="396" t="s">
        <v>243</v>
      </c>
      <c r="F413" s="380">
        <v>3000019640</v>
      </c>
      <c r="G413" s="19"/>
      <c r="H413" s="13"/>
      <c r="I413" s="6"/>
      <c r="J413" s="190"/>
      <c r="K413" s="185"/>
      <c r="L413" s="185"/>
      <c r="M413" s="185"/>
      <c r="N413" s="185"/>
      <c r="O413" s="7"/>
      <c r="P413" s="7"/>
      <c r="Q413" s="7"/>
      <c r="R413" s="7"/>
      <c r="S413" s="14">
        <f t="shared" ref="S413:S421" si="222">SUM(G413,H413,I413,J413,K413,L413,M413,N413,O413,P413,Q413,R413)</f>
        <v>0</v>
      </c>
      <c r="T413" s="15"/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759">
        <f t="shared" ref="AG413:AG421" si="223">SUM(U413,V413,W413,X413,Y413,Z413,AA413,AB413,AC413,AD413,AE413,AF413)</f>
        <v>0</v>
      </c>
      <c r="AH413" s="811"/>
      <c r="AI413" s="19"/>
      <c r="AJ413" s="810"/>
      <c r="AK413" s="6"/>
      <c r="AL413" s="834"/>
      <c r="AM413" s="758">
        <v>2200000</v>
      </c>
      <c r="AN413" s="758">
        <v>3800000</v>
      </c>
      <c r="AO413" s="758">
        <v>1600000</v>
      </c>
      <c r="AP413" s="758">
        <v>2400000</v>
      </c>
      <c r="AQ413" s="518">
        <v>3000000</v>
      </c>
      <c r="AR413" s="518">
        <v>3000000</v>
      </c>
      <c r="AS413" s="518">
        <v>2800000</v>
      </c>
      <c r="AT413" s="518">
        <v>3000000</v>
      </c>
      <c r="AU413" s="518">
        <f>BI413</f>
        <v>1700000</v>
      </c>
      <c r="AV413" s="518">
        <f>BJ413</f>
        <v>1700000</v>
      </c>
      <c r="AW413" s="518">
        <f>BK413</f>
        <v>1700000</v>
      </c>
      <c r="AX413" s="518">
        <f t="shared" ref="AX413:AX421" si="224">SUM(AI413,AJ413,AK413,AL413,AM413,AN413,AO413,AP413,AQ413,AR413,AS413,AT413)</f>
        <v>21800000</v>
      </c>
      <c r="AY413" s="811"/>
      <c r="AZ413" s="19"/>
      <c r="BA413" s="810"/>
      <c r="BB413" s="6"/>
      <c r="BC413" s="834"/>
      <c r="BD413" s="758">
        <v>2200000</v>
      </c>
      <c r="BE413" s="758">
        <v>3800000</v>
      </c>
      <c r="BF413" s="758">
        <v>1600000</v>
      </c>
      <c r="BG413" s="518">
        <f t="shared" ref="BG413:BG421" si="225">AP413</f>
        <v>2400000</v>
      </c>
      <c r="BH413" s="758">
        <v>1700000</v>
      </c>
      <c r="BI413" s="758">
        <v>1700000</v>
      </c>
      <c r="BJ413" s="758">
        <v>1700000</v>
      </c>
      <c r="BK413" s="758">
        <v>1700000</v>
      </c>
      <c r="BL413" s="759">
        <f t="shared" ref="BL413:BL421" si="226">SUM(AZ413,BA413,BB413,BC413,BD413,BE413,BF413,BG413,BH413,BI413,BJ413,BK413)</f>
        <v>16800000</v>
      </c>
      <c r="BN413" s="758">
        <v>1700000</v>
      </c>
      <c r="BO413" s="758">
        <v>1700000</v>
      </c>
      <c r="BP413" s="758">
        <v>1700000</v>
      </c>
      <c r="BQ413" s="758">
        <v>1700000</v>
      </c>
      <c r="BR413" s="758">
        <f>BQ413*0.85</f>
        <v>1445000</v>
      </c>
      <c r="BS413" s="758">
        <v>1700000</v>
      </c>
      <c r="BT413" s="758">
        <v>1700000</v>
      </c>
      <c r="BU413" s="758">
        <v>1700000</v>
      </c>
      <c r="BV413" s="758">
        <v>1700000</v>
      </c>
      <c r="BW413" s="758">
        <v>1700000</v>
      </c>
      <c r="BX413" s="758">
        <v>1700000</v>
      </c>
      <c r="BY413" s="758">
        <v>1700000</v>
      </c>
      <c r="BZ413" s="791">
        <v>20145000</v>
      </c>
      <c r="CB413" s="758">
        <v>1700000</v>
      </c>
      <c r="CC413" s="758">
        <v>1700000</v>
      </c>
      <c r="CD413" s="758">
        <v>1700000</v>
      </c>
      <c r="CE413" s="758">
        <v>1700000</v>
      </c>
      <c r="CF413" s="758">
        <f>CE413*0.85</f>
        <v>1445000</v>
      </c>
      <c r="CG413" s="758">
        <v>1700000</v>
      </c>
      <c r="CH413" s="758">
        <v>1700000</v>
      </c>
      <c r="CI413" s="758">
        <v>1700000</v>
      </c>
      <c r="CJ413" s="758">
        <v>1700000</v>
      </c>
      <c r="CK413" s="758">
        <v>1700000</v>
      </c>
      <c r="CL413" s="758">
        <v>1700000</v>
      </c>
      <c r="CM413" s="758">
        <v>1700000</v>
      </c>
      <c r="CN413" s="791">
        <v>20145000</v>
      </c>
      <c r="CP413" s="653">
        <v>3000000</v>
      </c>
      <c r="CQ413" s="653">
        <v>1400000</v>
      </c>
      <c r="CR413" s="524"/>
      <c r="CS413" s="653">
        <v>1600000</v>
      </c>
      <c r="CT413" s="524"/>
      <c r="CU413" s="653">
        <v>2100000</v>
      </c>
      <c r="CV413" s="524">
        <v>1400000</v>
      </c>
      <c r="CW413" s="653">
        <v>3825000</v>
      </c>
      <c r="CX413" s="524">
        <v>3000000</v>
      </c>
      <c r="CY413" s="653"/>
      <c r="CZ413" s="524">
        <v>3000000</v>
      </c>
      <c r="DA413" s="653">
        <v>1950000</v>
      </c>
      <c r="DB413" s="524">
        <v>3000000</v>
      </c>
      <c r="DC413" s="653">
        <v>3000000</v>
      </c>
      <c r="DD413" s="524">
        <v>3000000</v>
      </c>
      <c r="DE413" s="758"/>
      <c r="DF413" s="524">
        <v>3000000</v>
      </c>
      <c r="DG413" s="757">
        <v>3000000</v>
      </c>
      <c r="DH413" s="758"/>
      <c r="DI413" s="524">
        <v>3000000</v>
      </c>
      <c r="DJ413" s="757">
        <v>3000000</v>
      </c>
      <c r="DK413" s="758"/>
      <c r="DL413" s="524">
        <v>3000000</v>
      </c>
      <c r="DM413" s="757">
        <v>3000000</v>
      </c>
      <c r="DN413" s="758"/>
      <c r="DO413" s="524">
        <v>3000000</v>
      </c>
      <c r="DP413" s="757">
        <v>3000000</v>
      </c>
      <c r="DQ413" s="493">
        <f t="shared" si="220"/>
        <v>28875000</v>
      </c>
      <c r="DR413" s="479">
        <f t="shared" si="221"/>
        <v>28875000</v>
      </c>
      <c r="DS413" s="1168">
        <v>2900000</v>
      </c>
      <c r="DT413" s="1169">
        <v>2900000</v>
      </c>
      <c r="DU413" s="1169">
        <v>2900000</v>
      </c>
      <c r="DV413" s="1169">
        <v>2900000</v>
      </c>
      <c r="DW413" s="1169">
        <v>2900000</v>
      </c>
      <c r="DX413" s="1169">
        <v>2900000</v>
      </c>
      <c r="DY413" s="1169">
        <v>2900000</v>
      </c>
      <c r="DZ413" s="1169">
        <v>2900000</v>
      </c>
      <c r="EA413" s="1169">
        <v>2900000</v>
      </c>
      <c r="EB413" s="1169">
        <v>2900000</v>
      </c>
      <c r="EC413" s="1169">
        <v>2900000</v>
      </c>
      <c r="ED413" s="1169">
        <v>2900000</v>
      </c>
      <c r="EE413" s="1130">
        <v>34800000</v>
      </c>
      <c r="EF413" s="1087">
        <v>40716000</v>
      </c>
      <c r="EG413" s="1087">
        <v>43973280</v>
      </c>
      <c r="EH413" s="1087">
        <v>47930875</v>
      </c>
      <c r="EI413" s="1087">
        <v>52244654</v>
      </c>
      <c r="EJ413" s="367">
        <v>3000019640</v>
      </c>
    </row>
    <row r="414" spans="1:140" outlineLevel="2">
      <c r="A414" s="367" t="s">
        <v>242</v>
      </c>
      <c r="B414" s="378"/>
      <c r="C414" s="370" t="s">
        <v>358</v>
      </c>
      <c r="D414" s="370" t="s">
        <v>40</v>
      </c>
      <c r="E414" s="396"/>
      <c r="F414" s="380">
        <v>3000011390</v>
      </c>
      <c r="G414" s="188"/>
      <c r="H414" s="13"/>
      <c r="I414" s="185"/>
      <c r="J414" s="185"/>
      <c r="K414" s="185"/>
      <c r="L414" s="185"/>
      <c r="M414" s="185"/>
      <c r="N414" s="185"/>
      <c r="O414" s="7"/>
      <c r="P414" s="7"/>
      <c r="Q414" s="7"/>
      <c r="R414" s="7"/>
      <c r="S414" s="14">
        <f t="shared" si="222"/>
        <v>0</v>
      </c>
      <c r="T414" s="179"/>
      <c r="U414" s="14">
        <v>0</v>
      </c>
      <c r="V414" s="14">
        <v>11640000</v>
      </c>
      <c r="W414" s="14">
        <v>6720000</v>
      </c>
      <c r="X414" s="14">
        <v>0</v>
      </c>
      <c r="Y414" s="14">
        <v>1320000</v>
      </c>
      <c r="Z414" s="14">
        <v>1320000</v>
      </c>
      <c r="AA414" s="14">
        <v>0</v>
      </c>
      <c r="AB414" s="14">
        <v>3850000</v>
      </c>
      <c r="AC414" s="14">
        <v>0</v>
      </c>
      <c r="AD414" s="14">
        <v>17410000</v>
      </c>
      <c r="AE414" s="14">
        <v>12250000</v>
      </c>
      <c r="AF414" s="14">
        <v>6150000</v>
      </c>
      <c r="AG414" s="759">
        <f t="shared" si="223"/>
        <v>60660000</v>
      </c>
      <c r="AH414" s="788"/>
      <c r="AI414" s="827">
        <v>12000000</v>
      </c>
      <c r="AJ414" s="810"/>
      <c r="AK414" s="758">
        <v>4650000</v>
      </c>
      <c r="AL414" s="758"/>
      <c r="AM414" s="758">
        <v>9300000</v>
      </c>
      <c r="AN414" s="758">
        <v>10500000</v>
      </c>
      <c r="AO414" s="758">
        <v>3700000</v>
      </c>
      <c r="AP414" s="758">
        <v>0</v>
      </c>
      <c r="AQ414" s="518">
        <v>0</v>
      </c>
      <c r="AR414" s="813">
        <v>1050000</v>
      </c>
      <c r="AS414" s="813">
        <v>0</v>
      </c>
      <c r="AT414" s="813">
        <v>1050000</v>
      </c>
      <c r="AU414" s="518">
        <f>9000000</f>
        <v>9000000</v>
      </c>
      <c r="AV414" s="518">
        <f>9000000</f>
        <v>9000000</v>
      </c>
      <c r="AW414" s="518">
        <f>9000000</f>
        <v>9000000</v>
      </c>
      <c r="AX414" s="518">
        <f t="shared" si="224"/>
        <v>42250000</v>
      </c>
      <c r="AY414" s="788"/>
      <c r="AZ414" s="827">
        <v>12000000</v>
      </c>
      <c r="BA414" s="810"/>
      <c r="BB414" s="758">
        <v>4650000</v>
      </c>
      <c r="BC414" s="758"/>
      <c r="BD414" s="758">
        <v>9300000</v>
      </c>
      <c r="BE414" s="758">
        <v>10500000</v>
      </c>
      <c r="BF414" s="758">
        <v>3700000</v>
      </c>
      <c r="BG414" s="518">
        <f t="shared" si="225"/>
        <v>0</v>
      </c>
      <c r="BH414" s="758">
        <v>9000000</v>
      </c>
      <c r="BI414" s="758">
        <v>15000000</v>
      </c>
      <c r="BJ414" s="758">
        <v>15000000</v>
      </c>
      <c r="BK414" s="758">
        <v>15000000</v>
      </c>
      <c r="BL414" s="759">
        <f t="shared" si="226"/>
        <v>94150000</v>
      </c>
      <c r="BN414" s="758">
        <f>10000000</f>
        <v>10000000</v>
      </c>
      <c r="BO414" s="758">
        <f>10000000</f>
        <v>10000000</v>
      </c>
      <c r="BP414" s="758">
        <f>10000000</f>
        <v>10000000</v>
      </c>
      <c r="BQ414" s="758">
        <f>10000000</f>
        <v>10000000</v>
      </c>
      <c r="BR414" s="758">
        <f>BQ414*0.85</f>
        <v>8500000</v>
      </c>
      <c r="BS414" s="758">
        <f t="shared" ref="BS414:BY414" si="227">10000000</f>
        <v>10000000</v>
      </c>
      <c r="BT414" s="758">
        <f t="shared" si="227"/>
        <v>10000000</v>
      </c>
      <c r="BU414" s="758">
        <f t="shared" si="227"/>
        <v>10000000</v>
      </c>
      <c r="BV414" s="758">
        <f t="shared" si="227"/>
        <v>10000000</v>
      </c>
      <c r="BW414" s="758">
        <f t="shared" si="227"/>
        <v>10000000</v>
      </c>
      <c r="BX414" s="758">
        <f t="shared" si="227"/>
        <v>10000000</v>
      </c>
      <c r="BY414" s="758">
        <f t="shared" si="227"/>
        <v>10000000</v>
      </c>
      <c r="BZ414" s="791">
        <v>118500000</v>
      </c>
      <c r="CB414" s="758">
        <f>10000000</f>
        <v>10000000</v>
      </c>
      <c r="CC414" s="758">
        <f>10000000</f>
        <v>10000000</v>
      </c>
      <c r="CD414" s="758">
        <f>10000000</f>
        <v>10000000</v>
      </c>
      <c r="CE414" s="758">
        <f>10000000</f>
        <v>10000000</v>
      </c>
      <c r="CF414" s="758">
        <f>CE414*0.85</f>
        <v>8500000</v>
      </c>
      <c r="CG414" s="758">
        <f t="shared" ref="CG414:CM414" si="228">10000000</f>
        <v>10000000</v>
      </c>
      <c r="CH414" s="758">
        <f t="shared" si="228"/>
        <v>10000000</v>
      </c>
      <c r="CI414" s="758">
        <f t="shared" si="228"/>
        <v>10000000</v>
      </c>
      <c r="CJ414" s="758">
        <f t="shared" si="228"/>
        <v>10000000</v>
      </c>
      <c r="CK414" s="758">
        <f t="shared" si="228"/>
        <v>10000000</v>
      </c>
      <c r="CL414" s="758">
        <f t="shared" si="228"/>
        <v>10000000</v>
      </c>
      <c r="CM414" s="758">
        <f t="shared" si="228"/>
        <v>10000000</v>
      </c>
      <c r="CN414" s="791">
        <v>118500000</v>
      </c>
      <c r="CP414" s="653">
        <v>3850000</v>
      </c>
      <c r="CQ414" s="653">
        <v>4900000</v>
      </c>
      <c r="CR414" s="524">
        <v>14000000</v>
      </c>
      <c r="CS414" s="653"/>
      <c r="CT414" s="524">
        <v>14000000</v>
      </c>
      <c r="CU414" s="653"/>
      <c r="CV414" s="524">
        <v>14000000</v>
      </c>
      <c r="CW414" s="653"/>
      <c r="CX414" s="524" t="s">
        <v>266</v>
      </c>
      <c r="CY414" s="653"/>
      <c r="CZ414" s="524" t="s">
        <v>266</v>
      </c>
      <c r="DA414" s="653"/>
      <c r="DB414" s="524" t="s">
        <v>266</v>
      </c>
      <c r="DC414" s="653">
        <v>0</v>
      </c>
      <c r="DD414" s="524" t="s">
        <v>266</v>
      </c>
      <c r="DE414" s="758"/>
      <c r="DF414" s="524" t="s">
        <v>266</v>
      </c>
      <c r="DG414" s="757" t="s">
        <v>266</v>
      </c>
      <c r="DH414" s="758"/>
      <c r="DI414" s="524" t="s">
        <v>266</v>
      </c>
      <c r="DJ414" s="757" t="s">
        <v>266</v>
      </c>
      <c r="DK414" s="758"/>
      <c r="DL414" s="524" t="s">
        <v>266</v>
      </c>
      <c r="DM414" s="757" t="s">
        <v>266</v>
      </c>
      <c r="DN414" s="758"/>
      <c r="DO414" s="524" t="s">
        <v>266</v>
      </c>
      <c r="DP414" s="757" t="s">
        <v>266</v>
      </c>
      <c r="DQ414" s="493">
        <f t="shared" si="220"/>
        <v>8750000</v>
      </c>
      <c r="DR414" s="479">
        <f t="shared" si="221"/>
        <v>8750000</v>
      </c>
      <c r="DS414" s="1019"/>
      <c r="DT414" s="1019"/>
      <c r="DU414" s="1019"/>
      <c r="DV414" s="1019"/>
      <c r="DW414" s="1019"/>
      <c r="DX414" s="1019"/>
      <c r="DY414" s="1019"/>
      <c r="DZ414" s="1019"/>
      <c r="EA414" s="1019"/>
      <c r="EB414" s="1019"/>
      <c r="EC414" s="1019"/>
      <c r="ED414" s="1019"/>
      <c r="EE414" s="1119">
        <f t="shared" ref="EE414:EE428" si="229">SUM(DS414,DT414,DU414,DV414,DW414,DX414,DY414,DZ414,EA414,EB414,EC414,ED414)</f>
        <v>0</v>
      </c>
      <c r="EF414" s="443">
        <f>EE414*1.17</f>
        <v>0</v>
      </c>
      <c r="EG414" s="443">
        <v>300000000</v>
      </c>
      <c r="EH414" s="443">
        <v>500000000</v>
      </c>
      <c r="EI414" s="443">
        <v>500000000</v>
      </c>
      <c r="EJ414" s="367">
        <v>3000011390</v>
      </c>
    </row>
    <row r="415" spans="1:140" outlineLevel="2">
      <c r="A415" s="367" t="s">
        <v>242</v>
      </c>
      <c r="B415" s="378"/>
      <c r="C415" s="370" t="s">
        <v>358</v>
      </c>
      <c r="D415" s="370" t="s">
        <v>40</v>
      </c>
      <c r="E415" s="396" t="s">
        <v>669</v>
      </c>
      <c r="F415" s="380">
        <v>3000002495</v>
      </c>
      <c r="G415" s="180"/>
      <c r="H415" s="13"/>
      <c r="I415" s="185"/>
      <c r="J415" s="185"/>
      <c r="K415" s="185"/>
      <c r="L415" s="185"/>
      <c r="M415" s="185"/>
      <c r="N415" s="185"/>
      <c r="O415" s="7"/>
      <c r="P415" s="7"/>
      <c r="Q415" s="7"/>
      <c r="R415" s="7"/>
      <c r="S415" s="14">
        <f t="shared" si="222"/>
        <v>0</v>
      </c>
      <c r="T415" s="179"/>
      <c r="U415" s="14">
        <v>0</v>
      </c>
      <c r="V415" s="14">
        <v>0</v>
      </c>
      <c r="W415" s="14">
        <v>39500000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759">
        <f t="shared" si="223"/>
        <v>39500000</v>
      </c>
      <c r="AH415" s="788"/>
      <c r="AI415" s="180"/>
      <c r="AJ415" s="810"/>
      <c r="AK415" s="758">
        <v>0</v>
      </c>
      <c r="AL415" s="758"/>
      <c r="AM415" s="758">
        <v>0</v>
      </c>
      <c r="AN415" s="758">
        <v>0</v>
      </c>
      <c r="AO415" s="758">
        <v>0</v>
      </c>
      <c r="AP415" s="758">
        <v>524590</v>
      </c>
      <c r="AQ415" s="518">
        <v>114205</v>
      </c>
      <c r="AR415" s="518"/>
      <c r="AS415" s="518"/>
      <c r="AT415" s="518"/>
      <c r="AU415" s="518">
        <f>BI415</f>
        <v>0</v>
      </c>
      <c r="AV415" s="518">
        <f>BJ415</f>
        <v>0</v>
      </c>
      <c r="AW415" s="518">
        <f>BK415</f>
        <v>0</v>
      </c>
      <c r="AX415" s="518">
        <f t="shared" si="224"/>
        <v>638795</v>
      </c>
      <c r="AY415" s="788"/>
      <c r="AZ415" s="180"/>
      <c r="BA415" s="810"/>
      <c r="BB415" s="758">
        <v>0</v>
      </c>
      <c r="BC415" s="758"/>
      <c r="BD415" s="758">
        <v>0</v>
      </c>
      <c r="BE415" s="758">
        <v>0</v>
      </c>
      <c r="BF415" s="758">
        <v>0</v>
      </c>
      <c r="BG415" s="518">
        <f t="shared" si="225"/>
        <v>524590</v>
      </c>
      <c r="BH415" s="758">
        <v>0</v>
      </c>
      <c r="BI415" s="758">
        <v>0</v>
      </c>
      <c r="BJ415" s="758">
        <v>0</v>
      </c>
      <c r="BK415" s="758">
        <v>0</v>
      </c>
      <c r="BL415" s="759">
        <f t="shared" si="226"/>
        <v>524590</v>
      </c>
      <c r="BN415" s="758">
        <v>2000000</v>
      </c>
      <c r="BO415" s="758">
        <v>2000000</v>
      </c>
      <c r="BP415" s="758">
        <v>2000000</v>
      </c>
      <c r="BQ415" s="758">
        <v>2000000</v>
      </c>
      <c r="BR415" s="758">
        <f>BQ415*0.85</f>
        <v>1700000</v>
      </c>
      <c r="BS415" s="758">
        <v>2000000</v>
      </c>
      <c r="BT415" s="758">
        <v>2000000</v>
      </c>
      <c r="BU415" s="758">
        <v>2000000</v>
      </c>
      <c r="BV415" s="758">
        <v>2000000</v>
      </c>
      <c r="BW415" s="758">
        <v>2000000</v>
      </c>
      <c r="BX415" s="758">
        <v>2000000</v>
      </c>
      <c r="BY415" s="758">
        <v>2000000</v>
      </c>
      <c r="BZ415" s="791">
        <v>23700000</v>
      </c>
      <c r="CB415" s="758">
        <v>2000000</v>
      </c>
      <c r="CC415" s="758">
        <v>2000000</v>
      </c>
      <c r="CD415" s="758">
        <v>2000000</v>
      </c>
      <c r="CE415" s="758">
        <v>2000000</v>
      </c>
      <c r="CF415" s="758">
        <f>CE415*0.85</f>
        <v>1700000</v>
      </c>
      <c r="CG415" s="758">
        <v>2000000</v>
      </c>
      <c r="CH415" s="758">
        <v>2000000</v>
      </c>
      <c r="CI415" s="758">
        <v>2000000</v>
      </c>
      <c r="CJ415" s="758">
        <v>2000000</v>
      </c>
      <c r="CK415" s="758">
        <v>2000000</v>
      </c>
      <c r="CL415" s="758">
        <v>2000000</v>
      </c>
      <c r="CM415" s="758">
        <v>2000000</v>
      </c>
      <c r="CN415" s="791">
        <v>23700000</v>
      </c>
      <c r="CP415" s="653"/>
      <c r="CQ415" s="653"/>
      <c r="CR415" s="524"/>
      <c r="CS415" s="653"/>
      <c r="CT415" s="524"/>
      <c r="CU415" s="653">
        <v>16300000</v>
      </c>
      <c r="CV415" s="524">
        <v>16000000</v>
      </c>
      <c r="CW415" s="653"/>
      <c r="CX415" s="524"/>
      <c r="CY415" s="653">
        <v>16300000</v>
      </c>
      <c r="CZ415" s="524"/>
      <c r="DA415" s="653"/>
      <c r="DB415" s="524"/>
      <c r="DC415" s="653">
        <v>0</v>
      </c>
      <c r="DD415" s="524"/>
      <c r="DE415" s="758"/>
      <c r="DF415" s="524"/>
      <c r="DG415" s="757"/>
      <c r="DH415" s="758"/>
      <c r="DI415" s="524"/>
      <c r="DJ415" s="757"/>
      <c r="DK415" s="758"/>
      <c r="DL415" s="524"/>
      <c r="DM415" s="757"/>
      <c r="DN415" s="758"/>
      <c r="DO415" s="524"/>
      <c r="DP415" s="757"/>
      <c r="DQ415" s="493">
        <f t="shared" si="220"/>
        <v>32600000</v>
      </c>
      <c r="DR415" s="479">
        <f t="shared" si="221"/>
        <v>32600000</v>
      </c>
      <c r="DS415" s="1168" t="s">
        <v>670</v>
      </c>
      <c r="DT415" s="1169" t="s">
        <v>670</v>
      </c>
      <c r="DU415" s="1169" t="s">
        <v>670</v>
      </c>
      <c r="DV415" s="1169">
        <v>9800000</v>
      </c>
      <c r="DW415" s="1169" t="s">
        <v>670</v>
      </c>
      <c r="DX415" s="1169" t="s">
        <v>671</v>
      </c>
      <c r="DY415" s="1169" t="s">
        <v>670</v>
      </c>
      <c r="DZ415" s="1169" t="s">
        <v>671</v>
      </c>
      <c r="EA415" s="1169" t="s">
        <v>670</v>
      </c>
      <c r="EB415" s="1169" t="s">
        <v>670</v>
      </c>
      <c r="EC415" s="1169">
        <v>9800000</v>
      </c>
      <c r="ED415" s="1169" t="s">
        <v>670</v>
      </c>
      <c r="EE415" s="1130">
        <v>19600000</v>
      </c>
      <c r="EF415" s="1087">
        <v>22932000</v>
      </c>
      <c r="EG415" s="1087">
        <v>24766560</v>
      </c>
      <c r="EH415" s="1087">
        <v>26995550</v>
      </c>
      <c r="EI415" s="1087">
        <v>29425150</v>
      </c>
      <c r="EJ415" s="367">
        <v>3000002495</v>
      </c>
    </row>
    <row r="416" spans="1:140" outlineLevel="2">
      <c r="A416" s="367" t="s">
        <v>242</v>
      </c>
      <c r="B416" s="378"/>
      <c r="C416" s="370" t="s">
        <v>358</v>
      </c>
      <c r="D416" s="370" t="s">
        <v>40</v>
      </c>
      <c r="E416" s="396" t="s">
        <v>672</v>
      </c>
      <c r="F416" s="380">
        <v>3000018782</v>
      </c>
      <c r="G416" s="19"/>
      <c r="H416" s="13"/>
      <c r="I416" s="185"/>
      <c r="J416" s="185"/>
      <c r="K416" s="185"/>
      <c r="L416" s="185"/>
      <c r="M416" s="185"/>
      <c r="N416" s="185"/>
      <c r="O416" s="7"/>
      <c r="P416" s="7"/>
      <c r="Q416" s="7"/>
      <c r="R416" s="7"/>
      <c r="S416" s="14">
        <f t="shared" si="222"/>
        <v>0</v>
      </c>
      <c r="T416" s="15"/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100692010</v>
      </c>
      <c r="AE416" s="14">
        <v>0</v>
      </c>
      <c r="AF416" s="14">
        <v>0</v>
      </c>
      <c r="AG416" s="759">
        <f t="shared" si="223"/>
        <v>100692010</v>
      </c>
      <c r="AH416" s="811"/>
      <c r="AI416" s="19"/>
      <c r="AJ416" s="810"/>
      <c r="AK416" s="758">
        <v>0</v>
      </c>
      <c r="AL416" s="758"/>
      <c r="AM416" s="758">
        <v>0</v>
      </c>
      <c r="AN416" s="758">
        <v>0</v>
      </c>
      <c r="AO416" s="758">
        <v>9000000</v>
      </c>
      <c r="AP416" s="758">
        <v>4500000</v>
      </c>
      <c r="AQ416" s="518">
        <v>4500000</v>
      </c>
      <c r="AR416" s="518">
        <v>4500000</v>
      </c>
      <c r="AS416" s="518">
        <v>4500000</v>
      </c>
      <c r="AT416" s="518">
        <v>36900000</v>
      </c>
      <c r="AU416" s="794">
        <f>AQ416</f>
        <v>4500000</v>
      </c>
      <c r="AV416" s="794">
        <f>16800000</f>
        <v>16800000</v>
      </c>
      <c r="AW416" s="794">
        <f>16800000</f>
        <v>16800000</v>
      </c>
      <c r="AX416" s="518">
        <f t="shared" si="224"/>
        <v>63900000</v>
      </c>
      <c r="AY416" s="811"/>
      <c r="AZ416" s="19"/>
      <c r="BA416" s="810"/>
      <c r="BB416" s="758">
        <v>0</v>
      </c>
      <c r="BC416" s="758"/>
      <c r="BD416" s="758">
        <v>0</v>
      </c>
      <c r="BE416" s="758">
        <v>0</v>
      </c>
      <c r="BF416" s="758">
        <v>9000000</v>
      </c>
      <c r="BG416" s="518">
        <f t="shared" si="225"/>
        <v>4500000</v>
      </c>
      <c r="BH416" s="758">
        <v>10000000</v>
      </c>
      <c r="BI416" s="758">
        <v>50000000</v>
      </c>
      <c r="BJ416" s="758">
        <v>50000000</v>
      </c>
      <c r="BK416" s="758">
        <v>10000000</v>
      </c>
      <c r="BL416" s="759">
        <f t="shared" si="226"/>
        <v>133500000</v>
      </c>
      <c r="BN416" s="758">
        <v>30000000</v>
      </c>
      <c r="BO416" s="758">
        <v>30000000</v>
      </c>
      <c r="BP416" s="758">
        <v>30000000</v>
      </c>
      <c r="BQ416" s="758">
        <v>30000000</v>
      </c>
      <c r="BR416" s="758">
        <v>28000000</v>
      </c>
      <c r="BS416" s="758">
        <v>30000000</v>
      </c>
      <c r="BT416" s="758">
        <v>30000000</v>
      </c>
      <c r="BU416" s="758">
        <v>30000000</v>
      </c>
      <c r="BV416" s="758">
        <v>30000000</v>
      </c>
      <c r="BW416" s="758">
        <v>30000000</v>
      </c>
      <c r="BX416" s="758">
        <v>30000000</v>
      </c>
      <c r="BY416" s="758">
        <v>30000000</v>
      </c>
      <c r="BZ416" s="791">
        <v>358000000</v>
      </c>
      <c r="CB416" s="758">
        <v>30000000</v>
      </c>
      <c r="CC416" s="758">
        <v>30000000</v>
      </c>
      <c r="CD416" s="758">
        <v>30000000</v>
      </c>
      <c r="CE416" s="758">
        <v>30000000</v>
      </c>
      <c r="CF416" s="758">
        <v>28000000</v>
      </c>
      <c r="CG416" s="758">
        <v>30000000</v>
      </c>
      <c r="CH416" s="758">
        <v>30000000</v>
      </c>
      <c r="CI416" s="758">
        <v>30000000</v>
      </c>
      <c r="CJ416" s="758">
        <v>30000000</v>
      </c>
      <c r="CK416" s="758">
        <v>30000000</v>
      </c>
      <c r="CL416" s="758">
        <v>30000000</v>
      </c>
      <c r="CM416" s="758">
        <v>30000000</v>
      </c>
      <c r="CN416" s="791">
        <v>358000000</v>
      </c>
      <c r="CP416" s="653">
        <v>24600000</v>
      </c>
      <c r="CQ416" s="653">
        <v>36900000</v>
      </c>
      <c r="CR416" s="524"/>
      <c r="CS416" s="653"/>
      <c r="CT416" s="524">
        <v>25000000</v>
      </c>
      <c r="CU416" s="653">
        <v>213539100</v>
      </c>
      <c r="CV416" s="524">
        <v>100000000</v>
      </c>
      <c r="CW416" s="653">
        <v>47842000</v>
      </c>
      <c r="CX416" s="524">
        <v>175000000</v>
      </c>
      <c r="CY416" s="653">
        <v>349965050</v>
      </c>
      <c r="CZ416" s="524">
        <v>205000000</v>
      </c>
      <c r="DA416" s="653">
        <v>407428450</v>
      </c>
      <c r="DB416" s="524">
        <v>205000000</v>
      </c>
      <c r="DC416" s="653">
        <v>366128600</v>
      </c>
      <c r="DD416" s="524">
        <v>205000000</v>
      </c>
      <c r="DE416" s="758"/>
      <c r="DF416" s="524">
        <v>235000000</v>
      </c>
      <c r="DG416" s="757">
        <v>235000000</v>
      </c>
      <c r="DH416" s="758"/>
      <c r="DI416" s="524">
        <v>235000000</v>
      </c>
      <c r="DJ416" s="757">
        <v>235000000</v>
      </c>
      <c r="DK416" s="758"/>
      <c r="DL416" s="524">
        <v>205000000</v>
      </c>
      <c r="DM416" s="757">
        <v>205000000</v>
      </c>
      <c r="DN416" s="758"/>
      <c r="DO416" s="524">
        <v>205000000</v>
      </c>
      <c r="DP416" s="757">
        <v>205000000</v>
      </c>
      <c r="DQ416" s="493">
        <f t="shared" si="220"/>
        <v>2326403200</v>
      </c>
      <c r="DR416" s="479">
        <f t="shared" si="221"/>
        <v>2326403200</v>
      </c>
      <c r="DS416" s="1168">
        <v>195000000</v>
      </c>
      <c r="DT416" s="1169">
        <v>195000000</v>
      </c>
      <c r="DU416" s="1169">
        <v>195000000</v>
      </c>
      <c r="DV416" s="1169">
        <v>195000000</v>
      </c>
      <c r="DW416" s="1169">
        <v>195000000</v>
      </c>
      <c r="DX416" s="1169">
        <v>195000000</v>
      </c>
      <c r="DY416" s="1169">
        <v>195000000</v>
      </c>
      <c r="DZ416" s="1169">
        <v>195000000</v>
      </c>
      <c r="EA416" s="1169">
        <v>195000000</v>
      </c>
      <c r="EB416" s="1169">
        <v>195000000</v>
      </c>
      <c r="EC416" s="1169">
        <v>195000000</v>
      </c>
      <c r="ED416" s="1169">
        <v>195000000</v>
      </c>
      <c r="EE416" s="1130">
        <v>2340000000</v>
      </c>
      <c r="EF416" s="1087">
        <v>2737800000</v>
      </c>
      <c r="EG416" s="1087">
        <v>2956824000</v>
      </c>
      <c r="EH416" s="1087">
        <v>1200000000</v>
      </c>
      <c r="EI416" s="1087">
        <v>1200000000</v>
      </c>
      <c r="EJ416" s="367">
        <v>3000018782</v>
      </c>
    </row>
    <row r="417" spans="1:141" outlineLevel="2">
      <c r="A417" s="367" t="s">
        <v>242</v>
      </c>
      <c r="B417" s="378"/>
      <c r="C417" s="370" t="s">
        <v>358</v>
      </c>
      <c r="D417" s="370" t="s">
        <v>40</v>
      </c>
      <c r="E417" s="396" t="s">
        <v>244</v>
      </c>
      <c r="F417" s="380">
        <v>3000012293</v>
      </c>
      <c r="G417" s="19"/>
      <c r="H417" s="13"/>
      <c r="I417" s="185"/>
      <c r="J417" s="185"/>
      <c r="K417" s="185"/>
      <c r="L417" s="185"/>
      <c r="M417" s="185"/>
      <c r="N417" s="185"/>
      <c r="O417" s="7"/>
      <c r="P417" s="7"/>
      <c r="Q417" s="7"/>
      <c r="R417" s="7"/>
      <c r="S417" s="14">
        <f t="shared" si="222"/>
        <v>0</v>
      </c>
      <c r="T417" s="15"/>
      <c r="U417" s="14">
        <v>0</v>
      </c>
      <c r="V417" s="14">
        <v>0</v>
      </c>
      <c r="W417" s="14">
        <v>800000</v>
      </c>
      <c r="X417" s="14">
        <v>0</v>
      </c>
      <c r="Y417" s="14">
        <v>0</v>
      </c>
      <c r="Z417" s="14">
        <v>1020000</v>
      </c>
      <c r="AA417" s="14">
        <v>2550000</v>
      </c>
      <c r="AB417" s="14">
        <v>3960000</v>
      </c>
      <c r="AC417" s="14">
        <v>0</v>
      </c>
      <c r="AD417" s="14">
        <v>3000000</v>
      </c>
      <c r="AE417" s="14">
        <v>1275000</v>
      </c>
      <c r="AF417" s="14">
        <v>2550000</v>
      </c>
      <c r="AG417" s="759">
        <f t="shared" si="223"/>
        <v>15155000</v>
      </c>
      <c r="AH417" s="811"/>
      <c r="AI417" s="19"/>
      <c r="AJ417" s="810"/>
      <c r="AK417" s="758">
        <v>0</v>
      </c>
      <c r="AL417" s="758"/>
      <c r="AM417" s="758">
        <v>2550000</v>
      </c>
      <c r="AN417" s="758">
        <v>2550000</v>
      </c>
      <c r="AO417" s="758">
        <v>1275000</v>
      </c>
      <c r="AP417" s="758">
        <v>1275000</v>
      </c>
      <c r="AQ417" s="518">
        <v>3125000</v>
      </c>
      <c r="AR417" s="518">
        <v>9675000</v>
      </c>
      <c r="AS417" s="518">
        <v>7575000</v>
      </c>
      <c r="AT417" s="518">
        <v>1625000</v>
      </c>
      <c r="AU417" s="518">
        <f t="shared" ref="AU417:AW419" si="230">BI417</f>
        <v>2000000</v>
      </c>
      <c r="AV417" s="518">
        <f t="shared" si="230"/>
        <v>2000000</v>
      </c>
      <c r="AW417" s="518">
        <f t="shared" si="230"/>
        <v>2000000</v>
      </c>
      <c r="AX417" s="518">
        <f t="shared" si="224"/>
        <v>29650000</v>
      </c>
      <c r="AY417" s="811"/>
      <c r="AZ417" s="19"/>
      <c r="BA417" s="810"/>
      <c r="BB417" s="758">
        <v>0</v>
      </c>
      <c r="BC417" s="758"/>
      <c r="BD417" s="758">
        <v>2550000</v>
      </c>
      <c r="BE417" s="758">
        <v>2550000</v>
      </c>
      <c r="BF417" s="758">
        <v>1275000</v>
      </c>
      <c r="BG417" s="518">
        <f t="shared" si="225"/>
        <v>1275000</v>
      </c>
      <c r="BH417" s="758">
        <v>2000000</v>
      </c>
      <c r="BI417" s="758">
        <v>2000000</v>
      </c>
      <c r="BJ417" s="758">
        <v>2000000</v>
      </c>
      <c r="BK417" s="758">
        <v>2000000</v>
      </c>
      <c r="BL417" s="759">
        <f t="shared" si="226"/>
        <v>15650000</v>
      </c>
      <c r="BN417" s="758">
        <v>16000000</v>
      </c>
      <c r="BO417" s="758">
        <v>16000000</v>
      </c>
      <c r="BP417" s="758">
        <v>16000000</v>
      </c>
      <c r="BQ417" s="758">
        <v>16000000</v>
      </c>
      <c r="BR417" s="758">
        <v>12652200</v>
      </c>
      <c r="BS417" s="758">
        <v>16000000</v>
      </c>
      <c r="BT417" s="758">
        <v>16000000</v>
      </c>
      <c r="BU417" s="758">
        <v>16000000</v>
      </c>
      <c r="BV417" s="758">
        <v>16000000</v>
      </c>
      <c r="BW417" s="758">
        <v>16000000</v>
      </c>
      <c r="BX417" s="758">
        <v>16000000</v>
      </c>
      <c r="BY417" s="758">
        <v>16000000</v>
      </c>
      <c r="BZ417" s="791">
        <v>188652200</v>
      </c>
      <c r="CB417" s="758">
        <v>16000000</v>
      </c>
      <c r="CC417" s="758">
        <v>16000000</v>
      </c>
      <c r="CD417" s="758">
        <v>16000000</v>
      </c>
      <c r="CE417" s="758">
        <v>16000000</v>
      </c>
      <c r="CF417" s="758">
        <v>12652200</v>
      </c>
      <c r="CG417" s="758">
        <v>16000000</v>
      </c>
      <c r="CH417" s="758">
        <v>16000000</v>
      </c>
      <c r="CI417" s="758">
        <v>16000000</v>
      </c>
      <c r="CJ417" s="758">
        <v>16000000</v>
      </c>
      <c r="CK417" s="758">
        <v>16000000</v>
      </c>
      <c r="CL417" s="758">
        <v>16000000</v>
      </c>
      <c r="CM417" s="758">
        <v>16000000</v>
      </c>
      <c r="CN417" s="791">
        <v>188652200</v>
      </c>
      <c r="CP417" s="653">
        <v>2550000</v>
      </c>
      <c r="CQ417" s="653">
        <v>3375000</v>
      </c>
      <c r="CR417" s="524"/>
      <c r="CS417" s="653"/>
      <c r="CT417" s="524"/>
      <c r="CU417" s="653">
        <v>3250000</v>
      </c>
      <c r="CV417" s="524"/>
      <c r="CW417" s="653">
        <v>350000</v>
      </c>
      <c r="CX417" s="524"/>
      <c r="CY417" s="653">
        <v>4200000</v>
      </c>
      <c r="CZ417" s="524"/>
      <c r="DA417" s="653">
        <v>1625000</v>
      </c>
      <c r="DB417" s="524"/>
      <c r="DC417" s="653">
        <v>3825000</v>
      </c>
      <c r="DD417" s="524"/>
      <c r="DE417" s="758"/>
      <c r="DF417" s="524"/>
      <c r="DG417" s="757"/>
      <c r="DH417" s="758"/>
      <c r="DI417" s="524"/>
      <c r="DJ417" s="757"/>
      <c r="DK417" s="758"/>
      <c r="DL417" s="524"/>
      <c r="DM417" s="757"/>
      <c r="DN417" s="758"/>
      <c r="DO417" s="524"/>
      <c r="DP417" s="757"/>
      <c r="DQ417" s="493">
        <f t="shared" si="220"/>
        <v>19175000</v>
      </c>
      <c r="DR417" s="479">
        <f t="shared" si="221"/>
        <v>19175000</v>
      </c>
      <c r="DS417" s="1168">
        <v>1900000</v>
      </c>
      <c r="DT417" s="1169">
        <v>1900000</v>
      </c>
      <c r="DU417" s="1169">
        <v>1900000</v>
      </c>
      <c r="DV417" s="1169">
        <v>1900000</v>
      </c>
      <c r="DW417" s="1169">
        <v>1900000</v>
      </c>
      <c r="DX417" s="1169">
        <v>1900000</v>
      </c>
      <c r="DY417" s="1169">
        <v>1900000</v>
      </c>
      <c r="DZ417" s="1169">
        <v>1900000</v>
      </c>
      <c r="EA417" s="1169">
        <v>1900000</v>
      </c>
      <c r="EB417" s="1169">
        <v>1900000</v>
      </c>
      <c r="EC417" s="1169">
        <v>1900000</v>
      </c>
      <c r="ED417" s="1169">
        <v>1900000</v>
      </c>
      <c r="EE417" s="1130">
        <v>22800000</v>
      </c>
      <c r="EF417" s="1087">
        <v>26676000</v>
      </c>
      <c r="EG417" s="1087">
        <v>28810080</v>
      </c>
      <c r="EH417" s="1087">
        <v>31402987</v>
      </c>
      <c r="EI417" s="1087">
        <v>34229256</v>
      </c>
      <c r="EJ417" s="367">
        <v>3000012293</v>
      </c>
    </row>
    <row r="418" spans="1:141" outlineLevel="2">
      <c r="A418" s="367" t="s">
        <v>242</v>
      </c>
      <c r="B418" s="378"/>
      <c r="C418" s="370" t="s">
        <v>358</v>
      </c>
      <c r="D418" s="370" t="s">
        <v>40</v>
      </c>
      <c r="E418" s="396"/>
      <c r="F418" s="380">
        <v>3000013377</v>
      </c>
      <c r="G418" s="14"/>
      <c r="H418" s="13"/>
      <c r="I418" s="185"/>
      <c r="J418" s="185"/>
      <c r="K418" s="185"/>
      <c r="L418" s="185"/>
      <c r="M418" s="185"/>
      <c r="N418" s="185"/>
      <c r="O418" s="7"/>
      <c r="P418" s="7"/>
      <c r="Q418" s="7"/>
      <c r="R418" s="7"/>
      <c r="S418" s="14">
        <f t="shared" si="222"/>
        <v>0</v>
      </c>
      <c r="T418" s="15"/>
      <c r="U418" s="14">
        <v>0</v>
      </c>
      <c r="V418" s="14">
        <v>0</v>
      </c>
      <c r="W418" s="14">
        <v>0</v>
      </c>
      <c r="X418" s="14">
        <v>0</v>
      </c>
      <c r="Y418" s="14">
        <v>17500000</v>
      </c>
      <c r="Z418" s="14">
        <v>29400000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759">
        <f t="shared" si="223"/>
        <v>46900000</v>
      </c>
      <c r="AH418" s="811"/>
      <c r="AI418" s="759">
        <v>5000000</v>
      </c>
      <c r="AJ418" s="810"/>
      <c r="AK418" s="758">
        <v>0</v>
      </c>
      <c r="AL418" s="758"/>
      <c r="AM418" s="758">
        <v>0</v>
      </c>
      <c r="AN418" s="758">
        <v>0</v>
      </c>
      <c r="AO418" s="758">
        <v>0</v>
      </c>
      <c r="AP418" s="758">
        <v>48800000</v>
      </c>
      <c r="AQ418" s="518">
        <v>0</v>
      </c>
      <c r="AR418" s="518"/>
      <c r="AS418" s="518"/>
      <c r="AT418" s="518"/>
      <c r="AU418" s="518">
        <f t="shared" si="230"/>
        <v>0</v>
      </c>
      <c r="AV418" s="518">
        <f t="shared" si="230"/>
        <v>0</v>
      </c>
      <c r="AW418" s="518">
        <f t="shared" si="230"/>
        <v>0</v>
      </c>
      <c r="AX418" s="518">
        <f t="shared" si="224"/>
        <v>53800000</v>
      </c>
      <c r="AY418" s="811"/>
      <c r="AZ418" s="759">
        <v>5000000</v>
      </c>
      <c r="BA418" s="810"/>
      <c r="BB418" s="758">
        <v>0</v>
      </c>
      <c r="BC418" s="758"/>
      <c r="BD418" s="758">
        <v>0</v>
      </c>
      <c r="BE418" s="758">
        <v>0</v>
      </c>
      <c r="BF418" s="758">
        <v>0</v>
      </c>
      <c r="BG418" s="518">
        <f t="shared" si="225"/>
        <v>48800000</v>
      </c>
      <c r="BH418" s="758">
        <v>0</v>
      </c>
      <c r="BI418" s="758">
        <v>0</v>
      </c>
      <c r="BJ418" s="758">
        <v>0</v>
      </c>
      <c r="BK418" s="758">
        <v>0</v>
      </c>
      <c r="BL418" s="759">
        <f t="shared" si="226"/>
        <v>53800000</v>
      </c>
      <c r="BN418" s="758">
        <v>65200000</v>
      </c>
      <c r="BO418" s="758">
        <v>65200000</v>
      </c>
      <c r="BP418" s="758">
        <v>65200000</v>
      </c>
      <c r="BQ418" s="758">
        <v>65200000</v>
      </c>
      <c r="BR418" s="758">
        <v>63200000</v>
      </c>
      <c r="BS418" s="758">
        <v>65200000</v>
      </c>
      <c r="BT418" s="758">
        <v>65200000</v>
      </c>
      <c r="BU418" s="758">
        <v>65200000</v>
      </c>
      <c r="BV418" s="758">
        <v>65200000</v>
      </c>
      <c r="BW418" s="758">
        <v>65200000</v>
      </c>
      <c r="BX418" s="758">
        <v>65200000</v>
      </c>
      <c r="BY418" s="758">
        <v>65200000</v>
      </c>
      <c r="BZ418" s="791">
        <v>780400000</v>
      </c>
      <c r="CB418" s="758">
        <v>65200000</v>
      </c>
      <c r="CC418" s="758">
        <v>65200000</v>
      </c>
      <c r="CD418" s="758">
        <v>65200000</v>
      </c>
      <c r="CE418" s="758">
        <v>65200000</v>
      </c>
      <c r="CF418" s="758">
        <v>63200000</v>
      </c>
      <c r="CG418" s="758">
        <v>65200000</v>
      </c>
      <c r="CH418" s="758">
        <v>65200000</v>
      </c>
      <c r="CI418" s="758">
        <v>65200000</v>
      </c>
      <c r="CJ418" s="758">
        <v>65200000</v>
      </c>
      <c r="CK418" s="758">
        <v>65200000</v>
      </c>
      <c r="CL418" s="758">
        <v>65200000</v>
      </c>
      <c r="CM418" s="758">
        <v>65200000</v>
      </c>
      <c r="CN418" s="791">
        <v>780400000</v>
      </c>
      <c r="CP418" s="653"/>
      <c r="CQ418" s="653"/>
      <c r="CR418" s="524"/>
      <c r="CS418" s="653"/>
      <c r="CT418" s="524"/>
      <c r="CU418" s="653"/>
      <c r="CV418" s="524"/>
      <c r="CW418" s="653"/>
      <c r="CX418" s="524"/>
      <c r="CY418" s="653"/>
      <c r="CZ418" s="524"/>
      <c r="DA418" s="653"/>
      <c r="DB418" s="524"/>
      <c r="DC418" s="653">
        <v>0</v>
      </c>
      <c r="DD418" s="524"/>
      <c r="DE418" s="758"/>
      <c r="DF418" s="524"/>
      <c r="DG418" s="757"/>
      <c r="DH418" s="758"/>
      <c r="DI418" s="524"/>
      <c r="DJ418" s="757"/>
      <c r="DK418" s="758"/>
      <c r="DL418" s="524"/>
      <c r="DM418" s="757"/>
      <c r="DN418" s="758"/>
      <c r="DO418" s="524"/>
      <c r="DP418" s="757"/>
      <c r="DQ418" s="493">
        <f t="shared" si="220"/>
        <v>0</v>
      </c>
      <c r="DR418" s="479">
        <f t="shared" si="221"/>
        <v>0</v>
      </c>
      <c r="DS418" s="1019"/>
      <c r="DT418" s="1019"/>
      <c r="DU418" s="1019"/>
      <c r="DV418" s="1019"/>
      <c r="DW418" s="1019"/>
      <c r="DX418" s="1019"/>
      <c r="DY418" s="1019"/>
      <c r="DZ418" s="1019"/>
      <c r="EA418" s="1019"/>
      <c r="EB418" s="1019"/>
      <c r="EC418" s="1019"/>
      <c r="ED418" s="1019"/>
      <c r="EE418" s="1119">
        <f t="shared" si="229"/>
        <v>0</v>
      </c>
      <c r="EF418" s="443">
        <v>1095681600</v>
      </c>
      <c r="EG418" s="443">
        <v>1183336128</v>
      </c>
      <c r="EH418" s="443">
        <v>1289836379.52</v>
      </c>
      <c r="EI418" s="443">
        <v>1289836379.52</v>
      </c>
      <c r="EJ418" s="367">
        <v>3000013377</v>
      </c>
    </row>
    <row r="419" spans="1:141" outlineLevel="2">
      <c r="A419" s="367" t="s">
        <v>242</v>
      </c>
      <c r="B419" s="378"/>
      <c r="C419" s="370" t="s">
        <v>358</v>
      </c>
      <c r="D419" s="370" t="s">
        <v>40</v>
      </c>
      <c r="E419" s="396" t="s">
        <v>83</v>
      </c>
      <c r="F419" s="380">
        <v>8000000010</v>
      </c>
      <c r="G419" s="188"/>
      <c r="H419" s="13"/>
      <c r="I419" s="185"/>
      <c r="J419" s="185"/>
      <c r="K419" s="185"/>
      <c r="L419" s="185"/>
      <c r="M419" s="185"/>
      <c r="N419" s="185"/>
      <c r="O419" s="7"/>
      <c r="P419" s="7"/>
      <c r="Q419" s="7"/>
      <c r="R419" s="7"/>
      <c r="S419" s="14">
        <f t="shared" si="222"/>
        <v>0</v>
      </c>
      <c r="T419" s="179"/>
      <c r="U419" s="14">
        <v>0</v>
      </c>
      <c r="V419" s="14">
        <v>0</v>
      </c>
      <c r="W419" s="14">
        <v>0</v>
      </c>
      <c r="X419" s="14">
        <v>23350000</v>
      </c>
      <c r="Y419" s="14">
        <v>65878000</v>
      </c>
      <c r="Z419" s="14">
        <v>10500000</v>
      </c>
      <c r="AA419" s="14">
        <v>21650000</v>
      </c>
      <c r="AB419" s="14">
        <v>0</v>
      </c>
      <c r="AC419" s="14">
        <v>0</v>
      </c>
      <c r="AD419" s="14">
        <v>1150000</v>
      </c>
      <c r="AE419" s="14">
        <v>0</v>
      </c>
      <c r="AF419" s="14">
        <v>0</v>
      </c>
      <c r="AG419" s="759">
        <f t="shared" si="223"/>
        <v>122528000</v>
      </c>
      <c r="AH419" s="788"/>
      <c r="AI419" s="827">
        <v>19735297</v>
      </c>
      <c r="AJ419" s="810">
        <v>55000000</v>
      </c>
      <c r="AK419" s="758">
        <v>0</v>
      </c>
      <c r="AL419" s="758"/>
      <c r="AM419" s="758">
        <v>0</v>
      </c>
      <c r="AN419" s="758">
        <v>0</v>
      </c>
      <c r="AO419" s="758">
        <v>0</v>
      </c>
      <c r="AP419" s="758">
        <v>0</v>
      </c>
      <c r="AQ419" s="518">
        <v>0</v>
      </c>
      <c r="AR419" s="518">
        <v>8450000</v>
      </c>
      <c r="AS419" s="518">
        <v>0</v>
      </c>
      <c r="AT419" s="518">
        <v>0</v>
      </c>
      <c r="AU419" s="518">
        <f t="shared" si="230"/>
        <v>0</v>
      </c>
      <c r="AV419" s="518">
        <f t="shared" si="230"/>
        <v>0</v>
      </c>
      <c r="AW419" s="518">
        <f t="shared" si="230"/>
        <v>0</v>
      </c>
      <c r="AX419" s="518">
        <f t="shared" si="224"/>
        <v>83185297</v>
      </c>
      <c r="AY419" s="788"/>
      <c r="AZ419" s="827">
        <v>19735297</v>
      </c>
      <c r="BA419" s="810">
        <v>55000000</v>
      </c>
      <c r="BB419" s="758">
        <v>0</v>
      </c>
      <c r="BC419" s="758"/>
      <c r="BD419" s="758">
        <v>0</v>
      </c>
      <c r="BE419" s="758">
        <v>0</v>
      </c>
      <c r="BF419" s="758">
        <v>0</v>
      </c>
      <c r="BG419" s="518">
        <f t="shared" si="225"/>
        <v>0</v>
      </c>
      <c r="BH419" s="758">
        <v>0</v>
      </c>
      <c r="BI419" s="758">
        <v>0</v>
      </c>
      <c r="BJ419" s="758">
        <v>0</v>
      </c>
      <c r="BK419" s="758">
        <v>0</v>
      </c>
      <c r="BL419" s="759">
        <f t="shared" si="226"/>
        <v>74735297</v>
      </c>
      <c r="BN419" s="758">
        <v>0</v>
      </c>
      <c r="BO419" s="758">
        <v>0</v>
      </c>
      <c r="BP419" s="758">
        <v>0</v>
      </c>
      <c r="BQ419" s="758">
        <v>0</v>
      </c>
      <c r="BR419" s="758">
        <f>BQ419*0.85</f>
        <v>0</v>
      </c>
      <c r="BS419" s="758">
        <v>0</v>
      </c>
      <c r="BT419" s="758">
        <v>0</v>
      </c>
      <c r="BU419" s="758">
        <v>0</v>
      </c>
      <c r="BV419" s="758">
        <v>0</v>
      </c>
      <c r="BW419" s="758">
        <v>0</v>
      </c>
      <c r="BX419" s="758">
        <v>0</v>
      </c>
      <c r="BY419" s="758">
        <v>0</v>
      </c>
      <c r="BZ419" s="791">
        <v>0</v>
      </c>
      <c r="CB419" s="758">
        <v>0</v>
      </c>
      <c r="CC419" s="758">
        <v>0</v>
      </c>
      <c r="CD419" s="758">
        <v>0</v>
      </c>
      <c r="CE419" s="758">
        <v>0</v>
      </c>
      <c r="CF419" s="758">
        <f>CE419*0.85</f>
        <v>0</v>
      </c>
      <c r="CG419" s="758">
        <v>0</v>
      </c>
      <c r="CH419" s="758">
        <v>0</v>
      </c>
      <c r="CI419" s="758">
        <v>0</v>
      </c>
      <c r="CJ419" s="758">
        <v>0</v>
      </c>
      <c r="CK419" s="758">
        <v>0</v>
      </c>
      <c r="CL419" s="758">
        <v>0</v>
      </c>
      <c r="CM419" s="758">
        <v>0</v>
      </c>
      <c r="CN419" s="791">
        <v>0</v>
      </c>
      <c r="CP419" s="653"/>
      <c r="CQ419" s="653"/>
      <c r="CR419" s="524"/>
      <c r="CS419" s="653"/>
      <c r="CT419" s="524"/>
      <c r="CU419" s="653"/>
      <c r="CV419" s="524">
        <v>16000000</v>
      </c>
      <c r="CW419" s="653"/>
      <c r="CX419" s="524">
        <v>8000000</v>
      </c>
      <c r="CY419" s="653">
        <v>17300000</v>
      </c>
      <c r="CZ419" s="524">
        <v>8000000</v>
      </c>
      <c r="DA419" s="653">
        <v>9050000</v>
      </c>
      <c r="DB419" s="524">
        <v>8000000</v>
      </c>
      <c r="DC419" s="653">
        <v>8900000</v>
      </c>
      <c r="DD419" s="524">
        <v>8000000</v>
      </c>
      <c r="DE419" s="758"/>
      <c r="DF419" s="524">
        <v>8000000</v>
      </c>
      <c r="DG419" s="757">
        <v>8000000</v>
      </c>
      <c r="DH419" s="758"/>
      <c r="DI419" s="524">
        <v>8000000</v>
      </c>
      <c r="DJ419" s="757">
        <v>8000000</v>
      </c>
      <c r="DK419" s="758"/>
      <c r="DL419" s="524">
        <v>8000000</v>
      </c>
      <c r="DM419" s="757">
        <v>8000000</v>
      </c>
      <c r="DN419" s="758"/>
      <c r="DO419" s="524">
        <v>8000000</v>
      </c>
      <c r="DP419" s="757">
        <v>8000000</v>
      </c>
      <c r="DQ419" s="493">
        <f t="shared" si="220"/>
        <v>67250000</v>
      </c>
      <c r="DR419" s="479">
        <f t="shared" si="221"/>
        <v>67250000</v>
      </c>
      <c r="DS419" s="1168">
        <v>6700000</v>
      </c>
      <c r="DT419" s="1169">
        <v>6700000</v>
      </c>
      <c r="DU419" s="1169">
        <v>6700000</v>
      </c>
      <c r="DV419" s="1169">
        <v>6700000</v>
      </c>
      <c r="DW419" s="1169">
        <v>6700000</v>
      </c>
      <c r="DX419" s="1169">
        <v>6700000</v>
      </c>
      <c r="DY419" s="1169">
        <v>6700000</v>
      </c>
      <c r="DZ419" s="1169">
        <v>6700000</v>
      </c>
      <c r="EA419" s="1169">
        <v>6700000</v>
      </c>
      <c r="EB419" s="1169">
        <v>6700000</v>
      </c>
      <c r="EC419" s="1169">
        <v>6700000</v>
      </c>
      <c r="ED419" s="1169">
        <v>6700000</v>
      </c>
      <c r="EE419" s="1130">
        <v>80400000</v>
      </c>
      <c r="EF419" s="1087">
        <v>94068000</v>
      </c>
      <c r="EG419" s="1087">
        <v>101593440</v>
      </c>
      <c r="EH419" s="1087">
        <v>110736850</v>
      </c>
      <c r="EI419" s="1087">
        <v>120703166</v>
      </c>
      <c r="EJ419" s="367">
        <v>8000000010</v>
      </c>
    </row>
    <row r="420" spans="1:141" outlineLevel="2">
      <c r="A420" s="367" t="s">
        <v>242</v>
      </c>
      <c r="B420" s="378"/>
      <c r="C420" s="370" t="s">
        <v>358</v>
      </c>
      <c r="E420" s="396"/>
      <c r="F420" s="380">
        <v>3000012975</v>
      </c>
      <c r="G420" s="19"/>
      <c r="H420" s="13"/>
      <c r="I420" s="6"/>
      <c r="J420" s="190"/>
      <c r="K420" s="185"/>
      <c r="L420" s="185"/>
      <c r="M420" s="185"/>
      <c r="N420" s="185"/>
      <c r="O420" s="7"/>
      <c r="P420" s="7"/>
      <c r="Q420" s="7"/>
      <c r="R420" s="7"/>
      <c r="S420" s="14">
        <f t="shared" si="222"/>
        <v>0</v>
      </c>
      <c r="T420" s="15"/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8550000</v>
      </c>
      <c r="AD420" s="14">
        <v>0</v>
      </c>
      <c r="AE420" s="14">
        <v>0</v>
      </c>
      <c r="AF420" s="14">
        <v>0</v>
      </c>
      <c r="AG420" s="759">
        <f t="shared" si="223"/>
        <v>8550000</v>
      </c>
      <c r="AH420" s="811"/>
      <c r="AI420" s="19"/>
      <c r="AJ420" s="810"/>
      <c r="AK420" s="6"/>
      <c r="AL420" s="834"/>
      <c r="AM420" s="758"/>
      <c r="AN420" s="758"/>
      <c r="AO420" s="758"/>
      <c r="AP420" s="758"/>
      <c r="AQ420" s="518">
        <v>0</v>
      </c>
      <c r="AR420" s="518"/>
      <c r="AS420" s="518"/>
      <c r="AT420" s="518"/>
      <c r="AU420" s="518"/>
      <c r="AV420" s="518"/>
      <c r="AW420" s="518"/>
      <c r="AX420" s="518">
        <f t="shared" si="224"/>
        <v>0</v>
      </c>
      <c r="AY420" s="811"/>
      <c r="AZ420" s="19"/>
      <c r="BA420" s="810"/>
      <c r="BB420" s="6"/>
      <c r="BC420" s="834"/>
      <c r="BD420" s="758"/>
      <c r="BE420" s="758"/>
      <c r="BF420" s="758"/>
      <c r="BG420" s="518">
        <f t="shared" si="225"/>
        <v>0</v>
      </c>
      <c r="BH420" s="758"/>
      <c r="BI420" s="758"/>
      <c r="BJ420" s="758"/>
      <c r="BK420" s="758"/>
      <c r="BL420" s="518">
        <f t="shared" si="226"/>
        <v>0</v>
      </c>
      <c r="BN420" s="758"/>
      <c r="BO420" s="758"/>
      <c r="BP420" s="758"/>
      <c r="BQ420" s="758"/>
      <c r="BR420" s="758">
        <f>BQ420*0.85</f>
        <v>0</v>
      </c>
      <c r="BS420" s="758"/>
      <c r="BT420" s="758"/>
      <c r="BU420" s="758"/>
      <c r="BV420" s="758"/>
      <c r="BW420" s="758"/>
      <c r="BX420" s="758"/>
      <c r="BY420" s="758"/>
      <c r="BZ420" s="791">
        <v>0</v>
      </c>
      <c r="CB420" s="758"/>
      <c r="CC420" s="758"/>
      <c r="CD420" s="758"/>
      <c r="CE420" s="758"/>
      <c r="CF420" s="758">
        <f>CE420*0.85</f>
        <v>0</v>
      </c>
      <c r="CG420" s="758"/>
      <c r="CH420" s="758"/>
      <c r="CI420" s="758"/>
      <c r="CJ420" s="758"/>
      <c r="CK420" s="758"/>
      <c r="CL420" s="758"/>
      <c r="CM420" s="758"/>
      <c r="CN420" s="791">
        <v>0</v>
      </c>
      <c r="CP420" s="653"/>
      <c r="CQ420" s="653"/>
      <c r="CR420" s="524"/>
      <c r="CS420" s="653"/>
      <c r="CT420" s="524"/>
      <c r="CU420" s="653"/>
      <c r="CV420" s="524"/>
      <c r="CW420" s="653"/>
      <c r="CX420" s="524"/>
      <c r="CY420" s="653"/>
      <c r="CZ420" s="524"/>
      <c r="DA420" s="653"/>
      <c r="DB420" s="524"/>
      <c r="DC420" s="653">
        <v>0</v>
      </c>
      <c r="DD420" s="524"/>
      <c r="DE420" s="758"/>
      <c r="DF420" s="524"/>
      <c r="DG420" s="757"/>
      <c r="DH420" s="758"/>
      <c r="DI420" s="524"/>
      <c r="DJ420" s="757"/>
      <c r="DK420" s="758"/>
      <c r="DL420" s="524"/>
      <c r="DM420" s="757"/>
      <c r="DN420" s="758"/>
      <c r="DO420" s="524"/>
      <c r="DP420" s="757"/>
      <c r="DQ420" s="493">
        <f t="shared" si="220"/>
        <v>0</v>
      </c>
      <c r="DR420" s="479">
        <f t="shared" si="221"/>
        <v>0</v>
      </c>
      <c r="DS420" s="1019"/>
      <c r="DT420" s="1019"/>
      <c r="DU420" s="1019"/>
      <c r="DV420" s="1019"/>
      <c r="DW420" s="1019"/>
      <c r="DX420" s="1019"/>
      <c r="DY420" s="1019"/>
      <c r="DZ420" s="1019"/>
      <c r="EA420" s="1019"/>
      <c r="EB420" s="1019"/>
      <c r="EC420" s="1019"/>
      <c r="ED420" s="1019"/>
      <c r="EE420" s="1119">
        <f t="shared" si="229"/>
        <v>0</v>
      </c>
      <c r="EF420" s="443">
        <f>EE420*1.17</f>
        <v>0</v>
      </c>
      <c r="EG420" s="443">
        <f>EF420*1.08</f>
        <v>0</v>
      </c>
      <c r="EH420" s="443">
        <f>EG420*1.09</f>
        <v>0</v>
      </c>
      <c r="EI420" s="443">
        <f>EH420*1.09</f>
        <v>0</v>
      </c>
      <c r="EJ420" s="367">
        <v>3000012975</v>
      </c>
    </row>
    <row r="421" spans="1:141" outlineLevel="2">
      <c r="A421" s="367" t="s">
        <v>242</v>
      </c>
      <c r="B421" s="378"/>
      <c r="C421" s="370" t="s">
        <v>358</v>
      </c>
      <c r="D421" s="370" t="s">
        <v>40</v>
      </c>
      <c r="E421" s="396"/>
      <c r="F421" s="380">
        <v>3000003933</v>
      </c>
      <c r="G421" s="19"/>
      <c r="H421" s="13"/>
      <c r="I421" s="6"/>
      <c r="J421" s="190"/>
      <c r="K421" s="185"/>
      <c r="L421" s="185"/>
      <c r="M421" s="185"/>
      <c r="N421" s="185"/>
      <c r="O421" s="7"/>
      <c r="P421" s="7"/>
      <c r="Q421" s="7"/>
      <c r="R421" s="7"/>
      <c r="S421" s="14">
        <f t="shared" si="222"/>
        <v>0</v>
      </c>
      <c r="T421" s="15"/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759">
        <f t="shared" si="223"/>
        <v>0</v>
      </c>
      <c r="AH421" s="811"/>
      <c r="AI421" s="19"/>
      <c r="AJ421" s="810"/>
      <c r="AK421" s="6"/>
      <c r="AL421" s="834"/>
      <c r="AM421" s="758">
        <v>12900000</v>
      </c>
      <c r="AN421" s="758">
        <v>0</v>
      </c>
      <c r="AO421" s="758">
        <v>0</v>
      </c>
      <c r="AP421" s="758">
        <v>0</v>
      </c>
      <c r="AQ421" s="518">
        <v>0</v>
      </c>
      <c r="AR421" s="518"/>
      <c r="AS421" s="518"/>
      <c r="AT421" s="518"/>
      <c r="AU421" s="518">
        <f>BI421</f>
        <v>0</v>
      </c>
      <c r="AV421" s="518">
        <f>BJ421</f>
        <v>0</v>
      </c>
      <c r="AW421" s="518">
        <f>BK421</f>
        <v>0</v>
      </c>
      <c r="AX421" s="518">
        <f t="shared" si="224"/>
        <v>12900000</v>
      </c>
      <c r="AY421" s="811"/>
      <c r="AZ421" s="19"/>
      <c r="BA421" s="810"/>
      <c r="BB421" s="6"/>
      <c r="BC421" s="834"/>
      <c r="BD421" s="758">
        <v>12900000</v>
      </c>
      <c r="BE421" s="758">
        <v>0</v>
      </c>
      <c r="BF421" s="758">
        <v>0</v>
      </c>
      <c r="BG421" s="518">
        <f t="shared" si="225"/>
        <v>0</v>
      </c>
      <c r="BH421" s="758">
        <v>0</v>
      </c>
      <c r="BI421" s="758">
        <v>0</v>
      </c>
      <c r="BJ421" s="758">
        <v>0</v>
      </c>
      <c r="BK421" s="758">
        <v>0</v>
      </c>
      <c r="BL421" s="759">
        <f t="shared" si="226"/>
        <v>12900000</v>
      </c>
      <c r="BN421" s="758">
        <v>0</v>
      </c>
      <c r="BO421" s="758">
        <v>0</v>
      </c>
      <c r="BP421" s="758">
        <v>0</v>
      </c>
      <c r="BQ421" s="758">
        <v>0</v>
      </c>
      <c r="BR421" s="758">
        <f>BQ421*0.85</f>
        <v>0</v>
      </c>
      <c r="BS421" s="758">
        <v>0</v>
      </c>
      <c r="BT421" s="758">
        <v>0</v>
      </c>
      <c r="BU421" s="758">
        <v>0</v>
      </c>
      <c r="BV421" s="758">
        <v>0</v>
      </c>
      <c r="BW421" s="758">
        <v>0</v>
      </c>
      <c r="BX421" s="758">
        <v>0</v>
      </c>
      <c r="BY421" s="758">
        <v>0</v>
      </c>
      <c r="BZ421" s="791">
        <v>0</v>
      </c>
      <c r="CB421" s="758">
        <v>0</v>
      </c>
      <c r="CC421" s="758">
        <v>0</v>
      </c>
      <c r="CD421" s="758">
        <v>0</v>
      </c>
      <c r="CE421" s="758">
        <v>0</v>
      </c>
      <c r="CF421" s="758">
        <f>CE421*0.85</f>
        <v>0</v>
      </c>
      <c r="CG421" s="758">
        <v>0</v>
      </c>
      <c r="CH421" s="758">
        <v>0</v>
      </c>
      <c r="CI421" s="758">
        <v>0</v>
      </c>
      <c r="CJ421" s="758">
        <v>0</v>
      </c>
      <c r="CK421" s="758">
        <v>0</v>
      </c>
      <c r="CL421" s="758">
        <v>0</v>
      </c>
      <c r="CM421" s="758">
        <v>0</v>
      </c>
      <c r="CN421" s="791">
        <v>0</v>
      </c>
      <c r="CP421" s="653"/>
      <c r="CQ421" s="653"/>
      <c r="CR421" s="524"/>
      <c r="CS421" s="653"/>
      <c r="CT421" s="524"/>
      <c r="CU421" s="653"/>
      <c r="CV421" s="524"/>
      <c r="CW421" s="653"/>
      <c r="CX421" s="524"/>
      <c r="CY421" s="653"/>
      <c r="CZ421" s="524"/>
      <c r="DA421" s="653"/>
      <c r="DB421" s="524"/>
      <c r="DC421" s="653">
        <v>0</v>
      </c>
      <c r="DD421" s="524"/>
      <c r="DE421" s="758"/>
      <c r="DF421" s="524"/>
      <c r="DG421" s="757"/>
      <c r="DH421" s="758"/>
      <c r="DI421" s="524"/>
      <c r="DJ421" s="757"/>
      <c r="DK421" s="758"/>
      <c r="DL421" s="524"/>
      <c r="DM421" s="757"/>
      <c r="DN421" s="758"/>
      <c r="DO421" s="524"/>
      <c r="DP421" s="757"/>
      <c r="DQ421" s="493">
        <f t="shared" si="220"/>
        <v>0</v>
      </c>
      <c r="DR421" s="479">
        <f t="shared" si="221"/>
        <v>0</v>
      </c>
      <c r="DS421" s="1019"/>
      <c r="DT421" s="1019"/>
      <c r="DU421" s="1019"/>
      <c r="DV421" s="1019"/>
      <c r="DW421" s="1019"/>
      <c r="DX421" s="1019"/>
      <c r="DY421" s="1019"/>
      <c r="DZ421" s="1019"/>
      <c r="EA421" s="1019"/>
      <c r="EB421" s="1019"/>
      <c r="EC421" s="1019"/>
      <c r="ED421" s="1019"/>
      <c r="EE421" s="1119">
        <f t="shared" si="229"/>
        <v>0</v>
      </c>
      <c r="EF421" s="443">
        <f>EE421*1.17</f>
        <v>0</v>
      </c>
      <c r="EG421" s="443">
        <f>EF421*1.08</f>
        <v>0</v>
      </c>
      <c r="EH421" s="443">
        <f>EG421*1.09</f>
        <v>0</v>
      </c>
      <c r="EI421" s="443">
        <f>EH421*1.09</f>
        <v>0</v>
      </c>
      <c r="EJ421" s="367">
        <v>3000003933</v>
      </c>
    </row>
    <row r="422" spans="1:141" outlineLevel="2">
      <c r="A422" s="367" t="s">
        <v>242</v>
      </c>
      <c r="B422" s="378"/>
      <c r="C422" s="370" t="s">
        <v>358</v>
      </c>
      <c r="D422" s="370" t="s">
        <v>40</v>
      </c>
      <c r="E422" s="396" t="s">
        <v>171</v>
      </c>
      <c r="F422" s="380">
        <v>3211010000</v>
      </c>
      <c r="G422" s="180"/>
      <c r="H422" s="13"/>
      <c r="I422" s="6"/>
      <c r="J422" s="190"/>
      <c r="K422" s="185"/>
      <c r="L422" s="6"/>
      <c r="M422" s="6"/>
      <c r="N422" s="185"/>
      <c r="O422" s="7"/>
      <c r="P422" s="7"/>
      <c r="Q422" s="7"/>
      <c r="R422" s="7"/>
      <c r="S422" s="14"/>
      <c r="T422" s="179"/>
      <c r="U422" s="180"/>
      <c r="V422" s="13"/>
      <c r="W422" s="6"/>
      <c r="X422" s="190"/>
      <c r="Y422" s="185"/>
      <c r="Z422" s="6"/>
      <c r="AA422" s="6"/>
      <c r="AB422" s="185"/>
      <c r="AC422" s="7"/>
      <c r="AD422" s="7"/>
      <c r="AE422" s="7"/>
      <c r="AF422" s="7"/>
      <c r="AG422" s="759"/>
      <c r="AH422" s="788"/>
      <c r="AI422" s="180"/>
      <c r="AJ422" s="810"/>
      <c r="AK422" s="6"/>
      <c r="AL422" s="834"/>
      <c r="AM422" s="758"/>
      <c r="AN422" s="6"/>
      <c r="AO422" s="6"/>
      <c r="AP422" s="758"/>
      <c r="AQ422" s="518"/>
      <c r="AR422" s="518"/>
      <c r="AS422" s="518"/>
      <c r="AT422" s="518"/>
      <c r="AU422" s="794"/>
      <c r="AV422" s="794"/>
      <c r="AW422" s="794"/>
      <c r="AX422" s="518"/>
      <c r="AY422" s="788"/>
      <c r="AZ422" s="180"/>
      <c r="BA422" s="810"/>
      <c r="BB422" s="6"/>
      <c r="BC422" s="834"/>
      <c r="BD422" s="758"/>
      <c r="BE422" s="6"/>
      <c r="BF422" s="6"/>
      <c r="BG422" s="518"/>
      <c r="BH422" s="758"/>
      <c r="BI422" s="758"/>
      <c r="BJ422" s="758"/>
      <c r="BK422" s="758"/>
      <c r="BL422" s="518"/>
      <c r="BN422" s="758"/>
      <c r="BO422" s="758"/>
      <c r="BP422" s="758"/>
      <c r="BQ422" s="758"/>
      <c r="BR422" s="758"/>
      <c r="BS422" s="758"/>
      <c r="BT422" s="758"/>
      <c r="BU422" s="758"/>
      <c r="BV422" s="758"/>
      <c r="BW422" s="758"/>
      <c r="BX422" s="758"/>
      <c r="BY422" s="758"/>
      <c r="BZ422" s="791"/>
      <c r="CB422" s="758"/>
      <c r="CC422" s="758"/>
      <c r="CD422" s="758"/>
      <c r="CE422" s="758"/>
      <c r="CF422" s="758"/>
      <c r="CG422" s="758"/>
      <c r="CH422" s="758"/>
      <c r="CI422" s="758"/>
      <c r="CJ422" s="758"/>
      <c r="CK422" s="758"/>
      <c r="CL422" s="758"/>
      <c r="CM422" s="758"/>
      <c r="CN422" s="791"/>
      <c r="CP422" s="653"/>
      <c r="CQ422" s="653"/>
      <c r="CR422" s="524"/>
      <c r="CS422" s="653"/>
      <c r="CT422" s="524"/>
      <c r="CU422" s="653">
        <v>7000000</v>
      </c>
      <c r="CV422" s="524"/>
      <c r="CW422" s="653">
        <v>20600000</v>
      </c>
      <c r="CX422" s="524">
        <v>10000000</v>
      </c>
      <c r="CY422" s="653"/>
      <c r="CZ422" s="524">
        <v>14000000</v>
      </c>
      <c r="DA422" s="653">
        <v>20950000</v>
      </c>
      <c r="DB422" s="524">
        <v>14000000</v>
      </c>
      <c r="DC422" s="653">
        <v>35050000</v>
      </c>
      <c r="DD422" s="524">
        <v>14000000</v>
      </c>
      <c r="DE422" s="758"/>
      <c r="DF422" s="524">
        <v>14000000</v>
      </c>
      <c r="DG422" s="757">
        <v>14000000</v>
      </c>
      <c r="DH422" s="758"/>
      <c r="DI422" s="524">
        <v>14000000</v>
      </c>
      <c r="DJ422" s="757">
        <v>14000000</v>
      </c>
      <c r="DK422" s="758"/>
      <c r="DL422" s="524">
        <v>14000000</v>
      </c>
      <c r="DM422" s="757">
        <v>14000000</v>
      </c>
      <c r="DN422" s="758"/>
      <c r="DO422" s="524">
        <v>14000000</v>
      </c>
      <c r="DP422" s="757">
        <v>14000000</v>
      </c>
      <c r="DQ422" s="493">
        <f t="shared" si="220"/>
        <v>139600000</v>
      </c>
      <c r="DR422" s="479">
        <f t="shared" si="221"/>
        <v>139600000</v>
      </c>
      <c r="DS422" s="1168">
        <v>14800000</v>
      </c>
      <c r="DT422" s="1169">
        <v>14800000</v>
      </c>
      <c r="DU422" s="1169">
        <v>14800000</v>
      </c>
      <c r="DV422" s="1169">
        <v>14800000</v>
      </c>
      <c r="DW422" s="1169">
        <v>14800000</v>
      </c>
      <c r="DX422" s="1169">
        <v>14800000</v>
      </c>
      <c r="DY422" s="1169">
        <v>14800000</v>
      </c>
      <c r="DZ422" s="1169">
        <v>14800000</v>
      </c>
      <c r="EA422" s="1169">
        <v>14800000</v>
      </c>
      <c r="EB422" s="1169">
        <v>14800000</v>
      </c>
      <c r="EC422" s="1169">
        <v>14800000</v>
      </c>
      <c r="ED422" s="1169">
        <v>14800000</v>
      </c>
      <c r="EE422" s="1130">
        <v>177600000</v>
      </c>
      <c r="EF422" s="1087">
        <v>207792000</v>
      </c>
      <c r="EG422" s="1088" t="s">
        <v>670</v>
      </c>
      <c r="EH422" s="1088" t="s">
        <v>670</v>
      </c>
      <c r="EI422" s="1088" t="s">
        <v>670</v>
      </c>
    </row>
    <row r="423" spans="1:141" outlineLevel="2">
      <c r="A423" s="367" t="s">
        <v>242</v>
      </c>
      <c r="B423" s="378"/>
      <c r="C423" s="370" t="s">
        <v>358</v>
      </c>
      <c r="D423" s="370" t="s">
        <v>40</v>
      </c>
      <c r="E423" s="396" t="s">
        <v>204</v>
      </c>
      <c r="F423" s="380">
        <v>3000005193</v>
      </c>
      <c r="G423" s="180"/>
      <c r="H423" s="13"/>
      <c r="I423" s="6"/>
      <c r="J423" s="190"/>
      <c r="K423" s="185"/>
      <c r="L423" s="185"/>
      <c r="M423" s="185"/>
      <c r="N423" s="185"/>
      <c r="O423" s="7"/>
      <c r="P423" s="7"/>
      <c r="Q423" s="7"/>
      <c r="R423" s="7"/>
      <c r="S423" s="14">
        <f t="shared" ref="S423:S429" si="231">SUM(G423,H423,I423,J423,K423,L423,M423,N423,O423,P423,Q423,R423)</f>
        <v>0</v>
      </c>
      <c r="T423" s="179"/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759">
        <f t="shared" ref="AG423:AG429" si="232">SUM(U423,V423,W423,X423,Y423,Z423,AA423,AB423,AC423,AD423,AE423,AF423)</f>
        <v>0</v>
      </c>
      <c r="AH423" s="788"/>
      <c r="AI423" s="180"/>
      <c r="AJ423" s="810"/>
      <c r="AK423" s="6"/>
      <c r="AL423" s="834"/>
      <c r="AM423" s="758"/>
      <c r="AN423" s="758"/>
      <c r="AO423" s="758">
        <v>259206974</v>
      </c>
      <c r="AP423" s="758">
        <v>179491932</v>
      </c>
      <c r="AQ423" s="518">
        <v>91795410</v>
      </c>
      <c r="AR423" s="518">
        <v>201776868</v>
      </c>
      <c r="AS423" s="518">
        <v>169468672</v>
      </c>
      <c r="AT423" s="518">
        <v>113153867</v>
      </c>
      <c r="AU423" s="794">
        <v>200000000</v>
      </c>
      <c r="AV423" s="794">
        <v>200000000</v>
      </c>
      <c r="AW423" s="794">
        <v>200000000</v>
      </c>
      <c r="AX423" s="518">
        <f t="shared" ref="AX423:AX429" si="233">SUM(AI423,AJ423,AK423,AL423,AM423,AN423,AO423,AP423,AQ423,AR423,AS423,AT423)</f>
        <v>1014893723</v>
      </c>
      <c r="AY423" s="788"/>
      <c r="AZ423" s="180"/>
      <c r="BA423" s="810"/>
      <c r="BB423" s="6"/>
      <c r="BC423" s="834"/>
      <c r="BD423" s="758"/>
      <c r="BE423" s="758"/>
      <c r="BF423" s="758">
        <v>259206974</v>
      </c>
      <c r="BG423" s="518">
        <f t="shared" ref="BG423:BG429" si="234">AP423</f>
        <v>179491932</v>
      </c>
      <c r="BH423" s="758">
        <v>250000000</v>
      </c>
      <c r="BI423" s="758">
        <v>300000000</v>
      </c>
      <c r="BJ423" s="758">
        <v>300000000</v>
      </c>
      <c r="BK423" s="758">
        <v>250000000</v>
      </c>
      <c r="BL423" s="759">
        <f t="shared" ref="BL423:BL429" si="235">SUM(AZ423,BA423,BB423,BC423,BD423,BE423,BF423,BG423,BH423,BI423,BJ423,BK423)</f>
        <v>1538698906</v>
      </c>
      <c r="BN423" s="758">
        <f>250000000</f>
        <v>250000000</v>
      </c>
      <c r="BO423" s="758">
        <f>250000000</f>
        <v>250000000</v>
      </c>
      <c r="BP423" s="758">
        <f>250000000</f>
        <v>250000000</v>
      </c>
      <c r="BQ423" s="758">
        <f>250000000</f>
        <v>250000000</v>
      </c>
      <c r="BR423" s="758">
        <f>BQ423*0.85</f>
        <v>212500000</v>
      </c>
      <c r="BS423" s="758">
        <f t="shared" ref="BS423:BY423" si="236">250000000</f>
        <v>250000000</v>
      </c>
      <c r="BT423" s="758">
        <f t="shared" si="236"/>
        <v>250000000</v>
      </c>
      <c r="BU423" s="758">
        <f t="shared" si="236"/>
        <v>250000000</v>
      </c>
      <c r="BV423" s="758">
        <f t="shared" si="236"/>
        <v>250000000</v>
      </c>
      <c r="BW423" s="758">
        <f t="shared" si="236"/>
        <v>250000000</v>
      </c>
      <c r="BX423" s="758">
        <f t="shared" si="236"/>
        <v>250000000</v>
      </c>
      <c r="BY423" s="758">
        <f t="shared" si="236"/>
        <v>250000000</v>
      </c>
      <c r="BZ423" s="791">
        <v>2962500000</v>
      </c>
      <c r="CB423" s="758">
        <f>250000000</f>
        <v>250000000</v>
      </c>
      <c r="CC423" s="758">
        <f>250000000</f>
        <v>250000000</v>
      </c>
      <c r="CD423" s="758">
        <f>250000000</f>
        <v>250000000</v>
      </c>
      <c r="CE423" s="758">
        <f>250000000</f>
        <v>250000000</v>
      </c>
      <c r="CF423" s="758">
        <f>CE423*0.85</f>
        <v>212500000</v>
      </c>
      <c r="CG423" s="758">
        <f t="shared" ref="CG423:CM423" si="237">250000000</f>
        <v>250000000</v>
      </c>
      <c r="CH423" s="758">
        <f t="shared" si="237"/>
        <v>250000000</v>
      </c>
      <c r="CI423" s="758">
        <f t="shared" si="237"/>
        <v>250000000</v>
      </c>
      <c r="CJ423" s="758">
        <f t="shared" si="237"/>
        <v>250000000</v>
      </c>
      <c r="CK423" s="758">
        <f t="shared" si="237"/>
        <v>250000000</v>
      </c>
      <c r="CL423" s="758">
        <f t="shared" si="237"/>
        <v>250000000</v>
      </c>
      <c r="CM423" s="758">
        <f t="shared" si="237"/>
        <v>250000000</v>
      </c>
      <c r="CN423" s="791">
        <v>2962500000</v>
      </c>
      <c r="CP423" s="653">
        <v>155244072</v>
      </c>
      <c r="CQ423" s="653">
        <v>108736060</v>
      </c>
      <c r="CR423" s="524">
        <v>108736060</v>
      </c>
      <c r="CS423" s="653">
        <v>179085400</v>
      </c>
      <c r="CT423" s="524">
        <v>150000000</v>
      </c>
      <c r="CU423" s="653">
        <v>95180000</v>
      </c>
      <c r="CV423" s="524">
        <v>180000000</v>
      </c>
      <c r="CW423" s="653">
        <v>232700000</v>
      </c>
      <c r="CX423" s="524">
        <v>100000000</v>
      </c>
      <c r="CY423" s="653">
        <v>110250000</v>
      </c>
      <c r="CZ423" s="524">
        <v>150000000</v>
      </c>
      <c r="DA423" s="653">
        <v>134949000</v>
      </c>
      <c r="DB423" s="524">
        <v>200000000</v>
      </c>
      <c r="DC423" s="653">
        <v>167260000</v>
      </c>
      <c r="DD423" s="524">
        <v>200000000</v>
      </c>
      <c r="DE423" s="758"/>
      <c r="DF423" s="524">
        <v>200000000</v>
      </c>
      <c r="DG423" s="757">
        <v>200000000</v>
      </c>
      <c r="DH423" s="758"/>
      <c r="DI423" s="524">
        <v>200000000</v>
      </c>
      <c r="DJ423" s="757">
        <v>200000000</v>
      </c>
      <c r="DK423" s="758"/>
      <c r="DL423" s="524">
        <v>200000000</v>
      </c>
      <c r="DM423" s="757">
        <v>200000000</v>
      </c>
      <c r="DN423" s="758"/>
      <c r="DO423" s="524">
        <v>200000000</v>
      </c>
      <c r="DP423" s="757">
        <v>200000000</v>
      </c>
      <c r="DQ423" s="493">
        <f t="shared" si="220"/>
        <v>1983404532</v>
      </c>
      <c r="DR423" s="479">
        <f t="shared" si="221"/>
        <v>1983404532</v>
      </c>
      <c r="DS423" s="1168">
        <v>162000000</v>
      </c>
      <c r="DT423" s="1169">
        <v>162000000</v>
      </c>
      <c r="DU423" s="1169">
        <v>162000000</v>
      </c>
      <c r="DV423" s="1169">
        <v>162000000</v>
      </c>
      <c r="DW423" s="1169">
        <v>162000000</v>
      </c>
      <c r="DX423" s="1169">
        <v>162000000</v>
      </c>
      <c r="DY423" s="1169">
        <v>162000000</v>
      </c>
      <c r="DZ423" s="1169">
        <v>162000000</v>
      </c>
      <c r="EA423" s="1169">
        <v>162000000</v>
      </c>
      <c r="EB423" s="1169">
        <v>162000000</v>
      </c>
      <c r="EC423" s="1169">
        <v>162000000</v>
      </c>
      <c r="ED423" s="1169">
        <v>162000000</v>
      </c>
      <c r="EE423" s="1130">
        <v>1944000000</v>
      </c>
      <c r="EF423" s="1087">
        <v>4194105462</v>
      </c>
      <c r="EG423" s="1087">
        <v>4493846926</v>
      </c>
      <c r="EH423" s="1087">
        <v>4787436306</v>
      </c>
      <c r="EI423" s="1087">
        <v>4787436306</v>
      </c>
      <c r="EJ423" s="367">
        <v>3000005193</v>
      </c>
      <c r="EK423" s="367">
        <v>1</v>
      </c>
    </row>
    <row r="424" spans="1:141" outlineLevel="2">
      <c r="A424" s="367" t="s">
        <v>242</v>
      </c>
      <c r="B424" s="378"/>
      <c r="C424" s="370" t="s">
        <v>358</v>
      </c>
      <c r="D424" s="370" t="s">
        <v>40</v>
      </c>
      <c r="E424" s="396"/>
      <c r="F424" s="380">
        <v>3000013775</v>
      </c>
      <c r="G424" s="180"/>
      <c r="H424" s="13"/>
      <c r="I424" s="6"/>
      <c r="J424" s="190"/>
      <c r="K424" s="185"/>
      <c r="L424" s="185"/>
      <c r="M424" s="185"/>
      <c r="N424" s="185"/>
      <c r="O424" s="7"/>
      <c r="P424" s="7">
        <v>3799800</v>
      </c>
      <c r="Q424" s="7">
        <v>-150000</v>
      </c>
      <c r="R424" s="7">
        <v>19494800</v>
      </c>
      <c r="S424" s="14">
        <f t="shared" si="231"/>
        <v>23144600</v>
      </c>
      <c r="T424" s="179"/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759">
        <f t="shared" si="232"/>
        <v>0</v>
      </c>
      <c r="AH424" s="788"/>
      <c r="AI424" s="180"/>
      <c r="AJ424" s="810"/>
      <c r="AK424" s="6"/>
      <c r="AL424" s="834"/>
      <c r="AM424" s="758"/>
      <c r="AN424" s="758"/>
      <c r="AO424" s="758"/>
      <c r="AP424" s="758"/>
      <c r="AQ424" s="518">
        <v>0</v>
      </c>
      <c r="AR424" s="518"/>
      <c r="AS424" s="518"/>
      <c r="AT424" s="518"/>
      <c r="AU424" s="518"/>
      <c r="AV424" s="518"/>
      <c r="AW424" s="518"/>
      <c r="AX424" s="518">
        <f t="shared" si="233"/>
        <v>0</v>
      </c>
      <c r="AY424" s="788"/>
      <c r="AZ424" s="180"/>
      <c r="BA424" s="810"/>
      <c r="BB424" s="6"/>
      <c r="BC424" s="834"/>
      <c r="BD424" s="758"/>
      <c r="BE424" s="758"/>
      <c r="BF424" s="758"/>
      <c r="BG424" s="518">
        <f t="shared" si="234"/>
        <v>0</v>
      </c>
      <c r="BH424" s="758"/>
      <c r="BI424" s="758"/>
      <c r="BJ424" s="758"/>
      <c r="BK424" s="758"/>
      <c r="BL424" s="518">
        <f t="shared" si="235"/>
        <v>0</v>
      </c>
      <c r="BN424" s="758"/>
      <c r="BO424" s="758"/>
      <c r="BP424" s="758"/>
      <c r="BQ424" s="758"/>
      <c r="BR424" s="758">
        <f>BQ424*0.85</f>
        <v>0</v>
      </c>
      <c r="BS424" s="758"/>
      <c r="BT424" s="758"/>
      <c r="BU424" s="758"/>
      <c r="BV424" s="758"/>
      <c r="BW424" s="758"/>
      <c r="BX424" s="758"/>
      <c r="BY424" s="758"/>
      <c r="BZ424" s="791">
        <v>0</v>
      </c>
      <c r="CB424" s="758"/>
      <c r="CC424" s="758"/>
      <c r="CD424" s="758"/>
      <c r="CE424" s="758"/>
      <c r="CF424" s="758">
        <f>CE424*0.85</f>
        <v>0</v>
      </c>
      <c r="CG424" s="758"/>
      <c r="CH424" s="758"/>
      <c r="CI424" s="758"/>
      <c r="CJ424" s="758"/>
      <c r="CK424" s="758"/>
      <c r="CL424" s="758"/>
      <c r="CM424" s="758"/>
      <c r="CN424" s="791">
        <v>0</v>
      </c>
      <c r="CP424" s="653"/>
      <c r="CQ424" s="653"/>
      <c r="CR424" s="524"/>
      <c r="CS424" s="653"/>
      <c r="CT424" s="524"/>
      <c r="CU424" s="653"/>
      <c r="CV424" s="524"/>
      <c r="CW424" s="653"/>
      <c r="CX424" s="524"/>
      <c r="CY424" s="653"/>
      <c r="CZ424" s="524"/>
      <c r="DA424" s="653"/>
      <c r="DB424" s="524"/>
      <c r="DC424" s="653">
        <v>0</v>
      </c>
      <c r="DD424" s="524"/>
      <c r="DE424" s="758"/>
      <c r="DF424" s="524"/>
      <c r="DG424" s="757"/>
      <c r="DH424" s="758"/>
      <c r="DI424" s="524"/>
      <c r="DJ424" s="757"/>
      <c r="DK424" s="758"/>
      <c r="DL424" s="524"/>
      <c r="DM424" s="757"/>
      <c r="DN424" s="758"/>
      <c r="DO424" s="524"/>
      <c r="DP424" s="757"/>
      <c r="DQ424" s="493">
        <f t="shared" si="220"/>
        <v>0</v>
      </c>
      <c r="DR424" s="479">
        <f t="shared" si="221"/>
        <v>0</v>
      </c>
      <c r="DS424" s="1019"/>
      <c r="DT424" s="1019"/>
      <c r="DU424" s="1019"/>
      <c r="DV424" s="1019"/>
      <c r="DW424" s="1019"/>
      <c r="DX424" s="1019"/>
      <c r="DY424" s="1019"/>
      <c r="DZ424" s="1019"/>
      <c r="EA424" s="1019"/>
      <c r="EB424" s="1019"/>
      <c r="EC424" s="1019"/>
      <c r="ED424" s="1019"/>
      <c r="EE424" s="1119">
        <f t="shared" si="229"/>
        <v>0</v>
      </c>
      <c r="EF424" s="443">
        <f>EE424*1.17</f>
        <v>0</v>
      </c>
      <c r="EG424" s="443">
        <f>EF424*1.08</f>
        <v>0</v>
      </c>
      <c r="EH424" s="443">
        <f>EG424*1.09</f>
        <v>0</v>
      </c>
      <c r="EI424" s="443">
        <f>EH424*1.09</f>
        <v>0</v>
      </c>
      <c r="EJ424" s="367">
        <v>3000013775</v>
      </c>
    </row>
    <row r="425" spans="1:141" outlineLevel="2">
      <c r="A425" s="367" t="s">
        <v>242</v>
      </c>
      <c r="B425" s="378"/>
      <c r="C425" s="370" t="s">
        <v>358</v>
      </c>
      <c r="D425" s="370" t="s">
        <v>40</v>
      </c>
      <c r="E425" s="396" t="s">
        <v>103</v>
      </c>
      <c r="F425" s="380">
        <v>3000009257</v>
      </c>
      <c r="G425" s="188"/>
      <c r="H425" s="13"/>
      <c r="I425" s="185"/>
      <c r="J425" s="185"/>
      <c r="K425" s="185"/>
      <c r="L425" s="185"/>
      <c r="M425" s="185"/>
      <c r="N425" s="185"/>
      <c r="O425" s="7"/>
      <c r="P425" s="7"/>
      <c r="Q425" s="7"/>
      <c r="R425" s="7"/>
      <c r="S425" s="14">
        <f t="shared" si="231"/>
        <v>0</v>
      </c>
      <c r="T425" s="179"/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0</v>
      </c>
      <c r="AC425" s="14">
        <v>0</v>
      </c>
      <c r="AD425" s="14">
        <v>34600000</v>
      </c>
      <c r="AE425" s="14">
        <v>183780000</v>
      </c>
      <c r="AF425" s="14">
        <v>279985000</v>
      </c>
      <c r="AG425" s="759">
        <f t="shared" si="232"/>
        <v>498365000</v>
      </c>
      <c r="AH425" s="788"/>
      <c r="AI425" s="827">
        <v>172525000</v>
      </c>
      <c r="AJ425" s="810">
        <v>111670000</v>
      </c>
      <c r="AK425" s="758">
        <v>149390000</v>
      </c>
      <c r="AL425" s="758">
        <v>129430000</v>
      </c>
      <c r="AM425" s="758">
        <v>262040000</v>
      </c>
      <c r="AN425" s="758">
        <v>648000000</v>
      </c>
      <c r="AO425" s="758">
        <v>113745000</v>
      </c>
      <c r="AP425" s="758">
        <v>53310000</v>
      </c>
      <c r="AQ425" s="518">
        <v>313645000</v>
      </c>
      <c r="AR425" s="518">
        <v>120060000</v>
      </c>
      <c r="AS425" s="518">
        <v>111456000</v>
      </c>
      <c r="AT425" s="518">
        <v>147946800</v>
      </c>
      <c r="AU425" s="794">
        <f>100000000</f>
        <v>100000000</v>
      </c>
      <c r="AV425" s="794">
        <f>100000000</f>
        <v>100000000</v>
      </c>
      <c r="AW425" s="794">
        <f>100000000</f>
        <v>100000000</v>
      </c>
      <c r="AX425" s="518">
        <f t="shared" si="233"/>
        <v>2333217800</v>
      </c>
      <c r="AY425" s="788"/>
      <c r="AZ425" s="827">
        <v>172525000</v>
      </c>
      <c r="BA425" s="810">
        <v>111670000</v>
      </c>
      <c r="BB425" s="758">
        <v>149390000</v>
      </c>
      <c r="BC425" s="758">
        <v>129430000</v>
      </c>
      <c r="BD425" s="758">
        <v>262040000</v>
      </c>
      <c r="BE425" s="758">
        <v>648000000</v>
      </c>
      <c r="BF425" s="758">
        <v>113745000</v>
      </c>
      <c r="BG425" s="518">
        <f t="shared" si="234"/>
        <v>53310000</v>
      </c>
      <c r="BH425" s="758">
        <v>75000000</v>
      </c>
      <c r="BI425" s="758">
        <v>100000000</v>
      </c>
      <c r="BJ425" s="758">
        <v>100000000</v>
      </c>
      <c r="BK425" s="758">
        <v>75000000</v>
      </c>
      <c r="BL425" s="759">
        <f t="shared" si="235"/>
        <v>1990110000</v>
      </c>
      <c r="BN425" s="758">
        <f>120000000</f>
        <v>120000000</v>
      </c>
      <c r="BO425" s="758">
        <f>120000000</f>
        <v>120000000</v>
      </c>
      <c r="BP425" s="758">
        <f>120000000</f>
        <v>120000000</v>
      </c>
      <c r="BQ425" s="758">
        <f>120000000</f>
        <v>120000000</v>
      </c>
      <c r="BR425" s="758">
        <f>BQ425*0.85</f>
        <v>102000000</v>
      </c>
      <c r="BS425" s="758">
        <f t="shared" ref="BS425:BY425" si="238">120000000</f>
        <v>120000000</v>
      </c>
      <c r="BT425" s="758">
        <f t="shared" si="238"/>
        <v>120000000</v>
      </c>
      <c r="BU425" s="758">
        <f t="shared" si="238"/>
        <v>120000000</v>
      </c>
      <c r="BV425" s="758">
        <f t="shared" si="238"/>
        <v>120000000</v>
      </c>
      <c r="BW425" s="758">
        <f t="shared" si="238"/>
        <v>120000000</v>
      </c>
      <c r="BX425" s="758">
        <f t="shared" si="238"/>
        <v>120000000</v>
      </c>
      <c r="BY425" s="758">
        <f t="shared" si="238"/>
        <v>120000000</v>
      </c>
      <c r="BZ425" s="791">
        <v>1422000000</v>
      </c>
      <c r="CB425" s="758">
        <f>120000000</f>
        <v>120000000</v>
      </c>
      <c r="CC425" s="758">
        <f>120000000</f>
        <v>120000000</v>
      </c>
      <c r="CD425" s="758">
        <f>120000000</f>
        <v>120000000</v>
      </c>
      <c r="CE425" s="758">
        <f>120000000</f>
        <v>120000000</v>
      </c>
      <c r="CF425" s="758">
        <f>CE425*0.85</f>
        <v>102000000</v>
      </c>
      <c r="CG425" s="758">
        <f t="shared" ref="CG425:CM425" si="239">120000000</f>
        <v>120000000</v>
      </c>
      <c r="CH425" s="758">
        <f t="shared" si="239"/>
        <v>120000000</v>
      </c>
      <c r="CI425" s="758">
        <f t="shared" si="239"/>
        <v>120000000</v>
      </c>
      <c r="CJ425" s="758">
        <f t="shared" si="239"/>
        <v>120000000</v>
      </c>
      <c r="CK425" s="758">
        <f t="shared" si="239"/>
        <v>120000000</v>
      </c>
      <c r="CL425" s="758">
        <f t="shared" si="239"/>
        <v>120000000</v>
      </c>
      <c r="CM425" s="758">
        <f t="shared" si="239"/>
        <v>120000000</v>
      </c>
      <c r="CN425" s="791">
        <v>1422000000</v>
      </c>
      <c r="CP425" s="653">
        <v>32029000</v>
      </c>
      <c r="CQ425" s="653">
        <v>51940000</v>
      </c>
      <c r="CR425" s="524">
        <v>28950000</v>
      </c>
      <c r="CS425" s="653">
        <v>9300000</v>
      </c>
      <c r="CT425" s="524">
        <f>136000000</f>
        <v>136000000</v>
      </c>
      <c r="CU425" s="653">
        <v>401341000</v>
      </c>
      <c r="CV425" s="524">
        <v>276000000</v>
      </c>
      <c r="CW425" s="653">
        <v>353805000</v>
      </c>
      <c r="CX425" s="524">
        <v>276000000</v>
      </c>
      <c r="CY425" s="653">
        <v>119905000</v>
      </c>
      <c r="CZ425" s="524">
        <v>136000000</v>
      </c>
      <c r="DA425" s="653">
        <v>176302000</v>
      </c>
      <c r="DB425" s="524">
        <v>136000000</v>
      </c>
      <c r="DC425" s="653">
        <v>111095000</v>
      </c>
      <c r="DD425" s="524">
        <v>136000000</v>
      </c>
      <c r="DE425" s="758"/>
      <c r="DF425" s="524">
        <v>136000000</v>
      </c>
      <c r="DG425" s="757">
        <v>136000000</v>
      </c>
      <c r="DH425" s="758"/>
      <c r="DI425" s="524">
        <v>136000000</v>
      </c>
      <c r="DJ425" s="757">
        <v>136000000</v>
      </c>
      <c r="DK425" s="758"/>
      <c r="DL425" s="524">
        <v>136000000</v>
      </c>
      <c r="DM425" s="757">
        <v>136000000</v>
      </c>
      <c r="DN425" s="758"/>
      <c r="DO425" s="524">
        <v>136000000</v>
      </c>
      <c r="DP425" s="757">
        <v>136000000</v>
      </c>
      <c r="DQ425" s="493">
        <f t="shared" si="220"/>
        <v>1799717000</v>
      </c>
      <c r="DR425" s="479">
        <f t="shared" si="221"/>
        <v>1799717000</v>
      </c>
      <c r="DS425" s="1168">
        <v>150000000</v>
      </c>
      <c r="DT425" s="1169">
        <v>150000000</v>
      </c>
      <c r="DU425" s="1169">
        <v>150000000</v>
      </c>
      <c r="DV425" s="1169">
        <v>150000000</v>
      </c>
      <c r="DW425" s="1169">
        <v>150000000</v>
      </c>
      <c r="DX425" s="1169">
        <v>150000000</v>
      </c>
      <c r="DY425" s="1169">
        <v>150000000</v>
      </c>
      <c r="DZ425" s="1169">
        <v>150000000</v>
      </c>
      <c r="EA425" s="1169">
        <v>150000000</v>
      </c>
      <c r="EB425" s="1169">
        <v>150000000</v>
      </c>
      <c r="EC425" s="1169">
        <v>150000000</v>
      </c>
      <c r="ED425" s="1169">
        <v>150000000</v>
      </c>
      <c r="EE425" s="1130">
        <v>1800000000</v>
      </c>
      <c r="EF425" s="1087">
        <v>1996488000</v>
      </c>
      <c r="EG425" s="1087">
        <v>2156207040</v>
      </c>
      <c r="EH425" s="1087">
        <v>3600000000</v>
      </c>
      <c r="EI425" s="1087">
        <v>3600000000</v>
      </c>
      <c r="EJ425" s="367">
        <v>3000009257</v>
      </c>
    </row>
    <row r="426" spans="1:141" outlineLevel="2">
      <c r="A426" s="367" t="s">
        <v>242</v>
      </c>
      <c r="B426" s="378"/>
      <c r="C426" s="370" t="s">
        <v>358</v>
      </c>
      <c r="D426" s="370" t="s">
        <v>108</v>
      </c>
      <c r="E426" s="396" t="s">
        <v>673</v>
      </c>
      <c r="F426" s="380" t="s">
        <v>674</v>
      </c>
      <c r="G426" s="188"/>
      <c r="H426" s="13"/>
      <c r="I426" s="185"/>
      <c r="J426" s="185"/>
      <c r="K426" s="185"/>
      <c r="L426" s="185"/>
      <c r="M426" s="185"/>
      <c r="N426" s="185"/>
      <c r="O426" s="7"/>
      <c r="P426" s="7"/>
      <c r="Q426" s="7"/>
      <c r="R426" s="7"/>
      <c r="S426" s="14"/>
      <c r="T426" s="179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759"/>
      <c r="AH426" s="788"/>
      <c r="AI426" s="827"/>
      <c r="AJ426" s="810"/>
      <c r="AK426" s="758"/>
      <c r="AL426" s="758"/>
      <c r="AM426" s="758"/>
      <c r="AN426" s="758"/>
      <c r="AO426" s="758"/>
      <c r="AP426" s="758"/>
      <c r="AQ426" s="518"/>
      <c r="AR426" s="518"/>
      <c r="AS426" s="518"/>
      <c r="AT426" s="518"/>
      <c r="AU426" s="794"/>
      <c r="AV426" s="794"/>
      <c r="AW426" s="794"/>
      <c r="AX426" s="518"/>
      <c r="AY426" s="788"/>
      <c r="AZ426" s="827"/>
      <c r="BA426" s="810"/>
      <c r="BB426" s="758"/>
      <c r="BC426" s="758"/>
      <c r="BD426" s="758"/>
      <c r="BE426" s="758"/>
      <c r="BF426" s="758"/>
      <c r="BG426" s="518"/>
      <c r="BH426" s="758"/>
      <c r="BI426" s="758"/>
      <c r="BJ426" s="758"/>
      <c r="BK426" s="758"/>
      <c r="BL426" s="759"/>
      <c r="BN426" s="758"/>
      <c r="BO426" s="758"/>
      <c r="BP426" s="758"/>
      <c r="BQ426" s="758"/>
      <c r="BR426" s="758"/>
      <c r="BS426" s="758"/>
      <c r="BT426" s="758"/>
      <c r="BU426" s="758"/>
      <c r="BV426" s="758"/>
      <c r="BW426" s="758"/>
      <c r="BX426" s="758"/>
      <c r="BY426" s="758"/>
      <c r="BZ426" s="791"/>
      <c r="CB426" s="758"/>
      <c r="CC426" s="758"/>
      <c r="CD426" s="758"/>
      <c r="CE426" s="758"/>
      <c r="CF426" s="758"/>
      <c r="CG426" s="758"/>
      <c r="CH426" s="758"/>
      <c r="CI426" s="758"/>
      <c r="CJ426" s="758"/>
      <c r="CK426" s="758"/>
      <c r="CL426" s="758"/>
      <c r="CM426" s="758"/>
      <c r="CN426" s="791"/>
      <c r="CP426" s="653"/>
      <c r="CQ426" s="653"/>
      <c r="CR426" s="524"/>
      <c r="CS426" s="653"/>
      <c r="CT426" s="524"/>
      <c r="CU426" s="653"/>
      <c r="CV426" s="524"/>
      <c r="CW426" s="653">
        <v>9300000</v>
      </c>
      <c r="CX426" s="524"/>
      <c r="CY426" s="653">
        <v>15500000</v>
      </c>
      <c r="CZ426" s="524"/>
      <c r="DA426" s="653"/>
      <c r="DB426" s="524"/>
      <c r="DC426" s="653">
        <v>0</v>
      </c>
      <c r="DD426" s="524"/>
      <c r="DE426" s="758"/>
      <c r="DF426" s="524"/>
      <c r="DG426" s="757"/>
      <c r="DH426" s="758"/>
      <c r="DI426" s="524"/>
      <c r="DJ426" s="757"/>
      <c r="DK426" s="758"/>
      <c r="DL426" s="524"/>
      <c r="DM426" s="757"/>
      <c r="DN426" s="758"/>
      <c r="DO426" s="524"/>
      <c r="DP426" s="757"/>
      <c r="DQ426" s="493">
        <f t="shared" si="220"/>
        <v>24800000</v>
      </c>
      <c r="DR426" s="479">
        <f t="shared" si="221"/>
        <v>24800000</v>
      </c>
      <c r="DS426" s="1168" t="s">
        <v>670</v>
      </c>
      <c r="DT426" s="1169" t="s">
        <v>670</v>
      </c>
      <c r="DU426" s="1169" t="s">
        <v>670</v>
      </c>
      <c r="DV426" s="1169" t="s">
        <v>670</v>
      </c>
      <c r="DW426" s="1169" t="s">
        <v>670</v>
      </c>
      <c r="DX426" s="1169">
        <v>14000000</v>
      </c>
      <c r="DY426" s="1169" t="s">
        <v>670</v>
      </c>
      <c r="DZ426" s="1169" t="s">
        <v>671</v>
      </c>
      <c r="EA426" s="1169" t="s">
        <v>670</v>
      </c>
      <c r="EB426" s="1169" t="s">
        <v>670</v>
      </c>
      <c r="EC426" s="1169">
        <v>14000000</v>
      </c>
      <c r="ED426" s="1169" t="s">
        <v>670</v>
      </c>
      <c r="EE426" s="1130">
        <v>28000000</v>
      </c>
      <c r="EF426" s="1088" t="s">
        <v>670</v>
      </c>
      <c r="EG426" s="1088" t="s">
        <v>670</v>
      </c>
      <c r="EH426" s="1088" t="s">
        <v>670</v>
      </c>
      <c r="EI426" s="1088" t="s">
        <v>670</v>
      </c>
    </row>
    <row r="427" spans="1:141" outlineLevel="2">
      <c r="A427" s="367" t="s">
        <v>242</v>
      </c>
      <c r="B427" s="378"/>
      <c r="C427" s="370" t="s">
        <v>358</v>
      </c>
      <c r="D427" s="370" t="s">
        <v>40</v>
      </c>
      <c r="E427" s="396"/>
      <c r="F427" s="380">
        <v>3000007802</v>
      </c>
      <c r="G427" s="188"/>
      <c r="H427" s="13"/>
      <c r="I427" s="185"/>
      <c r="J427" s="185"/>
      <c r="K427" s="185"/>
      <c r="L427" s="185"/>
      <c r="M427" s="185"/>
      <c r="N427" s="185"/>
      <c r="O427" s="7"/>
      <c r="P427" s="7"/>
      <c r="Q427" s="7"/>
      <c r="R427" s="7"/>
      <c r="S427" s="14">
        <f t="shared" si="231"/>
        <v>0</v>
      </c>
      <c r="T427" s="179"/>
      <c r="U427" s="14">
        <v>0</v>
      </c>
      <c r="V427" s="14">
        <v>89443000</v>
      </c>
      <c r="W427" s="14">
        <v>43835160</v>
      </c>
      <c r="X427" s="14">
        <v>21221940</v>
      </c>
      <c r="Y427" s="14">
        <v>57526375</v>
      </c>
      <c r="Z427" s="14">
        <v>28327910</v>
      </c>
      <c r="AA427" s="14">
        <v>36264825</v>
      </c>
      <c r="AB427" s="14">
        <v>55047910</v>
      </c>
      <c r="AC427" s="14">
        <v>84123755</v>
      </c>
      <c r="AD427" s="14">
        <v>20502820</v>
      </c>
      <c r="AE427" s="14">
        <v>0</v>
      </c>
      <c r="AF427" s="14">
        <v>124798115</v>
      </c>
      <c r="AG427" s="759">
        <f t="shared" si="232"/>
        <v>561091810</v>
      </c>
      <c r="AH427" s="788"/>
      <c r="AI427" s="827">
        <v>76519120</v>
      </c>
      <c r="AJ427" s="810">
        <v>65986645</v>
      </c>
      <c r="AK427" s="758">
        <v>51110160</v>
      </c>
      <c r="AL427" s="758">
        <v>7505370</v>
      </c>
      <c r="AM427" s="758">
        <v>53003880</v>
      </c>
      <c r="AN427" s="758">
        <v>127770700</v>
      </c>
      <c r="AO427" s="758">
        <v>0</v>
      </c>
      <c r="AP427" s="758">
        <v>0</v>
      </c>
      <c r="AQ427" s="518">
        <v>0</v>
      </c>
      <c r="AR427" s="518"/>
      <c r="AS427" s="518"/>
      <c r="AT427" s="518"/>
      <c r="AU427" s="518">
        <f t="shared" ref="AU427:AW428" si="240">BI427</f>
        <v>0</v>
      </c>
      <c r="AV427" s="518">
        <f t="shared" si="240"/>
        <v>0</v>
      </c>
      <c r="AW427" s="518">
        <f t="shared" si="240"/>
        <v>0</v>
      </c>
      <c r="AX427" s="518">
        <f t="shared" si="233"/>
        <v>381895875</v>
      </c>
      <c r="AY427" s="788"/>
      <c r="AZ427" s="827">
        <v>76519120</v>
      </c>
      <c r="BA427" s="810">
        <v>65986645</v>
      </c>
      <c r="BB427" s="758">
        <v>51110160</v>
      </c>
      <c r="BC427" s="758">
        <v>7505370</v>
      </c>
      <c r="BD427" s="758">
        <v>53003880</v>
      </c>
      <c r="BE427" s="758">
        <v>127770700</v>
      </c>
      <c r="BF427" s="758">
        <v>0</v>
      </c>
      <c r="BG427" s="518">
        <f t="shared" si="234"/>
        <v>0</v>
      </c>
      <c r="BH427" s="758">
        <v>0</v>
      </c>
      <c r="BI427" s="758">
        <v>0</v>
      </c>
      <c r="BJ427" s="758">
        <v>0</v>
      </c>
      <c r="BK427" s="758">
        <v>0</v>
      </c>
      <c r="BL427" s="759">
        <f t="shared" si="235"/>
        <v>381895875</v>
      </c>
      <c r="BN427" s="758">
        <v>0</v>
      </c>
      <c r="BO427" s="758">
        <v>0</v>
      </c>
      <c r="BP427" s="758">
        <v>0</v>
      </c>
      <c r="BQ427" s="758">
        <v>0</v>
      </c>
      <c r="BR427" s="758">
        <f>BQ427*0.85</f>
        <v>0</v>
      </c>
      <c r="BS427" s="758">
        <v>0</v>
      </c>
      <c r="BT427" s="758">
        <v>0</v>
      </c>
      <c r="BU427" s="758">
        <v>0</v>
      </c>
      <c r="BV427" s="758">
        <v>0</v>
      </c>
      <c r="BW427" s="758">
        <v>0</v>
      </c>
      <c r="BX427" s="758">
        <v>0</v>
      </c>
      <c r="BY427" s="758">
        <v>0</v>
      </c>
      <c r="BZ427" s="791">
        <v>0</v>
      </c>
      <c r="CB427" s="758">
        <v>0</v>
      </c>
      <c r="CC427" s="758">
        <v>0</v>
      </c>
      <c r="CD427" s="758">
        <v>0</v>
      </c>
      <c r="CE427" s="758">
        <v>0</v>
      </c>
      <c r="CF427" s="758">
        <f>CE427*0.85</f>
        <v>0</v>
      </c>
      <c r="CG427" s="758">
        <v>0</v>
      </c>
      <c r="CH427" s="758">
        <v>0</v>
      </c>
      <c r="CI427" s="758">
        <v>0</v>
      </c>
      <c r="CJ427" s="758">
        <v>0</v>
      </c>
      <c r="CK427" s="758">
        <v>0</v>
      </c>
      <c r="CL427" s="758">
        <v>0</v>
      </c>
      <c r="CM427" s="758">
        <v>0</v>
      </c>
      <c r="CN427" s="791">
        <v>0</v>
      </c>
      <c r="CP427" s="653">
        <v>0</v>
      </c>
      <c r="CQ427" s="653"/>
      <c r="CR427" s="524"/>
      <c r="CS427" s="653"/>
      <c r="CT427" s="524"/>
      <c r="CU427" s="653"/>
      <c r="CV427" s="524"/>
      <c r="CW427" s="653"/>
      <c r="CX427" s="524"/>
      <c r="CY427" s="653"/>
      <c r="CZ427" s="524"/>
      <c r="DA427" s="653"/>
      <c r="DB427" s="524"/>
      <c r="DC427" s="653">
        <v>0</v>
      </c>
      <c r="DD427" s="524"/>
      <c r="DE427" s="758"/>
      <c r="DF427" s="524"/>
      <c r="DG427" s="757"/>
      <c r="DH427" s="758"/>
      <c r="DI427" s="524"/>
      <c r="DJ427" s="757"/>
      <c r="DK427" s="758"/>
      <c r="DL427" s="524"/>
      <c r="DM427" s="757"/>
      <c r="DN427" s="758"/>
      <c r="DO427" s="524"/>
      <c r="DP427" s="757"/>
      <c r="DQ427" s="493">
        <f t="shared" si="220"/>
        <v>0</v>
      </c>
      <c r="DR427" s="479">
        <f t="shared" si="221"/>
        <v>0</v>
      </c>
      <c r="DS427" s="1019"/>
      <c r="DT427" s="1019"/>
      <c r="DU427" s="1019"/>
      <c r="DV427" s="1019"/>
      <c r="DW427" s="1019"/>
      <c r="DX427" s="1019"/>
      <c r="DY427" s="1019"/>
      <c r="DZ427" s="1019"/>
      <c r="EA427" s="1019"/>
      <c r="EB427" s="1019"/>
      <c r="EC427" s="1019"/>
      <c r="ED427" s="1019"/>
      <c r="EE427" s="1119">
        <f t="shared" si="229"/>
        <v>0</v>
      </c>
      <c r="EF427" s="443">
        <f>EE427*1.17</f>
        <v>0</v>
      </c>
      <c r="EG427" s="443">
        <f>EF427*1.08</f>
        <v>0</v>
      </c>
      <c r="EH427" s="443">
        <f>EG427*1.09</f>
        <v>0</v>
      </c>
      <c r="EI427" s="443">
        <f>EH427*1.09</f>
        <v>0</v>
      </c>
      <c r="EJ427" s="367">
        <v>3000007802</v>
      </c>
    </row>
    <row r="428" spans="1:141" outlineLevel="2">
      <c r="A428" s="367" t="s">
        <v>242</v>
      </c>
      <c r="B428" s="378"/>
      <c r="C428" s="370" t="s">
        <v>358</v>
      </c>
      <c r="D428" s="370" t="s">
        <v>40</v>
      </c>
      <c r="E428" s="396"/>
      <c r="F428" s="380">
        <v>3000008984</v>
      </c>
      <c r="G428" s="180"/>
      <c r="H428" s="13"/>
      <c r="I428" s="6"/>
      <c r="J428" s="190"/>
      <c r="K428" s="185"/>
      <c r="L428" s="185"/>
      <c r="M428" s="185"/>
      <c r="N428" s="185"/>
      <c r="O428" s="7"/>
      <c r="P428" s="7"/>
      <c r="Q428" s="7"/>
      <c r="R428" s="7"/>
      <c r="S428" s="14">
        <f t="shared" si="231"/>
        <v>0</v>
      </c>
      <c r="T428" s="179"/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759">
        <f t="shared" si="232"/>
        <v>0</v>
      </c>
      <c r="AH428" s="788"/>
      <c r="AI428" s="180"/>
      <c r="AJ428" s="810"/>
      <c r="AK428" s="6"/>
      <c r="AL428" s="834"/>
      <c r="AM428" s="758">
        <v>62925000</v>
      </c>
      <c r="AN428" s="758">
        <v>10700000</v>
      </c>
      <c r="AO428" s="758">
        <v>0</v>
      </c>
      <c r="AP428" s="758">
        <v>0</v>
      </c>
      <c r="AQ428" s="518">
        <v>-10700000</v>
      </c>
      <c r="AR428" s="518">
        <v>2300000</v>
      </c>
      <c r="AS428" s="518">
        <v>0</v>
      </c>
      <c r="AT428" s="518">
        <v>0</v>
      </c>
      <c r="AU428" s="518">
        <f t="shared" si="240"/>
        <v>0</v>
      </c>
      <c r="AV428" s="518">
        <f t="shared" si="240"/>
        <v>0</v>
      </c>
      <c r="AW428" s="518">
        <f t="shared" si="240"/>
        <v>0</v>
      </c>
      <c r="AX428" s="518">
        <f t="shared" si="233"/>
        <v>65225000</v>
      </c>
      <c r="AY428" s="788"/>
      <c r="AZ428" s="180"/>
      <c r="BA428" s="810"/>
      <c r="BB428" s="6"/>
      <c r="BC428" s="834"/>
      <c r="BD428" s="758">
        <v>62925000</v>
      </c>
      <c r="BE428" s="758">
        <v>10700000</v>
      </c>
      <c r="BF428" s="758">
        <v>0</v>
      </c>
      <c r="BG428" s="518">
        <f t="shared" si="234"/>
        <v>0</v>
      </c>
      <c r="BH428" s="758">
        <v>0</v>
      </c>
      <c r="BI428" s="758">
        <v>0</v>
      </c>
      <c r="BJ428" s="758">
        <v>0</v>
      </c>
      <c r="BK428" s="758">
        <v>0</v>
      </c>
      <c r="BL428" s="759">
        <f t="shared" si="235"/>
        <v>73625000</v>
      </c>
      <c r="BN428" s="758">
        <v>0</v>
      </c>
      <c r="BO428" s="758">
        <v>0</v>
      </c>
      <c r="BP428" s="758">
        <v>0</v>
      </c>
      <c r="BQ428" s="758">
        <v>0</v>
      </c>
      <c r="BR428" s="758">
        <f>BQ428*0.85</f>
        <v>0</v>
      </c>
      <c r="BS428" s="758">
        <v>0</v>
      </c>
      <c r="BT428" s="758">
        <v>0</v>
      </c>
      <c r="BU428" s="758">
        <v>0</v>
      </c>
      <c r="BV428" s="758">
        <v>0</v>
      </c>
      <c r="BW428" s="758">
        <v>0</v>
      </c>
      <c r="BX428" s="758">
        <v>0</v>
      </c>
      <c r="BY428" s="758">
        <v>0</v>
      </c>
      <c r="BZ428" s="791">
        <v>0</v>
      </c>
      <c r="CB428" s="758">
        <v>0</v>
      </c>
      <c r="CC428" s="758">
        <v>0</v>
      </c>
      <c r="CD428" s="758">
        <v>0</v>
      </c>
      <c r="CE428" s="758">
        <v>0</v>
      </c>
      <c r="CF428" s="758">
        <f>CE428*0.85</f>
        <v>0</v>
      </c>
      <c r="CG428" s="758">
        <v>0</v>
      </c>
      <c r="CH428" s="758">
        <v>0</v>
      </c>
      <c r="CI428" s="758">
        <v>0</v>
      </c>
      <c r="CJ428" s="758">
        <v>0</v>
      </c>
      <c r="CK428" s="758">
        <v>0</v>
      </c>
      <c r="CL428" s="758">
        <v>0</v>
      </c>
      <c r="CM428" s="758">
        <v>0</v>
      </c>
      <c r="CN428" s="791">
        <v>0</v>
      </c>
      <c r="CP428" s="653"/>
      <c r="CQ428" s="653"/>
      <c r="CR428" s="524"/>
      <c r="CS428" s="653"/>
      <c r="CT428" s="524"/>
      <c r="CU428" s="653"/>
      <c r="CV428" s="524"/>
      <c r="CW428" s="653"/>
      <c r="CX428" s="524"/>
      <c r="CY428" s="653"/>
      <c r="CZ428" s="524"/>
      <c r="DA428" s="653"/>
      <c r="DB428" s="524"/>
      <c r="DC428" s="653">
        <v>0</v>
      </c>
      <c r="DD428" s="524"/>
      <c r="DE428" s="758"/>
      <c r="DF428" s="524"/>
      <c r="DG428" s="757"/>
      <c r="DH428" s="758"/>
      <c r="DI428" s="524"/>
      <c r="DJ428" s="757"/>
      <c r="DK428" s="758"/>
      <c r="DL428" s="524"/>
      <c r="DM428" s="757"/>
      <c r="DN428" s="758"/>
      <c r="DO428" s="524"/>
      <c r="DP428" s="757"/>
      <c r="DQ428" s="493">
        <f t="shared" si="220"/>
        <v>0</v>
      </c>
      <c r="DR428" s="479">
        <f t="shared" si="221"/>
        <v>0</v>
      </c>
      <c r="DS428" s="1019"/>
      <c r="DT428" s="1019"/>
      <c r="DU428" s="1019"/>
      <c r="DV428" s="1019"/>
      <c r="DW428" s="1019"/>
      <c r="DX428" s="1019"/>
      <c r="DY428" s="1019"/>
      <c r="DZ428" s="1019"/>
      <c r="EA428" s="1019"/>
      <c r="EB428" s="1019"/>
      <c r="EC428" s="1019"/>
      <c r="ED428" s="1019"/>
      <c r="EE428" s="1119">
        <f t="shared" si="229"/>
        <v>0</v>
      </c>
      <c r="EF428" s="443">
        <f>EE428*1.17</f>
        <v>0</v>
      </c>
      <c r="EG428" s="443">
        <f>EF428*1.08</f>
        <v>0</v>
      </c>
      <c r="EH428" s="443">
        <f>EG428*1.09</f>
        <v>0</v>
      </c>
      <c r="EI428" s="443">
        <f>EH428*1.09</f>
        <v>0</v>
      </c>
      <c r="EJ428" s="367">
        <v>3000008984</v>
      </c>
    </row>
    <row r="429" spans="1:141" outlineLevel="2">
      <c r="A429" s="367" t="s">
        <v>242</v>
      </c>
      <c r="B429" s="378"/>
      <c r="C429" s="370" t="s">
        <v>358</v>
      </c>
      <c r="D429" s="370" t="s">
        <v>40</v>
      </c>
      <c r="E429" s="396" t="s">
        <v>119</v>
      </c>
      <c r="F429" s="380">
        <v>3000017758</v>
      </c>
      <c r="G429" s="188"/>
      <c r="H429" s="13"/>
      <c r="I429" s="185"/>
      <c r="J429" s="185"/>
      <c r="K429" s="185"/>
      <c r="L429" s="185"/>
      <c r="M429" s="185"/>
      <c r="N429" s="185"/>
      <c r="O429" s="7"/>
      <c r="P429" s="7"/>
      <c r="Q429" s="7"/>
      <c r="R429" s="7"/>
      <c r="S429" s="14">
        <f t="shared" si="231"/>
        <v>0</v>
      </c>
      <c r="T429" s="179"/>
      <c r="U429" s="14">
        <v>0</v>
      </c>
      <c r="V429" s="14">
        <v>0</v>
      </c>
      <c r="W429" s="14">
        <v>111791000</v>
      </c>
      <c r="X429" s="14">
        <v>35985000</v>
      </c>
      <c r="Y429" s="14">
        <v>335752500</v>
      </c>
      <c r="Z429" s="14">
        <v>18621000</v>
      </c>
      <c r="AA429" s="14">
        <v>310076000</v>
      </c>
      <c r="AB429" s="14">
        <v>0</v>
      </c>
      <c r="AC429" s="14">
        <v>68121000</v>
      </c>
      <c r="AD429" s="14">
        <v>35670000</v>
      </c>
      <c r="AE429" s="14">
        <v>8721000</v>
      </c>
      <c r="AF429" s="14">
        <v>0</v>
      </c>
      <c r="AG429" s="759">
        <f t="shared" si="232"/>
        <v>924737500</v>
      </c>
      <c r="AH429" s="788"/>
      <c r="AI429" s="827">
        <v>69484500</v>
      </c>
      <c r="AJ429" s="810"/>
      <c r="AK429" s="758">
        <v>40763000</v>
      </c>
      <c r="AL429" s="758">
        <v>468141500</v>
      </c>
      <c r="AM429" s="758">
        <v>110605000</v>
      </c>
      <c r="AN429" s="758">
        <v>291960000</v>
      </c>
      <c r="AO429" s="758">
        <v>30950000</v>
      </c>
      <c r="AP429" s="758">
        <v>8100000</v>
      </c>
      <c r="AQ429" s="518">
        <v>0</v>
      </c>
      <c r="AR429" s="518">
        <v>25267600</v>
      </c>
      <c r="AS429" s="518">
        <v>9403500</v>
      </c>
      <c r="AT429" s="518">
        <v>0</v>
      </c>
      <c r="AU429" s="794">
        <f>60000000</f>
        <v>60000000</v>
      </c>
      <c r="AV429" s="794">
        <f>70000000</f>
        <v>70000000</v>
      </c>
      <c r="AW429" s="794">
        <f>AV429</f>
        <v>70000000</v>
      </c>
      <c r="AX429" s="518">
        <f t="shared" si="233"/>
        <v>1054675100</v>
      </c>
      <c r="AY429" s="788"/>
      <c r="AZ429" s="827">
        <v>69484500</v>
      </c>
      <c r="BA429" s="810"/>
      <c r="BB429" s="758">
        <v>40763000</v>
      </c>
      <c r="BC429" s="758">
        <v>468141500</v>
      </c>
      <c r="BD429" s="758">
        <v>110605000</v>
      </c>
      <c r="BE429" s="758">
        <v>291960000</v>
      </c>
      <c r="BF429" s="758">
        <v>30950000</v>
      </c>
      <c r="BG429" s="518">
        <f t="shared" si="234"/>
        <v>8100000</v>
      </c>
      <c r="BH429" s="758">
        <v>10000000</v>
      </c>
      <c r="BI429" s="758">
        <v>40000000</v>
      </c>
      <c r="BJ429" s="758">
        <v>50000000</v>
      </c>
      <c r="BK429" s="758">
        <v>30000000</v>
      </c>
      <c r="BL429" s="759">
        <f t="shared" si="235"/>
        <v>1150004000</v>
      </c>
      <c r="BN429" s="758"/>
      <c r="BO429" s="758">
        <f>300000000</f>
        <v>300000000</v>
      </c>
      <c r="BP429" s="758">
        <f>300000000</f>
        <v>300000000</v>
      </c>
      <c r="BQ429" s="758">
        <f>300000000</f>
        <v>300000000</v>
      </c>
      <c r="BR429" s="758">
        <v>0</v>
      </c>
      <c r="BS429" s="758"/>
      <c r="BT429" s="758"/>
      <c r="BU429" s="758"/>
      <c r="BV429" s="758">
        <f>70000000</f>
        <v>70000000</v>
      </c>
      <c r="BW429" s="758">
        <v>70000000</v>
      </c>
      <c r="BX429" s="758">
        <v>70000000</v>
      </c>
      <c r="BY429" s="758">
        <v>70000000</v>
      </c>
      <c r="BZ429" s="791">
        <v>1180000000</v>
      </c>
      <c r="CB429" s="758"/>
      <c r="CC429" s="758">
        <f>300000000</f>
        <v>300000000</v>
      </c>
      <c r="CD429" s="758">
        <f>300000000</f>
        <v>300000000</v>
      </c>
      <c r="CE429" s="758">
        <f>300000000</f>
        <v>300000000</v>
      </c>
      <c r="CF429" s="758">
        <v>0</v>
      </c>
      <c r="CG429" s="758"/>
      <c r="CH429" s="758"/>
      <c r="CI429" s="758"/>
      <c r="CJ429" s="758">
        <f>70000000</f>
        <v>70000000</v>
      </c>
      <c r="CK429" s="758">
        <v>70000000</v>
      </c>
      <c r="CL429" s="758">
        <v>70000000</v>
      </c>
      <c r="CM429" s="758">
        <v>70000000</v>
      </c>
      <c r="CN429" s="791">
        <v>1180000000</v>
      </c>
      <c r="CP429" s="653">
        <v>55985000</v>
      </c>
      <c r="CQ429" s="653">
        <v>53975000</v>
      </c>
      <c r="CR429" s="524">
        <v>18000000</v>
      </c>
      <c r="CS429" s="653">
        <v>14535000</v>
      </c>
      <c r="CT429" s="524">
        <v>50000000</v>
      </c>
      <c r="CU429" s="653">
        <v>289269600</v>
      </c>
      <c r="CV429" s="524">
        <v>70000000</v>
      </c>
      <c r="CW429" s="653">
        <v>129864800</v>
      </c>
      <c r="CX429" s="524">
        <v>55000000</v>
      </c>
      <c r="CY429" s="653">
        <v>297022600</v>
      </c>
      <c r="CZ429" s="524">
        <v>75000000</v>
      </c>
      <c r="DA429" s="653">
        <v>419119300</v>
      </c>
      <c r="DB429" s="524">
        <v>0</v>
      </c>
      <c r="DC429" s="653">
        <v>60865600</v>
      </c>
      <c r="DD429" s="524">
        <v>0</v>
      </c>
      <c r="DE429" s="758"/>
      <c r="DF429" s="524">
        <v>0</v>
      </c>
      <c r="DG429" s="757">
        <v>0</v>
      </c>
      <c r="DH429" s="758"/>
      <c r="DI429" s="524">
        <v>0</v>
      </c>
      <c r="DJ429" s="757">
        <v>0</v>
      </c>
      <c r="DK429" s="758"/>
      <c r="DL429" s="524">
        <v>100000000</v>
      </c>
      <c r="DM429" s="757">
        <v>100000000</v>
      </c>
      <c r="DN429" s="758"/>
      <c r="DO429" s="524">
        <v>100000000</v>
      </c>
      <c r="DP429" s="757">
        <v>100000000</v>
      </c>
      <c r="DQ429" s="493">
        <f t="shared" si="220"/>
        <v>1520636900</v>
      </c>
      <c r="DR429" s="479">
        <f t="shared" si="221"/>
        <v>1520636900</v>
      </c>
      <c r="DS429" s="1168">
        <v>151000000</v>
      </c>
      <c r="DT429" s="1169">
        <v>151000000</v>
      </c>
      <c r="DU429" s="1169">
        <v>151000000</v>
      </c>
      <c r="DV429" s="1169">
        <v>151000000</v>
      </c>
      <c r="DW429" s="1169">
        <v>151000000</v>
      </c>
      <c r="DX429" s="1169">
        <v>151000000</v>
      </c>
      <c r="DY429" s="1169">
        <v>151000000</v>
      </c>
      <c r="DZ429" s="1169">
        <v>151000000</v>
      </c>
      <c r="EA429" s="1169">
        <v>151000000</v>
      </c>
      <c r="EB429" s="1169">
        <v>151000000</v>
      </c>
      <c r="EC429" s="1169">
        <v>151000000</v>
      </c>
      <c r="ED429" s="1169">
        <v>151000000</v>
      </c>
      <c r="EE429" s="1130">
        <v>1812000000</v>
      </c>
      <c r="EF429" s="1087">
        <v>2120040000</v>
      </c>
      <c r="EG429" s="1087">
        <v>2289643200</v>
      </c>
      <c r="EH429" s="1087">
        <v>2400000000</v>
      </c>
      <c r="EI429" s="1087">
        <v>2400000000</v>
      </c>
      <c r="EJ429" s="367">
        <v>3000017758</v>
      </c>
    </row>
    <row r="430" spans="1:141" s="259" customFormat="1" ht="18.5" outlineLevel="2">
      <c r="A430" s="406"/>
      <c r="B430" s="407"/>
      <c r="C430" s="408"/>
      <c r="D430" s="408"/>
      <c r="E430" s="395" t="s">
        <v>474</v>
      </c>
      <c r="F430" s="409"/>
      <c r="G430" s="260"/>
      <c r="H430" s="260"/>
      <c r="I430" s="260"/>
      <c r="J430" s="260"/>
      <c r="K430" s="260"/>
      <c r="L430" s="260"/>
      <c r="M430" s="260"/>
      <c r="N430" s="260"/>
      <c r="O430" s="260"/>
      <c r="P430" s="260"/>
      <c r="Q430" s="260"/>
      <c r="R430" s="260"/>
      <c r="S430" s="261"/>
      <c r="T430" s="262"/>
      <c r="U430" s="260"/>
      <c r="V430" s="260"/>
      <c r="W430" s="260"/>
      <c r="X430" s="260"/>
      <c r="Y430" s="260"/>
      <c r="Z430" s="260"/>
      <c r="AA430" s="260"/>
      <c r="AB430" s="260"/>
      <c r="AC430" s="260"/>
      <c r="AD430" s="260"/>
      <c r="AE430" s="260"/>
      <c r="AF430" s="260"/>
      <c r="AG430" s="835"/>
      <c r="AH430" s="836"/>
      <c r="AI430" s="837"/>
      <c r="AJ430" s="838"/>
      <c r="AK430" s="835"/>
      <c r="AL430" s="835"/>
      <c r="AM430" s="835"/>
      <c r="AN430" s="835"/>
      <c r="AO430" s="835"/>
      <c r="AP430" s="835"/>
      <c r="AQ430" s="835"/>
      <c r="AR430" s="835"/>
      <c r="AS430" s="835"/>
      <c r="AT430" s="835"/>
      <c r="AU430" s="835"/>
      <c r="AV430" s="835"/>
      <c r="AW430" s="835"/>
      <c r="AX430" s="835"/>
      <c r="AY430" s="836"/>
      <c r="AZ430" s="837"/>
      <c r="BA430" s="838"/>
      <c r="BB430" s="835"/>
      <c r="BC430" s="835"/>
      <c r="BD430" s="835"/>
      <c r="BE430" s="835"/>
      <c r="BF430" s="835"/>
      <c r="BG430" s="835"/>
      <c r="BH430" s="835"/>
      <c r="BI430" s="835"/>
      <c r="BJ430" s="835"/>
      <c r="BK430" s="835"/>
      <c r="BL430" s="835"/>
      <c r="BM430" s="839"/>
      <c r="BN430" s="467">
        <f t="shared" ref="BN430:BZ430" si="241">BN434</f>
        <v>0</v>
      </c>
      <c r="BO430" s="467">
        <f t="shared" si="241"/>
        <v>0</v>
      </c>
      <c r="BP430" s="467">
        <f t="shared" si="241"/>
        <v>0</v>
      </c>
      <c r="BQ430" s="467">
        <f t="shared" si="241"/>
        <v>0</v>
      </c>
      <c r="BR430" s="467">
        <f t="shared" si="241"/>
        <v>0</v>
      </c>
      <c r="BS430" s="467">
        <f t="shared" si="241"/>
        <v>0</v>
      </c>
      <c r="BT430" s="467">
        <f t="shared" si="241"/>
        <v>0</v>
      </c>
      <c r="BU430" s="467">
        <f t="shared" si="241"/>
        <v>0</v>
      </c>
      <c r="BV430" s="467">
        <f t="shared" si="241"/>
        <v>0</v>
      </c>
      <c r="BW430" s="467">
        <f t="shared" si="241"/>
        <v>0</v>
      </c>
      <c r="BX430" s="467">
        <f t="shared" si="241"/>
        <v>0</v>
      </c>
      <c r="BY430" s="467">
        <f t="shared" si="241"/>
        <v>0</v>
      </c>
      <c r="BZ430" s="467">
        <f t="shared" si="241"/>
        <v>0</v>
      </c>
      <c r="CA430" s="3"/>
      <c r="CB430" s="467">
        <f t="shared" ref="CB430:CN430" si="242">CB434</f>
        <v>0</v>
      </c>
      <c r="CC430" s="467">
        <f t="shared" si="242"/>
        <v>0</v>
      </c>
      <c r="CD430" s="467">
        <f t="shared" si="242"/>
        <v>0</v>
      </c>
      <c r="CE430" s="467">
        <f t="shared" si="242"/>
        <v>0</v>
      </c>
      <c r="CF430" s="467">
        <f t="shared" si="242"/>
        <v>0</v>
      </c>
      <c r="CG430" s="467">
        <f t="shared" si="242"/>
        <v>0</v>
      </c>
      <c r="CH430" s="467">
        <f t="shared" si="242"/>
        <v>0</v>
      </c>
      <c r="CI430" s="467">
        <f t="shared" si="242"/>
        <v>0</v>
      </c>
      <c r="CJ430" s="467">
        <f t="shared" si="242"/>
        <v>0</v>
      </c>
      <c r="CK430" s="467">
        <f t="shared" si="242"/>
        <v>0</v>
      </c>
      <c r="CL430" s="467">
        <f t="shared" si="242"/>
        <v>0</v>
      </c>
      <c r="CM430" s="467">
        <f t="shared" si="242"/>
        <v>0</v>
      </c>
      <c r="CN430" s="467">
        <f t="shared" si="242"/>
        <v>0</v>
      </c>
      <c r="CO430" s="839"/>
      <c r="CP430" s="467">
        <f t="shared" ref="CP430:CX430" si="243">CP434</f>
        <v>0</v>
      </c>
      <c r="CQ430" s="467">
        <f t="shared" si="243"/>
        <v>1100000</v>
      </c>
      <c r="CR430" s="467">
        <f t="shared" si="243"/>
        <v>0</v>
      </c>
      <c r="CS430" s="467">
        <f t="shared" si="243"/>
        <v>0</v>
      </c>
      <c r="CT430" s="467">
        <f t="shared" si="243"/>
        <v>0</v>
      </c>
      <c r="CU430" s="467">
        <f t="shared" si="243"/>
        <v>0</v>
      </c>
      <c r="CV430" s="467">
        <f t="shared" si="243"/>
        <v>0</v>
      </c>
      <c r="CW430" s="467">
        <f t="shared" si="243"/>
        <v>0</v>
      </c>
      <c r="CX430" s="467">
        <f t="shared" si="243"/>
        <v>0</v>
      </c>
      <c r="CY430" s="467">
        <f>SUM(CY431:CY434)</f>
        <v>17234000</v>
      </c>
      <c r="CZ430" s="467">
        <f t="shared" ref="CZ430:DP430" si="244">CZ434</f>
        <v>10000000</v>
      </c>
      <c r="DA430" s="467">
        <f t="shared" si="244"/>
        <v>4700000</v>
      </c>
      <c r="DB430" s="467">
        <f t="shared" si="244"/>
        <v>10000000</v>
      </c>
      <c r="DC430" s="467">
        <f>SUM(DC431:DC434)</f>
        <v>26200000</v>
      </c>
      <c r="DD430" s="467">
        <f t="shared" si="244"/>
        <v>10000000</v>
      </c>
      <c r="DE430" s="467">
        <f t="shared" si="244"/>
        <v>0</v>
      </c>
      <c r="DF430" s="467">
        <f>DF434</f>
        <v>10000000</v>
      </c>
      <c r="DG430" s="467">
        <f t="shared" si="244"/>
        <v>10000000</v>
      </c>
      <c r="DH430" s="467">
        <f t="shared" si="244"/>
        <v>0</v>
      </c>
      <c r="DI430" s="467">
        <f>DI434</f>
        <v>10000000</v>
      </c>
      <c r="DJ430" s="467">
        <f t="shared" si="244"/>
        <v>10000000</v>
      </c>
      <c r="DK430" s="467">
        <f t="shared" si="244"/>
        <v>0</v>
      </c>
      <c r="DL430" s="467">
        <f>DL434</f>
        <v>10000000</v>
      </c>
      <c r="DM430" s="467">
        <f>DM434</f>
        <v>10000000</v>
      </c>
      <c r="DN430" s="467">
        <f t="shared" si="244"/>
        <v>0</v>
      </c>
      <c r="DO430" s="467">
        <f>DO434</f>
        <v>10000000</v>
      </c>
      <c r="DP430" s="467">
        <f t="shared" si="244"/>
        <v>10000000</v>
      </c>
      <c r="DQ430" s="467">
        <f>SUM(DQ431:DQ434)</f>
        <v>89234000</v>
      </c>
      <c r="DR430" s="467">
        <f>SUM(DR431:DR434)</f>
        <v>89234000</v>
      </c>
      <c r="DS430" s="444">
        <f>SUM(DS431:DS434)</f>
        <v>12600000</v>
      </c>
      <c r="DT430" s="444">
        <f t="shared" ref="DT430:EI430" si="245">SUM(DT431:DT434)</f>
        <v>12600000</v>
      </c>
      <c r="DU430" s="444">
        <f t="shared" si="245"/>
        <v>12600000</v>
      </c>
      <c r="DV430" s="444">
        <f t="shared" si="245"/>
        <v>12600000</v>
      </c>
      <c r="DW430" s="444">
        <f t="shared" si="245"/>
        <v>12600000</v>
      </c>
      <c r="DX430" s="444">
        <f t="shared" si="245"/>
        <v>12600000</v>
      </c>
      <c r="DY430" s="444">
        <f t="shared" si="245"/>
        <v>12600000</v>
      </c>
      <c r="DZ430" s="444">
        <f t="shared" si="245"/>
        <v>12600000</v>
      </c>
      <c r="EA430" s="444">
        <f t="shared" si="245"/>
        <v>12600000</v>
      </c>
      <c r="EB430" s="444">
        <f t="shared" si="245"/>
        <v>12600000</v>
      </c>
      <c r="EC430" s="444">
        <f t="shared" si="245"/>
        <v>12600000</v>
      </c>
      <c r="ED430" s="444">
        <f t="shared" si="245"/>
        <v>12600000</v>
      </c>
      <c r="EE430" s="1125">
        <f t="shared" si="245"/>
        <v>151200000</v>
      </c>
      <c r="EF430" s="444">
        <f t="shared" si="245"/>
        <v>0</v>
      </c>
      <c r="EG430" s="444">
        <f t="shared" si="245"/>
        <v>0</v>
      </c>
      <c r="EH430" s="444">
        <f t="shared" si="245"/>
        <v>0</v>
      </c>
      <c r="EI430" s="444">
        <f t="shared" si="245"/>
        <v>0</v>
      </c>
      <c r="EJ430" s="406"/>
      <c r="EK430" s="406"/>
    </row>
    <row r="431" spans="1:141" s="272" customFormat="1" outlineLevel="2">
      <c r="A431" s="410"/>
      <c r="B431" s="405"/>
      <c r="C431" s="370" t="s">
        <v>358</v>
      </c>
      <c r="D431" s="370" t="s">
        <v>108</v>
      </c>
      <c r="E431" s="411" t="s">
        <v>675</v>
      </c>
      <c r="F431" s="412" t="s">
        <v>676</v>
      </c>
      <c r="G431" s="273"/>
      <c r="H431" s="273"/>
      <c r="I431" s="273"/>
      <c r="J431" s="273"/>
      <c r="K431" s="273"/>
      <c r="L431" s="273"/>
      <c r="M431" s="273"/>
      <c r="N431" s="273"/>
      <c r="O431" s="273"/>
      <c r="P431" s="273"/>
      <c r="Q431" s="273"/>
      <c r="R431" s="273"/>
      <c r="S431" s="274"/>
      <c r="T431" s="275"/>
      <c r="U431" s="273"/>
      <c r="V431" s="273"/>
      <c r="W431" s="273"/>
      <c r="X431" s="273"/>
      <c r="Y431" s="273"/>
      <c r="Z431" s="273"/>
      <c r="AA431" s="273"/>
      <c r="AB431" s="273"/>
      <c r="AC431" s="273"/>
      <c r="AD431" s="273"/>
      <c r="AE431" s="273"/>
      <c r="AF431" s="273"/>
      <c r="AG431" s="840"/>
      <c r="AH431" s="892"/>
      <c r="AI431" s="841"/>
      <c r="AJ431" s="842"/>
      <c r="AK431" s="840"/>
      <c r="AL431" s="840"/>
      <c r="AM431" s="840"/>
      <c r="AN431" s="840"/>
      <c r="AO431" s="840"/>
      <c r="AP431" s="840"/>
      <c r="AQ431" s="840"/>
      <c r="AR431" s="840"/>
      <c r="AS431" s="840"/>
      <c r="AT431" s="840"/>
      <c r="AU431" s="840"/>
      <c r="AV431" s="840"/>
      <c r="AW431" s="840"/>
      <c r="AX431" s="840"/>
      <c r="AY431" s="892"/>
      <c r="AZ431" s="841"/>
      <c r="BA431" s="842"/>
      <c r="BB431" s="840"/>
      <c r="BC431" s="840"/>
      <c r="BD431" s="840"/>
      <c r="BE431" s="840"/>
      <c r="BF431" s="840"/>
      <c r="BG431" s="840"/>
      <c r="BH431" s="840"/>
      <c r="BI431" s="840"/>
      <c r="BJ431" s="840"/>
      <c r="BK431" s="840"/>
      <c r="BL431" s="840"/>
      <c r="BM431" s="843"/>
      <c r="BN431" s="474"/>
      <c r="BO431" s="474"/>
      <c r="BP431" s="474"/>
      <c r="BQ431" s="474"/>
      <c r="BR431" s="474"/>
      <c r="BS431" s="474"/>
      <c r="BT431" s="474"/>
      <c r="BU431" s="474"/>
      <c r="BV431" s="474"/>
      <c r="BW431" s="474"/>
      <c r="BX431" s="474"/>
      <c r="BY431" s="474"/>
      <c r="BZ431" s="474"/>
      <c r="CA431" s="3"/>
      <c r="CB431" s="474"/>
      <c r="CC431" s="474"/>
      <c r="CD431" s="474"/>
      <c r="CE431" s="474"/>
      <c r="CF431" s="474"/>
      <c r="CG431" s="474"/>
      <c r="CH431" s="474"/>
      <c r="CI431" s="474"/>
      <c r="CJ431" s="474"/>
      <c r="CK431" s="474"/>
      <c r="CL431" s="474"/>
      <c r="CM431" s="474"/>
      <c r="CN431" s="474"/>
      <c r="CO431" s="843"/>
      <c r="CP431" s="654"/>
      <c r="CQ431" s="654"/>
      <c r="CR431" s="474"/>
      <c r="CS431" s="654"/>
      <c r="CT431" s="474"/>
      <c r="CU431" s="654"/>
      <c r="CV431" s="474"/>
      <c r="CW431" s="654"/>
      <c r="CX431" s="474"/>
      <c r="CY431" s="654">
        <v>4034000</v>
      </c>
      <c r="CZ431" s="474"/>
      <c r="DA431" s="654"/>
      <c r="DB431" s="474"/>
      <c r="DC431" s="654">
        <v>0</v>
      </c>
      <c r="DD431" s="474"/>
      <c r="DE431" s="474"/>
      <c r="DF431" s="474"/>
      <c r="DG431" s="474"/>
      <c r="DH431" s="474"/>
      <c r="DI431" s="474"/>
      <c r="DJ431" s="474"/>
      <c r="DK431" s="474"/>
      <c r="DL431" s="474"/>
      <c r="DM431" s="474"/>
      <c r="DN431" s="474"/>
      <c r="DO431" s="474"/>
      <c r="DP431" s="474"/>
      <c r="DQ431" s="493">
        <f>SUM(CP431,CQ431,CS431,CU431,CW431,CY431,DA431,DC431,DF431,DI431,DL431,DO431)</f>
        <v>4034000</v>
      </c>
      <c r="DR431" s="479">
        <f t="shared" si="221"/>
        <v>4034000</v>
      </c>
      <c r="DS431" s="1170" t="s">
        <v>670</v>
      </c>
      <c r="DT431" s="1171" t="s">
        <v>670</v>
      </c>
      <c r="DU431" s="1171" t="s">
        <v>670</v>
      </c>
      <c r="DV431" s="1171" t="s">
        <v>670</v>
      </c>
      <c r="DW431" s="1171" t="s">
        <v>670</v>
      </c>
      <c r="DX431" s="1171" t="s">
        <v>670</v>
      </c>
      <c r="DY431" s="1171" t="s">
        <v>670</v>
      </c>
      <c r="DZ431" s="1171" t="s">
        <v>670</v>
      </c>
      <c r="EA431" s="1171" t="s">
        <v>670</v>
      </c>
      <c r="EB431" s="1171" t="s">
        <v>670</v>
      </c>
      <c r="EC431" s="1171" t="s">
        <v>670</v>
      </c>
      <c r="ED431" s="1171" t="s">
        <v>670</v>
      </c>
      <c r="EE431" s="1131" t="s">
        <v>677</v>
      </c>
      <c r="EF431" s="1089" t="s">
        <v>670</v>
      </c>
      <c r="EG431" s="1089" t="s">
        <v>670</v>
      </c>
      <c r="EH431" s="1089" t="s">
        <v>670</v>
      </c>
      <c r="EI431" s="1089" t="s">
        <v>670</v>
      </c>
      <c r="EJ431" s="410"/>
      <c r="EK431" s="410"/>
    </row>
    <row r="432" spans="1:141" s="272" customFormat="1" outlineLevel="2">
      <c r="A432" s="410"/>
      <c r="B432" s="405"/>
      <c r="C432" s="370" t="s">
        <v>358</v>
      </c>
      <c r="D432" s="370" t="s">
        <v>108</v>
      </c>
      <c r="E432" s="411"/>
      <c r="F432" s="412" t="s">
        <v>678</v>
      </c>
      <c r="G432" s="273"/>
      <c r="H432" s="273"/>
      <c r="I432" s="273"/>
      <c r="J432" s="273"/>
      <c r="K432" s="273"/>
      <c r="L432" s="273"/>
      <c r="M432" s="273"/>
      <c r="N432" s="273"/>
      <c r="O432" s="273"/>
      <c r="P432" s="273"/>
      <c r="Q432" s="273"/>
      <c r="R432" s="273"/>
      <c r="S432" s="274"/>
      <c r="T432" s="275"/>
      <c r="U432" s="273"/>
      <c r="V432" s="273"/>
      <c r="W432" s="273"/>
      <c r="X432" s="273"/>
      <c r="Y432" s="273"/>
      <c r="Z432" s="273"/>
      <c r="AA432" s="273"/>
      <c r="AB432" s="273"/>
      <c r="AC432" s="273"/>
      <c r="AD432" s="273"/>
      <c r="AE432" s="273"/>
      <c r="AF432" s="273"/>
      <c r="AG432" s="840"/>
      <c r="AH432" s="892"/>
      <c r="AI432" s="841"/>
      <c r="AJ432" s="842"/>
      <c r="AK432" s="840"/>
      <c r="AL432" s="840"/>
      <c r="AM432" s="840"/>
      <c r="AN432" s="840"/>
      <c r="AO432" s="840"/>
      <c r="AP432" s="840"/>
      <c r="AQ432" s="840"/>
      <c r="AR432" s="840"/>
      <c r="AS432" s="840"/>
      <c r="AT432" s="840"/>
      <c r="AU432" s="840"/>
      <c r="AV432" s="840"/>
      <c r="AW432" s="840"/>
      <c r="AX432" s="840"/>
      <c r="AY432" s="892"/>
      <c r="AZ432" s="841"/>
      <c r="BA432" s="842"/>
      <c r="BB432" s="840"/>
      <c r="BC432" s="840"/>
      <c r="BD432" s="840"/>
      <c r="BE432" s="840"/>
      <c r="BF432" s="840"/>
      <c r="BG432" s="840"/>
      <c r="BH432" s="840"/>
      <c r="BI432" s="840"/>
      <c r="BJ432" s="840"/>
      <c r="BK432" s="840"/>
      <c r="BL432" s="840"/>
      <c r="BM432" s="843"/>
      <c r="BN432" s="474"/>
      <c r="BO432" s="474"/>
      <c r="BP432" s="474"/>
      <c r="BQ432" s="474"/>
      <c r="BR432" s="474"/>
      <c r="BS432" s="474"/>
      <c r="BT432" s="474"/>
      <c r="BU432" s="474"/>
      <c r="BV432" s="474"/>
      <c r="BW432" s="474"/>
      <c r="BX432" s="474"/>
      <c r="BY432" s="474"/>
      <c r="BZ432" s="474"/>
      <c r="CA432" s="3"/>
      <c r="CB432" s="474"/>
      <c r="CC432" s="474"/>
      <c r="CD432" s="474"/>
      <c r="CE432" s="474"/>
      <c r="CF432" s="474"/>
      <c r="CG432" s="474"/>
      <c r="CH432" s="474"/>
      <c r="CI432" s="474"/>
      <c r="CJ432" s="474"/>
      <c r="CK432" s="474"/>
      <c r="CL432" s="474"/>
      <c r="CM432" s="474"/>
      <c r="CN432" s="474"/>
      <c r="CO432" s="843"/>
      <c r="CP432" s="654"/>
      <c r="CQ432" s="654"/>
      <c r="CR432" s="474"/>
      <c r="CS432" s="654"/>
      <c r="CT432" s="474"/>
      <c r="CU432" s="654"/>
      <c r="CV432" s="474"/>
      <c r="CW432" s="654"/>
      <c r="CX432" s="474"/>
      <c r="CY432" s="654">
        <v>2600000</v>
      </c>
      <c r="CZ432" s="474"/>
      <c r="DA432" s="654"/>
      <c r="DB432" s="474"/>
      <c r="DC432" s="654">
        <v>0</v>
      </c>
      <c r="DD432" s="474"/>
      <c r="DE432" s="474"/>
      <c r="DF432" s="474"/>
      <c r="DG432" s="474"/>
      <c r="DH432" s="474"/>
      <c r="DI432" s="474"/>
      <c r="DJ432" s="474"/>
      <c r="DK432" s="474"/>
      <c r="DL432" s="474"/>
      <c r="DM432" s="474"/>
      <c r="DN432" s="474"/>
      <c r="DO432" s="474"/>
      <c r="DP432" s="474"/>
      <c r="DQ432" s="493">
        <f t="shared" ref="DQ432:DQ439" si="246">SUM(CP432,CQ432,CS432,CU432,CW432,CY432,DA432,DC432,DF432,DI432,DL432,DO432)</f>
        <v>2600000</v>
      </c>
      <c r="DR432" s="479">
        <f t="shared" si="221"/>
        <v>2600000</v>
      </c>
      <c r="DS432" s="1016"/>
      <c r="DT432" s="1016"/>
      <c r="DU432" s="1016"/>
      <c r="DV432" s="1016"/>
      <c r="DW432" s="1016"/>
      <c r="DX432" s="1016"/>
      <c r="DY432" s="1016"/>
      <c r="DZ432" s="1016"/>
      <c r="EA432" s="1016"/>
      <c r="EB432" s="1016"/>
      <c r="EC432" s="1016"/>
      <c r="ED432" s="1016"/>
      <c r="EE432" s="1119">
        <f>SUM(DS432,DT432,DU432,DV432,DW432,DX432,DY432,DZ432,EA432,EB432,EC432,ED432)</f>
        <v>0</v>
      </c>
      <c r="EF432" s="449"/>
      <c r="EG432" s="449"/>
      <c r="EH432" s="449"/>
      <c r="EI432" s="449"/>
      <c r="EJ432" s="410"/>
      <c r="EK432" s="410"/>
    </row>
    <row r="433" spans="1:144" s="272" customFormat="1" outlineLevel="2">
      <c r="A433" s="410"/>
      <c r="B433" s="405"/>
      <c r="C433" s="370" t="s">
        <v>358</v>
      </c>
      <c r="D433" s="370" t="s">
        <v>108</v>
      </c>
      <c r="E433" s="411" t="s">
        <v>202</v>
      </c>
      <c r="F433" s="412" t="s">
        <v>679</v>
      </c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274"/>
      <c r="T433" s="275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840"/>
      <c r="AH433" s="892"/>
      <c r="AI433" s="841"/>
      <c r="AJ433" s="842"/>
      <c r="AK433" s="840"/>
      <c r="AL433" s="840"/>
      <c r="AM433" s="840"/>
      <c r="AN433" s="840"/>
      <c r="AO433" s="840"/>
      <c r="AP433" s="840"/>
      <c r="AQ433" s="840"/>
      <c r="AR433" s="840"/>
      <c r="AS433" s="840"/>
      <c r="AT433" s="840"/>
      <c r="AU433" s="840"/>
      <c r="AV433" s="840"/>
      <c r="AW433" s="840"/>
      <c r="AX433" s="840"/>
      <c r="AY433" s="892"/>
      <c r="AZ433" s="841"/>
      <c r="BA433" s="842"/>
      <c r="BB433" s="840"/>
      <c r="BC433" s="840"/>
      <c r="BD433" s="840"/>
      <c r="BE433" s="840"/>
      <c r="BF433" s="840"/>
      <c r="BG433" s="840"/>
      <c r="BH433" s="840"/>
      <c r="BI433" s="840"/>
      <c r="BJ433" s="840"/>
      <c r="BK433" s="840"/>
      <c r="BL433" s="840"/>
      <c r="BM433" s="843"/>
      <c r="BN433" s="474"/>
      <c r="BO433" s="474"/>
      <c r="BP433" s="474"/>
      <c r="BQ433" s="474"/>
      <c r="BR433" s="474"/>
      <c r="BS433" s="474"/>
      <c r="BT433" s="474"/>
      <c r="BU433" s="474"/>
      <c r="BV433" s="474"/>
      <c r="BW433" s="474"/>
      <c r="BX433" s="474"/>
      <c r="BY433" s="474"/>
      <c r="BZ433" s="474"/>
      <c r="CA433" s="3"/>
      <c r="CB433" s="474"/>
      <c r="CC433" s="474"/>
      <c r="CD433" s="474"/>
      <c r="CE433" s="474"/>
      <c r="CF433" s="474"/>
      <c r="CG433" s="474"/>
      <c r="CH433" s="474"/>
      <c r="CI433" s="474"/>
      <c r="CJ433" s="474"/>
      <c r="CK433" s="474"/>
      <c r="CL433" s="474"/>
      <c r="CM433" s="474"/>
      <c r="CN433" s="474"/>
      <c r="CO433" s="843"/>
      <c r="CP433" s="654"/>
      <c r="CQ433" s="654"/>
      <c r="CR433" s="474"/>
      <c r="CS433" s="654"/>
      <c r="CT433" s="474"/>
      <c r="CU433" s="654"/>
      <c r="CV433" s="474"/>
      <c r="CW433" s="654"/>
      <c r="CX433" s="474"/>
      <c r="CY433" s="654"/>
      <c r="CZ433" s="474"/>
      <c r="DA433" s="654"/>
      <c r="DB433" s="474"/>
      <c r="DC433" s="654">
        <v>17600000</v>
      </c>
      <c r="DD433" s="474"/>
      <c r="DE433" s="474"/>
      <c r="DF433" s="474"/>
      <c r="DG433" s="474"/>
      <c r="DH433" s="474"/>
      <c r="DI433" s="474"/>
      <c r="DJ433" s="474"/>
      <c r="DK433" s="474"/>
      <c r="DL433" s="474"/>
      <c r="DM433" s="474"/>
      <c r="DN433" s="474"/>
      <c r="DO433" s="474"/>
      <c r="DP433" s="474"/>
      <c r="DQ433" s="493">
        <f t="shared" si="246"/>
        <v>17600000</v>
      </c>
      <c r="DR433" s="479">
        <f t="shared" si="221"/>
        <v>17600000</v>
      </c>
      <c r="DS433" s="1170">
        <v>6000000</v>
      </c>
      <c r="DT433" s="1171">
        <v>6000000</v>
      </c>
      <c r="DU433" s="1171">
        <v>6000000</v>
      </c>
      <c r="DV433" s="1171">
        <v>6000000</v>
      </c>
      <c r="DW433" s="1171">
        <v>6000000</v>
      </c>
      <c r="DX433" s="1171">
        <v>6000000</v>
      </c>
      <c r="DY433" s="1171">
        <v>6000000</v>
      </c>
      <c r="DZ433" s="1171">
        <v>6000000</v>
      </c>
      <c r="EA433" s="1171">
        <v>6000000</v>
      </c>
      <c r="EB433" s="1171">
        <v>6000000</v>
      </c>
      <c r="EC433" s="1171">
        <v>6000000</v>
      </c>
      <c r="ED433" s="1171">
        <v>6000000</v>
      </c>
      <c r="EE433" s="1132">
        <v>72000000</v>
      </c>
      <c r="EF433" s="1089" t="s">
        <v>670</v>
      </c>
      <c r="EG433" s="1089" t="s">
        <v>670</v>
      </c>
      <c r="EH433" s="1089" t="s">
        <v>670</v>
      </c>
      <c r="EI433" s="1089" t="s">
        <v>670</v>
      </c>
      <c r="EJ433" s="410"/>
      <c r="EK433" s="410"/>
    </row>
    <row r="434" spans="1:144" outlineLevel="2">
      <c r="A434" s="367" t="s">
        <v>242</v>
      </c>
      <c r="B434" s="378"/>
      <c r="C434" s="370" t="s">
        <v>358</v>
      </c>
      <c r="D434" s="370" t="s">
        <v>121</v>
      </c>
      <c r="E434" s="396" t="s">
        <v>680</v>
      </c>
      <c r="F434" s="380">
        <v>3000020661</v>
      </c>
      <c r="G434" s="188"/>
      <c r="H434" s="13"/>
      <c r="I434" s="185"/>
      <c r="J434" s="185"/>
      <c r="K434" s="185"/>
      <c r="L434" s="185"/>
      <c r="M434" s="185"/>
      <c r="N434" s="185"/>
      <c r="O434" s="7"/>
      <c r="P434" s="7"/>
      <c r="Q434" s="7"/>
      <c r="R434" s="7"/>
      <c r="S434" s="14"/>
      <c r="T434" s="179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759"/>
      <c r="AH434" s="788"/>
      <c r="AI434" s="827"/>
      <c r="AJ434" s="810"/>
      <c r="AK434" s="758"/>
      <c r="AL434" s="758"/>
      <c r="AM434" s="758"/>
      <c r="AN434" s="758"/>
      <c r="AO434" s="758"/>
      <c r="AP434" s="758"/>
      <c r="AQ434" s="518"/>
      <c r="AR434" s="518"/>
      <c r="AS434" s="518"/>
      <c r="AT434" s="518"/>
      <c r="AU434" s="794"/>
      <c r="AV434" s="794"/>
      <c r="AW434" s="794"/>
      <c r="AX434" s="518"/>
      <c r="AY434" s="788"/>
      <c r="AZ434" s="827"/>
      <c r="BA434" s="810"/>
      <c r="BB434" s="758"/>
      <c r="BC434" s="758"/>
      <c r="BD434" s="758"/>
      <c r="BE434" s="758"/>
      <c r="BF434" s="758"/>
      <c r="BG434" s="518"/>
      <c r="BH434" s="758"/>
      <c r="BI434" s="758"/>
      <c r="BJ434" s="758"/>
      <c r="BK434" s="758"/>
      <c r="BL434" s="759"/>
      <c r="BN434" s="758"/>
      <c r="BO434" s="758"/>
      <c r="BP434" s="758"/>
      <c r="BQ434" s="758"/>
      <c r="BR434" s="758"/>
      <c r="BS434" s="758"/>
      <c r="BT434" s="758"/>
      <c r="BU434" s="758"/>
      <c r="BV434" s="758"/>
      <c r="BW434" s="758"/>
      <c r="BX434" s="758"/>
      <c r="BY434" s="758"/>
      <c r="BZ434" s="791"/>
      <c r="CB434" s="758"/>
      <c r="CC434" s="758"/>
      <c r="CD434" s="758"/>
      <c r="CE434" s="758"/>
      <c r="CF434" s="758"/>
      <c r="CG434" s="758"/>
      <c r="CH434" s="758"/>
      <c r="CI434" s="758"/>
      <c r="CJ434" s="758"/>
      <c r="CK434" s="758"/>
      <c r="CL434" s="758"/>
      <c r="CM434" s="758"/>
      <c r="CN434" s="791"/>
      <c r="CP434" s="653"/>
      <c r="CQ434" s="653">
        <v>1100000</v>
      </c>
      <c r="CR434" s="524"/>
      <c r="CS434" s="653"/>
      <c r="CT434" s="524"/>
      <c r="CU434" s="653"/>
      <c r="CV434" s="524"/>
      <c r="CW434" s="653"/>
      <c r="CX434" s="524"/>
      <c r="CY434" s="653">
        <v>10600000</v>
      </c>
      <c r="CZ434" s="524">
        <v>10000000</v>
      </c>
      <c r="DA434" s="653">
        <v>4700000</v>
      </c>
      <c r="DB434" s="524">
        <v>10000000</v>
      </c>
      <c r="DC434" s="653">
        <v>8600000</v>
      </c>
      <c r="DD434" s="524">
        <v>10000000</v>
      </c>
      <c r="DE434" s="758"/>
      <c r="DF434" s="524">
        <v>10000000</v>
      </c>
      <c r="DG434" s="757">
        <v>10000000</v>
      </c>
      <c r="DH434" s="758"/>
      <c r="DI434" s="524">
        <v>10000000</v>
      </c>
      <c r="DJ434" s="757">
        <v>10000000</v>
      </c>
      <c r="DK434" s="758"/>
      <c r="DL434" s="524">
        <v>10000000</v>
      </c>
      <c r="DM434" s="757">
        <v>10000000</v>
      </c>
      <c r="DN434" s="758"/>
      <c r="DO434" s="524">
        <v>10000000</v>
      </c>
      <c r="DP434" s="757">
        <v>10000000</v>
      </c>
      <c r="DQ434" s="493">
        <f t="shared" si="246"/>
        <v>65000000</v>
      </c>
      <c r="DR434" s="479">
        <f t="shared" si="221"/>
        <v>65000000</v>
      </c>
      <c r="DS434" s="1168">
        <v>6600000</v>
      </c>
      <c r="DT434" s="1169">
        <v>6600000</v>
      </c>
      <c r="DU434" s="1169">
        <v>6600000</v>
      </c>
      <c r="DV434" s="1169">
        <v>6600000</v>
      </c>
      <c r="DW434" s="1169">
        <v>6600000</v>
      </c>
      <c r="DX434" s="1169">
        <v>6600000</v>
      </c>
      <c r="DY434" s="1169">
        <v>6600000</v>
      </c>
      <c r="DZ434" s="1169">
        <v>6600000</v>
      </c>
      <c r="EA434" s="1169">
        <v>6600000</v>
      </c>
      <c r="EB434" s="1169">
        <v>6600000</v>
      </c>
      <c r="EC434" s="1169">
        <v>6600000</v>
      </c>
      <c r="ED434" s="1169">
        <v>6600000</v>
      </c>
      <c r="EE434" s="1132">
        <v>79200000</v>
      </c>
      <c r="EF434" s="1088" t="s">
        <v>670</v>
      </c>
      <c r="EG434" s="1088" t="s">
        <v>670</v>
      </c>
      <c r="EH434" s="1088" t="s">
        <v>670</v>
      </c>
      <c r="EI434" s="1088" t="s">
        <v>670</v>
      </c>
      <c r="EJ434" s="367" t="e">
        <v>#N/A</v>
      </c>
    </row>
    <row r="435" spans="1:144" s="241" customFormat="1" ht="18.5" outlineLevel="2">
      <c r="A435" s="413"/>
      <c r="B435" s="414"/>
      <c r="C435" s="415"/>
      <c r="D435" s="415"/>
      <c r="E435" s="416" t="s">
        <v>531</v>
      </c>
      <c r="F435" s="417"/>
      <c r="G435" s="242"/>
      <c r="H435" s="242"/>
      <c r="I435" s="242"/>
      <c r="J435" s="242"/>
      <c r="K435" s="242"/>
      <c r="L435" s="242"/>
      <c r="M435" s="242"/>
      <c r="N435" s="242"/>
      <c r="O435" s="242"/>
      <c r="P435" s="242"/>
      <c r="Q435" s="242"/>
      <c r="R435" s="242"/>
      <c r="S435" s="243"/>
      <c r="T435" s="244"/>
      <c r="U435" s="242"/>
      <c r="V435" s="242"/>
      <c r="W435" s="242"/>
      <c r="X435" s="242"/>
      <c r="Y435" s="242"/>
      <c r="Z435" s="242"/>
      <c r="AA435" s="242"/>
      <c r="AB435" s="242"/>
      <c r="AC435" s="242"/>
      <c r="AD435" s="242"/>
      <c r="AE435" s="242"/>
      <c r="AF435" s="242"/>
      <c r="AG435" s="844"/>
      <c r="AH435" s="788"/>
      <c r="AI435" s="845"/>
      <c r="AJ435" s="846"/>
      <c r="AK435" s="844"/>
      <c r="AL435" s="844"/>
      <c r="AM435" s="844"/>
      <c r="AN435" s="844"/>
      <c r="AO435" s="844"/>
      <c r="AP435" s="844"/>
      <c r="AQ435" s="844"/>
      <c r="AR435" s="844"/>
      <c r="AS435" s="844"/>
      <c r="AT435" s="844"/>
      <c r="AU435" s="844"/>
      <c r="AV435" s="844"/>
      <c r="AW435" s="844"/>
      <c r="AX435" s="844"/>
      <c r="AY435" s="788"/>
      <c r="AZ435" s="845"/>
      <c r="BA435" s="846"/>
      <c r="BB435" s="844"/>
      <c r="BC435" s="844"/>
      <c r="BD435" s="844"/>
      <c r="BE435" s="844"/>
      <c r="BF435" s="844"/>
      <c r="BG435" s="844"/>
      <c r="BH435" s="844"/>
      <c r="BI435" s="844"/>
      <c r="BJ435" s="844"/>
      <c r="BK435" s="844"/>
      <c r="BL435" s="844"/>
      <c r="BM435" s="3"/>
      <c r="BN435" s="468">
        <f t="shared" ref="BN435:BY435" si="247">SUM(BN438:BN439)</f>
        <v>0</v>
      </c>
      <c r="BO435" s="468">
        <f t="shared" si="247"/>
        <v>0</v>
      </c>
      <c r="BP435" s="468">
        <f t="shared" si="247"/>
        <v>0</v>
      </c>
      <c r="BQ435" s="468">
        <f t="shared" si="247"/>
        <v>0</v>
      </c>
      <c r="BR435" s="468">
        <f t="shared" si="247"/>
        <v>0</v>
      </c>
      <c r="BS435" s="468">
        <f t="shared" si="247"/>
        <v>0</v>
      </c>
      <c r="BT435" s="468">
        <f t="shared" si="247"/>
        <v>0</v>
      </c>
      <c r="BU435" s="468">
        <f t="shared" si="247"/>
        <v>0</v>
      </c>
      <c r="BV435" s="468">
        <f t="shared" si="247"/>
        <v>0</v>
      </c>
      <c r="BW435" s="468">
        <f t="shared" si="247"/>
        <v>0</v>
      </c>
      <c r="BX435" s="468">
        <f t="shared" si="247"/>
        <v>0</v>
      </c>
      <c r="BY435" s="468">
        <f t="shared" si="247"/>
        <v>0</v>
      </c>
      <c r="BZ435" s="468">
        <f>SUM(BZ438:BZ439)</f>
        <v>0</v>
      </c>
      <c r="CA435" s="3"/>
      <c r="CB435" s="468">
        <f t="shared" ref="CB435:CN435" si="248">SUM(CB438:CB439)</f>
        <v>8200000</v>
      </c>
      <c r="CC435" s="468">
        <f t="shared" si="248"/>
        <v>8200000</v>
      </c>
      <c r="CD435" s="468">
        <f t="shared" si="248"/>
        <v>8200000</v>
      </c>
      <c r="CE435" s="468">
        <f t="shared" si="248"/>
        <v>8200000</v>
      </c>
      <c r="CF435" s="468">
        <f t="shared" si="248"/>
        <v>6970000</v>
      </c>
      <c r="CG435" s="468">
        <f t="shared" si="248"/>
        <v>8200000</v>
      </c>
      <c r="CH435" s="468">
        <f t="shared" si="248"/>
        <v>8200000</v>
      </c>
      <c r="CI435" s="468">
        <f t="shared" si="248"/>
        <v>8200000</v>
      </c>
      <c r="CJ435" s="468">
        <f t="shared" si="248"/>
        <v>8200000</v>
      </c>
      <c r="CK435" s="468">
        <f t="shared" si="248"/>
        <v>8200000</v>
      </c>
      <c r="CL435" s="468">
        <f t="shared" si="248"/>
        <v>8200000</v>
      </c>
      <c r="CM435" s="468">
        <f t="shared" si="248"/>
        <v>8200000</v>
      </c>
      <c r="CN435" s="468">
        <f t="shared" si="248"/>
        <v>97170000</v>
      </c>
      <c r="CO435" s="3"/>
      <c r="CP435" s="468">
        <f t="shared" ref="CP435:DP435" si="249">SUM(CP438:CP439)</f>
        <v>0</v>
      </c>
      <c r="CQ435" s="468">
        <f t="shared" si="249"/>
        <v>0</v>
      </c>
      <c r="CR435" s="468">
        <f t="shared" si="249"/>
        <v>0</v>
      </c>
      <c r="CS435" s="468">
        <f t="shared" si="249"/>
        <v>0</v>
      </c>
      <c r="CT435" s="468">
        <f t="shared" si="249"/>
        <v>0</v>
      </c>
      <c r="CU435" s="468">
        <f t="shared" si="249"/>
        <v>0</v>
      </c>
      <c r="CV435" s="468">
        <f t="shared" si="249"/>
        <v>14000000</v>
      </c>
      <c r="CW435" s="468">
        <f t="shared" si="249"/>
        <v>0</v>
      </c>
      <c r="CX435" s="468">
        <f t="shared" si="249"/>
        <v>14000000</v>
      </c>
      <c r="CY435" s="468">
        <f t="shared" si="249"/>
        <v>0</v>
      </c>
      <c r="CZ435" s="468">
        <f t="shared" si="249"/>
        <v>14000000</v>
      </c>
      <c r="DA435" s="468">
        <f t="shared" si="249"/>
        <v>0</v>
      </c>
      <c r="DB435" s="468">
        <f t="shared" si="249"/>
        <v>114000000</v>
      </c>
      <c r="DC435" s="468">
        <f t="shared" si="249"/>
        <v>0</v>
      </c>
      <c r="DD435" s="468">
        <f t="shared" si="249"/>
        <v>114000000</v>
      </c>
      <c r="DE435" s="468">
        <f t="shared" si="249"/>
        <v>0</v>
      </c>
      <c r="DF435" s="468">
        <f>SUM(DF438:DF439)</f>
        <v>114000000</v>
      </c>
      <c r="DG435" s="468">
        <f t="shared" si="249"/>
        <v>115000000</v>
      </c>
      <c r="DH435" s="468">
        <f t="shared" si="249"/>
        <v>0</v>
      </c>
      <c r="DI435" s="468">
        <f>SUM(DI438:DI439)</f>
        <v>100000000</v>
      </c>
      <c r="DJ435" s="468">
        <f t="shared" si="249"/>
        <v>115000000</v>
      </c>
      <c r="DK435" s="468">
        <f t="shared" si="249"/>
        <v>0</v>
      </c>
      <c r="DL435" s="468">
        <f>SUM(DL438:DL439)</f>
        <v>100000000</v>
      </c>
      <c r="DM435" s="468">
        <f>SUM(DM438:DM439)</f>
        <v>115000000</v>
      </c>
      <c r="DN435" s="468">
        <f t="shared" si="249"/>
        <v>0</v>
      </c>
      <c r="DO435" s="468">
        <f>SUM(DO438:DO439)</f>
        <v>114000000</v>
      </c>
      <c r="DP435" s="468">
        <f t="shared" si="249"/>
        <v>115000000</v>
      </c>
      <c r="DQ435" s="468">
        <f>SUM(DQ436:DQ439)</f>
        <v>428000000</v>
      </c>
      <c r="DR435" s="468">
        <f>SUM(DR436:DR439)</f>
        <v>716000000</v>
      </c>
      <c r="DS435" s="445">
        <f>SUM(DS436:DS439)</f>
        <v>10000000</v>
      </c>
      <c r="DT435" s="445">
        <f t="shared" ref="DT435:EI435" si="250">SUM(DT436:DT439)</f>
        <v>10000000</v>
      </c>
      <c r="DU435" s="445">
        <f t="shared" si="250"/>
        <v>10000000</v>
      </c>
      <c r="DV435" s="445">
        <f t="shared" si="250"/>
        <v>10000000</v>
      </c>
      <c r="DW435" s="445">
        <f t="shared" si="250"/>
        <v>10000000</v>
      </c>
      <c r="DX435" s="445">
        <f t="shared" si="250"/>
        <v>10000000</v>
      </c>
      <c r="DY435" s="445">
        <f t="shared" si="250"/>
        <v>10000000</v>
      </c>
      <c r="DZ435" s="445">
        <f t="shared" si="250"/>
        <v>10000000</v>
      </c>
      <c r="EA435" s="445">
        <f t="shared" si="250"/>
        <v>10000000</v>
      </c>
      <c r="EB435" s="445">
        <f t="shared" si="250"/>
        <v>10000000</v>
      </c>
      <c r="EC435" s="445">
        <f t="shared" si="250"/>
        <v>10000000</v>
      </c>
      <c r="ED435" s="445">
        <f t="shared" si="250"/>
        <v>10000000</v>
      </c>
      <c r="EE435" s="1120">
        <f t="shared" si="250"/>
        <v>120000000</v>
      </c>
      <c r="EF435" s="445">
        <f t="shared" si="250"/>
        <v>56160000</v>
      </c>
      <c r="EG435" s="445">
        <f t="shared" si="250"/>
        <v>60652800</v>
      </c>
      <c r="EH435" s="445">
        <f t="shared" si="250"/>
        <v>66111552</v>
      </c>
      <c r="EI435" s="445">
        <f t="shared" si="250"/>
        <v>72061592</v>
      </c>
      <c r="EJ435" s="413"/>
      <c r="EK435" s="413"/>
    </row>
    <row r="436" spans="1:144" outlineLevel="2">
      <c r="A436" s="367" t="s">
        <v>242</v>
      </c>
      <c r="B436" s="378"/>
      <c r="C436" s="370" t="s">
        <v>358</v>
      </c>
      <c r="D436" s="297" t="s">
        <v>121</v>
      </c>
      <c r="E436" s="1088" t="s">
        <v>246</v>
      </c>
      <c r="F436" s="380"/>
      <c r="G436" s="180"/>
      <c r="H436" s="1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181"/>
      <c r="U436" s="180"/>
      <c r="V436" s="13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181"/>
      <c r="AI436" s="180"/>
      <c r="AJ436" s="810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181"/>
      <c r="AZ436" s="180"/>
      <c r="BA436" s="810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N436" s="19"/>
      <c r="BO436" s="810"/>
      <c r="BP436" s="6"/>
      <c r="BQ436" s="6"/>
      <c r="BR436" s="6" t="s">
        <v>266</v>
      </c>
      <c r="BS436" s="6" t="s">
        <v>266</v>
      </c>
      <c r="BT436" s="6"/>
      <c r="BU436" s="6"/>
      <c r="BV436" s="6"/>
      <c r="BW436" s="6"/>
      <c r="BX436" s="6"/>
      <c r="BY436" s="6"/>
      <c r="BZ436" s="799"/>
      <c r="CB436" s="19"/>
      <c r="CC436" s="810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P436" s="649"/>
      <c r="CQ436" s="649"/>
      <c r="CR436" s="19"/>
      <c r="CS436" s="649"/>
      <c r="CT436" s="19"/>
      <c r="CU436" s="649"/>
      <c r="CV436" s="19"/>
      <c r="CW436" s="649"/>
      <c r="CX436" s="19"/>
      <c r="CY436" s="649">
        <v>0</v>
      </c>
      <c r="CZ436" s="19"/>
      <c r="DA436" s="649"/>
      <c r="DB436" s="19"/>
      <c r="DC436" s="649"/>
      <c r="DD436" s="19"/>
      <c r="DE436" s="6"/>
      <c r="DF436" s="19"/>
      <c r="DG436" s="752"/>
      <c r="DH436" s="6"/>
      <c r="DI436" s="19"/>
      <c r="DJ436" s="752"/>
      <c r="DK436" s="6"/>
      <c r="DL436" s="19"/>
      <c r="DM436" s="752"/>
      <c r="DN436" s="6"/>
      <c r="DO436" s="19"/>
      <c r="DP436" s="752"/>
      <c r="DQ436" s="493">
        <f t="shared" si="246"/>
        <v>0</v>
      </c>
      <c r="DR436" s="479">
        <f>SUM(CR436,CT436,CV436,CX436,CZ436,DB436,DD436,DG436,DJ436,DM436,DP436)</f>
        <v>0</v>
      </c>
      <c r="DS436" s="1170">
        <v>6000000</v>
      </c>
      <c r="DT436" s="1171">
        <v>6000000</v>
      </c>
      <c r="DU436" s="1171">
        <v>6000000</v>
      </c>
      <c r="DV436" s="1171">
        <v>6000000</v>
      </c>
      <c r="DW436" s="1171">
        <v>6000000</v>
      </c>
      <c r="DX436" s="1171">
        <v>6000000</v>
      </c>
      <c r="DY436" s="1171">
        <v>6000000</v>
      </c>
      <c r="DZ436" s="1171">
        <v>6000000</v>
      </c>
      <c r="EA436" s="1171">
        <v>6000000</v>
      </c>
      <c r="EB436" s="1171">
        <v>6000000</v>
      </c>
      <c r="EC436" s="1171">
        <v>6000000</v>
      </c>
      <c r="ED436" s="1171">
        <v>6000000</v>
      </c>
      <c r="EE436" s="1130">
        <v>72000000</v>
      </c>
      <c r="EF436" s="1088" t="s">
        <v>670</v>
      </c>
      <c r="EG436" s="1088" t="s">
        <v>670</v>
      </c>
      <c r="EH436" s="1088" t="s">
        <v>670</v>
      </c>
      <c r="EI436" s="1088" t="s">
        <v>670</v>
      </c>
      <c r="EJ436" s="367" t="e">
        <v>#N/A</v>
      </c>
    </row>
    <row r="437" spans="1:144" outlineLevel="2">
      <c r="A437" s="367" t="s">
        <v>242</v>
      </c>
      <c r="B437" s="378"/>
      <c r="C437" s="370" t="s">
        <v>358</v>
      </c>
      <c r="D437" s="297" t="s">
        <v>121</v>
      </c>
      <c r="E437" s="1088" t="s">
        <v>681</v>
      </c>
      <c r="F437" s="380"/>
      <c r="G437" s="180"/>
      <c r="H437" s="13"/>
      <c r="I437" s="6"/>
      <c r="J437" s="190"/>
      <c r="K437" s="185"/>
      <c r="L437" s="185"/>
      <c r="M437" s="185"/>
      <c r="N437" s="185"/>
      <c r="O437" s="7"/>
      <c r="P437" s="7"/>
      <c r="Q437" s="7"/>
      <c r="R437" s="7"/>
      <c r="S437" s="14">
        <f>SUM(G437,H437,I437,J437,K437,L437,M437,N437,O437,P437,Q437,R437)</f>
        <v>0</v>
      </c>
      <c r="T437" s="179"/>
      <c r="U437" s="180"/>
      <c r="V437" s="13"/>
      <c r="W437" s="6"/>
      <c r="X437" s="190"/>
      <c r="Y437" s="185"/>
      <c r="Z437" s="185"/>
      <c r="AA437" s="185"/>
      <c r="AB437" s="185"/>
      <c r="AC437" s="7"/>
      <c r="AD437" s="7"/>
      <c r="AE437" s="7"/>
      <c r="AF437" s="7"/>
      <c r="AG437" s="759">
        <f>SUM(U437,V437,W437,X437,Y437,Z437,AA437,AB437,AC437,AD437,AE437,AF437)</f>
        <v>0</v>
      </c>
      <c r="AH437" s="788"/>
      <c r="AI437" s="180"/>
      <c r="AJ437" s="810"/>
      <c r="AK437" s="6"/>
      <c r="AL437" s="834"/>
      <c r="AM437" s="758"/>
      <c r="AN437" s="758"/>
      <c r="AO437" s="758"/>
      <c r="AP437" s="758"/>
      <c r="AQ437" s="518">
        <v>0</v>
      </c>
      <c r="AR437" s="518"/>
      <c r="AS437" s="518"/>
      <c r="AT437" s="518"/>
      <c r="AU437" s="794"/>
      <c r="AV437" s="794"/>
      <c r="AW437" s="794"/>
      <c r="AX437" s="518">
        <f>SUM(AI437,AJ437,AK437,AL437,AM437,AN437,AO437,AP437,AQ437,AR437,AS437,AT437)</f>
        <v>0</v>
      </c>
      <c r="AY437" s="788"/>
      <c r="AZ437" s="180"/>
      <c r="BA437" s="810"/>
      <c r="BB437" s="6"/>
      <c r="BC437" s="834"/>
      <c r="BD437" s="758"/>
      <c r="BE437" s="758"/>
      <c r="BF437" s="758"/>
      <c r="BG437" s="518">
        <f>AP437</f>
        <v>0</v>
      </c>
      <c r="BH437" s="758">
        <v>100000000</v>
      </c>
      <c r="BI437" s="758">
        <v>100000000</v>
      </c>
      <c r="BJ437" s="758">
        <v>100000000</v>
      </c>
      <c r="BK437" s="758">
        <v>100000000</v>
      </c>
      <c r="BL437" s="759">
        <f>SUM(AZ437,BA437,BB437,BC437,BD437,BE437,BF437,BG437,BH437,BI437,BJ437,BK437)</f>
        <v>400000000</v>
      </c>
      <c r="BN437" s="758"/>
      <c r="BO437" s="758"/>
      <c r="BP437" s="758"/>
      <c r="BQ437" s="758"/>
      <c r="BR437" s="758">
        <f>BQ437*0.85</f>
        <v>0</v>
      </c>
      <c r="BS437" s="758"/>
      <c r="BT437" s="758"/>
      <c r="BU437" s="758"/>
      <c r="BV437" s="758"/>
      <c r="BW437" s="758"/>
      <c r="BX437" s="758"/>
      <c r="BY437" s="758"/>
      <c r="BZ437" s="791">
        <v>0</v>
      </c>
      <c r="CB437" s="758"/>
      <c r="CC437" s="758"/>
      <c r="CD437" s="758"/>
      <c r="CE437" s="758"/>
      <c r="CF437" s="758">
        <f>CE437*0.85</f>
        <v>0</v>
      </c>
      <c r="CG437" s="758"/>
      <c r="CH437" s="758"/>
      <c r="CI437" s="758"/>
      <c r="CJ437" s="758"/>
      <c r="CK437" s="758"/>
      <c r="CL437" s="758"/>
      <c r="CM437" s="758"/>
      <c r="CN437" s="791">
        <v>0</v>
      </c>
      <c r="CP437" s="653"/>
      <c r="CQ437" s="653"/>
      <c r="CR437" s="524"/>
      <c r="CS437" s="653"/>
      <c r="CT437" s="524"/>
      <c r="CU437" s="653"/>
      <c r="CV437" s="524"/>
      <c r="CW437" s="653"/>
      <c r="CX437" s="524"/>
      <c r="CY437" s="653"/>
      <c r="CZ437" s="524"/>
      <c r="DA437" s="653"/>
      <c r="DB437" s="524"/>
      <c r="DC437" s="653"/>
      <c r="DD437" s="524"/>
      <c r="DE437" s="758"/>
      <c r="DF437" s="524"/>
      <c r="DG437" s="757"/>
      <c r="DH437" s="758"/>
      <c r="DI437" s="524"/>
      <c r="DJ437" s="757"/>
      <c r="DK437" s="758"/>
      <c r="DL437" s="524"/>
      <c r="DM437" s="757"/>
      <c r="DN437" s="758"/>
      <c r="DO437" s="524"/>
      <c r="DP437" s="757"/>
      <c r="DQ437" s="493">
        <f t="shared" si="246"/>
        <v>0</v>
      </c>
      <c r="DR437" s="479">
        <f>SUM(CR437,CT437,CV437,CX437,CZ437,DB437,DD437,DG437,DJ437,DM437,DP437)</f>
        <v>0</v>
      </c>
      <c r="DS437" s="1168">
        <v>4000000</v>
      </c>
      <c r="DT437" s="1169">
        <v>4000000</v>
      </c>
      <c r="DU437" s="1169">
        <v>4000000</v>
      </c>
      <c r="DV437" s="1169">
        <v>4000000</v>
      </c>
      <c r="DW437" s="1169">
        <v>4000000</v>
      </c>
      <c r="DX437" s="1169">
        <v>4000000</v>
      </c>
      <c r="DY437" s="1169">
        <v>4000000</v>
      </c>
      <c r="DZ437" s="1169">
        <v>4000000</v>
      </c>
      <c r="EA437" s="1169">
        <v>4000000</v>
      </c>
      <c r="EB437" s="1169">
        <v>4000000</v>
      </c>
      <c r="EC437" s="1169">
        <v>4000000</v>
      </c>
      <c r="ED437" s="1169">
        <v>4000000</v>
      </c>
      <c r="EE437" s="1130">
        <v>48000000</v>
      </c>
      <c r="EF437" s="1087">
        <v>56160000</v>
      </c>
      <c r="EG437" s="1087">
        <v>60652800</v>
      </c>
      <c r="EH437" s="1087">
        <v>66111552</v>
      </c>
      <c r="EI437" s="1087">
        <v>72061592</v>
      </c>
      <c r="EJ437" s="367" t="s">
        <v>682</v>
      </c>
    </row>
    <row r="438" spans="1:144" outlineLevel="2">
      <c r="A438" s="389"/>
      <c r="B438" s="378"/>
      <c r="C438" s="370" t="s">
        <v>358</v>
      </c>
      <c r="D438" s="297" t="s">
        <v>121</v>
      </c>
      <c r="E438" s="396"/>
      <c r="F438" s="380"/>
      <c r="G438" s="180"/>
      <c r="H438" s="13"/>
      <c r="I438" s="6"/>
      <c r="J438" s="190"/>
      <c r="K438" s="185"/>
      <c r="L438" s="6"/>
      <c r="M438" s="6"/>
      <c r="N438" s="185"/>
      <c r="O438" s="7"/>
      <c r="P438" s="7"/>
      <c r="Q438" s="7"/>
      <c r="R438" s="7"/>
      <c r="S438" s="14"/>
      <c r="T438" s="179"/>
      <c r="U438" s="180"/>
      <c r="V438" s="13"/>
      <c r="W438" s="6"/>
      <c r="X438" s="190"/>
      <c r="Y438" s="185"/>
      <c r="Z438" s="6"/>
      <c r="AA438" s="6"/>
      <c r="AB438" s="185"/>
      <c r="AC438" s="7"/>
      <c r="AD438" s="7"/>
      <c r="AE438" s="7"/>
      <c r="AF438" s="7"/>
      <c r="AG438" s="759"/>
      <c r="AH438" s="788"/>
      <c r="AI438" s="180"/>
      <c r="AJ438" s="810"/>
      <c r="AK438" s="6"/>
      <c r="AL438" s="834"/>
      <c r="AM438" s="758"/>
      <c r="AN438" s="6"/>
      <c r="AO438" s="6"/>
      <c r="AP438" s="758"/>
      <c r="AQ438" s="518"/>
      <c r="AR438" s="518"/>
      <c r="AS438" s="518"/>
      <c r="AT438" s="518"/>
      <c r="AU438" s="794"/>
      <c r="AV438" s="794"/>
      <c r="AW438" s="794"/>
      <c r="AX438" s="518"/>
      <c r="AY438" s="788"/>
      <c r="AZ438" s="180"/>
      <c r="BA438" s="810"/>
      <c r="BB438" s="6"/>
      <c r="BC438" s="834"/>
      <c r="BD438" s="758"/>
      <c r="BE438" s="6"/>
      <c r="BF438" s="6"/>
      <c r="BG438" s="518"/>
      <c r="BH438" s="758"/>
      <c r="BI438" s="758"/>
      <c r="BJ438" s="758"/>
      <c r="BK438" s="758"/>
      <c r="BL438" s="518"/>
      <c r="BN438" s="758"/>
      <c r="BO438" s="758"/>
      <c r="BP438" s="758"/>
      <c r="BQ438" s="758"/>
      <c r="BR438" s="758"/>
      <c r="BS438" s="758"/>
      <c r="BT438" s="758"/>
      <c r="BU438" s="758"/>
      <c r="BV438" s="758"/>
      <c r="BW438" s="758"/>
      <c r="BX438" s="758"/>
      <c r="BY438" s="758"/>
      <c r="BZ438" s="496"/>
      <c r="CB438" s="758"/>
      <c r="CC438" s="758"/>
      <c r="CD438" s="758"/>
      <c r="CE438" s="758"/>
      <c r="CF438" s="758"/>
      <c r="CG438" s="758"/>
      <c r="CH438" s="758"/>
      <c r="CI438" s="758"/>
      <c r="CJ438" s="758"/>
      <c r="CK438" s="758"/>
      <c r="CL438" s="758"/>
      <c r="CM438" s="758"/>
      <c r="CN438" s="759"/>
      <c r="CP438" s="653"/>
      <c r="CQ438" s="653"/>
      <c r="CR438" s="524"/>
      <c r="CS438" s="653"/>
      <c r="CT438" s="524"/>
      <c r="CU438" s="653"/>
      <c r="CV438" s="524"/>
      <c r="CW438" s="653"/>
      <c r="CX438" s="524"/>
      <c r="CY438" s="653"/>
      <c r="CZ438" s="524"/>
      <c r="DA438" s="653"/>
      <c r="DB438" s="524">
        <v>100000000</v>
      </c>
      <c r="DC438" s="653"/>
      <c r="DD438" s="524">
        <v>100000000</v>
      </c>
      <c r="DE438" s="758"/>
      <c r="DF438" s="524">
        <v>100000000</v>
      </c>
      <c r="DG438" s="757">
        <v>100000000</v>
      </c>
      <c r="DH438" s="758"/>
      <c r="DI438" s="524">
        <v>100000000</v>
      </c>
      <c r="DJ438" s="757">
        <v>100000000</v>
      </c>
      <c r="DK438" s="758"/>
      <c r="DL438" s="524">
        <v>100000000</v>
      </c>
      <c r="DM438" s="757">
        <v>100000000</v>
      </c>
      <c r="DN438" s="758"/>
      <c r="DO438" s="524">
        <v>100000000</v>
      </c>
      <c r="DP438" s="757">
        <v>100000000</v>
      </c>
      <c r="DQ438" s="493">
        <f>SUM(CP438,CQ438,CS438,CU438,CW438,CY438,DA438,DC438,DF438,DI438,DL438,DO438)</f>
        <v>400000000</v>
      </c>
      <c r="DR438" s="479">
        <f>SUM(CP438,CQ438,CS438,CU438,CX438,CZ438,DB438,DD438,DG438,DJ438,DM438,DP438)</f>
        <v>600000000</v>
      </c>
      <c r="DS438" s="1019"/>
      <c r="DT438" s="1019"/>
      <c r="DU438" s="1019"/>
      <c r="DV438" s="1019"/>
      <c r="DW438" s="1019"/>
      <c r="DX438" s="1019"/>
      <c r="DY438" s="1019"/>
      <c r="DZ438" s="1019"/>
      <c r="EA438" s="1019"/>
      <c r="EB438" s="1019"/>
      <c r="EC438" s="1019"/>
      <c r="ED438" s="1019"/>
      <c r="EE438" s="1119">
        <f>SUM(DS438,DT438,DU438,DV438,DW438,DX438,DY438,DZ438,EA438,EB438,EC438,ED438)</f>
        <v>0</v>
      </c>
      <c r="EF438" s="443"/>
      <c r="EG438" s="443"/>
      <c r="EH438" s="443"/>
      <c r="EI438" s="443"/>
      <c r="EJ438" s="367" t="e">
        <v>#N/A</v>
      </c>
    </row>
    <row r="439" spans="1:144" ht="15" outlineLevel="2" thickBot="1">
      <c r="B439" s="378"/>
      <c r="C439" s="370" t="s">
        <v>358</v>
      </c>
      <c r="D439" s="297" t="s">
        <v>121</v>
      </c>
      <c r="E439" s="396"/>
      <c r="F439" s="380"/>
      <c r="G439" s="180"/>
      <c r="H439" s="13"/>
      <c r="I439" s="6"/>
      <c r="J439" s="190"/>
      <c r="K439" s="185"/>
      <c r="L439" s="6"/>
      <c r="M439" s="6"/>
      <c r="N439" s="185"/>
      <c r="O439" s="7"/>
      <c r="P439" s="7"/>
      <c r="Q439" s="7"/>
      <c r="R439" s="7"/>
      <c r="S439" s="14">
        <f>SUM(G439,H439,I439,J439,K439,L439,M439,N439,O439,P439,Q439,R439)</f>
        <v>0</v>
      </c>
      <c r="T439" s="179"/>
      <c r="U439" s="180"/>
      <c r="V439" s="13"/>
      <c r="W439" s="6"/>
      <c r="X439" s="190"/>
      <c r="Y439" s="185"/>
      <c r="Z439" s="6"/>
      <c r="AA439" s="6"/>
      <c r="AB439" s="185"/>
      <c r="AC439" s="7"/>
      <c r="AD439" s="7"/>
      <c r="AE439" s="7"/>
      <c r="AF439" s="7"/>
      <c r="AG439" s="759">
        <f>SUM(U439,V439,W439,X439,Y439,Z439,AA439,AB439,AC439,AD439,AE439,AF439)</f>
        <v>0</v>
      </c>
      <c r="AH439" s="788"/>
      <c r="AI439" s="180"/>
      <c r="AJ439" s="810"/>
      <c r="AK439" s="6"/>
      <c r="AL439" s="834"/>
      <c r="AM439" s="758"/>
      <c r="AN439" s="6"/>
      <c r="AO439" s="6"/>
      <c r="AP439" s="758">
        <v>0</v>
      </c>
      <c r="AQ439" s="518">
        <v>0</v>
      </c>
      <c r="AR439" s="518"/>
      <c r="AS439" s="518"/>
      <c r="AT439" s="518"/>
      <c r="AU439" s="518">
        <f>BI439</f>
        <v>0</v>
      </c>
      <c r="AV439" s="518">
        <f>BJ439</f>
        <v>0</v>
      </c>
      <c r="AW439" s="518">
        <f>BK439</f>
        <v>0</v>
      </c>
      <c r="AX439" s="518">
        <f>SUM(AI439,AJ439,AK439,AL439,AM439,AN439,AO439,AP439,AQ439,AR439,AS439,AT439)</f>
        <v>0</v>
      </c>
      <c r="AY439" s="788"/>
      <c r="AZ439" s="180"/>
      <c r="BA439" s="810"/>
      <c r="BB439" s="6"/>
      <c r="BC439" s="834"/>
      <c r="BD439" s="758"/>
      <c r="BE439" s="6"/>
      <c r="BF439" s="6"/>
      <c r="BG439" s="518">
        <f>AP439</f>
        <v>0</v>
      </c>
      <c r="BH439" s="758">
        <v>0</v>
      </c>
      <c r="BI439" s="758">
        <v>0</v>
      </c>
      <c r="BJ439" s="758">
        <v>0</v>
      </c>
      <c r="BK439" s="758">
        <v>0</v>
      </c>
      <c r="BL439" s="759">
        <f>SUM(AZ439,BA439,BB439,BC439,BD439,BE439,BF439,BG439,BH439,BI439,BJ439,BK439)</f>
        <v>0</v>
      </c>
      <c r="BN439" s="758">
        <v>0</v>
      </c>
      <c r="BO439" s="758">
        <v>0</v>
      </c>
      <c r="BP439" s="758">
        <v>0</v>
      </c>
      <c r="BQ439" s="758" t="s">
        <v>266</v>
      </c>
      <c r="BR439" s="758" t="s">
        <v>266</v>
      </c>
      <c r="BS439" s="758" t="s">
        <v>266</v>
      </c>
      <c r="BT439" s="758">
        <v>0</v>
      </c>
      <c r="BU439" s="758">
        <v>0</v>
      </c>
      <c r="BV439" s="758">
        <v>0</v>
      </c>
      <c r="BW439" s="758">
        <v>0</v>
      </c>
      <c r="BX439" s="758">
        <v>0</v>
      </c>
      <c r="BY439" s="758">
        <v>0</v>
      </c>
      <c r="BZ439" s="791">
        <v>0</v>
      </c>
      <c r="CB439" s="758">
        <f>8200000</f>
        <v>8200000</v>
      </c>
      <c r="CC439" s="758">
        <f>8200000</f>
        <v>8200000</v>
      </c>
      <c r="CD439" s="758">
        <f>8200000</f>
        <v>8200000</v>
      </c>
      <c r="CE439" s="758">
        <f>8200000</f>
        <v>8200000</v>
      </c>
      <c r="CF439" s="758">
        <f>CE439*0.85</f>
        <v>6970000</v>
      </c>
      <c r="CG439" s="758">
        <f t="shared" ref="CG439:CM439" si="251">8200000</f>
        <v>8200000</v>
      </c>
      <c r="CH439" s="758">
        <f t="shared" si="251"/>
        <v>8200000</v>
      </c>
      <c r="CI439" s="758">
        <f t="shared" si="251"/>
        <v>8200000</v>
      </c>
      <c r="CJ439" s="758">
        <f t="shared" si="251"/>
        <v>8200000</v>
      </c>
      <c r="CK439" s="758">
        <f t="shared" si="251"/>
        <v>8200000</v>
      </c>
      <c r="CL439" s="758">
        <f t="shared" si="251"/>
        <v>8200000</v>
      </c>
      <c r="CM439" s="758">
        <f t="shared" si="251"/>
        <v>8200000</v>
      </c>
      <c r="CN439" s="791">
        <v>97170000</v>
      </c>
      <c r="CP439" s="653"/>
      <c r="CQ439" s="653"/>
      <c r="CR439" s="524"/>
      <c r="CS439" s="653"/>
      <c r="CT439" s="524"/>
      <c r="CU439" s="653"/>
      <c r="CV439" s="524">
        <v>14000000</v>
      </c>
      <c r="CW439" s="653"/>
      <c r="CX439" s="524">
        <v>14000000</v>
      </c>
      <c r="CY439" s="653"/>
      <c r="CZ439" s="524">
        <v>14000000</v>
      </c>
      <c r="DA439" s="653"/>
      <c r="DB439" s="524">
        <v>14000000</v>
      </c>
      <c r="DC439" s="653"/>
      <c r="DD439" s="524">
        <v>14000000</v>
      </c>
      <c r="DE439" s="758"/>
      <c r="DF439" s="524">
        <v>14000000</v>
      </c>
      <c r="DG439" s="757">
        <v>15000000</v>
      </c>
      <c r="DH439" s="758"/>
      <c r="DI439" s="524">
        <v>0</v>
      </c>
      <c r="DJ439" s="757">
        <v>15000000</v>
      </c>
      <c r="DK439" s="758"/>
      <c r="DL439" s="524">
        <v>0</v>
      </c>
      <c r="DM439" s="757">
        <v>15000000</v>
      </c>
      <c r="DN439" s="758"/>
      <c r="DO439" s="524">
        <v>14000000</v>
      </c>
      <c r="DP439" s="757">
        <v>15000000</v>
      </c>
      <c r="DQ439" s="493">
        <f t="shared" si="246"/>
        <v>28000000</v>
      </c>
      <c r="DR439" s="479">
        <f>SUM(CP439,CQ439,CS439,CU439,CX439,CZ439,DB439,DD439,DG439,DJ439,DM439,DP439)</f>
        <v>116000000</v>
      </c>
      <c r="DS439" s="1019"/>
      <c r="DT439" s="1019"/>
      <c r="DU439" s="1019"/>
      <c r="DV439" s="1019"/>
      <c r="DW439" s="1019"/>
      <c r="DX439" s="1019"/>
      <c r="DY439" s="1019"/>
      <c r="DZ439" s="1019"/>
      <c r="EA439" s="1019"/>
      <c r="EB439" s="1019"/>
      <c r="EC439" s="1019"/>
      <c r="ED439" s="1019"/>
      <c r="EE439" s="1119">
        <f>SUM(DS439,DT439,DU439,DV439,DW439,DX439,DY439,DZ439,EA439,EB439,EC439,ED439)</f>
        <v>0</v>
      </c>
      <c r="EF439" s="443">
        <f>EE439*1.17</f>
        <v>0</v>
      </c>
      <c r="EG439" s="443">
        <f>EF439*1.08</f>
        <v>0</v>
      </c>
      <c r="EH439" s="443">
        <f>EG439*1.09</f>
        <v>0</v>
      </c>
      <c r="EI439" s="443">
        <f>EH439*1.09</f>
        <v>0</v>
      </c>
      <c r="EJ439" s="367" t="e">
        <v>#N/A</v>
      </c>
    </row>
    <row r="440" spans="1:144" ht="15" outlineLevel="1" thickBot="1">
      <c r="B440" s="378"/>
      <c r="E440" s="379"/>
      <c r="F440" s="380"/>
      <c r="G440" s="20">
        <f t="shared" ref="G440:S440" si="252">SUM(G413:G439)</f>
        <v>0</v>
      </c>
      <c r="H440" s="21">
        <f t="shared" si="252"/>
        <v>0</v>
      </c>
      <c r="I440" s="20">
        <f t="shared" si="252"/>
        <v>0</v>
      </c>
      <c r="J440" s="20">
        <f t="shared" si="252"/>
        <v>0</v>
      </c>
      <c r="K440" s="20">
        <f t="shared" si="252"/>
        <v>0</v>
      </c>
      <c r="L440" s="20">
        <f t="shared" si="252"/>
        <v>0</v>
      </c>
      <c r="M440" s="20">
        <f t="shared" si="252"/>
        <v>0</v>
      </c>
      <c r="N440" s="20">
        <f t="shared" si="252"/>
        <v>0</v>
      </c>
      <c r="O440" s="20">
        <f t="shared" si="252"/>
        <v>0</v>
      </c>
      <c r="P440" s="20">
        <f t="shared" si="252"/>
        <v>3799800</v>
      </c>
      <c r="Q440" s="20">
        <f t="shared" si="252"/>
        <v>-150000</v>
      </c>
      <c r="R440" s="20">
        <f t="shared" si="252"/>
        <v>19494800</v>
      </c>
      <c r="S440" s="20">
        <f t="shared" si="252"/>
        <v>23144600</v>
      </c>
      <c r="T440" s="12"/>
      <c r="U440" s="20">
        <f t="shared" ref="U440:AG440" si="253">SUM(U413:U439)</f>
        <v>0</v>
      </c>
      <c r="V440" s="21">
        <f t="shared" si="253"/>
        <v>101083000</v>
      </c>
      <c r="W440" s="20">
        <f t="shared" si="253"/>
        <v>202646160</v>
      </c>
      <c r="X440" s="20">
        <f t="shared" si="253"/>
        <v>80556940</v>
      </c>
      <c r="Y440" s="20">
        <f t="shared" si="253"/>
        <v>477976875</v>
      </c>
      <c r="Z440" s="20">
        <f t="shared" si="253"/>
        <v>89188910</v>
      </c>
      <c r="AA440" s="20">
        <f t="shared" si="253"/>
        <v>370540825</v>
      </c>
      <c r="AB440" s="20">
        <f t="shared" si="253"/>
        <v>62857910</v>
      </c>
      <c r="AC440" s="20">
        <f t="shared" si="253"/>
        <v>160794755</v>
      </c>
      <c r="AD440" s="20">
        <f t="shared" si="253"/>
        <v>213024830</v>
      </c>
      <c r="AE440" s="20">
        <f t="shared" si="253"/>
        <v>206026000</v>
      </c>
      <c r="AF440" s="20">
        <f t="shared" si="253"/>
        <v>413483115</v>
      </c>
      <c r="AG440" s="472">
        <f t="shared" si="253"/>
        <v>2378179320</v>
      </c>
      <c r="AH440" s="807"/>
      <c r="AI440" s="472">
        <f t="shared" ref="AI440:AX440" si="254">SUM(AI413:AI439)</f>
        <v>355263917</v>
      </c>
      <c r="AJ440" s="825">
        <f t="shared" si="254"/>
        <v>232656645</v>
      </c>
      <c r="AK440" s="472">
        <f t="shared" si="254"/>
        <v>245913160</v>
      </c>
      <c r="AL440" s="472">
        <f t="shared" si="254"/>
        <v>605076870</v>
      </c>
      <c r="AM440" s="472">
        <f t="shared" si="254"/>
        <v>515523880</v>
      </c>
      <c r="AN440" s="472">
        <f t="shared" si="254"/>
        <v>1095280700</v>
      </c>
      <c r="AO440" s="472">
        <f t="shared" si="254"/>
        <v>419476974</v>
      </c>
      <c r="AP440" s="472">
        <f t="shared" si="254"/>
        <v>298401522</v>
      </c>
      <c r="AQ440" s="472">
        <f t="shared" si="254"/>
        <v>405479615</v>
      </c>
      <c r="AR440" s="472">
        <f t="shared" si="254"/>
        <v>376079468</v>
      </c>
      <c r="AS440" s="472">
        <f t="shared" si="254"/>
        <v>305203172</v>
      </c>
      <c r="AT440" s="472">
        <f t="shared" si="254"/>
        <v>303675667</v>
      </c>
      <c r="AU440" s="472">
        <f t="shared" si="254"/>
        <v>377200000</v>
      </c>
      <c r="AV440" s="472">
        <f t="shared" si="254"/>
        <v>399500000</v>
      </c>
      <c r="AW440" s="472">
        <f t="shared" si="254"/>
        <v>399500000</v>
      </c>
      <c r="AX440" s="472">
        <f t="shared" si="254"/>
        <v>5158031590</v>
      </c>
      <c r="AY440" s="807"/>
      <c r="AZ440" s="472">
        <f t="shared" ref="AZ440:BL440" si="255">SUM(AZ413:AZ439)</f>
        <v>355263917</v>
      </c>
      <c r="BA440" s="825">
        <f t="shared" si="255"/>
        <v>232656645</v>
      </c>
      <c r="BB440" s="472">
        <f t="shared" si="255"/>
        <v>245913160</v>
      </c>
      <c r="BC440" s="472">
        <f t="shared" si="255"/>
        <v>605076870</v>
      </c>
      <c r="BD440" s="472">
        <f t="shared" si="255"/>
        <v>515523880</v>
      </c>
      <c r="BE440" s="472">
        <f t="shared" si="255"/>
        <v>1095280700</v>
      </c>
      <c r="BF440" s="472">
        <f t="shared" si="255"/>
        <v>419476974</v>
      </c>
      <c r="BG440" s="472">
        <f t="shared" si="255"/>
        <v>298401522</v>
      </c>
      <c r="BH440" s="472">
        <f t="shared" si="255"/>
        <v>457700000</v>
      </c>
      <c r="BI440" s="472">
        <f t="shared" si="255"/>
        <v>608700000</v>
      </c>
      <c r="BJ440" s="472">
        <f t="shared" si="255"/>
        <v>618700000</v>
      </c>
      <c r="BK440" s="472">
        <f t="shared" si="255"/>
        <v>483700000</v>
      </c>
      <c r="BL440" s="472">
        <f t="shared" si="255"/>
        <v>5936393668</v>
      </c>
      <c r="BN440" s="472">
        <f t="shared" ref="BN440:BZ440" si="256">BN411+BN430+BN435</f>
        <v>534900000</v>
      </c>
      <c r="BO440" s="472">
        <f t="shared" si="256"/>
        <v>834900000</v>
      </c>
      <c r="BP440" s="472">
        <f t="shared" si="256"/>
        <v>834900000</v>
      </c>
      <c r="BQ440" s="472">
        <f t="shared" si="256"/>
        <v>834900000</v>
      </c>
      <c r="BR440" s="472">
        <f t="shared" si="256"/>
        <v>467997200</v>
      </c>
      <c r="BS440" s="472">
        <f t="shared" si="256"/>
        <v>534900000</v>
      </c>
      <c r="BT440" s="472">
        <f t="shared" si="256"/>
        <v>534900000</v>
      </c>
      <c r="BU440" s="472">
        <f t="shared" si="256"/>
        <v>534900000</v>
      </c>
      <c r="BV440" s="472">
        <f t="shared" si="256"/>
        <v>604900000</v>
      </c>
      <c r="BW440" s="472">
        <f t="shared" si="256"/>
        <v>604900000</v>
      </c>
      <c r="BX440" s="472">
        <f t="shared" si="256"/>
        <v>604900000</v>
      </c>
      <c r="BY440" s="472">
        <f t="shared" si="256"/>
        <v>604900000</v>
      </c>
      <c r="BZ440" s="472">
        <f t="shared" si="256"/>
        <v>7531897200</v>
      </c>
      <c r="CB440" s="472">
        <f t="shared" ref="CB440:CN440" si="257">CB411+CB430+CB435</f>
        <v>543100000</v>
      </c>
      <c r="CC440" s="472">
        <f t="shared" si="257"/>
        <v>843100000</v>
      </c>
      <c r="CD440" s="472">
        <f t="shared" si="257"/>
        <v>843100000</v>
      </c>
      <c r="CE440" s="472">
        <f t="shared" si="257"/>
        <v>843100000</v>
      </c>
      <c r="CF440" s="472">
        <f t="shared" si="257"/>
        <v>474967200</v>
      </c>
      <c r="CG440" s="472">
        <f t="shared" si="257"/>
        <v>543100000</v>
      </c>
      <c r="CH440" s="472">
        <f t="shared" si="257"/>
        <v>543100000</v>
      </c>
      <c r="CI440" s="472">
        <f t="shared" si="257"/>
        <v>543100000</v>
      </c>
      <c r="CJ440" s="472">
        <f t="shared" si="257"/>
        <v>613100000</v>
      </c>
      <c r="CK440" s="472">
        <f t="shared" si="257"/>
        <v>613100000</v>
      </c>
      <c r="CL440" s="472">
        <f t="shared" si="257"/>
        <v>613100000</v>
      </c>
      <c r="CM440" s="472">
        <f t="shared" si="257"/>
        <v>613100000</v>
      </c>
      <c r="CN440" s="472">
        <f t="shared" si="257"/>
        <v>7629067200</v>
      </c>
      <c r="CP440" s="472">
        <f t="shared" ref="CP440:DR440" si="258">CP411+CP430+CP435</f>
        <v>277258072</v>
      </c>
      <c r="CQ440" s="472">
        <f t="shared" si="258"/>
        <v>262326060</v>
      </c>
      <c r="CR440" s="469">
        <f t="shared" si="258"/>
        <v>169686060</v>
      </c>
      <c r="CS440" s="472">
        <f t="shared" si="258"/>
        <v>231779100</v>
      </c>
      <c r="CT440" s="469">
        <f t="shared" si="258"/>
        <v>380000000</v>
      </c>
      <c r="CU440" s="472">
        <f t="shared" si="258"/>
        <v>1030884700</v>
      </c>
      <c r="CV440" s="469">
        <f t="shared" si="258"/>
        <v>692400000</v>
      </c>
      <c r="CW440" s="472">
        <f t="shared" si="258"/>
        <v>798286800</v>
      </c>
      <c r="CX440" s="469">
        <f t="shared" si="258"/>
        <v>642900000</v>
      </c>
      <c r="CY440" s="472">
        <f t="shared" si="258"/>
        <v>947676650</v>
      </c>
      <c r="CZ440" s="469">
        <f t="shared" si="258"/>
        <v>619000000</v>
      </c>
      <c r="DA440" s="472">
        <f t="shared" si="258"/>
        <v>1176073750</v>
      </c>
      <c r="DB440" s="469">
        <f t="shared" si="258"/>
        <v>694000000</v>
      </c>
      <c r="DC440" s="472">
        <f t="shared" si="258"/>
        <v>782324200</v>
      </c>
      <c r="DD440" s="469">
        <f t="shared" si="258"/>
        <v>694000000</v>
      </c>
      <c r="DE440" s="472">
        <f t="shared" si="258"/>
        <v>0</v>
      </c>
      <c r="DF440" s="469">
        <f>DF411+DF430+DF435</f>
        <v>724000000</v>
      </c>
      <c r="DG440" s="472">
        <f t="shared" si="258"/>
        <v>725000000</v>
      </c>
      <c r="DH440" s="472">
        <f t="shared" si="258"/>
        <v>0</v>
      </c>
      <c r="DI440" s="469">
        <f>DI411+DI430+DI435</f>
        <v>710000000</v>
      </c>
      <c r="DJ440" s="472">
        <f t="shared" si="258"/>
        <v>725000000</v>
      </c>
      <c r="DK440" s="472">
        <f t="shared" si="258"/>
        <v>0</v>
      </c>
      <c r="DL440" s="469">
        <f>DL411+DL430+DL435</f>
        <v>780000000</v>
      </c>
      <c r="DM440" s="472">
        <f>DM411+DM430+DM435</f>
        <v>795000000</v>
      </c>
      <c r="DN440" s="472">
        <f t="shared" si="258"/>
        <v>0</v>
      </c>
      <c r="DO440" s="469">
        <f>DO411+DO430+DO435</f>
        <v>794000000</v>
      </c>
      <c r="DP440" s="472">
        <f t="shared" si="258"/>
        <v>795000000</v>
      </c>
      <c r="DQ440" s="472">
        <f>DQ411+DQ430+DQ435</f>
        <v>8514609332</v>
      </c>
      <c r="DR440" s="472">
        <f t="shared" si="258"/>
        <v>8802609332</v>
      </c>
      <c r="DS440" s="1167">
        <f>DS411+DS430+DS435</f>
        <v>711400000</v>
      </c>
      <c r="DT440" s="1167">
        <f t="shared" ref="DT440:EI440" si="259">DT411+DT430+DT435</f>
        <v>711400000</v>
      </c>
      <c r="DU440" s="1167">
        <f t="shared" si="259"/>
        <v>711400000</v>
      </c>
      <c r="DV440" s="1167">
        <f t="shared" si="259"/>
        <v>721200000</v>
      </c>
      <c r="DW440" s="1167">
        <f t="shared" si="259"/>
        <v>711400000</v>
      </c>
      <c r="DX440" s="1167">
        <f t="shared" si="259"/>
        <v>725400000</v>
      </c>
      <c r="DY440" s="1167">
        <f t="shared" si="259"/>
        <v>711400000</v>
      </c>
      <c r="DZ440" s="1167">
        <f t="shared" si="259"/>
        <v>711400000</v>
      </c>
      <c r="EA440" s="1167">
        <f t="shared" si="259"/>
        <v>711400000</v>
      </c>
      <c r="EB440" s="1167">
        <f t="shared" si="259"/>
        <v>711400000</v>
      </c>
      <c r="EC440" s="1167">
        <f t="shared" si="259"/>
        <v>735200000</v>
      </c>
      <c r="ED440" s="1167">
        <f t="shared" si="259"/>
        <v>711400000</v>
      </c>
      <c r="EE440" s="1126">
        <f t="shared" si="259"/>
        <v>8584400000</v>
      </c>
      <c r="EF440" s="1012">
        <f t="shared" si="259"/>
        <v>12655639062</v>
      </c>
      <c r="EG440" s="1012">
        <f t="shared" si="259"/>
        <v>13707887854</v>
      </c>
      <c r="EH440" s="1012">
        <f t="shared" si="259"/>
        <v>14134825995.52</v>
      </c>
      <c r="EI440" s="1012">
        <f t="shared" si="259"/>
        <v>14167005794.52</v>
      </c>
      <c r="EJ440" s="367" t="e">
        <v>#N/A</v>
      </c>
    </row>
    <row r="441" spans="1:144" ht="15" outlineLevel="1" thickBot="1">
      <c r="B441" s="378"/>
      <c r="E441" s="383"/>
      <c r="F441" s="380"/>
      <c r="G441" s="189"/>
      <c r="H441" s="13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79"/>
      <c r="U441" s="189"/>
      <c r="V441" s="13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759"/>
      <c r="AH441" s="788"/>
      <c r="AI441" s="189"/>
      <c r="AJ441" s="810"/>
      <c r="AK441" s="759"/>
      <c r="AL441" s="759"/>
      <c r="AM441" s="759"/>
      <c r="AN441" s="759"/>
      <c r="AO441" s="759"/>
      <c r="AP441" s="759"/>
      <c r="AQ441" s="759"/>
      <c r="AR441" s="759"/>
      <c r="AS441" s="759"/>
      <c r="AT441" s="759"/>
      <c r="AU441" s="759"/>
      <c r="AV441" s="759"/>
      <c r="AW441" s="759"/>
      <c r="AX441" s="759"/>
      <c r="AY441" s="788"/>
      <c r="AZ441" s="189"/>
      <c r="BA441" s="810"/>
      <c r="BB441" s="759"/>
      <c r="BC441" s="759"/>
      <c r="BD441" s="759"/>
      <c r="BE441" s="759"/>
      <c r="BF441" s="759"/>
      <c r="BG441" s="759"/>
      <c r="BH441" s="759"/>
      <c r="BI441" s="759"/>
      <c r="BJ441" s="759"/>
      <c r="BK441" s="759"/>
      <c r="BL441" s="759"/>
      <c r="BN441" s="6"/>
      <c r="BO441" s="810"/>
      <c r="BP441" s="759"/>
      <c r="BQ441" s="759"/>
      <c r="BR441" s="759"/>
      <c r="BS441" s="759"/>
      <c r="BT441" s="759"/>
      <c r="BU441" s="759"/>
      <c r="BV441" s="759"/>
      <c r="BW441" s="759"/>
      <c r="BX441" s="759"/>
      <c r="BY441" s="759"/>
      <c r="BZ441" s="496"/>
      <c r="CB441" s="6"/>
      <c r="CC441" s="810"/>
      <c r="CD441" s="759"/>
      <c r="CE441" s="759"/>
      <c r="CF441" s="759"/>
      <c r="CG441" s="759"/>
      <c r="CH441" s="759"/>
      <c r="CI441" s="759"/>
      <c r="CJ441" s="759"/>
      <c r="CK441" s="759"/>
      <c r="CL441" s="759"/>
      <c r="CM441" s="759"/>
      <c r="CN441" s="759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759"/>
      <c r="DF441" s="6"/>
      <c r="DG441" s="748"/>
      <c r="DH441" s="759"/>
      <c r="DI441" s="6"/>
      <c r="DJ441" s="748"/>
      <c r="DK441" s="759"/>
      <c r="DL441" s="6"/>
      <c r="DM441" s="748"/>
      <c r="DN441" s="759"/>
      <c r="DO441" s="6"/>
      <c r="DP441" s="748"/>
      <c r="DQ441" s="496"/>
      <c r="DR441" s="479"/>
      <c r="DS441" s="1165"/>
      <c r="DT441" s="1165"/>
      <c r="DU441" s="1165"/>
      <c r="DV441" s="1165"/>
      <c r="DW441" s="1165"/>
      <c r="DX441" s="1165"/>
      <c r="DY441" s="1165"/>
      <c r="DZ441" s="1165"/>
      <c r="EA441" s="1165"/>
      <c r="EB441" s="1165"/>
      <c r="EC441" s="1165"/>
      <c r="ED441" s="1165"/>
      <c r="EE441" s="1133"/>
      <c r="EF441" s="1017"/>
      <c r="EG441" s="1017"/>
      <c r="EH441" s="1017"/>
      <c r="EI441" s="1017"/>
      <c r="EJ441" s="367" t="e">
        <v>#N/A</v>
      </c>
    </row>
    <row r="442" spans="1:144" ht="15" thickBot="1">
      <c r="B442" s="994"/>
      <c r="C442" s="418"/>
      <c r="D442" s="418"/>
      <c r="E442" s="419" t="s">
        <v>683</v>
      </c>
      <c r="F442" s="420"/>
      <c r="G442" s="22">
        <f t="shared" ref="G442:S442" si="260">G440+G409+G295+G240</f>
        <v>6784817992</v>
      </c>
      <c r="H442" s="21">
        <f t="shared" si="260"/>
        <v>6808203084</v>
      </c>
      <c r="I442" s="22">
        <f t="shared" si="260"/>
        <v>10507505538</v>
      </c>
      <c r="J442" s="22">
        <f t="shared" si="260"/>
        <v>9370100577</v>
      </c>
      <c r="K442" s="22">
        <f t="shared" si="260"/>
        <v>8995083429</v>
      </c>
      <c r="L442" s="22">
        <f t="shared" si="260"/>
        <v>8211211848</v>
      </c>
      <c r="M442" s="22">
        <f t="shared" si="260"/>
        <v>9415359174</v>
      </c>
      <c r="N442" s="22">
        <f t="shared" si="260"/>
        <v>10047844418</v>
      </c>
      <c r="O442" s="22">
        <f t="shared" si="260"/>
        <v>10106967831</v>
      </c>
      <c r="P442" s="22">
        <f t="shared" si="260"/>
        <v>10593277926</v>
      </c>
      <c r="Q442" s="22">
        <f t="shared" si="260"/>
        <v>10481702179</v>
      </c>
      <c r="R442" s="22">
        <f t="shared" si="260"/>
        <v>10972761603</v>
      </c>
      <c r="S442" s="22">
        <f t="shared" si="260"/>
        <v>112294835599</v>
      </c>
      <c r="T442" s="23"/>
      <c r="U442" s="22">
        <f t="shared" ref="U442:AG442" si="261">U440+U409+U295+U240</f>
        <v>8775107234</v>
      </c>
      <c r="V442" s="21">
        <f t="shared" si="261"/>
        <v>8696291662</v>
      </c>
      <c r="W442" s="22">
        <f t="shared" si="261"/>
        <v>8128829928</v>
      </c>
      <c r="X442" s="22">
        <f t="shared" si="261"/>
        <v>8028074088</v>
      </c>
      <c r="Y442" s="22">
        <f t="shared" si="261"/>
        <v>8431044911</v>
      </c>
      <c r="Z442" s="22">
        <f t="shared" si="261"/>
        <v>7700098008</v>
      </c>
      <c r="AA442" s="22">
        <f t="shared" si="261"/>
        <v>8571699131</v>
      </c>
      <c r="AB442" s="22">
        <f t="shared" si="261"/>
        <v>7662521544</v>
      </c>
      <c r="AC442" s="22">
        <f t="shared" si="261"/>
        <v>9146690797</v>
      </c>
      <c r="AD442" s="22">
        <f t="shared" si="261"/>
        <v>8343401207</v>
      </c>
      <c r="AE442" s="22">
        <f t="shared" si="261"/>
        <v>10776883869</v>
      </c>
      <c r="AF442" s="22">
        <f t="shared" si="261"/>
        <v>11372156513</v>
      </c>
      <c r="AG442" s="22">
        <f t="shared" si="261"/>
        <v>105337798892</v>
      </c>
      <c r="AH442" s="23"/>
      <c r="AI442" s="22">
        <f t="shared" ref="AI442:AX442" si="262">AI440+AI409+AI295+AI240</f>
        <v>10784129639</v>
      </c>
      <c r="AJ442" s="825">
        <f t="shared" si="262"/>
        <v>10436933036</v>
      </c>
      <c r="AK442" s="22">
        <f t="shared" si="262"/>
        <v>10312840943</v>
      </c>
      <c r="AL442" s="22">
        <f t="shared" si="262"/>
        <v>10765298885</v>
      </c>
      <c r="AM442" s="22">
        <f t="shared" si="262"/>
        <v>7841204218</v>
      </c>
      <c r="AN442" s="22">
        <f t="shared" si="262"/>
        <v>8906119973</v>
      </c>
      <c r="AO442" s="22">
        <f t="shared" si="262"/>
        <v>8206761275</v>
      </c>
      <c r="AP442" s="22">
        <f t="shared" si="262"/>
        <v>8102644164</v>
      </c>
      <c r="AQ442" s="22">
        <f t="shared" si="262"/>
        <v>9207232977</v>
      </c>
      <c r="AR442" s="22">
        <f t="shared" si="262"/>
        <v>9738119543</v>
      </c>
      <c r="AS442" s="22">
        <f t="shared" si="262"/>
        <v>10190092556</v>
      </c>
      <c r="AT442" s="22">
        <f t="shared" si="262"/>
        <v>10432086527</v>
      </c>
      <c r="AU442" s="22">
        <f t="shared" si="262"/>
        <v>9502640249</v>
      </c>
      <c r="AV442" s="22">
        <f t="shared" si="262"/>
        <v>9967940249</v>
      </c>
      <c r="AW442" s="22">
        <f t="shared" si="262"/>
        <v>9996782749</v>
      </c>
      <c r="AX442" s="22">
        <f t="shared" si="262"/>
        <v>114923463736</v>
      </c>
      <c r="AY442" s="23"/>
      <c r="AZ442" s="22">
        <f t="shared" ref="AZ442:BL442" si="263">AZ440+AZ409+AZ295+AZ240</f>
        <v>10784129639</v>
      </c>
      <c r="BA442" s="825">
        <f t="shared" si="263"/>
        <v>10436933036</v>
      </c>
      <c r="BB442" s="22">
        <f t="shared" si="263"/>
        <v>10312840943</v>
      </c>
      <c r="BC442" s="22">
        <f t="shared" si="263"/>
        <v>10765298885</v>
      </c>
      <c r="BD442" s="22">
        <f t="shared" si="263"/>
        <v>7841204218</v>
      </c>
      <c r="BE442" s="22">
        <f t="shared" si="263"/>
        <v>8906119973</v>
      </c>
      <c r="BF442" s="22">
        <f t="shared" si="263"/>
        <v>8206761275</v>
      </c>
      <c r="BG442" s="22">
        <f t="shared" si="263"/>
        <v>8102644164</v>
      </c>
      <c r="BH442" s="22">
        <f t="shared" si="263"/>
        <v>10803040945</v>
      </c>
      <c r="BI442" s="22">
        <f t="shared" si="263"/>
        <v>12051330845</v>
      </c>
      <c r="BJ442" s="22">
        <f t="shared" si="263"/>
        <v>12123029845</v>
      </c>
      <c r="BK442" s="22">
        <f t="shared" si="263"/>
        <v>12016872345</v>
      </c>
      <c r="BL442" s="22">
        <f t="shared" si="263"/>
        <v>122350206113</v>
      </c>
      <c r="BN442" s="22">
        <f t="shared" ref="BN442:BZ442" si="264">BN440+BN409+BN295+BN240</f>
        <v>10982721854.6</v>
      </c>
      <c r="BO442" s="825">
        <f t="shared" si="264"/>
        <v>11282721854.6</v>
      </c>
      <c r="BP442" s="22">
        <f t="shared" si="264"/>
        <v>11827321854.6</v>
      </c>
      <c r="BQ442" s="22">
        <f t="shared" si="264"/>
        <v>12246028857</v>
      </c>
      <c r="BR442" s="22">
        <f t="shared" si="264"/>
        <v>9827582446.2999992</v>
      </c>
      <c r="BS442" s="22">
        <f t="shared" si="264"/>
        <v>10983228854.6</v>
      </c>
      <c r="BT442" s="22">
        <f t="shared" si="264"/>
        <v>11630365439</v>
      </c>
      <c r="BU442" s="22">
        <f t="shared" si="264"/>
        <v>11830365439</v>
      </c>
      <c r="BV442" s="22">
        <f t="shared" si="264"/>
        <v>12100365439</v>
      </c>
      <c r="BW442" s="22">
        <f t="shared" si="264"/>
        <v>12230365439</v>
      </c>
      <c r="BX442" s="22">
        <f t="shared" si="264"/>
        <v>12115365439</v>
      </c>
      <c r="BY442" s="22">
        <f t="shared" si="264"/>
        <v>12057365439</v>
      </c>
      <c r="BZ442" s="22">
        <f t="shared" si="264"/>
        <v>139113798355.70001</v>
      </c>
      <c r="CB442" s="22">
        <f t="shared" ref="CB442:CM442" si="265">CB440+CB409+CB295+CB240</f>
        <v>10990921854.6</v>
      </c>
      <c r="CC442" s="825">
        <f t="shared" si="265"/>
        <v>11290921854.6</v>
      </c>
      <c r="CD442" s="22">
        <f t="shared" si="265"/>
        <v>11835521854.6</v>
      </c>
      <c r="CE442" s="22">
        <f t="shared" si="265"/>
        <v>12254228857</v>
      </c>
      <c r="CF442" s="22">
        <f t="shared" si="265"/>
        <v>9834552446.2999992</v>
      </c>
      <c r="CG442" s="22">
        <f t="shared" si="265"/>
        <v>10991428854.6</v>
      </c>
      <c r="CH442" s="22">
        <f t="shared" si="265"/>
        <v>11638565439</v>
      </c>
      <c r="CI442" s="22">
        <f t="shared" si="265"/>
        <v>11838565439</v>
      </c>
      <c r="CJ442" s="22">
        <f t="shared" si="265"/>
        <v>12108565439</v>
      </c>
      <c r="CK442" s="22">
        <f t="shared" si="265"/>
        <v>12238565439</v>
      </c>
      <c r="CL442" s="22">
        <f t="shared" si="265"/>
        <v>12123565439</v>
      </c>
      <c r="CM442" s="22">
        <f t="shared" si="265"/>
        <v>12065565439</v>
      </c>
      <c r="CN442" s="22">
        <v>140988468355.70001</v>
      </c>
      <c r="CP442" s="22">
        <f t="shared" ref="CP442:DR442" si="266">CP440+CP409+CP295+CP240</f>
        <v>9186046143</v>
      </c>
      <c r="CQ442" s="22">
        <f t="shared" si="266"/>
        <v>9021322845</v>
      </c>
      <c r="CR442" s="22">
        <f t="shared" si="266"/>
        <v>9483499092</v>
      </c>
      <c r="CS442" s="22">
        <f t="shared" si="266"/>
        <v>10369895104</v>
      </c>
      <c r="CT442" s="22">
        <f t="shared" si="266"/>
        <v>11784217322</v>
      </c>
      <c r="CU442" s="22">
        <f t="shared" si="266"/>
        <v>10611589807</v>
      </c>
      <c r="CV442" s="22">
        <f t="shared" si="266"/>
        <v>11986104822</v>
      </c>
      <c r="CW442" s="22">
        <f t="shared" si="266"/>
        <v>8654648899</v>
      </c>
      <c r="CX442" s="22">
        <f t="shared" si="266"/>
        <v>9526941122</v>
      </c>
      <c r="CY442" s="22">
        <f t="shared" si="266"/>
        <v>10751110670</v>
      </c>
      <c r="CZ442" s="22">
        <f t="shared" si="266"/>
        <v>13764548622</v>
      </c>
      <c r="DA442" s="22">
        <f t="shared" si="266"/>
        <v>10695020025</v>
      </c>
      <c r="DB442" s="22">
        <f t="shared" si="266"/>
        <v>15778548622</v>
      </c>
      <c r="DC442" s="22">
        <f t="shared" si="266"/>
        <v>11374386246</v>
      </c>
      <c r="DD442" s="22">
        <f t="shared" si="266"/>
        <v>16298548622</v>
      </c>
      <c r="DE442" s="22">
        <f t="shared" si="266"/>
        <v>0</v>
      </c>
      <c r="DF442" s="22">
        <f>DF440+DF409+DF295+DF240</f>
        <v>14410162412</v>
      </c>
      <c r="DG442" s="475">
        <f t="shared" si="266"/>
        <v>15356160059</v>
      </c>
      <c r="DH442" s="22">
        <f t="shared" si="266"/>
        <v>0</v>
      </c>
      <c r="DI442" s="22">
        <f>DI440+DI409+DI295+DI240</f>
        <v>14716162412</v>
      </c>
      <c r="DJ442" s="475">
        <f t="shared" si="266"/>
        <v>15946160059</v>
      </c>
      <c r="DK442" s="22">
        <f t="shared" si="266"/>
        <v>0</v>
      </c>
      <c r="DL442" s="22">
        <f>DL440+DL409+DL295+DL240</f>
        <v>15066162412</v>
      </c>
      <c r="DM442" s="475">
        <f>DM440+DM409+DM295+DM240</f>
        <v>16256160059</v>
      </c>
      <c r="DN442" s="22">
        <f t="shared" si="266"/>
        <v>0</v>
      </c>
      <c r="DO442" s="22">
        <f>DO440+DO409+DO295+DO240</f>
        <v>15165162412</v>
      </c>
      <c r="DP442" s="475">
        <f t="shared" si="266"/>
        <v>16366160059</v>
      </c>
      <c r="DQ442" s="22">
        <f>DQ440+DQ409+DQ295+DQ240</f>
        <v>140021669387</v>
      </c>
      <c r="DR442" s="475">
        <f t="shared" si="266"/>
        <v>145562825040</v>
      </c>
      <c r="DS442" s="1172">
        <f>DS440+DS409+DS295+DS240</f>
        <v>13086676951</v>
      </c>
      <c r="DT442" s="1172">
        <f t="shared" ref="DT442:EI442" si="267">DT440+DT409+DT295+DT240</f>
        <v>13366676951</v>
      </c>
      <c r="DU442" s="1172">
        <f t="shared" si="267"/>
        <v>13922376951</v>
      </c>
      <c r="DV442" s="1172">
        <f t="shared" si="267"/>
        <v>13169176951</v>
      </c>
      <c r="DW442" s="1172">
        <f t="shared" si="267"/>
        <v>13058376951</v>
      </c>
      <c r="DX442" s="1172">
        <f t="shared" si="267"/>
        <v>14581376951</v>
      </c>
      <c r="DY442" s="1172">
        <f t="shared" si="267"/>
        <v>14712376951</v>
      </c>
      <c r="DZ442" s="1172">
        <f t="shared" si="267"/>
        <v>14707376951</v>
      </c>
      <c r="EA442" s="1172">
        <f t="shared" si="267"/>
        <v>15027376951</v>
      </c>
      <c r="EB442" s="1172">
        <f t="shared" si="267"/>
        <v>14747376951</v>
      </c>
      <c r="EC442" s="1172">
        <f t="shared" si="267"/>
        <v>14898176951</v>
      </c>
      <c r="ED442" s="1172">
        <f t="shared" si="267"/>
        <v>15164376951</v>
      </c>
      <c r="EE442" s="1134">
        <f t="shared" si="267"/>
        <v>170441723412</v>
      </c>
      <c r="EF442" s="1018">
        <f t="shared" si="267"/>
        <v>227508188117.09503</v>
      </c>
      <c r="EG442" s="1018">
        <f t="shared" si="267"/>
        <v>285909292507.25232</v>
      </c>
      <c r="EH442" s="1018">
        <f t="shared" si="267"/>
        <v>368670081051.87878</v>
      </c>
      <c r="EI442" s="1018">
        <f t="shared" si="267"/>
        <v>382176877931.48669</v>
      </c>
      <c r="EJ442" s="367" t="e">
        <v>#N/A</v>
      </c>
    </row>
    <row r="443" spans="1:144"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5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765"/>
      <c r="AH443" s="847"/>
      <c r="AK443" s="765"/>
      <c r="AL443" s="765"/>
      <c r="AM443" s="765"/>
      <c r="AN443" s="765"/>
      <c r="AO443" s="765"/>
      <c r="AP443" s="765"/>
      <c r="AQ443" s="765"/>
      <c r="AR443" s="765"/>
      <c r="AS443" s="765"/>
      <c r="AT443" s="765"/>
      <c r="AU443" s="765"/>
      <c r="AV443" s="765"/>
      <c r="AW443" s="765"/>
      <c r="AX443" s="848">
        <f>AX442/BL442-1</f>
        <v>-6.070069363136843E-2</v>
      </c>
      <c r="AY443" s="847"/>
      <c r="BB443" s="765"/>
      <c r="BC443" s="765"/>
      <c r="BD443" s="765"/>
      <c r="BE443" s="765"/>
      <c r="BF443" s="765"/>
      <c r="BG443" s="765"/>
      <c r="BH443" s="765"/>
      <c r="BI443" s="765"/>
      <c r="BJ443" s="765"/>
      <c r="BK443" s="765"/>
      <c r="BL443" s="765"/>
      <c r="BP443" s="765"/>
      <c r="BQ443" s="765"/>
      <c r="BR443" s="765"/>
      <c r="BS443" s="765"/>
      <c r="BT443" s="765"/>
      <c r="BU443" s="765"/>
      <c r="BV443" s="765"/>
      <c r="BW443" s="765"/>
      <c r="BX443" s="765"/>
      <c r="BY443" s="765"/>
      <c r="BZ443" s="499">
        <v>0.2262322398406662</v>
      </c>
      <c r="CD443" s="765"/>
      <c r="CE443" s="765"/>
      <c r="CF443" s="765"/>
      <c r="CG443" s="765"/>
      <c r="CH443" s="765"/>
      <c r="CI443" s="765"/>
      <c r="CJ443" s="765"/>
      <c r="CK443" s="765"/>
      <c r="CL443" s="765"/>
      <c r="CM443" s="765"/>
      <c r="CN443" s="848">
        <v>0.2262322398406662</v>
      </c>
      <c r="CP443" s="1"/>
      <c r="CQ443" s="1"/>
      <c r="CS443" s="1"/>
      <c r="CU443" s="1"/>
      <c r="CW443" s="1"/>
      <c r="CY443" s="1"/>
      <c r="DA443" s="1"/>
      <c r="DC443" s="1"/>
      <c r="DE443" s="765"/>
      <c r="DG443" s="764"/>
      <c r="DH443" s="765"/>
      <c r="DJ443" s="764"/>
      <c r="DK443" s="765"/>
      <c r="DM443" s="764"/>
      <c r="DN443" s="765"/>
      <c r="DP443" s="764"/>
      <c r="DQ443" s="499">
        <f>DQ442/AX442-1</f>
        <v>0.21839061263116055</v>
      </c>
      <c r="DR443" s="510">
        <f>DR442/AX442-1</f>
        <v>0.26660666419160628</v>
      </c>
      <c r="DS443" s="1201"/>
      <c r="DT443" s="1201"/>
      <c r="DU443" s="1201"/>
      <c r="DV443" s="1201"/>
      <c r="DW443" s="1201"/>
      <c r="DX443" s="1201"/>
      <c r="DY443" s="1201"/>
      <c r="DZ443" s="1201"/>
      <c r="EA443" s="1201"/>
      <c r="EB443" s="1201"/>
      <c r="EC443" s="1201"/>
      <c r="ED443" s="1201"/>
      <c r="EE443" s="438"/>
      <c r="EJ443" s="367" t="e">
        <v>#N/A</v>
      </c>
    </row>
    <row r="444" spans="1:144" ht="15" thickBot="1">
      <c r="B444" s="368" t="s">
        <v>684</v>
      </c>
      <c r="C444" s="368"/>
      <c r="D444" s="368"/>
      <c r="CP444" s="1"/>
      <c r="CQ444" s="1"/>
      <c r="CS444" s="1"/>
      <c r="CU444" s="1"/>
      <c r="CW444" s="1"/>
      <c r="CY444" s="1"/>
      <c r="DA444" s="1"/>
      <c r="DC444" s="1"/>
      <c r="DS444" s="1201"/>
      <c r="DT444" s="1201"/>
      <c r="DU444" s="1201"/>
      <c r="DV444" s="1201"/>
      <c r="DW444" s="1201"/>
      <c r="DX444" s="1201"/>
      <c r="DY444" s="1201"/>
      <c r="DZ444" s="1201"/>
      <c r="EA444" s="1201"/>
      <c r="EB444" s="1201"/>
      <c r="EC444" s="1201"/>
      <c r="ED444" s="1201"/>
      <c r="EE444" s="438"/>
      <c r="EJ444" s="367" t="e">
        <v>#N/A</v>
      </c>
      <c r="EL444" s="177"/>
      <c r="EM444" s="177"/>
      <c r="EN444" s="177"/>
    </row>
    <row r="445" spans="1:144" ht="28.9" customHeight="1" outlineLevel="1" thickBot="1">
      <c r="B445" s="421" t="s">
        <v>326</v>
      </c>
      <c r="C445" s="1109"/>
      <c r="D445" s="1109"/>
      <c r="E445" s="1110"/>
      <c r="F445" s="1111"/>
      <c r="G445" s="1216" t="s">
        <v>327</v>
      </c>
      <c r="H445" s="1217"/>
      <c r="I445" s="1217"/>
      <c r="J445" s="1217"/>
      <c r="K445" s="1217"/>
      <c r="L445" s="1217"/>
      <c r="M445" s="1217"/>
      <c r="N445" s="1217"/>
      <c r="O445" s="1217"/>
      <c r="P445" s="1217"/>
      <c r="Q445" s="1217"/>
      <c r="R445" s="1217"/>
      <c r="S445" s="1218" t="s">
        <v>328</v>
      </c>
      <c r="T445" s="4"/>
      <c r="U445" s="1216" t="s">
        <v>329</v>
      </c>
      <c r="V445" s="1217"/>
      <c r="W445" s="1217"/>
      <c r="X445" s="1217"/>
      <c r="Y445" s="1217"/>
      <c r="Z445" s="1217"/>
      <c r="AA445" s="1217"/>
      <c r="AB445" s="1217"/>
      <c r="AC445" s="1217"/>
      <c r="AD445" s="1217"/>
      <c r="AE445" s="1217"/>
      <c r="AF445" s="1217"/>
      <c r="AG445" s="1208" t="s">
        <v>330</v>
      </c>
      <c r="AH445" s="849"/>
      <c r="AI445" s="1206" t="s">
        <v>331</v>
      </c>
      <c r="AJ445" s="1207"/>
      <c r="AK445" s="1207"/>
      <c r="AL445" s="1207"/>
      <c r="AM445" s="1207"/>
      <c r="AN445" s="1207"/>
      <c r="AO445" s="1207"/>
      <c r="AP445" s="1207"/>
      <c r="AQ445" s="1207"/>
      <c r="AR445" s="1207"/>
      <c r="AS445" s="1207"/>
      <c r="AT445" s="1207"/>
      <c r="AU445" s="1207"/>
      <c r="AV445" s="1207"/>
      <c r="AW445" s="1207"/>
      <c r="AX445" s="1208" t="s">
        <v>333</v>
      </c>
      <c r="AY445" s="849"/>
      <c r="AZ445" s="1206" t="s">
        <v>331</v>
      </c>
      <c r="BA445" s="1207"/>
      <c r="BB445" s="1207"/>
      <c r="BC445" s="1207"/>
      <c r="BD445" s="1207"/>
      <c r="BE445" s="1207"/>
      <c r="BF445" s="1207"/>
      <c r="BG445" s="1207"/>
      <c r="BH445" s="1207"/>
      <c r="BI445" s="1207"/>
      <c r="BJ445" s="1207"/>
      <c r="BK445" s="1207"/>
      <c r="BL445" s="1208" t="s">
        <v>333</v>
      </c>
      <c r="BN445" s="1209" t="s">
        <v>334</v>
      </c>
      <c r="BO445" s="1209"/>
      <c r="BP445" s="1209"/>
      <c r="BQ445" s="1209"/>
      <c r="BR445" s="1209"/>
      <c r="BS445" s="1209"/>
      <c r="BT445" s="1209"/>
      <c r="BU445" s="1209"/>
      <c r="BV445" s="1209"/>
      <c r="BW445" s="1209"/>
      <c r="BX445" s="1209"/>
      <c r="BY445" s="1209"/>
      <c r="BZ445" s="1208" t="s">
        <v>335</v>
      </c>
      <c r="CB445" s="1209" t="s">
        <v>334</v>
      </c>
      <c r="CC445" s="1209"/>
      <c r="CD445" s="1209"/>
      <c r="CE445" s="1209"/>
      <c r="CF445" s="1209"/>
      <c r="CG445" s="1209"/>
      <c r="CH445" s="1209"/>
      <c r="CI445" s="1209"/>
      <c r="CJ445" s="1209"/>
      <c r="CK445" s="1209"/>
      <c r="CL445" s="1209"/>
      <c r="CM445" s="1209"/>
      <c r="CN445" s="1221" t="s">
        <v>335</v>
      </c>
      <c r="CP445" s="526" t="s">
        <v>337</v>
      </c>
      <c r="CQ445" s="526"/>
      <c r="CR445" s="611"/>
      <c r="CS445" s="526"/>
      <c r="CT445" s="611"/>
      <c r="CU445" s="526"/>
      <c r="CV445" s="611"/>
      <c r="CW445" s="526"/>
      <c r="CX445" s="611"/>
      <c r="CY445" s="526"/>
      <c r="CZ445" s="611"/>
      <c r="DA445" s="526"/>
      <c r="DB445" s="611"/>
      <c r="DC445" s="526"/>
      <c r="DD445" s="611"/>
      <c r="DE445" s="767"/>
      <c r="DF445" s="611"/>
      <c r="DG445" s="766"/>
      <c r="DH445" s="767"/>
      <c r="DI445" s="611"/>
      <c r="DJ445" s="766"/>
      <c r="DK445" s="767"/>
      <c r="DL445" s="611"/>
      <c r="DM445" s="766"/>
      <c r="DN445" s="767"/>
      <c r="DO445" s="611"/>
      <c r="DP445" s="1112"/>
      <c r="DQ445" s="1212" t="s">
        <v>338</v>
      </c>
      <c r="DR445" s="1214" t="s">
        <v>338</v>
      </c>
      <c r="DS445" s="1173" t="s">
        <v>16</v>
      </c>
      <c r="DT445" s="1173" t="s">
        <v>16</v>
      </c>
      <c r="DU445" s="1173" t="s">
        <v>16</v>
      </c>
      <c r="DV445" s="1173" t="s">
        <v>16</v>
      </c>
      <c r="DW445" s="1173" t="s">
        <v>16</v>
      </c>
      <c r="DX445" s="1173" t="s">
        <v>16</v>
      </c>
      <c r="DY445" s="1173" t="s">
        <v>16</v>
      </c>
      <c r="DZ445" s="1173" t="s">
        <v>16</v>
      </c>
      <c r="EA445" s="1173" t="s">
        <v>16</v>
      </c>
      <c r="EB445" s="1173" t="s">
        <v>16</v>
      </c>
      <c r="EC445" s="1173" t="s">
        <v>16</v>
      </c>
      <c r="ED445" s="1173" t="s">
        <v>16</v>
      </c>
      <c r="EE445" s="1224" t="s">
        <v>339</v>
      </c>
      <c r="EF445" s="1226" t="s">
        <v>340</v>
      </c>
      <c r="EG445" s="1226" t="s">
        <v>341</v>
      </c>
      <c r="EH445" s="1222" t="s">
        <v>342</v>
      </c>
      <c r="EI445" s="1222" t="s">
        <v>343</v>
      </c>
      <c r="EJ445" s="367" t="e">
        <v>#N/A</v>
      </c>
      <c r="EL445" s="177"/>
      <c r="EM445" s="177"/>
      <c r="EN445" s="177"/>
    </row>
    <row r="446" spans="1:144" s="5" customFormat="1" ht="15.75" customHeight="1" outlineLevel="1" thickBot="1">
      <c r="A446" s="422"/>
      <c r="B446" s="975"/>
      <c r="C446" s="423"/>
      <c r="D446" s="423"/>
      <c r="E446" s="424"/>
      <c r="F446" s="373"/>
      <c r="G446" s="1093" t="s">
        <v>344</v>
      </c>
      <c r="H446" s="1093" t="s">
        <v>345</v>
      </c>
      <c r="I446" s="1093" t="s">
        <v>346</v>
      </c>
      <c r="J446" s="1093" t="s">
        <v>347</v>
      </c>
      <c r="K446" s="1093" t="s">
        <v>348</v>
      </c>
      <c r="L446" s="1093" t="s">
        <v>349</v>
      </c>
      <c r="M446" s="1093" t="s">
        <v>350</v>
      </c>
      <c r="N446" s="1093" t="s">
        <v>351</v>
      </c>
      <c r="O446" s="1093" t="s">
        <v>352</v>
      </c>
      <c r="P446" s="1093" t="s">
        <v>353</v>
      </c>
      <c r="Q446" s="1093" t="s">
        <v>354</v>
      </c>
      <c r="R446" s="1093" t="s">
        <v>355</v>
      </c>
      <c r="S446" s="1219"/>
      <c r="T446" s="977"/>
      <c r="U446" s="1093" t="s">
        <v>344</v>
      </c>
      <c r="V446" s="1093" t="s">
        <v>345</v>
      </c>
      <c r="W446" s="1093" t="s">
        <v>346</v>
      </c>
      <c r="X446" s="1093" t="s">
        <v>347</v>
      </c>
      <c r="Y446" s="1093" t="s">
        <v>348</v>
      </c>
      <c r="Z446" s="1093" t="s">
        <v>349</v>
      </c>
      <c r="AA446" s="1093" t="s">
        <v>350</v>
      </c>
      <c r="AB446" s="1093" t="s">
        <v>351</v>
      </c>
      <c r="AC446" s="1093" t="s">
        <v>352</v>
      </c>
      <c r="AD446" s="1093" t="s">
        <v>353</v>
      </c>
      <c r="AE446" s="1093" t="s">
        <v>354</v>
      </c>
      <c r="AF446" s="1093" t="s">
        <v>355</v>
      </c>
      <c r="AG446" s="1205"/>
      <c r="AH446" s="978"/>
      <c r="AI446" s="1094" t="s">
        <v>344</v>
      </c>
      <c r="AJ446" s="1094" t="s">
        <v>345</v>
      </c>
      <c r="AK446" s="1094" t="s">
        <v>346</v>
      </c>
      <c r="AL446" s="1094" t="s">
        <v>347</v>
      </c>
      <c r="AM446" s="1094" t="s">
        <v>348</v>
      </c>
      <c r="AN446" s="1094" t="s">
        <v>349</v>
      </c>
      <c r="AO446" s="1094" t="s">
        <v>350</v>
      </c>
      <c r="AP446" s="1094" t="s">
        <v>351</v>
      </c>
      <c r="AQ446" s="1094" t="s">
        <v>352</v>
      </c>
      <c r="AR446" s="1094"/>
      <c r="AS446" s="1094"/>
      <c r="AT446" s="1094"/>
      <c r="AU446" s="1094" t="s">
        <v>353</v>
      </c>
      <c r="AV446" s="1094" t="s">
        <v>354</v>
      </c>
      <c r="AW446" s="1094" t="s">
        <v>355</v>
      </c>
      <c r="AX446" s="1205"/>
      <c r="AY446" s="978"/>
      <c r="AZ446" s="1094" t="s">
        <v>344</v>
      </c>
      <c r="BA446" s="1094" t="s">
        <v>345</v>
      </c>
      <c r="BB446" s="1094" t="s">
        <v>346</v>
      </c>
      <c r="BC446" s="1094" t="s">
        <v>347</v>
      </c>
      <c r="BD446" s="1094" t="s">
        <v>348</v>
      </c>
      <c r="BE446" s="1094" t="s">
        <v>349</v>
      </c>
      <c r="BF446" s="1094" t="s">
        <v>350</v>
      </c>
      <c r="BG446" s="1094" t="s">
        <v>351</v>
      </c>
      <c r="BH446" s="1094" t="s">
        <v>352</v>
      </c>
      <c r="BI446" s="1094" t="s">
        <v>353</v>
      </c>
      <c r="BJ446" s="1094" t="s">
        <v>354</v>
      </c>
      <c r="BK446" s="1094" t="s">
        <v>355</v>
      </c>
      <c r="BL446" s="1205"/>
      <c r="BM446" s="781"/>
      <c r="BN446" s="1092" t="s">
        <v>344</v>
      </c>
      <c r="BO446" s="1092" t="s">
        <v>345</v>
      </c>
      <c r="BP446" s="1092" t="s">
        <v>346</v>
      </c>
      <c r="BQ446" s="1092" t="s">
        <v>347</v>
      </c>
      <c r="BR446" s="1092" t="s">
        <v>348</v>
      </c>
      <c r="BS446" s="1092" t="s">
        <v>349</v>
      </c>
      <c r="BT446" s="1092" t="s">
        <v>350</v>
      </c>
      <c r="BU446" s="1092" t="s">
        <v>351</v>
      </c>
      <c r="BV446" s="1092" t="s">
        <v>352</v>
      </c>
      <c r="BW446" s="1092" t="s">
        <v>353</v>
      </c>
      <c r="BX446" s="1092" t="s">
        <v>354</v>
      </c>
      <c r="BY446" s="1092" t="s">
        <v>355</v>
      </c>
      <c r="BZ446" s="1205"/>
      <c r="CA446" s="3"/>
      <c r="CB446" s="1092" t="s">
        <v>344</v>
      </c>
      <c r="CC446" s="1092" t="s">
        <v>345</v>
      </c>
      <c r="CD446" s="1092" t="s">
        <v>346</v>
      </c>
      <c r="CE446" s="1092" t="s">
        <v>347</v>
      </c>
      <c r="CF446" s="1092" t="s">
        <v>348</v>
      </c>
      <c r="CG446" s="1092" t="s">
        <v>349</v>
      </c>
      <c r="CH446" s="1092" t="s">
        <v>350</v>
      </c>
      <c r="CI446" s="1092" t="s">
        <v>351</v>
      </c>
      <c r="CJ446" s="1092" t="s">
        <v>352</v>
      </c>
      <c r="CK446" s="1092" t="s">
        <v>353</v>
      </c>
      <c r="CL446" s="1092" t="s">
        <v>354</v>
      </c>
      <c r="CM446" s="1092" t="s">
        <v>355</v>
      </c>
      <c r="CN446" s="1211"/>
      <c r="CO446" s="781"/>
      <c r="CP446" s="514" t="s">
        <v>344</v>
      </c>
      <c r="CQ446" s="514" t="s">
        <v>345</v>
      </c>
      <c r="CR446" s="607"/>
      <c r="CS446" s="514" t="s">
        <v>346</v>
      </c>
      <c r="CT446" s="607"/>
      <c r="CU446" s="514" t="s">
        <v>347</v>
      </c>
      <c r="CV446" s="607"/>
      <c r="CW446" s="514" t="s">
        <v>348</v>
      </c>
      <c r="CX446" s="607"/>
      <c r="CY446" s="514" t="s">
        <v>349</v>
      </c>
      <c r="CZ446" s="607"/>
      <c r="DA446" s="514" t="s">
        <v>350</v>
      </c>
      <c r="DB446" s="607"/>
      <c r="DC446" s="514" t="s">
        <v>351</v>
      </c>
      <c r="DD446" s="607"/>
      <c r="DE446" s="514" t="s">
        <v>352</v>
      </c>
      <c r="DF446" s="607"/>
      <c r="DG446" s="746"/>
      <c r="DH446" s="514" t="s">
        <v>353</v>
      </c>
      <c r="DI446" s="607"/>
      <c r="DJ446" s="746"/>
      <c r="DK446" s="514" t="s">
        <v>354</v>
      </c>
      <c r="DL446" s="607"/>
      <c r="DM446" s="746"/>
      <c r="DN446" s="514" t="s">
        <v>355</v>
      </c>
      <c r="DO446" s="607"/>
      <c r="DP446" s="995"/>
      <c r="DQ446" s="1213"/>
      <c r="DR446" s="1215"/>
      <c r="DS446" s="1174" t="s">
        <v>344</v>
      </c>
      <c r="DT446" s="1174" t="s">
        <v>345</v>
      </c>
      <c r="DU446" s="1174" t="s">
        <v>346</v>
      </c>
      <c r="DV446" s="1174" t="s">
        <v>347</v>
      </c>
      <c r="DW446" s="1174" t="s">
        <v>348</v>
      </c>
      <c r="DX446" s="1174" t="s">
        <v>349</v>
      </c>
      <c r="DY446" s="1174" t="s">
        <v>350</v>
      </c>
      <c r="DZ446" s="1174" t="s">
        <v>351</v>
      </c>
      <c r="EA446" s="1174" t="s">
        <v>352</v>
      </c>
      <c r="EB446" s="1174" t="s">
        <v>353</v>
      </c>
      <c r="EC446" s="1174" t="s">
        <v>354</v>
      </c>
      <c r="ED446" s="1174" t="s">
        <v>355</v>
      </c>
      <c r="EE446" s="1225"/>
      <c r="EF446" s="1227"/>
      <c r="EG446" s="1227"/>
      <c r="EH446" s="1223"/>
      <c r="EI446" s="1223"/>
      <c r="EJ446" s="367" t="e">
        <v>#N/A</v>
      </c>
      <c r="EK446" s="422"/>
      <c r="EL446" s="112"/>
      <c r="EM446" s="112"/>
      <c r="EN446" s="112"/>
    </row>
    <row r="447" spans="1:144" s="5" customFormat="1" ht="15" outlineLevel="1" thickBot="1">
      <c r="A447" s="422"/>
      <c r="B447" s="425"/>
      <c r="C447" s="426"/>
      <c r="D447" s="426"/>
      <c r="E447" s="427"/>
      <c r="F447" s="427"/>
      <c r="G447" s="191" t="s">
        <v>9</v>
      </c>
      <c r="H447" s="192" t="s">
        <v>9</v>
      </c>
      <c r="I447" s="191" t="s">
        <v>9</v>
      </c>
      <c r="J447" s="191" t="s">
        <v>9</v>
      </c>
      <c r="K447" s="191" t="s">
        <v>9</v>
      </c>
      <c r="L447" s="191" t="s">
        <v>9</v>
      </c>
      <c r="M447" s="191" t="s">
        <v>9</v>
      </c>
      <c r="N447" s="191" t="s">
        <v>9</v>
      </c>
      <c r="O447" s="191" t="s">
        <v>9</v>
      </c>
      <c r="P447" s="191" t="s">
        <v>9</v>
      </c>
      <c r="Q447" s="191" t="s">
        <v>9</v>
      </c>
      <c r="R447" s="191" t="s">
        <v>9</v>
      </c>
      <c r="S447" s="191" t="s">
        <v>9</v>
      </c>
      <c r="T447" s="193"/>
      <c r="U447" s="191" t="s">
        <v>9</v>
      </c>
      <c r="V447" s="192" t="s">
        <v>9</v>
      </c>
      <c r="W447" s="191" t="s">
        <v>9</v>
      </c>
      <c r="X447" s="191" t="s">
        <v>9</v>
      </c>
      <c r="Y447" s="191" t="s">
        <v>9</v>
      </c>
      <c r="Z447" s="191" t="s">
        <v>9</v>
      </c>
      <c r="AA447" s="191" t="s">
        <v>9</v>
      </c>
      <c r="AB447" s="191" t="s">
        <v>9</v>
      </c>
      <c r="AC447" s="191" t="s">
        <v>9</v>
      </c>
      <c r="AD447" s="191" t="s">
        <v>9</v>
      </c>
      <c r="AE447" s="191" t="s">
        <v>9</v>
      </c>
      <c r="AF447" s="191" t="s">
        <v>9</v>
      </c>
      <c r="AG447" s="191" t="s">
        <v>9</v>
      </c>
      <c r="AH447" s="193"/>
      <c r="AI447" s="191" t="s">
        <v>9</v>
      </c>
      <c r="AJ447" s="850" t="s">
        <v>9</v>
      </c>
      <c r="AK447" s="191" t="s">
        <v>9</v>
      </c>
      <c r="AL447" s="191" t="s">
        <v>9</v>
      </c>
      <c r="AM447" s="191" t="s">
        <v>9</v>
      </c>
      <c r="AN447" s="191" t="s">
        <v>9</v>
      </c>
      <c r="AO447" s="191" t="s">
        <v>9</v>
      </c>
      <c r="AP447" s="191" t="s">
        <v>9</v>
      </c>
      <c r="AQ447" s="191" t="s">
        <v>356</v>
      </c>
      <c r="AR447" s="191"/>
      <c r="AS447" s="191"/>
      <c r="AT447" s="191"/>
      <c r="AU447" s="191" t="s">
        <v>356</v>
      </c>
      <c r="AV447" s="191" t="s">
        <v>356</v>
      </c>
      <c r="AW447" s="191" t="s">
        <v>356</v>
      </c>
      <c r="AX447" s="191" t="s">
        <v>685</v>
      </c>
      <c r="AY447" s="193"/>
      <c r="AZ447" s="191" t="s">
        <v>9</v>
      </c>
      <c r="BA447" s="850" t="s">
        <v>9</v>
      </c>
      <c r="BB447" s="191" t="s">
        <v>9</v>
      </c>
      <c r="BC447" s="191" t="s">
        <v>9</v>
      </c>
      <c r="BD447" s="191" t="s">
        <v>9</v>
      </c>
      <c r="BE447" s="191" t="s">
        <v>9</v>
      </c>
      <c r="BF447" s="191" t="s">
        <v>9</v>
      </c>
      <c r="BG447" s="191" t="s">
        <v>356</v>
      </c>
      <c r="BH447" s="191" t="s">
        <v>356</v>
      </c>
      <c r="BI447" s="191" t="s">
        <v>356</v>
      </c>
      <c r="BJ447" s="191" t="s">
        <v>356</v>
      </c>
      <c r="BK447" s="191" t="s">
        <v>356</v>
      </c>
      <c r="BL447" s="191" t="s">
        <v>356</v>
      </c>
      <c r="BM447" s="781"/>
      <c r="BN447" s="851" t="s">
        <v>15</v>
      </c>
      <c r="BO447" s="851" t="s">
        <v>15</v>
      </c>
      <c r="BP447" s="851" t="s">
        <v>15</v>
      </c>
      <c r="BQ447" s="851" t="s">
        <v>15</v>
      </c>
      <c r="BR447" s="851" t="s">
        <v>15</v>
      </c>
      <c r="BS447" s="851" t="s">
        <v>15</v>
      </c>
      <c r="BT447" s="851" t="s">
        <v>15</v>
      </c>
      <c r="BU447" s="851" t="s">
        <v>15</v>
      </c>
      <c r="BV447" s="851" t="s">
        <v>15</v>
      </c>
      <c r="BW447" s="851" t="s">
        <v>15</v>
      </c>
      <c r="BX447" s="851" t="s">
        <v>15</v>
      </c>
      <c r="BY447" s="851" t="s">
        <v>15</v>
      </c>
      <c r="BZ447" s="191" t="s">
        <v>10</v>
      </c>
      <c r="CA447" s="3"/>
      <c r="CB447" s="851" t="s">
        <v>15</v>
      </c>
      <c r="CC447" s="851" t="s">
        <v>15</v>
      </c>
      <c r="CD447" s="851" t="s">
        <v>15</v>
      </c>
      <c r="CE447" s="851" t="s">
        <v>15</v>
      </c>
      <c r="CF447" s="851" t="s">
        <v>15</v>
      </c>
      <c r="CG447" s="851" t="s">
        <v>15</v>
      </c>
      <c r="CH447" s="851" t="s">
        <v>15</v>
      </c>
      <c r="CI447" s="851" t="s">
        <v>15</v>
      </c>
      <c r="CJ447" s="851" t="s">
        <v>15</v>
      </c>
      <c r="CK447" s="851" t="s">
        <v>15</v>
      </c>
      <c r="CL447" s="851" t="s">
        <v>15</v>
      </c>
      <c r="CM447" s="851" t="s">
        <v>15</v>
      </c>
      <c r="CN447" s="852" t="s">
        <v>686</v>
      </c>
      <c r="CO447" s="781"/>
      <c r="CP447" s="515" t="s">
        <v>9</v>
      </c>
      <c r="CQ447" s="515" t="s">
        <v>9</v>
      </c>
      <c r="CR447" s="608"/>
      <c r="CS447" s="515" t="s">
        <v>9</v>
      </c>
      <c r="CT447" s="608"/>
      <c r="CU447" s="515" t="s">
        <v>9</v>
      </c>
      <c r="CV447" s="608"/>
      <c r="CW447" s="515" t="s">
        <v>9</v>
      </c>
      <c r="CX447" s="608"/>
      <c r="CY447" s="515" t="s">
        <v>9</v>
      </c>
      <c r="CZ447" s="608"/>
      <c r="DA447" s="515" t="s">
        <v>9</v>
      </c>
      <c r="DB447" s="608"/>
      <c r="DC447" s="515" t="s">
        <v>9</v>
      </c>
      <c r="DD447" s="608"/>
      <c r="DE447" s="515" t="s">
        <v>9</v>
      </c>
      <c r="DF447" s="608"/>
      <c r="DG447" s="465"/>
      <c r="DH447" s="515" t="s">
        <v>9</v>
      </c>
      <c r="DI447" s="608"/>
      <c r="DJ447" s="465"/>
      <c r="DK447" s="515" t="s">
        <v>9</v>
      </c>
      <c r="DL447" s="608"/>
      <c r="DM447" s="465"/>
      <c r="DN447" s="515" t="s">
        <v>9</v>
      </c>
      <c r="DO447" s="608"/>
      <c r="DP447" s="476"/>
      <c r="DQ447" s="492" t="s">
        <v>9</v>
      </c>
      <c r="DR447" s="476" t="s">
        <v>9</v>
      </c>
      <c r="DS447" s="1175"/>
      <c r="DT447" s="1175"/>
      <c r="DU447" s="1175"/>
      <c r="DV447" s="1175"/>
      <c r="DW447" s="1175"/>
      <c r="DX447" s="1175"/>
      <c r="DY447" s="1175"/>
      <c r="DZ447" s="1175"/>
      <c r="EA447" s="1175"/>
      <c r="EB447" s="1175"/>
      <c r="EC447" s="1175"/>
      <c r="ED447" s="1175"/>
      <c r="EE447" s="1135" t="s">
        <v>15</v>
      </c>
      <c r="EF447" s="375" t="s">
        <v>15</v>
      </c>
      <c r="EG447" s="375" t="s">
        <v>15</v>
      </c>
      <c r="EH447" s="375" t="s">
        <v>15</v>
      </c>
      <c r="EI447" s="375" t="s">
        <v>15</v>
      </c>
      <c r="EJ447" s="367" t="e">
        <v>#N/A</v>
      </c>
      <c r="EK447" s="422"/>
      <c r="EL447" s="112"/>
      <c r="EM447" s="112"/>
      <c r="EN447" s="112"/>
    </row>
    <row r="448" spans="1:144" outlineLevel="1">
      <c r="B448" s="376" t="s">
        <v>357</v>
      </c>
      <c r="C448" s="1103"/>
      <c r="D448" s="1103"/>
      <c r="E448" s="1113"/>
      <c r="F448" s="1105"/>
      <c r="G448" s="1114"/>
      <c r="H448" s="131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  <c r="S448" s="127"/>
      <c r="T448" s="1115"/>
      <c r="U448" s="1114"/>
      <c r="V448" s="131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115"/>
      <c r="AI448" s="1114"/>
      <c r="AJ448" s="787"/>
      <c r="AK448" s="127"/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115"/>
      <c r="AZ448" s="1114"/>
      <c r="BA448" s="787"/>
      <c r="BB448" s="127"/>
      <c r="BC448" s="127"/>
      <c r="BD448" s="127"/>
      <c r="BE448" s="127"/>
      <c r="BF448" s="127"/>
      <c r="BG448" s="127"/>
      <c r="BH448" s="127"/>
      <c r="BI448" s="127"/>
      <c r="BJ448" s="127"/>
      <c r="BK448" s="127"/>
      <c r="BL448" s="127"/>
      <c r="BN448" s="1116">
        <f t="shared" ref="BN448:BZ448" si="268">SUM(BN450:BN571)</f>
        <v>2392000000</v>
      </c>
      <c r="BO448" s="1116">
        <f t="shared" si="268"/>
        <v>2388500000</v>
      </c>
      <c r="BP448" s="1116">
        <f t="shared" si="268"/>
        <v>2391500000</v>
      </c>
      <c r="BQ448" s="1116">
        <f t="shared" si="268"/>
        <v>2378500000</v>
      </c>
      <c r="BR448" s="1116">
        <f t="shared" si="268"/>
        <v>2388500000</v>
      </c>
      <c r="BS448" s="1116">
        <f t="shared" si="268"/>
        <v>2387000000</v>
      </c>
      <c r="BT448" s="1116">
        <f t="shared" si="268"/>
        <v>2392000000</v>
      </c>
      <c r="BU448" s="1116">
        <f t="shared" si="268"/>
        <v>2398500000</v>
      </c>
      <c r="BV448" s="1116">
        <f t="shared" si="268"/>
        <v>2391500000</v>
      </c>
      <c r="BW448" s="1116">
        <f t="shared" si="268"/>
        <v>2392000000</v>
      </c>
      <c r="BX448" s="1116">
        <f t="shared" si="268"/>
        <v>2388500000</v>
      </c>
      <c r="BY448" s="1116">
        <f t="shared" si="268"/>
        <v>2395500000</v>
      </c>
      <c r="BZ448" s="1116">
        <f t="shared" si="268"/>
        <v>28684000000</v>
      </c>
      <c r="CB448" s="1114"/>
      <c r="CC448" s="787"/>
      <c r="CD448" s="127"/>
      <c r="CE448" s="127"/>
      <c r="CF448" s="127"/>
      <c r="CG448" s="127"/>
      <c r="CH448" s="127"/>
      <c r="CI448" s="127"/>
      <c r="CJ448" s="127"/>
      <c r="CK448" s="127"/>
      <c r="CL448" s="127"/>
      <c r="CM448" s="127"/>
      <c r="CN448" s="127"/>
      <c r="CP448" s="1116">
        <f>SUM(CP450:CP571)</f>
        <v>1572518804</v>
      </c>
      <c r="CQ448" s="1116">
        <f t="shared" ref="CQ448:CZ448" si="269">SUM(CQ450:CQ571)</f>
        <v>1736278808</v>
      </c>
      <c r="CR448" s="1116">
        <f t="shared" si="269"/>
        <v>1691197000</v>
      </c>
      <c r="CS448" s="1116">
        <f t="shared" si="269"/>
        <v>1670399960</v>
      </c>
      <c r="CT448" s="1116">
        <f t="shared" si="269"/>
        <v>1192000000</v>
      </c>
      <c r="CU448" s="1116">
        <f t="shared" si="269"/>
        <v>1501496466</v>
      </c>
      <c r="CV448" s="1116">
        <f t="shared" si="269"/>
        <v>1501000000</v>
      </c>
      <c r="CW448" s="1116">
        <f t="shared" si="269"/>
        <v>1692964612</v>
      </c>
      <c r="CX448" s="1116">
        <f t="shared" si="269"/>
        <v>1243000000</v>
      </c>
      <c r="CY448" s="1116">
        <f t="shared" si="269"/>
        <v>2390130939</v>
      </c>
      <c r="CZ448" s="1116">
        <f t="shared" si="269"/>
        <v>1803000000</v>
      </c>
      <c r="DA448" s="1116">
        <f>SUM(DA450:DA574)</f>
        <v>1811452793</v>
      </c>
      <c r="DB448" s="1116">
        <f t="shared" ref="DB448:DP448" si="270">SUM(DB450:DB574)</f>
        <v>1768000000</v>
      </c>
      <c r="DC448" s="1116">
        <f t="shared" si="270"/>
        <v>2179116075</v>
      </c>
      <c r="DD448" s="1116">
        <f t="shared" si="270"/>
        <v>1518000000</v>
      </c>
      <c r="DE448" s="1116">
        <f t="shared" si="270"/>
        <v>0</v>
      </c>
      <c r="DF448" s="1116">
        <f>SUM(DF450:DF574)</f>
        <v>1568000000</v>
      </c>
      <c r="DG448" s="1116">
        <f t="shared" si="270"/>
        <v>1558000000</v>
      </c>
      <c r="DH448" s="1116">
        <f t="shared" si="270"/>
        <v>0</v>
      </c>
      <c r="DI448" s="1116">
        <f>SUM(DI450:DI574)</f>
        <v>1568000000</v>
      </c>
      <c r="DJ448" s="1116">
        <f t="shared" si="270"/>
        <v>1558000000</v>
      </c>
      <c r="DK448" s="1116">
        <f t="shared" si="270"/>
        <v>0</v>
      </c>
      <c r="DL448" s="1116">
        <f>SUM(DL450:DL574)</f>
        <v>1683000000</v>
      </c>
      <c r="DM448" s="1116">
        <f>SUM(DM450:DM574)</f>
        <v>1673000000</v>
      </c>
      <c r="DN448" s="1116">
        <f t="shared" si="270"/>
        <v>0</v>
      </c>
      <c r="DO448" s="1116">
        <f>SUM(DO450:DO574)</f>
        <v>1613000000</v>
      </c>
      <c r="DP448" s="1116">
        <f t="shared" si="270"/>
        <v>1603000000</v>
      </c>
      <c r="DQ448" s="1116">
        <f>SUM(DQ450:DQ574)</f>
        <v>20986358457</v>
      </c>
      <c r="DR448" s="1116">
        <f>SUM(DR450:DR574)</f>
        <v>19204694038</v>
      </c>
      <c r="DS448" s="1176">
        <f>SUM(DS450:DS574)</f>
        <v>1660000000</v>
      </c>
      <c r="DT448" s="1176">
        <f t="shared" ref="DT448:EI448" si="271">SUM(DT450:DT574)</f>
        <v>1880000000</v>
      </c>
      <c r="DU448" s="1176">
        <f t="shared" si="271"/>
        <v>1710000000</v>
      </c>
      <c r="DV448" s="1176">
        <f t="shared" si="271"/>
        <v>1930000000</v>
      </c>
      <c r="DW448" s="1176">
        <f t="shared" si="271"/>
        <v>1710000000</v>
      </c>
      <c r="DX448" s="1176">
        <f t="shared" si="271"/>
        <v>1880000000</v>
      </c>
      <c r="DY448" s="1176">
        <f t="shared" si="271"/>
        <v>1710000000</v>
      </c>
      <c r="DZ448" s="1176">
        <f t="shared" si="271"/>
        <v>1880000000</v>
      </c>
      <c r="EA448" s="1176">
        <f t="shared" si="271"/>
        <v>1710000000</v>
      </c>
      <c r="EB448" s="1176">
        <f t="shared" si="271"/>
        <v>1880000000</v>
      </c>
      <c r="EC448" s="1176">
        <f t="shared" si="271"/>
        <v>1710000000</v>
      </c>
      <c r="ED448" s="1176">
        <f t="shared" si="271"/>
        <v>1930000000</v>
      </c>
      <c r="EE448" s="1136">
        <f t="shared" si="271"/>
        <v>21590000000</v>
      </c>
      <c r="EF448" s="1117">
        <f t="shared" si="271"/>
        <v>20067979709.780334</v>
      </c>
      <c r="EG448" s="1117">
        <f t="shared" si="271"/>
        <v>22359424688.549908</v>
      </c>
      <c r="EH448" s="1117">
        <f t="shared" si="271"/>
        <v>51167650011.818092</v>
      </c>
      <c r="EI448" s="1117">
        <f t="shared" si="271"/>
        <v>52437704156.138092</v>
      </c>
      <c r="EJ448" s="367" t="e">
        <v>#N/A</v>
      </c>
      <c r="EL448" s="177"/>
      <c r="EM448" s="177"/>
      <c r="EN448" s="177"/>
    </row>
    <row r="449" spans="1:144" outlineLevel="2">
      <c r="A449" s="367" t="s">
        <v>687</v>
      </c>
      <c r="B449" s="378"/>
      <c r="C449" s="370" t="s">
        <v>688</v>
      </c>
      <c r="D449" s="370" t="s">
        <v>40</v>
      </c>
      <c r="E449" s="383" t="s">
        <v>689</v>
      </c>
      <c r="F449" s="380">
        <v>3000018070</v>
      </c>
      <c r="G449" s="6"/>
      <c r="H449" s="26"/>
      <c r="I449" s="185"/>
      <c r="J449" s="185"/>
      <c r="K449" s="185"/>
      <c r="L449" s="194"/>
      <c r="M449" s="185"/>
      <c r="N449" s="185"/>
      <c r="O449" s="7"/>
      <c r="P449" s="7"/>
      <c r="Q449" s="7"/>
      <c r="R449" s="7"/>
      <c r="S449" s="14">
        <f>SUM(G449,H449,I449,J449,K449,L449,M449,N449,O449,P449,Q449,R449)</f>
        <v>0</v>
      </c>
      <c r="T449" s="15"/>
      <c r="U449" s="6"/>
      <c r="V449" s="26"/>
      <c r="W449" s="185"/>
      <c r="X449" s="185"/>
      <c r="Y449" s="185"/>
      <c r="Z449" s="194"/>
      <c r="AA449" s="185"/>
      <c r="AB449" s="185"/>
      <c r="AC449" s="7"/>
      <c r="AD449" s="7"/>
      <c r="AE449" s="7"/>
      <c r="AF449" s="7"/>
      <c r="AG449" s="759">
        <f>SUM(U449,V449,W449,X449,Y449,Z449,AA449,AB449,AC449,AD449,AE449,AF449)</f>
        <v>0</v>
      </c>
      <c r="AH449" s="853">
        <v>3000018070</v>
      </c>
      <c r="AI449" s="6"/>
      <c r="AJ449" s="824"/>
      <c r="AK449" s="758"/>
      <c r="AL449" s="758">
        <v>16750000</v>
      </c>
      <c r="AM449" s="758">
        <v>0</v>
      </c>
      <c r="AN449" s="524">
        <v>-500000</v>
      </c>
      <c r="AO449" s="758">
        <v>0</v>
      </c>
      <c r="AP449" s="758">
        <v>0</v>
      </c>
      <c r="AQ449" s="518">
        <v>0</v>
      </c>
      <c r="AR449" s="518"/>
      <c r="AS449" s="518"/>
      <c r="AT449" s="518"/>
      <c r="AU449" s="518">
        <f t="shared" ref="AU449:AW451" si="272">BI449</f>
        <v>0</v>
      </c>
      <c r="AV449" s="518">
        <f t="shared" si="272"/>
        <v>0</v>
      </c>
      <c r="AW449" s="518">
        <f t="shared" si="272"/>
        <v>0</v>
      </c>
      <c r="AX449" s="518">
        <f t="shared" ref="AX449:AX474" si="273">SUM(AI449,AJ449,AK449,AL449,AM449,AN449,AO449,AP449,AQ449,AR449,AS449,AT449)</f>
        <v>16250000</v>
      </c>
      <c r="AY449" s="853">
        <v>0</v>
      </c>
      <c r="AZ449" s="6"/>
      <c r="BA449" s="824"/>
      <c r="BB449" s="758"/>
      <c r="BC449" s="758">
        <v>16750000</v>
      </c>
      <c r="BD449" s="758">
        <v>0</v>
      </c>
      <c r="BE449" s="524">
        <v>-500000</v>
      </c>
      <c r="BF449" s="758">
        <v>0</v>
      </c>
      <c r="BG449" s="518">
        <f>AP449</f>
        <v>0</v>
      </c>
      <c r="BH449" s="758">
        <v>0</v>
      </c>
      <c r="BI449" s="758">
        <v>0</v>
      </c>
      <c r="BJ449" s="758">
        <v>0</v>
      </c>
      <c r="BK449" s="758">
        <v>0</v>
      </c>
      <c r="BL449" s="759">
        <f>SUM(AZ449,BA449,BB449,BC449,BD449,BE449,BF449,BG449,BH449,BI449,BJ449,BK449)</f>
        <v>16250000</v>
      </c>
      <c r="BN449" s="758">
        <v>0</v>
      </c>
      <c r="BO449" s="758">
        <v>0</v>
      </c>
      <c r="BP449" s="758">
        <v>0</v>
      </c>
      <c r="BQ449" s="758">
        <v>0</v>
      </c>
      <c r="BR449" s="758">
        <v>0</v>
      </c>
      <c r="BS449" s="758">
        <v>0</v>
      </c>
      <c r="BT449" s="758">
        <v>0</v>
      </c>
      <c r="BU449" s="758">
        <v>0</v>
      </c>
      <c r="BV449" s="758">
        <v>0</v>
      </c>
      <c r="BW449" s="758">
        <v>0</v>
      </c>
      <c r="BX449" s="758">
        <v>0</v>
      </c>
      <c r="BY449" s="758">
        <v>0</v>
      </c>
      <c r="BZ449" s="791">
        <v>0</v>
      </c>
      <c r="CB449" s="758">
        <v>0</v>
      </c>
      <c r="CC449" s="758">
        <v>0</v>
      </c>
      <c r="CD449" s="758">
        <v>0</v>
      </c>
      <c r="CE449" s="758">
        <v>0</v>
      </c>
      <c r="CF449" s="758">
        <v>0</v>
      </c>
      <c r="CG449" s="758">
        <v>0</v>
      </c>
      <c r="CH449" s="758">
        <v>0</v>
      </c>
      <c r="CI449" s="758">
        <v>0</v>
      </c>
      <c r="CJ449" s="758">
        <v>0</v>
      </c>
      <c r="CK449" s="758">
        <v>0</v>
      </c>
      <c r="CL449" s="758">
        <v>0</v>
      </c>
      <c r="CM449" s="758">
        <v>0</v>
      </c>
      <c r="CN449" s="791">
        <v>0</v>
      </c>
      <c r="CP449" s="653"/>
      <c r="CQ449" s="653"/>
      <c r="CR449" s="524"/>
      <c r="CS449" s="653"/>
      <c r="CT449" s="524"/>
      <c r="CU449" s="653"/>
      <c r="CV449" s="524"/>
      <c r="CW449" s="653"/>
      <c r="CX449" s="524"/>
      <c r="CY449" s="653"/>
      <c r="CZ449" s="524"/>
      <c r="DA449" s="653"/>
      <c r="DB449" s="524"/>
      <c r="DC449" s="653">
        <v>0</v>
      </c>
      <c r="DD449" s="524"/>
      <c r="DE449" s="758"/>
      <c r="DF449" s="524"/>
      <c r="DG449" s="757"/>
      <c r="DH449" s="758"/>
      <c r="DI449" s="524"/>
      <c r="DJ449" s="757"/>
      <c r="DK449" s="758"/>
      <c r="DL449" s="524"/>
      <c r="DM449" s="757"/>
      <c r="DN449" s="758"/>
      <c r="DO449" s="524"/>
      <c r="DP449" s="757"/>
      <c r="DQ449" s="493">
        <f t="shared" ref="DQ449:DQ512" si="274">SUM(CP449,CQ449,CS449,CU449,CW449,CY449,DA449,DC449,DF449,DI449,DL449,DO449)</f>
        <v>0</v>
      </c>
      <c r="DR449" s="479">
        <f>SUM(CR449,CT449,CV449,CX449,CZ449,DB449,DD449,DG449,DJ449,DM449,DP449)</f>
        <v>0</v>
      </c>
      <c r="DS449" s="1019"/>
      <c r="DT449" s="1019"/>
      <c r="DU449" s="1019"/>
      <c r="DV449" s="1019"/>
      <c r="DW449" s="1019"/>
      <c r="DX449" s="1019"/>
      <c r="DY449" s="1019"/>
      <c r="DZ449" s="1019"/>
      <c r="EA449" s="1019"/>
      <c r="EB449" s="1019"/>
      <c r="EC449" s="1019"/>
      <c r="ED449" s="1019"/>
      <c r="EE449" s="1119">
        <f t="shared" ref="EE449:EE512" si="275">SUM(DS449,DT449,DU449,DV449,DW449,DX449,DY449,DZ449,EA449,EB449,EC449,ED449)</f>
        <v>0</v>
      </c>
      <c r="EF449" s="443">
        <f>EE449*1.17</f>
        <v>0</v>
      </c>
      <c r="EG449" s="443">
        <f>EF449*1.08</f>
        <v>0</v>
      </c>
      <c r="EH449" s="443">
        <f t="shared" ref="EH449:EI451" si="276">EG449*1.09</f>
        <v>0</v>
      </c>
      <c r="EI449" s="443">
        <f t="shared" si="276"/>
        <v>0</v>
      </c>
      <c r="EJ449" s="367">
        <v>3000018070</v>
      </c>
      <c r="EL449" s="177"/>
      <c r="EM449" s="177"/>
      <c r="EN449" s="177"/>
    </row>
    <row r="450" spans="1:144" outlineLevel="2">
      <c r="A450" s="367" t="s">
        <v>687</v>
      </c>
      <c r="B450" s="378"/>
      <c r="C450" s="370" t="s">
        <v>688</v>
      </c>
      <c r="D450" s="370" t="s">
        <v>40</v>
      </c>
      <c r="E450" s="383" t="s">
        <v>37</v>
      </c>
      <c r="F450" s="380">
        <v>3000016547</v>
      </c>
      <c r="G450" s="186"/>
      <c r="H450" s="26"/>
      <c r="I450" s="195"/>
      <c r="J450" s="185"/>
      <c r="K450" s="185"/>
      <c r="L450" s="194"/>
      <c r="M450" s="185"/>
      <c r="N450" s="185"/>
      <c r="O450" s="7"/>
      <c r="P450" s="7"/>
      <c r="Q450" s="7"/>
      <c r="R450" s="7"/>
      <c r="S450" s="14">
        <f>SUM(G450,H450,I450,J450,K450,L450,M450,N450,O450,P450,Q450,R450)</f>
        <v>0</v>
      </c>
      <c r="T450" s="179"/>
      <c r="U450" s="186"/>
      <c r="V450" s="26"/>
      <c r="W450" s="195"/>
      <c r="X450" s="185"/>
      <c r="Y450" s="185"/>
      <c r="Z450" s="194"/>
      <c r="AA450" s="185"/>
      <c r="AB450" s="185"/>
      <c r="AC450" s="7"/>
      <c r="AD450" s="7"/>
      <c r="AE450" s="7"/>
      <c r="AF450" s="7"/>
      <c r="AG450" s="759">
        <f>SUM(U450,V450,W450,X450,Y450,Z450,AA450,AB450,AC450,AD450,AE450,AF450)</f>
        <v>0</v>
      </c>
      <c r="AH450" s="853">
        <v>3000016547</v>
      </c>
      <c r="AI450" s="814">
        <v>3450000</v>
      </c>
      <c r="AJ450" s="824"/>
      <c r="AK450" s="854"/>
      <c r="AL450" s="758">
        <v>3450000</v>
      </c>
      <c r="AM450" s="758">
        <v>0</v>
      </c>
      <c r="AN450" s="524">
        <v>0</v>
      </c>
      <c r="AO450" s="758">
        <v>3450000</v>
      </c>
      <c r="AP450" s="758">
        <v>0</v>
      </c>
      <c r="AQ450" s="518">
        <v>0</v>
      </c>
      <c r="AR450" s="813">
        <v>0</v>
      </c>
      <c r="AS450" s="813">
        <v>8400000</v>
      </c>
      <c r="AT450" s="813">
        <v>4250000</v>
      </c>
      <c r="AU450" s="518">
        <f t="shared" si="272"/>
        <v>3450000</v>
      </c>
      <c r="AV450" s="518">
        <f t="shared" si="272"/>
        <v>0</v>
      </c>
      <c r="AW450" s="518">
        <f t="shared" si="272"/>
        <v>0</v>
      </c>
      <c r="AX450" s="518">
        <f t="shared" si="273"/>
        <v>23000000</v>
      </c>
      <c r="AY450" s="853">
        <v>0</v>
      </c>
      <c r="AZ450" s="814">
        <v>3450000</v>
      </c>
      <c r="BA450" s="824"/>
      <c r="BB450" s="854"/>
      <c r="BC450" s="758">
        <v>3450000</v>
      </c>
      <c r="BD450" s="758">
        <v>0</v>
      </c>
      <c r="BE450" s="524">
        <v>0</v>
      </c>
      <c r="BF450" s="758">
        <v>3450000</v>
      </c>
      <c r="BG450" s="518">
        <f>AP450</f>
        <v>0</v>
      </c>
      <c r="BH450" s="758">
        <v>0</v>
      </c>
      <c r="BI450" s="758">
        <v>3450000</v>
      </c>
      <c r="BJ450" s="758">
        <v>0</v>
      </c>
      <c r="BK450" s="758">
        <v>0</v>
      </c>
      <c r="BL450" s="759">
        <f>SUM(AZ450,BA450,BB450,BC450,BD450,BE450,BF450,BG450,BH450,BI450,BJ450,BK450)</f>
        <v>13800000</v>
      </c>
      <c r="BN450" s="758">
        <v>3500000</v>
      </c>
      <c r="BO450" s="758">
        <v>0</v>
      </c>
      <c r="BP450" s="758">
        <v>0</v>
      </c>
      <c r="BQ450" s="758">
        <v>3500000</v>
      </c>
      <c r="BR450" s="758">
        <v>0</v>
      </c>
      <c r="BS450" s="758">
        <v>0</v>
      </c>
      <c r="BT450" s="758">
        <v>3500000</v>
      </c>
      <c r="BU450" s="758">
        <v>0</v>
      </c>
      <c r="BV450" s="758">
        <v>0</v>
      </c>
      <c r="BW450" s="758">
        <v>3500000</v>
      </c>
      <c r="BX450" s="758">
        <v>0</v>
      </c>
      <c r="BY450" s="758">
        <v>0</v>
      </c>
      <c r="BZ450" s="791">
        <v>14000000</v>
      </c>
      <c r="CB450" s="758">
        <v>3500000</v>
      </c>
      <c r="CC450" s="758">
        <v>0</v>
      </c>
      <c r="CD450" s="758">
        <v>0</v>
      </c>
      <c r="CE450" s="758">
        <v>3500000</v>
      </c>
      <c r="CF450" s="758">
        <v>0</v>
      </c>
      <c r="CG450" s="758">
        <v>0</v>
      </c>
      <c r="CH450" s="758">
        <v>3500000</v>
      </c>
      <c r="CI450" s="758">
        <v>0</v>
      </c>
      <c r="CJ450" s="758">
        <v>0</v>
      </c>
      <c r="CK450" s="758">
        <v>3500000</v>
      </c>
      <c r="CL450" s="758">
        <v>0</v>
      </c>
      <c r="CM450" s="758">
        <v>0</v>
      </c>
      <c r="CN450" s="791">
        <v>14000000</v>
      </c>
      <c r="CP450" s="653">
        <v>8400000</v>
      </c>
      <c r="CQ450" s="653"/>
      <c r="CR450" s="524"/>
      <c r="CS450" s="653">
        <v>42900000</v>
      </c>
      <c r="CT450" s="524"/>
      <c r="CU450" s="653"/>
      <c r="CV450" s="524"/>
      <c r="CW450" s="653">
        <v>8450000</v>
      </c>
      <c r="CX450" s="524"/>
      <c r="CY450" s="653"/>
      <c r="CZ450" s="524">
        <v>20000000</v>
      </c>
      <c r="DA450" s="653">
        <v>10900000</v>
      </c>
      <c r="DB450" s="524">
        <v>20000000</v>
      </c>
      <c r="DC450" s="653">
        <v>0</v>
      </c>
      <c r="DD450" s="524">
        <v>20000000</v>
      </c>
      <c r="DE450" s="758"/>
      <c r="DF450" s="524">
        <v>20000000</v>
      </c>
      <c r="DG450" s="757">
        <v>20000000</v>
      </c>
      <c r="DH450" s="758"/>
      <c r="DI450" s="524">
        <v>20000000</v>
      </c>
      <c r="DJ450" s="757">
        <v>20000000</v>
      </c>
      <c r="DK450" s="758"/>
      <c r="DL450" s="524">
        <v>20000000</v>
      </c>
      <c r="DM450" s="757">
        <v>20000000</v>
      </c>
      <c r="DN450" s="758"/>
      <c r="DO450" s="524">
        <v>20000000</v>
      </c>
      <c r="DP450" s="757">
        <v>20000000</v>
      </c>
      <c r="DQ450" s="493">
        <f t="shared" si="274"/>
        <v>150650000</v>
      </c>
      <c r="DR450" s="479">
        <f t="shared" ref="DR450:DR481" si="277">SUM(CP450,CQ450,CS450,CU450,CX450,CZ450,DB450,DD450,DG450,DJ450,DM450,DP450)</f>
        <v>191300000</v>
      </c>
      <c r="DS450" s="1019">
        <v>30000000</v>
      </c>
      <c r="DT450" s="1019"/>
      <c r="DU450" s="1019">
        <v>30000000</v>
      </c>
      <c r="DV450" s="1019"/>
      <c r="DW450" s="1019">
        <v>30000000</v>
      </c>
      <c r="DX450" s="1019"/>
      <c r="DY450" s="1019">
        <v>30000000</v>
      </c>
      <c r="DZ450" s="1019"/>
      <c r="EA450" s="1019">
        <v>30000000</v>
      </c>
      <c r="EB450" s="1019"/>
      <c r="EC450" s="1019">
        <v>30000000</v>
      </c>
      <c r="ED450" s="1019"/>
      <c r="EE450" s="1119">
        <f t="shared" si="275"/>
        <v>180000000</v>
      </c>
      <c r="EF450" s="443">
        <f>EE450*1.17</f>
        <v>210600000</v>
      </c>
      <c r="EG450" s="443">
        <f>EF450*1.08</f>
        <v>227448000.00000003</v>
      </c>
      <c r="EH450" s="443">
        <f t="shared" si="276"/>
        <v>247918320.00000006</v>
      </c>
      <c r="EI450" s="443">
        <f t="shared" si="276"/>
        <v>270230968.80000007</v>
      </c>
      <c r="EJ450" s="367">
        <v>3000016547</v>
      </c>
      <c r="EL450" s="177"/>
      <c r="EM450" s="177"/>
      <c r="EN450" s="177"/>
    </row>
    <row r="451" spans="1:144" outlineLevel="2">
      <c r="A451" s="367" t="s">
        <v>291</v>
      </c>
      <c r="B451" s="378"/>
      <c r="C451" s="370" t="s">
        <v>688</v>
      </c>
      <c r="D451" s="370" t="s">
        <v>40</v>
      </c>
      <c r="E451" s="403" t="s">
        <v>690</v>
      </c>
      <c r="F451" s="380">
        <v>3000020054</v>
      </c>
      <c r="G451" s="189"/>
      <c r="H451" s="26"/>
      <c r="I451" s="185"/>
      <c r="J451" s="185"/>
      <c r="K451" s="185"/>
      <c r="L451" s="185"/>
      <c r="M451" s="185"/>
      <c r="N451" s="185"/>
      <c r="O451" s="7"/>
      <c r="P451" s="7"/>
      <c r="Q451" s="7"/>
      <c r="R451" s="7"/>
      <c r="S451" s="14">
        <f>SUM(G451,H451,I451,J451,K451,L451,M451,N451,O451,P451,Q451,R451)</f>
        <v>0</v>
      </c>
      <c r="T451" s="179"/>
      <c r="U451" s="189"/>
      <c r="V451" s="26"/>
      <c r="W451" s="185"/>
      <c r="X451" s="185"/>
      <c r="Y451" s="185"/>
      <c r="Z451" s="185"/>
      <c r="AA451" s="185"/>
      <c r="AB451" s="185"/>
      <c r="AC451" s="7"/>
      <c r="AD451" s="7"/>
      <c r="AE451" s="7"/>
      <c r="AF451" s="7"/>
      <c r="AG451" s="759">
        <f>SUM(U451,V451,W451,X451,Y451,Z451,AA451,AB451,AC451,AD451,AE451,AF451)</f>
        <v>0</v>
      </c>
      <c r="AH451" s="853">
        <v>3000020054</v>
      </c>
      <c r="AI451" s="189"/>
      <c r="AJ451" s="824"/>
      <c r="AK451" s="758"/>
      <c r="AL451" s="758">
        <v>0</v>
      </c>
      <c r="AM451" s="758"/>
      <c r="AN451" s="758"/>
      <c r="AO451" s="758">
        <v>0</v>
      </c>
      <c r="AP451" s="758">
        <v>7314200</v>
      </c>
      <c r="AQ451" s="518">
        <v>0</v>
      </c>
      <c r="AR451" s="518"/>
      <c r="AS451" s="518"/>
      <c r="AT451" s="518"/>
      <c r="AU451" s="518">
        <f t="shared" si="272"/>
        <v>0</v>
      </c>
      <c r="AV451" s="518">
        <f t="shared" si="272"/>
        <v>0</v>
      </c>
      <c r="AW451" s="518">
        <f t="shared" si="272"/>
        <v>0</v>
      </c>
      <c r="AX451" s="518">
        <f t="shared" si="273"/>
        <v>7314200</v>
      </c>
      <c r="AY451" s="853">
        <v>0</v>
      </c>
      <c r="AZ451" s="189"/>
      <c r="BA451" s="824"/>
      <c r="BB451" s="758"/>
      <c r="BC451" s="758">
        <v>0</v>
      </c>
      <c r="BD451" s="758"/>
      <c r="BE451" s="758"/>
      <c r="BF451" s="758">
        <v>0</v>
      </c>
      <c r="BG451" s="518">
        <f>AP451</f>
        <v>7314200</v>
      </c>
      <c r="BH451" s="758">
        <v>0</v>
      </c>
      <c r="BI451" s="758">
        <v>0</v>
      </c>
      <c r="BJ451" s="758">
        <v>0</v>
      </c>
      <c r="BK451" s="758">
        <v>0</v>
      </c>
      <c r="BL451" s="759">
        <f>SUM(AZ451,BA451,BB451,BC451,BD451,BE451,BF451,BG451,BH451,BI451,BJ451,BK451)</f>
        <v>7314200</v>
      </c>
      <c r="BN451" s="758">
        <v>0</v>
      </c>
      <c r="BO451" s="758">
        <v>0</v>
      </c>
      <c r="BP451" s="758">
        <v>0</v>
      </c>
      <c r="BQ451" s="758">
        <v>0</v>
      </c>
      <c r="BR451" s="758">
        <v>0</v>
      </c>
      <c r="BS451" s="758">
        <v>0</v>
      </c>
      <c r="BT451" s="758">
        <v>0</v>
      </c>
      <c r="BU451" s="758">
        <v>0</v>
      </c>
      <c r="BV451" s="758">
        <v>0</v>
      </c>
      <c r="BW451" s="758">
        <v>0</v>
      </c>
      <c r="BX451" s="758">
        <v>0</v>
      </c>
      <c r="BY451" s="758">
        <v>0</v>
      </c>
      <c r="BZ451" s="791">
        <v>0</v>
      </c>
      <c r="CB451" s="758">
        <v>0</v>
      </c>
      <c r="CC451" s="758">
        <v>0</v>
      </c>
      <c r="CD451" s="758">
        <v>0</v>
      </c>
      <c r="CE451" s="758">
        <v>0</v>
      </c>
      <c r="CF451" s="758">
        <v>0</v>
      </c>
      <c r="CG451" s="758">
        <v>0</v>
      </c>
      <c r="CH451" s="758">
        <v>0</v>
      </c>
      <c r="CI451" s="758">
        <v>0</v>
      </c>
      <c r="CJ451" s="758">
        <v>0</v>
      </c>
      <c r="CK451" s="758">
        <v>0</v>
      </c>
      <c r="CL451" s="758">
        <v>0</v>
      </c>
      <c r="CM451" s="758">
        <v>0</v>
      </c>
      <c r="CN451" s="791">
        <v>0</v>
      </c>
      <c r="CP451" s="653"/>
      <c r="CQ451" s="653"/>
      <c r="CR451" s="524"/>
      <c r="CS451" s="653"/>
      <c r="CT451" s="524"/>
      <c r="CU451" s="653"/>
      <c r="CV451" s="524"/>
      <c r="CW451" s="653"/>
      <c r="CX451" s="524"/>
      <c r="CY451" s="653"/>
      <c r="CZ451" s="524"/>
      <c r="DA451" s="653"/>
      <c r="DB451" s="524"/>
      <c r="DC451" s="653">
        <v>0</v>
      </c>
      <c r="DD451" s="524"/>
      <c r="DE451" s="758"/>
      <c r="DF451" s="524"/>
      <c r="DG451" s="757"/>
      <c r="DH451" s="758"/>
      <c r="DI451" s="524"/>
      <c r="DJ451" s="757"/>
      <c r="DK451" s="758"/>
      <c r="DL451" s="524"/>
      <c r="DM451" s="757"/>
      <c r="DN451" s="758"/>
      <c r="DO451" s="524"/>
      <c r="DP451" s="757"/>
      <c r="DQ451" s="493">
        <f t="shared" si="274"/>
        <v>0</v>
      </c>
      <c r="DR451" s="479">
        <f t="shared" si="277"/>
        <v>0</v>
      </c>
      <c r="DS451" s="1019"/>
      <c r="DT451" s="1019"/>
      <c r="DU451" s="1019"/>
      <c r="DV451" s="1019"/>
      <c r="DW451" s="1019"/>
      <c r="DX451" s="1019"/>
      <c r="DY451" s="1019"/>
      <c r="DZ451" s="1019"/>
      <c r="EA451" s="1019"/>
      <c r="EB451" s="1019"/>
      <c r="EC451" s="1019"/>
      <c r="ED451" s="1019"/>
      <c r="EE451" s="1119">
        <f t="shared" si="275"/>
        <v>0</v>
      </c>
      <c r="EF451" s="443">
        <f>EE451*1.17</f>
        <v>0</v>
      </c>
      <c r="EG451" s="443">
        <f>EF451*1.08</f>
        <v>0</v>
      </c>
      <c r="EH451" s="443">
        <f t="shared" si="276"/>
        <v>0</v>
      </c>
      <c r="EI451" s="443">
        <f t="shared" si="276"/>
        <v>0</v>
      </c>
      <c r="EJ451" s="367">
        <v>3000020054</v>
      </c>
      <c r="EL451" s="177"/>
      <c r="EM451" s="177"/>
      <c r="EN451" s="177"/>
    </row>
    <row r="452" spans="1:144" outlineLevel="2">
      <c r="A452" s="367" t="s">
        <v>291</v>
      </c>
      <c r="B452" s="378"/>
      <c r="C452" s="370" t="s">
        <v>688</v>
      </c>
      <c r="D452" s="370" t="s">
        <v>40</v>
      </c>
      <c r="E452" s="383" t="s">
        <v>691</v>
      </c>
      <c r="F452" s="380">
        <v>3000014514</v>
      </c>
      <c r="G452" s="6"/>
      <c r="H452" s="13"/>
      <c r="I452" s="195"/>
      <c r="J452" s="185"/>
      <c r="K452" s="185"/>
      <c r="L452" s="185"/>
      <c r="M452" s="185"/>
      <c r="N452" s="185"/>
      <c r="O452" s="185"/>
      <c r="P452" s="185"/>
      <c r="Q452" s="185"/>
      <c r="R452" s="185"/>
      <c r="S452" s="14"/>
      <c r="T452" s="15"/>
      <c r="U452" s="6"/>
      <c r="V452" s="13"/>
      <c r="W452" s="195"/>
      <c r="X452" s="185"/>
      <c r="Y452" s="185"/>
      <c r="Z452" s="185"/>
      <c r="AA452" s="185"/>
      <c r="AB452" s="185"/>
      <c r="AC452" s="185"/>
      <c r="AD452" s="185"/>
      <c r="AE452" s="185"/>
      <c r="AF452" s="185"/>
      <c r="AG452" s="759"/>
      <c r="AH452" s="811"/>
      <c r="AI452" s="6"/>
      <c r="AJ452" s="810"/>
      <c r="AK452" s="854"/>
      <c r="AL452" s="758"/>
      <c r="AM452" s="758"/>
      <c r="AN452" s="758"/>
      <c r="AO452" s="758"/>
      <c r="AP452" s="758"/>
      <c r="AQ452" s="518"/>
      <c r="AR452" s="813">
        <v>2999516</v>
      </c>
      <c r="AS452" s="813">
        <v>0</v>
      </c>
      <c r="AT452" s="813">
        <v>0</v>
      </c>
      <c r="AU452" s="758"/>
      <c r="AV452" s="758"/>
      <c r="AW452" s="758"/>
      <c r="AX452" s="518">
        <f t="shared" si="273"/>
        <v>2999516</v>
      </c>
      <c r="AY452" s="811"/>
      <c r="AZ452" s="6"/>
      <c r="BA452" s="810"/>
      <c r="BB452" s="854"/>
      <c r="BC452" s="758"/>
      <c r="BD452" s="758"/>
      <c r="BE452" s="758"/>
      <c r="BF452" s="758"/>
      <c r="BG452" s="758"/>
      <c r="BH452" s="758"/>
      <c r="BI452" s="758"/>
      <c r="BJ452" s="758"/>
      <c r="BK452" s="758"/>
      <c r="BL452" s="518"/>
      <c r="BN452" s="6"/>
      <c r="BO452" s="810"/>
      <c r="BP452" s="758"/>
      <c r="BQ452" s="758"/>
      <c r="BR452" s="758"/>
      <c r="BS452" s="758"/>
      <c r="BT452" s="758"/>
      <c r="BU452" s="758"/>
      <c r="BV452" s="758"/>
      <c r="BW452" s="758"/>
      <c r="BX452" s="758"/>
      <c r="BY452" s="758"/>
      <c r="BZ452" s="791">
        <v>0</v>
      </c>
      <c r="CB452" s="6"/>
      <c r="CC452" s="810"/>
      <c r="CD452" s="758"/>
      <c r="CE452" s="758"/>
      <c r="CF452" s="758"/>
      <c r="CG452" s="758"/>
      <c r="CH452" s="758"/>
      <c r="CI452" s="758"/>
      <c r="CJ452" s="758"/>
      <c r="CK452" s="758"/>
      <c r="CL452" s="758"/>
      <c r="CM452" s="758"/>
      <c r="CN452" s="791">
        <v>0</v>
      </c>
      <c r="CP452" s="655"/>
      <c r="CQ452" s="655"/>
      <c r="CR452" s="6"/>
      <c r="CS452" s="655"/>
      <c r="CT452" s="6"/>
      <c r="CU452" s="655"/>
      <c r="CV452" s="6"/>
      <c r="CW452" s="655"/>
      <c r="CX452" s="6"/>
      <c r="CY452" s="655"/>
      <c r="CZ452" s="6"/>
      <c r="DA452" s="655"/>
      <c r="DB452" s="6"/>
      <c r="DC452" s="655">
        <v>0</v>
      </c>
      <c r="DD452" s="6"/>
      <c r="DE452" s="758"/>
      <c r="DF452" s="6"/>
      <c r="DG452" s="757"/>
      <c r="DH452" s="758"/>
      <c r="DI452" s="6"/>
      <c r="DJ452" s="757"/>
      <c r="DK452" s="758"/>
      <c r="DL452" s="6"/>
      <c r="DM452" s="757"/>
      <c r="DN452" s="758"/>
      <c r="DO452" s="6"/>
      <c r="DP452" s="757"/>
      <c r="DQ452" s="493">
        <f t="shared" si="274"/>
        <v>0</v>
      </c>
      <c r="DR452" s="479">
        <f t="shared" si="277"/>
        <v>0</v>
      </c>
      <c r="DS452" s="1019"/>
      <c r="DT452" s="1019"/>
      <c r="DU452" s="1019"/>
      <c r="DV452" s="1019"/>
      <c r="DW452" s="1019"/>
      <c r="DX452" s="1019"/>
      <c r="DY452" s="1019"/>
      <c r="DZ452" s="1019"/>
      <c r="EA452" s="1019"/>
      <c r="EB452" s="1019"/>
      <c r="EC452" s="1019"/>
      <c r="ED452" s="1019"/>
      <c r="EE452" s="1119">
        <f t="shared" si="275"/>
        <v>0</v>
      </c>
      <c r="EF452" s="447"/>
      <c r="EG452" s="443"/>
      <c r="EH452" s="443"/>
      <c r="EI452" s="443"/>
      <c r="EL452" s="177"/>
      <c r="EM452" s="177"/>
      <c r="EN452" s="177"/>
    </row>
    <row r="453" spans="1:144" outlineLevel="2">
      <c r="A453" s="367" t="s">
        <v>687</v>
      </c>
      <c r="B453" s="378"/>
      <c r="C453" s="370" t="s">
        <v>688</v>
      </c>
      <c r="D453" s="370" t="s">
        <v>40</v>
      </c>
      <c r="E453" s="428" t="s">
        <v>385</v>
      </c>
      <c r="F453" s="380">
        <v>3000000323</v>
      </c>
      <c r="G453" s="6"/>
      <c r="H453" s="28"/>
      <c r="I453" s="151"/>
      <c r="J453" s="185"/>
      <c r="K453" s="185"/>
      <c r="L453" s="194"/>
      <c r="M453" s="185"/>
      <c r="N453" s="185"/>
      <c r="O453" s="7"/>
      <c r="P453" s="7"/>
      <c r="Q453" s="7"/>
      <c r="R453" s="7"/>
      <c r="S453" s="14">
        <f>SUM(G453,H453,I453,J453,K453,L453,M453,N453,O453,P453,Q453,R453)</f>
        <v>0</v>
      </c>
      <c r="T453" s="15"/>
      <c r="U453" s="6"/>
      <c r="V453" s="28"/>
      <c r="W453" s="151"/>
      <c r="X453" s="185"/>
      <c r="Y453" s="185"/>
      <c r="Z453" s="194"/>
      <c r="AA453" s="185"/>
      <c r="AB453" s="185"/>
      <c r="AC453" s="7"/>
      <c r="AD453" s="7"/>
      <c r="AE453" s="7"/>
      <c r="AF453" s="7"/>
      <c r="AG453" s="759">
        <f>SUM(U453,V453,W453,X453,Y453,Z453,AA453,AB453,AC453,AD453,AE453,AF453)</f>
        <v>0</v>
      </c>
      <c r="AH453" s="853">
        <v>3000000323</v>
      </c>
      <c r="AI453" s="6"/>
      <c r="AJ453" s="855">
        <v>17767050</v>
      </c>
      <c r="AK453" s="856">
        <v>20000000</v>
      </c>
      <c r="AL453" s="758">
        <v>44700000</v>
      </c>
      <c r="AM453" s="758">
        <v>10250000</v>
      </c>
      <c r="AN453" s="524">
        <v>0</v>
      </c>
      <c r="AO453" s="758">
        <v>0</v>
      </c>
      <c r="AP453" s="758">
        <v>0</v>
      </c>
      <c r="AQ453" s="518">
        <v>0</v>
      </c>
      <c r="AR453" s="518"/>
      <c r="AS453" s="518"/>
      <c r="AT453" s="518"/>
      <c r="AU453" s="518">
        <f>BI453</f>
        <v>0</v>
      </c>
      <c r="AV453" s="518">
        <f>BJ453</f>
        <v>0</v>
      </c>
      <c r="AW453" s="518">
        <f>BK453</f>
        <v>0</v>
      </c>
      <c r="AX453" s="518">
        <f t="shared" si="273"/>
        <v>92717050</v>
      </c>
      <c r="AY453" s="853">
        <v>0</v>
      </c>
      <c r="AZ453" s="6"/>
      <c r="BA453" s="855">
        <v>17767050</v>
      </c>
      <c r="BB453" s="856">
        <v>20000000</v>
      </c>
      <c r="BC453" s="758">
        <v>44700000</v>
      </c>
      <c r="BD453" s="758">
        <v>10250000</v>
      </c>
      <c r="BE453" s="524">
        <v>0</v>
      </c>
      <c r="BF453" s="758">
        <v>0</v>
      </c>
      <c r="BG453" s="518">
        <f>AP453</f>
        <v>0</v>
      </c>
      <c r="BH453" s="758">
        <v>0</v>
      </c>
      <c r="BI453" s="758">
        <v>0</v>
      </c>
      <c r="BJ453" s="758">
        <v>0</v>
      </c>
      <c r="BK453" s="758">
        <v>0</v>
      </c>
      <c r="BL453" s="759">
        <f>SUM(AZ453,BA453,BB453,BC453,BD453,BE453,BF453,BG453,BH453,BI453,BJ453,BK453)</f>
        <v>92717050</v>
      </c>
      <c r="BN453" s="758">
        <v>0</v>
      </c>
      <c r="BO453" s="758">
        <v>0</v>
      </c>
      <c r="BP453" s="758">
        <v>0</v>
      </c>
      <c r="BQ453" s="758">
        <v>0</v>
      </c>
      <c r="BR453" s="758">
        <v>0</v>
      </c>
      <c r="BS453" s="758">
        <v>0</v>
      </c>
      <c r="BT453" s="758">
        <v>0</v>
      </c>
      <c r="BU453" s="758">
        <v>0</v>
      </c>
      <c r="BV453" s="758">
        <v>0</v>
      </c>
      <c r="BW453" s="758">
        <v>0</v>
      </c>
      <c r="BX453" s="758">
        <v>0</v>
      </c>
      <c r="BY453" s="758">
        <v>0</v>
      </c>
      <c r="BZ453" s="791">
        <v>0</v>
      </c>
      <c r="CB453" s="758">
        <v>0</v>
      </c>
      <c r="CC453" s="758">
        <v>0</v>
      </c>
      <c r="CD453" s="758">
        <v>0</v>
      </c>
      <c r="CE453" s="758">
        <v>0</v>
      </c>
      <c r="CF453" s="758">
        <v>0</v>
      </c>
      <c r="CG453" s="758">
        <v>0</v>
      </c>
      <c r="CH453" s="758">
        <v>0</v>
      </c>
      <c r="CI453" s="758">
        <v>0</v>
      </c>
      <c r="CJ453" s="758">
        <v>0</v>
      </c>
      <c r="CK453" s="758">
        <v>0</v>
      </c>
      <c r="CL453" s="758">
        <v>0</v>
      </c>
      <c r="CM453" s="758">
        <v>0</v>
      </c>
      <c r="CN453" s="791">
        <v>0</v>
      </c>
      <c r="CP453" s="653">
        <v>0</v>
      </c>
      <c r="CQ453" s="653"/>
      <c r="CR453" s="524"/>
      <c r="CS453" s="653"/>
      <c r="CT453" s="524"/>
      <c r="CU453" s="653"/>
      <c r="CV453" s="524"/>
      <c r="CW453" s="653"/>
      <c r="CX453" s="524"/>
      <c r="CY453" s="653"/>
      <c r="CZ453" s="524"/>
      <c r="DA453" s="653"/>
      <c r="DB453" s="524"/>
      <c r="DC453" s="653">
        <v>0</v>
      </c>
      <c r="DD453" s="524"/>
      <c r="DE453" s="758"/>
      <c r="DF453" s="524"/>
      <c r="DG453" s="757"/>
      <c r="DH453" s="758"/>
      <c r="DI453" s="524"/>
      <c r="DJ453" s="757"/>
      <c r="DK453" s="758"/>
      <c r="DL453" s="524"/>
      <c r="DM453" s="757"/>
      <c r="DN453" s="758"/>
      <c r="DO453" s="524"/>
      <c r="DP453" s="757"/>
      <c r="DQ453" s="493">
        <f t="shared" si="274"/>
        <v>0</v>
      </c>
      <c r="DR453" s="479">
        <f t="shared" si="277"/>
        <v>0</v>
      </c>
      <c r="DS453" s="1019"/>
      <c r="DT453" s="1019"/>
      <c r="DU453" s="1019"/>
      <c r="DV453" s="1019"/>
      <c r="DW453" s="1019"/>
      <c r="DX453" s="1019"/>
      <c r="DY453" s="1019"/>
      <c r="DZ453" s="1019"/>
      <c r="EA453" s="1019"/>
      <c r="EB453" s="1019"/>
      <c r="EC453" s="1019"/>
      <c r="ED453" s="1019"/>
      <c r="EE453" s="1119">
        <f t="shared" si="275"/>
        <v>0</v>
      </c>
      <c r="EF453" s="443">
        <f>EE453*1.17</f>
        <v>0</v>
      </c>
      <c r="EG453" s="443">
        <f>EF453*1.08</f>
        <v>0</v>
      </c>
      <c r="EH453" s="443">
        <f>EG453*1.09</f>
        <v>0</v>
      </c>
      <c r="EI453" s="443">
        <f>EH453*1.09</f>
        <v>0</v>
      </c>
      <c r="EJ453" s="367">
        <v>3000000323</v>
      </c>
      <c r="EL453" s="177"/>
      <c r="EM453" s="177"/>
      <c r="EN453" s="177"/>
    </row>
    <row r="454" spans="1:144" outlineLevel="2">
      <c r="A454" s="367" t="s">
        <v>291</v>
      </c>
      <c r="B454" s="378"/>
      <c r="C454" s="370" t="s">
        <v>688</v>
      </c>
      <c r="D454" s="370" t="s">
        <v>40</v>
      </c>
      <c r="E454" s="403" t="s">
        <v>47</v>
      </c>
      <c r="F454" s="380">
        <v>3000015223</v>
      </c>
      <c r="G454" s="6"/>
      <c r="H454" s="26"/>
      <c r="I454" s="185"/>
      <c r="J454" s="185"/>
      <c r="K454" s="185"/>
      <c r="L454" s="185"/>
      <c r="M454" s="185"/>
      <c r="N454" s="185"/>
      <c r="O454" s="185"/>
      <c r="P454" s="185"/>
      <c r="Q454" s="185"/>
      <c r="R454" s="185"/>
      <c r="S454" s="14"/>
      <c r="T454" s="15"/>
      <c r="U454" s="6"/>
      <c r="V454" s="26"/>
      <c r="W454" s="185"/>
      <c r="X454" s="185"/>
      <c r="Y454" s="185"/>
      <c r="Z454" s="185"/>
      <c r="AA454" s="185"/>
      <c r="AB454" s="185"/>
      <c r="AC454" s="185"/>
      <c r="AD454" s="185"/>
      <c r="AE454" s="185"/>
      <c r="AF454" s="185"/>
      <c r="AG454" s="759"/>
      <c r="AH454" s="811"/>
      <c r="AI454" s="6"/>
      <c r="AJ454" s="824"/>
      <c r="AK454" s="758"/>
      <c r="AL454" s="758"/>
      <c r="AM454" s="758"/>
      <c r="AN454" s="758"/>
      <c r="AO454" s="758"/>
      <c r="AP454" s="758"/>
      <c r="AQ454" s="518"/>
      <c r="AR454" s="813"/>
      <c r="AS454" s="518"/>
      <c r="AT454" s="518"/>
      <c r="AU454" s="758"/>
      <c r="AV454" s="758"/>
      <c r="AW454" s="758"/>
      <c r="AX454" s="518">
        <f t="shared" si="273"/>
        <v>0</v>
      </c>
      <c r="AY454" s="811"/>
      <c r="AZ454" s="6"/>
      <c r="BA454" s="824"/>
      <c r="BB454" s="758"/>
      <c r="BC454" s="758"/>
      <c r="BD454" s="758"/>
      <c r="BE454" s="758"/>
      <c r="BF454" s="758"/>
      <c r="BG454" s="758"/>
      <c r="BH454" s="758"/>
      <c r="BI454" s="758"/>
      <c r="BJ454" s="758"/>
      <c r="BK454" s="758"/>
      <c r="BL454" s="518"/>
      <c r="BN454" s="6"/>
      <c r="BO454" s="810"/>
      <c r="BP454" s="758"/>
      <c r="BQ454" s="758"/>
      <c r="BR454" s="758"/>
      <c r="BS454" s="758"/>
      <c r="BT454" s="758"/>
      <c r="BU454" s="758"/>
      <c r="BV454" s="758"/>
      <c r="BW454" s="758"/>
      <c r="BX454" s="758"/>
      <c r="BY454" s="758"/>
      <c r="BZ454" s="791">
        <v>0</v>
      </c>
      <c r="CB454" s="6"/>
      <c r="CC454" s="810"/>
      <c r="CD454" s="758"/>
      <c r="CE454" s="758"/>
      <c r="CF454" s="758"/>
      <c r="CG454" s="758"/>
      <c r="CH454" s="758"/>
      <c r="CI454" s="758"/>
      <c r="CJ454" s="758"/>
      <c r="CK454" s="758"/>
      <c r="CL454" s="758"/>
      <c r="CM454" s="758"/>
      <c r="CN454" s="791">
        <v>0</v>
      </c>
      <c r="CP454" s="656">
        <v>45283621</v>
      </c>
      <c r="CQ454" s="656">
        <v>-4770519</v>
      </c>
      <c r="CR454" s="520"/>
      <c r="CS454" s="656">
        <v>51934718</v>
      </c>
      <c r="CT454" s="520">
        <v>20000000</v>
      </c>
      <c r="CU454" s="656">
        <v>23094400</v>
      </c>
      <c r="CV454" s="520">
        <v>25000000</v>
      </c>
      <c r="CW454" s="656">
        <v>9965494</v>
      </c>
      <c r="CX454" s="520">
        <v>20000000</v>
      </c>
      <c r="CY454" s="656">
        <v>74764930</v>
      </c>
      <c r="CZ454" s="520">
        <v>20000000</v>
      </c>
      <c r="DA454" s="656">
        <v>176492523</v>
      </c>
      <c r="DB454" s="520">
        <v>30000000</v>
      </c>
      <c r="DC454" s="656">
        <v>179977902</v>
      </c>
      <c r="DD454" s="520">
        <v>30000000</v>
      </c>
      <c r="DE454" s="758"/>
      <c r="DF454" s="520">
        <v>30000000</v>
      </c>
      <c r="DG454" s="757">
        <v>30000000</v>
      </c>
      <c r="DH454" s="758"/>
      <c r="DI454" s="520">
        <v>30000000</v>
      </c>
      <c r="DJ454" s="757">
        <v>30000000</v>
      </c>
      <c r="DK454" s="758"/>
      <c r="DL454" s="520">
        <v>30000000</v>
      </c>
      <c r="DM454" s="757">
        <v>30000000</v>
      </c>
      <c r="DN454" s="758"/>
      <c r="DO454" s="520">
        <v>30000000</v>
      </c>
      <c r="DP454" s="757">
        <v>30000000</v>
      </c>
      <c r="DQ454" s="493">
        <f t="shared" si="274"/>
        <v>676743069</v>
      </c>
      <c r="DR454" s="479">
        <f t="shared" si="277"/>
        <v>335542220</v>
      </c>
      <c r="DS454" s="1019">
        <v>30000000</v>
      </c>
      <c r="DT454" s="1019">
        <v>30000000</v>
      </c>
      <c r="DU454" s="1019">
        <v>30000000</v>
      </c>
      <c r="DV454" s="1019">
        <v>30000000</v>
      </c>
      <c r="DW454" s="1019">
        <v>30000000</v>
      </c>
      <c r="DX454" s="1019">
        <v>30000000</v>
      </c>
      <c r="DY454" s="1019">
        <v>30000000</v>
      </c>
      <c r="DZ454" s="1019">
        <v>30000000</v>
      </c>
      <c r="EA454" s="1019">
        <v>30000000</v>
      </c>
      <c r="EB454" s="1019">
        <v>30000000</v>
      </c>
      <c r="EC454" s="1019">
        <v>30000000</v>
      </c>
      <c r="ED454" s="1019">
        <v>30000000</v>
      </c>
      <c r="EE454" s="1119">
        <f t="shared" si="275"/>
        <v>360000000</v>
      </c>
      <c r="EF454" s="447"/>
      <c r="EG454" s="447"/>
      <c r="EH454" s="447"/>
      <c r="EI454" s="447"/>
      <c r="EL454" s="177"/>
      <c r="EM454" s="177"/>
      <c r="EN454" s="177"/>
    </row>
    <row r="455" spans="1:144" outlineLevel="2">
      <c r="A455" s="367" t="s">
        <v>291</v>
      </c>
      <c r="B455" s="378"/>
      <c r="C455" s="370" t="s">
        <v>688</v>
      </c>
      <c r="D455" s="370" t="s">
        <v>40</v>
      </c>
      <c r="E455" s="383" t="s">
        <v>692</v>
      </c>
      <c r="F455" s="380">
        <v>3000015126</v>
      </c>
      <c r="G455" s="189"/>
      <c r="H455" s="13"/>
      <c r="I455" s="185"/>
      <c r="J455" s="185"/>
      <c r="K455" s="185"/>
      <c r="L455" s="194"/>
      <c r="M455" s="185"/>
      <c r="N455" s="185"/>
      <c r="O455" s="7"/>
      <c r="P455" s="7"/>
      <c r="Q455" s="7"/>
      <c r="R455" s="7"/>
      <c r="S455" s="14">
        <f>SUM(G455,H455,I455,J455,K455,L455,M455,N455,O455,P455,Q455,R455)</f>
        <v>0</v>
      </c>
      <c r="T455" s="179"/>
      <c r="U455" s="189"/>
      <c r="V455" s="13"/>
      <c r="W455" s="185"/>
      <c r="X455" s="185"/>
      <c r="Y455" s="185"/>
      <c r="Z455" s="194"/>
      <c r="AA455" s="185"/>
      <c r="AB455" s="185"/>
      <c r="AC455" s="7"/>
      <c r="AD455" s="7"/>
      <c r="AE455" s="7"/>
      <c r="AF455" s="7"/>
      <c r="AG455" s="759">
        <f>SUM(U455,V455,W455,X455,Y455,Z455,AA455,AB455,AC455,AD455,AE455,AF455)</f>
        <v>0</v>
      </c>
      <c r="AH455" s="853">
        <v>3000015126</v>
      </c>
      <c r="AI455" s="189"/>
      <c r="AJ455" s="810"/>
      <c r="AK455" s="758"/>
      <c r="AL455" s="758">
        <v>0</v>
      </c>
      <c r="AM455" s="758">
        <v>0</v>
      </c>
      <c r="AN455" s="524">
        <v>0</v>
      </c>
      <c r="AO455" s="758">
        <v>0</v>
      </c>
      <c r="AP455" s="758">
        <v>2485442</v>
      </c>
      <c r="AQ455" s="518">
        <v>0</v>
      </c>
      <c r="AR455" s="518"/>
      <c r="AS455" s="518"/>
      <c r="AT455" s="518"/>
      <c r="AU455" s="518">
        <f t="shared" ref="AU455:AW456" si="278">BI455</f>
        <v>0</v>
      </c>
      <c r="AV455" s="518">
        <f t="shared" si="278"/>
        <v>0</v>
      </c>
      <c r="AW455" s="518">
        <f t="shared" si="278"/>
        <v>0</v>
      </c>
      <c r="AX455" s="518">
        <f t="shared" si="273"/>
        <v>2485442</v>
      </c>
      <c r="AY455" s="853">
        <v>0</v>
      </c>
      <c r="AZ455" s="189"/>
      <c r="BA455" s="810"/>
      <c r="BB455" s="758"/>
      <c r="BC455" s="758">
        <v>0</v>
      </c>
      <c r="BD455" s="758">
        <v>0</v>
      </c>
      <c r="BE455" s="524">
        <v>0</v>
      </c>
      <c r="BF455" s="758">
        <v>0</v>
      </c>
      <c r="BG455" s="518">
        <f>AP455</f>
        <v>2485442</v>
      </c>
      <c r="BH455" s="758">
        <v>0</v>
      </c>
      <c r="BI455" s="758">
        <v>0</v>
      </c>
      <c r="BJ455" s="758">
        <v>0</v>
      </c>
      <c r="BK455" s="758">
        <v>0</v>
      </c>
      <c r="BL455" s="759">
        <f>SUM(AZ455,BA455,BB455,BC455,BD455,BE455,BF455,BG455,BH455,BI455,BJ455,BK455)</f>
        <v>2485442</v>
      </c>
      <c r="BN455" s="758">
        <v>0</v>
      </c>
      <c r="BO455" s="758">
        <v>0</v>
      </c>
      <c r="BP455" s="758">
        <v>0</v>
      </c>
      <c r="BQ455" s="758">
        <v>0</v>
      </c>
      <c r="BR455" s="758">
        <v>0</v>
      </c>
      <c r="BS455" s="758">
        <v>0</v>
      </c>
      <c r="BT455" s="758">
        <v>0</v>
      </c>
      <c r="BU455" s="758">
        <v>0</v>
      </c>
      <c r="BV455" s="758">
        <v>0</v>
      </c>
      <c r="BW455" s="758">
        <v>0</v>
      </c>
      <c r="BX455" s="758">
        <v>0</v>
      </c>
      <c r="BY455" s="758">
        <v>0</v>
      </c>
      <c r="BZ455" s="791">
        <v>0</v>
      </c>
      <c r="CB455" s="758">
        <v>0</v>
      </c>
      <c r="CC455" s="758">
        <v>0</v>
      </c>
      <c r="CD455" s="758">
        <v>0</v>
      </c>
      <c r="CE455" s="758">
        <v>0</v>
      </c>
      <c r="CF455" s="758">
        <v>0</v>
      </c>
      <c r="CG455" s="758">
        <v>0</v>
      </c>
      <c r="CH455" s="758">
        <v>0</v>
      </c>
      <c r="CI455" s="758">
        <v>0</v>
      </c>
      <c r="CJ455" s="758">
        <v>0</v>
      </c>
      <c r="CK455" s="758">
        <v>0</v>
      </c>
      <c r="CL455" s="758">
        <v>0</v>
      </c>
      <c r="CM455" s="758">
        <v>0</v>
      </c>
      <c r="CN455" s="791">
        <v>0</v>
      </c>
      <c r="CP455" s="653">
        <v>0</v>
      </c>
      <c r="CQ455" s="653"/>
      <c r="CR455" s="524"/>
      <c r="CS455" s="653"/>
      <c r="CT455" s="524"/>
      <c r="CU455" s="653"/>
      <c r="CV455" s="524"/>
      <c r="CW455" s="653"/>
      <c r="CX455" s="524"/>
      <c r="CY455" s="653"/>
      <c r="CZ455" s="524"/>
      <c r="DA455" s="653"/>
      <c r="DB455" s="524"/>
      <c r="DC455" s="653">
        <v>0</v>
      </c>
      <c r="DD455" s="524"/>
      <c r="DE455" s="758"/>
      <c r="DF455" s="524"/>
      <c r="DG455" s="757"/>
      <c r="DH455" s="758"/>
      <c r="DI455" s="524"/>
      <c r="DJ455" s="757"/>
      <c r="DK455" s="758"/>
      <c r="DL455" s="524"/>
      <c r="DM455" s="757"/>
      <c r="DN455" s="758"/>
      <c r="DO455" s="524"/>
      <c r="DP455" s="757"/>
      <c r="DQ455" s="493">
        <f t="shared" si="274"/>
        <v>0</v>
      </c>
      <c r="DR455" s="479">
        <f t="shared" si="277"/>
        <v>0</v>
      </c>
      <c r="DS455" s="1019"/>
      <c r="DT455" s="1019"/>
      <c r="DU455" s="1019"/>
      <c r="DV455" s="1019"/>
      <c r="DW455" s="1019"/>
      <c r="DX455" s="1019"/>
      <c r="DY455" s="1019"/>
      <c r="DZ455" s="1019"/>
      <c r="EA455" s="1019"/>
      <c r="EB455" s="1019"/>
      <c r="EC455" s="1019"/>
      <c r="ED455" s="1019"/>
      <c r="EE455" s="1119">
        <f t="shared" si="275"/>
        <v>0</v>
      </c>
      <c r="EF455" s="443">
        <f>EE455*1.17</f>
        <v>0</v>
      </c>
      <c r="EG455" s="443">
        <f>EF455*1.08</f>
        <v>0</v>
      </c>
      <c r="EH455" s="443">
        <f>EG455*1.09</f>
        <v>0</v>
      </c>
      <c r="EI455" s="443">
        <f>EH455*1.09</f>
        <v>0</v>
      </c>
      <c r="EJ455" s="367">
        <v>3000015126</v>
      </c>
      <c r="EL455" s="177"/>
      <c r="EM455" s="177"/>
      <c r="EN455" s="177"/>
    </row>
    <row r="456" spans="1:144" outlineLevel="2">
      <c r="A456" s="367" t="s">
        <v>291</v>
      </c>
      <c r="B456" s="378"/>
      <c r="C456" s="370" t="s">
        <v>688</v>
      </c>
      <c r="D456" s="370" t="s">
        <v>40</v>
      </c>
      <c r="E456" s="383" t="s">
        <v>52</v>
      </c>
      <c r="F456" s="380">
        <v>3000018850</v>
      </c>
      <c r="G456" s="16"/>
      <c r="H456" s="152"/>
      <c r="I456" s="195"/>
      <c r="J456" s="185"/>
      <c r="K456" s="185"/>
      <c r="L456" s="194"/>
      <c r="M456" s="185"/>
      <c r="N456" s="185"/>
      <c r="O456" s="7"/>
      <c r="P456" s="7"/>
      <c r="Q456" s="7"/>
      <c r="R456" s="7"/>
      <c r="S456" s="14">
        <f>SUM(G456,H456,I456,J456,K456,L456,M456,N456,O456,P456,Q456,R456)</f>
        <v>0</v>
      </c>
      <c r="T456" s="15"/>
      <c r="U456" s="16"/>
      <c r="V456" s="152"/>
      <c r="W456" s="195"/>
      <c r="X456" s="185"/>
      <c r="Y456" s="185"/>
      <c r="Z456" s="194"/>
      <c r="AA456" s="185"/>
      <c r="AB456" s="185"/>
      <c r="AC456" s="7"/>
      <c r="AD456" s="7"/>
      <c r="AE456" s="7"/>
      <c r="AF456" s="7"/>
      <c r="AG456" s="759">
        <f>SUM(U456,V456,W456,X456,Y456,Z456,AA456,AB456,AC456,AD456,AE456,AF456)</f>
        <v>0</v>
      </c>
      <c r="AH456" s="853">
        <v>3000018850</v>
      </c>
      <c r="AI456" s="812">
        <v>26900000</v>
      </c>
      <c r="AJ456" s="857">
        <v>12700000</v>
      </c>
      <c r="AK456" s="854"/>
      <c r="AL456" s="758">
        <v>31450000</v>
      </c>
      <c r="AM456" s="758">
        <v>9100000</v>
      </c>
      <c r="AN456" s="524">
        <v>9100000</v>
      </c>
      <c r="AO456" s="758">
        <v>22750000</v>
      </c>
      <c r="AP456" s="758">
        <v>23800000</v>
      </c>
      <c r="AQ456" s="518">
        <v>13300000</v>
      </c>
      <c r="AR456" s="813">
        <v>0</v>
      </c>
      <c r="AS456" s="813">
        <v>0</v>
      </c>
      <c r="AT456" s="813">
        <v>47152800</v>
      </c>
      <c r="AU456" s="518">
        <f t="shared" si="278"/>
        <v>16000000</v>
      </c>
      <c r="AV456" s="518">
        <f t="shared" si="278"/>
        <v>16000000</v>
      </c>
      <c r="AW456" s="518">
        <f t="shared" si="278"/>
        <v>16000000</v>
      </c>
      <c r="AX456" s="518">
        <f t="shared" si="273"/>
        <v>196252800</v>
      </c>
      <c r="AY456" s="853" t="e">
        <v>#N/A</v>
      </c>
      <c r="AZ456" s="812">
        <v>26900000</v>
      </c>
      <c r="BA456" s="857">
        <v>12700000</v>
      </c>
      <c r="BB456" s="854"/>
      <c r="BC456" s="758">
        <v>31450000</v>
      </c>
      <c r="BD456" s="758">
        <v>9100000</v>
      </c>
      <c r="BE456" s="524">
        <v>9100000</v>
      </c>
      <c r="BF456" s="758">
        <v>22750000</v>
      </c>
      <c r="BG456" s="518">
        <f>AP456</f>
        <v>23800000</v>
      </c>
      <c r="BH456" s="758">
        <v>16000000</v>
      </c>
      <c r="BI456" s="758">
        <v>16000000</v>
      </c>
      <c r="BJ456" s="758">
        <v>16000000</v>
      </c>
      <c r="BK456" s="758">
        <v>16000000</v>
      </c>
      <c r="BL456" s="759">
        <f>SUM(AZ456,BA456,BB456,BC456,BD456,BE456,BF456,BG456,BH456,BI456,BJ456,BK456)</f>
        <v>199800000</v>
      </c>
      <c r="BN456" s="758">
        <v>17000000</v>
      </c>
      <c r="BO456" s="758">
        <v>17000000</v>
      </c>
      <c r="BP456" s="758">
        <v>17000000</v>
      </c>
      <c r="BQ456" s="758">
        <v>17000000</v>
      </c>
      <c r="BR456" s="758">
        <v>17000000</v>
      </c>
      <c r="BS456" s="758">
        <v>17000000</v>
      </c>
      <c r="BT456" s="758">
        <v>17000000</v>
      </c>
      <c r="BU456" s="758">
        <v>17000000</v>
      </c>
      <c r="BV456" s="758">
        <v>17000000</v>
      </c>
      <c r="BW456" s="758">
        <v>17000000</v>
      </c>
      <c r="BX456" s="758">
        <v>17000000</v>
      </c>
      <c r="BY456" s="758">
        <v>17000000</v>
      </c>
      <c r="BZ456" s="791">
        <v>204000000</v>
      </c>
      <c r="CB456" s="758">
        <v>17000000</v>
      </c>
      <c r="CC456" s="758">
        <v>17000000</v>
      </c>
      <c r="CD456" s="758">
        <v>17000000</v>
      </c>
      <c r="CE456" s="758">
        <v>17000000</v>
      </c>
      <c r="CF456" s="758">
        <v>17000000</v>
      </c>
      <c r="CG456" s="758">
        <v>17000000</v>
      </c>
      <c r="CH456" s="758">
        <v>17000000</v>
      </c>
      <c r="CI456" s="758">
        <v>17000000</v>
      </c>
      <c r="CJ456" s="758">
        <v>17000000</v>
      </c>
      <c r="CK456" s="758">
        <v>17000000</v>
      </c>
      <c r="CL456" s="758">
        <v>17000000</v>
      </c>
      <c r="CM456" s="758">
        <v>17000000</v>
      </c>
      <c r="CN456" s="791">
        <v>204000000</v>
      </c>
      <c r="CP456" s="653">
        <v>206429498</v>
      </c>
      <c r="CQ456" s="653"/>
      <c r="CR456" s="524">
        <v>10000000</v>
      </c>
      <c r="CS456" s="653"/>
      <c r="CT456" s="524"/>
      <c r="CU456" s="653"/>
      <c r="CV456" s="524"/>
      <c r="CW456" s="653"/>
      <c r="CX456" s="524"/>
      <c r="CY456" s="653"/>
      <c r="CZ456" s="524"/>
      <c r="DA456" s="653"/>
      <c r="DB456" s="524"/>
      <c r="DC456" s="653">
        <v>0</v>
      </c>
      <c r="DD456" s="524"/>
      <c r="DE456" s="758"/>
      <c r="DF456" s="524"/>
      <c r="DG456" s="757"/>
      <c r="DH456" s="758"/>
      <c r="DI456" s="524"/>
      <c r="DJ456" s="757"/>
      <c r="DK456" s="758"/>
      <c r="DL456" s="524">
        <v>50000000</v>
      </c>
      <c r="DM456" s="757">
        <v>50000000</v>
      </c>
      <c r="DN456" s="758"/>
      <c r="DO456" s="524">
        <v>50000000</v>
      </c>
      <c r="DP456" s="757">
        <v>50000000</v>
      </c>
      <c r="DQ456" s="493">
        <f t="shared" si="274"/>
        <v>306429498</v>
      </c>
      <c r="DR456" s="479">
        <f t="shared" si="277"/>
        <v>306429498</v>
      </c>
      <c r="DS456" s="1019"/>
      <c r="DT456" s="1019"/>
      <c r="DU456" s="1019"/>
      <c r="DV456" s="1019"/>
      <c r="DW456" s="1019"/>
      <c r="DX456" s="1019"/>
      <c r="DY456" s="1019"/>
      <c r="DZ456" s="1019"/>
      <c r="EA456" s="1019"/>
      <c r="EB456" s="1019"/>
      <c r="EC456" s="1019"/>
      <c r="ED456" s="1019"/>
      <c r="EE456" s="1119">
        <f t="shared" si="275"/>
        <v>0</v>
      </c>
      <c r="EF456" s="443">
        <f>EE456*1.17</f>
        <v>0</v>
      </c>
      <c r="EG456" s="443">
        <f>EF456*1.08</f>
        <v>0</v>
      </c>
      <c r="EH456" s="443">
        <f>EG456*1.09</f>
        <v>0</v>
      </c>
      <c r="EI456" s="443">
        <f>EH456*1.09</f>
        <v>0</v>
      </c>
      <c r="EJ456" s="367">
        <v>3000018850</v>
      </c>
      <c r="EL456" s="177"/>
      <c r="EM456" s="177"/>
      <c r="EN456" s="177"/>
    </row>
    <row r="457" spans="1:144" outlineLevel="2">
      <c r="A457" s="367" t="s">
        <v>291</v>
      </c>
      <c r="B457" s="378"/>
      <c r="C457" s="370" t="s">
        <v>688</v>
      </c>
      <c r="D457" s="370" t="s">
        <v>40</v>
      </c>
      <c r="E457" s="403" t="s">
        <v>693</v>
      </c>
      <c r="F457" s="380">
        <v>3000020382</v>
      </c>
      <c r="G457" s="189"/>
      <c r="H457" s="13"/>
      <c r="I457" s="185"/>
      <c r="J457" s="185"/>
      <c r="K457" s="185"/>
      <c r="L457" s="185"/>
      <c r="M457" s="185"/>
      <c r="N457" s="185"/>
      <c r="O457" s="185"/>
      <c r="P457" s="185"/>
      <c r="Q457" s="185"/>
      <c r="R457" s="185"/>
      <c r="S457" s="14"/>
      <c r="T457" s="179"/>
      <c r="U457" s="189"/>
      <c r="V457" s="13"/>
      <c r="W457" s="185"/>
      <c r="X457" s="185"/>
      <c r="Y457" s="185"/>
      <c r="Z457" s="185"/>
      <c r="AA457" s="185"/>
      <c r="AB457" s="185"/>
      <c r="AC457" s="185"/>
      <c r="AD457" s="185"/>
      <c r="AE457" s="185"/>
      <c r="AF457" s="185"/>
      <c r="AG457" s="759"/>
      <c r="AH457" s="811"/>
      <c r="AI457" s="189"/>
      <c r="AJ457" s="810"/>
      <c r="AK457" s="758"/>
      <c r="AL457" s="758"/>
      <c r="AM457" s="758"/>
      <c r="AN457" s="758"/>
      <c r="AO457" s="758"/>
      <c r="AP457" s="758"/>
      <c r="AQ457" s="518"/>
      <c r="AR457" s="813"/>
      <c r="AS457" s="518">
        <v>3381265</v>
      </c>
      <c r="AT457" s="518">
        <v>7285614</v>
      </c>
      <c r="AU457" s="758"/>
      <c r="AV457" s="758"/>
      <c r="AW457" s="758"/>
      <c r="AX457" s="518">
        <f t="shared" si="273"/>
        <v>10666879</v>
      </c>
      <c r="AY457" s="811"/>
      <c r="AZ457" s="189"/>
      <c r="BA457" s="810"/>
      <c r="BB457" s="758"/>
      <c r="BC457" s="758"/>
      <c r="BD457" s="758"/>
      <c r="BE457" s="758"/>
      <c r="BF457" s="758"/>
      <c r="BG457" s="758"/>
      <c r="BH457" s="758"/>
      <c r="BI457" s="758"/>
      <c r="BJ457" s="758"/>
      <c r="BK457" s="758"/>
      <c r="BL457" s="518"/>
      <c r="BN457" s="6"/>
      <c r="BO457" s="810"/>
      <c r="BP457" s="758"/>
      <c r="BQ457" s="758"/>
      <c r="BR457" s="758"/>
      <c r="BS457" s="758"/>
      <c r="BT457" s="758"/>
      <c r="BU457" s="758"/>
      <c r="BV457" s="758"/>
      <c r="BW457" s="758"/>
      <c r="BX457" s="758"/>
      <c r="BY457" s="758"/>
      <c r="BZ457" s="791">
        <v>0</v>
      </c>
      <c r="CB457" s="6"/>
      <c r="CC457" s="810"/>
      <c r="CD457" s="758"/>
      <c r="CE457" s="758"/>
      <c r="CF457" s="758"/>
      <c r="CG457" s="758"/>
      <c r="CH457" s="758"/>
      <c r="CI457" s="758"/>
      <c r="CJ457" s="758"/>
      <c r="CK457" s="758"/>
      <c r="CL457" s="758"/>
      <c r="CM457" s="758"/>
      <c r="CN457" s="791">
        <v>0</v>
      </c>
      <c r="CP457" s="656">
        <v>7736000</v>
      </c>
      <c r="CQ457" s="656"/>
      <c r="CR457" s="520"/>
      <c r="CS457" s="656"/>
      <c r="CT457" s="520"/>
      <c r="CU457" s="656"/>
      <c r="CV457" s="520"/>
      <c r="CW457" s="656"/>
      <c r="CX457" s="520"/>
      <c r="CY457" s="656"/>
      <c r="CZ457" s="520"/>
      <c r="DA457" s="656">
        <v>7788500</v>
      </c>
      <c r="DB457" s="520"/>
      <c r="DC457" s="656">
        <v>7841000</v>
      </c>
      <c r="DD457" s="520"/>
      <c r="DE457" s="758"/>
      <c r="DF457" s="520"/>
      <c r="DG457" s="757"/>
      <c r="DH457" s="758"/>
      <c r="DI457" s="520"/>
      <c r="DJ457" s="757"/>
      <c r="DK457" s="758"/>
      <c r="DL457" s="520"/>
      <c r="DM457" s="757"/>
      <c r="DN457" s="758"/>
      <c r="DO457" s="520"/>
      <c r="DP457" s="757"/>
      <c r="DQ457" s="493">
        <f t="shared" si="274"/>
        <v>23365500</v>
      </c>
      <c r="DR457" s="479">
        <f t="shared" si="277"/>
        <v>7736000</v>
      </c>
      <c r="DS457" s="1019"/>
      <c r="DT457" s="1019"/>
      <c r="DU457" s="1019"/>
      <c r="DV457" s="1019"/>
      <c r="DW457" s="1019"/>
      <c r="DX457" s="1019"/>
      <c r="DY457" s="1019"/>
      <c r="DZ457" s="1019"/>
      <c r="EA457" s="1019"/>
      <c r="EB457" s="1019"/>
      <c r="EC457" s="1019"/>
      <c r="ED457" s="1019"/>
      <c r="EE457" s="1119">
        <f t="shared" si="275"/>
        <v>0</v>
      </c>
      <c r="EF457" s="447"/>
      <c r="EG457" s="447"/>
      <c r="EH457" s="447"/>
      <c r="EI457" s="447"/>
      <c r="EL457" s="177"/>
      <c r="EM457" s="177"/>
      <c r="EN457" s="177"/>
    </row>
    <row r="458" spans="1:144" outlineLevel="2">
      <c r="A458" s="367" t="s">
        <v>159</v>
      </c>
      <c r="B458" s="378"/>
      <c r="C458" s="370" t="s">
        <v>688</v>
      </c>
      <c r="D458" s="370" t="s">
        <v>40</v>
      </c>
      <c r="E458" s="383" t="s">
        <v>694</v>
      </c>
      <c r="F458" s="380">
        <v>3000016841</v>
      </c>
      <c r="G458" s="189"/>
      <c r="H458" s="28"/>
      <c r="I458" s="195"/>
      <c r="J458" s="185"/>
      <c r="K458" s="185"/>
      <c r="L458" s="194"/>
      <c r="M458" s="185"/>
      <c r="N458" s="185"/>
      <c r="O458" s="7"/>
      <c r="P458" s="7"/>
      <c r="Q458" s="7"/>
      <c r="R458" s="7"/>
      <c r="S458" s="14">
        <f>SUM(G458,H458,I458,J458,K458,L458,M458,N458,O458,P458,Q458,R458)</f>
        <v>0</v>
      </c>
      <c r="T458" s="179"/>
      <c r="U458" s="189"/>
      <c r="V458" s="28"/>
      <c r="W458" s="195"/>
      <c r="X458" s="185"/>
      <c r="Y458" s="185"/>
      <c r="Z458" s="194"/>
      <c r="AA458" s="185"/>
      <c r="AB458" s="185"/>
      <c r="AC458" s="7"/>
      <c r="AD458" s="7"/>
      <c r="AE458" s="7"/>
      <c r="AF458" s="7"/>
      <c r="AG458" s="759">
        <f>SUM(U458,V458,W458,X458,Y458,Z458,AA458,AB458,AC458,AD458,AE458,AF458)</f>
        <v>0</v>
      </c>
      <c r="AH458" s="853">
        <v>3000016841</v>
      </c>
      <c r="AI458" s="189"/>
      <c r="AJ458" s="855">
        <v>52900000</v>
      </c>
      <c r="AK458" s="854"/>
      <c r="AL458" s="758">
        <v>18200000</v>
      </c>
      <c r="AM458" s="758">
        <v>0</v>
      </c>
      <c r="AN458" s="524">
        <v>47750000</v>
      </c>
      <c r="AO458" s="758">
        <v>35550000</v>
      </c>
      <c r="AP458" s="758">
        <v>0</v>
      </c>
      <c r="AQ458" s="518">
        <v>0</v>
      </c>
      <c r="AR458" s="813">
        <v>73950000</v>
      </c>
      <c r="AS458" s="813">
        <v>257300000</v>
      </c>
      <c r="AT458" s="813">
        <v>52400000</v>
      </c>
      <c r="AU458" s="518">
        <f>BI458</f>
        <v>25000000</v>
      </c>
      <c r="AV458" s="518">
        <f>BJ458</f>
        <v>25000000</v>
      </c>
      <c r="AW458" s="518">
        <f>BK458</f>
        <v>25000000</v>
      </c>
      <c r="AX458" s="518">
        <f t="shared" si="273"/>
        <v>538050000</v>
      </c>
      <c r="AY458" s="853" t="e">
        <v>#N/A</v>
      </c>
      <c r="AZ458" s="189"/>
      <c r="BA458" s="855">
        <v>52900000</v>
      </c>
      <c r="BB458" s="854"/>
      <c r="BC458" s="758">
        <v>18200000</v>
      </c>
      <c r="BD458" s="758">
        <v>0</v>
      </c>
      <c r="BE458" s="524">
        <v>47750000</v>
      </c>
      <c r="BF458" s="758">
        <v>35550000</v>
      </c>
      <c r="BG458" s="518">
        <f>AP458</f>
        <v>0</v>
      </c>
      <c r="BH458" s="758">
        <v>25000000</v>
      </c>
      <c r="BI458" s="758">
        <v>25000000</v>
      </c>
      <c r="BJ458" s="758">
        <v>25000000</v>
      </c>
      <c r="BK458" s="758">
        <v>25000000</v>
      </c>
      <c r="BL458" s="759">
        <f>SUM(AZ458,BA458,BB458,BC458,BD458,BE458,BF458,BG458,BH458,BI458,BJ458,BK458)</f>
        <v>254400000</v>
      </c>
      <c r="BN458" s="758">
        <v>23000000</v>
      </c>
      <c r="BO458" s="758">
        <v>23000000</v>
      </c>
      <c r="BP458" s="758">
        <v>23000000</v>
      </c>
      <c r="BQ458" s="758">
        <v>23000000</v>
      </c>
      <c r="BR458" s="758">
        <v>23000000</v>
      </c>
      <c r="BS458" s="758">
        <v>23000000</v>
      </c>
      <c r="BT458" s="758">
        <v>23000000</v>
      </c>
      <c r="BU458" s="758">
        <v>23000000</v>
      </c>
      <c r="BV458" s="758">
        <v>23000000</v>
      </c>
      <c r="BW458" s="758">
        <v>23000000</v>
      </c>
      <c r="BX458" s="758">
        <v>23000000</v>
      </c>
      <c r="BY458" s="758">
        <v>23000000</v>
      </c>
      <c r="BZ458" s="791">
        <v>276000000</v>
      </c>
      <c r="CB458" s="758">
        <v>23000000</v>
      </c>
      <c r="CC458" s="758">
        <v>23000000</v>
      </c>
      <c r="CD458" s="758">
        <v>23000000</v>
      </c>
      <c r="CE458" s="758">
        <v>23000000</v>
      </c>
      <c r="CF458" s="758">
        <v>23000000</v>
      </c>
      <c r="CG458" s="758">
        <v>23000000</v>
      </c>
      <c r="CH458" s="758">
        <v>23000000</v>
      </c>
      <c r="CI458" s="758">
        <v>23000000</v>
      </c>
      <c r="CJ458" s="758">
        <v>23000000</v>
      </c>
      <c r="CK458" s="758">
        <v>23000000</v>
      </c>
      <c r="CL458" s="758">
        <v>23000000</v>
      </c>
      <c r="CM458" s="758">
        <v>23000000</v>
      </c>
      <c r="CN458" s="791">
        <v>276000000</v>
      </c>
      <c r="CP458" s="653"/>
      <c r="CQ458" s="653"/>
      <c r="CR458" s="524"/>
      <c r="CS458" s="653"/>
      <c r="CT458" s="524"/>
      <c r="CU458" s="653">
        <v>39500000</v>
      </c>
      <c r="CV458" s="524">
        <v>40000000</v>
      </c>
      <c r="CW458" s="653">
        <v>70000000</v>
      </c>
      <c r="CX458" s="524">
        <v>20000000</v>
      </c>
      <c r="CY458" s="653">
        <v>363700000</v>
      </c>
      <c r="CZ458" s="524">
        <f>20000000*18</f>
        <v>360000000</v>
      </c>
      <c r="DA458" s="653">
        <v>266800000</v>
      </c>
      <c r="DB458" s="524">
        <v>150000000</v>
      </c>
      <c r="DC458" s="653">
        <v>70500000</v>
      </c>
      <c r="DD458" s="524">
        <v>100000000</v>
      </c>
      <c r="DE458" s="758"/>
      <c r="DF458" s="524">
        <v>100000000</v>
      </c>
      <c r="DG458" s="757">
        <v>100000000</v>
      </c>
      <c r="DH458" s="758"/>
      <c r="DI458" s="524">
        <v>100000000</v>
      </c>
      <c r="DJ458" s="757">
        <v>100000000</v>
      </c>
      <c r="DK458" s="758"/>
      <c r="DL458" s="524">
        <v>100000000</v>
      </c>
      <c r="DM458" s="757">
        <v>100000000</v>
      </c>
      <c r="DN458" s="758"/>
      <c r="DO458" s="524">
        <v>100000000</v>
      </c>
      <c r="DP458" s="757">
        <v>100000000</v>
      </c>
      <c r="DQ458" s="493">
        <f t="shared" si="274"/>
        <v>1210500000</v>
      </c>
      <c r="DR458" s="479">
        <f t="shared" si="277"/>
        <v>1069500000</v>
      </c>
      <c r="DS458" s="1019"/>
      <c r="DT458" s="1019">
        <v>200000000</v>
      </c>
      <c r="DU458" s="1019"/>
      <c r="DV458" s="1019">
        <v>200000000</v>
      </c>
      <c r="DW458" s="1019"/>
      <c r="DX458" s="1019">
        <v>200000000</v>
      </c>
      <c r="DY458" s="1019"/>
      <c r="DZ458" s="1019">
        <v>200000000</v>
      </c>
      <c r="EA458" s="1019"/>
      <c r="EB458" s="1019">
        <v>200000000</v>
      </c>
      <c r="EC458" s="1019"/>
      <c r="ED458" s="1019">
        <v>200000000</v>
      </c>
      <c r="EE458" s="1119">
        <f t="shared" si="275"/>
        <v>1200000000</v>
      </c>
      <c r="EF458" s="443">
        <f>EE458*1.17</f>
        <v>1404000000</v>
      </c>
      <c r="EG458" s="443">
        <f>EF458*1.08</f>
        <v>1516320000</v>
      </c>
      <c r="EH458" s="443">
        <f>EG458*1.09</f>
        <v>1652788800.0000002</v>
      </c>
      <c r="EI458" s="443">
        <f>EH458*1.09</f>
        <v>1801539792.0000005</v>
      </c>
      <c r="EJ458" s="367">
        <v>3000016841</v>
      </c>
      <c r="EL458" s="177"/>
      <c r="EM458" s="177"/>
      <c r="EN458" s="177"/>
    </row>
    <row r="459" spans="1:144" outlineLevel="2">
      <c r="A459" s="367" t="s">
        <v>291</v>
      </c>
      <c r="B459" s="378"/>
      <c r="C459" s="370" t="s">
        <v>688</v>
      </c>
      <c r="D459" s="370" t="s">
        <v>40</v>
      </c>
      <c r="E459" s="403" t="s">
        <v>695</v>
      </c>
      <c r="F459" s="380"/>
      <c r="G459" s="189"/>
      <c r="H459" s="13"/>
      <c r="I459" s="185"/>
      <c r="J459" s="185"/>
      <c r="K459" s="185"/>
      <c r="L459" s="185"/>
      <c r="M459" s="185"/>
      <c r="N459" s="185"/>
      <c r="O459" s="185"/>
      <c r="P459" s="185"/>
      <c r="Q459" s="185"/>
      <c r="R459" s="185"/>
      <c r="S459" s="14"/>
      <c r="T459" s="179"/>
      <c r="U459" s="189"/>
      <c r="V459" s="13"/>
      <c r="W459" s="185"/>
      <c r="X459" s="185"/>
      <c r="Y459" s="185"/>
      <c r="Z459" s="185"/>
      <c r="AA459" s="185"/>
      <c r="AB459" s="185"/>
      <c r="AC459" s="185"/>
      <c r="AD459" s="185"/>
      <c r="AE459" s="185"/>
      <c r="AF459" s="185"/>
      <c r="AG459" s="759"/>
      <c r="AH459" s="811"/>
      <c r="AI459" s="189"/>
      <c r="AJ459" s="810"/>
      <c r="AK459" s="758"/>
      <c r="AL459" s="758"/>
      <c r="AM459" s="758"/>
      <c r="AN459" s="758"/>
      <c r="AO459" s="758"/>
      <c r="AP459" s="758"/>
      <c r="AQ459" s="518"/>
      <c r="AR459" s="813"/>
      <c r="AS459" s="518"/>
      <c r="AT459" s="518">
        <v>20000000</v>
      </c>
      <c r="AU459" s="758"/>
      <c r="AV459" s="758"/>
      <c r="AW459" s="758"/>
      <c r="AX459" s="518">
        <f t="shared" si="273"/>
        <v>20000000</v>
      </c>
      <c r="AY459" s="811"/>
      <c r="AZ459" s="189"/>
      <c r="BA459" s="810"/>
      <c r="BB459" s="758"/>
      <c r="BC459" s="758"/>
      <c r="BD459" s="758"/>
      <c r="BE459" s="758"/>
      <c r="BF459" s="758"/>
      <c r="BG459" s="758"/>
      <c r="BH459" s="758"/>
      <c r="BI459" s="758"/>
      <c r="BJ459" s="758"/>
      <c r="BK459" s="758"/>
      <c r="BL459" s="518"/>
      <c r="BN459" s="6"/>
      <c r="BO459" s="810"/>
      <c r="BP459" s="758"/>
      <c r="BQ459" s="758"/>
      <c r="BR459" s="758"/>
      <c r="BS459" s="758"/>
      <c r="BT459" s="758"/>
      <c r="BU459" s="758"/>
      <c r="BV459" s="758"/>
      <c r="BW459" s="758"/>
      <c r="BX459" s="758"/>
      <c r="BY459" s="758"/>
      <c r="BZ459" s="791">
        <v>0</v>
      </c>
      <c r="CB459" s="6"/>
      <c r="CC459" s="810"/>
      <c r="CD459" s="758"/>
      <c r="CE459" s="758"/>
      <c r="CF459" s="758"/>
      <c r="CG459" s="758"/>
      <c r="CH459" s="758"/>
      <c r="CI459" s="758"/>
      <c r="CJ459" s="758"/>
      <c r="CK459" s="758"/>
      <c r="CL459" s="758"/>
      <c r="CM459" s="758"/>
      <c r="CN459" s="791">
        <v>0</v>
      </c>
      <c r="CP459" s="655"/>
      <c r="CQ459" s="655"/>
      <c r="CR459" s="6"/>
      <c r="CS459" s="655"/>
      <c r="CT459" s="6"/>
      <c r="CU459" s="655"/>
      <c r="CV459" s="6"/>
      <c r="CW459" s="655"/>
      <c r="CX459" s="6"/>
      <c r="CY459" s="655"/>
      <c r="CZ459" s="6"/>
      <c r="DA459" s="655"/>
      <c r="DB459" s="6"/>
      <c r="DC459" s="655">
        <v>0</v>
      </c>
      <c r="DD459" s="6"/>
      <c r="DE459" s="758"/>
      <c r="DF459" s="6"/>
      <c r="DG459" s="757"/>
      <c r="DH459" s="758"/>
      <c r="DI459" s="6"/>
      <c r="DJ459" s="757"/>
      <c r="DK459" s="758"/>
      <c r="DL459" s="6"/>
      <c r="DM459" s="757"/>
      <c r="DN459" s="758"/>
      <c r="DO459" s="6"/>
      <c r="DP459" s="757"/>
      <c r="DQ459" s="493">
        <f t="shared" si="274"/>
        <v>0</v>
      </c>
      <c r="DR459" s="479">
        <f t="shared" si="277"/>
        <v>0</v>
      </c>
      <c r="DS459" s="1019"/>
      <c r="DT459" s="1019"/>
      <c r="DU459" s="1019"/>
      <c r="DV459" s="1019"/>
      <c r="DW459" s="1019"/>
      <c r="DX459" s="1019"/>
      <c r="DY459" s="1019"/>
      <c r="DZ459" s="1019"/>
      <c r="EA459" s="1019"/>
      <c r="EB459" s="1019"/>
      <c r="EC459" s="1019"/>
      <c r="ED459" s="1019"/>
      <c r="EE459" s="1119">
        <f t="shared" si="275"/>
        <v>0</v>
      </c>
      <c r="EF459" s="447"/>
      <c r="EG459" s="447"/>
      <c r="EH459" s="447"/>
      <c r="EI459" s="447"/>
      <c r="EL459" s="177"/>
      <c r="EM459" s="177"/>
      <c r="EN459" s="177"/>
    </row>
    <row r="460" spans="1:144" outlineLevel="2">
      <c r="A460" s="367" t="s">
        <v>291</v>
      </c>
      <c r="B460" s="378"/>
      <c r="C460" s="370" t="s">
        <v>688</v>
      </c>
      <c r="D460" s="370" t="s">
        <v>40</v>
      </c>
      <c r="E460" s="403" t="s">
        <v>696</v>
      </c>
      <c r="F460" s="380">
        <v>3000019915</v>
      </c>
      <c r="G460" s="189"/>
      <c r="H460" s="13"/>
      <c r="I460" s="185"/>
      <c r="J460" s="185"/>
      <c r="K460" s="185"/>
      <c r="L460" s="185"/>
      <c r="M460" s="185"/>
      <c r="N460" s="185"/>
      <c r="O460" s="7"/>
      <c r="P460" s="7"/>
      <c r="Q460" s="7"/>
      <c r="R460" s="7"/>
      <c r="S460" s="14">
        <f>SUM(G460,H460,I460,J460,K460,L460,M460,N460,O460,P460,Q460,R460)</f>
        <v>0</v>
      </c>
      <c r="T460" s="179"/>
      <c r="U460" s="189"/>
      <c r="V460" s="13"/>
      <c r="W460" s="185"/>
      <c r="X460" s="185"/>
      <c r="Y460" s="185"/>
      <c r="Z460" s="185"/>
      <c r="AA460" s="185"/>
      <c r="AB460" s="185"/>
      <c r="AC460" s="7"/>
      <c r="AD460" s="7"/>
      <c r="AE460" s="7"/>
      <c r="AF460" s="7"/>
      <c r="AG460" s="759">
        <f>SUM(U460,V460,W460,X460,Y460,Z460,AA460,AB460,AC460,AD460,AE460,AF460)</f>
        <v>0</v>
      </c>
      <c r="AH460" s="853">
        <v>3000019915</v>
      </c>
      <c r="AI460" s="189"/>
      <c r="AJ460" s="810"/>
      <c r="AK460" s="758"/>
      <c r="AL460" s="758">
        <v>0</v>
      </c>
      <c r="AM460" s="758"/>
      <c r="AN460" s="758"/>
      <c r="AO460" s="758">
        <v>3660017</v>
      </c>
      <c r="AP460" s="758">
        <v>0</v>
      </c>
      <c r="AQ460" s="518">
        <v>0</v>
      </c>
      <c r="AR460" s="518"/>
      <c r="AS460" s="518"/>
      <c r="AT460" s="518"/>
      <c r="AU460" s="518">
        <f t="shared" ref="AU460:AW464" si="279">BI460</f>
        <v>0</v>
      </c>
      <c r="AV460" s="518">
        <f t="shared" si="279"/>
        <v>0</v>
      </c>
      <c r="AW460" s="518">
        <f t="shared" si="279"/>
        <v>0</v>
      </c>
      <c r="AX460" s="518">
        <f t="shared" si="273"/>
        <v>3660017</v>
      </c>
      <c r="AY460" s="853">
        <v>0</v>
      </c>
      <c r="AZ460" s="189"/>
      <c r="BA460" s="810"/>
      <c r="BB460" s="758"/>
      <c r="BC460" s="758">
        <v>0</v>
      </c>
      <c r="BD460" s="758"/>
      <c r="BE460" s="758"/>
      <c r="BF460" s="758">
        <v>3660017</v>
      </c>
      <c r="BG460" s="518">
        <f>AP460</f>
        <v>0</v>
      </c>
      <c r="BH460" s="758">
        <v>0</v>
      </c>
      <c r="BI460" s="758">
        <v>0</v>
      </c>
      <c r="BJ460" s="758">
        <v>0</v>
      </c>
      <c r="BK460" s="758">
        <v>0</v>
      </c>
      <c r="BL460" s="759">
        <f>SUM(AZ460,BA460,BB460,BC460,BD460,BE460,BF460,BG460,BH460,BI460,BJ460,BK460)</f>
        <v>3660017</v>
      </c>
      <c r="BN460" s="758">
        <v>0</v>
      </c>
      <c r="BO460" s="758">
        <v>0</v>
      </c>
      <c r="BP460" s="758">
        <v>0</v>
      </c>
      <c r="BQ460" s="758">
        <v>0</v>
      </c>
      <c r="BR460" s="758">
        <v>0</v>
      </c>
      <c r="BS460" s="758">
        <v>0</v>
      </c>
      <c r="BT460" s="758">
        <v>0</v>
      </c>
      <c r="BU460" s="758">
        <v>0</v>
      </c>
      <c r="BV460" s="758">
        <v>0</v>
      </c>
      <c r="BW460" s="758">
        <v>0</v>
      </c>
      <c r="BX460" s="758">
        <v>0</v>
      </c>
      <c r="BY460" s="758">
        <v>0</v>
      </c>
      <c r="BZ460" s="791">
        <v>0</v>
      </c>
      <c r="CB460" s="758">
        <v>0</v>
      </c>
      <c r="CC460" s="758">
        <v>0</v>
      </c>
      <c r="CD460" s="758">
        <v>0</v>
      </c>
      <c r="CE460" s="758">
        <v>0</v>
      </c>
      <c r="CF460" s="758">
        <v>0</v>
      </c>
      <c r="CG460" s="758">
        <v>0</v>
      </c>
      <c r="CH460" s="758">
        <v>0</v>
      </c>
      <c r="CI460" s="758">
        <v>0</v>
      </c>
      <c r="CJ460" s="758">
        <v>0</v>
      </c>
      <c r="CK460" s="758">
        <v>0</v>
      </c>
      <c r="CL460" s="758">
        <v>0</v>
      </c>
      <c r="CM460" s="758">
        <v>0</v>
      </c>
      <c r="CN460" s="791">
        <v>0</v>
      </c>
      <c r="CP460" s="653"/>
      <c r="CQ460" s="653"/>
      <c r="CR460" s="524"/>
      <c r="CS460" s="653"/>
      <c r="CT460" s="524"/>
      <c r="CU460" s="653"/>
      <c r="CV460" s="524"/>
      <c r="CW460" s="653"/>
      <c r="CX460" s="524"/>
      <c r="CY460" s="653"/>
      <c r="CZ460" s="524"/>
      <c r="DA460" s="653"/>
      <c r="DB460" s="524"/>
      <c r="DC460" s="653">
        <v>0</v>
      </c>
      <c r="DD460" s="524"/>
      <c r="DE460" s="758"/>
      <c r="DF460" s="524"/>
      <c r="DG460" s="757"/>
      <c r="DH460" s="758"/>
      <c r="DI460" s="524"/>
      <c r="DJ460" s="757"/>
      <c r="DK460" s="758"/>
      <c r="DL460" s="524"/>
      <c r="DM460" s="757"/>
      <c r="DN460" s="758"/>
      <c r="DO460" s="524"/>
      <c r="DP460" s="757"/>
      <c r="DQ460" s="493">
        <f t="shared" si="274"/>
        <v>0</v>
      </c>
      <c r="DR460" s="479">
        <f t="shared" si="277"/>
        <v>0</v>
      </c>
      <c r="DS460" s="1019"/>
      <c r="DT460" s="1019"/>
      <c r="DU460" s="1019"/>
      <c r="DV460" s="1019"/>
      <c r="DW460" s="1019"/>
      <c r="DX460" s="1019"/>
      <c r="DY460" s="1019"/>
      <c r="DZ460" s="1019"/>
      <c r="EA460" s="1019"/>
      <c r="EB460" s="1019"/>
      <c r="EC460" s="1019"/>
      <c r="ED460" s="1019"/>
      <c r="EE460" s="1119">
        <f t="shared" si="275"/>
        <v>0</v>
      </c>
      <c r="EF460" s="443">
        <f>EE460*1.17</f>
        <v>0</v>
      </c>
      <c r="EG460" s="443">
        <f>EF460*1.08</f>
        <v>0</v>
      </c>
      <c r="EH460" s="443">
        <f t="shared" ref="EH460:EI464" si="280">EG460*1.09</f>
        <v>0</v>
      </c>
      <c r="EI460" s="443">
        <f t="shared" si="280"/>
        <v>0</v>
      </c>
      <c r="EJ460" s="367">
        <v>3000019915</v>
      </c>
      <c r="EL460" s="177"/>
      <c r="EM460" s="177"/>
      <c r="EN460" s="177"/>
    </row>
    <row r="461" spans="1:144" outlineLevel="2">
      <c r="A461" s="367" t="s">
        <v>291</v>
      </c>
      <c r="B461" s="378"/>
      <c r="C461" s="370" t="s">
        <v>688</v>
      </c>
      <c r="D461" s="370" t="s">
        <v>40</v>
      </c>
      <c r="E461" s="403" t="s">
        <v>697</v>
      </c>
      <c r="F461" s="380">
        <v>3000000878</v>
      </c>
      <c r="G461" s="189"/>
      <c r="H461" s="26"/>
      <c r="I461" s="185"/>
      <c r="J461" s="185"/>
      <c r="K461" s="185"/>
      <c r="L461" s="185"/>
      <c r="M461" s="185"/>
      <c r="N461" s="185"/>
      <c r="O461" s="7"/>
      <c r="P461" s="7"/>
      <c r="Q461" s="7"/>
      <c r="R461" s="7"/>
      <c r="S461" s="14">
        <f>SUM(G461,H461,I461,J461,K461,L461,M461,N461,O461,P461,Q461,R461)</f>
        <v>0</v>
      </c>
      <c r="T461" s="179"/>
      <c r="U461" s="189"/>
      <c r="V461" s="26"/>
      <c r="W461" s="185"/>
      <c r="X461" s="185"/>
      <c r="Y461" s="185"/>
      <c r="Z461" s="185"/>
      <c r="AA461" s="185"/>
      <c r="AB461" s="185"/>
      <c r="AC461" s="7"/>
      <c r="AD461" s="7"/>
      <c r="AE461" s="7"/>
      <c r="AF461" s="7"/>
      <c r="AG461" s="759">
        <f>SUM(U461,V461,W461,X461,Y461,Z461,AA461,AB461,AC461,AD461,AE461,AF461)</f>
        <v>0</v>
      </c>
      <c r="AH461" s="853">
        <v>3000000878</v>
      </c>
      <c r="AI461" s="189"/>
      <c r="AJ461" s="824"/>
      <c r="AK461" s="758"/>
      <c r="AL461" s="758">
        <v>0</v>
      </c>
      <c r="AM461" s="758"/>
      <c r="AN461" s="758"/>
      <c r="AO461" s="758">
        <v>0</v>
      </c>
      <c r="AP461" s="758">
        <v>2833600</v>
      </c>
      <c r="AQ461" s="518">
        <v>0</v>
      </c>
      <c r="AR461" s="518"/>
      <c r="AS461" s="518"/>
      <c r="AT461" s="518"/>
      <c r="AU461" s="518">
        <f t="shared" si="279"/>
        <v>0</v>
      </c>
      <c r="AV461" s="518">
        <f t="shared" si="279"/>
        <v>0</v>
      </c>
      <c r="AW461" s="518">
        <f t="shared" si="279"/>
        <v>0</v>
      </c>
      <c r="AX461" s="518">
        <f t="shared" si="273"/>
        <v>2833600</v>
      </c>
      <c r="AY461" s="853">
        <v>0</v>
      </c>
      <c r="AZ461" s="189"/>
      <c r="BA461" s="824"/>
      <c r="BB461" s="758"/>
      <c r="BC461" s="758">
        <v>0</v>
      </c>
      <c r="BD461" s="758"/>
      <c r="BE461" s="758"/>
      <c r="BF461" s="758">
        <v>0</v>
      </c>
      <c r="BG461" s="518">
        <f>AP461</f>
        <v>2833600</v>
      </c>
      <c r="BH461" s="758">
        <v>0</v>
      </c>
      <c r="BI461" s="758">
        <v>0</v>
      </c>
      <c r="BJ461" s="758">
        <v>0</v>
      </c>
      <c r="BK461" s="758">
        <v>0</v>
      </c>
      <c r="BL461" s="759">
        <f>SUM(AZ461,BA461,BB461,BC461,BD461,BE461,BF461,BG461,BH461,BI461,BJ461,BK461)</f>
        <v>2833600</v>
      </c>
      <c r="BN461" s="758">
        <v>0</v>
      </c>
      <c r="BO461" s="758">
        <v>0</v>
      </c>
      <c r="BP461" s="758">
        <v>0</v>
      </c>
      <c r="BQ461" s="758">
        <v>0</v>
      </c>
      <c r="BR461" s="758">
        <v>0</v>
      </c>
      <c r="BS461" s="758">
        <v>0</v>
      </c>
      <c r="BT461" s="758">
        <v>0</v>
      </c>
      <c r="BU461" s="758">
        <v>0</v>
      </c>
      <c r="BV461" s="758">
        <v>0</v>
      </c>
      <c r="BW461" s="758">
        <v>0</v>
      </c>
      <c r="BX461" s="758">
        <v>0</v>
      </c>
      <c r="BY461" s="758">
        <v>0</v>
      </c>
      <c r="BZ461" s="791">
        <v>0</v>
      </c>
      <c r="CB461" s="758">
        <v>0</v>
      </c>
      <c r="CC461" s="758">
        <v>0</v>
      </c>
      <c r="CD461" s="758">
        <v>0</v>
      </c>
      <c r="CE461" s="758">
        <v>0</v>
      </c>
      <c r="CF461" s="758">
        <v>0</v>
      </c>
      <c r="CG461" s="758">
        <v>0</v>
      </c>
      <c r="CH461" s="758">
        <v>0</v>
      </c>
      <c r="CI461" s="758">
        <v>0</v>
      </c>
      <c r="CJ461" s="758">
        <v>0</v>
      </c>
      <c r="CK461" s="758">
        <v>0</v>
      </c>
      <c r="CL461" s="758">
        <v>0</v>
      </c>
      <c r="CM461" s="758">
        <v>0</v>
      </c>
      <c r="CN461" s="791">
        <v>0</v>
      </c>
      <c r="CP461" s="653"/>
      <c r="CQ461" s="653"/>
      <c r="CR461" s="524"/>
      <c r="CS461" s="653"/>
      <c r="CT461" s="524"/>
      <c r="CU461" s="653"/>
      <c r="CV461" s="524"/>
      <c r="CW461" s="653"/>
      <c r="CX461" s="524"/>
      <c r="CY461" s="653"/>
      <c r="CZ461" s="524"/>
      <c r="DA461" s="653"/>
      <c r="DB461" s="524"/>
      <c r="DC461" s="653">
        <v>0</v>
      </c>
      <c r="DD461" s="524"/>
      <c r="DE461" s="758"/>
      <c r="DF461" s="524"/>
      <c r="DG461" s="757"/>
      <c r="DH461" s="758"/>
      <c r="DI461" s="524"/>
      <c r="DJ461" s="757"/>
      <c r="DK461" s="758"/>
      <c r="DL461" s="524"/>
      <c r="DM461" s="757"/>
      <c r="DN461" s="758"/>
      <c r="DO461" s="524"/>
      <c r="DP461" s="757"/>
      <c r="DQ461" s="493">
        <f t="shared" si="274"/>
        <v>0</v>
      </c>
      <c r="DR461" s="479">
        <f t="shared" si="277"/>
        <v>0</v>
      </c>
      <c r="DS461" s="1019"/>
      <c r="DT461" s="1019"/>
      <c r="DU461" s="1019"/>
      <c r="DV461" s="1019"/>
      <c r="DW461" s="1019"/>
      <c r="DX461" s="1019"/>
      <c r="DY461" s="1019"/>
      <c r="DZ461" s="1019"/>
      <c r="EA461" s="1019"/>
      <c r="EB461" s="1019"/>
      <c r="EC461" s="1019"/>
      <c r="ED461" s="1019"/>
      <c r="EE461" s="1119">
        <f t="shared" si="275"/>
        <v>0</v>
      </c>
      <c r="EF461" s="443">
        <f>EE461*1.17</f>
        <v>0</v>
      </c>
      <c r="EG461" s="443">
        <f>EF461*1.08</f>
        <v>0</v>
      </c>
      <c r="EH461" s="443">
        <f t="shared" si="280"/>
        <v>0</v>
      </c>
      <c r="EI461" s="443">
        <f t="shared" si="280"/>
        <v>0</v>
      </c>
      <c r="EJ461" s="367">
        <v>3000000878</v>
      </c>
      <c r="EL461" s="177"/>
      <c r="EM461" s="177"/>
      <c r="EN461" s="177"/>
    </row>
    <row r="462" spans="1:144" outlineLevel="2">
      <c r="A462" s="367" t="s">
        <v>291</v>
      </c>
      <c r="B462" s="378"/>
      <c r="C462" s="370" t="s">
        <v>688</v>
      </c>
      <c r="D462" s="370" t="s">
        <v>40</v>
      </c>
      <c r="E462" s="396" t="s">
        <v>698</v>
      </c>
      <c r="F462" s="380">
        <v>3000008924</v>
      </c>
      <c r="G462" s="189"/>
      <c r="H462" s="13"/>
      <c r="I462" s="185"/>
      <c r="J462" s="185"/>
      <c r="K462" s="185"/>
      <c r="L462" s="194"/>
      <c r="M462" s="185"/>
      <c r="N462" s="185"/>
      <c r="O462" s="7"/>
      <c r="P462" s="7"/>
      <c r="Q462" s="7"/>
      <c r="R462" s="7"/>
      <c r="S462" s="14">
        <f>SUM(G462,H462,I462,J462,K462,L462,M462,N462,O462,P462,Q462,R462)</f>
        <v>0</v>
      </c>
      <c r="T462" s="179"/>
      <c r="U462" s="189"/>
      <c r="V462" s="13"/>
      <c r="W462" s="185"/>
      <c r="X462" s="185"/>
      <c r="Y462" s="185"/>
      <c r="Z462" s="194"/>
      <c r="AA462" s="185"/>
      <c r="AB462" s="185"/>
      <c r="AC462" s="7"/>
      <c r="AD462" s="7"/>
      <c r="AE462" s="7"/>
      <c r="AF462" s="7"/>
      <c r="AG462" s="759">
        <f>SUM(U462,V462,W462,X462,Y462,Z462,AA462,AB462,AC462,AD462,AE462,AF462)</f>
        <v>0</v>
      </c>
      <c r="AH462" s="853">
        <v>3000008924</v>
      </c>
      <c r="AI462" s="189"/>
      <c r="AJ462" s="810"/>
      <c r="AK462" s="758"/>
      <c r="AL462" s="758">
        <v>0</v>
      </c>
      <c r="AM462" s="758">
        <v>0</v>
      </c>
      <c r="AN462" s="524">
        <v>0</v>
      </c>
      <c r="AO462" s="758">
        <v>3230575</v>
      </c>
      <c r="AP462" s="758">
        <v>0</v>
      </c>
      <c r="AQ462" s="518">
        <v>0</v>
      </c>
      <c r="AR462" s="518"/>
      <c r="AS462" s="518"/>
      <c r="AT462" s="518"/>
      <c r="AU462" s="518">
        <f t="shared" si="279"/>
        <v>0</v>
      </c>
      <c r="AV462" s="518">
        <f t="shared" si="279"/>
        <v>0</v>
      </c>
      <c r="AW462" s="518">
        <f t="shared" si="279"/>
        <v>0</v>
      </c>
      <c r="AX462" s="518">
        <f t="shared" si="273"/>
        <v>3230575</v>
      </c>
      <c r="AY462" s="853">
        <v>0</v>
      </c>
      <c r="AZ462" s="189"/>
      <c r="BA462" s="810"/>
      <c r="BB462" s="758"/>
      <c r="BC462" s="758">
        <v>0</v>
      </c>
      <c r="BD462" s="758">
        <v>0</v>
      </c>
      <c r="BE462" s="524">
        <v>0</v>
      </c>
      <c r="BF462" s="758">
        <v>3230575</v>
      </c>
      <c r="BG462" s="518">
        <f>AP462</f>
        <v>0</v>
      </c>
      <c r="BH462" s="758">
        <v>0</v>
      </c>
      <c r="BI462" s="758">
        <v>0</v>
      </c>
      <c r="BJ462" s="758">
        <v>0</v>
      </c>
      <c r="BK462" s="758">
        <v>0</v>
      </c>
      <c r="BL462" s="759">
        <f>SUM(AZ462,BA462,BB462,BC462,BD462,BE462,BF462,BG462,BH462,BI462,BJ462,BK462)</f>
        <v>3230575</v>
      </c>
      <c r="BN462" s="758">
        <v>0</v>
      </c>
      <c r="BO462" s="758">
        <v>0</v>
      </c>
      <c r="BP462" s="758">
        <v>0</v>
      </c>
      <c r="BQ462" s="758">
        <v>0</v>
      </c>
      <c r="BR462" s="758">
        <v>0</v>
      </c>
      <c r="BS462" s="758">
        <v>0</v>
      </c>
      <c r="BT462" s="758">
        <v>0</v>
      </c>
      <c r="BU462" s="758">
        <v>0</v>
      </c>
      <c r="BV462" s="758">
        <v>0</v>
      </c>
      <c r="BW462" s="758">
        <v>0</v>
      </c>
      <c r="BX462" s="758">
        <v>0</v>
      </c>
      <c r="BY462" s="758">
        <v>0</v>
      </c>
      <c r="BZ462" s="791">
        <v>0</v>
      </c>
      <c r="CB462" s="758">
        <v>0</v>
      </c>
      <c r="CC462" s="758">
        <v>0</v>
      </c>
      <c r="CD462" s="758">
        <v>0</v>
      </c>
      <c r="CE462" s="758">
        <v>0</v>
      </c>
      <c r="CF462" s="758">
        <v>0</v>
      </c>
      <c r="CG462" s="758">
        <v>0</v>
      </c>
      <c r="CH462" s="758">
        <v>0</v>
      </c>
      <c r="CI462" s="758">
        <v>0</v>
      </c>
      <c r="CJ462" s="758">
        <v>0</v>
      </c>
      <c r="CK462" s="758">
        <v>0</v>
      </c>
      <c r="CL462" s="758">
        <v>0</v>
      </c>
      <c r="CM462" s="758">
        <v>0</v>
      </c>
      <c r="CN462" s="791">
        <v>0</v>
      </c>
      <c r="CP462" s="653"/>
      <c r="CQ462" s="653"/>
      <c r="CR462" s="524"/>
      <c r="CS462" s="653"/>
      <c r="CT462" s="524"/>
      <c r="CU462" s="653"/>
      <c r="CV462" s="524"/>
      <c r="CW462" s="653"/>
      <c r="CX462" s="524"/>
      <c r="CY462" s="653"/>
      <c r="CZ462" s="524"/>
      <c r="DA462" s="653"/>
      <c r="DB462" s="524"/>
      <c r="DC462" s="653">
        <v>0</v>
      </c>
      <c r="DD462" s="524"/>
      <c r="DE462" s="758"/>
      <c r="DF462" s="524"/>
      <c r="DG462" s="757"/>
      <c r="DH462" s="758"/>
      <c r="DI462" s="524"/>
      <c r="DJ462" s="757"/>
      <c r="DK462" s="758"/>
      <c r="DL462" s="524"/>
      <c r="DM462" s="757"/>
      <c r="DN462" s="758"/>
      <c r="DO462" s="524"/>
      <c r="DP462" s="757"/>
      <c r="DQ462" s="493">
        <f t="shared" si="274"/>
        <v>0</v>
      </c>
      <c r="DR462" s="479">
        <f t="shared" si="277"/>
        <v>0</v>
      </c>
      <c r="DS462" s="1019"/>
      <c r="DT462" s="1019"/>
      <c r="DU462" s="1019"/>
      <c r="DV462" s="1019"/>
      <c r="DW462" s="1019"/>
      <c r="DX462" s="1019"/>
      <c r="DY462" s="1019"/>
      <c r="DZ462" s="1019"/>
      <c r="EA462" s="1019"/>
      <c r="EB462" s="1019"/>
      <c r="EC462" s="1019"/>
      <c r="ED462" s="1019"/>
      <c r="EE462" s="1119">
        <f t="shared" si="275"/>
        <v>0</v>
      </c>
      <c r="EF462" s="443">
        <f>EE462*1.17</f>
        <v>0</v>
      </c>
      <c r="EG462" s="443">
        <f>EF462*1.08</f>
        <v>0</v>
      </c>
      <c r="EH462" s="443">
        <f t="shared" si="280"/>
        <v>0</v>
      </c>
      <c r="EI462" s="443">
        <f t="shared" si="280"/>
        <v>0</v>
      </c>
      <c r="EJ462" s="367">
        <v>3000008924</v>
      </c>
      <c r="EL462" s="177"/>
      <c r="EM462" s="177"/>
      <c r="EN462" s="177"/>
    </row>
    <row r="463" spans="1:144" outlineLevel="2">
      <c r="A463" s="367" t="s">
        <v>699</v>
      </c>
      <c r="B463" s="378"/>
      <c r="C463" s="370" t="s">
        <v>688</v>
      </c>
      <c r="D463" s="370" t="s">
        <v>40</v>
      </c>
      <c r="E463" s="383" t="s">
        <v>700</v>
      </c>
      <c r="F463" s="380">
        <v>3000013859</v>
      </c>
      <c r="G463" s="6"/>
      <c r="H463" s="28"/>
      <c r="I463" s="185"/>
      <c r="J463" s="185"/>
      <c r="K463" s="185"/>
      <c r="L463" s="194"/>
      <c r="M463" s="185"/>
      <c r="N463" s="185"/>
      <c r="O463" s="7"/>
      <c r="P463" s="7"/>
      <c r="Q463" s="7"/>
      <c r="R463" s="7"/>
      <c r="S463" s="14">
        <f>SUM(G463,H463,I463,J463,K463,L463,M463,N463,O463,P463,Q463,R463)</f>
        <v>0</v>
      </c>
      <c r="T463" s="15"/>
      <c r="U463" s="6"/>
      <c r="V463" s="28"/>
      <c r="W463" s="185"/>
      <c r="X463" s="185"/>
      <c r="Y463" s="185"/>
      <c r="Z463" s="194"/>
      <c r="AA463" s="185"/>
      <c r="AB463" s="185"/>
      <c r="AC463" s="7"/>
      <c r="AD463" s="7"/>
      <c r="AE463" s="7"/>
      <c r="AF463" s="7"/>
      <c r="AG463" s="759">
        <f>SUM(U463,V463,W463,X463,Y463,Z463,AA463,AB463,AC463,AD463,AE463,AF463)</f>
        <v>0</v>
      </c>
      <c r="AH463" s="853">
        <v>3000013859</v>
      </c>
      <c r="AI463" s="6"/>
      <c r="AJ463" s="855">
        <v>1590169</v>
      </c>
      <c r="AK463" s="758"/>
      <c r="AL463" s="758">
        <v>0</v>
      </c>
      <c r="AM463" s="758">
        <v>0</v>
      </c>
      <c r="AN463" s="524">
        <v>1617837</v>
      </c>
      <c r="AO463" s="758">
        <v>0</v>
      </c>
      <c r="AP463" s="758">
        <v>0</v>
      </c>
      <c r="AQ463" s="518">
        <v>1460646</v>
      </c>
      <c r="AR463" s="518"/>
      <c r="AS463" s="518"/>
      <c r="AT463" s="518"/>
      <c r="AU463" s="518">
        <f t="shared" si="279"/>
        <v>0</v>
      </c>
      <c r="AV463" s="518">
        <f t="shared" si="279"/>
        <v>0</v>
      </c>
      <c r="AW463" s="518">
        <f t="shared" si="279"/>
        <v>0</v>
      </c>
      <c r="AX463" s="518">
        <f t="shared" si="273"/>
        <v>4668652</v>
      </c>
      <c r="AY463" s="853">
        <v>0</v>
      </c>
      <c r="AZ463" s="6"/>
      <c r="BA463" s="855">
        <v>1590169</v>
      </c>
      <c r="BB463" s="758"/>
      <c r="BC463" s="758">
        <v>0</v>
      </c>
      <c r="BD463" s="758">
        <v>0</v>
      </c>
      <c r="BE463" s="524">
        <v>1617837</v>
      </c>
      <c r="BF463" s="758">
        <v>0</v>
      </c>
      <c r="BG463" s="518">
        <f>AP463</f>
        <v>0</v>
      </c>
      <c r="BH463" s="758">
        <v>0</v>
      </c>
      <c r="BI463" s="758">
        <v>0</v>
      </c>
      <c r="BJ463" s="758">
        <v>0</v>
      </c>
      <c r="BK463" s="758">
        <v>0</v>
      </c>
      <c r="BL463" s="759">
        <f>SUM(AZ463,BA463,BB463,BC463,BD463,BE463,BF463,BG463,BH463,BI463,BJ463,BK463)</f>
        <v>3208006</v>
      </c>
      <c r="BN463" s="758">
        <v>0</v>
      </c>
      <c r="BO463" s="758">
        <v>0</v>
      </c>
      <c r="BP463" s="758">
        <v>0</v>
      </c>
      <c r="BQ463" s="758">
        <v>0</v>
      </c>
      <c r="BR463" s="758">
        <v>0</v>
      </c>
      <c r="BS463" s="758">
        <v>0</v>
      </c>
      <c r="BT463" s="758">
        <v>0</v>
      </c>
      <c r="BU463" s="758">
        <v>0</v>
      </c>
      <c r="BV463" s="758">
        <v>0</v>
      </c>
      <c r="BW463" s="758">
        <v>0</v>
      </c>
      <c r="BX463" s="758">
        <v>0</v>
      </c>
      <c r="BY463" s="758">
        <v>0</v>
      </c>
      <c r="BZ463" s="791">
        <v>0</v>
      </c>
      <c r="CB463" s="758">
        <v>0</v>
      </c>
      <c r="CC463" s="758">
        <v>0</v>
      </c>
      <c r="CD463" s="758">
        <v>0</v>
      </c>
      <c r="CE463" s="758">
        <v>0</v>
      </c>
      <c r="CF463" s="758">
        <v>0</v>
      </c>
      <c r="CG463" s="758">
        <v>0</v>
      </c>
      <c r="CH463" s="758">
        <v>0</v>
      </c>
      <c r="CI463" s="758">
        <v>0</v>
      </c>
      <c r="CJ463" s="758">
        <v>0</v>
      </c>
      <c r="CK463" s="758">
        <v>0</v>
      </c>
      <c r="CL463" s="758">
        <v>0</v>
      </c>
      <c r="CM463" s="758">
        <v>0</v>
      </c>
      <c r="CN463" s="791">
        <v>0</v>
      </c>
      <c r="CP463" s="653">
        <v>256083</v>
      </c>
      <c r="CQ463" s="653"/>
      <c r="CR463" s="524"/>
      <c r="CS463" s="653"/>
      <c r="CT463" s="524"/>
      <c r="CU463" s="653"/>
      <c r="CV463" s="524"/>
      <c r="CW463" s="653"/>
      <c r="CX463" s="524"/>
      <c r="CY463" s="653"/>
      <c r="CZ463" s="524"/>
      <c r="DA463" s="653"/>
      <c r="DB463" s="524"/>
      <c r="DC463" s="653">
        <v>0</v>
      </c>
      <c r="DD463" s="524"/>
      <c r="DE463" s="758"/>
      <c r="DF463" s="524"/>
      <c r="DG463" s="757"/>
      <c r="DH463" s="758"/>
      <c r="DI463" s="524"/>
      <c r="DJ463" s="757"/>
      <c r="DK463" s="758"/>
      <c r="DL463" s="524"/>
      <c r="DM463" s="757"/>
      <c r="DN463" s="758"/>
      <c r="DO463" s="524"/>
      <c r="DP463" s="757"/>
      <c r="DQ463" s="493">
        <f t="shared" si="274"/>
        <v>256083</v>
      </c>
      <c r="DR463" s="479">
        <f t="shared" si="277"/>
        <v>256083</v>
      </c>
      <c r="DS463" s="1019"/>
      <c r="DT463" s="1019"/>
      <c r="DU463" s="1019"/>
      <c r="DV463" s="1019"/>
      <c r="DW463" s="1019"/>
      <c r="DX463" s="1019"/>
      <c r="DY463" s="1019"/>
      <c r="DZ463" s="1019"/>
      <c r="EA463" s="1019"/>
      <c r="EB463" s="1019"/>
      <c r="EC463" s="1019"/>
      <c r="ED463" s="1019"/>
      <c r="EE463" s="1119">
        <f t="shared" si="275"/>
        <v>0</v>
      </c>
      <c r="EF463" s="443">
        <f>EE463*1.17</f>
        <v>0</v>
      </c>
      <c r="EG463" s="443">
        <f>EF463*1.08</f>
        <v>0</v>
      </c>
      <c r="EH463" s="443">
        <f t="shared" si="280"/>
        <v>0</v>
      </c>
      <c r="EI463" s="443">
        <f t="shared" si="280"/>
        <v>0</v>
      </c>
      <c r="EJ463" s="367">
        <v>3000013859</v>
      </c>
      <c r="EL463" s="177"/>
      <c r="EM463" s="177"/>
      <c r="EN463" s="177"/>
    </row>
    <row r="464" spans="1:144" outlineLevel="2">
      <c r="A464" s="367" t="s">
        <v>687</v>
      </c>
      <c r="B464" s="378"/>
      <c r="C464" s="370" t="s">
        <v>688</v>
      </c>
      <c r="D464" s="370" t="s">
        <v>40</v>
      </c>
      <c r="E464" s="383" t="s">
        <v>701</v>
      </c>
      <c r="F464" s="380">
        <v>3000018773</v>
      </c>
      <c r="G464" s="189"/>
      <c r="H464" s="13"/>
      <c r="I464" s="185"/>
      <c r="J464" s="185"/>
      <c r="K464" s="185"/>
      <c r="L464" s="194"/>
      <c r="M464" s="185"/>
      <c r="N464" s="185"/>
      <c r="O464" s="7"/>
      <c r="P464" s="7"/>
      <c r="Q464" s="7"/>
      <c r="R464" s="7"/>
      <c r="S464" s="14">
        <f>SUM(G464,H464,I464,J464,K464,L464,M464,N464,O464,P464,Q464,R464)</f>
        <v>0</v>
      </c>
      <c r="T464" s="179"/>
      <c r="U464" s="189"/>
      <c r="V464" s="13"/>
      <c r="W464" s="185"/>
      <c r="X464" s="185"/>
      <c r="Y464" s="185"/>
      <c r="Z464" s="194"/>
      <c r="AA464" s="185"/>
      <c r="AB464" s="185"/>
      <c r="AC464" s="7"/>
      <c r="AD464" s="7"/>
      <c r="AE464" s="7"/>
      <c r="AF464" s="7"/>
      <c r="AG464" s="759">
        <f>SUM(U464,V464,W464,X464,Y464,Z464,AA464,AB464,AC464,AD464,AE464,AF464)</f>
        <v>0</v>
      </c>
      <c r="AH464" s="853">
        <v>3000018773</v>
      </c>
      <c r="AI464" s="189"/>
      <c r="AJ464" s="810"/>
      <c r="AK464" s="758"/>
      <c r="AL464" s="758">
        <v>0</v>
      </c>
      <c r="AM464" s="758">
        <v>0</v>
      </c>
      <c r="AN464" s="524">
        <v>0</v>
      </c>
      <c r="AO464" s="758">
        <v>2993750</v>
      </c>
      <c r="AP464" s="758">
        <v>6400000</v>
      </c>
      <c r="AQ464" s="518">
        <v>6550000</v>
      </c>
      <c r="AR464" s="813">
        <v>0</v>
      </c>
      <c r="AS464" s="813">
        <v>1150000</v>
      </c>
      <c r="AT464" s="813">
        <v>0</v>
      </c>
      <c r="AU464" s="518">
        <f t="shared" si="279"/>
        <v>0</v>
      </c>
      <c r="AV464" s="518">
        <f t="shared" si="279"/>
        <v>0</v>
      </c>
      <c r="AW464" s="518">
        <f t="shared" si="279"/>
        <v>0</v>
      </c>
      <c r="AX464" s="518">
        <f t="shared" si="273"/>
        <v>17093750</v>
      </c>
      <c r="AY464" s="853">
        <v>0</v>
      </c>
      <c r="AZ464" s="189"/>
      <c r="BA464" s="810"/>
      <c r="BB464" s="758"/>
      <c r="BC464" s="758">
        <v>0</v>
      </c>
      <c r="BD464" s="758">
        <v>0</v>
      </c>
      <c r="BE464" s="524">
        <v>0</v>
      </c>
      <c r="BF464" s="758">
        <v>2993750</v>
      </c>
      <c r="BG464" s="518">
        <f>AP464</f>
        <v>6400000</v>
      </c>
      <c r="BH464" s="758">
        <v>0</v>
      </c>
      <c r="BI464" s="758">
        <v>0</v>
      </c>
      <c r="BJ464" s="758">
        <v>0</v>
      </c>
      <c r="BK464" s="758">
        <v>0</v>
      </c>
      <c r="BL464" s="759">
        <f>SUM(AZ464,BA464,BB464,BC464,BD464,BE464,BF464,BG464,BH464,BI464,BJ464,BK464)</f>
        <v>9393750</v>
      </c>
      <c r="BN464" s="758">
        <v>0</v>
      </c>
      <c r="BO464" s="758">
        <v>0</v>
      </c>
      <c r="BP464" s="758">
        <v>0</v>
      </c>
      <c r="BQ464" s="758">
        <v>0</v>
      </c>
      <c r="BR464" s="758">
        <v>0</v>
      </c>
      <c r="BS464" s="758">
        <v>0</v>
      </c>
      <c r="BT464" s="758">
        <v>0</v>
      </c>
      <c r="BU464" s="758">
        <v>0</v>
      </c>
      <c r="BV464" s="758">
        <v>0</v>
      </c>
      <c r="BW464" s="758">
        <v>0</v>
      </c>
      <c r="BX464" s="758">
        <v>0</v>
      </c>
      <c r="BY464" s="758">
        <v>0</v>
      </c>
      <c r="BZ464" s="791">
        <v>0</v>
      </c>
      <c r="CB464" s="758">
        <v>0</v>
      </c>
      <c r="CC464" s="758">
        <v>0</v>
      </c>
      <c r="CD464" s="758">
        <v>0</v>
      </c>
      <c r="CE464" s="758">
        <v>0</v>
      </c>
      <c r="CF464" s="758">
        <v>0</v>
      </c>
      <c r="CG464" s="758">
        <v>0</v>
      </c>
      <c r="CH464" s="758">
        <v>0</v>
      </c>
      <c r="CI464" s="758">
        <v>0</v>
      </c>
      <c r="CJ464" s="758">
        <v>0</v>
      </c>
      <c r="CK464" s="758">
        <v>0</v>
      </c>
      <c r="CL464" s="758">
        <v>0</v>
      </c>
      <c r="CM464" s="758">
        <v>0</v>
      </c>
      <c r="CN464" s="791">
        <v>0</v>
      </c>
      <c r="CP464" s="653"/>
      <c r="CQ464" s="653"/>
      <c r="CR464" s="524"/>
      <c r="CS464" s="653"/>
      <c r="CT464" s="524"/>
      <c r="CU464" s="653"/>
      <c r="CV464" s="524"/>
      <c r="CW464" s="653"/>
      <c r="CX464" s="524"/>
      <c r="CY464" s="653"/>
      <c r="CZ464" s="524"/>
      <c r="DA464" s="653"/>
      <c r="DB464" s="524"/>
      <c r="DC464" s="653">
        <v>0</v>
      </c>
      <c r="DD464" s="524"/>
      <c r="DE464" s="758"/>
      <c r="DF464" s="524"/>
      <c r="DG464" s="757"/>
      <c r="DH464" s="758"/>
      <c r="DI464" s="524"/>
      <c r="DJ464" s="757"/>
      <c r="DK464" s="758"/>
      <c r="DL464" s="524"/>
      <c r="DM464" s="757"/>
      <c r="DN464" s="758"/>
      <c r="DO464" s="524"/>
      <c r="DP464" s="757"/>
      <c r="DQ464" s="493">
        <f t="shared" si="274"/>
        <v>0</v>
      </c>
      <c r="DR464" s="479">
        <f t="shared" si="277"/>
        <v>0</v>
      </c>
      <c r="DS464" s="1019"/>
      <c r="DT464" s="1019"/>
      <c r="DU464" s="1019"/>
      <c r="DV464" s="1019"/>
      <c r="DW464" s="1019"/>
      <c r="DX464" s="1019"/>
      <c r="DY464" s="1019"/>
      <c r="DZ464" s="1019"/>
      <c r="EA464" s="1019"/>
      <c r="EB464" s="1019"/>
      <c r="EC464" s="1019"/>
      <c r="ED464" s="1019"/>
      <c r="EE464" s="1119">
        <f t="shared" si="275"/>
        <v>0</v>
      </c>
      <c r="EF464" s="443">
        <f>EE464*1.17</f>
        <v>0</v>
      </c>
      <c r="EG464" s="443">
        <f>EF464*1.08</f>
        <v>0</v>
      </c>
      <c r="EH464" s="443">
        <f t="shared" si="280"/>
        <v>0</v>
      </c>
      <c r="EI464" s="443">
        <f t="shared" si="280"/>
        <v>0</v>
      </c>
      <c r="EJ464" s="367">
        <v>3000018773</v>
      </c>
      <c r="EL464" s="177"/>
      <c r="EM464" s="177"/>
      <c r="EN464" s="177"/>
    </row>
    <row r="465" spans="1:144" outlineLevel="2">
      <c r="A465" s="367" t="s">
        <v>291</v>
      </c>
      <c r="B465" s="378"/>
      <c r="C465" s="370" t="s">
        <v>688</v>
      </c>
      <c r="D465" s="370" t="s">
        <v>40</v>
      </c>
      <c r="E465" s="403" t="s">
        <v>702</v>
      </c>
      <c r="F465" s="380"/>
      <c r="G465" s="189"/>
      <c r="H465" s="13"/>
      <c r="I465" s="195"/>
      <c r="J465" s="185"/>
      <c r="K465" s="185"/>
      <c r="L465" s="185"/>
      <c r="M465" s="185"/>
      <c r="N465" s="185"/>
      <c r="O465" s="185"/>
      <c r="P465" s="185"/>
      <c r="Q465" s="185"/>
      <c r="R465" s="185"/>
      <c r="S465" s="14"/>
      <c r="T465" s="179"/>
      <c r="U465" s="189"/>
      <c r="V465" s="13"/>
      <c r="W465" s="195"/>
      <c r="X465" s="185"/>
      <c r="Y465" s="185"/>
      <c r="Z465" s="185"/>
      <c r="AA465" s="185"/>
      <c r="AB465" s="185"/>
      <c r="AC465" s="185"/>
      <c r="AD465" s="185"/>
      <c r="AE465" s="185"/>
      <c r="AF465" s="185"/>
      <c r="AG465" s="759"/>
      <c r="AH465" s="811"/>
      <c r="AI465" s="189"/>
      <c r="AJ465" s="810"/>
      <c r="AK465" s="854"/>
      <c r="AL465" s="758"/>
      <c r="AM465" s="758"/>
      <c r="AN465" s="758"/>
      <c r="AO465" s="758"/>
      <c r="AP465" s="758"/>
      <c r="AQ465" s="518"/>
      <c r="AR465" s="813"/>
      <c r="AS465" s="518">
        <v>1282500</v>
      </c>
      <c r="AT465" s="518">
        <v>0</v>
      </c>
      <c r="AU465" s="758"/>
      <c r="AV465" s="758"/>
      <c r="AW465" s="758"/>
      <c r="AX465" s="518">
        <f t="shared" si="273"/>
        <v>1282500</v>
      </c>
      <c r="AY465" s="811"/>
      <c r="AZ465" s="189"/>
      <c r="BA465" s="810"/>
      <c r="BB465" s="854"/>
      <c r="BC465" s="758"/>
      <c r="BD465" s="758"/>
      <c r="BE465" s="758"/>
      <c r="BF465" s="758"/>
      <c r="BG465" s="758"/>
      <c r="BH465" s="758"/>
      <c r="BI465" s="758"/>
      <c r="BJ465" s="758"/>
      <c r="BK465" s="758"/>
      <c r="BL465" s="518"/>
      <c r="BN465" s="6"/>
      <c r="BO465" s="810"/>
      <c r="BP465" s="758"/>
      <c r="BQ465" s="758"/>
      <c r="BR465" s="758"/>
      <c r="BS465" s="758"/>
      <c r="BT465" s="758"/>
      <c r="BU465" s="758"/>
      <c r="BV465" s="758"/>
      <c r="BW465" s="758"/>
      <c r="BX465" s="758"/>
      <c r="BY465" s="758"/>
      <c r="BZ465" s="791">
        <v>0</v>
      </c>
      <c r="CB465" s="6"/>
      <c r="CC465" s="810"/>
      <c r="CD465" s="758"/>
      <c r="CE465" s="758"/>
      <c r="CF465" s="758"/>
      <c r="CG465" s="758"/>
      <c r="CH465" s="758"/>
      <c r="CI465" s="758"/>
      <c r="CJ465" s="758"/>
      <c r="CK465" s="758"/>
      <c r="CL465" s="758"/>
      <c r="CM465" s="758"/>
      <c r="CN465" s="791">
        <v>0</v>
      </c>
      <c r="CP465" s="655"/>
      <c r="CQ465" s="655"/>
      <c r="CR465" s="6"/>
      <c r="CS465" s="655"/>
      <c r="CT465" s="6"/>
      <c r="CU465" s="655"/>
      <c r="CV465" s="6"/>
      <c r="CW465" s="655"/>
      <c r="CX465" s="6"/>
      <c r="CY465" s="655"/>
      <c r="CZ465" s="6"/>
      <c r="DA465" s="655"/>
      <c r="DB465" s="6"/>
      <c r="DC465" s="655">
        <v>0</v>
      </c>
      <c r="DD465" s="6"/>
      <c r="DE465" s="758"/>
      <c r="DF465" s="6"/>
      <c r="DG465" s="757"/>
      <c r="DH465" s="758"/>
      <c r="DI465" s="6"/>
      <c r="DJ465" s="757"/>
      <c r="DK465" s="758"/>
      <c r="DL465" s="6"/>
      <c r="DM465" s="757"/>
      <c r="DN465" s="758"/>
      <c r="DO465" s="6"/>
      <c r="DP465" s="757"/>
      <c r="DQ465" s="493">
        <f t="shared" si="274"/>
        <v>0</v>
      </c>
      <c r="DR465" s="479">
        <f t="shared" si="277"/>
        <v>0</v>
      </c>
      <c r="DS465" s="1019"/>
      <c r="DT465" s="1019"/>
      <c r="DU465" s="1019"/>
      <c r="DV465" s="1019"/>
      <c r="DW465" s="1019"/>
      <c r="DX465" s="1019"/>
      <c r="DY465" s="1019"/>
      <c r="DZ465" s="1019"/>
      <c r="EA465" s="1019"/>
      <c r="EB465" s="1019"/>
      <c r="EC465" s="1019"/>
      <c r="ED465" s="1019"/>
      <c r="EE465" s="1119">
        <f t="shared" si="275"/>
        <v>0</v>
      </c>
      <c r="EF465" s="447"/>
      <c r="EG465" s="447"/>
      <c r="EH465" s="447"/>
      <c r="EI465" s="447"/>
      <c r="EL465" s="177"/>
      <c r="EM465" s="177"/>
      <c r="EN465" s="177"/>
    </row>
    <row r="466" spans="1:144" outlineLevel="2">
      <c r="A466" s="367" t="s">
        <v>291</v>
      </c>
      <c r="B466" s="378"/>
      <c r="C466" s="370" t="s">
        <v>688</v>
      </c>
      <c r="D466" s="370" t="s">
        <v>40</v>
      </c>
      <c r="E466" s="383" t="s">
        <v>703</v>
      </c>
      <c r="F466" s="380">
        <v>3000019597</v>
      </c>
      <c r="G466" s="189"/>
      <c r="H466" s="13"/>
      <c r="I466" s="185"/>
      <c r="J466" s="185"/>
      <c r="K466" s="185"/>
      <c r="L466" s="194"/>
      <c r="M466" s="185"/>
      <c r="N466" s="185"/>
      <c r="O466" s="7"/>
      <c r="P466" s="7"/>
      <c r="Q466" s="7"/>
      <c r="R466" s="7"/>
      <c r="S466" s="14">
        <f>SUM(G466,H466,I466,J466,K466,L466,M466,N466,O466,P466,Q466,R466)</f>
        <v>0</v>
      </c>
      <c r="T466" s="179"/>
      <c r="U466" s="189"/>
      <c r="V466" s="13"/>
      <c r="W466" s="185"/>
      <c r="X466" s="185"/>
      <c r="Y466" s="185"/>
      <c r="Z466" s="194"/>
      <c r="AA466" s="185"/>
      <c r="AB466" s="185"/>
      <c r="AC466" s="7"/>
      <c r="AD466" s="7"/>
      <c r="AE466" s="7"/>
      <c r="AF466" s="7"/>
      <c r="AG466" s="759">
        <f>SUM(U466,V466,W466,X466,Y466,Z466,AA466,AB466,AC466,AD466,AE466,AF466)</f>
        <v>0</v>
      </c>
      <c r="AH466" s="853">
        <v>3000019597</v>
      </c>
      <c r="AI466" s="189"/>
      <c r="AJ466" s="810"/>
      <c r="AK466" s="758"/>
      <c r="AL466" s="758">
        <v>2687000</v>
      </c>
      <c r="AM466" s="758">
        <v>0</v>
      </c>
      <c r="AN466" s="524">
        <v>500000</v>
      </c>
      <c r="AO466" s="758">
        <v>0</v>
      </c>
      <c r="AP466" s="758">
        <v>0</v>
      </c>
      <c r="AQ466" s="518">
        <v>0</v>
      </c>
      <c r="AR466" s="518"/>
      <c r="AS466" s="518"/>
      <c r="AT466" s="518"/>
      <c r="AU466" s="518">
        <f>BI466</f>
        <v>0</v>
      </c>
      <c r="AV466" s="518">
        <f>BJ466</f>
        <v>0</v>
      </c>
      <c r="AW466" s="518">
        <f>BK466</f>
        <v>0</v>
      </c>
      <c r="AX466" s="518">
        <f t="shared" si="273"/>
        <v>3187000</v>
      </c>
      <c r="AY466" s="853">
        <v>0</v>
      </c>
      <c r="AZ466" s="189"/>
      <c r="BA466" s="810"/>
      <c r="BB466" s="758"/>
      <c r="BC466" s="758">
        <v>2687000</v>
      </c>
      <c r="BD466" s="758">
        <v>0</v>
      </c>
      <c r="BE466" s="524">
        <v>500000</v>
      </c>
      <c r="BF466" s="758">
        <v>0</v>
      </c>
      <c r="BG466" s="518">
        <f>AP466</f>
        <v>0</v>
      </c>
      <c r="BH466" s="758">
        <v>0</v>
      </c>
      <c r="BI466" s="758">
        <v>0</v>
      </c>
      <c r="BJ466" s="758">
        <v>0</v>
      </c>
      <c r="BK466" s="758">
        <v>0</v>
      </c>
      <c r="BL466" s="759">
        <f>SUM(AZ466,BA466,BB466,BC466,BD466,BE466,BF466,BG466,BH466,BI466,BJ466,BK466)</f>
        <v>3187000</v>
      </c>
      <c r="BN466" s="758">
        <v>0</v>
      </c>
      <c r="BO466" s="758">
        <v>0</v>
      </c>
      <c r="BP466" s="758">
        <v>0</v>
      </c>
      <c r="BQ466" s="758">
        <v>0</v>
      </c>
      <c r="BR466" s="758">
        <v>0</v>
      </c>
      <c r="BS466" s="758">
        <v>0</v>
      </c>
      <c r="BT466" s="758">
        <v>0</v>
      </c>
      <c r="BU466" s="758">
        <v>0</v>
      </c>
      <c r="BV466" s="758">
        <v>0</v>
      </c>
      <c r="BW466" s="758">
        <v>0</v>
      </c>
      <c r="BX466" s="758">
        <v>0</v>
      </c>
      <c r="BY466" s="758">
        <v>0</v>
      </c>
      <c r="BZ466" s="791">
        <v>0</v>
      </c>
      <c r="CB466" s="758">
        <v>0</v>
      </c>
      <c r="CC466" s="758">
        <v>0</v>
      </c>
      <c r="CD466" s="758">
        <v>0</v>
      </c>
      <c r="CE466" s="758">
        <v>0</v>
      </c>
      <c r="CF466" s="758">
        <v>0</v>
      </c>
      <c r="CG466" s="758">
        <v>0</v>
      </c>
      <c r="CH466" s="758">
        <v>0</v>
      </c>
      <c r="CI466" s="758">
        <v>0</v>
      </c>
      <c r="CJ466" s="758">
        <v>0</v>
      </c>
      <c r="CK466" s="758">
        <v>0</v>
      </c>
      <c r="CL466" s="758">
        <v>0</v>
      </c>
      <c r="CM466" s="758">
        <v>0</v>
      </c>
      <c r="CN466" s="791">
        <v>0</v>
      </c>
      <c r="CP466" s="653"/>
      <c r="CQ466" s="653"/>
      <c r="CR466" s="524"/>
      <c r="CS466" s="653"/>
      <c r="CT466" s="524"/>
      <c r="CU466" s="653"/>
      <c r="CV466" s="524"/>
      <c r="CW466" s="653"/>
      <c r="CX466" s="524"/>
      <c r="CY466" s="653"/>
      <c r="CZ466" s="524"/>
      <c r="DA466" s="653"/>
      <c r="DB466" s="524"/>
      <c r="DC466" s="653">
        <v>0</v>
      </c>
      <c r="DD466" s="524"/>
      <c r="DE466" s="758"/>
      <c r="DF466" s="524"/>
      <c r="DG466" s="757"/>
      <c r="DH466" s="758"/>
      <c r="DI466" s="524"/>
      <c r="DJ466" s="757"/>
      <c r="DK466" s="758"/>
      <c r="DL466" s="524"/>
      <c r="DM466" s="757"/>
      <c r="DN466" s="758"/>
      <c r="DO466" s="524"/>
      <c r="DP466" s="757"/>
      <c r="DQ466" s="493">
        <f t="shared" si="274"/>
        <v>0</v>
      </c>
      <c r="DR466" s="479">
        <f t="shared" si="277"/>
        <v>0</v>
      </c>
      <c r="DS466" s="1019"/>
      <c r="DT466" s="1019"/>
      <c r="DU466" s="1019"/>
      <c r="DV466" s="1019"/>
      <c r="DW466" s="1019"/>
      <c r="DX466" s="1019"/>
      <c r="DY466" s="1019"/>
      <c r="DZ466" s="1019"/>
      <c r="EA466" s="1019"/>
      <c r="EB466" s="1019"/>
      <c r="EC466" s="1019"/>
      <c r="ED466" s="1019"/>
      <c r="EE466" s="1119">
        <f t="shared" si="275"/>
        <v>0</v>
      </c>
      <c r="EF466" s="443">
        <f>EE466*1.17</f>
        <v>0</v>
      </c>
      <c r="EG466" s="443">
        <f>EF466*1.08</f>
        <v>0</v>
      </c>
      <c r="EH466" s="443">
        <f>EG466*1.09</f>
        <v>0</v>
      </c>
      <c r="EI466" s="443">
        <f>EH466*1.09</f>
        <v>0</v>
      </c>
      <c r="EJ466" s="367">
        <v>3000019597</v>
      </c>
      <c r="EL466" s="177"/>
      <c r="EM466" s="177"/>
      <c r="EN466" s="177"/>
    </row>
    <row r="467" spans="1:144" outlineLevel="2">
      <c r="A467" s="367" t="s">
        <v>291</v>
      </c>
      <c r="B467" s="378"/>
      <c r="C467" s="370" t="s">
        <v>688</v>
      </c>
      <c r="D467" s="370" t="s">
        <v>40</v>
      </c>
      <c r="E467" s="403" t="s">
        <v>704</v>
      </c>
      <c r="F467" s="380"/>
      <c r="G467" s="189"/>
      <c r="H467" s="13"/>
      <c r="I467" s="185"/>
      <c r="J467" s="185"/>
      <c r="K467" s="185"/>
      <c r="L467" s="185"/>
      <c r="M467" s="185"/>
      <c r="N467" s="185"/>
      <c r="O467" s="185"/>
      <c r="P467" s="185"/>
      <c r="Q467" s="185"/>
      <c r="R467" s="185"/>
      <c r="S467" s="14"/>
      <c r="T467" s="179"/>
      <c r="U467" s="189"/>
      <c r="V467" s="13"/>
      <c r="W467" s="185"/>
      <c r="X467" s="185"/>
      <c r="Y467" s="185"/>
      <c r="Z467" s="185"/>
      <c r="AA467" s="185"/>
      <c r="AB467" s="185"/>
      <c r="AC467" s="185"/>
      <c r="AD467" s="185"/>
      <c r="AE467" s="185"/>
      <c r="AF467" s="185"/>
      <c r="AG467" s="759"/>
      <c r="AH467" s="811"/>
      <c r="AI467" s="189"/>
      <c r="AJ467" s="810"/>
      <c r="AK467" s="758"/>
      <c r="AL467" s="758"/>
      <c r="AM467" s="758"/>
      <c r="AN467" s="758"/>
      <c r="AO467" s="758"/>
      <c r="AP467" s="758"/>
      <c r="AQ467" s="518"/>
      <c r="AR467" s="813">
        <v>2833600</v>
      </c>
      <c r="AS467" s="518">
        <v>0</v>
      </c>
      <c r="AT467" s="518">
        <v>0</v>
      </c>
      <c r="AU467" s="758"/>
      <c r="AV467" s="758"/>
      <c r="AW467" s="758"/>
      <c r="AX467" s="518">
        <f t="shared" si="273"/>
        <v>2833600</v>
      </c>
      <c r="AY467" s="811"/>
      <c r="AZ467" s="189"/>
      <c r="BA467" s="810"/>
      <c r="BB467" s="758"/>
      <c r="BC467" s="758"/>
      <c r="BD467" s="758"/>
      <c r="BE467" s="758"/>
      <c r="BF467" s="758"/>
      <c r="BG467" s="758"/>
      <c r="BH467" s="758"/>
      <c r="BI467" s="758"/>
      <c r="BJ467" s="758"/>
      <c r="BK467" s="758"/>
      <c r="BL467" s="518"/>
      <c r="BN467" s="6"/>
      <c r="BO467" s="810"/>
      <c r="BP467" s="758"/>
      <c r="BQ467" s="758"/>
      <c r="BR467" s="758"/>
      <c r="BS467" s="758"/>
      <c r="BT467" s="758"/>
      <c r="BU467" s="758"/>
      <c r="BV467" s="758"/>
      <c r="BW467" s="758"/>
      <c r="BX467" s="758"/>
      <c r="BY467" s="758"/>
      <c r="BZ467" s="791">
        <v>0</v>
      </c>
      <c r="CB467" s="6"/>
      <c r="CC467" s="810"/>
      <c r="CD467" s="758"/>
      <c r="CE467" s="758"/>
      <c r="CF467" s="758"/>
      <c r="CG467" s="758"/>
      <c r="CH467" s="758"/>
      <c r="CI467" s="758"/>
      <c r="CJ467" s="758"/>
      <c r="CK467" s="758"/>
      <c r="CL467" s="758"/>
      <c r="CM467" s="758"/>
      <c r="CN467" s="791">
        <v>0</v>
      </c>
      <c r="CP467" s="655"/>
      <c r="CQ467" s="655"/>
      <c r="CR467" s="6"/>
      <c r="CS467" s="655"/>
      <c r="CT467" s="6"/>
      <c r="CU467" s="655"/>
      <c r="CV467" s="6"/>
      <c r="CW467" s="655"/>
      <c r="CX467" s="6"/>
      <c r="CY467" s="655"/>
      <c r="CZ467" s="6"/>
      <c r="DA467" s="655"/>
      <c r="DB467" s="6"/>
      <c r="DC467" s="655">
        <v>0</v>
      </c>
      <c r="DD467" s="6"/>
      <c r="DE467" s="758"/>
      <c r="DF467" s="6"/>
      <c r="DG467" s="757"/>
      <c r="DH467" s="758"/>
      <c r="DI467" s="6"/>
      <c r="DJ467" s="757"/>
      <c r="DK467" s="758"/>
      <c r="DL467" s="6"/>
      <c r="DM467" s="757"/>
      <c r="DN467" s="758"/>
      <c r="DO467" s="6"/>
      <c r="DP467" s="757"/>
      <c r="DQ467" s="493">
        <f t="shared" si="274"/>
        <v>0</v>
      </c>
      <c r="DR467" s="479">
        <f t="shared" si="277"/>
        <v>0</v>
      </c>
      <c r="DS467" s="1019"/>
      <c r="DT467" s="1019"/>
      <c r="DU467" s="1019"/>
      <c r="DV467" s="1019"/>
      <c r="DW467" s="1019"/>
      <c r="DX467" s="1019"/>
      <c r="DY467" s="1019"/>
      <c r="DZ467" s="1019"/>
      <c r="EA467" s="1019"/>
      <c r="EB467" s="1019"/>
      <c r="EC467" s="1019"/>
      <c r="ED467" s="1019"/>
      <c r="EE467" s="1119">
        <f t="shared" si="275"/>
        <v>0</v>
      </c>
      <c r="EF467" s="447"/>
      <c r="EG467" s="447"/>
      <c r="EH467" s="447"/>
      <c r="EI467" s="447"/>
      <c r="EL467" s="177"/>
      <c r="EM467" s="177"/>
      <c r="EN467" s="177"/>
    </row>
    <row r="468" spans="1:144" outlineLevel="2">
      <c r="A468" s="367" t="s">
        <v>291</v>
      </c>
      <c r="B468" s="378"/>
      <c r="C468" s="370" t="s">
        <v>688</v>
      </c>
      <c r="D468" s="370" t="s">
        <v>40</v>
      </c>
      <c r="E468" s="403" t="s">
        <v>705</v>
      </c>
      <c r="F468" s="380">
        <v>3000001135</v>
      </c>
      <c r="G468" s="189"/>
      <c r="H468" s="13"/>
      <c r="I468" s="185"/>
      <c r="J468" s="185"/>
      <c r="K468" s="185"/>
      <c r="L468" s="185"/>
      <c r="M468" s="185"/>
      <c r="N468" s="185"/>
      <c r="O468" s="7"/>
      <c r="P468" s="7"/>
      <c r="Q468" s="7"/>
      <c r="R468" s="7"/>
      <c r="S468" s="14">
        <f>SUM(G468,H468,I468,J468,K468,L468,M468,N468,O468,P468,Q468,R468)</f>
        <v>0</v>
      </c>
      <c r="T468" s="179"/>
      <c r="U468" s="189"/>
      <c r="V468" s="13"/>
      <c r="W468" s="185"/>
      <c r="X468" s="185"/>
      <c r="Y468" s="185"/>
      <c r="Z468" s="185"/>
      <c r="AA468" s="185"/>
      <c r="AB468" s="185"/>
      <c r="AC468" s="7"/>
      <c r="AD468" s="7"/>
      <c r="AE468" s="7"/>
      <c r="AF468" s="7"/>
      <c r="AG468" s="759">
        <f>SUM(U468,V468,W468,X468,Y468,Z468,AA468,AB468,AC468,AD468,AE468,AF468)</f>
        <v>0</v>
      </c>
      <c r="AH468" s="853">
        <v>3000001135</v>
      </c>
      <c r="AI468" s="189"/>
      <c r="AJ468" s="810"/>
      <c r="AK468" s="758"/>
      <c r="AL468" s="758">
        <v>0</v>
      </c>
      <c r="AM468" s="758"/>
      <c r="AN468" s="758"/>
      <c r="AO468" s="758">
        <v>0</v>
      </c>
      <c r="AP468" s="758">
        <v>4181228</v>
      </c>
      <c r="AQ468" s="518">
        <v>0</v>
      </c>
      <c r="AR468" s="518"/>
      <c r="AS468" s="518"/>
      <c r="AT468" s="518"/>
      <c r="AU468" s="518">
        <f t="shared" ref="AU468:AW469" si="281">BI468</f>
        <v>0</v>
      </c>
      <c r="AV468" s="518">
        <f t="shared" si="281"/>
        <v>0</v>
      </c>
      <c r="AW468" s="518">
        <f t="shared" si="281"/>
        <v>0</v>
      </c>
      <c r="AX468" s="518">
        <f t="shared" si="273"/>
        <v>4181228</v>
      </c>
      <c r="AY468" s="853">
        <v>0</v>
      </c>
      <c r="AZ468" s="189"/>
      <c r="BA468" s="810"/>
      <c r="BB468" s="758"/>
      <c r="BC468" s="758">
        <v>0</v>
      </c>
      <c r="BD468" s="758"/>
      <c r="BE468" s="758"/>
      <c r="BF468" s="758">
        <v>0</v>
      </c>
      <c r="BG468" s="518">
        <f>AP468</f>
        <v>4181228</v>
      </c>
      <c r="BH468" s="758">
        <v>0</v>
      </c>
      <c r="BI468" s="758">
        <v>0</v>
      </c>
      <c r="BJ468" s="758">
        <v>0</v>
      </c>
      <c r="BK468" s="758">
        <v>0</v>
      </c>
      <c r="BL468" s="759">
        <f>SUM(AZ468,BA468,BB468,BC468,BD468,BE468,BF468,BG468,BH468,BI468,BJ468,BK468)</f>
        <v>4181228</v>
      </c>
      <c r="BN468" s="758">
        <v>0</v>
      </c>
      <c r="BO468" s="758">
        <v>0</v>
      </c>
      <c r="BP468" s="758">
        <v>0</v>
      </c>
      <c r="BQ468" s="758">
        <v>0</v>
      </c>
      <c r="BR468" s="758">
        <v>0</v>
      </c>
      <c r="BS468" s="758">
        <v>0</v>
      </c>
      <c r="BT468" s="758">
        <v>0</v>
      </c>
      <c r="BU468" s="758">
        <v>0</v>
      </c>
      <c r="BV468" s="758">
        <v>0</v>
      </c>
      <c r="BW468" s="758">
        <v>0</v>
      </c>
      <c r="BX468" s="758">
        <v>0</v>
      </c>
      <c r="BY468" s="758">
        <v>0</v>
      </c>
      <c r="BZ468" s="791">
        <v>0</v>
      </c>
      <c r="CB468" s="758">
        <v>0</v>
      </c>
      <c r="CC468" s="758">
        <v>0</v>
      </c>
      <c r="CD468" s="758">
        <v>0</v>
      </c>
      <c r="CE468" s="758">
        <v>0</v>
      </c>
      <c r="CF468" s="758">
        <v>0</v>
      </c>
      <c r="CG468" s="758">
        <v>0</v>
      </c>
      <c r="CH468" s="758">
        <v>0</v>
      </c>
      <c r="CI468" s="758">
        <v>0</v>
      </c>
      <c r="CJ468" s="758">
        <v>0</v>
      </c>
      <c r="CK468" s="758">
        <v>0</v>
      </c>
      <c r="CL468" s="758">
        <v>0</v>
      </c>
      <c r="CM468" s="758">
        <v>0</v>
      </c>
      <c r="CN468" s="791">
        <v>0</v>
      </c>
      <c r="CP468" s="653"/>
      <c r="CQ468" s="653"/>
      <c r="CR468" s="524"/>
      <c r="CS468" s="653"/>
      <c r="CT468" s="524"/>
      <c r="CU468" s="653"/>
      <c r="CV468" s="524"/>
      <c r="CW468" s="653"/>
      <c r="CX468" s="524"/>
      <c r="CY468" s="653"/>
      <c r="CZ468" s="524"/>
      <c r="DA468" s="653"/>
      <c r="DB468" s="524"/>
      <c r="DC468" s="653">
        <v>0</v>
      </c>
      <c r="DD468" s="524"/>
      <c r="DE468" s="758"/>
      <c r="DF468" s="524"/>
      <c r="DG468" s="757"/>
      <c r="DH468" s="758"/>
      <c r="DI468" s="524"/>
      <c r="DJ468" s="757"/>
      <c r="DK468" s="758"/>
      <c r="DL468" s="524"/>
      <c r="DM468" s="757"/>
      <c r="DN468" s="758"/>
      <c r="DO468" s="524"/>
      <c r="DP468" s="757"/>
      <c r="DQ468" s="493">
        <f t="shared" si="274"/>
        <v>0</v>
      </c>
      <c r="DR468" s="479">
        <f t="shared" si="277"/>
        <v>0</v>
      </c>
      <c r="DS468" s="1019"/>
      <c r="DT468" s="1019"/>
      <c r="DU468" s="1019"/>
      <c r="DV468" s="1019"/>
      <c r="DW468" s="1019"/>
      <c r="DX468" s="1019"/>
      <c r="DY468" s="1019"/>
      <c r="DZ468" s="1019"/>
      <c r="EA468" s="1019"/>
      <c r="EB468" s="1019"/>
      <c r="EC468" s="1019"/>
      <c r="ED468" s="1019"/>
      <c r="EE468" s="1119">
        <f t="shared" si="275"/>
        <v>0</v>
      </c>
      <c r="EF468" s="443">
        <f>EE468*1.17</f>
        <v>0</v>
      </c>
      <c r="EG468" s="443">
        <f>EF468*1.08</f>
        <v>0</v>
      </c>
      <c r="EH468" s="443">
        <f>EG468*1.09</f>
        <v>0</v>
      </c>
      <c r="EI468" s="443">
        <f>EH468*1.09</f>
        <v>0</v>
      </c>
      <c r="EJ468" s="367">
        <v>3000001135</v>
      </c>
      <c r="EL468" s="177"/>
      <c r="EM468" s="177"/>
      <c r="EN468" s="177"/>
    </row>
    <row r="469" spans="1:144" outlineLevel="2">
      <c r="A469" s="367" t="s">
        <v>687</v>
      </c>
      <c r="B469" s="378"/>
      <c r="C469" s="370" t="s">
        <v>688</v>
      </c>
      <c r="D469" s="370" t="s">
        <v>40</v>
      </c>
      <c r="E469" s="383" t="s">
        <v>706</v>
      </c>
      <c r="F469" s="380">
        <v>3000001143</v>
      </c>
      <c r="G469" s="189"/>
      <c r="H469" s="13"/>
      <c r="I469" s="27"/>
      <c r="J469" s="185"/>
      <c r="K469" s="185"/>
      <c r="L469" s="194"/>
      <c r="M469" s="185"/>
      <c r="N469" s="185"/>
      <c r="O469" s="7"/>
      <c r="P469" s="7"/>
      <c r="Q469" s="7"/>
      <c r="R469" s="7"/>
      <c r="S469" s="14">
        <f>SUM(G469,H469,I469,J469,K469,L469,M469,N469,O469,P469,Q469,R469)</f>
        <v>0</v>
      </c>
      <c r="T469" s="179"/>
      <c r="U469" s="189"/>
      <c r="V469" s="13"/>
      <c r="W469" s="27"/>
      <c r="X469" s="185"/>
      <c r="Y469" s="185"/>
      <c r="Z469" s="194"/>
      <c r="AA469" s="185"/>
      <c r="AB469" s="185"/>
      <c r="AC469" s="7"/>
      <c r="AD469" s="7"/>
      <c r="AE469" s="7"/>
      <c r="AF469" s="7"/>
      <c r="AG469" s="759">
        <f>SUM(U469,V469,W469,X469,Y469,Z469,AA469,AB469,AC469,AD469,AE469,AF469)</f>
        <v>0</v>
      </c>
      <c r="AH469" s="853">
        <v>3000001143</v>
      </c>
      <c r="AI469" s="189"/>
      <c r="AJ469" s="810"/>
      <c r="AK469" s="858">
        <v>3901000</v>
      </c>
      <c r="AL469" s="758">
        <v>280977250</v>
      </c>
      <c r="AM469" s="758">
        <v>144550000</v>
      </c>
      <c r="AN469" s="524">
        <v>0</v>
      </c>
      <c r="AO469" s="758">
        <v>0</v>
      </c>
      <c r="AP469" s="758">
        <v>9034500</v>
      </c>
      <c r="AQ469" s="518">
        <v>0</v>
      </c>
      <c r="AR469" s="518"/>
      <c r="AS469" s="518"/>
      <c r="AT469" s="518"/>
      <c r="AU469" s="518">
        <f t="shared" si="281"/>
        <v>0</v>
      </c>
      <c r="AV469" s="518">
        <f t="shared" si="281"/>
        <v>0</v>
      </c>
      <c r="AW469" s="518">
        <f t="shared" si="281"/>
        <v>0</v>
      </c>
      <c r="AX469" s="518">
        <f t="shared" si="273"/>
        <v>438462750</v>
      </c>
      <c r="AY469" s="853">
        <v>0</v>
      </c>
      <c r="AZ469" s="189"/>
      <c r="BA469" s="810"/>
      <c r="BB469" s="858">
        <v>3901000</v>
      </c>
      <c r="BC469" s="758">
        <v>280977250</v>
      </c>
      <c r="BD469" s="758">
        <v>144550000</v>
      </c>
      <c r="BE469" s="524">
        <v>0</v>
      </c>
      <c r="BF469" s="758">
        <v>0</v>
      </c>
      <c r="BG469" s="518">
        <f>AP469</f>
        <v>9034500</v>
      </c>
      <c r="BH469" s="758">
        <v>0</v>
      </c>
      <c r="BI469" s="758">
        <v>0</v>
      </c>
      <c r="BJ469" s="758">
        <v>0</v>
      </c>
      <c r="BK469" s="758">
        <v>0</v>
      </c>
      <c r="BL469" s="759">
        <f>SUM(AZ469,BA469,BB469,BC469,BD469,BE469,BF469,BG469,BH469,BI469,BJ469,BK469)</f>
        <v>438462750</v>
      </c>
      <c r="BN469" s="758">
        <v>0</v>
      </c>
      <c r="BO469" s="758">
        <v>0</v>
      </c>
      <c r="BP469" s="758">
        <v>0</v>
      </c>
      <c r="BQ469" s="758">
        <v>0</v>
      </c>
      <c r="BR469" s="758">
        <v>0</v>
      </c>
      <c r="BS469" s="758">
        <v>0</v>
      </c>
      <c r="BT469" s="758">
        <v>0</v>
      </c>
      <c r="BU469" s="758">
        <v>0</v>
      </c>
      <c r="BV469" s="758">
        <v>0</v>
      </c>
      <c r="BW469" s="758">
        <v>0</v>
      </c>
      <c r="BX469" s="758">
        <v>0</v>
      </c>
      <c r="BY469" s="758">
        <v>0</v>
      </c>
      <c r="BZ469" s="791">
        <v>0</v>
      </c>
      <c r="CB469" s="758">
        <v>0</v>
      </c>
      <c r="CC469" s="758">
        <v>0</v>
      </c>
      <c r="CD469" s="758">
        <v>0</v>
      </c>
      <c r="CE469" s="758">
        <v>0</v>
      </c>
      <c r="CF469" s="758">
        <v>0</v>
      </c>
      <c r="CG469" s="758">
        <v>0</v>
      </c>
      <c r="CH469" s="758">
        <v>0</v>
      </c>
      <c r="CI469" s="758">
        <v>0</v>
      </c>
      <c r="CJ469" s="758">
        <v>0</v>
      </c>
      <c r="CK469" s="758">
        <v>0</v>
      </c>
      <c r="CL469" s="758">
        <v>0</v>
      </c>
      <c r="CM469" s="758">
        <v>0</v>
      </c>
      <c r="CN469" s="791">
        <v>0</v>
      </c>
      <c r="CP469" s="653"/>
      <c r="CQ469" s="653"/>
      <c r="CR469" s="524"/>
      <c r="CS469" s="653"/>
      <c r="CT469" s="524"/>
      <c r="CU469" s="653"/>
      <c r="CV469" s="524"/>
      <c r="CW469" s="653"/>
      <c r="CX469" s="524"/>
      <c r="CY469" s="653"/>
      <c r="CZ469" s="524"/>
      <c r="DA469" s="653"/>
      <c r="DB469" s="524"/>
      <c r="DC469" s="653">
        <v>0</v>
      </c>
      <c r="DD469" s="524"/>
      <c r="DE469" s="758"/>
      <c r="DF469" s="524"/>
      <c r="DG469" s="757"/>
      <c r="DH469" s="758"/>
      <c r="DI469" s="524"/>
      <c r="DJ469" s="757"/>
      <c r="DK469" s="758"/>
      <c r="DL469" s="524"/>
      <c r="DM469" s="757"/>
      <c r="DN469" s="758"/>
      <c r="DO469" s="524"/>
      <c r="DP469" s="757"/>
      <c r="DQ469" s="493">
        <f t="shared" si="274"/>
        <v>0</v>
      </c>
      <c r="DR469" s="479">
        <f t="shared" si="277"/>
        <v>0</v>
      </c>
      <c r="DS469" s="1019"/>
      <c r="DT469" s="1019"/>
      <c r="DU469" s="1019"/>
      <c r="DV469" s="1019"/>
      <c r="DW469" s="1019"/>
      <c r="DX469" s="1019"/>
      <c r="DY469" s="1019"/>
      <c r="DZ469" s="1019"/>
      <c r="EA469" s="1019"/>
      <c r="EB469" s="1019"/>
      <c r="EC469" s="1019"/>
      <c r="ED469" s="1019"/>
      <c r="EE469" s="1119">
        <f t="shared" si="275"/>
        <v>0</v>
      </c>
      <c r="EF469" s="443">
        <f>EE469*1.17</f>
        <v>0</v>
      </c>
      <c r="EG469" s="443">
        <f>EF469*1.08</f>
        <v>0</v>
      </c>
      <c r="EH469" s="443">
        <f>EG469*1.09</f>
        <v>0</v>
      </c>
      <c r="EI469" s="443">
        <f>EH469*1.09</f>
        <v>0</v>
      </c>
      <c r="EJ469" s="367">
        <v>3000001143</v>
      </c>
      <c r="EL469" s="177"/>
      <c r="EM469" s="177"/>
      <c r="EN469" s="177"/>
    </row>
    <row r="470" spans="1:144" outlineLevel="2">
      <c r="A470" s="367" t="s">
        <v>291</v>
      </c>
      <c r="B470" s="378"/>
      <c r="C470" s="370" t="s">
        <v>688</v>
      </c>
      <c r="D470" s="370" t="s">
        <v>40</v>
      </c>
      <c r="E470" s="403" t="s">
        <v>707</v>
      </c>
      <c r="F470" s="380"/>
      <c r="G470" s="189"/>
      <c r="H470" s="26"/>
      <c r="I470" s="185"/>
      <c r="J470" s="185"/>
      <c r="K470" s="185"/>
      <c r="L470" s="185"/>
      <c r="M470" s="185"/>
      <c r="N470" s="185"/>
      <c r="O470" s="185"/>
      <c r="P470" s="185"/>
      <c r="Q470" s="185"/>
      <c r="R470" s="185"/>
      <c r="S470" s="14"/>
      <c r="T470" s="179"/>
      <c r="U470" s="189"/>
      <c r="V470" s="26"/>
      <c r="W470" s="185"/>
      <c r="X470" s="185"/>
      <c r="Y470" s="185"/>
      <c r="Z470" s="185"/>
      <c r="AA470" s="185"/>
      <c r="AB470" s="185"/>
      <c r="AC470" s="185"/>
      <c r="AD470" s="185"/>
      <c r="AE470" s="185"/>
      <c r="AF470" s="185"/>
      <c r="AG470" s="759"/>
      <c r="AH470" s="811"/>
      <c r="AI470" s="189"/>
      <c r="AJ470" s="824"/>
      <c r="AK470" s="758"/>
      <c r="AL470" s="758"/>
      <c r="AM470" s="758"/>
      <c r="AN470" s="758"/>
      <c r="AO470" s="758"/>
      <c r="AP470" s="758"/>
      <c r="AQ470" s="518"/>
      <c r="AR470" s="813"/>
      <c r="AS470" s="518">
        <v>0</v>
      </c>
      <c r="AT470" s="518">
        <v>17050000</v>
      </c>
      <c r="AU470" s="758"/>
      <c r="AV470" s="758"/>
      <c r="AW470" s="758"/>
      <c r="AX470" s="518">
        <f t="shared" si="273"/>
        <v>17050000</v>
      </c>
      <c r="AY470" s="811"/>
      <c r="AZ470" s="189"/>
      <c r="BA470" s="824"/>
      <c r="BB470" s="758"/>
      <c r="BC470" s="758"/>
      <c r="BD470" s="758"/>
      <c r="BE470" s="758"/>
      <c r="BF470" s="758"/>
      <c r="BG470" s="758"/>
      <c r="BH470" s="758"/>
      <c r="BI470" s="758"/>
      <c r="BJ470" s="758"/>
      <c r="BK470" s="758"/>
      <c r="BL470" s="518"/>
      <c r="BN470" s="6"/>
      <c r="BO470" s="810"/>
      <c r="BP470" s="758"/>
      <c r="BQ470" s="758"/>
      <c r="BR470" s="758"/>
      <c r="BS470" s="758"/>
      <c r="BT470" s="758"/>
      <c r="BU470" s="758"/>
      <c r="BV470" s="758"/>
      <c r="BW470" s="758"/>
      <c r="BX470" s="758"/>
      <c r="BY470" s="758"/>
      <c r="BZ470" s="791">
        <v>0</v>
      </c>
      <c r="CB470" s="6"/>
      <c r="CC470" s="810"/>
      <c r="CD470" s="758"/>
      <c r="CE470" s="758"/>
      <c r="CF470" s="758"/>
      <c r="CG470" s="758"/>
      <c r="CH470" s="758"/>
      <c r="CI470" s="758"/>
      <c r="CJ470" s="758"/>
      <c r="CK470" s="758"/>
      <c r="CL470" s="758"/>
      <c r="CM470" s="758"/>
      <c r="CN470" s="791">
        <v>0</v>
      </c>
      <c r="CP470" s="655"/>
      <c r="CQ470" s="655"/>
      <c r="CR470" s="6"/>
      <c r="CS470" s="655"/>
      <c r="CT470" s="6"/>
      <c r="CU470" s="655"/>
      <c r="CV470" s="6"/>
      <c r="CW470" s="655"/>
      <c r="CX470" s="6"/>
      <c r="CY470" s="655"/>
      <c r="CZ470" s="6"/>
      <c r="DA470" s="655"/>
      <c r="DB470" s="6"/>
      <c r="DC470" s="655">
        <v>0</v>
      </c>
      <c r="DD470" s="6"/>
      <c r="DE470" s="758"/>
      <c r="DF470" s="6"/>
      <c r="DG470" s="757"/>
      <c r="DH470" s="758"/>
      <c r="DI470" s="6"/>
      <c r="DJ470" s="757"/>
      <c r="DK470" s="758"/>
      <c r="DL470" s="6"/>
      <c r="DM470" s="757"/>
      <c r="DN470" s="758"/>
      <c r="DO470" s="6"/>
      <c r="DP470" s="757"/>
      <c r="DQ470" s="493">
        <f t="shared" si="274"/>
        <v>0</v>
      </c>
      <c r="DR470" s="479">
        <f t="shared" si="277"/>
        <v>0</v>
      </c>
      <c r="DS470" s="1019"/>
      <c r="DT470" s="1019"/>
      <c r="DU470" s="1019"/>
      <c r="DV470" s="1019"/>
      <c r="DW470" s="1019"/>
      <c r="DX470" s="1019"/>
      <c r="DY470" s="1019"/>
      <c r="DZ470" s="1019"/>
      <c r="EA470" s="1019"/>
      <c r="EB470" s="1019"/>
      <c r="EC470" s="1019"/>
      <c r="ED470" s="1019"/>
      <c r="EE470" s="1119">
        <f t="shared" si="275"/>
        <v>0</v>
      </c>
      <c r="EF470" s="447"/>
      <c r="EG470" s="447"/>
      <c r="EH470" s="447"/>
      <c r="EI470" s="447"/>
      <c r="EL470" s="177"/>
      <c r="EM470" s="177"/>
      <c r="EN470" s="177"/>
    </row>
    <row r="471" spans="1:144" outlineLevel="2">
      <c r="A471" s="367" t="s">
        <v>291</v>
      </c>
      <c r="B471" s="378"/>
      <c r="C471" s="370" t="s">
        <v>688</v>
      </c>
      <c r="D471" s="370" t="s">
        <v>40</v>
      </c>
      <c r="E471" s="383" t="s">
        <v>708</v>
      </c>
      <c r="F471" s="380">
        <v>3000019340</v>
      </c>
      <c r="G471" s="186"/>
      <c r="H471" s="13"/>
      <c r="I471" s="185"/>
      <c r="J471" s="185"/>
      <c r="K471" s="185"/>
      <c r="L471" s="194"/>
      <c r="M471" s="185"/>
      <c r="N471" s="185"/>
      <c r="O471" s="7"/>
      <c r="P471" s="7"/>
      <c r="Q471" s="7"/>
      <c r="R471" s="7"/>
      <c r="S471" s="14">
        <f>SUM(G471,H471,I471,J471,K471,L471,M471,N471,O471,P471,Q471,R471)</f>
        <v>0</v>
      </c>
      <c r="T471" s="179"/>
      <c r="U471" s="186"/>
      <c r="V471" s="13"/>
      <c r="W471" s="185"/>
      <c r="X471" s="185"/>
      <c r="Y471" s="185"/>
      <c r="Z471" s="194"/>
      <c r="AA471" s="185"/>
      <c r="AB471" s="185"/>
      <c r="AC471" s="7"/>
      <c r="AD471" s="7"/>
      <c r="AE471" s="7"/>
      <c r="AF471" s="7"/>
      <c r="AG471" s="759">
        <f>SUM(U471,V471,W471,X471,Y471,Z471,AA471,AB471,AC471,AD471,AE471,AF471)</f>
        <v>0</v>
      </c>
      <c r="AH471" s="853">
        <v>3000019340</v>
      </c>
      <c r="AI471" s="814">
        <v>1282500</v>
      </c>
      <c r="AJ471" s="810"/>
      <c r="AK471" s="758"/>
      <c r="AL471" s="758">
        <v>0</v>
      </c>
      <c r="AM471" s="758">
        <v>0</v>
      </c>
      <c r="AN471" s="524">
        <v>1282500</v>
      </c>
      <c r="AO471" s="758">
        <v>0</v>
      </c>
      <c r="AP471" s="758">
        <v>0</v>
      </c>
      <c r="AQ471" s="518">
        <v>0</v>
      </c>
      <c r="AR471" s="813">
        <v>0</v>
      </c>
      <c r="AS471" s="813">
        <v>0</v>
      </c>
      <c r="AT471" s="813">
        <v>1282500</v>
      </c>
      <c r="AU471" s="518">
        <f t="shared" ref="AU471:AW473" si="282">BI471</f>
        <v>0</v>
      </c>
      <c r="AV471" s="518">
        <f t="shared" si="282"/>
        <v>0</v>
      </c>
      <c r="AW471" s="518">
        <f t="shared" si="282"/>
        <v>0</v>
      </c>
      <c r="AX471" s="518">
        <f t="shared" si="273"/>
        <v>3847500</v>
      </c>
      <c r="AY471" s="853">
        <v>0</v>
      </c>
      <c r="AZ471" s="814">
        <v>1282500</v>
      </c>
      <c r="BA471" s="810"/>
      <c r="BB471" s="758"/>
      <c r="BC471" s="758">
        <v>0</v>
      </c>
      <c r="BD471" s="758">
        <v>0</v>
      </c>
      <c r="BE471" s="524">
        <v>1282500</v>
      </c>
      <c r="BF471" s="758">
        <v>0</v>
      </c>
      <c r="BG471" s="518">
        <f>AP471</f>
        <v>0</v>
      </c>
      <c r="BH471" s="758">
        <v>0</v>
      </c>
      <c r="BI471" s="758">
        <v>0</v>
      </c>
      <c r="BJ471" s="758">
        <v>0</v>
      </c>
      <c r="BK471" s="758">
        <v>0</v>
      </c>
      <c r="BL471" s="759">
        <f>SUM(AZ471,BA471,BB471,BC471,BD471,BE471,BF471,BG471,BH471,BI471,BJ471,BK471)</f>
        <v>2565000</v>
      </c>
      <c r="BN471" s="758">
        <v>0</v>
      </c>
      <c r="BO471" s="758">
        <v>0</v>
      </c>
      <c r="BP471" s="758">
        <v>0</v>
      </c>
      <c r="BQ471" s="758">
        <v>0</v>
      </c>
      <c r="BR471" s="758">
        <v>0</v>
      </c>
      <c r="BS471" s="758">
        <v>0</v>
      </c>
      <c r="BT471" s="758">
        <v>0</v>
      </c>
      <c r="BU471" s="758">
        <v>0</v>
      </c>
      <c r="BV471" s="758">
        <v>0</v>
      </c>
      <c r="BW471" s="758">
        <v>0</v>
      </c>
      <c r="BX471" s="758">
        <v>0</v>
      </c>
      <c r="BY471" s="758">
        <v>0</v>
      </c>
      <c r="BZ471" s="791">
        <v>0</v>
      </c>
      <c r="CB471" s="758">
        <v>0</v>
      </c>
      <c r="CC471" s="758">
        <v>0</v>
      </c>
      <c r="CD471" s="758">
        <v>0</v>
      </c>
      <c r="CE471" s="758">
        <v>0</v>
      </c>
      <c r="CF471" s="758">
        <v>0</v>
      </c>
      <c r="CG471" s="758">
        <v>0</v>
      </c>
      <c r="CH471" s="758">
        <v>0</v>
      </c>
      <c r="CI471" s="758">
        <v>0</v>
      </c>
      <c r="CJ471" s="758">
        <v>0</v>
      </c>
      <c r="CK471" s="758">
        <v>0</v>
      </c>
      <c r="CL471" s="758">
        <v>0</v>
      </c>
      <c r="CM471" s="758">
        <v>0</v>
      </c>
      <c r="CN471" s="791">
        <v>0</v>
      </c>
      <c r="CP471" s="653"/>
      <c r="CQ471" s="653"/>
      <c r="CR471" s="524"/>
      <c r="CS471" s="653"/>
      <c r="CT471" s="524"/>
      <c r="CU471" s="653">
        <v>1282500</v>
      </c>
      <c r="CV471" s="524"/>
      <c r="CW471" s="653"/>
      <c r="CX471" s="524"/>
      <c r="CY471" s="653"/>
      <c r="CZ471" s="524"/>
      <c r="DA471" s="653"/>
      <c r="DB471" s="524"/>
      <c r="DC471" s="653">
        <v>0</v>
      </c>
      <c r="DD471" s="524"/>
      <c r="DE471" s="758"/>
      <c r="DF471" s="524"/>
      <c r="DG471" s="757"/>
      <c r="DH471" s="758"/>
      <c r="DI471" s="524"/>
      <c r="DJ471" s="757"/>
      <c r="DK471" s="758"/>
      <c r="DL471" s="524"/>
      <c r="DM471" s="757"/>
      <c r="DN471" s="758"/>
      <c r="DO471" s="524"/>
      <c r="DP471" s="757"/>
      <c r="DQ471" s="493">
        <f t="shared" si="274"/>
        <v>1282500</v>
      </c>
      <c r="DR471" s="479">
        <f t="shared" si="277"/>
        <v>1282500</v>
      </c>
      <c r="DS471" s="1019"/>
      <c r="DT471" s="1019"/>
      <c r="DU471" s="1019"/>
      <c r="DV471" s="1019"/>
      <c r="DW471" s="1019"/>
      <c r="DX471" s="1019"/>
      <c r="DY471" s="1019"/>
      <c r="DZ471" s="1019"/>
      <c r="EA471" s="1019"/>
      <c r="EB471" s="1019"/>
      <c r="EC471" s="1019"/>
      <c r="ED471" s="1019"/>
      <c r="EE471" s="1119">
        <f t="shared" si="275"/>
        <v>0</v>
      </c>
      <c r="EF471" s="443">
        <f>EE471*1.17</f>
        <v>0</v>
      </c>
      <c r="EG471" s="443">
        <f>EF471*1.08</f>
        <v>0</v>
      </c>
      <c r="EH471" s="443">
        <f t="shared" ref="EH471:EI473" si="283">EG471*1.09</f>
        <v>0</v>
      </c>
      <c r="EI471" s="443">
        <f t="shared" si="283"/>
        <v>0</v>
      </c>
      <c r="EJ471" s="367">
        <v>3000019340</v>
      </c>
      <c r="EL471" s="177"/>
      <c r="EM471" s="177"/>
      <c r="EN471" s="177"/>
    </row>
    <row r="472" spans="1:144" outlineLevel="2">
      <c r="A472" s="367" t="s">
        <v>687</v>
      </c>
      <c r="B472" s="378"/>
      <c r="C472" s="370" t="s">
        <v>688</v>
      </c>
      <c r="D472" s="370" t="s">
        <v>40</v>
      </c>
      <c r="E472" s="383" t="s">
        <v>395</v>
      </c>
      <c r="F472" s="380">
        <v>8000000019</v>
      </c>
      <c r="G472" s="186"/>
      <c r="H472" s="30"/>
      <c r="I472" s="185"/>
      <c r="J472" s="185"/>
      <c r="K472" s="185"/>
      <c r="L472" s="194"/>
      <c r="M472" s="185"/>
      <c r="N472" s="185"/>
      <c r="O472" s="7"/>
      <c r="P472" s="7"/>
      <c r="Q472" s="7"/>
      <c r="R472" s="7"/>
      <c r="S472" s="14">
        <f>SUM(G472,H472,I472,J472,K472,L472,M472,N472,O472,P472,Q472,R472)</f>
        <v>0</v>
      </c>
      <c r="T472" s="179"/>
      <c r="U472" s="186"/>
      <c r="V472" s="30"/>
      <c r="W472" s="185"/>
      <c r="X472" s="185"/>
      <c r="Y472" s="185"/>
      <c r="Z472" s="194"/>
      <c r="AA472" s="185"/>
      <c r="AB472" s="185"/>
      <c r="AC472" s="7"/>
      <c r="AD472" s="7"/>
      <c r="AE472" s="7"/>
      <c r="AF472" s="7"/>
      <c r="AG472" s="759">
        <f>SUM(U472,V472,W472,X472,Y472,Z472,AA472,AB472,AC472,AD472,AE472,AF472)</f>
        <v>0</v>
      </c>
      <c r="AH472" s="853">
        <v>8000000019</v>
      </c>
      <c r="AI472" s="814">
        <v>165050000</v>
      </c>
      <c r="AJ472" s="859">
        <v>24800000</v>
      </c>
      <c r="AK472" s="758">
        <v>7150000</v>
      </c>
      <c r="AL472" s="758">
        <v>17400000</v>
      </c>
      <c r="AM472" s="758">
        <v>310800000</v>
      </c>
      <c r="AN472" s="524">
        <v>67600000</v>
      </c>
      <c r="AO472" s="758">
        <v>32000000</v>
      </c>
      <c r="AP472" s="758">
        <v>30600000</v>
      </c>
      <c r="AQ472" s="518">
        <v>59650000</v>
      </c>
      <c r="AR472" s="813">
        <v>190400000</v>
      </c>
      <c r="AS472" s="813">
        <v>98350000</v>
      </c>
      <c r="AT472" s="813">
        <v>130500000</v>
      </c>
      <c r="AU472" s="518">
        <f t="shared" si="282"/>
        <v>85000000</v>
      </c>
      <c r="AV472" s="518">
        <f t="shared" si="282"/>
        <v>85000000</v>
      </c>
      <c r="AW472" s="518">
        <f t="shared" si="282"/>
        <v>85000000</v>
      </c>
      <c r="AX472" s="518">
        <f t="shared" si="273"/>
        <v>1134300000</v>
      </c>
      <c r="AY472" s="853" t="e">
        <v>#N/A</v>
      </c>
      <c r="AZ472" s="814">
        <v>165050000</v>
      </c>
      <c r="BA472" s="859">
        <v>24800000</v>
      </c>
      <c r="BB472" s="758">
        <v>7150000</v>
      </c>
      <c r="BC472" s="758">
        <v>17400000</v>
      </c>
      <c r="BD472" s="758">
        <v>310800000</v>
      </c>
      <c r="BE472" s="524">
        <v>67600000</v>
      </c>
      <c r="BF472" s="758">
        <v>32000000</v>
      </c>
      <c r="BG472" s="518">
        <f>AP472</f>
        <v>30600000</v>
      </c>
      <c r="BH472" s="758">
        <v>85000000</v>
      </c>
      <c r="BI472" s="758">
        <v>85000000</v>
      </c>
      <c r="BJ472" s="758">
        <v>85000000</v>
      </c>
      <c r="BK472" s="758">
        <v>85000000</v>
      </c>
      <c r="BL472" s="759">
        <f>SUM(AZ472,BA472,BB472,BC472,BD472,BE472,BF472,BG472,BH472,BI472,BJ472,BK472)</f>
        <v>995400000</v>
      </c>
      <c r="BN472" s="758">
        <v>100000000</v>
      </c>
      <c r="BO472" s="758">
        <v>100000000</v>
      </c>
      <c r="BP472" s="758">
        <v>100000000</v>
      </c>
      <c r="BQ472" s="758">
        <v>100000000</v>
      </c>
      <c r="BR472" s="758">
        <v>100000000</v>
      </c>
      <c r="BS472" s="758">
        <v>100000000</v>
      </c>
      <c r="BT472" s="758">
        <v>100000000</v>
      </c>
      <c r="BU472" s="758">
        <v>100000000</v>
      </c>
      <c r="BV472" s="758">
        <v>100000000</v>
      </c>
      <c r="BW472" s="758">
        <v>100000000</v>
      </c>
      <c r="BX472" s="758">
        <v>100000000</v>
      </c>
      <c r="BY472" s="758">
        <v>100000000</v>
      </c>
      <c r="BZ472" s="791">
        <v>1200000000</v>
      </c>
      <c r="CB472" s="758">
        <v>100000000</v>
      </c>
      <c r="CC472" s="758">
        <v>100000000</v>
      </c>
      <c r="CD472" s="758">
        <v>100000000</v>
      </c>
      <c r="CE472" s="758">
        <v>100000000</v>
      </c>
      <c r="CF472" s="758">
        <v>100000000</v>
      </c>
      <c r="CG472" s="758">
        <v>100000000</v>
      </c>
      <c r="CH472" s="758">
        <v>100000000</v>
      </c>
      <c r="CI472" s="758">
        <v>100000000</v>
      </c>
      <c r="CJ472" s="758">
        <v>100000000</v>
      </c>
      <c r="CK472" s="758">
        <v>100000000</v>
      </c>
      <c r="CL472" s="758">
        <v>100000000</v>
      </c>
      <c r="CM472" s="758">
        <v>100000000</v>
      </c>
      <c r="CN472" s="791">
        <v>1200000000</v>
      </c>
      <c r="CP472" s="653">
        <v>1800000</v>
      </c>
      <c r="CQ472" s="653">
        <v>234858387</v>
      </c>
      <c r="CR472" s="524">
        <v>234858000</v>
      </c>
      <c r="CS472" s="653"/>
      <c r="CT472" s="524">
        <v>2000000</v>
      </c>
      <c r="CU472" s="653"/>
      <c r="CV472" s="524"/>
      <c r="CW472" s="653"/>
      <c r="CX472" s="524"/>
      <c r="CY472" s="653"/>
      <c r="CZ472" s="524"/>
      <c r="DA472" s="653"/>
      <c r="DB472" s="524"/>
      <c r="DC472" s="653">
        <v>0</v>
      </c>
      <c r="DD472" s="524"/>
      <c r="DE472" s="758"/>
      <c r="DF472" s="524"/>
      <c r="DG472" s="757"/>
      <c r="DH472" s="758"/>
      <c r="DI472" s="524"/>
      <c r="DJ472" s="757"/>
      <c r="DK472" s="758"/>
      <c r="DL472" s="524"/>
      <c r="DM472" s="757"/>
      <c r="DN472" s="758"/>
      <c r="DO472" s="524"/>
      <c r="DP472" s="757"/>
      <c r="DQ472" s="493">
        <f t="shared" si="274"/>
        <v>236658387</v>
      </c>
      <c r="DR472" s="479">
        <f t="shared" si="277"/>
        <v>236658387</v>
      </c>
      <c r="DS472" s="1019"/>
      <c r="DT472" s="1019"/>
      <c r="DU472" s="1019"/>
      <c r="DV472" s="1019"/>
      <c r="DW472" s="1019"/>
      <c r="DX472" s="1019"/>
      <c r="DY472" s="1019"/>
      <c r="DZ472" s="1019"/>
      <c r="EA472" s="1019"/>
      <c r="EB472" s="1019"/>
      <c r="EC472" s="1019"/>
      <c r="ED472" s="1019"/>
      <c r="EE472" s="1119">
        <f t="shared" si="275"/>
        <v>0</v>
      </c>
      <c r="EF472" s="443">
        <f>EE472*1.17</f>
        <v>0</v>
      </c>
      <c r="EG472" s="443">
        <f>EF472*1.08</f>
        <v>0</v>
      </c>
      <c r="EH472" s="443">
        <f t="shared" si="283"/>
        <v>0</v>
      </c>
      <c r="EI472" s="443">
        <f t="shared" si="283"/>
        <v>0</v>
      </c>
      <c r="EJ472" s="367">
        <v>8000000019</v>
      </c>
      <c r="EL472" s="177"/>
      <c r="EM472" s="177"/>
      <c r="EN472" s="177"/>
    </row>
    <row r="473" spans="1:144" outlineLevel="2">
      <c r="A473" s="367" t="s">
        <v>291</v>
      </c>
      <c r="B473" s="378"/>
      <c r="C473" s="370" t="s">
        <v>688</v>
      </c>
      <c r="D473" s="370" t="s">
        <v>40</v>
      </c>
      <c r="E473" s="383" t="s">
        <v>709</v>
      </c>
      <c r="F473" s="380">
        <v>3000019478</v>
      </c>
      <c r="G473" s="189"/>
      <c r="H473" s="30"/>
      <c r="I473" s="185"/>
      <c r="J473" s="185"/>
      <c r="K473" s="185"/>
      <c r="L473" s="194"/>
      <c r="M473" s="185"/>
      <c r="N473" s="185"/>
      <c r="O473" s="7"/>
      <c r="P473" s="7"/>
      <c r="Q473" s="7"/>
      <c r="R473" s="7"/>
      <c r="S473" s="14">
        <f>SUM(G473,H473,I473,J473,K473,L473,M473,N473,O473,P473,Q473,R473)</f>
        <v>0</v>
      </c>
      <c r="T473" s="179"/>
      <c r="U473" s="189"/>
      <c r="V473" s="30"/>
      <c r="W473" s="185"/>
      <c r="X473" s="185"/>
      <c r="Y473" s="185"/>
      <c r="Z473" s="194"/>
      <c r="AA473" s="185"/>
      <c r="AB473" s="185"/>
      <c r="AC473" s="7"/>
      <c r="AD473" s="7"/>
      <c r="AE473" s="7"/>
      <c r="AF473" s="7"/>
      <c r="AG473" s="759">
        <f>SUM(U473,V473,W473,X473,Y473,Z473,AA473,AB473,AC473,AD473,AE473,AF473)</f>
        <v>0</v>
      </c>
      <c r="AH473" s="853">
        <v>3000019478</v>
      </c>
      <c r="AI473" s="189"/>
      <c r="AJ473" s="859">
        <v>3950000</v>
      </c>
      <c r="AK473" s="758"/>
      <c r="AL473" s="758">
        <v>16260680</v>
      </c>
      <c r="AM473" s="758">
        <v>0</v>
      </c>
      <c r="AN473" s="524">
        <v>0</v>
      </c>
      <c r="AO473" s="758">
        <v>0</v>
      </c>
      <c r="AP473" s="758">
        <v>0</v>
      </c>
      <c r="AQ473" s="518">
        <v>0</v>
      </c>
      <c r="AR473" s="518"/>
      <c r="AS473" s="518"/>
      <c r="AT473" s="518"/>
      <c r="AU473" s="518">
        <f t="shared" si="282"/>
        <v>0</v>
      </c>
      <c r="AV473" s="518">
        <f t="shared" si="282"/>
        <v>0</v>
      </c>
      <c r="AW473" s="518">
        <f t="shared" si="282"/>
        <v>0</v>
      </c>
      <c r="AX473" s="518">
        <f t="shared" si="273"/>
        <v>20210680</v>
      </c>
      <c r="AY473" s="853">
        <v>0</v>
      </c>
      <c r="AZ473" s="189"/>
      <c r="BA473" s="859">
        <v>3950000</v>
      </c>
      <c r="BB473" s="758"/>
      <c r="BC473" s="758">
        <v>16260680</v>
      </c>
      <c r="BD473" s="758">
        <v>0</v>
      </c>
      <c r="BE473" s="524">
        <v>0</v>
      </c>
      <c r="BF473" s="758">
        <v>0</v>
      </c>
      <c r="BG473" s="518">
        <f>AP473</f>
        <v>0</v>
      </c>
      <c r="BH473" s="758">
        <v>0</v>
      </c>
      <c r="BI473" s="758">
        <v>0</v>
      </c>
      <c r="BJ473" s="758">
        <v>0</v>
      </c>
      <c r="BK473" s="758">
        <v>0</v>
      </c>
      <c r="BL473" s="759">
        <f>SUM(AZ473,BA473,BB473,BC473,BD473,BE473,BF473,BG473,BH473,BI473,BJ473,BK473)</f>
        <v>20210680</v>
      </c>
      <c r="BN473" s="758">
        <v>0</v>
      </c>
      <c r="BO473" s="758">
        <v>0</v>
      </c>
      <c r="BP473" s="758">
        <v>0</v>
      </c>
      <c r="BQ473" s="758">
        <v>0</v>
      </c>
      <c r="BR473" s="758">
        <v>0</v>
      </c>
      <c r="BS473" s="758">
        <v>0</v>
      </c>
      <c r="BT473" s="758">
        <v>0</v>
      </c>
      <c r="BU473" s="758">
        <v>0</v>
      </c>
      <c r="BV473" s="758">
        <v>0</v>
      </c>
      <c r="BW473" s="758">
        <v>0</v>
      </c>
      <c r="BX473" s="758">
        <v>0</v>
      </c>
      <c r="BY473" s="758">
        <v>0</v>
      </c>
      <c r="BZ473" s="791">
        <v>0</v>
      </c>
      <c r="CB473" s="758">
        <v>0</v>
      </c>
      <c r="CC473" s="758">
        <v>0</v>
      </c>
      <c r="CD473" s="758">
        <v>0</v>
      </c>
      <c r="CE473" s="758">
        <v>0</v>
      </c>
      <c r="CF473" s="758">
        <v>0</v>
      </c>
      <c r="CG473" s="758">
        <v>0</v>
      </c>
      <c r="CH473" s="758">
        <v>0</v>
      </c>
      <c r="CI473" s="758">
        <v>0</v>
      </c>
      <c r="CJ473" s="758">
        <v>0</v>
      </c>
      <c r="CK473" s="758">
        <v>0</v>
      </c>
      <c r="CL473" s="758">
        <v>0</v>
      </c>
      <c r="CM473" s="758">
        <v>0</v>
      </c>
      <c r="CN473" s="791">
        <v>0</v>
      </c>
      <c r="CP473" s="653"/>
      <c r="CQ473" s="653"/>
      <c r="CR473" s="524"/>
      <c r="CS473" s="653"/>
      <c r="CT473" s="524"/>
      <c r="CU473" s="653"/>
      <c r="CV473" s="524"/>
      <c r="CW473" s="653"/>
      <c r="CX473" s="524"/>
      <c r="CY473" s="653"/>
      <c r="CZ473" s="524"/>
      <c r="DA473" s="653"/>
      <c r="DB473" s="524"/>
      <c r="DC473" s="653">
        <v>0</v>
      </c>
      <c r="DD473" s="524"/>
      <c r="DE473" s="758"/>
      <c r="DF473" s="524"/>
      <c r="DG473" s="757"/>
      <c r="DH473" s="758"/>
      <c r="DI473" s="524"/>
      <c r="DJ473" s="757"/>
      <c r="DK473" s="758"/>
      <c r="DL473" s="524"/>
      <c r="DM473" s="757"/>
      <c r="DN473" s="758"/>
      <c r="DO473" s="524"/>
      <c r="DP473" s="757"/>
      <c r="DQ473" s="493">
        <f t="shared" si="274"/>
        <v>0</v>
      </c>
      <c r="DR473" s="479">
        <f t="shared" si="277"/>
        <v>0</v>
      </c>
      <c r="DS473" s="1019"/>
      <c r="DT473" s="1019"/>
      <c r="DU473" s="1019"/>
      <c r="DV473" s="1019"/>
      <c r="DW473" s="1019"/>
      <c r="DX473" s="1019"/>
      <c r="DY473" s="1019"/>
      <c r="DZ473" s="1019"/>
      <c r="EA473" s="1019"/>
      <c r="EB473" s="1019"/>
      <c r="EC473" s="1019"/>
      <c r="ED473" s="1019"/>
      <c r="EE473" s="1119">
        <f t="shared" si="275"/>
        <v>0</v>
      </c>
      <c r="EF473" s="443">
        <f>EE473*1.17</f>
        <v>0</v>
      </c>
      <c r="EG473" s="443">
        <f>EF473*1.08</f>
        <v>0</v>
      </c>
      <c r="EH473" s="443">
        <f t="shared" si="283"/>
        <v>0</v>
      </c>
      <c r="EI473" s="443">
        <f t="shared" si="283"/>
        <v>0</v>
      </c>
      <c r="EJ473" s="367">
        <v>3000019478</v>
      </c>
      <c r="EL473" s="177"/>
      <c r="EM473" s="177"/>
      <c r="EN473" s="177"/>
    </row>
    <row r="474" spans="1:144" outlineLevel="2">
      <c r="B474" s="378"/>
      <c r="C474" s="370" t="s">
        <v>688</v>
      </c>
      <c r="E474" s="379" t="s">
        <v>710</v>
      </c>
      <c r="F474" s="380"/>
      <c r="G474" s="189"/>
      <c r="H474" s="26"/>
      <c r="I474" s="195"/>
      <c r="J474" s="185"/>
      <c r="K474" s="185"/>
      <c r="L474" s="185"/>
      <c r="M474" s="185"/>
      <c r="N474" s="185"/>
      <c r="O474" s="185"/>
      <c r="P474" s="185"/>
      <c r="Q474" s="185"/>
      <c r="R474" s="185"/>
      <c r="S474" s="14"/>
      <c r="T474" s="179"/>
      <c r="U474" s="189"/>
      <c r="V474" s="26"/>
      <c r="W474" s="195"/>
      <c r="X474" s="185"/>
      <c r="Y474" s="185"/>
      <c r="Z474" s="185"/>
      <c r="AA474" s="185"/>
      <c r="AB474" s="185"/>
      <c r="AC474" s="185"/>
      <c r="AD474" s="185"/>
      <c r="AE474" s="185"/>
      <c r="AF474" s="185"/>
      <c r="AG474" s="759"/>
      <c r="AH474" s="811"/>
      <c r="AI474" s="189"/>
      <c r="AJ474" s="824"/>
      <c r="AK474" s="854"/>
      <c r="AL474" s="758"/>
      <c r="AM474" s="758"/>
      <c r="AN474" s="758"/>
      <c r="AO474" s="758"/>
      <c r="AP474" s="758"/>
      <c r="AQ474" s="518">
        <v>0</v>
      </c>
      <c r="AR474" s="518"/>
      <c r="AS474" s="518"/>
      <c r="AT474" s="518"/>
      <c r="AU474" s="758"/>
      <c r="AV474" s="758"/>
      <c r="AW474" s="758"/>
      <c r="AX474" s="518">
        <f t="shared" si="273"/>
        <v>0</v>
      </c>
      <c r="AY474" s="811"/>
      <c r="AZ474" s="189"/>
      <c r="BA474" s="824"/>
      <c r="BB474" s="854"/>
      <c r="BC474" s="758"/>
      <c r="BD474" s="758"/>
      <c r="BE474" s="758"/>
      <c r="BF474" s="758"/>
      <c r="BG474" s="758"/>
      <c r="BH474" s="758"/>
      <c r="BI474" s="758"/>
      <c r="BJ474" s="758"/>
      <c r="BK474" s="758"/>
      <c r="BL474" s="518">
        <f>SUM(AZ474,BA474,BB474,BC474,BD474,BE474,BF474,BG474,BH474,BI474,BJ474,BK474)</f>
        <v>0</v>
      </c>
      <c r="BN474" s="6"/>
      <c r="BO474" s="810"/>
      <c r="BP474" s="758"/>
      <c r="BQ474" s="758"/>
      <c r="BR474" s="758"/>
      <c r="BS474" s="758"/>
      <c r="BT474" s="758"/>
      <c r="BU474" s="758"/>
      <c r="BV474" s="758"/>
      <c r="BW474" s="758"/>
      <c r="BX474" s="758"/>
      <c r="BY474" s="758"/>
      <c r="BZ474" s="791">
        <v>0</v>
      </c>
      <c r="CB474" s="6"/>
      <c r="CC474" s="810"/>
      <c r="CD474" s="758"/>
      <c r="CE474" s="758"/>
      <c r="CF474" s="758"/>
      <c r="CG474" s="758"/>
      <c r="CH474" s="758"/>
      <c r="CI474" s="758"/>
      <c r="CJ474" s="758"/>
      <c r="CK474" s="758"/>
      <c r="CL474" s="758"/>
      <c r="CM474" s="758"/>
      <c r="CN474" s="791">
        <v>0</v>
      </c>
      <c r="CP474" s="655"/>
      <c r="CQ474" s="655"/>
      <c r="CR474" s="6"/>
      <c r="CS474" s="655"/>
      <c r="CT474" s="6"/>
      <c r="CU474" s="655"/>
      <c r="CV474" s="6"/>
      <c r="CW474" s="655"/>
      <c r="CX474" s="6"/>
      <c r="CY474" s="655"/>
      <c r="CZ474" s="6"/>
      <c r="DA474" s="655"/>
      <c r="DB474" s="6"/>
      <c r="DC474" s="655">
        <v>0</v>
      </c>
      <c r="DD474" s="6"/>
      <c r="DE474" s="758"/>
      <c r="DF474" s="6"/>
      <c r="DG474" s="757"/>
      <c r="DH474" s="758"/>
      <c r="DI474" s="6"/>
      <c r="DJ474" s="757"/>
      <c r="DK474" s="758"/>
      <c r="DL474" s="6"/>
      <c r="DM474" s="757"/>
      <c r="DN474" s="758"/>
      <c r="DO474" s="6"/>
      <c r="DP474" s="757"/>
      <c r="DQ474" s="493">
        <f t="shared" si="274"/>
        <v>0</v>
      </c>
      <c r="DR474" s="479">
        <f t="shared" si="277"/>
        <v>0</v>
      </c>
      <c r="DS474" s="1019"/>
      <c r="DT474" s="1019"/>
      <c r="DU474" s="1019"/>
      <c r="DV474" s="1019"/>
      <c r="DW474" s="1019"/>
      <c r="DX474" s="1019"/>
      <c r="DY474" s="1019"/>
      <c r="DZ474" s="1019"/>
      <c r="EA474" s="1019"/>
      <c r="EB474" s="1019"/>
      <c r="EC474" s="1019"/>
      <c r="ED474" s="1019"/>
      <c r="EE474" s="1119">
        <f t="shared" si="275"/>
        <v>0</v>
      </c>
      <c r="EF474" s="447"/>
      <c r="EG474" s="443">
        <v>1000000000</v>
      </c>
      <c r="EH474" s="443">
        <v>7150000000</v>
      </c>
      <c r="EI474" s="443">
        <v>7150000000</v>
      </c>
      <c r="EJ474" s="367" t="e">
        <v>#N/A</v>
      </c>
      <c r="EL474" s="177"/>
      <c r="EM474" s="177"/>
      <c r="EN474" s="177"/>
    </row>
    <row r="475" spans="1:144" outlineLevel="2">
      <c r="B475" s="378"/>
      <c r="C475" s="370" t="s">
        <v>688</v>
      </c>
      <c r="D475" s="370" t="s">
        <v>108</v>
      </c>
      <c r="E475" s="379" t="s">
        <v>711</v>
      </c>
      <c r="F475" s="380" t="s">
        <v>712</v>
      </c>
      <c r="G475" s="189"/>
      <c r="H475" s="26"/>
      <c r="I475" s="195"/>
      <c r="J475" s="185"/>
      <c r="K475" s="185"/>
      <c r="L475" s="185"/>
      <c r="M475" s="185"/>
      <c r="N475" s="185"/>
      <c r="O475" s="185"/>
      <c r="P475" s="185"/>
      <c r="Q475" s="185"/>
      <c r="R475" s="185"/>
      <c r="S475" s="14"/>
      <c r="T475" s="179"/>
      <c r="U475" s="189"/>
      <c r="V475" s="26"/>
      <c r="W475" s="195"/>
      <c r="X475" s="185"/>
      <c r="Y475" s="185"/>
      <c r="Z475" s="185"/>
      <c r="AA475" s="185"/>
      <c r="AB475" s="185"/>
      <c r="AC475" s="185"/>
      <c r="AD475" s="185"/>
      <c r="AE475" s="185"/>
      <c r="AF475" s="185"/>
      <c r="AG475" s="759"/>
      <c r="AH475" s="811"/>
      <c r="AI475" s="189"/>
      <c r="AJ475" s="824"/>
      <c r="AK475" s="854"/>
      <c r="AL475" s="758"/>
      <c r="AM475" s="758"/>
      <c r="AN475" s="758"/>
      <c r="AO475" s="758"/>
      <c r="AP475" s="758"/>
      <c r="AQ475" s="518"/>
      <c r="AR475" s="518"/>
      <c r="AS475" s="518"/>
      <c r="AT475" s="518"/>
      <c r="AU475" s="758"/>
      <c r="AV475" s="758"/>
      <c r="AW475" s="758"/>
      <c r="AX475" s="518"/>
      <c r="AY475" s="811"/>
      <c r="AZ475" s="189"/>
      <c r="BA475" s="824"/>
      <c r="BB475" s="854"/>
      <c r="BC475" s="758"/>
      <c r="BD475" s="758"/>
      <c r="BE475" s="758"/>
      <c r="BF475" s="758"/>
      <c r="BG475" s="758"/>
      <c r="BH475" s="758"/>
      <c r="BI475" s="758"/>
      <c r="BJ475" s="758"/>
      <c r="BK475" s="758"/>
      <c r="BL475" s="518"/>
      <c r="BN475" s="6"/>
      <c r="BO475" s="810"/>
      <c r="BP475" s="758"/>
      <c r="BQ475" s="758"/>
      <c r="BR475" s="758"/>
      <c r="BS475" s="758"/>
      <c r="BT475" s="758"/>
      <c r="BU475" s="758"/>
      <c r="BV475" s="758"/>
      <c r="BW475" s="758"/>
      <c r="BX475" s="758"/>
      <c r="BY475" s="758"/>
      <c r="BZ475" s="791"/>
      <c r="CB475" s="6"/>
      <c r="CC475" s="810"/>
      <c r="CD475" s="758"/>
      <c r="CE475" s="758"/>
      <c r="CF475" s="758"/>
      <c r="CG475" s="758"/>
      <c r="CH475" s="758"/>
      <c r="CI475" s="758"/>
      <c r="CJ475" s="758"/>
      <c r="CK475" s="758"/>
      <c r="CL475" s="758"/>
      <c r="CM475" s="758"/>
      <c r="CN475" s="791"/>
      <c r="CP475" s="655"/>
      <c r="CQ475" s="655"/>
      <c r="CR475" s="6"/>
      <c r="CS475" s="655"/>
      <c r="CT475" s="6"/>
      <c r="CU475" s="655">
        <v>4763005</v>
      </c>
      <c r="CV475" s="6"/>
      <c r="CW475" s="655"/>
      <c r="CX475" s="6"/>
      <c r="CY475" s="655"/>
      <c r="CZ475" s="6"/>
      <c r="DA475" s="655">
        <v>3614250</v>
      </c>
      <c r="DB475" s="6"/>
      <c r="DC475" s="655">
        <v>0</v>
      </c>
      <c r="DD475" s="6"/>
      <c r="DE475" s="758"/>
      <c r="DF475" s="6"/>
      <c r="DG475" s="757"/>
      <c r="DH475" s="758"/>
      <c r="DI475" s="6"/>
      <c r="DJ475" s="757"/>
      <c r="DK475" s="758"/>
      <c r="DL475" s="6"/>
      <c r="DM475" s="757"/>
      <c r="DN475" s="758"/>
      <c r="DO475" s="6"/>
      <c r="DP475" s="757"/>
      <c r="DQ475" s="493">
        <f t="shared" si="274"/>
        <v>8377255</v>
      </c>
      <c r="DR475" s="479">
        <f t="shared" si="277"/>
        <v>4763005</v>
      </c>
      <c r="DS475" s="1019"/>
      <c r="DT475" s="1019"/>
      <c r="DU475" s="1019"/>
      <c r="DV475" s="1019"/>
      <c r="DW475" s="1019"/>
      <c r="DX475" s="1019"/>
      <c r="DY475" s="1019"/>
      <c r="DZ475" s="1019"/>
      <c r="EA475" s="1019"/>
      <c r="EB475" s="1019"/>
      <c r="EC475" s="1019"/>
      <c r="ED475" s="1019"/>
      <c r="EE475" s="1119">
        <f t="shared" si="275"/>
        <v>0</v>
      </c>
      <c r="EF475" s="447"/>
      <c r="EG475" s="443"/>
      <c r="EH475" s="443"/>
      <c r="EI475" s="443"/>
      <c r="EL475" s="177"/>
      <c r="EM475" s="177"/>
      <c r="EN475" s="177"/>
    </row>
    <row r="476" spans="1:144" outlineLevel="2">
      <c r="A476" s="367" t="s">
        <v>699</v>
      </c>
      <c r="B476" s="378"/>
      <c r="C476" s="370" t="s">
        <v>688</v>
      </c>
      <c r="D476" s="370" t="s">
        <v>40</v>
      </c>
      <c r="E476" s="383" t="s">
        <v>486</v>
      </c>
      <c r="F476" s="380">
        <v>3000001294</v>
      </c>
      <c r="G476" s="6"/>
      <c r="H476" s="13"/>
      <c r="I476" s="27"/>
      <c r="J476" s="185"/>
      <c r="K476" s="185"/>
      <c r="L476" s="194"/>
      <c r="M476" s="185"/>
      <c r="N476" s="185"/>
      <c r="O476" s="7"/>
      <c r="P476" s="7"/>
      <c r="Q476" s="7"/>
      <c r="R476" s="7"/>
      <c r="S476" s="14">
        <f>SUM(G476,H476,I476,J476,K476,L476,M476,N476,O476,P476,Q476,R476)</f>
        <v>0</v>
      </c>
      <c r="T476" s="15"/>
      <c r="U476" s="6"/>
      <c r="V476" s="13"/>
      <c r="W476" s="27"/>
      <c r="X476" s="185"/>
      <c r="Y476" s="185"/>
      <c r="Z476" s="194"/>
      <c r="AA476" s="185"/>
      <c r="AB476" s="185"/>
      <c r="AC476" s="7"/>
      <c r="AD476" s="7"/>
      <c r="AE476" s="7"/>
      <c r="AF476" s="7"/>
      <c r="AG476" s="759">
        <f>SUM(U476,V476,W476,X476,Y476,Z476,AA476,AB476,AC476,AD476,AE476,AF476)</f>
        <v>0</v>
      </c>
      <c r="AH476" s="853">
        <v>3000001294</v>
      </c>
      <c r="AI476" s="6"/>
      <c r="AJ476" s="810">
        <v>5200000</v>
      </c>
      <c r="AK476" s="858">
        <v>0</v>
      </c>
      <c r="AL476" s="758">
        <v>5850000</v>
      </c>
      <c r="AM476" s="758">
        <v>3450000</v>
      </c>
      <c r="AN476" s="524">
        <v>6000000</v>
      </c>
      <c r="AO476" s="758">
        <v>47650000</v>
      </c>
      <c r="AP476" s="758">
        <v>0</v>
      </c>
      <c r="AQ476" s="518">
        <v>9050000</v>
      </c>
      <c r="AR476" s="813">
        <v>8250000</v>
      </c>
      <c r="AS476" s="813">
        <v>49194826</v>
      </c>
      <c r="AT476" s="813">
        <v>22505430</v>
      </c>
      <c r="AU476" s="518">
        <f>BI476</f>
        <v>8000000</v>
      </c>
      <c r="AV476" s="518">
        <f>BJ476</f>
        <v>8000000</v>
      </c>
      <c r="AW476" s="518">
        <f>BK476</f>
        <v>8000000</v>
      </c>
      <c r="AX476" s="518">
        <f t="shared" ref="AX476:AX507" si="284">SUM(AI476,AJ476,AK476,AL476,AM476,AN476,AO476,AP476,AQ476,AR476,AS476,AT476)</f>
        <v>157150256</v>
      </c>
      <c r="AY476" s="853" t="e">
        <v>#N/A</v>
      </c>
      <c r="AZ476" s="6"/>
      <c r="BA476" s="810">
        <v>5200000</v>
      </c>
      <c r="BB476" s="858">
        <v>0</v>
      </c>
      <c r="BC476" s="758">
        <v>5850000</v>
      </c>
      <c r="BD476" s="758">
        <v>3450000</v>
      </c>
      <c r="BE476" s="524">
        <v>6000000</v>
      </c>
      <c r="BF476" s="758">
        <v>47650000</v>
      </c>
      <c r="BG476" s="518">
        <f>AP476</f>
        <v>0</v>
      </c>
      <c r="BH476" s="758">
        <v>8000000</v>
      </c>
      <c r="BI476" s="758">
        <v>8000000</v>
      </c>
      <c r="BJ476" s="758">
        <v>8000000</v>
      </c>
      <c r="BK476" s="758">
        <v>8000000</v>
      </c>
      <c r="BL476" s="759">
        <f>SUM(AZ476,BA476,BB476,BC476,BD476,BE476,BF476,BG476,BH476,BI476,BJ476,BK476)</f>
        <v>100150000</v>
      </c>
      <c r="BN476" s="758">
        <v>8000000</v>
      </c>
      <c r="BO476" s="758">
        <v>8000000</v>
      </c>
      <c r="BP476" s="758">
        <v>8000000</v>
      </c>
      <c r="BQ476" s="758">
        <v>8000000</v>
      </c>
      <c r="BR476" s="758">
        <v>8000000</v>
      </c>
      <c r="BS476" s="758">
        <v>8000000</v>
      </c>
      <c r="BT476" s="758">
        <v>8000000</v>
      </c>
      <c r="BU476" s="758">
        <v>8000000</v>
      </c>
      <c r="BV476" s="758">
        <v>8000000</v>
      </c>
      <c r="BW476" s="758">
        <v>8000000</v>
      </c>
      <c r="BX476" s="758">
        <v>8000000</v>
      </c>
      <c r="BY476" s="758">
        <v>8000000</v>
      </c>
      <c r="BZ476" s="791">
        <v>96000000</v>
      </c>
      <c r="CB476" s="758">
        <v>8000000</v>
      </c>
      <c r="CC476" s="758">
        <v>8000000</v>
      </c>
      <c r="CD476" s="758">
        <v>8000000</v>
      </c>
      <c r="CE476" s="758">
        <v>8000000</v>
      </c>
      <c r="CF476" s="758">
        <v>8000000</v>
      </c>
      <c r="CG476" s="758">
        <v>8000000</v>
      </c>
      <c r="CH476" s="758">
        <v>8000000</v>
      </c>
      <c r="CI476" s="758">
        <v>8000000</v>
      </c>
      <c r="CJ476" s="758">
        <v>8000000</v>
      </c>
      <c r="CK476" s="758">
        <v>8000000</v>
      </c>
      <c r="CL476" s="758">
        <v>8000000</v>
      </c>
      <c r="CM476" s="758">
        <v>8000000</v>
      </c>
      <c r="CN476" s="791">
        <v>96000000</v>
      </c>
      <c r="CP476" s="653">
        <v>3750000</v>
      </c>
      <c r="CQ476" s="653">
        <v>26825000</v>
      </c>
      <c r="CR476" s="524">
        <v>26825000</v>
      </c>
      <c r="CS476" s="653">
        <v>2450000</v>
      </c>
      <c r="CT476" s="524">
        <v>10000000</v>
      </c>
      <c r="CU476" s="653">
        <v>9321471</v>
      </c>
      <c r="CV476" s="524">
        <v>15000000</v>
      </c>
      <c r="CW476" s="653">
        <v>1500000</v>
      </c>
      <c r="CX476" s="524"/>
      <c r="CY476" s="653"/>
      <c r="CZ476" s="524">
        <v>20000000</v>
      </c>
      <c r="DA476" s="653">
        <v>66613658</v>
      </c>
      <c r="DB476" s="524">
        <v>20000000</v>
      </c>
      <c r="DC476" s="653">
        <v>0</v>
      </c>
      <c r="DD476" s="524">
        <v>20000000</v>
      </c>
      <c r="DE476" s="758"/>
      <c r="DF476" s="524">
        <v>20000000</v>
      </c>
      <c r="DG476" s="757">
        <v>20000000</v>
      </c>
      <c r="DH476" s="758"/>
      <c r="DI476" s="524">
        <v>20000000</v>
      </c>
      <c r="DJ476" s="757">
        <v>20000000</v>
      </c>
      <c r="DK476" s="758"/>
      <c r="DL476" s="524">
        <v>20000000</v>
      </c>
      <c r="DM476" s="757">
        <v>20000000</v>
      </c>
      <c r="DN476" s="758"/>
      <c r="DO476" s="524">
        <v>20000000</v>
      </c>
      <c r="DP476" s="757">
        <v>20000000</v>
      </c>
      <c r="DQ476" s="493">
        <f t="shared" si="274"/>
        <v>190460129</v>
      </c>
      <c r="DR476" s="479">
        <f t="shared" si="277"/>
        <v>182346471</v>
      </c>
      <c r="DS476" s="1019">
        <v>15000000</v>
      </c>
      <c r="DT476" s="1019">
        <v>15000000</v>
      </c>
      <c r="DU476" s="1019">
        <v>15000000</v>
      </c>
      <c r="DV476" s="1019">
        <v>15000000</v>
      </c>
      <c r="DW476" s="1019">
        <v>15000000</v>
      </c>
      <c r="DX476" s="1019">
        <v>15000000</v>
      </c>
      <c r="DY476" s="1019">
        <v>15000000</v>
      </c>
      <c r="DZ476" s="1019">
        <v>15000000</v>
      </c>
      <c r="EA476" s="1019">
        <v>15000000</v>
      </c>
      <c r="EB476" s="1019">
        <v>15000000</v>
      </c>
      <c r="EC476" s="1019">
        <v>15000000</v>
      </c>
      <c r="ED476" s="1019">
        <v>15000000</v>
      </c>
      <c r="EE476" s="1119">
        <f t="shared" si="275"/>
        <v>180000000</v>
      </c>
      <c r="EF476" s="443">
        <f>EE476*1.17</f>
        <v>210600000</v>
      </c>
      <c r="EG476" s="443">
        <f>EF476*1.08</f>
        <v>227448000.00000003</v>
      </c>
      <c r="EH476" s="443">
        <f>EG476*1.09</f>
        <v>247918320.00000006</v>
      </c>
      <c r="EI476" s="443">
        <f>EH476*1.09</f>
        <v>270230968.80000007</v>
      </c>
      <c r="EJ476" s="367">
        <v>3000001294</v>
      </c>
      <c r="EL476" s="177"/>
      <c r="EM476" s="177"/>
      <c r="EN476" s="177"/>
    </row>
    <row r="477" spans="1:144" outlineLevel="2">
      <c r="A477" s="367" t="s">
        <v>291</v>
      </c>
      <c r="B477" s="378"/>
      <c r="C477" s="370" t="s">
        <v>688</v>
      </c>
      <c r="D477" s="370" t="s">
        <v>40</v>
      </c>
      <c r="E477" s="403" t="s">
        <v>713</v>
      </c>
      <c r="F477" s="380">
        <v>3000001303</v>
      </c>
      <c r="G477" s="189"/>
      <c r="H477" s="13"/>
      <c r="I477" s="185"/>
      <c r="J477" s="185"/>
      <c r="K477" s="185"/>
      <c r="L477" s="185"/>
      <c r="M477" s="185"/>
      <c r="N477" s="185"/>
      <c r="O477" s="185"/>
      <c r="P477" s="185"/>
      <c r="Q477" s="185"/>
      <c r="R477" s="185"/>
      <c r="S477" s="14"/>
      <c r="T477" s="179"/>
      <c r="U477" s="189"/>
      <c r="V477" s="13"/>
      <c r="W477" s="185"/>
      <c r="X477" s="185"/>
      <c r="Y477" s="185"/>
      <c r="Z477" s="185"/>
      <c r="AA477" s="185"/>
      <c r="AB477" s="185"/>
      <c r="AC477" s="185"/>
      <c r="AD477" s="185"/>
      <c r="AE477" s="185"/>
      <c r="AF477" s="185"/>
      <c r="AG477" s="759"/>
      <c r="AH477" s="811"/>
      <c r="AI477" s="189"/>
      <c r="AJ477" s="810"/>
      <c r="AK477" s="758"/>
      <c r="AL477" s="758"/>
      <c r="AM477" s="758"/>
      <c r="AN477" s="758"/>
      <c r="AO477" s="758"/>
      <c r="AP477" s="758"/>
      <c r="AQ477" s="518"/>
      <c r="AR477" s="813"/>
      <c r="AS477" s="518"/>
      <c r="AT477" s="518">
        <v>66500000</v>
      </c>
      <c r="AU477" s="758"/>
      <c r="AV477" s="758"/>
      <c r="AW477" s="758"/>
      <c r="AX477" s="518">
        <f t="shared" si="284"/>
        <v>66500000</v>
      </c>
      <c r="AY477" s="811"/>
      <c r="AZ477" s="189"/>
      <c r="BA477" s="810"/>
      <c r="BB477" s="758"/>
      <c r="BC477" s="758"/>
      <c r="BD477" s="758"/>
      <c r="BE477" s="758"/>
      <c r="BF477" s="758"/>
      <c r="BG477" s="758"/>
      <c r="BH477" s="758"/>
      <c r="BI477" s="758"/>
      <c r="BJ477" s="758"/>
      <c r="BK477" s="758"/>
      <c r="BL477" s="518"/>
      <c r="BN477" s="6"/>
      <c r="BO477" s="810"/>
      <c r="BP477" s="758"/>
      <c r="BQ477" s="758"/>
      <c r="BR477" s="758"/>
      <c r="BS477" s="758"/>
      <c r="BT477" s="758"/>
      <c r="BU477" s="758"/>
      <c r="BV477" s="758"/>
      <c r="BW477" s="758"/>
      <c r="BX477" s="758"/>
      <c r="BY477" s="758"/>
      <c r="BZ477" s="791">
        <v>0</v>
      </c>
      <c r="CB477" s="6"/>
      <c r="CC477" s="810"/>
      <c r="CD477" s="758"/>
      <c r="CE477" s="758"/>
      <c r="CF477" s="758"/>
      <c r="CG477" s="758"/>
      <c r="CH477" s="758"/>
      <c r="CI477" s="758"/>
      <c r="CJ477" s="758"/>
      <c r="CK477" s="758"/>
      <c r="CL477" s="758"/>
      <c r="CM477" s="758"/>
      <c r="CN477" s="791">
        <v>0</v>
      </c>
      <c r="CP477" s="655"/>
      <c r="CQ477" s="655"/>
      <c r="CR477" s="6"/>
      <c r="CS477" s="655"/>
      <c r="CT477" s="6"/>
      <c r="CU477" s="655">
        <v>2770500</v>
      </c>
      <c r="CV477" s="6"/>
      <c r="CW477" s="655"/>
      <c r="CX477" s="6"/>
      <c r="CY477" s="655"/>
      <c r="CZ477" s="6"/>
      <c r="DA477" s="655"/>
      <c r="DB477" s="6"/>
      <c r="DC477" s="655">
        <v>0</v>
      </c>
      <c r="DD477" s="6"/>
      <c r="DE477" s="758"/>
      <c r="DF477" s="6"/>
      <c r="DG477" s="757"/>
      <c r="DH477" s="758"/>
      <c r="DI477" s="6"/>
      <c r="DJ477" s="757"/>
      <c r="DK477" s="758"/>
      <c r="DL477" s="6"/>
      <c r="DM477" s="757"/>
      <c r="DN477" s="758"/>
      <c r="DO477" s="6">
        <v>10000000</v>
      </c>
      <c r="DP477" s="757">
        <v>10000000</v>
      </c>
      <c r="DQ477" s="493">
        <f t="shared" si="274"/>
        <v>12770500</v>
      </c>
      <c r="DR477" s="479">
        <f t="shared" si="277"/>
        <v>12770500</v>
      </c>
      <c r="DS477" s="1019"/>
      <c r="DT477" s="1019"/>
      <c r="DU477" s="1019"/>
      <c r="DV477" s="1019"/>
      <c r="DW477" s="1019"/>
      <c r="DX477" s="1019"/>
      <c r="DY477" s="1019"/>
      <c r="DZ477" s="1019"/>
      <c r="EA477" s="1019"/>
      <c r="EB477" s="1019"/>
      <c r="EC477" s="1019"/>
      <c r="ED477" s="1019"/>
      <c r="EE477" s="1119">
        <f t="shared" si="275"/>
        <v>0</v>
      </c>
      <c r="EF477" s="447"/>
      <c r="EG477" s="447"/>
      <c r="EH477" s="447"/>
      <c r="EI477" s="447"/>
      <c r="EL477" s="177"/>
      <c r="EM477" s="177"/>
      <c r="EN477" s="177"/>
    </row>
    <row r="478" spans="1:144" outlineLevel="2">
      <c r="A478" s="367" t="s">
        <v>687</v>
      </c>
      <c r="B478" s="378"/>
      <c r="C478" s="370" t="s">
        <v>688</v>
      </c>
      <c r="D478" s="370" t="s">
        <v>40</v>
      </c>
      <c r="E478" s="403" t="s">
        <v>714</v>
      </c>
      <c r="F478" s="380">
        <v>3000020136</v>
      </c>
      <c r="G478" s="189"/>
      <c r="H478" s="26"/>
      <c r="I478" s="185"/>
      <c r="J478" s="185"/>
      <c r="K478" s="185"/>
      <c r="L478" s="185"/>
      <c r="M478" s="185"/>
      <c r="N478" s="185"/>
      <c r="O478" s="7"/>
      <c r="P478" s="7"/>
      <c r="Q478" s="7"/>
      <c r="R478" s="7"/>
      <c r="S478" s="14">
        <f>SUM(G478,H478,I478,J478,K478,L478,M478,N478,O478,P478,Q478,R478)</f>
        <v>0</v>
      </c>
      <c r="T478" s="179"/>
      <c r="U478" s="189"/>
      <c r="V478" s="26"/>
      <c r="W478" s="185"/>
      <c r="X478" s="185"/>
      <c r="Y478" s="185"/>
      <c r="Z478" s="185"/>
      <c r="AA478" s="185"/>
      <c r="AB478" s="185"/>
      <c r="AC478" s="7"/>
      <c r="AD478" s="7"/>
      <c r="AE478" s="7"/>
      <c r="AF478" s="7"/>
      <c r="AG478" s="759">
        <f>SUM(U478,V478,W478,X478,Y478,Z478,AA478,AB478,AC478,AD478,AE478,AF478)</f>
        <v>0</v>
      </c>
      <c r="AH478" s="853">
        <v>3000020136</v>
      </c>
      <c r="AI478" s="189"/>
      <c r="AJ478" s="824"/>
      <c r="AK478" s="758"/>
      <c r="AL478" s="758">
        <v>0</v>
      </c>
      <c r="AM478" s="758"/>
      <c r="AN478" s="758"/>
      <c r="AO478" s="758">
        <v>0</v>
      </c>
      <c r="AP478" s="758">
        <v>73657020</v>
      </c>
      <c r="AQ478" s="518">
        <v>124087257</v>
      </c>
      <c r="AR478" s="813">
        <v>791258</v>
      </c>
      <c r="AS478" s="813">
        <v>0</v>
      </c>
      <c r="AT478" s="813">
        <v>0</v>
      </c>
      <c r="AU478" s="518">
        <f t="shared" ref="AU478:AW480" si="285">BI478</f>
        <v>100000000</v>
      </c>
      <c r="AV478" s="518">
        <f t="shared" si="285"/>
        <v>100000000</v>
      </c>
      <c r="AW478" s="518">
        <f t="shared" si="285"/>
        <v>100000000</v>
      </c>
      <c r="AX478" s="518">
        <f t="shared" si="284"/>
        <v>198535535</v>
      </c>
      <c r="AY478" s="853" t="e">
        <v>#N/A</v>
      </c>
      <c r="AZ478" s="189"/>
      <c r="BA478" s="824"/>
      <c r="BB478" s="758"/>
      <c r="BC478" s="758">
        <v>0</v>
      </c>
      <c r="BD478" s="758"/>
      <c r="BE478" s="758"/>
      <c r="BF478" s="758">
        <v>0</v>
      </c>
      <c r="BG478" s="518">
        <f>AP478</f>
        <v>73657020</v>
      </c>
      <c r="BH478" s="758">
        <v>100000000</v>
      </c>
      <c r="BI478" s="758">
        <v>100000000</v>
      </c>
      <c r="BJ478" s="758">
        <v>100000000</v>
      </c>
      <c r="BK478" s="758">
        <v>100000000</v>
      </c>
      <c r="BL478" s="759">
        <f>SUM(AZ478,BA478,BB478,BC478,BD478,BE478,BF478,BG478,BH478,BI478,BJ478,BK478)</f>
        <v>473657020</v>
      </c>
      <c r="BN478" s="758">
        <v>60000000</v>
      </c>
      <c r="BO478" s="758">
        <v>60000000</v>
      </c>
      <c r="BP478" s="758">
        <v>60000000</v>
      </c>
      <c r="BQ478" s="758">
        <v>60000000</v>
      </c>
      <c r="BR478" s="758">
        <v>60000000</v>
      </c>
      <c r="BS478" s="758">
        <v>60000000</v>
      </c>
      <c r="BT478" s="758">
        <v>60000000</v>
      </c>
      <c r="BU478" s="758">
        <v>60000000</v>
      </c>
      <c r="BV478" s="758">
        <v>60000000</v>
      </c>
      <c r="BW478" s="758">
        <v>60000000</v>
      </c>
      <c r="BX478" s="758">
        <v>60000000</v>
      </c>
      <c r="BY478" s="758">
        <v>60000000</v>
      </c>
      <c r="BZ478" s="791">
        <v>720000000</v>
      </c>
      <c r="CB478" s="758">
        <v>60000000</v>
      </c>
      <c r="CC478" s="758">
        <v>60000000</v>
      </c>
      <c r="CD478" s="758">
        <v>60000000</v>
      </c>
      <c r="CE478" s="758">
        <v>60000000</v>
      </c>
      <c r="CF478" s="758">
        <v>60000000</v>
      </c>
      <c r="CG478" s="758">
        <v>60000000</v>
      </c>
      <c r="CH478" s="758">
        <v>60000000</v>
      </c>
      <c r="CI478" s="758">
        <v>60000000</v>
      </c>
      <c r="CJ478" s="758">
        <v>60000000</v>
      </c>
      <c r="CK478" s="758">
        <v>60000000</v>
      </c>
      <c r="CL478" s="758">
        <v>60000000</v>
      </c>
      <c r="CM478" s="758">
        <v>60000000</v>
      </c>
      <c r="CN478" s="791">
        <v>720000000</v>
      </c>
      <c r="CP478" s="653"/>
      <c r="CQ478" s="653"/>
      <c r="CR478" s="524"/>
      <c r="CS478" s="653"/>
      <c r="CT478" s="524"/>
      <c r="CU478" s="653"/>
      <c r="CV478" s="524"/>
      <c r="CW478" s="653"/>
      <c r="CX478" s="524"/>
      <c r="CY478" s="653"/>
      <c r="CZ478" s="524"/>
      <c r="DA478" s="653"/>
      <c r="DB478" s="524"/>
      <c r="DC478" s="653">
        <v>0</v>
      </c>
      <c r="DD478" s="524"/>
      <c r="DE478" s="758"/>
      <c r="DF478" s="524"/>
      <c r="DG478" s="757"/>
      <c r="DH478" s="758"/>
      <c r="DI478" s="524"/>
      <c r="DJ478" s="757"/>
      <c r="DK478" s="758"/>
      <c r="DL478" s="524"/>
      <c r="DM478" s="757"/>
      <c r="DN478" s="758"/>
      <c r="DO478" s="524"/>
      <c r="DP478" s="757"/>
      <c r="DQ478" s="493">
        <f t="shared" si="274"/>
        <v>0</v>
      </c>
      <c r="DR478" s="479">
        <f t="shared" si="277"/>
        <v>0</v>
      </c>
      <c r="DS478" s="1019"/>
      <c r="DT478" s="1019"/>
      <c r="DU478" s="1019"/>
      <c r="DV478" s="1019"/>
      <c r="DW478" s="1019"/>
      <c r="DX478" s="1019"/>
      <c r="DY478" s="1019"/>
      <c r="DZ478" s="1019"/>
      <c r="EA478" s="1019"/>
      <c r="EB478" s="1019"/>
      <c r="EC478" s="1019"/>
      <c r="ED478" s="1019"/>
      <c r="EE478" s="1119">
        <f t="shared" si="275"/>
        <v>0</v>
      </c>
      <c r="EF478" s="443">
        <v>1010000000</v>
      </c>
      <c r="EG478" s="443">
        <f>EF478*1.08</f>
        <v>1090800000</v>
      </c>
      <c r="EH478" s="443">
        <v>1200000000</v>
      </c>
      <c r="EI478" s="443">
        <v>1200000000</v>
      </c>
      <c r="EJ478" s="367">
        <v>3000020136</v>
      </c>
      <c r="EL478" s="177"/>
      <c r="EM478" s="177"/>
      <c r="EN478" s="177"/>
    </row>
    <row r="479" spans="1:144" outlineLevel="2">
      <c r="A479" s="367" t="s">
        <v>291</v>
      </c>
      <c r="B479" s="378"/>
      <c r="C479" s="370" t="s">
        <v>688</v>
      </c>
      <c r="D479" s="370" t="s">
        <v>40</v>
      </c>
      <c r="E479" s="383" t="s">
        <v>715</v>
      </c>
      <c r="F479" s="380">
        <v>3000019474</v>
      </c>
      <c r="G479" s="189"/>
      <c r="H479" s="13"/>
      <c r="I479" s="27"/>
      <c r="J479" s="185"/>
      <c r="K479" s="185"/>
      <c r="L479" s="194"/>
      <c r="M479" s="185"/>
      <c r="N479" s="185"/>
      <c r="O479" s="7"/>
      <c r="P479" s="7"/>
      <c r="Q479" s="7"/>
      <c r="R479" s="7"/>
      <c r="S479" s="14">
        <f>SUM(G479,H479,I479,J479,K479,L479,M479,N479,O479,P479,Q479,R479)</f>
        <v>0</v>
      </c>
      <c r="T479" s="179"/>
      <c r="U479" s="189"/>
      <c r="V479" s="13"/>
      <c r="W479" s="27"/>
      <c r="X479" s="185"/>
      <c r="Y479" s="185"/>
      <c r="Z479" s="194"/>
      <c r="AA479" s="185"/>
      <c r="AB479" s="185"/>
      <c r="AC479" s="7"/>
      <c r="AD479" s="7"/>
      <c r="AE479" s="7"/>
      <c r="AF479" s="7"/>
      <c r="AG479" s="759">
        <f>SUM(U479,V479,W479,X479,Y479,Z479,AA479,AB479,AC479,AD479,AE479,AF479)</f>
        <v>0</v>
      </c>
      <c r="AH479" s="853">
        <v>3000019474</v>
      </c>
      <c r="AI479" s="189"/>
      <c r="AJ479" s="810"/>
      <c r="AK479" s="858">
        <v>1675000</v>
      </c>
      <c r="AL479" s="758">
        <v>0</v>
      </c>
      <c r="AM479" s="758">
        <v>0</v>
      </c>
      <c r="AN479" s="524">
        <v>1675000</v>
      </c>
      <c r="AO479" s="758">
        <v>0</v>
      </c>
      <c r="AP479" s="758">
        <v>0</v>
      </c>
      <c r="AQ479" s="518">
        <v>0</v>
      </c>
      <c r="AR479" s="813">
        <v>0</v>
      </c>
      <c r="AS479" s="813">
        <v>2297000</v>
      </c>
      <c r="AT479" s="813">
        <v>5222000</v>
      </c>
      <c r="AU479" s="518">
        <f t="shared" si="285"/>
        <v>0</v>
      </c>
      <c r="AV479" s="518">
        <f t="shared" si="285"/>
        <v>0</v>
      </c>
      <c r="AW479" s="518">
        <f t="shared" si="285"/>
        <v>0</v>
      </c>
      <c r="AX479" s="518">
        <f t="shared" si="284"/>
        <v>10869000</v>
      </c>
      <c r="AY479" s="853">
        <v>0</v>
      </c>
      <c r="AZ479" s="189"/>
      <c r="BA479" s="810"/>
      <c r="BB479" s="858">
        <v>1675000</v>
      </c>
      <c r="BC479" s="758">
        <v>0</v>
      </c>
      <c r="BD479" s="758">
        <v>0</v>
      </c>
      <c r="BE479" s="524">
        <v>1675000</v>
      </c>
      <c r="BF479" s="758">
        <v>0</v>
      </c>
      <c r="BG479" s="518">
        <f>AP479</f>
        <v>0</v>
      </c>
      <c r="BH479" s="758">
        <v>0</v>
      </c>
      <c r="BI479" s="758">
        <v>0</v>
      </c>
      <c r="BJ479" s="758">
        <v>0</v>
      </c>
      <c r="BK479" s="758">
        <v>0</v>
      </c>
      <c r="BL479" s="759">
        <f>SUM(AZ479,BA479,BB479,BC479,BD479,BE479,BF479,BG479,BH479,BI479,BJ479,BK479)</f>
        <v>3350000</v>
      </c>
      <c r="BN479" s="758">
        <v>0</v>
      </c>
      <c r="BO479" s="758">
        <v>0</v>
      </c>
      <c r="BP479" s="758">
        <v>0</v>
      </c>
      <c r="BQ479" s="758">
        <v>0</v>
      </c>
      <c r="BR479" s="758">
        <v>0</v>
      </c>
      <c r="BS479" s="758">
        <v>0</v>
      </c>
      <c r="BT479" s="758">
        <v>0</v>
      </c>
      <c r="BU479" s="758">
        <v>0</v>
      </c>
      <c r="BV479" s="758">
        <v>0</v>
      </c>
      <c r="BW479" s="758">
        <v>0</v>
      </c>
      <c r="BX479" s="758">
        <v>0</v>
      </c>
      <c r="BY479" s="758">
        <v>0</v>
      </c>
      <c r="BZ479" s="791">
        <v>0</v>
      </c>
      <c r="CB479" s="758">
        <v>0</v>
      </c>
      <c r="CC479" s="758">
        <v>0</v>
      </c>
      <c r="CD479" s="758">
        <v>0</v>
      </c>
      <c r="CE479" s="758">
        <v>0</v>
      </c>
      <c r="CF479" s="758">
        <v>0</v>
      </c>
      <c r="CG479" s="758">
        <v>0</v>
      </c>
      <c r="CH479" s="758">
        <v>0</v>
      </c>
      <c r="CI479" s="758">
        <v>0</v>
      </c>
      <c r="CJ479" s="758">
        <v>0</v>
      </c>
      <c r="CK479" s="758">
        <v>0</v>
      </c>
      <c r="CL479" s="758">
        <v>0</v>
      </c>
      <c r="CM479" s="758">
        <v>0</v>
      </c>
      <c r="CN479" s="791">
        <v>0</v>
      </c>
      <c r="CP479" s="657"/>
      <c r="CQ479" s="657">
        <v>1309000</v>
      </c>
      <c r="CR479" s="528">
        <v>1300000</v>
      </c>
      <c r="CS479" s="657"/>
      <c r="CT479" s="528"/>
      <c r="CU479" s="657"/>
      <c r="CV479" s="528"/>
      <c r="CW479" s="657"/>
      <c r="CX479" s="528"/>
      <c r="CY479" s="657"/>
      <c r="CZ479" s="528"/>
      <c r="DA479" s="657">
        <v>3995000</v>
      </c>
      <c r="DB479" s="528"/>
      <c r="DC479" s="657">
        <v>0</v>
      </c>
      <c r="DD479" s="528"/>
      <c r="DE479" s="758"/>
      <c r="DF479" s="528"/>
      <c r="DG479" s="757"/>
      <c r="DH479" s="758"/>
      <c r="DI479" s="528"/>
      <c r="DJ479" s="757"/>
      <c r="DK479" s="758"/>
      <c r="DL479" s="528"/>
      <c r="DM479" s="757"/>
      <c r="DN479" s="758"/>
      <c r="DO479" s="528"/>
      <c r="DP479" s="757"/>
      <c r="DQ479" s="493">
        <f t="shared" si="274"/>
        <v>5304000</v>
      </c>
      <c r="DR479" s="479">
        <f t="shared" si="277"/>
        <v>1309000</v>
      </c>
      <c r="DS479" s="1020"/>
      <c r="DT479" s="1020"/>
      <c r="DU479" s="1020"/>
      <c r="DV479" s="1020"/>
      <c r="DW479" s="1020"/>
      <c r="DX479" s="1020"/>
      <c r="DY479" s="1020"/>
      <c r="DZ479" s="1020"/>
      <c r="EA479" s="1020"/>
      <c r="EB479" s="1020"/>
      <c r="EC479" s="1020"/>
      <c r="ED479" s="1020"/>
      <c r="EE479" s="1119">
        <f t="shared" si="275"/>
        <v>0</v>
      </c>
      <c r="EF479" s="443">
        <f>EE479*1.17</f>
        <v>0</v>
      </c>
      <c r="EG479" s="443">
        <f>EF479*1.08</f>
        <v>0</v>
      </c>
      <c r="EH479" s="443">
        <f>EG479*1.09</f>
        <v>0</v>
      </c>
      <c r="EI479" s="443">
        <f>EH479*1.09</f>
        <v>0</v>
      </c>
      <c r="EJ479" s="367">
        <v>3000019474</v>
      </c>
      <c r="EL479" s="177"/>
      <c r="EM479" s="177"/>
      <c r="EN479" s="177"/>
    </row>
    <row r="480" spans="1:144" outlineLevel="2">
      <c r="A480" s="367" t="s">
        <v>687</v>
      </c>
      <c r="B480" s="378"/>
      <c r="C480" s="370" t="s">
        <v>688</v>
      </c>
      <c r="D480" s="370" t="s">
        <v>40</v>
      </c>
      <c r="E480" s="383" t="s">
        <v>66</v>
      </c>
      <c r="F480" s="380">
        <v>8000000015</v>
      </c>
      <c r="G480" s="186"/>
      <c r="H480" s="13"/>
      <c r="I480" s="185"/>
      <c r="J480" s="185"/>
      <c r="K480" s="185"/>
      <c r="L480" s="194"/>
      <c r="M480" s="185"/>
      <c r="N480" s="185"/>
      <c r="O480" s="7"/>
      <c r="P480" s="7"/>
      <c r="Q480" s="7"/>
      <c r="R480" s="7"/>
      <c r="S480" s="14">
        <f>SUM(G480,H480,I480,J480,K480,L480,M480,N480,O480,P480,Q480,R480)</f>
        <v>0</v>
      </c>
      <c r="T480" s="179"/>
      <c r="U480" s="186"/>
      <c r="V480" s="13"/>
      <c r="W480" s="185"/>
      <c r="X480" s="185"/>
      <c r="Y480" s="185"/>
      <c r="Z480" s="194"/>
      <c r="AA480" s="185"/>
      <c r="AB480" s="185"/>
      <c r="AC480" s="7"/>
      <c r="AD480" s="7"/>
      <c r="AE480" s="7"/>
      <c r="AF480" s="7"/>
      <c r="AG480" s="759">
        <f>SUM(U480,V480,W480,X480,Y480,Z480,AA480,AB480,AC480,AD480,AE480,AF480)</f>
        <v>0</v>
      </c>
      <c r="AH480" s="853">
        <v>8000000015</v>
      </c>
      <c r="AI480" s="814">
        <v>7705000</v>
      </c>
      <c r="AJ480" s="810">
        <v>19718500</v>
      </c>
      <c r="AK480" s="758">
        <v>15060000</v>
      </c>
      <c r="AL480" s="758">
        <v>18564750</v>
      </c>
      <c r="AM480" s="758">
        <v>15683000</v>
      </c>
      <c r="AN480" s="524">
        <v>20258200</v>
      </c>
      <c r="AO480" s="758">
        <v>5370000</v>
      </c>
      <c r="AP480" s="758">
        <v>15339900</v>
      </c>
      <c r="AQ480" s="518">
        <v>23573200</v>
      </c>
      <c r="AR480" s="813">
        <v>17615000</v>
      </c>
      <c r="AS480" s="813">
        <v>18095000</v>
      </c>
      <c r="AT480" s="813">
        <v>21869300</v>
      </c>
      <c r="AU480" s="518">
        <f t="shared" si="285"/>
        <v>15000000</v>
      </c>
      <c r="AV480" s="518">
        <f t="shared" si="285"/>
        <v>15000000</v>
      </c>
      <c r="AW480" s="518">
        <f t="shared" si="285"/>
        <v>15000000</v>
      </c>
      <c r="AX480" s="518">
        <f t="shared" si="284"/>
        <v>198851850</v>
      </c>
      <c r="AY480" s="853" t="e">
        <v>#N/A</v>
      </c>
      <c r="AZ480" s="814">
        <v>7705000</v>
      </c>
      <c r="BA480" s="810">
        <v>19718500</v>
      </c>
      <c r="BB480" s="758">
        <v>15060000</v>
      </c>
      <c r="BC480" s="758">
        <v>18564750</v>
      </c>
      <c r="BD480" s="758">
        <v>15683000</v>
      </c>
      <c r="BE480" s="524">
        <v>20258200</v>
      </c>
      <c r="BF480" s="758">
        <v>5370000</v>
      </c>
      <c r="BG480" s="518">
        <f>AP480</f>
        <v>15339900</v>
      </c>
      <c r="BH480" s="758">
        <v>15000000</v>
      </c>
      <c r="BI480" s="758">
        <v>15000000</v>
      </c>
      <c r="BJ480" s="758">
        <v>15000000</v>
      </c>
      <c r="BK480" s="758">
        <v>15000000</v>
      </c>
      <c r="BL480" s="759">
        <f>SUM(AZ480,BA480,BB480,BC480,BD480,BE480,BF480,BG480,BH480,BI480,BJ480,BK480)</f>
        <v>177699350</v>
      </c>
      <c r="BN480" s="758">
        <v>15000000</v>
      </c>
      <c r="BO480" s="758">
        <v>15000000</v>
      </c>
      <c r="BP480" s="758">
        <v>15000000</v>
      </c>
      <c r="BQ480" s="758">
        <v>15000000</v>
      </c>
      <c r="BR480" s="758">
        <v>15000000</v>
      </c>
      <c r="BS480" s="758">
        <v>15000000</v>
      </c>
      <c r="BT480" s="758">
        <v>15000000</v>
      </c>
      <c r="BU480" s="758">
        <v>15000000</v>
      </c>
      <c r="BV480" s="758">
        <v>15000000</v>
      </c>
      <c r="BW480" s="758">
        <v>15000000</v>
      </c>
      <c r="BX480" s="758">
        <v>15000000</v>
      </c>
      <c r="BY480" s="758">
        <v>15000000</v>
      </c>
      <c r="BZ480" s="791">
        <v>180000000</v>
      </c>
      <c r="CB480" s="758">
        <v>15000000</v>
      </c>
      <c r="CC480" s="758">
        <v>15000000</v>
      </c>
      <c r="CD480" s="758">
        <v>15000000</v>
      </c>
      <c r="CE480" s="758">
        <v>15000000</v>
      </c>
      <c r="CF480" s="758">
        <v>15000000</v>
      </c>
      <c r="CG480" s="758">
        <v>15000000</v>
      </c>
      <c r="CH480" s="758">
        <v>15000000</v>
      </c>
      <c r="CI480" s="758">
        <v>15000000</v>
      </c>
      <c r="CJ480" s="758">
        <v>15000000</v>
      </c>
      <c r="CK480" s="758">
        <v>15000000</v>
      </c>
      <c r="CL480" s="758">
        <v>15000000</v>
      </c>
      <c r="CM480" s="758">
        <v>15000000</v>
      </c>
      <c r="CN480" s="791">
        <v>180000000</v>
      </c>
      <c r="CP480" s="653">
        <v>23171000</v>
      </c>
      <c r="CQ480" s="653">
        <v>19040000</v>
      </c>
      <c r="CR480" s="524">
        <v>19000000</v>
      </c>
      <c r="CS480" s="653">
        <v>39065000</v>
      </c>
      <c r="CT480" s="524">
        <v>20000000</v>
      </c>
      <c r="CU480" s="653">
        <v>26702620</v>
      </c>
      <c r="CV480" s="524">
        <v>26000000</v>
      </c>
      <c r="CW480" s="653">
        <v>8055000</v>
      </c>
      <c r="CX480" s="524">
        <v>15000000</v>
      </c>
      <c r="CY480" s="653">
        <v>34594450</v>
      </c>
      <c r="CZ480" s="524">
        <v>20000000</v>
      </c>
      <c r="DA480" s="653">
        <v>8370000</v>
      </c>
      <c r="DB480" s="524">
        <v>20000000</v>
      </c>
      <c r="DC480" s="653">
        <v>7705000</v>
      </c>
      <c r="DD480" s="524">
        <v>20000000</v>
      </c>
      <c r="DE480" s="758"/>
      <c r="DF480" s="524">
        <v>20000000</v>
      </c>
      <c r="DG480" s="757">
        <v>20000000</v>
      </c>
      <c r="DH480" s="758"/>
      <c r="DI480" s="524">
        <v>20000000</v>
      </c>
      <c r="DJ480" s="757">
        <v>20000000</v>
      </c>
      <c r="DK480" s="758"/>
      <c r="DL480" s="524">
        <v>20000000</v>
      </c>
      <c r="DM480" s="757">
        <v>20000000</v>
      </c>
      <c r="DN480" s="758"/>
      <c r="DO480" s="524">
        <v>20000000</v>
      </c>
      <c r="DP480" s="757">
        <v>20000000</v>
      </c>
      <c r="DQ480" s="493">
        <f t="shared" si="274"/>
        <v>246703070</v>
      </c>
      <c r="DR480" s="479">
        <f t="shared" si="277"/>
        <v>262978620</v>
      </c>
      <c r="DS480" s="1019">
        <v>23000000</v>
      </c>
      <c r="DT480" s="1019">
        <v>23000000</v>
      </c>
      <c r="DU480" s="1019">
        <v>23000000</v>
      </c>
      <c r="DV480" s="1019">
        <v>23000000</v>
      </c>
      <c r="DW480" s="1019">
        <v>23000000</v>
      </c>
      <c r="DX480" s="1019">
        <v>23000000</v>
      </c>
      <c r="DY480" s="1019">
        <v>23000000</v>
      </c>
      <c r="DZ480" s="1019">
        <v>23000000</v>
      </c>
      <c r="EA480" s="1019">
        <v>23000000</v>
      </c>
      <c r="EB480" s="1019">
        <v>23000000</v>
      </c>
      <c r="EC480" s="1019">
        <v>23000000</v>
      </c>
      <c r="ED480" s="1019">
        <v>23000000</v>
      </c>
      <c r="EE480" s="1119">
        <f t="shared" si="275"/>
        <v>276000000</v>
      </c>
      <c r="EF480" s="443">
        <f>EE480*1.17</f>
        <v>322920000</v>
      </c>
      <c r="EG480" s="443">
        <f>EF480*1.08</f>
        <v>348753600</v>
      </c>
      <c r="EH480" s="443">
        <f>EG480*1.09</f>
        <v>380141424</v>
      </c>
      <c r="EI480" s="443">
        <f>EH480*1.09</f>
        <v>414354152.16000003</v>
      </c>
      <c r="EJ480" s="367">
        <v>8000000015</v>
      </c>
      <c r="EL480" s="177"/>
      <c r="EM480" s="177"/>
      <c r="EN480" s="177"/>
    </row>
    <row r="481" spans="1:144" outlineLevel="2">
      <c r="A481" s="367" t="s">
        <v>291</v>
      </c>
      <c r="B481" s="378"/>
      <c r="C481" s="370" t="s">
        <v>688</v>
      </c>
      <c r="D481" s="370" t="s">
        <v>40</v>
      </c>
      <c r="E481" s="403" t="s">
        <v>716</v>
      </c>
      <c r="F481" s="380"/>
      <c r="G481" s="189"/>
      <c r="H481" s="13"/>
      <c r="I481" s="185"/>
      <c r="J481" s="185"/>
      <c r="K481" s="185"/>
      <c r="L481" s="185"/>
      <c r="M481" s="185"/>
      <c r="N481" s="185"/>
      <c r="O481" s="185"/>
      <c r="P481" s="185"/>
      <c r="Q481" s="185"/>
      <c r="R481" s="185"/>
      <c r="S481" s="14"/>
      <c r="T481" s="179"/>
      <c r="U481" s="189"/>
      <c r="V481" s="13"/>
      <c r="W481" s="185"/>
      <c r="X481" s="185"/>
      <c r="Y481" s="185"/>
      <c r="Z481" s="185"/>
      <c r="AA481" s="185"/>
      <c r="AB481" s="185"/>
      <c r="AC481" s="185"/>
      <c r="AD481" s="185"/>
      <c r="AE481" s="185"/>
      <c r="AF481" s="185"/>
      <c r="AG481" s="759"/>
      <c r="AH481" s="811"/>
      <c r="AI481" s="189"/>
      <c r="AJ481" s="810"/>
      <c r="AK481" s="758"/>
      <c r="AL481" s="758"/>
      <c r="AM481" s="758"/>
      <c r="AN481" s="758"/>
      <c r="AO481" s="758"/>
      <c r="AP481" s="758"/>
      <c r="AQ481" s="518"/>
      <c r="AR481" s="813">
        <v>1282500</v>
      </c>
      <c r="AS481" s="518">
        <v>0</v>
      </c>
      <c r="AT481" s="518">
        <v>0</v>
      </c>
      <c r="AU481" s="758"/>
      <c r="AV481" s="758"/>
      <c r="AW481" s="758"/>
      <c r="AX481" s="518">
        <f t="shared" si="284"/>
        <v>1282500</v>
      </c>
      <c r="AY481" s="811"/>
      <c r="AZ481" s="189"/>
      <c r="BA481" s="810"/>
      <c r="BB481" s="758"/>
      <c r="BC481" s="758"/>
      <c r="BD481" s="758"/>
      <c r="BE481" s="758"/>
      <c r="BF481" s="758"/>
      <c r="BG481" s="758"/>
      <c r="BH481" s="758"/>
      <c r="BI481" s="758"/>
      <c r="BJ481" s="758"/>
      <c r="BK481" s="758"/>
      <c r="BL481" s="518"/>
      <c r="BN481" s="6"/>
      <c r="BO481" s="810"/>
      <c r="BP481" s="758"/>
      <c r="BQ481" s="758"/>
      <c r="BR481" s="758"/>
      <c r="BS481" s="758"/>
      <c r="BT481" s="758"/>
      <c r="BU481" s="758"/>
      <c r="BV481" s="758"/>
      <c r="BW481" s="758"/>
      <c r="BX481" s="758"/>
      <c r="BY481" s="758"/>
      <c r="BZ481" s="791">
        <v>0</v>
      </c>
      <c r="CB481" s="6"/>
      <c r="CC481" s="810"/>
      <c r="CD481" s="758"/>
      <c r="CE481" s="758"/>
      <c r="CF481" s="758"/>
      <c r="CG481" s="758"/>
      <c r="CH481" s="758"/>
      <c r="CI481" s="758"/>
      <c r="CJ481" s="758"/>
      <c r="CK481" s="758"/>
      <c r="CL481" s="758"/>
      <c r="CM481" s="758"/>
      <c r="CN481" s="791">
        <v>0</v>
      </c>
      <c r="CP481" s="655"/>
      <c r="CQ481" s="655"/>
      <c r="CR481" s="6"/>
      <c r="CS481" s="655"/>
      <c r="CT481" s="6"/>
      <c r="CU481" s="655"/>
      <c r="CV481" s="6"/>
      <c r="CW481" s="655"/>
      <c r="CX481" s="6"/>
      <c r="CY481" s="655"/>
      <c r="CZ481" s="6"/>
      <c r="DA481" s="655"/>
      <c r="DB481" s="6"/>
      <c r="DC481" s="655">
        <v>0</v>
      </c>
      <c r="DD481" s="6"/>
      <c r="DE481" s="758"/>
      <c r="DF481" s="6"/>
      <c r="DG481" s="757"/>
      <c r="DH481" s="758"/>
      <c r="DI481" s="6"/>
      <c r="DJ481" s="757"/>
      <c r="DK481" s="758"/>
      <c r="DL481" s="6"/>
      <c r="DM481" s="757"/>
      <c r="DN481" s="758"/>
      <c r="DO481" s="6"/>
      <c r="DP481" s="757"/>
      <c r="DQ481" s="493">
        <f t="shared" si="274"/>
        <v>0</v>
      </c>
      <c r="DR481" s="479">
        <f t="shared" si="277"/>
        <v>0</v>
      </c>
      <c r="DS481" s="1019"/>
      <c r="DT481" s="1019"/>
      <c r="DU481" s="1019"/>
      <c r="DV481" s="1019"/>
      <c r="DW481" s="1019"/>
      <c r="DX481" s="1019"/>
      <c r="DY481" s="1019"/>
      <c r="DZ481" s="1019"/>
      <c r="EA481" s="1019"/>
      <c r="EB481" s="1019"/>
      <c r="EC481" s="1019"/>
      <c r="ED481" s="1019"/>
      <c r="EE481" s="1119">
        <f t="shared" si="275"/>
        <v>0</v>
      </c>
      <c r="EF481" s="447"/>
      <c r="EG481" s="447"/>
      <c r="EH481" s="447"/>
      <c r="EI481" s="447"/>
      <c r="EL481" s="177"/>
      <c r="EM481" s="177"/>
      <c r="EN481" s="177"/>
    </row>
    <row r="482" spans="1:144" outlineLevel="2">
      <c r="A482" s="367" t="s">
        <v>687</v>
      </c>
      <c r="B482" s="378"/>
      <c r="C482" s="370" t="s">
        <v>688</v>
      </c>
      <c r="D482" s="370" t="s">
        <v>40</v>
      </c>
      <c r="E482" s="383" t="s">
        <v>68</v>
      </c>
      <c r="F482" s="380">
        <v>3000001607</v>
      </c>
      <c r="G482" s="186"/>
      <c r="H482" s="13"/>
      <c r="I482" s="27"/>
      <c r="J482" s="185"/>
      <c r="K482" s="185"/>
      <c r="L482" s="194"/>
      <c r="M482" s="185"/>
      <c r="N482" s="185"/>
      <c r="O482" s="7"/>
      <c r="P482" s="7"/>
      <c r="Q482" s="7"/>
      <c r="R482" s="7"/>
      <c r="S482" s="14">
        <f>SUM(G482,H482,I482,J482,K482,L482,M482,N482,O482,P482,Q482,R482)</f>
        <v>0</v>
      </c>
      <c r="T482" s="179"/>
      <c r="U482" s="186"/>
      <c r="V482" s="13"/>
      <c r="W482" s="27"/>
      <c r="X482" s="185"/>
      <c r="Y482" s="185"/>
      <c r="Z482" s="194"/>
      <c r="AA482" s="185"/>
      <c r="AB482" s="185"/>
      <c r="AC482" s="7"/>
      <c r="AD482" s="7"/>
      <c r="AE482" s="7"/>
      <c r="AF482" s="7"/>
      <c r="AG482" s="759">
        <f>SUM(U482,V482,W482,X482,Y482,Z482,AA482,AB482,AC482,AD482,AE482,AF482)</f>
        <v>0</v>
      </c>
      <c r="AH482" s="853">
        <v>3000001607</v>
      </c>
      <c r="AI482" s="814">
        <v>13570000</v>
      </c>
      <c r="AJ482" s="810"/>
      <c r="AK482" s="858">
        <v>7916900</v>
      </c>
      <c r="AL482" s="758">
        <v>2095600</v>
      </c>
      <c r="AM482" s="758">
        <v>0</v>
      </c>
      <c r="AN482" s="524">
        <v>35451159</v>
      </c>
      <c r="AO482" s="758">
        <v>0</v>
      </c>
      <c r="AP482" s="758">
        <v>12500000</v>
      </c>
      <c r="AQ482" s="518">
        <v>432153314</v>
      </c>
      <c r="AR482" s="518"/>
      <c r="AS482" s="518"/>
      <c r="AT482" s="518"/>
      <c r="AU482" s="518">
        <f>BI482</f>
        <v>6000000</v>
      </c>
      <c r="AV482" s="518">
        <f>BJ482</f>
        <v>6000000</v>
      </c>
      <c r="AW482" s="518">
        <f>BK482</f>
        <v>6000000</v>
      </c>
      <c r="AX482" s="518">
        <f t="shared" si="284"/>
        <v>503686973</v>
      </c>
      <c r="AY482" s="853" t="e">
        <v>#N/A</v>
      </c>
      <c r="AZ482" s="814">
        <v>13570000</v>
      </c>
      <c r="BA482" s="810"/>
      <c r="BB482" s="858">
        <v>7916900</v>
      </c>
      <c r="BC482" s="758">
        <v>2095600</v>
      </c>
      <c r="BD482" s="758">
        <v>0</v>
      </c>
      <c r="BE482" s="524">
        <v>35451159</v>
      </c>
      <c r="BF482" s="758">
        <v>0</v>
      </c>
      <c r="BG482" s="518">
        <f>AP482</f>
        <v>12500000</v>
      </c>
      <c r="BH482" s="758">
        <v>6000000</v>
      </c>
      <c r="BI482" s="758">
        <v>6000000</v>
      </c>
      <c r="BJ482" s="758">
        <v>6000000</v>
      </c>
      <c r="BK482" s="758">
        <v>6000000</v>
      </c>
      <c r="BL482" s="759">
        <f>SUM(AZ482,BA482,BB482,BC482,BD482,BE482,BF482,BG482,BH482,BI482,BJ482,BK482)</f>
        <v>95533659</v>
      </c>
      <c r="BN482" s="758">
        <v>10000000</v>
      </c>
      <c r="BO482" s="758">
        <v>0</v>
      </c>
      <c r="BP482" s="758">
        <v>10000000</v>
      </c>
      <c r="BQ482" s="758">
        <v>0</v>
      </c>
      <c r="BR482" s="758">
        <v>10000000</v>
      </c>
      <c r="BS482" s="758">
        <v>0</v>
      </c>
      <c r="BT482" s="758">
        <v>10000000</v>
      </c>
      <c r="BU482" s="758">
        <v>10000000</v>
      </c>
      <c r="BV482" s="758">
        <v>10000000</v>
      </c>
      <c r="BW482" s="758">
        <v>0</v>
      </c>
      <c r="BX482" s="758">
        <v>10000000</v>
      </c>
      <c r="BY482" s="758">
        <v>10000000</v>
      </c>
      <c r="BZ482" s="791">
        <v>80000000</v>
      </c>
      <c r="CB482" s="758">
        <v>10000000</v>
      </c>
      <c r="CC482" s="758">
        <v>0</v>
      </c>
      <c r="CD482" s="758">
        <v>10000000</v>
      </c>
      <c r="CE482" s="758">
        <v>0</v>
      </c>
      <c r="CF482" s="758">
        <v>10000000</v>
      </c>
      <c r="CG482" s="758">
        <v>0</v>
      </c>
      <c r="CH482" s="758">
        <v>10000000</v>
      </c>
      <c r="CI482" s="758">
        <v>10000000</v>
      </c>
      <c r="CJ482" s="758">
        <v>10000000</v>
      </c>
      <c r="CK482" s="758">
        <v>0</v>
      </c>
      <c r="CL482" s="758">
        <v>10000000</v>
      </c>
      <c r="CM482" s="758">
        <v>10000000</v>
      </c>
      <c r="CN482" s="791">
        <v>80000000</v>
      </c>
      <c r="CP482" s="653"/>
      <c r="CQ482" s="653"/>
      <c r="CR482" s="524"/>
      <c r="CS482" s="653"/>
      <c r="CT482" s="524"/>
      <c r="CU482" s="653"/>
      <c r="CV482" s="524"/>
      <c r="CW482" s="653"/>
      <c r="CX482" s="524"/>
      <c r="CY482" s="653">
        <v>50000000</v>
      </c>
      <c r="CZ482" s="524">
        <v>25000000</v>
      </c>
      <c r="DA482" s="653"/>
      <c r="DB482" s="524"/>
      <c r="DC482" s="653">
        <v>0</v>
      </c>
      <c r="DD482" s="524"/>
      <c r="DE482" s="758"/>
      <c r="DF482" s="524"/>
      <c r="DG482" s="757"/>
      <c r="DH482" s="758"/>
      <c r="DI482" s="524"/>
      <c r="DJ482" s="757"/>
      <c r="DK482" s="758"/>
      <c r="DL482" s="524"/>
      <c r="DM482" s="757"/>
      <c r="DN482" s="758"/>
      <c r="DO482" s="524"/>
      <c r="DP482" s="757"/>
      <c r="DQ482" s="493">
        <f t="shared" si="274"/>
        <v>50000000</v>
      </c>
      <c r="DR482" s="479">
        <f t="shared" ref="DR482:DR513" si="286">SUM(CP482,CQ482,CS482,CU482,CX482,CZ482,DB482,DD482,DG482,DJ482,DM482,DP482)</f>
        <v>25000000</v>
      </c>
      <c r="DS482" s="1019"/>
      <c r="DT482" s="1019"/>
      <c r="DU482" s="1019"/>
      <c r="DV482" s="1019"/>
      <c r="DW482" s="1019"/>
      <c r="DX482" s="1019"/>
      <c r="DY482" s="1019"/>
      <c r="DZ482" s="1019"/>
      <c r="EA482" s="1019"/>
      <c r="EB482" s="1019"/>
      <c r="EC482" s="1019"/>
      <c r="ED482" s="1019"/>
      <c r="EE482" s="1119">
        <f t="shared" si="275"/>
        <v>0</v>
      </c>
      <c r="EF482" s="443">
        <f>EE482*1.17</f>
        <v>0</v>
      </c>
      <c r="EG482" s="443">
        <f>EF482*1.08</f>
        <v>0</v>
      </c>
      <c r="EH482" s="443">
        <f>EG482*1.09</f>
        <v>0</v>
      </c>
      <c r="EI482" s="443">
        <f>EH482*1.09</f>
        <v>0</v>
      </c>
      <c r="EJ482" s="367">
        <v>3000001607</v>
      </c>
      <c r="EL482" s="177"/>
      <c r="EM482" s="177"/>
      <c r="EN482" s="177"/>
    </row>
    <row r="483" spans="1:144" outlineLevel="2">
      <c r="A483" s="367" t="s">
        <v>291</v>
      </c>
      <c r="B483" s="378"/>
      <c r="C483" s="370" t="s">
        <v>688</v>
      </c>
      <c r="D483" s="370" t="s">
        <v>40</v>
      </c>
      <c r="E483" s="383" t="s">
        <v>717</v>
      </c>
      <c r="F483" s="380"/>
      <c r="G483" s="189"/>
      <c r="H483" s="13"/>
      <c r="I483" s="185"/>
      <c r="J483" s="185"/>
      <c r="K483" s="185"/>
      <c r="L483" s="185"/>
      <c r="M483" s="185"/>
      <c r="N483" s="185"/>
      <c r="O483" s="185"/>
      <c r="P483" s="185"/>
      <c r="Q483" s="185"/>
      <c r="R483" s="185"/>
      <c r="S483" s="14"/>
      <c r="T483" s="179"/>
      <c r="U483" s="189"/>
      <c r="V483" s="13"/>
      <c r="W483" s="185"/>
      <c r="X483" s="185"/>
      <c r="Y483" s="185"/>
      <c r="Z483" s="185"/>
      <c r="AA483" s="185"/>
      <c r="AB483" s="185"/>
      <c r="AC483" s="185"/>
      <c r="AD483" s="185"/>
      <c r="AE483" s="185"/>
      <c r="AF483" s="185"/>
      <c r="AG483" s="759"/>
      <c r="AH483" s="811"/>
      <c r="AI483" s="189"/>
      <c r="AJ483" s="810"/>
      <c r="AK483" s="758"/>
      <c r="AL483" s="758"/>
      <c r="AM483" s="758"/>
      <c r="AN483" s="758"/>
      <c r="AO483" s="758"/>
      <c r="AP483" s="758"/>
      <c r="AQ483" s="518"/>
      <c r="AR483" s="813">
        <v>2833600</v>
      </c>
      <c r="AS483" s="518"/>
      <c r="AT483" s="518"/>
      <c r="AU483" s="758"/>
      <c r="AV483" s="758"/>
      <c r="AW483" s="758"/>
      <c r="AX483" s="518">
        <f t="shared" si="284"/>
        <v>2833600</v>
      </c>
      <c r="AY483" s="811"/>
      <c r="AZ483" s="189"/>
      <c r="BA483" s="810"/>
      <c r="BB483" s="758"/>
      <c r="BC483" s="758"/>
      <c r="BD483" s="758"/>
      <c r="BE483" s="758"/>
      <c r="BF483" s="758"/>
      <c r="BG483" s="758"/>
      <c r="BH483" s="758"/>
      <c r="BI483" s="758"/>
      <c r="BJ483" s="758"/>
      <c r="BK483" s="758"/>
      <c r="BL483" s="518"/>
      <c r="BN483" s="6"/>
      <c r="BO483" s="810"/>
      <c r="BP483" s="758"/>
      <c r="BQ483" s="758"/>
      <c r="BR483" s="758"/>
      <c r="BS483" s="758"/>
      <c r="BT483" s="758"/>
      <c r="BU483" s="758"/>
      <c r="BV483" s="758"/>
      <c r="BW483" s="758"/>
      <c r="BX483" s="758"/>
      <c r="BY483" s="758"/>
      <c r="BZ483" s="791">
        <v>0</v>
      </c>
      <c r="CB483" s="6"/>
      <c r="CC483" s="810"/>
      <c r="CD483" s="758"/>
      <c r="CE483" s="758"/>
      <c r="CF483" s="758"/>
      <c r="CG483" s="758"/>
      <c r="CH483" s="758"/>
      <c r="CI483" s="758"/>
      <c r="CJ483" s="758"/>
      <c r="CK483" s="758"/>
      <c r="CL483" s="758"/>
      <c r="CM483" s="758"/>
      <c r="CN483" s="791">
        <v>0</v>
      </c>
      <c r="CP483" s="655"/>
      <c r="CQ483" s="655"/>
      <c r="CR483" s="6"/>
      <c r="CS483" s="655"/>
      <c r="CT483" s="6"/>
      <c r="CU483" s="655"/>
      <c r="CV483" s="6"/>
      <c r="CW483" s="655"/>
      <c r="CX483" s="6"/>
      <c r="CY483" s="655"/>
      <c r="CZ483" s="6"/>
      <c r="DA483" s="655"/>
      <c r="DB483" s="6"/>
      <c r="DC483" s="655">
        <v>0</v>
      </c>
      <c r="DD483" s="6"/>
      <c r="DE483" s="758"/>
      <c r="DF483" s="6"/>
      <c r="DG483" s="757"/>
      <c r="DH483" s="758"/>
      <c r="DI483" s="6"/>
      <c r="DJ483" s="757"/>
      <c r="DK483" s="758"/>
      <c r="DL483" s="6"/>
      <c r="DM483" s="757"/>
      <c r="DN483" s="758"/>
      <c r="DO483" s="6"/>
      <c r="DP483" s="757"/>
      <c r="DQ483" s="493">
        <f t="shared" si="274"/>
        <v>0</v>
      </c>
      <c r="DR483" s="479">
        <f t="shared" si="286"/>
        <v>0</v>
      </c>
      <c r="DS483" s="1019"/>
      <c r="DT483" s="1019"/>
      <c r="DU483" s="1019"/>
      <c r="DV483" s="1019"/>
      <c r="DW483" s="1019"/>
      <c r="DX483" s="1019"/>
      <c r="DY483" s="1019"/>
      <c r="DZ483" s="1019"/>
      <c r="EA483" s="1019"/>
      <c r="EB483" s="1019"/>
      <c r="EC483" s="1019"/>
      <c r="ED483" s="1019"/>
      <c r="EE483" s="1119">
        <f t="shared" si="275"/>
        <v>0</v>
      </c>
      <c r="EF483" s="447"/>
      <c r="EG483" s="447"/>
      <c r="EH483" s="447"/>
      <c r="EI483" s="447"/>
      <c r="EL483" s="177"/>
      <c r="EM483" s="177"/>
      <c r="EN483" s="177"/>
    </row>
    <row r="484" spans="1:144" outlineLevel="2">
      <c r="A484" s="367" t="s">
        <v>291</v>
      </c>
      <c r="B484" s="378"/>
      <c r="C484" s="370" t="s">
        <v>688</v>
      </c>
      <c r="D484" s="370" t="s">
        <v>40</v>
      </c>
      <c r="E484" s="403" t="s">
        <v>718</v>
      </c>
      <c r="F484" s="380"/>
      <c r="G484" s="189"/>
      <c r="H484" s="13"/>
      <c r="I484" s="185"/>
      <c r="J484" s="185"/>
      <c r="K484" s="185"/>
      <c r="L484" s="185"/>
      <c r="M484" s="185"/>
      <c r="N484" s="185"/>
      <c r="O484" s="185"/>
      <c r="P484" s="185"/>
      <c r="Q484" s="185"/>
      <c r="R484" s="185"/>
      <c r="S484" s="14"/>
      <c r="T484" s="179"/>
      <c r="U484" s="189"/>
      <c r="V484" s="13"/>
      <c r="W484" s="185"/>
      <c r="X484" s="185"/>
      <c r="Y484" s="185"/>
      <c r="Z484" s="185"/>
      <c r="AA484" s="185"/>
      <c r="AB484" s="185"/>
      <c r="AC484" s="185"/>
      <c r="AD484" s="185"/>
      <c r="AE484" s="185"/>
      <c r="AF484" s="185"/>
      <c r="AG484" s="759"/>
      <c r="AH484" s="811"/>
      <c r="AI484" s="189"/>
      <c r="AJ484" s="810"/>
      <c r="AK484" s="758"/>
      <c r="AL484" s="758"/>
      <c r="AM484" s="758"/>
      <c r="AN484" s="758"/>
      <c r="AO484" s="758"/>
      <c r="AP484" s="758"/>
      <c r="AQ484" s="518"/>
      <c r="AR484" s="813">
        <v>4393750</v>
      </c>
      <c r="AS484" s="518">
        <v>500000</v>
      </c>
      <c r="AT484" s="518">
        <v>0</v>
      </c>
      <c r="AU484" s="758"/>
      <c r="AV484" s="758"/>
      <c r="AW484" s="758"/>
      <c r="AX484" s="518">
        <f t="shared" si="284"/>
        <v>4893750</v>
      </c>
      <c r="AY484" s="811"/>
      <c r="AZ484" s="189"/>
      <c r="BA484" s="810"/>
      <c r="BB484" s="758"/>
      <c r="BC484" s="758"/>
      <c r="BD484" s="758"/>
      <c r="BE484" s="758"/>
      <c r="BF484" s="758"/>
      <c r="BG484" s="758"/>
      <c r="BH484" s="758"/>
      <c r="BI484" s="758"/>
      <c r="BJ484" s="758"/>
      <c r="BK484" s="758"/>
      <c r="BL484" s="518"/>
      <c r="BN484" s="6"/>
      <c r="BO484" s="810"/>
      <c r="BP484" s="758"/>
      <c r="BQ484" s="758"/>
      <c r="BR484" s="758"/>
      <c r="BS484" s="758"/>
      <c r="BT484" s="758"/>
      <c r="BU484" s="758"/>
      <c r="BV484" s="758"/>
      <c r="BW484" s="758"/>
      <c r="BX484" s="758"/>
      <c r="BY484" s="758"/>
      <c r="BZ484" s="791">
        <v>0</v>
      </c>
      <c r="CB484" s="6"/>
      <c r="CC484" s="810"/>
      <c r="CD484" s="758"/>
      <c r="CE484" s="758"/>
      <c r="CF484" s="758"/>
      <c r="CG484" s="758"/>
      <c r="CH484" s="758"/>
      <c r="CI484" s="758"/>
      <c r="CJ484" s="758"/>
      <c r="CK484" s="758"/>
      <c r="CL484" s="758"/>
      <c r="CM484" s="758"/>
      <c r="CN484" s="791">
        <v>0</v>
      </c>
      <c r="CP484" s="655"/>
      <c r="CQ484" s="655"/>
      <c r="CR484" s="6"/>
      <c r="CS484" s="655"/>
      <c r="CT484" s="6"/>
      <c r="CU484" s="655"/>
      <c r="CV484" s="6"/>
      <c r="CW484" s="655"/>
      <c r="CX484" s="6"/>
      <c r="CY484" s="655"/>
      <c r="CZ484" s="6"/>
      <c r="DA484" s="655"/>
      <c r="DB484" s="6"/>
      <c r="DC484" s="655">
        <v>0</v>
      </c>
      <c r="DD484" s="6"/>
      <c r="DE484" s="758"/>
      <c r="DF484" s="6"/>
      <c r="DG484" s="757"/>
      <c r="DH484" s="758"/>
      <c r="DI484" s="6"/>
      <c r="DJ484" s="757"/>
      <c r="DK484" s="758"/>
      <c r="DL484" s="6"/>
      <c r="DM484" s="757"/>
      <c r="DN484" s="758"/>
      <c r="DO484" s="6"/>
      <c r="DP484" s="757"/>
      <c r="DQ484" s="493">
        <f t="shared" si="274"/>
        <v>0</v>
      </c>
      <c r="DR484" s="479">
        <f t="shared" si="286"/>
        <v>0</v>
      </c>
      <c r="DS484" s="1019"/>
      <c r="DT484" s="1019"/>
      <c r="DU484" s="1019"/>
      <c r="DV484" s="1019"/>
      <c r="DW484" s="1019"/>
      <c r="DX484" s="1019"/>
      <c r="DY484" s="1019"/>
      <c r="DZ484" s="1019"/>
      <c r="EA484" s="1019"/>
      <c r="EB484" s="1019"/>
      <c r="EC484" s="1019"/>
      <c r="ED484" s="1019"/>
      <c r="EE484" s="1119">
        <f t="shared" si="275"/>
        <v>0</v>
      </c>
      <c r="EF484" s="447"/>
      <c r="EG484" s="447"/>
      <c r="EH484" s="447"/>
      <c r="EI484" s="447"/>
      <c r="EL484" s="177"/>
      <c r="EM484" s="177"/>
      <c r="EN484" s="177"/>
    </row>
    <row r="485" spans="1:144" outlineLevel="2">
      <c r="A485" s="367" t="s">
        <v>699</v>
      </c>
      <c r="B485" s="378"/>
      <c r="C485" s="370" t="s">
        <v>688</v>
      </c>
      <c r="D485" s="370" t="s">
        <v>40</v>
      </c>
      <c r="E485" s="383" t="s">
        <v>719</v>
      </c>
      <c r="F485" s="380">
        <v>3000001665</v>
      </c>
      <c r="G485" s="16"/>
      <c r="H485" s="30"/>
      <c r="I485" s="27"/>
      <c r="J485" s="185"/>
      <c r="K485" s="185"/>
      <c r="L485" s="194"/>
      <c r="M485" s="185"/>
      <c r="N485" s="185"/>
      <c r="O485" s="7"/>
      <c r="P485" s="7"/>
      <c r="Q485" s="7"/>
      <c r="R485" s="7"/>
      <c r="S485" s="14">
        <f t="shared" ref="S485:S494" si="287">SUM(G485,H485,I485,J485,K485,L485,M485,N485,O485,P485,Q485,R485)</f>
        <v>0</v>
      </c>
      <c r="T485" s="15"/>
      <c r="U485" s="16"/>
      <c r="V485" s="30"/>
      <c r="W485" s="27"/>
      <c r="X485" s="185"/>
      <c r="Y485" s="185"/>
      <c r="Z485" s="194"/>
      <c r="AA485" s="185"/>
      <c r="AB485" s="185"/>
      <c r="AC485" s="7"/>
      <c r="AD485" s="7"/>
      <c r="AE485" s="7"/>
      <c r="AF485" s="7"/>
      <c r="AG485" s="759">
        <f t="shared" ref="AG485:AG494" si="288">SUM(U485,V485,W485,X485,Y485,Z485,AA485,AB485,AC485,AD485,AE485,AF485)</f>
        <v>0</v>
      </c>
      <c r="AH485" s="853">
        <v>3000001665</v>
      </c>
      <c r="AI485" s="812">
        <v>19200000</v>
      </c>
      <c r="AJ485" s="859">
        <v>24200000</v>
      </c>
      <c r="AK485" s="858">
        <v>10500000</v>
      </c>
      <c r="AL485" s="758">
        <v>43400000</v>
      </c>
      <c r="AM485" s="758">
        <v>24600000</v>
      </c>
      <c r="AN485" s="524">
        <v>23400000</v>
      </c>
      <c r="AO485" s="758">
        <v>9900000</v>
      </c>
      <c r="AP485" s="758">
        <v>3750000</v>
      </c>
      <c r="AQ485" s="518">
        <v>23150000</v>
      </c>
      <c r="AR485" s="813">
        <v>36791000</v>
      </c>
      <c r="AS485" s="813">
        <v>5450000</v>
      </c>
      <c r="AT485" s="813">
        <v>33150000</v>
      </c>
      <c r="AU485" s="518">
        <f t="shared" ref="AU485:AU494" si="289">BI485</f>
        <v>22000000</v>
      </c>
      <c r="AV485" s="518">
        <f t="shared" ref="AV485:AV494" si="290">BJ485</f>
        <v>22000000</v>
      </c>
      <c r="AW485" s="518">
        <f t="shared" ref="AW485:AW494" si="291">BK485</f>
        <v>22000000</v>
      </c>
      <c r="AX485" s="518">
        <f t="shared" si="284"/>
        <v>257491000</v>
      </c>
      <c r="AY485" s="853" t="e">
        <v>#N/A</v>
      </c>
      <c r="AZ485" s="812">
        <v>19200000</v>
      </c>
      <c r="BA485" s="859">
        <v>24200000</v>
      </c>
      <c r="BB485" s="858">
        <v>10500000</v>
      </c>
      <c r="BC485" s="758">
        <v>43400000</v>
      </c>
      <c r="BD485" s="758">
        <v>24600000</v>
      </c>
      <c r="BE485" s="524">
        <v>23400000</v>
      </c>
      <c r="BF485" s="758">
        <v>9900000</v>
      </c>
      <c r="BG485" s="518">
        <f t="shared" ref="BG485:BG494" si="292">AP485</f>
        <v>3750000</v>
      </c>
      <c r="BH485" s="758">
        <v>22000000</v>
      </c>
      <c r="BI485" s="758">
        <v>22000000</v>
      </c>
      <c r="BJ485" s="758">
        <v>22000000</v>
      </c>
      <c r="BK485" s="758">
        <v>22000000</v>
      </c>
      <c r="BL485" s="759">
        <f t="shared" ref="BL485:BL503" si="293">SUM(AZ485,BA485,BB485,BC485,BD485,BE485,BF485,BG485,BH485,BI485,BJ485,BK485)</f>
        <v>246950000</v>
      </c>
      <c r="BN485" s="758">
        <v>22000000</v>
      </c>
      <c r="BO485" s="758">
        <v>22000000</v>
      </c>
      <c r="BP485" s="758">
        <v>22000000</v>
      </c>
      <c r="BQ485" s="758">
        <v>22000000</v>
      </c>
      <c r="BR485" s="758">
        <v>22000000</v>
      </c>
      <c r="BS485" s="758">
        <v>22000000</v>
      </c>
      <c r="BT485" s="758">
        <v>22000000</v>
      </c>
      <c r="BU485" s="758">
        <v>22000000</v>
      </c>
      <c r="BV485" s="758">
        <v>22000000</v>
      </c>
      <c r="BW485" s="758">
        <v>22000000</v>
      </c>
      <c r="BX485" s="758">
        <v>22000000</v>
      </c>
      <c r="BY485" s="758">
        <v>22000000</v>
      </c>
      <c r="BZ485" s="791">
        <v>264000000</v>
      </c>
      <c r="CB485" s="758">
        <v>22000000</v>
      </c>
      <c r="CC485" s="758">
        <v>22000000</v>
      </c>
      <c r="CD485" s="758">
        <v>22000000</v>
      </c>
      <c r="CE485" s="758">
        <v>22000000</v>
      </c>
      <c r="CF485" s="758">
        <v>22000000</v>
      </c>
      <c r="CG485" s="758">
        <v>22000000</v>
      </c>
      <c r="CH485" s="758">
        <v>22000000</v>
      </c>
      <c r="CI485" s="758">
        <v>22000000</v>
      </c>
      <c r="CJ485" s="758">
        <v>22000000</v>
      </c>
      <c r="CK485" s="758">
        <v>22000000</v>
      </c>
      <c r="CL485" s="758">
        <v>22000000</v>
      </c>
      <c r="CM485" s="758">
        <v>22000000</v>
      </c>
      <c r="CN485" s="791">
        <v>264000000</v>
      </c>
      <c r="CP485" s="653">
        <v>19150000</v>
      </c>
      <c r="CQ485" s="653">
        <v>19745500</v>
      </c>
      <c r="CR485" s="524">
        <v>20000000</v>
      </c>
      <c r="CS485" s="653">
        <v>32900000</v>
      </c>
      <c r="CT485" s="524">
        <v>20000000</v>
      </c>
      <c r="CU485" s="653">
        <v>5400000</v>
      </c>
      <c r="CV485" s="524">
        <v>20000000</v>
      </c>
      <c r="CW485" s="653">
        <v>49850000</v>
      </c>
      <c r="CX485" s="524">
        <v>15000000</v>
      </c>
      <c r="CY485" s="653">
        <v>15700000</v>
      </c>
      <c r="CZ485" s="524">
        <v>20000000</v>
      </c>
      <c r="DA485" s="653">
        <v>26300000</v>
      </c>
      <c r="DB485" s="524">
        <v>20000000</v>
      </c>
      <c r="DC485" s="653">
        <v>14800000</v>
      </c>
      <c r="DD485" s="524">
        <v>20000000</v>
      </c>
      <c r="DE485" s="758"/>
      <c r="DF485" s="524">
        <v>20000000</v>
      </c>
      <c r="DG485" s="757">
        <v>20000000</v>
      </c>
      <c r="DH485" s="758"/>
      <c r="DI485" s="524">
        <v>20000000</v>
      </c>
      <c r="DJ485" s="757">
        <v>20000000</v>
      </c>
      <c r="DK485" s="758"/>
      <c r="DL485" s="524">
        <v>20000000</v>
      </c>
      <c r="DM485" s="757">
        <v>20000000</v>
      </c>
      <c r="DN485" s="758"/>
      <c r="DO485" s="524">
        <v>20000000</v>
      </c>
      <c r="DP485" s="757">
        <v>20000000</v>
      </c>
      <c r="DQ485" s="493">
        <f t="shared" si="274"/>
        <v>263845500</v>
      </c>
      <c r="DR485" s="479">
        <f t="shared" si="286"/>
        <v>232195500</v>
      </c>
      <c r="DS485" s="1019">
        <v>23000000</v>
      </c>
      <c r="DT485" s="1019">
        <v>23000000</v>
      </c>
      <c r="DU485" s="1019">
        <v>23000000</v>
      </c>
      <c r="DV485" s="1019">
        <v>23000000</v>
      </c>
      <c r="DW485" s="1019">
        <v>23000000</v>
      </c>
      <c r="DX485" s="1019">
        <v>23000000</v>
      </c>
      <c r="DY485" s="1019">
        <v>23000000</v>
      </c>
      <c r="DZ485" s="1019">
        <v>23000000</v>
      </c>
      <c r="EA485" s="1019">
        <v>23000000</v>
      </c>
      <c r="EB485" s="1019">
        <v>23000000</v>
      </c>
      <c r="EC485" s="1019">
        <v>23000000</v>
      </c>
      <c r="ED485" s="1019">
        <v>23000000</v>
      </c>
      <c r="EE485" s="1119">
        <f t="shared" si="275"/>
        <v>276000000</v>
      </c>
      <c r="EF485" s="443">
        <f t="shared" ref="EF485:EF490" si="294">EE485*1.17</f>
        <v>322920000</v>
      </c>
      <c r="EG485" s="443">
        <f t="shared" ref="EG485:EG494" si="295">EF485*1.08</f>
        <v>348753600</v>
      </c>
      <c r="EH485" s="443">
        <f t="shared" ref="EH485:EI494" si="296">EG485*1.09</f>
        <v>380141424</v>
      </c>
      <c r="EI485" s="443">
        <f t="shared" si="296"/>
        <v>414354152.16000003</v>
      </c>
      <c r="EJ485" s="367">
        <v>3000001665</v>
      </c>
      <c r="EL485" s="177"/>
      <c r="EM485" s="177"/>
      <c r="EN485" s="177"/>
    </row>
    <row r="486" spans="1:144" outlineLevel="2">
      <c r="A486" s="367" t="s">
        <v>291</v>
      </c>
      <c r="B486" s="378"/>
      <c r="C486" s="370" t="s">
        <v>688</v>
      </c>
      <c r="D486" s="370" t="s">
        <v>40</v>
      </c>
      <c r="E486" s="383" t="s">
        <v>720</v>
      </c>
      <c r="F486" s="380">
        <v>3000007219</v>
      </c>
      <c r="G486" s="189"/>
      <c r="H486" s="13"/>
      <c r="I486" s="185"/>
      <c r="J486" s="185"/>
      <c r="K486" s="185"/>
      <c r="L486" s="194"/>
      <c r="M486" s="185"/>
      <c r="N486" s="185"/>
      <c r="O486" s="7"/>
      <c r="P486" s="7"/>
      <c r="Q486" s="7"/>
      <c r="R486" s="7"/>
      <c r="S486" s="14">
        <f t="shared" si="287"/>
        <v>0</v>
      </c>
      <c r="T486" s="179"/>
      <c r="U486" s="189"/>
      <c r="V486" s="13"/>
      <c r="W486" s="185"/>
      <c r="X486" s="185"/>
      <c r="Y486" s="185"/>
      <c r="Z486" s="194"/>
      <c r="AA486" s="185"/>
      <c r="AB486" s="185"/>
      <c r="AC486" s="7"/>
      <c r="AD486" s="7"/>
      <c r="AE486" s="7"/>
      <c r="AF486" s="7"/>
      <c r="AG486" s="759">
        <f t="shared" si="288"/>
        <v>0</v>
      </c>
      <c r="AH486" s="853">
        <v>3000007219</v>
      </c>
      <c r="AI486" s="189"/>
      <c r="AJ486" s="810"/>
      <c r="AK486" s="758">
        <v>1003940</v>
      </c>
      <c r="AL486" s="758">
        <v>1108800</v>
      </c>
      <c r="AM486" s="758">
        <v>0</v>
      </c>
      <c r="AN486" s="524">
        <v>0</v>
      </c>
      <c r="AO486" s="758">
        <v>0</v>
      </c>
      <c r="AP486" s="758">
        <v>2078510</v>
      </c>
      <c r="AQ486" s="518">
        <v>0</v>
      </c>
      <c r="AR486" s="518"/>
      <c r="AS486" s="518"/>
      <c r="AT486" s="518"/>
      <c r="AU486" s="518">
        <f t="shared" si="289"/>
        <v>0</v>
      </c>
      <c r="AV486" s="518">
        <f t="shared" si="290"/>
        <v>0</v>
      </c>
      <c r="AW486" s="518">
        <f t="shared" si="291"/>
        <v>0</v>
      </c>
      <c r="AX486" s="518">
        <f t="shared" si="284"/>
        <v>4191250</v>
      </c>
      <c r="AY486" s="853">
        <v>0</v>
      </c>
      <c r="AZ486" s="189"/>
      <c r="BA486" s="810"/>
      <c r="BB486" s="758">
        <v>1003940</v>
      </c>
      <c r="BC486" s="758">
        <v>1108800</v>
      </c>
      <c r="BD486" s="758">
        <v>0</v>
      </c>
      <c r="BE486" s="524">
        <v>0</v>
      </c>
      <c r="BF486" s="758">
        <v>0</v>
      </c>
      <c r="BG486" s="518">
        <f t="shared" si="292"/>
        <v>2078510</v>
      </c>
      <c r="BH486" s="758">
        <v>0</v>
      </c>
      <c r="BI486" s="758">
        <v>0</v>
      </c>
      <c r="BJ486" s="758">
        <v>0</v>
      </c>
      <c r="BK486" s="758">
        <v>0</v>
      </c>
      <c r="BL486" s="759">
        <f t="shared" si="293"/>
        <v>4191250</v>
      </c>
      <c r="BN486" s="758">
        <v>0</v>
      </c>
      <c r="BO486" s="758">
        <v>0</v>
      </c>
      <c r="BP486" s="758">
        <v>0</v>
      </c>
      <c r="BQ486" s="758">
        <v>0</v>
      </c>
      <c r="BR486" s="758">
        <v>0</v>
      </c>
      <c r="BS486" s="758">
        <v>0</v>
      </c>
      <c r="BT486" s="758">
        <v>0</v>
      </c>
      <c r="BU486" s="758">
        <v>0</v>
      </c>
      <c r="BV486" s="758">
        <v>0</v>
      </c>
      <c r="BW486" s="758">
        <v>0</v>
      </c>
      <c r="BX486" s="758">
        <v>0</v>
      </c>
      <c r="BY486" s="758">
        <v>0</v>
      </c>
      <c r="BZ486" s="791">
        <v>0</v>
      </c>
      <c r="CB486" s="758">
        <v>0</v>
      </c>
      <c r="CC486" s="758">
        <v>0</v>
      </c>
      <c r="CD486" s="758">
        <v>0</v>
      </c>
      <c r="CE486" s="758">
        <v>0</v>
      </c>
      <c r="CF486" s="758">
        <v>0</v>
      </c>
      <c r="CG486" s="758">
        <v>0</v>
      </c>
      <c r="CH486" s="758">
        <v>0</v>
      </c>
      <c r="CI486" s="758">
        <v>0</v>
      </c>
      <c r="CJ486" s="758">
        <v>0</v>
      </c>
      <c r="CK486" s="758">
        <v>0</v>
      </c>
      <c r="CL486" s="758">
        <v>0</v>
      </c>
      <c r="CM486" s="758">
        <v>0</v>
      </c>
      <c r="CN486" s="791">
        <v>0</v>
      </c>
      <c r="CP486" s="653"/>
      <c r="CQ486" s="653"/>
      <c r="CR486" s="524"/>
      <c r="CS486" s="653"/>
      <c r="CT486" s="524"/>
      <c r="CU486" s="653"/>
      <c r="CV486" s="524"/>
      <c r="CW486" s="653"/>
      <c r="CX486" s="524"/>
      <c r="CY486" s="653">
        <v>579160</v>
      </c>
      <c r="CZ486" s="524"/>
      <c r="DA486" s="653">
        <v>869860</v>
      </c>
      <c r="DB486" s="524"/>
      <c r="DC486" s="653">
        <v>287780</v>
      </c>
      <c r="DD486" s="524"/>
      <c r="DE486" s="758"/>
      <c r="DF486" s="524"/>
      <c r="DG486" s="757"/>
      <c r="DH486" s="758"/>
      <c r="DI486" s="524"/>
      <c r="DJ486" s="757"/>
      <c r="DK486" s="758"/>
      <c r="DL486" s="524"/>
      <c r="DM486" s="757"/>
      <c r="DN486" s="758"/>
      <c r="DO486" s="524"/>
      <c r="DP486" s="757"/>
      <c r="DQ486" s="493">
        <f t="shared" si="274"/>
        <v>1736800</v>
      </c>
      <c r="DR486" s="479">
        <f t="shared" si="286"/>
        <v>0</v>
      </c>
      <c r="DS486" s="1019"/>
      <c r="DT486" s="1019"/>
      <c r="DU486" s="1019"/>
      <c r="DV486" s="1019"/>
      <c r="DW486" s="1019"/>
      <c r="DX486" s="1019"/>
      <c r="DY486" s="1019"/>
      <c r="DZ486" s="1019"/>
      <c r="EA486" s="1019"/>
      <c r="EB486" s="1019"/>
      <c r="EC486" s="1019"/>
      <c r="ED486" s="1019"/>
      <c r="EE486" s="1119">
        <f t="shared" si="275"/>
        <v>0</v>
      </c>
      <c r="EF486" s="443">
        <f t="shared" si="294"/>
        <v>0</v>
      </c>
      <c r="EG486" s="443">
        <f t="shared" si="295"/>
        <v>0</v>
      </c>
      <c r="EH486" s="443">
        <f t="shared" si="296"/>
        <v>0</v>
      </c>
      <c r="EI486" s="443">
        <f t="shared" si="296"/>
        <v>0</v>
      </c>
      <c r="EJ486" s="367">
        <v>3000007219</v>
      </c>
      <c r="EL486" s="177"/>
      <c r="EM486" s="177"/>
      <c r="EN486" s="177"/>
    </row>
    <row r="487" spans="1:144" outlineLevel="2">
      <c r="A487" s="367" t="s">
        <v>291</v>
      </c>
      <c r="B487" s="378"/>
      <c r="C487" s="370" t="s">
        <v>688</v>
      </c>
      <c r="D487" s="370" t="s">
        <v>40</v>
      </c>
      <c r="E487" s="383" t="s">
        <v>721</v>
      </c>
      <c r="F487" s="380">
        <v>3000018056</v>
      </c>
      <c r="G487" s="186"/>
      <c r="H487" s="13"/>
      <c r="I487" s="27"/>
      <c r="J487" s="185"/>
      <c r="K487" s="185"/>
      <c r="L487" s="194"/>
      <c r="M487" s="185"/>
      <c r="N487" s="185"/>
      <c r="O487" s="7"/>
      <c r="P487" s="7"/>
      <c r="Q487" s="7"/>
      <c r="R487" s="7"/>
      <c r="S487" s="14">
        <f t="shared" si="287"/>
        <v>0</v>
      </c>
      <c r="T487" s="179"/>
      <c r="U487" s="186"/>
      <c r="V487" s="13"/>
      <c r="W487" s="27"/>
      <c r="X487" s="185"/>
      <c r="Y487" s="185"/>
      <c r="Z487" s="194"/>
      <c r="AA487" s="185"/>
      <c r="AB487" s="185"/>
      <c r="AC487" s="7"/>
      <c r="AD487" s="7"/>
      <c r="AE487" s="7"/>
      <c r="AF487" s="7"/>
      <c r="AG487" s="759">
        <f t="shared" si="288"/>
        <v>0</v>
      </c>
      <c r="AH487" s="853">
        <v>3000018056</v>
      </c>
      <c r="AI487" s="814">
        <v>1282500</v>
      </c>
      <c r="AJ487" s="810"/>
      <c r="AK487" s="858">
        <v>1282500</v>
      </c>
      <c r="AL487" s="758">
        <v>0</v>
      </c>
      <c r="AM487" s="758">
        <v>0</v>
      </c>
      <c r="AN487" s="524">
        <v>0</v>
      </c>
      <c r="AO487" s="758">
        <v>0</v>
      </c>
      <c r="AP487" s="758">
        <v>0</v>
      </c>
      <c r="AQ487" s="518">
        <v>0</v>
      </c>
      <c r="AR487" s="518"/>
      <c r="AS487" s="518"/>
      <c r="AT487" s="518"/>
      <c r="AU487" s="518">
        <f t="shared" si="289"/>
        <v>0</v>
      </c>
      <c r="AV487" s="518">
        <f t="shared" si="290"/>
        <v>0</v>
      </c>
      <c r="AW487" s="518">
        <f t="shared" si="291"/>
        <v>0</v>
      </c>
      <c r="AX487" s="518">
        <f t="shared" si="284"/>
        <v>2565000</v>
      </c>
      <c r="AY487" s="853">
        <v>0</v>
      </c>
      <c r="AZ487" s="814">
        <v>1282500</v>
      </c>
      <c r="BA487" s="810"/>
      <c r="BB487" s="858">
        <v>1282500</v>
      </c>
      <c r="BC487" s="758">
        <v>0</v>
      </c>
      <c r="BD487" s="758">
        <v>0</v>
      </c>
      <c r="BE487" s="524">
        <v>0</v>
      </c>
      <c r="BF487" s="758">
        <v>0</v>
      </c>
      <c r="BG487" s="518">
        <f t="shared" si="292"/>
        <v>0</v>
      </c>
      <c r="BH487" s="758">
        <v>0</v>
      </c>
      <c r="BI487" s="758">
        <v>0</v>
      </c>
      <c r="BJ487" s="758">
        <v>0</v>
      </c>
      <c r="BK487" s="758">
        <v>0</v>
      </c>
      <c r="BL487" s="759">
        <f t="shared" si="293"/>
        <v>2565000</v>
      </c>
      <c r="BN487" s="758">
        <v>0</v>
      </c>
      <c r="BO487" s="758">
        <v>0</v>
      </c>
      <c r="BP487" s="758">
        <v>0</v>
      </c>
      <c r="BQ487" s="758">
        <v>0</v>
      </c>
      <c r="BR487" s="758">
        <v>0</v>
      </c>
      <c r="BS487" s="758">
        <v>0</v>
      </c>
      <c r="BT487" s="758">
        <v>0</v>
      </c>
      <c r="BU487" s="758">
        <v>0</v>
      </c>
      <c r="BV487" s="758">
        <v>0</v>
      </c>
      <c r="BW487" s="758">
        <v>0</v>
      </c>
      <c r="BX487" s="758">
        <v>0</v>
      </c>
      <c r="BY487" s="758">
        <v>0</v>
      </c>
      <c r="BZ487" s="791">
        <v>0</v>
      </c>
      <c r="CB487" s="758">
        <v>0</v>
      </c>
      <c r="CC487" s="758">
        <v>0</v>
      </c>
      <c r="CD487" s="758">
        <v>0</v>
      </c>
      <c r="CE487" s="758">
        <v>0</v>
      </c>
      <c r="CF487" s="758">
        <v>0</v>
      </c>
      <c r="CG487" s="758">
        <v>0</v>
      </c>
      <c r="CH487" s="758">
        <v>0</v>
      </c>
      <c r="CI487" s="758">
        <v>0</v>
      </c>
      <c r="CJ487" s="758">
        <v>0</v>
      </c>
      <c r="CK487" s="758">
        <v>0</v>
      </c>
      <c r="CL487" s="758">
        <v>0</v>
      </c>
      <c r="CM487" s="758">
        <v>0</v>
      </c>
      <c r="CN487" s="791">
        <v>0</v>
      </c>
      <c r="CP487" s="653"/>
      <c r="CQ487" s="653"/>
      <c r="CR487" s="524"/>
      <c r="CS487" s="653"/>
      <c r="CT487" s="524"/>
      <c r="CU487" s="653"/>
      <c r="CV487" s="524"/>
      <c r="CW487" s="653"/>
      <c r="CX487" s="524"/>
      <c r="CY487" s="653"/>
      <c r="CZ487" s="524"/>
      <c r="DA487" s="653"/>
      <c r="DB487" s="524"/>
      <c r="DC487" s="653">
        <v>0</v>
      </c>
      <c r="DD487" s="524"/>
      <c r="DE487" s="758"/>
      <c r="DF487" s="524"/>
      <c r="DG487" s="757"/>
      <c r="DH487" s="758"/>
      <c r="DI487" s="524"/>
      <c r="DJ487" s="757"/>
      <c r="DK487" s="758"/>
      <c r="DL487" s="524"/>
      <c r="DM487" s="757"/>
      <c r="DN487" s="758"/>
      <c r="DO487" s="524"/>
      <c r="DP487" s="757"/>
      <c r="DQ487" s="493">
        <f t="shared" si="274"/>
        <v>0</v>
      </c>
      <c r="DR487" s="479">
        <f t="shared" si="286"/>
        <v>0</v>
      </c>
      <c r="DS487" s="1019"/>
      <c r="DT487" s="1019"/>
      <c r="DU487" s="1019"/>
      <c r="DV487" s="1019"/>
      <c r="DW487" s="1019"/>
      <c r="DX487" s="1019"/>
      <c r="DY487" s="1019"/>
      <c r="DZ487" s="1019"/>
      <c r="EA487" s="1019"/>
      <c r="EB487" s="1019"/>
      <c r="EC487" s="1019"/>
      <c r="ED487" s="1019"/>
      <c r="EE487" s="1119">
        <f t="shared" si="275"/>
        <v>0</v>
      </c>
      <c r="EF487" s="443">
        <f t="shared" si="294"/>
        <v>0</v>
      </c>
      <c r="EG487" s="443">
        <f t="shared" si="295"/>
        <v>0</v>
      </c>
      <c r="EH487" s="443">
        <f t="shared" si="296"/>
        <v>0</v>
      </c>
      <c r="EI487" s="443">
        <f t="shared" si="296"/>
        <v>0</v>
      </c>
      <c r="EJ487" s="367">
        <v>3000018056</v>
      </c>
      <c r="EL487" s="177"/>
      <c r="EM487" s="177"/>
      <c r="EN487" s="177"/>
    </row>
    <row r="488" spans="1:144" outlineLevel="2">
      <c r="A488" s="367" t="s">
        <v>687</v>
      </c>
      <c r="B488" s="378"/>
      <c r="C488" s="370" t="s">
        <v>688</v>
      </c>
      <c r="D488" s="370" t="s">
        <v>40</v>
      </c>
      <c r="E488" s="383" t="s">
        <v>722</v>
      </c>
      <c r="F488" s="380">
        <v>3000011262</v>
      </c>
      <c r="G488" s="189"/>
      <c r="H488" s="13"/>
      <c r="I488" s="27"/>
      <c r="J488" s="185"/>
      <c r="K488" s="185"/>
      <c r="L488" s="194"/>
      <c r="M488" s="185"/>
      <c r="N488" s="185"/>
      <c r="O488" s="7"/>
      <c r="P488" s="7"/>
      <c r="Q488" s="7"/>
      <c r="R488" s="7"/>
      <c r="S488" s="14">
        <f t="shared" si="287"/>
        <v>0</v>
      </c>
      <c r="T488" s="179"/>
      <c r="U488" s="189"/>
      <c r="V488" s="13"/>
      <c r="W488" s="27"/>
      <c r="X488" s="185"/>
      <c r="Y488" s="185"/>
      <c r="Z488" s="194"/>
      <c r="AA488" s="185"/>
      <c r="AB488" s="185"/>
      <c r="AC488" s="7"/>
      <c r="AD488" s="7"/>
      <c r="AE488" s="7"/>
      <c r="AF488" s="7"/>
      <c r="AG488" s="759">
        <f t="shared" si="288"/>
        <v>0</v>
      </c>
      <c r="AH488" s="853">
        <v>3000011262</v>
      </c>
      <c r="AI488" s="189"/>
      <c r="AJ488" s="810"/>
      <c r="AK488" s="858">
        <v>593686</v>
      </c>
      <c r="AL488" s="758">
        <v>560489</v>
      </c>
      <c r="AM488" s="758">
        <v>0</v>
      </c>
      <c r="AN488" s="524">
        <v>2047322</v>
      </c>
      <c r="AO488" s="758">
        <v>1056295</v>
      </c>
      <c r="AP488" s="758">
        <v>1610530</v>
      </c>
      <c r="AQ488" s="518">
        <v>0</v>
      </c>
      <c r="AR488" s="813">
        <v>534128</v>
      </c>
      <c r="AS488" s="813">
        <v>0</v>
      </c>
      <c r="AT488" s="813">
        <v>4450945</v>
      </c>
      <c r="AU488" s="518">
        <f t="shared" si="289"/>
        <v>0</v>
      </c>
      <c r="AV488" s="518">
        <f t="shared" si="290"/>
        <v>0</v>
      </c>
      <c r="AW488" s="518">
        <f t="shared" si="291"/>
        <v>0</v>
      </c>
      <c r="AX488" s="518">
        <f t="shared" si="284"/>
        <v>10853395</v>
      </c>
      <c r="AY488" s="853">
        <v>0</v>
      </c>
      <c r="AZ488" s="189"/>
      <c r="BA488" s="810"/>
      <c r="BB488" s="858">
        <v>593686</v>
      </c>
      <c r="BC488" s="758">
        <v>560489</v>
      </c>
      <c r="BD488" s="758">
        <v>0</v>
      </c>
      <c r="BE488" s="524">
        <v>2047322</v>
      </c>
      <c r="BF488" s="758">
        <v>1056295</v>
      </c>
      <c r="BG488" s="518">
        <f t="shared" si="292"/>
        <v>1610530</v>
      </c>
      <c r="BH488" s="758">
        <v>0</v>
      </c>
      <c r="BI488" s="758">
        <v>0</v>
      </c>
      <c r="BJ488" s="758">
        <v>0</v>
      </c>
      <c r="BK488" s="758">
        <v>0</v>
      </c>
      <c r="BL488" s="759">
        <f t="shared" si="293"/>
        <v>5868322</v>
      </c>
      <c r="BN488" s="758">
        <v>0</v>
      </c>
      <c r="BO488" s="758">
        <v>0</v>
      </c>
      <c r="BP488" s="758">
        <v>0</v>
      </c>
      <c r="BQ488" s="758">
        <v>0</v>
      </c>
      <c r="BR488" s="758">
        <v>0</v>
      </c>
      <c r="BS488" s="758">
        <v>0</v>
      </c>
      <c r="BT488" s="758">
        <v>0</v>
      </c>
      <c r="BU488" s="758">
        <v>0</v>
      </c>
      <c r="BV488" s="758">
        <v>0</v>
      </c>
      <c r="BW488" s="758">
        <v>0</v>
      </c>
      <c r="BX488" s="758">
        <v>0</v>
      </c>
      <c r="BY488" s="758">
        <v>0</v>
      </c>
      <c r="BZ488" s="791">
        <v>0</v>
      </c>
      <c r="CB488" s="758">
        <v>0</v>
      </c>
      <c r="CC488" s="758">
        <v>0</v>
      </c>
      <c r="CD488" s="758">
        <v>0</v>
      </c>
      <c r="CE488" s="758">
        <v>0</v>
      </c>
      <c r="CF488" s="758">
        <v>0</v>
      </c>
      <c r="CG488" s="758">
        <v>0</v>
      </c>
      <c r="CH488" s="758">
        <v>0</v>
      </c>
      <c r="CI488" s="758">
        <v>0</v>
      </c>
      <c r="CJ488" s="758">
        <v>0</v>
      </c>
      <c r="CK488" s="758">
        <v>0</v>
      </c>
      <c r="CL488" s="758">
        <v>0</v>
      </c>
      <c r="CM488" s="758">
        <v>0</v>
      </c>
      <c r="CN488" s="791">
        <v>0</v>
      </c>
      <c r="CP488" s="653">
        <v>320784</v>
      </c>
      <c r="CQ488" s="653"/>
      <c r="CR488" s="524"/>
      <c r="CS488" s="653"/>
      <c r="CT488" s="524"/>
      <c r="CU488" s="653"/>
      <c r="CV488" s="524"/>
      <c r="CW488" s="653"/>
      <c r="CX488" s="524"/>
      <c r="CY488" s="653"/>
      <c r="CZ488" s="524"/>
      <c r="DA488" s="653"/>
      <c r="DB488" s="524"/>
      <c r="DC488" s="653">
        <v>0</v>
      </c>
      <c r="DD488" s="524"/>
      <c r="DE488" s="758"/>
      <c r="DF488" s="524"/>
      <c r="DG488" s="757"/>
      <c r="DH488" s="758"/>
      <c r="DI488" s="524"/>
      <c r="DJ488" s="757"/>
      <c r="DK488" s="758"/>
      <c r="DL488" s="524"/>
      <c r="DM488" s="757"/>
      <c r="DN488" s="758"/>
      <c r="DO488" s="524"/>
      <c r="DP488" s="757"/>
      <c r="DQ488" s="493">
        <f t="shared" si="274"/>
        <v>320784</v>
      </c>
      <c r="DR488" s="479">
        <f t="shared" si="286"/>
        <v>320784</v>
      </c>
      <c r="DS488" s="1019"/>
      <c r="DT488" s="1019"/>
      <c r="DU488" s="1019"/>
      <c r="DV488" s="1019"/>
      <c r="DW488" s="1019"/>
      <c r="DX488" s="1019"/>
      <c r="DY488" s="1019"/>
      <c r="DZ488" s="1019"/>
      <c r="EA488" s="1019"/>
      <c r="EB488" s="1019"/>
      <c r="EC488" s="1019"/>
      <c r="ED488" s="1019"/>
      <c r="EE488" s="1119">
        <f t="shared" si="275"/>
        <v>0</v>
      </c>
      <c r="EF488" s="443">
        <f t="shared" si="294"/>
        <v>0</v>
      </c>
      <c r="EG488" s="443">
        <f t="shared" si="295"/>
        <v>0</v>
      </c>
      <c r="EH488" s="443">
        <f t="shared" si="296"/>
        <v>0</v>
      </c>
      <c r="EI488" s="443">
        <f t="shared" si="296"/>
        <v>0</v>
      </c>
      <c r="EJ488" s="367">
        <v>3000011262</v>
      </c>
      <c r="EL488" s="177"/>
      <c r="EM488" s="177"/>
      <c r="EN488" s="177"/>
    </row>
    <row r="489" spans="1:144" outlineLevel="2">
      <c r="A489" s="367" t="s">
        <v>699</v>
      </c>
      <c r="B489" s="378"/>
      <c r="C489" s="370" t="s">
        <v>688</v>
      </c>
      <c r="D489" s="370" t="s">
        <v>40</v>
      </c>
      <c r="E489" s="383" t="s">
        <v>723</v>
      </c>
      <c r="F489" s="380">
        <v>3000018130</v>
      </c>
      <c r="G489" s="189"/>
      <c r="H489" s="30"/>
      <c r="I489" s="185"/>
      <c r="J489" s="185"/>
      <c r="K489" s="185"/>
      <c r="L489" s="194"/>
      <c r="M489" s="185"/>
      <c r="N489" s="185"/>
      <c r="O489" s="7"/>
      <c r="P489" s="7"/>
      <c r="Q489" s="7"/>
      <c r="R489" s="7"/>
      <c r="S489" s="14">
        <f t="shared" si="287"/>
        <v>0</v>
      </c>
      <c r="T489" s="179"/>
      <c r="U489" s="189"/>
      <c r="V489" s="30"/>
      <c r="W489" s="185"/>
      <c r="X489" s="185"/>
      <c r="Y489" s="185"/>
      <c r="Z489" s="194"/>
      <c r="AA489" s="185"/>
      <c r="AB489" s="185"/>
      <c r="AC489" s="7"/>
      <c r="AD489" s="7"/>
      <c r="AE489" s="7"/>
      <c r="AF489" s="7"/>
      <c r="AG489" s="759">
        <f t="shared" si="288"/>
        <v>0</v>
      </c>
      <c r="AH489" s="853">
        <v>3000018130</v>
      </c>
      <c r="AI489" s="189"/>
      <c r="AJ489" s="859">
        <v>1500000</v>
      </c>
      <c r="AK489" s="758"/>
      <c r="AL489" s="758">
        <v>0</v>
      </c>
      <c r="AM489" s="758">
        <v>0</v>
      </c>
      <c r="AN489" s="524">
        <v>1520000</v>
      </c>
      <c r="AO489" s="758">
        <v>0</v>
      </c>
      <c r="AP489" s="758">
        <v>-50000</v>
      </c>
      <c r="AQ489" s="518">
        <v>1570000</v>
      </c>
      <c r="AR489" s="518"/>
      <c r="AS489" s="518"/>
      <c r="AT489" s="518"/>
      <c r="AU489" s="518">
        <f t="shared" si="289"/>
        <v>0</v>
      </c>
      <c r="AV489" s="518">
        <f t="shared" si="290"/>
        <v>0</v>
      </c>
      <c r="AW489" s="518">
        <f t="shared" si="291"/>
        <v>0</v>
      </c>
      <c r="AX489" s="518">
        <f t="shared" si="284"/>
        <v>4540000</v>
      </c>
      <c r="AY489" s="853">
        <v>0</v>
      </c>
      <c r="AZ489" s="189"/>
      <c r="BA489" s="859">
        <v>1500000</v>
      </c>
      <c r="BB489" s="758"/>
      <c r="BC489" s="758">
        <v>0</v>
      </c>
      <c r="BD489" s="758">
        <v>0</v>
      </c>
      <c r="BE489" s="524">
        <v>1520000</v>
      </c>
      <c r="BF489" s="758">
        <v>0</v>
      </c>
      <c r="BG489" s="518">
        <f t="shared" si="292"/>
        <v>-50000</v>
      </c>
      <c r="BH489" s="758">
        <v>0</v>
      </c>
      <c r="BI489" s="758">
        <v>0</v>
      </c>
      <c r="BJ489" s="758">
        <v>0</v>
      </c>
      <c r="BK489" s="758">
        <v>0</v>
      </c>
      <c r="BL489" s="759">
        <f t="shared" si="293"/>
        <v>2970000</v>
      </c>
      <c r="BN489" s="758">
        <v>0</v>
      </c>
      <c r="BO489" s="758">
        <v>0</v>
      </c>
      <c r="BP489" s="758">
        <v>0</v>
      </c>
      <c r="BQ489" s="758">
        <v>0</v>
      </c>
      <c r="BR489" s="758">
        <v>0</v>
      </c>
      <c r="BS489" s="758">
        <v>0</v>
      </c>
      <c r="BT489" s="758">
        <v>0</v>
      </c>
      <c r="BU489" s="758">
        <v>0</v>
      </c>
      <c r="BV489" s="758">
        <v>0</v>
      </c>
      <c r="BW489" s="758">
        <v>0</v>
      </c>
      <c r="BX489" s="758">
        <v>0</v>
      </c>
      <c r="BY489" s="758">
        <v>0</v>
      </c>
      <c r="BZ489" s="791">
        <v>0</v>
      </c>
      <c r="CB489" s="758">
        <v>0</v>
      </c>
      <c r="CC489" s="758">
        <v>0</v>
      </c>
      <c r="CD489" s="758">
        <v>0</v>
      </c>
      <c r="CE489" s="758">
        <v>0</v>
      </c>
      <c r="CF489" s="758">
        <v>0</v>
      </c>
      <c r="CG489" s="758">
        <v>0</v>
      </c>
      <c r="CH489" s="758">
        <v>0</v>
      </c>
      <c r="CI489" s="758">
        <v>0</v>
      </c>
      <c r="CJ489" s="758">
        <v>0</v>
      </c>
      <c r="CK489" s="758">
        <v>0</v>
      </c>
      <c r="CL489" s="758">
        <v>0</v>
      </c>
      <c r="CM489" s="758">
        <v>0</v>
      </c>
      <c r="CN489" s="791">
        <v>0</v>
      </c>
      <c r="CP489" s="653">
        <v>3301360</v>
      </c>
      <c r="CQ489" s="653"/>
      <c r="CR489" s="524"/>
      <c r="CS489" s="653"/>
      <c r="CT489" s="524"/>
      <c r="CU489" s="653"/>
      <c r="CV489" s="524"/>
      <c r="CW489" s="653"/>
      <c r="CX489" s="524"/>
      <c r="CY489" s="653"/>
      <c r="CZ489" s="524"/>
      <c r="DA489" s="653"/>
      <c r="DB489" s="524"/>
      <c r="DC489" s="653">
        <v>0</v>
      </c>
      <c r="DD489" s="524"/>
      <c r="DE489" s="758"/>
      <c r="DF489" s="524"/>
      <c r="DG489" s="757"/>
      <c r="DH489" s="758"/>
      <c r="DI489" s="524"/>
      <c r="DJ489" s="757"/>
      <c r="DK489" s="758"/>
      <c r="DL489" s="524"/>
      <c r="DM489" s="757"/>
      <c r="DN489" s="758"/>
      <c r="DO489" s="524"/>
      <c r="DP489" s="757"/>
      <c r="DQ489" s="493">
        <f t="shared" si="274"/>
        <v>3301360</v>
      </c>
      <c r="DR489" s="479">
        <f t="shared" si="286"/>
        <v>3301360</v>
      </c>
      <c r="DS489" s="1019"/>
      <c r="DT489" s="1019"/>
      <c r="DU489" s="1019"/>
      <c r="DV489" s="1019"/>
      <c r="DW489" s="1019"/>
      <c r="DX489" s="1019"/>
      <c r="DY489" s="1019"/>
      <c r="DZ489" s="1019"/>
      <c r="EA489" s="1019"/>
      <c r="EB489" s="1019"/>
      <c r="EC489" s="1019"/>
      <c r="ED489" s="1019"/>
      <c r="EE489" s="1119">
        <f t="shared" si="275"/>
        <v>0</v>
      </c>
      <c r="EF489" s="443">
        <f t="shared" si="294"/>
        <v>0</v>
      </c>
      <c r="EG489" s="443">
        <f t="shared" si="295"/>
        <v>0</v>
      </c>
      <c r="EH489" s="443">
        <f t="shared" si="296"/>
        <v>0</v>
      </c>
      <c r="EI489" s="443">
        <f t="shared" si="296"/>
        <v>0</v>
      </c>
      <c r="EJ489" s="367">
        <v>3000018130</v>
      </c>
      <c r="EL489" s="177"/>
      <c r="EM489" s="177"/>
      <c r="EN489" s="177"/>
    </row>
    <row r="490" spans="1:144" outlineLevel="2">
      <c r="A490" s="367" t="s">
        <v>687</v>
      </c>
      <c r="B490" s="378"/>
      <c r="C490" s="370" t="s">
        <v>688</v>
      </c>
      <c r="D490" s="370" t="s">
        <v>40</v>
      </c>
      <c r="E490" s="383" t="s">
        <v>645</v>
      </c>
      <c r="F490" s="380">
        <v>3000001937</v>
      </c>
      <c r="G490" s="189"/>
      <c r="H490" s="13"/>
      <c r="I490" s="185"/>
      <c r="J490" s="185"/>
      <c r="K490" s="185"/>
      <c r="L490" s="194"/>
      <c r="M490" s="185"/>
      <c r="N490" s="185"/>
      <c r="O490" s="7"/>
      <c r="P490" s="7"/>
      <c r="Q490" s="7"/>
      <c r="R490" s="7"/>
      <c r="S490" s="14">
        <f t="shared" si="287"/>
        <v>0</v>
      </c>
      <c r="T490" s="179"/>
      <c r="U490" s="189"/>
      <c r="V490" s="13"/>
      <c r="W490" s="185"/>
      <c r="X490" s="185"/>
      <c r="Y490" s="185"/>
      <c r="Z490" s="194"/>
      <c r="AA490" s="185"/>
      <c r="AB490" s="185"/>
      <c r="AC490" s="7"/>
      <c r="AD490" s="7"/>
      <c r="AE490" s="7"/>
      <c r="AF490" s="7"/>
      <c r="AG490" s="759">
        <f t="shared" si="288"/>
        <v>0</v>
      </c>
      <c r="AH490" s="853">
        <v>3000001937</v>
      </c>
      <c r="AI490" s="189"/>
      <c r="AJ490" s="810"/>
      <c r="AK490" s="758"/>
      <c r="AL490" s="758">
        <v>0</v>
      </c>
      <c r="AM490" s="758">
        <v>0</v>
      </c>
      <c r="AN490" s="524">
        <v>0</v>
      </c>
      <c r="AO490" s="758">
        <v>60900000</v>
      </c>
      <c r="AP490" s="758">
        <v>4275000</v>
      </c>
      <c r="AQ490" s="518">
        <v>13525000</v>
      </c>
      <c r="AR490" s="813">
        <v>8550000</v>
      </c>
      <c r="AS490" s="813">
        <v>4275000</v>
      </c>
      <c r="AT490" s="813">
        <v>17100000</v>
      </c>
      <c r="AU490" s="518">
        <f t="shared" si="289"/>
        <v>5000000</v>
      </c>
      <c r="AV490" s="518">
        <f t="shared" si="290"/>
        <v>0</v>
      </c>
      <c r="AW490" s="518">
        <f t="shared" si="291"/>
        <v>5000000</v>
      </c>
      <c r="AX490" s="518">
        <f t="shared" si="284"/>
        <v>108625000</v>
      </c>
      <c r="AY490" s="853" t="e">
        <v>#N/A</v>
      </c>
      <c r="AZ490" s="189"/>
      <c r="BA490" s="810"/>
      <c r="BB490" s="758"/>
      <c r="BC490" s="758">
        <v>0</v>
      </c>
      <c r="BD490" s="758">
        <v>0</v>
      </c>
      <c r="BE490" s="524">
        <v>0</v>
      </c>
      <c r="BF490" s="758">
        <v>60900000</v>
      </c>
      <c r="BG490" s="518">
        <f t="shared" si="292"/>
        <v>4275000</v>
      </c>
      <c r="BH490" s="758">
        <v>0</v>
      </c>
      <c r="BI490" s="758">
        <v>5000000</v>
      </c>
      <c r="BJ490" s="758">
        <v>0</v>
      </c>
      <c r="BK490" s="758">
        <v>5000000</v>
      </c>
      <c r="BL490" s="759">
        <f t="shared" si="293"/>
        <v>75175000</v>
      </c>
      <c r="BN490" s="758">
        <v>8000000</v>
      </c>
      <c r="BO490" s="758">
        <v>8000000</v>
      </c>
      <c r="BP490" s="758">
        <v>8000000</v>
      </c>
      <c r="BQ490" s="758">
        <v>8000000</v>
      </c>
      <c r="BR490" s="758">
        <v>8000000</v>
      </c>
      <c r="BS490" s="758">
        <v>8000000</v>
      </c>
      <c r="BT490" s="758">
        <v>8000000</v>
      </c>
      <c r="BU490" s="758">
        <v>8000000</v>
      </c>
      <c r="BV490" s="758">
        <v>8000000</v>
      </c>
      <c r="BW490" s="758">
        <v>8000000</v>
      </c>
      <c r="BX490" s="758">
        <v>8000000</v>
      </c>
      <c r="BY490" s="758">
        <v>8000000</v>
      </c>
      <c r="BZ490" s="791">
        <v>96000000</v>
      </c>
      <c r="CB490" s="758">
        <v>8000000</v>
      </c>
      <c r="CC490" s="758">
        <v>8000000</v>
      </c>
      <c r="CD490" s="758">
        <v>8000000</v>
      </c>
      <c r="CE490" s="758">
        <v>8000000</v>
      </c>
      <c r="CF490" s="758">
        <v>8000000</v>
      </c>
      <c r="CG490" s="758">
        <v>8000000</v>
      </c>
      <c r="CH490" s="758">
        <v>8000000</v>
      </c>
      <c r="CI490" s="758">
        <v>8000000</v>
      </c>
      <c r="CJ490" s="758">
        <v>8000000</v>
      </c>
      <c r="CK490" s="758">
        <v>8000000</v>
      </c>
      <c r="CL490" s="758">
        <v>8000000</v>
      </c>
      <c r="CM490" s="758">
        <v>8000000</v>
      </c>
      <c r="CN490" s="791">
        <v>96000000</v>
      </c>
      <c r="CP490" s="653">
        <v>12825000</v>
      </c>
      <c r="CQ490" s="653">
        <v>8550000</v>
      </c>
      <c r="CR490" s="524">
        <v>8550000</v>
      </c>
      <c r="CS490" s="653">
        <v>8150000</v>
      </c>
      <c r="CT490" s="524">
        <v>20000000</v>
      </c>
      <c r="CU490" s="653">
        <v>4275000</v>
      </c>
      <c r="CV490" s="524">
        <v>20000000</v>
      </c>
      <c r="CW490" s="653">
        <v>8350000</v>
      </c>
      <c r="CX490" s="524">
        <v>15000000</v>
      </c>
      <c r="CY490" s="653">
        <v>8350000</v>
      </c>
      <c r="CZ490" s="524">
        <v>20000000</v>
      </c>
      <c r="DA490" s="653"/>
      <c r="DB490" s="524"/>
      <c r="DC490" s="653">
        <v>0</v>
      </c>
      <c r="DD490" s="524"/>
      <c r="DE490" s="758"/>
      <c r="DF490" s="524"/>
      <c r="DG490" s="757"/>
      <c r="DH490" s="758"/>
      <c r="DI490" s="524"/>
      <c r="DJ490" s="757"/>
      <c r="DK490" s="758"/>
      <c r="DL490" s="524"/>
      <c r="DM490" s="757"/>
      <c r="DN490" s="758"/>
      <c r="DO490" s="524"/>
      <c r="DP490" s="757"/>
      <c r="DQ490" s="493">
        <f t="shared" si="274"/>
        <v>50500000</v>
      </c>
      <c r="DR490" s="479">
        <f t="shared" si="286"/>
        <v>68800000</v>
      </c>
      <c r="DS490" s="1019"/>
      <c r="DT490" s="1019"/>
      <c r="DU490" s="1019"/>
      <c r="DV490" s="1019"/>
      <c r="DW490" s="1019"/>
      <c r="DX490" s="1019"/>
      <c r="DY490" s="1019"/>
      <c r="DZ490" s="1019"/>
      <c r="EA490" s="1019"/>
      <c r="EB490" s="1019"/>
      <c r="EC490" s="1019"/>
      <c r="ED490" s="1019"/>
      <c r="EE490" s="1119">
        <f t="shared" si="275"/>
        <v>0</v>
      </c>
      <c r="EF490" s="443">
        <f t="shared" si="294"/>
        <v>0</v>
      </c>
      <c r="EG490" s="443">
        <f t="shared" si="295"/>
        <v>0</v>
      </c>
      <c r="EH490" s="443">
        <f t="shared" si="296"/>
        <v>0</v>
      </c>
      <c r="EI490" s="443">
        <f t="shared" si="296"/>
        <v>0</v>
      </c>
      <c r="EJ490" s="367">
        <v>3000001937</v>
      </c>
      <c r="EL490" s="177"/>
      <c r="EM490" s="177"/>
      <c r="EN490" s="177"/>
    </row>
    <row r="491" spans="1:144" outlineLevel="2">
      <c r="A491" s="367" t="s">
        <v>291</v>
      </c>
      <c r="B491" s="378"/>
      <c r="C491" s="370" t="s">
        <v>688</v>
      </c>
      <c r="D491" s="370" t="s">
        <v>40</v>
      </c>
      <c r="E491" s="383" t="s">
        <v>114</v>
      </c>
      <c r="F491" s="380">
        <v>3000019518</v>
      </c>
      <c r="G491" s="189"/>
      <c r="H491" s="13"/>
      <c r="I491" s="185"/>
      <c r="J491" s="185"/>
      <c r="K491" s="185"/>
      <c r="L491" s="194"/>
      <c r="M491" s="185"/>
      <c r="N491" s="185"/>
      <c r="O491" s="7"/>
      <c r="P491" s="7"/>
      <c r="Q491" s="7"/>
      <c r="R491" s="7"/>
      <c r="S491" s="14">
        <f t="shared" si="287"/>
        <v>0</v>
      </c>
      <c r="T491" s="179"/>
      <c r="U491" s="189"/>
      <c r="V491" s="13"/>
      <c r="W491" s="185"/>
      <c r="X491" s="185"/>
      <c r="Y491" s="185"/>
      <c r="Z491" s="194"/>
      <c r="AA491" s="185"/>
      <c r="AB491" s="185"/>
      <c r="AC491" s="7"/>
      <c r="AD491" s="7"/>
      <c r="AE491" s="7"/>
      <c r="AF491" s="7"/>
      <c r="AG491" s="759">
        <f t="shared" si="288"/>
        <v>0</v>
      </c>
      <c r="AH491" s="853">
        <v>3000019518</v>
      </c>
      <c r="AI491" s="189"/>
      <c r="AJ491" s="810"/>
      <c r="AK491" s="758"/>
      <c r="AL491" s="758">
        <v>30050000</v>
      </c>
      <c r="AM491" s="758">
        <v>46700000</v>
      </c>
      <c r="AN491" s="524">
        <v>51468181</v>
      </c>
      <c r="AO491" s="758">
        <v>45700000</v>
      </c>
      <c r="AP491" s="758">
        <v>85550000</v>
      </c>
      <c r="AQ491" s="518">
        <v>88200000</v>
      </c>
      <c r="AR491" s="813">
        <v>140100000</v>
      </c>
      <c r="AS491" s="813">
        <v>27500000</v>
      </c>
      <c r="AT491" s="813">
        <v>84700000</v>
      </c>
      <c r="AU491" s="518">
        <f t="shared" si="289"/>
        <v>70000000</v>
      </c>
      <c r="AV491" s="518">
        <f t="shared" si="290"/>
        <v>70000000</v>
      </c>
      <c r="AW491" s="518">
        <f t="shared" si="291"/>
        <v>70000000</v>
      </c>
      <c r="AX491" s="518">
        <f t="shared" si="284"/>
        <v>599968181</v>
      </c>
      <c r="AY491" s="853" t="e">
        <v>#N/A</v>
      </c>
      <c r="AZ491" s="189"/>
      <c r="BA491" s="810"/>
      <c r="BB491" s="758"/>
      <c r="BC491" s="758">
        <v>30050000</v>
      </c>
      <c r="BD491" s="758">
        <v>46700000</v>
      </c>
      <c r="BE491" s="524">
        <v>51468181</v>
      </c>
      <c r="BF491" s="758">
        <v>45700000</v>
      </c>
      <c r="BG491" s="518">
        <f t="shared" si="292"/>
        <v>85550000</v>
      </c>
      <c r="BH491" s="758">
        <v>70000000</v>
      </c>
      <c r="BI491" s="758">
        <v>70000000</v>
      </c>
      <c r="BJ491" s="758">
        <v>70000000</v>
      </c>
      <c r="BK491" s="758">
        <v>70000000</v>
      </c>
      <c r="BL491" s="759">
        <f t="shared" si="293"/>
        <v>539468181</v>
      </c>
      <c r="BN491" s="758">
        <v>80000000</v>
      </c>
      <c r="BO491" s="758">
        <v>80000000</v>
      </c>
      <c r="BP491" s="758">
        <v>80000000</v>
      </c>
      <c r="BQ491" s="758">
        <v>80000000</v>
      </c>
      <c r="BR491" s="758">
        <v>80000000</v>
      </c>
      <c r="BS491" s="758">
        <v>80000000</v>
      </c>
      <c r="BT491" s="758">
        <v>80000000</v>
      </c>
      <c r="BU491" s="758">
        <v>80000000</v>
      </c>
      <c r="BV491" s="758">
        <v>80000000</v>
      </c>
      <c r="BW491" s="758">
        <v>80000000</v>
      </c>
      <c r="BX491" s="758">
        <v>80000000</v>
      </c>
      <c r="BY491" s="758">
        <v>80000000</v>
      </c>
      <c r="BZ491" s="791">
        <v>960000000</v>
      </c>
      <c r="CB491" s="758">
        <v>80000000</v>
      </c>
      <c r="CC491" s="758">
        <v>80000000</v>
      </c>
      <c r="CD491" s="758">
        <v>80000000</v>
      </c>
      <c r="CE491" s="758">
        <v>80000000</v>
      </c>
      <c r="CF491" s="758">
        <v>80000000</v>
      </c>
      <c r="CG491" s="758">
        <v>80000000</v>
      </c>
      <c r="CH491" s="758">
        <v>80000000</v>
      </c>
      <c r="CI491" s="758">
        <v>80000000</v>
      </c>
      <c r="CJ491" s="758">
        <v>80000000</v>
      </c>
      <c r="CK491" s="758">
        <v>80000000</v>
      </c>
      <c r="CL491" s="758">
        <v>80000000</v>
      </c>
      <c r="CM491" s="758">
        <v>80000000</v>
      </c>
      <c r="CN491" s="791">
        <v>960000000</v>
      </c>
      <c r="CP491" s="653">
        <v>106125000</v>
      </c>
      <c r="CQ491" s="653">
        <v>255350000</v>
      </c>
      <c r="CR491" s="524">
        <v>290000000</v>
      </c>
      <c r="CS491" s="653">
        <v>170300000</v>
      </c>
      <c r="CT491" s="524">
        <v>250000000</v>
      </c>
      <c r="CU491" s="653">
        <v>127050000</v>
      </c>
      <c r="CV491" s="524">
        <v>180000000</v>
      </c>
      <c r="CW491" s="653">
        <v>40500000</v>
      </c>
      <c r="CX491" s="524">
        <v>200000000</v>
      </c>
      <c r="CY491" s="653">
        <v>92175000</v>
      </c>
      <c r="CZ491" s="524">
        <v>250000000</v>
      </c>
      <c r="DA491" s="653">
        <v>51700000</v>
      </c>
      <c r="DB491" s="524">
        <v>250000000</v>
      </c>
      <c r="DC491" s="653">
        <v>61500000</v>
      </c>
      <c r="DD491" s="524">
        <v>250000000</v>
      </c>
      <c r="DE491" s="758"/>
      <c r="DF491" s="524">
        <v>250000000</v>
      </c>
      <c r="DG491" s="757">
        <v>250000000</v>
      </c>
      <c r="DH491" s="758"/>
      <c r="DI491" s="524">
        <v>250000000</v>
      </c>
      <c r="DJ491" s="757">
        <v>250000000</v>
      </c>
      <c r="DK491" s="758"/>
      <c r="DL491" s="524">
        <v>250000000</v>
      </c>
      <c r="DM491" s="757">
        <v>250000000</v>
      </c>
      <c r="DN491" s="758"/>
      <c r="DO491" s="524">
        <v>250000000</v>
      </c>
      <c r="DP491" s="757">
        <v>250000000</v>
      </c>
      <c r="DQ491" s="493">
        <f t="shared" si="274"/>
        <v>1904700000</v>
      </c>
      <c r="DR491" s="479">
        <f t="shared" si="286"/>
        <v>2608825000</v>
      </c>
      <c r="DS491" s="1019">
        <v>300000000</v>
      </c>
      <c r="DT491" s="1019">
        <v>300000000</v>
      </c>
      <c r="DU491" s="1019">
        <v>300000000</v>
      </c>
      <c r="DV491" s="1019">
        <v>300000000</v>
      </c>
      <c r="DW491" s="1019">
        <v>300000000</v>
      </c>
      <c r="DX491" s="1019">
        <v>300000000</v>
      </c>
      <c r="DY491" s="1019">
        <v>300000000</v>
      </c>
      <c r="DZ491" s="1019">
        <v>300000000</v>
      </c>
      <c r="EA491" s="1019">
        <v>300000000</v>
      </c>
      <c r="EB491" s="1019">
        <v>300000000</v>
      </c>
      <c r="EC491" s="1019">
        <v>300000000</v>
      </c>
      <c r="ED491" s="1019">
        <v>300000000</v>
      </c>
      <c r="EE491" s="1119">
        <f t="shared" si="275"/>
        <v>3600000000</v>
      </c>
      <c r="EF491" s="443">
        <v>1348000000</v>
      </c>
      <c r="EG491" s="443">
        <f t="shared" si="295"/>
        <v>1455840000</v>
      </c>
      <c r="EH491" s="443">
        <f t="shared" si="296"/>
        <v>1586865600</v>
      </c>
      <c r="EI491" s="443">
        <f t="shared" si="296"/>
        <v>1729683504.0000002</v>
      </c>
      <c r="EJ491" s="367">
        <v>3000019518</v>
      </c>
      <c r="EL491" s="177"/>
      <c r="EM491" s="177"/>
      <c r="EN491" s="177"/>
    </row>
    <row r="492" spans="1:144" outlineLevel="2">
      <c r="A492" s="367" t="s">
        <v>291</v>
      </c>
      <c r="B492" s="378"/>
      <c r="C492" s="370" t="s">
        <v>688</v>
      </c>
      <c r="D492" s="370" t="s">
        <v>40</v>
      </c>
      <c r="E492" s="383" t="s">
        <v>724</v>
      </c>
      <c r="F492" s="380">
        <v>3000018573</v>
      </c>
      <c r="G492" s="186"/>
      <c r="H492" s="13"/>
      <c r="I492" s="185"/>
      <c r="J492" s="185"/>
      <c r="K492" s="185"/>
      <c r="L492" s="194"/>
      <c r="M492" s="185"/>
      <c r="N492" s="185"/>
      <c r="O492" s="7"/>
      <c r="P492" s="7"/>
      <c r="Q492" s="7"/>
      <c r="R492" s="7"/>
      <c r="S492" s="14">
        <f t="shared" si="287"/>
        <v>0</v>
      </c>
      <c r="T492" s="179"/>
      <c r="U492" s="186"/>
      <c r="V492" s="13"/>
      <c r="W492" s="185"/>
      <c r="X492" s="185"/>
      <c r="Y492" s="185"/>
      <c r="Z492" s="194"/>
      <c r="AA492" s="185"/>
      <c r="AB492" s="185"/>
      <c r="AC492" s="7"/>
      <c r="AD492" s="7"/>
      <c r="AE492" s="7"/>
      <c r="AF492" s="7"/>
      <c r="AG492" s="759">
        <f t="shared" si="288"/>
        <v>0</v>
      </c>
      <c r="AH492" s="853">
        <v>3000018573</v>
      </c>
      <c r="AI492" s="814">
        <v>1282500</v>
      </c>
      <c r="AJ492" s="810"/>
      <c r="AK492" s="758"/>
      <c r="AL492" s="758">
        <v>0</v>
      </c>
      <c r="AM492" s="758">
        <v>0</v>
      </c>
      <c r="AN492" s="524">
        <v>0</v>
      </c>
      <c r="AO492" s="758">
        <v>0</v>
      </c>
      <c r="AP492" s="758">
        <v>0</v>
      </c>
      <c r="AQ492" s="518">
        <v>0</v>
      </c>
      <c r="AR492" s="518"/>
      <c r="AS492" s="518"/>
      <c r="AT492" s="518"/>
      <c r="AU492" s="518">
        <f t="shared" si="289"/>
        <v>0</v>
      </c>
      <c r="AV492" s="518">
        <f t="shared" si="290"/>
        <v>0</v>
      </c>
      <c r="AW492" s="518">
        <f t="shared" si="291"/>
        <v>0</v>
      </c>
      <c r="AX492" s="518">
        <f t="shared" si="284"/>
        <v>1282500</v>
      </c>
      <c r="AY492" s="853">
        <v>0</v>
      </c>
      <c r="AZ492" s="814">
        <v>1282500</v>
      </c>
      <c r="BA492" s="810"/>
      <c r="BB492" s="758"/>
      <c r="BC492" s="758">
        <v>0</v>
      </c>
      <c r="BD492" s="758">
        <v>0</v>
      </c>
      <c r="BE492" s="524">
        <v>0</v>
      </c>
      <c r="BF492" s="758">
        <v>0</v>
      </c>
      <c r="BG492" s="518">
        <f t="shared" si="292"/>
        <v>0</v>
      </c>
      <c r="BH492" s="758">
        <v>0</v>
      </c>
      <c r="BI492" s="758">
        <v>0</v>
      </c>
      <c r="BJ492" s="758">
        <v>0</v>
      </c>
      <c r="BK492" s="758">
        <v>0</v>
      </c>
      <c r="BL492" s="759">
        <f t="shared" si="293"/>
        <v>1282500</v>
      </c>
      <c r="BN492" s="758">
        <v>0</v>
      </c>
      <c r="BO492" s="758">
        <v>0</v>
      </c>
      <c r="BP492" s="758">
        <v>0</v>
      </c>
      <c r="BQ492" s="758">
        <v>0</v>
      </c>
      <c r="BR492" s="758">
        <v>0</v>
      </c>
      <c r="BS492" s="758">
        <v>0</v>
      </c>
      <c r="BT492" s="758">
        <v>0</v>
      </c>
      <c r="BU492" s="758">
        <v>0</v>
      </c>
      <c r="BV492" s="758">
        <v>0</v>
      </c>
      <c r="BW492" s="758">
        <v>0</v>
      </c>
      <c r="BX492" s="758">
        <v>0</v>
      </c>
      <c r="BY492" s="758">
        <v>0</v>
      </c>
      <c r="BZ492" s="791">
        <v>0</v>
      </c>
      <c r="CB492" s="758">
        <v>0</v>
      </c>
      <c r="CC492" s="758">
        <v>0</v>
      </c>
      <c r="CD492" s="758">
        <v>0</v>
      </c>
      <c r="CE492" s="758">
        <v>0</v>
      </c>
      <c r="CF492" s="758">
        <v>0</v>
      </c>
      <c r="CG492" s="758">
        <v>0</v>
      </c>
      <c r="CH492" s="758">
        <v>0</v>
      </c>
      <c r="CI492" s="758">
        <v>0</v>
      </c>
      <c r="CJ492" s="758">
        <v>0</v>
      </c>
      <c r="CK492" s="758">
        <v>0</v>
      </c>
      <c r="CL492" s="758">
        <v>0</v>
      </c>
      <c r="CM492" s="758">
        <v>0</v>
      </c>
      <c r="CN492" s="791">
        <v>0</v>
      </c>
      <c r="CP492" s="653"/>
      <c r="CQ492" s="653"/>
      <c r="CR492" s="524"/>
      <c r="CS492" s="653"/>
      <c r="CT492" s="524"/>
      <c r="CU492" s="653">
        <v>1282500</v>
      </c>
      <c r="CV492" s="524"/>
      <c r="CW492" s="653"/>
      <c r="CX492" s="524"/>
      <c r="CY492" s="653"/>
      <c r="CZ492" s="524"/>
      <c r="DA492" s="653"/>
      <c r="DB492" s="524"/>
      <c r="DC492" s="653">
        <v>0</v>
      </c>
      <c r="DD492" s="524"/>
      <c r="DE492" s="758"/>
      <c r="DF492" s="524"/>
      <c r="DG492" s="757"/>
      <c r="DH492" s="758"/>
      <c r="DI492" s="524"/>
      <c r="DJ492" s="757"/>
      <c r="DK492" s="758"/>
      <c r="DL492" s="524"/>
      <c r="DM492" s="757"/>
      <c r="DN492" s="758"/>
      <c r="DO492" s="524"/>
      <c r="DP492" s="757"/>
      <c r="DQ492" s="493">
        <f t="shared" si="274"/>
        <v>1282500</v>
      </c>
      <c r="DR492" s="479">
        <f t="shared" si="286"/>
        <v>1282500</v>
      </c>
      <c r="DS492" s="1019"/>
      <c r="DT492" s="1019"/>
      <c r="DU492" s="1019"/>
      <c r="DV492" s="1019"/>
      <c r="DW492" s="1019"/>
      <c r="DX492" s="1019"/>
      <c r="DY492" s="1019"/>
      <c r="DZ492" s="1019"/>
      <c r="EA492" s="1019"/>
      <c r="EB492" s="1019"/>
      <c r="EC492" s="1019"/>
      <c r="ED492" s="1019"/>
      <c r="EE492" s="1119">
        <f t="shared" si="275"/>
        <v>0</v>
      </c>
      <c r="EF492" s="443">
        <f>EE492*1.17</f>
        <v>0</v>
      </c>
      <c r="EG492" s="443">
        <f t="shared" si="295"/>
        <v>0</v>
      </c>
      <c r="EH492" s="443">
        <f t="shared" si="296"/>
        <v>0</v>
      </c>
      <c r="EI492" s="443">
        <f t="shared" si="296"/>
        <v>0</v>
      </c>
      <c r="EJ492" s="367">
        <v>3000018573</v>
      </c>
      <c r="EL492" s="177"/>
      <c r="EM492" s="177"/>
      <c r="EN492" s="177"/>
    </row>
    <row r="493" spans="1:144" outlineLevel="2">
      <c r="A493" s="367" t="s">
        <v>687</v>
      </c>
      <c r="B493" s="378"/>
      <c r="C493" s="370" t="s">
        <v>688</v>
      </c>
      <c r="D493" s="370" t="s">
        <v>40</v>
      </c>
      <c r="E493" s="383" t="s">
        <v>725</v>
      </c>
      <c r="F493" s="380">
        <v>3000007275</v>
      </c>
      <c r="G493" s="189"/>
      <c r="H493" s="13"/>
      <c r="I493" s="185"/>
      <c r="J493" s="185"/>
      <c r="K493" s="185"/>
      <c r="L493" s="194"/>
      <c r="M493" s="185"/>
      <c r="N493" s="185"/>
      <c r="O493" s="7"/>
      <c r="P493" s="7"/>
      <c r="Q493" s="7"/>
      <c r="R493" s="7"/>
      <c r="S493" s="14">
        <f t="shared" si="287"/>
        <v>0</v>
      </c>
      <c r="T493" s="179"/>
      <c r="U493" s="189"/>
      <c r="V493" s="13"/>
      <c r="W493" s="185"/>
      <c r="X493" s="185"/>
      <c r="Y493" s="185"/>
      <c r="Z493" s="194"/>
      <c r="AA493" s="185"/>
      <c r="AB493" s="185"/>
      <c r="AC493" s="7"/>
      <c r="AD493" s="7"/>
      <c r="AE493" s="7"/>
      <c r="AF493" s="7"/>
      <c r="AG493" s="759">
        <f t="shared" si="288"/>
        <v>0</v>
      </c>
      <c r="AH493" s="853">
        <v>3000007275</v>
      </c>
      <c r="AI493" s="189"/>
      <c r="AJ493" s="810"/>
      <c r="AK493" s="758">
        <v>1633600</v>
      </c>
      <c r="AL493" s="758">
        <v>563689</v>
      </c>
      <c r="AM493" s="758">
        <v>6429987</v>
      </c>
      <c r="AN493" s="524">
        <v>2446464</v>
      </c>
      <c r="AO493" s="758">
        <v>3209663</v>
      </c>
      <c r="AP493" s="758">
        <v>940352</v>
      </c>
      <c r="AQ493" s="518">
        <v>742200</v>
      </c>
      <c r="AR493" s="813">
        <v>1067093</v>
      </c>
      <c r="AS493" s="813">
        <v>513767</v>
      </c>
      <c r="AT493" s="813">
        <v>1935425</v>
      </c>
      <c r="AU493" s="518">
        <f t="shared" si="289"/>
        <v>2000000</v>
      </c>
      <c r="AV493" s="518">
        <f t="shared" si="290"/>
        <v>2000000</v>
      </c>
      <c r="AW493" s="518">
        <f t="shared" si="291"/>
        <v>2000000</v>
      </c>
      <c r="AX493" s="518">
        <f t="shared" si="284"/>
        <v>19482240</v>
      </c>
      <c r="AY493" s="853" t="e">
        <v>#N/A</v>
      </c>
      <c r="AZ493" s="189"/>
      <c r="BA493" s="810"/>
      <c r="BB493" s="758">
        <v>1633600</v>
      </c>
      <c r="BC493" s="758">
        <v>563689</v>
      </c>
      <c r="BD493" s="758">
        <v>6429987</v>
      </c>
      <c r="BE493" s="524">
        <v>2446464</v>
      </c>
      <c r="BF493" s="758">
        <v>3209663</v>
      </c>
      <c r="BG493" s="518">
        <f t="shared" si="292"/>
        <v>940352</v>
      </c>
      <c r="BH493" s="758">
        <v>2000000</v>
      </c>
      <c r="BI493" s="758">
        <v>2000000</v>
      </c>
      <c r="BJ493" s="758">
        <v>2000000</v>
      </c>
      <c r="BK493" s="758">
        <v>2000000</v>
      </c>
      <c r="BL493" s="759">
        <f t="shared" si="293"/>
        <v>23223755</v>
      </c>
      <c r="BN493" s="758">
        <v>2000000</v>
      </c>
      <c r="BO493" s="758">
        <v>2000000</v>
      </c>
      <c r="BP493" s="758">
        <v>2000000</v>
      </c>
      <c r="BQ493" s="758">
        <v>2000000</v>
      </c>
      <c r="BR493" s="758">
        <v>2000000</v>
      </c>
      <c r="BS493" s="758">
        <v>2000000</v>
      </c>
      <c r="BT493" s="758">
        <v>2000000</v>
      </c>
      <c r="BU493" s="758">
        <v>2000000</v>
      </c>
      <c r="BV493" s="758">
        <v>2000000</v>
      </c>
      <c r="BW493" s="758">
        <v>2000000</v>
      </c>
      <c r="BX493" s="758">
        <v>2000000</v>
      </c>
      <c r="BY493" s="758">
        <v>2000000</v>
      </c>
      <c r="BZ493" s="791">
        <v>24000000</v>
      </c>
      <c r="CB493" s="758">
        <v>2000000</v>
      </c>
      <c r="CC493" s="758">
        <v>2000000</v>
      </c>
      <c r="CD493" s="758">
        <v>2000000</v>
      </c>
      <c r="CE493" s="758">
        <v>2000000</v>
      </c>
      <c r="CF493" s="758">
        <v>2000000</v>
      </c>
      <c r="CG493" s="758">
        <v>2000000</v>
      </c>
      <c r="CH493" s="758">
        <v>2000000</v>
      </c>
      <c r="CI493" s="758">
        <v>2000000</v>
      </c>
      <c r="CJ493" s="758">
        <v>2000000</v>
      </c>
      <c r="CK493" s="758">
        <v>2000000</v>
      </c>
      <c r="CL493" s="758">
        <v>2000000</v>
      </c>
      <c r="CM493" s="758">
        <v>2000000</v>
      </c>
      <c r="CN493" s="791">
        <v>24000000</v>
      </c>
      <c r="CP493" s="653">
        <v>1023024</v>
      </c>
      <c r="CQ493" s="653">
        <v>1025642</v>
      </c>
      <c r="CR493" s="524"/>
      <c r="CS493" s="653">
        <v>1233358</v>
      </c>
      <c r="CT493" s="524"/>
      <c r="CU493" s="653">
        <v>1058585</v>
      </c>
      <c r="CV493" s="524"/>
      <c r="CW493" s="653">
        <v>325169</v>
      </c>
      <c r="CX493" s="524"/>
      <c r="CY493" s="653"/>
      <c r="CZ493" s="524">
        <v>10000000</v>
      </c>
      <c r="DA493" s="653">
        <v>6261019</v>
      </c>
      <c r="DB493" s="524">
        <v>10000000</v>
      </c>
      <c r="DC493" s="653">
        <v>5298886</v>
      </c>
      <c r="DD493" s="524">
        <v>10000000</v>
      </c>
      <c r="DE493" s="758"/>
      <c r="DF493" s="524">
        <v>10000000</v>
      </c>
      <c r="DG493" s="757">
        <v>10000000</v>
      </c>
      <c r="DH493" s="758"/>
      <c r="DI493" s="524">
        <v>10000000</v>
      </c>
      <c r="DJ493" s="757">
        <v>10000000</v>
      </c>
      <c r="DK493" s="758"/>
      <c r="DL493" s="524">
        <v>10000000</v>
      </c>
      <c r="DM493" s="757">
        <v>10000000</v>
      </c>
      <c r="DN493" s="758"/>
      <c r="DO493" s="524">
        <v>10000000</v>
      </c>
      <c r="DP493" s="757">
        <v>10000000</v>
      </c>
      <c r="DQ493" s="493">
        <f t="shared" si="274"/>
        <v>56225683</v>
      </c>
      <c r="DR493" s="479">
        <f t="shared" si="286"/>
        <v>74340609</v>
      </c>
      <c r="DS493" s="1019"/>
      <c r="DT493" s="1019"/>
      <c r="DU493" s="1019"/>
      <c r="DV493" s="1019"/>
      <c r="DW493" s="1019"/>
      <c r="DX493" s="1019"/>
      <c r="DY493" s="1019"/>
      <c r="DZ493" s="1019"/>
      <c r="EA493" s="1019"/>
      <c r="EB493" s="1019"/>
      <c r="EC493" s="1019"/>
      <c r="ED493" s="1019"/>
      <c r="EE493" s="1119">
        <f t="shared" si="275"/>
        <v>0</v>
      </c>
      <c r="EF493" s="443">
        <f>EE493*1.17</f>
        <v>0</v>
      </c>
      <c r="EG493" s="443">
        <f t="shared" si="295"/>
        <v>0</v>
      </c>
      <c r="EH493" s="443">
        <f t="shared" si="296"/>
        <v>0</v>
      </c>
      <c r="EI493" s="443">
        <f t="shared" si="296"/>
        <v>0</v>
      </c>
      <c r="EJ493" s="367">
        <v>3000007275</v>
      </c>
      <c r="EL493" s="177"/>
      <c r="EM493" s="177"/>
      <c r="EN493" s="177"/>
    </row>
    <row r="494" spans="1:144" outlineLevel="2">
      <c r="A494" s="367" t="s">
        <v>687</v>
      </c>
      <c r="B494" s="378"/>
      <c r="C494" s="370" t="s">
        <v>688</v>
      </c>
      <c r="D494" s="370" t="s">
        <v>40</v>
      </c>
      <c r="E494" s="403" t="s">
        <v>726</v>
      </c>
      <c r="F494" s="380">
        <v>3000002009</v>
      </c>
      <c r="G494" s="189"/>
      <c r="H494" s="13"/>
      <c r="I494" s="185"/>
      <c r="J494" s="185"/>
      <c r="K494" s="185"/>
      <c r="L494" s="185"/>
      <c r="M494" s="185"/>
      <c r="N494" s="185"/>
      <c r="O494" s="7"/>
      <c r="P494" s="7"/>
      <c r="Q494" s="7"/>
      <c r="R494" s="7"/>
      <c r="S494" s="14">
        <f t="shared" si="287"/>
        <v>0</v>
      </c>
      <c r="T494" s="179"/>
      <c r="U494" s="189"/>
      <c r="V494" s="13"/>
      <c r="W494" s="185"/>
      <c r="X494" s="185"/>
      <c r="Y494" s="185"/>
      <c r="Z494" s="185"/>
      <c r="AA494" s="185"/>
      <c r="AB494" s="185"/>
      <c r="AC494" s="7"/>
      <c r="AD494" s="7"/>
      <c r="AE494" s="7"/>
      <c r="AF494" s="7"/>
      <c r="AG494" s="759">
        <f t="shared" si="288"/>
        <v>0</v>
      </c>
      <c r="AH494" s="853">
        <v>3000002009</v>
      </c>
      <c r="AI494" s="189"/>
      <c r="AJ494" s="810"/>
      <c r="AK494" s="758"/>
      <c r="AL494" s="758">
        <v>0</v>
      </c>
      <c r="AM494" s="758"/>
      <c r="AN494" s="758"/>
      <c r="AO494" s="758">
        <v>0</v>
      </c>
      <c r="AP494" s="758">
        <v>1282500</v>
      </c>
      <c r="AQ494" s="518">
        <v>1282500</v>
      </c>
      <c r="AR494" s="813">
        <v>0</v>
      </c>
      <c r="AS494" s="813">
        <v>1282500</v>
      </c>
      <c r="AT494" s="813">
        <v>0</v>
      </c>
      <c r="AU494" s="518">
        <f t="shared" si="289"/>
        <v>0</v>
      </c>
      <c r="AV494" s="518">
        <f t="shared" si="290"/>
        <v>0</v>
      </c>
      <c r="AW494" s="518">
        <f t="shared" si="291"/>
        <v>0</v>
      </c>
      <c r="AX494" s="518">
        <f t="shared" si="284"/>
        <v>3847500</v>
      </c>
      <c r="AY494" s="853">
        <v>0</v>
      </c>
      <c r="AZ494" s="189"/>
      <c r="BA494" s="810"/>
      <c r="BB494" s="758"/>
      <c r="BC494" s="758">
        <v>0</v>
      </c>
      <c r="BD494" s="758"/>
      <c r="BE494" s="758"/>
      <c r="BF494" s="758">
        <v>0</v>
      </c>
      <c r="BG494" s="518">
        <f t="shared" si="292"/>
        <v>1282500</v>
      </c>
      <c r="BH494" s="758">
        <v>0</v>
      </c>
      <c r="BI494" s="758">
        <v>0</v>
      </c>
      <c r="BJ494" s="758">
        <v>0</v>
      </c>
      <c r="BK494" s="758">
        <v>0</v>
      </c>
      <c r="BL494" s="759">
        <f t="shared" si="293"/>
        <v>1282500</v>
      </c>
      <c r="BN494" s="758">
        <v>0</v>
      </c>
      <c r="BO494" s="758">
        <v>0</v>
      </c>
      <c r="BP494" s="758">
        <v>0</v>
      </c>
      <c r="BQ494" s="758">
        <v>0</v>
      </c>
      <c r="BR494" s="758">
        <v>0</v>
      </c>
      <c r="BS494" s="758">
        <v>0</v>
      </c>
      <c r="BT494" s="758">
        <v>0</v>
      </c>
      <c r="BU494" s="758">
        <v>0</v>
      </c>
      <c r="BV494" s="758">
        <v>0</v>
      </c>
      <c r="BW494" s="758">
        <v>0</v>
      </c>
      <c r="BX494" s="758">
        <v>0</v>
      </c>
      <c r="BY494" s="758">
        <v>0</v>
      </c>
      <c r="BZ494" s="791">
        <v>0</v>
      </c>
      <c r="CB494" s="758">
        <v>0</v>
      </c>
      <c r="CC494" s="758">
        <v>0</v>
      </c>
      <c r="CD494" s="758">
        <v>0</v>
      </c>
      <c r="CE494" s="758">
        <v>0</v>
      </c>
      <c r="CF494" s="758">
        <v>0</v>
      </c>
      <c r="CG494" s="758">
        <v>0</v>
      </c>
      <c r="CH494" s="758">
        <v>0</v>
      </c>
      <c r="CI494" s="758">
        <v>0</v>
      </c>
      <c r="CJ494" s="758">
        <v>0</v>
      </c>
      <c r="CK494" s="758">
        <v>0</v>
      </c>
      <c r="CL494" s="758">
        <v>0</v>
      </c>
      <c r="CM494" s="758">
        <v>0</v>
      </c>
      <c r="CN494" s="791">
        <v>0</v>
      </c>
      <c r="CP494" s="653"/>
      <c r="CQ494" s="653"/>
      <c r="CR494" s="524"/>
      <c r="CS494" s="653"/>
      <c r="CT494" s="524"/>
      <c r="CU494" s="653"/>
      <c r="CV494" s="524"/>
      <c r="CW494" s="653"/>
      <c r="CX494" s="524"/>
      <c r="CY494" s="653"/>
      <c r="CZ494" s="524"/>
      <c r="DA494" s="653"/>
      <c r="DB494" s="524"/>
      <c r="DC494" s="653">
        <v>0</v>
      </c>
      <c r="DD494" s="524"/>
      <c r="DE494" s="758"/>
      <c r="DF494" s="524"/>
      <c r="DG494" s="757"/>
      <c r="DH494" s="758"/>
      <c r="DI494" s="524"/>
      <c r="DJ494" s="757"/>
      <c r="DK494" s="758"/>
      <c r="DL494" s="524"/>
      <c r="DM494" s="757"/>
      <c r="DN494" s="758"/>
      <c r="DO494" s="524"/>
      <c r="DP494" s="757"/>
      <c r="DQ494" s="493">
        <f t="shared" si="274"/>
        <v>0</v>
      </c>
      <c r="DR494" s="479">
        <f t="shared" si="286"/>
        <v>0</v>
      </c>
      <c r="DS494" s="1019"/>
      <c r="DT494" s="1019"/>
      <c r="DU494" s="1019"/>
      <c r="DV494" s="1019"/>
      <c r="DW494" s="1019"/>
      <c r="DX494" s="1019"/>
      <c r="DY494" s="1019"/>
      <c r="DZ494" s="1019"/>
      <c r="EA494" s="1019"/>
      <c r="EB494" s="1019"/>
      <c r="EC494" s="1019"/>
      <c r="ED494" s="1019"/>
      <c r="EE494" s="1119">
        <f t="shared" si="275"/>
        <v>0</v>
      </c>
      <c r="EF494" s="443">
        <f>EE494*1.17</f>
        <v>0</v>
      </c>
      <c r="EG494" s="443">
        <f t="shared" si="295"/>
        <v>0</v>
      </c>
      <c r="EH494" s="443">
        <f t="shared" si="296"/>
        <v>0</v>
      </c>
      <c r="EI494" s="443">
        <f t="shared" si="296"/>
        <v>0</v>
      </c>
      <c r="EJ494" s="367">
        <v>3000002009</v>
      </c>
      <c r="EL494" s="177"/>
      <c r="EM494" s="177"/>
      <c r="EN494" s="177"/>
    </row>
    <row r="495" spans="1:144" outlineLevel="2">
      <c r="A495" s="367" t="s">
        <v>687</v>
      </c>
      <c r="B495" s="378"/>
      <c r="C495" s="370" t="s">
        <v>688</v>
      </c>
      <c r="D495" s="370" t="s">
        <v>40</v>
      </c>
      <c r="E495" s="379" t="s">
        <v>602</v>
      </c>
      <c r="F495" s="380">
        <v>3000019751</v>
      </c>
      <c r="G495" s="189"/>
      <c r="H495" s="13"/>
      <c r="I495" s="185"/>
      <c r="J495" s="185"/>
      <c r="K495" s="185"/>
      <c r="L495" s="185"/>
      <c r="M495" s="185"/>
      <c r="N495" s="185"/>
      <c r="O495" s="7"/>
      <c r="P495" s="7"/>
      <c r="Q495" s="7"/>
      <c r="R495" s="7"/>
      <c r="S495" s="14"/>
      <c r="T495" s="179"/>
      <c r="U495" s="189"/>
      <c r="V495" s="13"/>
      <c r="W495" s="185"/>
      <c r="X495" s="185"/>
      <c r="Y495" s="185"/>
      <c r="Z495" s="185"/>
      <c r="AA495" s="185"/>
      <c r="AB495" s="185"/>
      <c r="AC495" s="7"/>
      <c r="AD495" s="7"/>
      <c r="AE495" s="7"/>
      <c r="AF495" s="7"/>
      <c r="AG495" s="759"/>
      <c r="AH495" s="853"/>
      <c r="AI495" s="189"/>
      <c r="AJ495" s="810"/>
      <c r="AK495" s="758"/>
      <c r="AL495" s="758"/>
      <c r="AM495" s="758"/>
      <c r="AN495" s="758"/>
      <c r="AO495" s="758"/>
      <c r="AP495" s="758"/>
      <c r="AQ495" s="518">
        <v>4970000</v>
      </c>
      <c r="AR495" s="813">
        <v>12640000</v>
      </c>
      <c r="AS495" s="813">
        <v>18295000</v>
      </c>
      <c r="AT495" s="813">
        <v>13545000</v>
      </c>
      <c r="AU495" s="518"/>
      <c r="AV495" s="518"/>
      <c r="AW495" s="518"/>
      <c r="AX495" s="518">
        <f t="shared" si="284"/>
        <v>49450000</v>
      </c>
      <c r="AY495" s="853"/>
      <c r="AZ495" s="189"/>
      <c r="BA495" s="810"/>
      <c r="BB495" s="758"/>
      <c r="BC495" s="758"/>
      <c r="BD495" s="758"/>
      <c r="BE495" s="758"/>
      <c r="BF495" s="758"/>
      <c r="BG495" s="518"/>
      <c r="BH495" s="758"/>
      <c r="BI495" s="758"/>
      <c r="BJ495" s="758"/>
      <c r="BK495" s="758"/>
      <c r="BL495" s="518">
        <f t="shared" si="293"/>
        <v>0</v>
      </c>
      <c r="BN495" s="758"/>
      <c r="BO495" s="758"/>
      <c r="BP495" s="758"/>
      <c r="BQ495" s="758"/>
      <c r="BR495" s="758"/>
      <c r="BS495" s="758"/>
      <c r="BT495" s="758"/>
      <c r="BU495" s="758"/>
      <c r="BV495" s="758"/>
      <c r="BW495" s="758"/>
      <c r="BX495" s="758"/>
      <c r="BY495" s="758"/>
      <c r="BZ495" s="791">
        <v>0</v>
      </c>
      <c r="CB495" s="758"/>
      <c r="CC495" s="758"/>
      <c r="CD495" s="758"/>
      <c r="CE495" s="758"/>
      <c r="CF495" s="758"/>
      <c r="CG495" s="758"/>
      <c r="CH495" s="758"/>
      <c r="CI495" s="758"/>
      <c r="CJ495" s="758"/>
      <c r="CK495" s="758"/>
      <c r="CL495" s="758"/>
      <c r="CM495" s="758"/>
      <c r="CN495" s="791">
        <v>0</v>
      </c>
      <c r="CP495" s="653"/>
      <c r="CQ495" s="653">
        <v>10103000</v>
      </c>
      <c r="CR495" s="524">
        <v>9000000</v>
      </c>
      <c r="CS495" s="653"/>
      <c r="CT495" s="524"/>
      <c r="CU495" s="653">
        <v>5170000</v>
      </c>
      <c r="CV495" s="524"/>
      <c r="CW495" s="653"/>
      <c r="CX495" s="524"/>
      <c r="CY495" s="653"/>
      <c r="CZ495" s="524"/>
      <c r="DA495" s="653"/>
      <c r="DB495" s="524"/>
      <c r="DC495" s="653">
        <v>0</v>
      </c>
      <c r="DD495" s="524"/>
      <c r="DE495" s="758"/>
      <c r="DF495" s="524"/>
      <c r="DG495" s="757"/>
      <c r="DH495" s="758"/>
      <c r="DI495" s="524"/>
      <c r="DJ495" s="757"/>
      <c r="DK495" s="758"/>
      <c r="DL495" s="524"/>
      <c r="DM495" s="757"/>
      <c r="DN495" s="758"/>
      <c r="DO495" s="524"/>
      <c r="DP495" s="757"/>
      <c r="DQ495" s="493">
        <f t="shared" si="274"/>
        <v>15273000</v>
      </c>
      <c r="DR495" s="479">
        <f t="shared" si="286"/>
        <v>15273000</v>
      </c>
      <c r="DS495" s="1019"/>
      <c r="DT495" s="1019"/>
      <c r="DU495" s="1019"/>
      <c r="DV495" s="1019"/>
      <c r="DW495" s="1019"/>
      <c r="DX495" s="1019"/>
      <c r="DY495" s="1019"/>
      <c r="DZ495" s="1019"/>
      <c r="EA495" s="1019"/>
      <c r="EB495" s="1019"/>
      <c r="EC495" s="1019"/>
      <c r="ED495" s="1019"/>
      <c r="EE495" s="1119">
        <f t="shared" si="275"/>
        <v>0</v>
      </c>
      <c r="EF495" s="459"/>
      <c r="EG495" s="459"/>
      <c r="EH495" s="459"/>
      <c r="EI495" s="459"/>
      <c r="EJ495" s="367">
        <v>3000019751</v>
      </c>
      <c r="EL495" s="177"/>
      <c r="EM495" s="177"/>
      <c r="EN495" s="177"/>
    </row>
    <row r="496" spans="1:144" outlineLevel="2">
      <c r="A496" s="367" t="s">
        <v>291</v>
      </c>
      <c r="B496" s="378"/>
      <c r="C496" s="370" t="s">
        <v>688</v>
      </c>
      <c r="D496" s="370" t="s">
        <v>40</v>
      </c>
      <c r="E496" s="383" t="s">
        <v>727</v>
      </c>
      <c r="F496" s="380">
        <v>3000019639</v>
      </c>
      <c r="G496" s="189"/>
      <c r="H496" s="13"/>
      <c r="I496" s="195"/>
      <c r="J496" s="185"/>
      <c r="K496" s="185"/>
      <c r="L496" s="194"/>
      <c r="M496" s="185"/>
      <c r="N496" s="185"/>
      <c r="O496" s="7"/>
      <c r="P496" s="7"/>
      <c r="Q496" s="7"/>
      <c r="R496" s="7"/>
      <c r="S496" s="14">
        <f>SUM(G496,H496,I496,J496,K496,L496,M496,N496,O496,P496,Q496,R496)</f>
        <v>0</v>
      </c>
      <c r="T496" s="179"/>
      <c r="U496" s="189"/>
      <c r="V496" s="13"/>
      <c r="W496" s="195"/>
      <c r="X496" s="185"/>
      <c r="Y496" s="185"/>
      <c r="Z496" s="194"/>
      <c r="AA496" s="185"/>
      <c r="AB496" s="185"/>
      <c r="AC496" s="7"/>
      <c r="AD496" s="7"/>
      <c r="AE496" s="7"/>
      <c r="AF496" s="7"/>
      <c r="AG496" s="759">
        <f>SUM(U496,V496,W496,X496,Y496,Z496,AA496,AB496,AC496,AD496,AE496,AF496)</f>
        <v>0</v>
      </c>
      <c r="AH496" s="853">
        <v>3000019639</v>
      </c>
      <c r="AI496" s="189"/>
      <c r="AJ496" s="810"/>
      <c r="AK496" s="854"/>
      <c r="AL496" s="758">
        <v>1282500</v>
      </c>
      <c r="AM496" s="758">
        <v>0</v>
      </c>
      <c r="AN496" s="524">
        <v>0</v>
      </c>
      <c r="AO496" s="758">
        <v>0</v>
      </c>
      <c r="AP496" s="758">
        <v>1282500</v>
      </c>
      <c r="AQ496" s="518">
        <v>0</v>
      </c>
      <c r="AR496" s="518"/>
      <c r="AS496" s="518"/>
      <c r="AT496" s="518"/>
      <c r="AU496" s="518">
        <f t="shared" ref="AU496:AW499" si="297">BI496</f>
        <v>0</v>
      </c>
      <c r="AV496" s="518">
        <f t="shared" si="297"/>
        <v>0</v>
      </c>
      <c r="AW496" s="518">
        <f t="shared" si="297"/>
        <v>0</v>
      </c>
      <c r="AX496" s="518">
        <f t="shared" si="284"/>
        <v>2565000</v>
      </c>
      <c r="AY496" s="853">
        <v>0</v>
      </c>
      <c r="AZ496" s="189"/>
      <c r="BA496" s="810"/>
      <c r="BB496" s="854"/>
      <c r="BC496" s="758">
        <v>1282500</v>
      </c>
      <c r="BD496" s="758">
        <v>0</v>
      </c>
      <c r="BE496" s="524">
        <v>0</v>
      </c>
      <c r="BF496" s="758">
        <v>0</v>
      </c>
      <c r="BG496" s="518">
        <f>AP496</f>
        <v>1282500</v>
      </c>
      <c r="BH496" s="758">
        <v>0</v>
      </c>
      <c r="BI496" s="758">
        <v>0</v>
      </c>
      <c r="BJ496" s="758">
        <v>0</v>
      </c>
      <c r="BK496" s="758">
        <v>0</v>
      </c>
      <c r="BL496" s="759">
        <f t="shared" si="293"/>
        <v>2565000</v>
      </c>
      <c r="BN496" s="758">
        <v>0</v>
      </c>
      <c r="BO496" s="758">
        <v>0</v>
      </c>
      <c r="BP496" s="758">
        <v>0</v>
      </c>
      <c r="BQ496" s="758">
        <v>0</v>
      </c>
      <c r="BR496" s="758">
        <v>0</v>
      </c>
      <c r="BS496" s="758">
        <v>0</v>
      </c>
      <c r="BT496" s="758">
        <v>0</v>
      </c>
      <c r="BU496" s="758">
        <v>0</v>
      </c>
      <c r="BV496" s="758">
        <v>0</v>
      </c>
      <c r="BW496" s="758">
        <v>0</v>
      </c>
      <c r="BX496" s="758">
        <v>0</v>
      </c>
      <c r="BY496" s="758">
        <v>0</v>
      </c>
      <c r="BZ496" s="791">
        <v>0</v>
      </c>
      <c r="CB496" s="758">
        <v>0</v>
      </c>
      <c r="CC496" s="758">
        <v>0</v>
      </c>
      <c r="CD496" s="758">
        <v>0</v>
      </c>
      <c r="CE496" s="758">
        <v>0</v>
      </c>
      <c r="CF496" s="758">
        <v>0</v>
      </c>
      <c r="CG496" s="758">
        <v>0</v>
      </c>
      <c r="CH496" s="758">
        <v>0</v>
      </c>
      <c r="CI496" s="758">
        <v>0</v>
      </c>
      <c r="CJ496" s="758">
        <v>0</v>
      </c>
      <c r="CK496" s="758">
        <v>0</v>
      </c>
      <c r="CL496" s="758">
        <v>0</v>
      </c>
      <c r="CM496" s="758">
        <v>0</v>
      </c>
      <c r="CN496" s="791">
        <v>0</v>
      </c>
      <c r="CP496" s="653"/>
      <c r="CQ496" s="653"/>
      <c r="CR496" s="524"/>
      <c r="CS496" s="653"/>
      <c r="CT496" s="524"/>
      <c r="CU496" s="653"/>
      <c r="CV496" s="524"/>
      <c r="CW496" s="653"/>
      <c r="CX496" s="524"/>
      <c r="CY496" s="653"/>
      <c r="CZ496" s="524"/>
      <c r="DA496" s="653"/>
      <c r="DB496" s="524"/>
      <c r="DC496" s="653">
        <v>0</v>
      </c>
      <c r="DD496" s="524"/>
      <c r="DE496" s="758"/>
      <c r="DF496" s="524"/>
      <c r="DG496" s="757"/>
      <c r="DH496" s="758"/>
      <c r="DI496" s="524"/>
      <c r="DJ496" s="757"/>
      <c r="DK496" s="758"/>
      <c r="DL496" s="524"/>
      <c r="DM496" s="757"/>
      <c r="DN496" s="758"/>
      <c r="DO496" s="524"/>
      <c r="DP496" s="757"/>
      <c r="DQ496" s="493">
        <f t="shared" si="274"/>
        <v>0</v>
      </c>
      <c r="DR496" s="479">
        <f t="shared" si="286"/>
        <v>0</v>
      </c>
      <c r="DS496" s="1019"/>
      <c r="DT496" s="1019"/>
      <c r="DU496" s="1019"/>
      <c r="DV496" s="1019"/>
      <c r="DW496" s="1019"/>
      <c r="DX496" s="1019"/>
      <c r="DY496" s="1019"/>
      <c r="DZ496" s="1019"/>
      <c r="EA496" s="1019"/>
      <c r="EB496" s="1019"/>
      <c r="EC496" s="1019"/>
      <c r="ED496" s="1019"/>
      <c r="EE496" s="1119">
        <f t="shared" si="275"/>
        <v>0</v>
      </c>
      <c r="EF496" s="443">
        <f>EE496*1.17</f>
        <v>0</v>
      </c>
      <c r="EG496" s="443">
        <f>EF496*1.08</f>
        <v>0</v>
      </c>
      <c r="EH496" s="443">
        <f t="shared" ref="EH496:EI499" si="298">EG496*1.09</f>
        <v>0</v>
      </c>
      <c r="EI496" s="443">
        <f t="shared" si="298"/>
        <v>0</v>
      </c>
      <c r="EJ496" s="367">
        <v>3000019639</v>
      </c>
      <c r="EL496" s="177"/>
      <c r="EM496" s="177"/>
      <c r="EN496" s="177"/>
    </row>
    <row r="497" spans="1:144" outlineLevel="2">
      <c r="A497" s="367" t="s">
        <v>291</v>
      </c>
      <c r="B497" s="378"/>
      <c r="C497" s="370" t="s">
        <v>688</v>
      </c>
      <c r="D497" s="370" t="s">
        <v>40</v>
      </c>
      <c r="E497" s="403" t="s">
        <v>728</v>
      </c>
      <c r="F497" s="380">
        <v>3000019723</v>
      </c>
      <c r="G497" s="189"/>
      <c r="H497" s="13"/>
      <c r="I497" s="185"/>
      <c r="J497" s="185"/>
      <c r="K497" s="185"/>
      <c r="L497" s="194"/>
      <c r="M497" s="185"/>
      <c r="N497" s="185"/>
      <c r="O497" s="7"/>
      <c r="P497" s="7"/>
      <c r="Q497" s="7"/>
      <c r="R497" s="7"/>
      <c r="S497" s="14">
        <f>SUM(G497,H497,I497,J497,K497,L497,M497,N497,O497,P497,Q497,R497)</f>
        <v>0</v>
      </c>
      <c r="T497" s="179"/>
      <c r="U497" s="189"/>
      <c r="V497" s="13"/>
      <c r="W497" s="185"/>
      <c r="X497" s="185"/>
      <c r="Y497" s="185"/>
      <c r="Z497" s="194"/>
      <c r="AA497" s="185"/>
      <c r="AB497" s="185"/>
      <c r="AC497" s="7"/>
      <c r="AD497" s="7"/>
      <c r="AE497" s="7"/>
      <c r="AF497" s="7"/>
      <c r="AG497" s="759">
        <f>SUM(U497,V497,W497,X497,Y497,Z497,AA497,AB497,AC497,AD497,AE497,AF497)</f>
        <v>0</v>
      </c>
      <c r="AH497" s="853">
        <v>3000019723</v>
      </c>
      <c r="AI497" s="189"/>
      <c r="AJ497" s="810"/>
      <c r="AK497" s="758"/>
      <c r="AL497" s="758">
        <v>0</v>
      </c>
      <c r="AM497" s="758"/>
      <c r="AN497" s="524">
        <v>4356409</v>
      </c>
      <c r="AO497" s="758">
        <v>0</v>
      </c>
      <c r="AP497" s="758">
        <v>0</v>
      </c>
      <c r="AQ497" s="518">
        <v>0</v>
      </c>
      <c r="AR497" s="518"/>
      <c r="AS497" s="518"/>
      <c r="AT497" s="518"/>
      <c r="AU497" s="518">
        <f t="shared" si="297"/>
        <v>0</v>
      </c>
      <c r="AV497" s="518">
        <f t="shared" si="297"/>
        <v>0</v>
      </c>
      <c r="AW497" s="518">
        <f t="shared" si="297"/>
        <v>0</v>
      </c>
      <c r="AX497" s="518">
        <f t="shared" si="284"/>
        <v>4356409</v>
      </c>
      <c r="AY497" s="853">
        <v>0</v>
      </c>
      <c r="AZ497" s="189"/>
      <c r="BA497" s="810"/>
      <c r="BB497" s="758"/>
      <c r="BC497" s="758">
        <v>0</v>
      </c>
      <c r="BD497" s="758"/>
      <c r="BE497" s="524">
        <v>4356409</v>
      </c>
      <c r="BF497" s="758">
        <v>0</v>
      </c>
      <c r="BG497" s="518">
        <f>AP497</f>
        <v>0</v>
      </c>
      <c r="BH497" s="758">
        <v>0</v>
      </c>
      <c r="BI497" s="758">
        <v>0</v>
      </c>
      <c r="BJ497" s="758">
        <v>0</v>
      </c>
      <c r="BK497" s="758">
        <v>0</v>
      </c>
      <c r="BL497" s="759">
        <f t="shared" si="293"/>
        <v>4356409</v>
      </c>
      <c r="BN497" s="758">
        <v>0</v>
      </c>
      <c r="BO497" s="758">
        <v>0</v>
      </c>
      <c r="BP497" s="758">
        <v>0</v>
      </c>
      <c r="BQ497" s="758">
        <v>0</v>
      </c>
      <c r="BR497" s="758">
        <v>0</v>
      </c>
      <c r="BS497" s="758">
        <v>0</v>
      </c>
      <c r="BT497" s="758">
        <v>0</v>
      </c>
      <c r="BU497" s="758">
        <v>0</v>
      </c>
      <c r="BV497" s="758">
        <v>0</v>
      </c>
      <c r="BW497" s="758">
        <v>0</v>
      </c>
      <c r="BX497" s="758">
        <v>0</v>
      </c>
      <c r="BY497" s="758">
        <v>0</v>
      </c>
      <c r="BZ497" s="791">
        <v>0</v>
      </c>
      <c r="CB497" s="758">
        <v>0</v>
      </c>
      <c r="CC497" s="758">
        <v>0</v>
      </c>
      <c r="CD497" s="758">
        <v>0</v>
      </c>
      <c r="CE497" s="758">
        <v>0</v>
      </c>
      <c r="CF497" s="758">
        <v>0</v>
      </c>
      <c r="CG497" s="758">
        <v>0</v>
      </c>
      <c r="CH497" s="758">
        <v>0</v>
      </c>
      <c r="CI497" s="758">
        <v>0</v>
      </c>
      <c r="CJ497" s="758">
        <v>0</v>
      </c>
      <c r="CK497" s="758">
        <v>0</v>
      </c>
      <c r="CL497" s="758">
        <v>0</v>
      </c>
      <c r="CM497" s="758">
        <v>0</v>
      </c>
      <c r="CN497" s="791">
        <v>0</v>
      </c>
      <c r="CP497" s="653"/>
      <c r="CQ497" s="653"/>
      <c r="CR497" s="524"/>
      <c r="CS497" s="653"/>
      <c r="CT497" s="524"/>
      <c r="CU497" s="653"/>
      <c r="CV497" s="524"/>
      <c r="CW497" s="653"/>
      <c r="CX497" s="524"/>
      <c r="CY497" s="653"/>
      <c r="CZ497" s="524"/>
      <c r="DA497" s="653"/>
      <c r="DB497" s="524"/>
      <c r="DC497" s="653">
        <v>0</v>
      </c>
      <c r="DD497" s="524"/>
      <c r="DE497" s="758"/>
      <c r="DF497" s="524"/>
      <c r="DG497" s="757"/>
      <c r="DH497" s="758"/>
      <c r="DI497" s="524"/>
      <c r="DJ497" s="757"/>
      <c r="DK497" s="758"/>
      <c r="DL497" s="524"/>
      <c r="DM497" s="757"/>
      <c r="DN497" s="758"/>
      <c r="DO497" s="524"/>
      <c r="DP497" s="757"/>
      <c r="DQ497" s="493">
        <f t="shared" si="274"/>
        <v>0</v>
      </c>
      <c r="DR497" s="479">
        <f t="shared" si="286"/>
        <v>0</v>
      </c>
      <c r="DS497" s="1019"/>
      <c r="DT497" s="1019"/>
      <c r="DU497" s="1019"/>
      <c r="DV497" s="1019"/>
      <c r="DW497" s="1019"/>
      <c r="DX497" s="1019"/>
      <c r="DY497" s="1019"/>
      <c r="DZ497" s="1019"/>
      <c r="EA497" s="1019"/>
      <c r="EB497" s="1019"/>
      <c r="EC497" s="1019"/>
      <c r="ED497" s="1019"/>
      <c r="EE497" s="1119">
        <f t="shared" si="275"/>
        <v>0</v>
      </c>
      <c r="EF497" s="443">
        <f>EE497*1.17</f>
        <v>0</v>
      </c>
      <c r="EG497" s="443">
        <f>EF497*1.08</f>
        <v>0</v>
      </c>
      <c r="EH497" s="443">
        <f t="shared" si="298"/>
        <v>0</v>
      </c>
      <c r="EI497" s="443">
        <f t="shared" si="298"/>
        <v>0</v>
      </c>
      <c r="EJ497" s="367">
        <v>3000019723</v>
      </c>
      <c r="EL497" s="177"/>
      <c r="EM497" s="177"/>
      <c r="EN497" s="177"/>
    </row>
    <row r="498" spans="1:144" outlineLevel="2">
      <c r="A498" s="367" t="s">
        <v>687</v>
      </c>
      <c r="B498" s="378"/>
      <c r="C498" s="370" t="s">
        <v>688</v>
      </c>
      <c r="D498" s="370" t="s">
        <v>40</v>
      </c>
      <c r="E498" s="403" t="s">
        <v>729</v>
      </c>
      <c r="F498" s="380">
        <v>3000019762</v>
      </c>
      <c r="G498" s="189"/>
      <c r="H498" s="13"/>
      <c r="I498" s="185"/>
      <c r="J498" s="185"/>
      <c r="K498" s="185"/>
      <c r="L498" s="194"/>
      <c r="M498" s="185"/>
      <c r="N498" s="185"/>
      <c r="O498" s="7"/>
      <c r="P498" s="7"/>
      <c r="Q498" s="7"/>
      <c r="R498" s="7"/>
      <c r="S498" s="14">
        <f>SUM(G498,H498,I498,J498,K498,L498,M498,N498,O498,P498,Q498,R498)</f>
        <v>0</v>
      </c>
      <c r="T498" s="179"/>
      <c r="U498" s="189"/>
      <c r="V498" s="13"/>
      <c r="W498" s="185"/>
      <c r="X498" s="185"/>
      <c r="Y498" s="185"/>
      <c r="Z498" s="194"/>
      <c r="AA498" s="185"/>
      <c r="AB498" s="185"/>
      <c r="AC498" s="7"/>
      <c r="AD498" s="7"/>
      <c r="AE498" s="7"/>
      <c r="AF498" s="7"/>
      <c r="AG498" s="759">
        <f>SUM(U498,V498,W498,X498,Y498,Z498,AA498,AB498,AC498,AD498,AE498,AF498)</f>
        <v>0</v>
      </c>
      <c r="AH498" s="853">
        <v>3000019762</v>
      </c>
      <c r="AI498" s="189"/>
      <c r="AJ498" s="810"/>
      <c r="AK498" s="758"/>
      <c r="AL498" s="758">
        <v>0</v>
      </c>
      <c r="AM498" s="758"/>
      <c r="AN498" s="524">
        <v>2100000</v>
      </c>
      <c r="AO498" s="758">
        <v>0</v>
      </c>
      <c r="AP498" s="758">
        <v>0</v>
      </c>
      <c r="AQ498" s="518">
        <v>0</v>
      </c>
      <c r="AR498" s="813">
        <v>1150000</v>
      </c>
      <c r="AS498" s="813">
        <v>550000</v>
      </c>
      <c r="AT498" s="813">
        <v>0</v>
      </c>
      <c r="AU498" s="518">
        <f t="shared" si="297"/>
        <v>0</v>
      </c>
      <c r="AV498" s="518">
        <f t="shared" si="297"/>
        <v>0</v>
      </c>
      <c r="AW498" s="518">
        <f t="shared" si="297"/>
        <v>0</v>
      </c>
      <c r="AX498" s="518">
        <f t="shared" si="284"/>
        <v>3800000</v>
      </c>
      <c r="AY498" s="853">
        <v>0</v>
      </c>
      <c r="AZ498" s="189"/>
      <c r="BA498" s="810"/>
      <c r="BB498" s="758"/>
      <c r="BC498" s="758">
        <v>0</v>
      </c>
      <c r="BD498" s="758"/>
      <c r="BE498" s="524">
        <v>2100000</v>
      </c>
      <c r="BF498" s="758">
        <v>0</v>
      </c>
      <c r="BG498" s="518">
        <f>AP498</f>
        <v>0</v>
      </c>
      <c r="BH498" s="758">
        <v>0</v>
      </c>
      <c r="BI498" s="758">
        <v>0</v>
      </c>
      <c r="BJ498" s="758">
        <v>0</v>
      </c>
      <c r="BK498" s="758">
        <v>0</v>
      </c>
      <c r="BL498" s="759">
        <f t="shared" si="293"/>
        <v>2100000</v>
      </c>
      <c r="BN498" s="758">
        <v>0</v>
      </c>
      <c r="BO498" s="758">
        <v>0</v>
      </c>
      <c r="BP498" s="758">
        <v>0</v>
      </c>
      <c r="BQ498" s="758">
        <v>0</v>
      </c>
      <c r="BR498" s="758">
        <v>0</v>
      </c>
      <c r="BS498" s="758">
        <v>0</v>
      </c>
      <c r="BT498" s="758">
        <v>0</v>
      </c>
      <c r="BU498" s="758">
        <v>0</v>
      </c>
      <c r="BV498" s="758">
        <v>0</v>
      </c>
      <c r="BW498" s="758">
        <v>0</v>
      </c>
      <c r="BX498" s="758">
        <v>0</v>
      </c>
      <c r="BY498" s="758">
        <v>0</v>
      </c>
      <c r="BZ498" s="791">
        <v>0</v>
      </c>
      <c r="CB498" s="758">
        <v>0</v>
      </c>
      <c r="CC498" s="758">
        <v>0</v>
      </c>
      <c r="CD498" s="758">
        <v>0</v>
      </c>
      <c r="CE498" s="758">
        <v>0</v>
      </c>
      <c r="CF498" s="758">
        <v>0</v>
      </c>
      <c r="CG498" s="758">
        <v>0</v>
      </c>
      <c r="CH498" s="758">
        <v>0</v>
      </c>
      <c r="CI498" s="758">
        <v>0</v>
      </c>
      <c r="CJ498" s="758">
        <v>0</v>
      </c>
      <c r="CK498" s="758">
        <v>0</v>
      </c>
      <c r="CL498" s="758">
        <v>0</v>
      </c>
      <c r="CM498" s="758">
        <v>0</v>
      </c>
      <c r="CN498" s="791">
        <v>0</v>
      </c>
      <c r="CP498" s="653">
        <v>550000</v>
      </c>
      <c r="CQ498" s="653">
        <v>550000</v>
      </c>
      <c r="CR498" s="524">
        <v>550000</v>
      </c>
      <c r="CS498" s="653"/>
      <c r="CT498" s="524"/>
      <c r="CU498" s="653"/>
      <c r="CV498" s="524"/>
      <c r="CW498" s="653">
        <v>550000</v>
      </c>
      <c r="CX498" s="524"/>
      <c r="CY498" s="653">
        <v>550000</v>
      </c>
      <c r="CZ498" s="524"/>
      <c r="DA498" s="653"/>
      <c r="DB498" s="524"/>
      <c r="DC498" s="653">
        <v>0</v>
      </c>
      <c r="DD498" s="524"/>
      <c r="DE498" s="758"/>
      <c r="DF498" s="524"/>
      <c r="DG498" s="757"/>
      <c r="DH498" s="758"/>
      <c r="DI498" s="524"/>
      <c r="DJ498" s="757"/>
      <c r="DK498" s="758"/>
      <c r="DL498" s="524"/>
      <c r="DM498" s="757"/>
      <c r="DN498" s="758"/>
      <c r="DO498" s="524"/>
      <c r="DP498" s="757"/>
      <c r="DQ498" s="493">
        <f t="shared" si="274"/>
        <v>2200000</v>
      </c>
      <c r="DR498" s="479">
        <f t="shared" si="286"/>
        <v>1100000</v>
      </c>
      <c r="DS498" s="1019"/>
      <c r="DT498" s="1019"/>
      <c r="DU498" s="1019"/>
      <c r="DV498" s="1019"/>
      <c r="DW498" s="1019"/>
      <c r="DX498" s="1019"/>
      <c r="DY498" s="1019"/>
      <c r="DZ498" s="1019"/>
      <c r="EA498" s="1019"/>
      <c r="EB498" s="1019"/>
      <c r="EC498" s="1019"/>
      <c r="ED498" s="1019"/>
      <c r="EE498" s="1119">
        <f t="shared" si="275"/>
        <v>0</v>
      </c>
      <c r="EF498" s="443">
        <f>EE498*1.17</f>
        <v>0</v>
      </c>
      <c r="EG498" s="443">
        <f>EF498*1.08</f>
        <v>0</v>
      </c>
      <c r="EH498" s="443">
        <f t="shared" si="298"/>
        <v>0</v>
      </c>
      <c r="EI498" s="443">
        <f t="shared" si="298"/>
        <v>0</v>
      </c>
      <c r="EJ498" s="367">
        <v>3000019762</v>
      </c>
      <c r="EL498" s="177"/>
      <c r="EM498" s="177"/>
      <c r="EN498" s="177"/>
    </row>
    <row r="499" spans="1:144" outlineLevel="2">
      <c r="A499" s="367" t="s">
        <v>291</v>
      </c>
      <c r="B499" s="378"/>
      <c r="C499" s="370" t="s">
        <v>688</v>
      </c>
      <c r="D499" s="370" t="s">
        <v>40</v>
      </c>
      <c r="E499" s="383" t="s">
        <v>730</v>
      </c>
      <c r="F499" s="380">
        <v>3000018014</v>
      </c>
      <c r="G499" s="186"/>
      <c r="H499" s="26"/>
      <c r="I499" s="27"/>
      <c r="J499" s="185"/>
      <c r="K499" s="185"/>
      <c r="L499" s="194"/>
      <c r="M499" s="185"/>
      <c r="N499" s="185"/>
      <c r="O499" s="7"/>
      <c r="P499" s="7"/>
      <c r="Q499" s="7"/>
      <c r="R499" s="7"/>
      <c r="S499" s="14">
        <f>SUM(G499,H499,I499,J499,K499,L499,M499,N499,O499,P499,Q499,R499)</f>
        <v>0</v>
      </c>
      <c r="T499" s="179"/>
      <c r="U499" s="186"/>
      <c r="V499" s="26"/>
      <c r="W499" s="27"/>
      <c r="X499" s="185"/>
      <c r="Y499" s="185"/>
      <c r="Z499" s="194"/>
      <c r="AA499" s="185"/>
      <c r="AB499" s="185"/>
      <c r="AC499" s="7"/>
      <c r="AD499" s="7"/>
      <c r="AE499" s="7"/>
      <c r="AF499" s="7"/>
      <c r="AG499" s="759">
        <f>SUM(U499,V499,W499,X499,Y499,Z499,AA499,AB499,AC499,AD499,AE499,AF499)</f>
        <v>0</v>
      </c>
      <c r="AH499" s="853">
        <v>3000018014</v>
      </c>
      <c r="AI499" s="814">
        <v>59328079</v>
      </c>
      <c r="AJ499" s="824">
        <v>150865392</v>
      </c>
      <c r="AK499" s="858">
        <v>114285701</v>
      </c>
      <c r="AL499" s="758">
        <v>112711397</v>
      </c>
      <c r="AM499" s="758">
        <v>109309361</v>
      </c>
      <c r="AN499" s="524">
        <v>84451366</v>
      </c>
      <c r="AO499" s="758">
        <v>82370151</v>
      </c>
      <c r="AP499" s="758">
        <v>104254912</v>
      </c>
      <c r="AQ499" s="518">
        <v>102475020</v>
      </c>
      <c r="AR499" s="813">
        <v>114137269</v>
      </c>
      <c r="AS499" s="813">
        <v>122533691</v>
      </c>
      <c r="AT499" s="813">
        <v>123312658</v>
      </c>
      <c r="AU499" s="518">
        <f t="shared" si="297"/>
        <v>80000000</v>
      </c>
      <c r="AV499" s="518">
        <f t="shared" si="297"/>
        <v>80000000</v>
      </c>
      <c r="AW499" s="518">
        <f t="shared" si="297"/>
        <v>80000000</v>
      </c>
      <c r="AX499" s="518">
        <f t="shared" si="284"/>
        <v>1280034997</v>
      </c>
      <c r="AY499" s="853" t="e">
        <v>#N/A</v>
      </c>
      <c r="AZ499" s="814">
        <v>59328079</v>
      </c>
      <c r="BA499" s="824">
        <v>150865392</v>
      </c>
      <c r="BB499" s="858">
        <v>114285701</v>
      </c>
      <c r="BC499" s="758">
        <v>112711397</v>
      </c>
      <c r="BD499" s="758">
        <v>109309361</v>
      </c>
      <c r="BE499" s="524">
        <v>84451366</v>
      </c>
      <c r="BF499" s="758">
        <v>82370151</v>
      </c>
      <c r="BG499" s="518">
        <f>AP499</f>
        <v>104254912</v>
      </c>
      <c r="BH499" s="758">
        <v>80000000</v>
      </c>
      <c r="BI499" s="758">
        <v>80000000</v>
      </c>
      <c r="BJ499" s="758">
        <v>80000000</v>
      </c>
      <c r="BK499" s="758">
        <v>80000000</v>
      </c>
      <c r="BL499" s="759">
        <f t="shared" si="293"/>
        <v>1137576359</v>
      </c>
      <c r="BN499" s="758">
        <v>100000000</v>
      </c>
      <c r="BO499" s="758">
        <v>100000000</v>
      </c>
      <c r="BP499" s="758">
        <v>100000000</v>
      </c>
      <c r="BQ499" s="758">
        <v>100000000</v>
      </c>
      <c r="BR499" s="758">
        <v>100000000</v>
      </c>
      <c r="BS499" s="758">
        <v>100000000</v>
      </c>
      <c r="BT499" s="758">
        <v>100000000</v>
      </c>
      <c r="BU499" s="758">
        <v>100000000</v>
      </c>
      <c r="BV499" s="758">
        <v>100000000</v>
      </c>
      <c r="BW499" s="758">
        <v>100000000</v>
      </c>
      <c r="BX499" s="758">
        <v>100000000</v>
      </c>
      <c r="BY499" s="758">
        <v>100000000</v>
      </c>
      <c r="BZ499" s="791">
        <v>1200000000</v>
      </c>
      <c r="CB499" s="758">
        <v>100000000</v>
      </c>
      <c r="CC499" s="758">
        <v>100000000</v>
      </c>
      <c r="CD499" s="758">
        <v>100000000</v>
      </c>
      <c r="CE499" s="758">
        <v>100000000</v>
      </c>
      <c r="CF499" s="758">
        <v>100000000</v>
      </c>
      <c r="CG499" s="758">
        <v>100000000</v>
      </c>
      <c r="CH499" s="758">
        <v>100000000</v>
      </c>
      <c r="CI499" s="758">
        <v>100000000</v>
      </c>
      <c r="CJ499" s="758">
        <v>100000000</v>
      </c>
      <c r="CK499" s="758">
        <v>100000000</v>
      </c>
      <c r="CL499" s="758">
        <v>100000000</v>
      </c>
      <c r="CM499" s="758">
        <v>100000000</v>
      </c>
      <c r="CN499" s="791">
        <v>1200000000</v>
      </c>
      <c r="CP499" s="653">
        <v>81066353</v>
      </c>
      <c r="CQ499" s="653">
        <v>94973879</v>
      </c>
      <c r="CR499" s="524">
        <v>94000000</v>
      </c>
      <c r="CS499" s="653">
        <v>157883799</v>
      </c>
      <c r="CT499" s="524">
        <v>50000000</v>
      </c>
      <c r="CU499" s="653">
        <v>119401658</v>
      </c>
      <c r="CV499" s="524">
        <v>60000000</v>
      </c>
      <c r="CW499" s="653">
        <v>133216209</v>
      </c>
      <c r="CX499" s="524">
        <v>60000000</v>
      </c>
      <c r="CY499" s="653">
        <v>155764099</v>
      </c>
      <c r="CZ499" s="524">
        <v>120000000</v>
      </c>
      <c r="DA499" s="653">
        <v>99670408</v>
      </c>
      <c r="DB499" s="524">
        <v>120000000</v>
      </c>
      <c r="DC499" s="653">
        <v>112715118</v>
      </c>
      <c r="DD499" s="524">
        <v>120000000</v>
      </c>
      <c r="DE499" s="758"/>
      <c r="DF499" s="524">
        <v>120000000</v>
      </c>
      <c r="DG499" s="757">
        <v>120000000</v>
      </c>
      <c r="DH499" s="758"/>
      <c r="DI499" s="524">
        <v>120000000</v>
      </c>
      <c r="DJ499" s="757">
        <v>120000000</v>
      </c>
      <c r="DK499" s="758"/>
      <c r="DL499" s="524">
        <v>120000000</v>
      </c>
      <c r="DM499" s="757">
        <v>120000000</v>
      </c>
      <c r="DN499" s="758"/>
      <c r="DO499" s="524">
        <v>120000000</v>
      </c>
      <c r="DP499" s="757">
        <v>120000000</v>
      </c>
      <c r="DQ499" s="493">
        <f t="shared" si="274"/>
        <v>1434691523</v>
      </c>
      <c r="DR499" s="479">
        <f t="shared" si="286"/>
        <v>1353325689</v>
      </c>
      <c r="DS499" s="1019">
        <v>120000000</v>
      </c>
      <c r="DT499" s="1019">
        <v>120000000</v>
      </c>
      <c r="DU499" s="1019">
        <v>120000000</v>
      </c>
      <c r="DV499" s="1019">
        <v>120000000</v>
      </c>
      <c r="DW499" s="1019">
        <v>120000000</v>
      </c>
      <c r="DX499" s="1019">
        <v>120000000</v>
      </c>
      <c r="DY499" s="1019">
        <v>120000000</v>
      </c>
      <c r="DZ499" s="1019">
        <v>120000000</v>
      </c>
      <c r="EA499" s="1019">
        <v>120000000</v>
      </c>
      <c r="EB499" s="1019">
        <v>120000000</v>
      </c>
      <c r="EC499" s="1019">
        <v>120000000</v>
      </c>
      <c r="ED499" s="1019">
        <v>120000000</v>
      </c>
      <c r="EE499" s="1119">
        <f t="shared" si="275"/>
        <v>1440000000</v>
      </c>
      <c r="EF499" s="443">
        <f>EE499*1.17</f>
        <v>1684800000</v>
      </c>
      <c r="EG499" s="443">
        <f>EF499*1.08</f>
        <v>1819584000.0000002</v>
      </c>
      <c r="EH499" s="443">
        <f t="shared" si="298"/>
        <v>1983346560.0000005</v>
      </c>
      <c r="EI499" s="443">
        <f t="shared" si="298"/>
        <v>2161847750.4000006</v>
      </c>
      <c r="EJ499" s="367">
        <v>3000018014</v>
      </c>
      <c r="EL499" s="177"/>
      <c r="EM499" s="177"/>
      <c r="EN499" s="177"/>
    </row>
    <row r="500" spans="1:144" outlineLevel="2">
      <c r="A500" s="367" t="s">
        <v>291</v>
      </c>
      <c r="B500" s="378"/>
      <c r="C500" s="370" t="s">
        <v>688</v>
      </c>
      <c r="D500" s="370" t="s">
        <v>40</v>
      </c>
      <c r="E500" s="379" t="s">
        <v>731</v>
      </c>
      <c r="F500" s="380">
        <v>3000002475</v>
      </c>
      <c r="G500" s="189"/>
      <c r="H500" s="13"/>
      <c r="I500" s="185"/>
      <c r="J500" s="185"/>
      <c r="K500" s="185"/>
      <c r="L500" s="185"/>
      <c r="M500" s="185"/>
      <c r="N500" s="185"/>
      <c r="O500" s="7"/>
      <c r="P500" s="7"/>
      <c r="Q500" s="7"/>
      <c r="R500" s="7"/>
      <c r="S500" s="14"/>
      <c r="T500" s="179"/>
      <c r="U500" s="189"/>
      <c r="V500" s="13"/>
      <c r="W500" s="185"/>
      <c r="X500" s="185"/>
      <c r="Y500" s="185"/>
      <c r="Z500" s="185"/>
      <c r="AA500" s="185"/>
      <c r="AB500" s="185"/>
      <c r="AC500" s="7"/>
      <c r="AD500" s="7"/>
      <c r="AE500" s="7"/>
      <c r="AF500" s="7"/>
      <c r="AG500" s="759"/>
      <c r="AH500" s="853"/>
      <c r="AI500" s="189"/>
      <c r="AJ500" s="810"/>
      <c r="AK500" s="758"/>
      <c r="AL500" s="758"/>
      <c r="AM500" s="758"/>
      <c r="AN500" s="758"/>
      <c r="AO500" s="758"/>
      <c r="AP500" s="758"/>
      <c r="AQ500" s="518">
        <v>6655435</v>
      </c>
      <c r="AR500" s="518"/>
      <c r="AS500" s="518"/>
      <c r="AT500" s="518"/>
      <c r="AU500" s="518"/>
      <c r="AV500" s="518"/>
      <c r="AW500" s="518"/>
      <c r="AX500" s="518">
        <f t="shared" si="284"/>
        <v>6655435</v>
      </c>
      <c r="AY500" s="853"/>
      <c r="AZ500" s="189"/>
      <c r="BA500" s="810"/>
      <c r="BB500" s="758"/>
      <c r="BC500" s="758"/>
      <c r="BD500" s="758"/>
      <c r="BE500" s="758"/>
      <c r="BF500" s="758"/>
      <c r="BG500" s="518"/>
      <c r="BH500" s="758"/>
      <c r="BI500" s="758"/>
      <c r="BJ500" s="758"/>
      <c r="BK500" s="758"/>
      <c r="BL500" s="518">
        <f t="shared" si="293"/>
        <v>0</v>
      </c>
      <c r="BN500" s="758"/>
      <c r="BO500" s="758"/>
      <c r="BP500" s="758"/>
      <c r="BQ500" s="758"/>
      <c r="BR500" s="758"/>
      <c r="BS500" s="758"/>
      <c r="BT500" s="758"/>
      <c r="BU500" s="758"/>
      <c r="BV500" s="758"/>
      <c r="BW500" s="758"/>
      <c r="BX500" s="758"/>
      <c r="BY500" s="758"/>
      <c r="BZ500" s="791">
        <v>0</v>
      </c>
      <c r="CB500" s="758"/>
      <c r="CC500" s="758"/>
      <c r="CD500" s="758"/>
      <c r="CE500" s="758"/>
      <c r="CF500" s="758"/>
      <c r="CG500" s="758"/>
      <c r="CH500" s="758"/>
      <c r="CI500" s="758"/>
      <c r="CJ500" s="758"/>
      <c r="CK500" s="758"/>
      <c r="CL500" s="758"/>
      <c r="CM500" s="758"/>
      <c r="CN500" s="791">
        <v>0</v>
      </c>
      <c r="CP500" s="653"/>
      <c r="CQ500" s="653"/>
      <c r="CR500" s="524"/>
      <c r="CS500" s="653">
        <v>3897735</v>
      </c>
      <c r="CT500" s="524"/>
      <c r="CU500" s="653"/>
      <c r="CV500" s="524"/>
      <c r="CW500" s="653"/>
      <c r="CX500" s="524"/>
      <c r="CY500" s="653"/>
      <c r="CZ500" s="524"/>
      <c r="DA500" s="653"/>
      <c r="DB500" s="524"/>
      <c r="DC500" s="653">
        <v>0</v>
      </c>
      <c r="DD500" s="524"/>
      <c r="DE500" s="758"/>
      <c r="DF500" s="524"/>
      <c r="DG500" s="757"/>
      <c r="DH500" s="758"/>
      <c r="DI500" s="524"/>
      <c r="DJ500" s="757"/>
      <c r="DK500" s="758"/>
      <c r="DL500" s="524"/>
      <c r="DM500" s="757"/>
      <c r="DN500" s="758"/>
      <c r="DO500" s="524"/>
      <c r="DP500" s="757"/>
      <c r="DQ500" s="493">
        <f t="shared" si="274"/>
        <v>3897735</v>
      </c>
      <c r="DR500" s="479">
        <f t="shared" si="286"/>
        <v>3897735</v>
      </c>
      <c r="DS500" s="1019"/>
      <c r="DT500" s="1019"/>
      <c r="DU500" s="1019"/>
      <c r="DV500" s="1019"/>
      <c r="DW500" s="1019"/>
      <c r="DX500" s="1019"/>
      <c r="DY500" s="1019"/>
      <c r="DZ500" s="1019"/>
      <c r="EA500" s="1019"/>
      <c r="EB500" s="1019"/>
      <c r="EC500" s="1019"/>
      <c r="ED500" s="1019"/>
      <c r="EE500" s="1119">
        <f t="shared" si="275"/>
        <v>0</v>
      </c>
      <c r="EF500" s="459"/>
      <c r="EG500" s="459"/>
      <c r="EH500" s="459"/>
      <c r="EI500" s="459"/>
      <c r="EJ500" s="367">
        <v>3000002475</v>
      </c>
      <c r="EL500" s="177"/>
      <c r="EM500" s="177"/>
      <c r="EN500" s="177"/>
    </row>
    <row r="501" spans="1:144" outlineLevel="2">
      <c r="A501" s="367" t="s">
        <v>291</v>
      </c>
      <c r="B501" s="378"/>
      <c r="C501" s="370" t="s">
        <v>688</v>
      </c>
      <c r="D501" s="370" t="s">
        <v>40</v>
      </c>
      <c r="E501" s="383" t="s">
        <v>135</v>
      </c>
      <c r="F501" s="380">
        <v>3000011390</v>
      </c>
      <c r="G501" s="186"/>
      <c r="H501" s="30"/>
      <c r="I501" s="185"/>
      <c r="J501" s="185"/>
      <c r="K501" s="185"/>
      <c r="L501" s="194"/>
      <c r="M501" s="185"/>
      <c r="N501" s="185"/>
      <c r="O501" s="7"/>
      <c r="P501" s="7"/>
      <c r="Q501" s="7"/>
      <c r="R501" s="7"/>
      <c r="S501" s="14">
        <f>SUM(G501,H501,I501,J501,K501,L501,M501,N501,O501,P501,Q501,R501)</f>
        <v>0</v>
      </c>
      <c r="T501" s="179"/>
      <c r="U501" s="186"/>
      <c r="V501" s="30"/>
      <c r="W501" s="185"/>
      <c r="X501" s="185"/>
      <c r="Y501" s="185"/>
      <c r="Z501" s="194"/>
      <c r="AA501" s="185"/>
      <c r="AB501" s="185"/>
      <c r="AC501" s="7"/>
      <c r="AD501" s="7"/>
      <c r="AE501" s="7"/>
      <c r="AF501" s="7"/>
      <c r="AG501" s="759">
        <f>SUM(U501,V501,W501,X501,Y501,Z501,AA501,AB501,AC501,AD501,AE501,AF501)</f>
        <v>0</v>
      </c>
      <c r="AH501" s="853">
        <v>3000011390</v>
      </c>
      <c r="AI501" s="814">
        <v>117250000</v>
      </c>
      <c r="AJ501" s="859">
        <v>118195000</v>
      </c>
      <c r="AK501" s="758">
        <v>96650000</v>
      </c>
      <c r="AL501" s="758">
        <v>166980000</v>
      </c>
      <c r="AM501" s="758">
        <v>136450000</v>
      </c>
      <c r="AN501" s="524">
        <v>195650000</v>
      </c>
      <c r="AO501" s="758">
        <v>135300000</v>
      </c>
      <c r="AP501" s="758">
        <v>131275000</v>
      </c>
      <c r="AQ501" s="518">
        <v>95825000</v>
      </c>
      <c r="AR501" s="813">
        <v>116725000</v>
      </c>
      <c r="AS501" s="813">
        <v>94925000</v>
      </c>
      <c r="AT501" s="813">
        <v>117950000</v>
      </c>
      <c r="AU501" s="518">
        <f t="shared" ref="AU501:AW503" si="299">BI501</f>
        <v>150000000</v>
      </c>
      <c r="AV501" s="518">
        <f t="shared" si="299"/>
        <v>150000000</v>
      </c>
      <c r="AW501" s="518">
        <f t="shared" si="299"/>
        <v>150000000</v>
      </c>
      <c r="AX501" s="518">
        <f t="shared" si="284"/>
        <v>1523175000</v>
      </c>
      <c r="AY501" s="853" t="e">
        <v>#N/A</v>
      </c>
      <c r="AZ501" s="814">
        <v>117250000</v>
      </c>
      <c r="BA501" s="859">
        <v>118195000</v>
      </c>
      <c r="BB501" s="758">
        <v>96650000</v>
      </c>
      <c r="BC501" s="758">
        <v>166980000</v>
      </c>
      <c r="BD501" s="758">
        <v>136450000</v>
      </c>
      <c r="BE501" s="524">
        <v>195650000</v>
      </c>
      <c r="BF501" s="758">
        <v>135300000</v>
      </c>
      <c r="BG501" s="518">
        <f>AP501</f>
        <v>131275000</v>
      </c>
      <c r="BH501" s="758">
        <v>150000000</v>
      </c>
      <c r="BI501" s="758">
        <v>150000000</v>
      </c>
      <c r="BJ501" s="758">
        <v>150000000</v>
      </c>
      <c r="BK501" s="758">
        <v>150000000</v>
      </c>
      <c r="BL501" s="759">
        <f t="shared" si="293"/>
        <v>1697750000</v>
      </c>
      <c r="BN501" s="758">
        <v>120000000</v>
      </c>
      <c r="BO501" s="758">
        <v>120000000</v>
      </c>
      <c r="BP501" s="758">
        <v>120000000</v>
      </c>
      <c r="BQ501" s="758">
        <v>120000000</v>
      </c>
      <c r="BR501" s="758">
        <v>120000000</v>
      </c>
      <c r="BS501" s="758">
        <v>120000000</v>
      </c>
      <c r="BT501" s="758">
        <v>120000000</v>
      </c>
      <c r="BU501" s="758">
        <v>120000000</v>
      </c>
      <c r="BV501" s="758">
        <v>120000000</v>
      </c>
      <c r="BW501" s="758">
        <v>120000000</v>
      </c>
      <c r="BX501" s="758">
        <v>120000000</v>
      </c>
      <c r="BY501" s="758">
        <v>120000000</v>
      </c>
      <c r="BZ501" s="791">
        <v>1440000000</v>
      </c>
      <c r="CB501" s="758">
        <v>120000000</v>
      </c>
      <c r="CC501" s="758">
        <v>120000000</v>
      </c>
      <c r="CD501" s="758">
        <v>120000000</v>
      </c>
      <c r="CE501" s="758">
        <v>120000000</v>
      </c>
      <c r="CF501" s="758">
        <v>120000000</v>
      </c>
      <c r="CG501" s="758">
        <v>120000000</v>
      </c>
      <c r="CH501" s="758">
        <v>120000000</v>
      </c>
      <c r="CI501" s="758">
        <v>120000000</v>
      </c>
      <c r="CJ501" s="758">
        <v>120000000</v>
      </c>
      <c r="CK501" s="758">
        <v>120000000</v>
      </c>
      <c r="CL501" s="758">
        <v>120000000</v>
      </c>
      <c r="CM501" s="758">
        <v>120000000</v>
      </c>
      <c r="CN501" s="791">
        <v>1440000000</v>
      </c>
      <c r="CP501" s="653">
        <v>60150000</v>
      </c>
      <c r="CQ501" s="653">
        <v>73250000</v>
      </c>
      <c r="CR501" s="524">
        <v>78000000</v>
      </c>
      <c r="CS501" s="653">
        <v>17525000</v>
      </c>
      <c r="CT501" s="524">
        <v>60000000</v>
      </c>
      <c r="CU501" s="653"/>
      <c r="CV501" s="524"/>
      <c r="CW501" s="653"/>
      <c r="CX501" s="524"/>
      <c r="CY501" s="653"/>
      <c r="CZ501" s="524"/>
      <c r="DA501" s="653"/>
      <c r="DB501" s="524"/>
      <c r="DC501" s="653">
        <v>0</v>
      </c>
      <c r="DD501" s="524"/>
      <c r="DE501" s="758"/>
      <c r="DF501" s="524"/>
      <c r="DG501" s="757"/>
      <c r="DH501" s="758"/>
      <c r="DI501" s="524"/>
      <c r="DJ501" s="757"/>
      <c r="DK501" s="758"/>
      <c r="DL501" s="524"/>
      <c r="DM501" s="757"/>
      <c r="DN501" s="758"/>
      <c r="DO501" s="524"/>
      <c r="DP501" s="757"/>
      <c r="DQ501" s="493">
        <f t="shared" si="274"/>
        <v>150925000</v>
      </c>
      <c r="DR501" s="479">
        <f t="shared" si="286"/>
        <v>150925000</v>
      </c>
      <c r="DS501" s="1019"/>
      <c r="DT501" s="1019"/>
      <c r="DU501" s="1019"/>
      <c r="DV501" s="1019"/>
      <c r="DW501" s="1019"/>
      <c r="DX501" s="1019"/>
      <c r="DY501" s="1019"/>
      <c r="DZ501" s="1019"/>
      <c r="EA501" s="1019"/>
      <c r="EB501" s="1019"/>
      <c r="EC501" s="1019"/>
      <c r="ED501" s="1019"/>
      <c r="EE501" s="1119">
        <f t="shared" si="275"/>
        <v>0</v>
      </c>
      <c r="EF501" s="443">
        <f>EE501*1.17</f>
        <v>0</v>
      </c>
      <c r="EG501" s="443">
        <f>EF501*1.08</f>
        <v>0</v>
      </c>
      <c r="EH501" s="443">
        <f t="shared" ref="EH501:EI503" si="300">EG501*1.09</f>
        <v>0</v>
      </c>
      <c r="EI501" s="443">
        <f t="shared" si="300"/>
        <v>0</v>
      </c>
      <c r="EJ501" s="367">
        <v>3000011390</v>
      </c>
      <c r="EL501" s="177"/>
      <c r="EM501" s="177"/>
      <c r="EN501" s="177"/>
    </row>
    <row r="502" spans="1:144" outlineLevel="2">
      <c r="A502" s="367" t="s">
        <v>687</v>
      </c>
      <c r="B502" s="378"/>
      <c r="C502" s="370" t="s">
        <v>688</v>
      </c>
      <c r="D502" s="370" t="s">
        <v>40</v>
      </c>
      <c r="E502" s="383" t="s">
        <v>669</v>
      </c>
      <c r="F502" s="380">
        <v>3000002495</v>
      </c>
      <c r="G502" s="6"/>
      <c r="H502" s="13"/>
      <c r="I502" s="185"/>
      <c r="J502" s="185"/>
      <c r="K502" s="185"/>
      <c r="L502" s="194"/>
      <c r="M502" s="185"/>
      <c r="N502" s="185"/>
      <c r="O502" s="7"/>
      <c r="P502" s="7"/>
      <c r="Q502" s="7"/>
      <c r="R502" s="7"/>
      <c r="S502" s="14">
        <f>SUM(G502,H502,I502,J502,K502,L502,M502,N502,O502,P502,Q502,R502)</f>
        <v>0</v>
      </c>
      <c r="T502" s="15"/>
      <c r="U502" s="6"/>
      <c r="V502" s="13"/>
      <c r="W502" s="185"/>
      <c r="X502" s="185"/>
      <c r="Y502" s="185"/>
      <c r="Z502" s="194"/>
      <c r="AA502" s="185"/>
      <c r="AB502" s="185"/>
      <c r="AC502" s="7"/>
      <c r="AD502" s="7"/>
      <c r="AE502" s="7"/>
      <c r="AF502" s="7"/>
      <c r="AG502" s="759">
        <f>SUM(U502,V502,W502,X502,Y502,Z502,AA502,AB502,AC502,AD502,AE502,AF502)</f>
        <v>0</v>
      </c>
      <c r="AH502" s="853">
        <v>3000002495</v>
      </c>
      <c r="AI502" s="6"/>
      <c r="AJ502" s="810"/>
      <c r="AK502" s="758">
        <v>7316500</v>
      </c>
      <c r="AL502" s="758">
        <v>14300000</v>
      </c>
      <c r="AM502" s="758">
        <v>29638000</v>
      </c>
      <c r="AN502" s="524">
        <v>87374000</v>
      </c>
      <c r="AO502" s="758">
        <v>65357000</v>
      </c>
      <c r="AP502" s="758">
        <v>133130440</v>
      </c>
      <c r="AQ502" s="518">
        <v>45044500</v>
      </c>
      <c r="AR502" s="813">
        <v>14301500</v>
      </c>
      <c r="AS502" s="813">
        <v>47449500</v>
      </c>
      <c r="AT502" s="813">
        <v>62119000</v>
      </c>
      <c r="AU502" s="518">
        <f t="shared" si="299"/>
        <v>60000000</v>
      </c>
      <c r="AV502" s="518">
        <f t="shared" si="299"/>
        <v>60000000</v>
      </c>
      <c r="AW502" s="518">
        <f t="shared" si="299"/>
        <v>60000000</v>
      </c>
      <c r="AX502" s="518">
        <f t="shared" si="284"/>
        <v>506030440</v>
      </c>
      <c r="AY502" s="853" t="e">
        <v>#N/A</v>
      </c>
      <c r="AZ502" s="6"/>
      <c r="BA502" s="810"/>
      <c r="BB502" s="758">
        <v>7316500</v>
      </c>
      <c r="BC502" s="758">
        <v>14300000</v>
      </c>
      <c r="BD502" s="758">
        <v>29638000</v>
      </c>
      <c r="BE502" s="524">
        <v>87374000</v>
      </c>
      <c r="BF502" s="758">
        <v>65357000</v>
      </c>
      <c r="BG502" s="518">
        <f>AP502</f>
        <v>133130440</v>
      </c>
      <c r="BH502" s="758">
        <v>60000000</v>
      </c>
      <c r="BI502" s="758">
        <v>60000000</v>
      </c>
      <c r="BJ502" s="758">
        <v>60000000</v>
      </c>
      <c r="BK502" s="758">
        <v>60000000</v>
      </c>
      <c r="BL502" s="759">
        <f t="shared" si="293"/>
        <v>577115940</v>
      </c>
      <c r="BN502" s="758">
        <v>50000000</v>
      </c>
      <c r="BO502" s="758">
        <v>50000000</v>
      </c>
      <c r="BP502" s="758">
        <v>50000000</v>
      </c>
      <c r="BQ502" s="758">
        <v>50000000</v>
      </c>
      <c r="BR502" s="758">
        <v>50000000</v>
      </c>
      <c r="BS502" s="758">
        <v>50000000</v>
      </c>
      <c r="BT502" s="758">
        <v>50000000</v>
      </c>
      <c r="BU502" s="758">
        <v>50000000</v>
      </c>
      <c r="BV502" s="758">
        <v>50000000</v>
      </c>
      <c r="BW502" s="758">
        <v>50000000</v>
      </c>
      <c r="BX502" s="758">
        <v>50000000</v>
      </c>
      <c r="BY502" s="758">
        <v>50000000</v>
      </c>
      <c r="BZ502" s="791">
        <v>600000000</v>
      </c>
      <c r="CB502" s="758">
        <v>50000000</v>
      </c>
      <c r="CC502" s="758">
        <v>50000000</v>
      </c>
      <c r="CD502" s="758">
        <v>50000000</v>
      </c>
      <c r="CE502" s="758">
        <v>50000000</v>
      </c>
      <c r="CF502" s="758">
        <v>50000000</v>
      </c>
      <c r="CG502" s="758">
        <v>50000000</v>
      </c>
      <c r="CH502" s="758">
        <v>50000000</v>
      </c>
      <c r="CI502" s="758">
        <v>50000000</v>
      </c>
      <c r="CJ502" s="758">
        <v>50000000</v>
      </c>
      <c r="CK502" s="758">
        <v>50000000</v>
      </c>
      <c r="CL502" s="758">
        <v>50000000</v>
      </c>
      <c r="CM502" s="758">
        <v>50000000</v>
      </c>
      <c r="CN502" s="791">
        <v>600000000</v>
      </c>
      <c r="CP502" s="653">
        <v>39413500</v>
      </c>
      <c r="CQ502" s="653">
        <v>48203500</v>
      </c>
      <c r="CR502" s="524">
        <v>48000000</v>
      </c>
      <c r="CS502" s="653">
        <v>93883500</v>
      </c>
      <c r="CT502" s="524">
        <v>60000000</v>
      </c>
      <c r="CU502" s="653">
        <v>14426000</v>
      </c>
      <c r="CV502" s="524">
        <v>60000000</v>
      </c>
      <c r="CW502" s="653">
        <v>27096500</v>
      </c>
      <c r="CX502" s="524">
        <v>40000000</v>
      </c>
      <c r="CY502" s="653">
        <v>38303000</v>
      </c>
      <c r="CZ502" s="524">
        <v>50000000</v>
      </c>
      <c r="DA502" s="653">
        <v>136651983</v>
      </c>
      <c r="DB502" s="524">
        <v>50000000</v>
      </c>
      <c r="DC502" s="653">
        <v>55316900</v>
      </c>
      <c r="DD502" s="524">
        <v>50000000</v>
      </c>
      <c r="DE502" s="758"/>
      <c r="DF502" s="524">
        <v>50000000</v>
      </c>
      <c r="DG502" s="757">
        <v>50000000</v>
      </c>
      <c r="DH502" s="758"/>
      <c r="DI502" s="524">
        <v>50000000</v>
      </c>
      <c r="DJ502" s="757">
        <v>50000000</v>
      </c>
      <c r="DK502" s="758"/>
      <c r="DL502" s="524">
        <v>50000000</v>
      </c>
      <c r="DM502" s="757">
        <v>50000000</v>
      </c>
      <c r="DN502" s="758"/>
      <c r="DO502" s="524">
        <v>50000000</v>
      </c>
      <c r="DP502" s="757">
        <v>50000000</v>
      </c>
      <c r="DQ502" s="493">
        <f t="shared" si="274"/>
        <v>653294883</v>
      </c>
      <c r="DR502" s="479">
        <f t="shared" si="286"/>
        <v>585926500</v>
      </c>
      <c r="DS502" s="1019">
        <v>40000000</v>
      </c>
      <c r="DT502" s="1019">
        <v>40000000</v>
      </c>
      <c r="DU502" s="1019">
        <v>40000000</v>
      </c>
      <c r="DV502" s="1019">
        <v>40000000</v>
      </c>
      <c r="DW502" s="1019">
        <v>40000000</v>
      </c>
      <c r="DX502" s="1019">
        <v>40000000</v>
      </c>
      <c r="DY502" s="1019">
        <v>40000000</v>
      </c>
      <c r="DZ502" s="1019">
        <v>40000000</v>
      </c>
      <c r="EA502" s="1019">
        <v>40000000</v>
      </c>
      <c r="EB502" s="1019">
        <v>40000000</v>
      </c>
      <c r="EC502" s="1019">
        <v>40000000</v>
      </c>
      <c r="ED502" s="1019">
        <v>40000000</v>
      </c>
      <c r="EE502" s="1119">
        <f t="shared" si="275"/>
        <v>480000000</v>
      </c>
      <c r="EF502" s="443">
        <f>EE502*1.17</f>
        <v>561600000</v>
      </c>
      <c r="EG502" s="443">
        <f>EF502*1.08</f>
        <v>606528000</v>
      </c>
      <c r="EH502" s="443">
        <f t="shared" si="300"/>
        <v>661115520</v>
      </c>
      <c r="EI502" s="443">
        <f t="shared" si="300"/>
        <v>720615916.80000007</v>
      </c>
      <c r="EJ502" s="367">
        <v>3000002495</v>
      </c>
      <c r="EL502" s="177"/>
      <c r="EM502" s="177"/>
      <c r="EN502" s="177"/>
    </row>
    <row r="503" spans="1:144" outlineLevel="2">
      <c r="A503" s="367" t="s">
        <v>687</v>
      </c>
      <c r="B503" s="378"/>
      <c r="C503" s="370" t="s">
        <v>688</v>
      </c>
      <c r="D503" s="370" t="s">
        <v>40</v>
      </c>
      <c r="E503" s="403" t="s">
        <v>732</v>
      </c>
      <c r="F503" s="380">
        <v>3000009448</v>
      </c>
      <c r="G503" s="6"/>
      <c r="H503" s="13"/>
      <c r="I503" s="185"/>
      <c r="J503" s="185"/>
      <c r="K503" s="185"/>
      <c r="L503" s="194"/>
      <c r="M503" s="185"/>
      <c r="N503" s="185"/>
      <c r="O503" s="7"/>
      <c r="P503" s="7"/>
      <c r="Q503" s="7"/>
      <c r="R503" s="7"/>
      <c r="S503" s="14">
        <f>SUM(G503,H503,I503,J503,K503,L503,M503,N503,O503,P503,Q503,R503)</f>
        <v>0</v>
      </c>
      <c r="T503" s="15"/>
      <c r="U503" s="6"/>
      <c r="V503" s="13"/>
      <c r="W503" s="185"/>
      <c r="X503" s="185"/>
      <c r="Y503" s="185"/>
      <c r="Z503" s="194"/>
      <c r="AA503" s="185"/>
      <c r="AB503" s="185"/>
      <c r="AC503" s="7"/>
      <c r="AD503" s="7"/>
      <c r="AE503" s="7"/>
      <c r="AF503" s="7"/>
      <c r="AG503" s="759">
        <f>SUM(U503,V503,W503,X503,Y503,Z503,AA503,AB503,AC503,AD503,AE503,AF503)</f>
        <v>0</v>
      </c>
      <c r="AH503" s="853">
        <v>3000009448</v>
      </c>
      <c r="AI503" s="6"/>
      <c r="AJ503" s="810"/>
      <c r="AK503" s="758"/>
      <c r="AL503" s="758">
        <v>0</v>
      </c>
      <c r="AM503" s="758"/>
      <c r="AN503" s="524">
        <v>3107500</v>
      </c>
      <c r="AO503" s="758">
        <v>1650500</v>
      </c>
      <c r="AP503" s="758">
        <v>3700000</v>
      </c>
      <c r="AQ503" s="518">
        <v>3888875</v>
      </c>
      <c r="AR503" s="813">
        <v>3219250</v>
      </c>
      <c r="AS503" s="813">
        <v>4693500</v>
      </c>
      <c r="AT503" s="813">
        <v>4662000</v>
      </c>
      <c r="AU503" s="518">
        <f t="shared" si="299"/>
        <v>2000000</v>
      </c>
      <c r="AV503" s="518">
        <f t="shared" si="299"/>
        <v>2000000</v>
      </c>
      <c r="AW503" s="518">
        <f t="shared" si="299"/>
        <v>2000000</v>
      </c>
      <c r="AX503" s="518">
        <f t="shared" si="284"/>
        <v>24921625</v>
      </c>
      <c r="AY503" s="853" t="e">
        <v>#N/A</v>
      </c>
      <c r="AZ503" s="6"/>
      <c r="BA503" s="810"/>
      <c r="BB503" s="758"/>
      <c r="BC503" s="758">
        <v>0</v>
      </c>
      <c r="BD503" s="758"/>
      <c r="BE503" s="524">
        <v>3107500</v>
      </c>
      <c r="BF503" s="758">
        <v>1650500</v>
      </c>
      <c r="BG503" s="518">
        <f>AP503</f>
        <v>3700000</v>
      </c>
      <c r="BH503" s="758">
        <v>2000000</v>
      </c>
      <c r="BI503" s="758">
        <v>2000000</v>
      </c>
      <c r="BJ503" s="758">
        <v>2000000</v>
      </c>
      <c r="BK503" s="758">
        <v>2000000</v>
      </c>
      <c r="BL503" s="759">
        <f t="shared" si="293"/>
        <v>16458000</v>
      </c>
      <c r="BN503" s="758">
        <v>1500000</v>
      </c>
      <c r="BO503" s="758">
        <v>1500000</v>
      </c>
      <c r="BP503" s="758">
        <v>1500000</v>
      </c>
      <c r="BQ503" s="758">
        <v>1500000</v>
      </c>
      <c r="BR503" s="758">
        <v>1500000</v>
      </c>
      <c r="BS503" s="758">
        <v>1500000</v>
      </c>
      <c r="BT503" s="758">
        <v>1500000</v>
      </c>
      <c r="BU503" s="758">
        <v>1500000</v>
      </c>
      <c r="BV503" s="758">
        <v>1500000</v>
      </c>
      <c r="BW503" s="758">
        <v>1500000</v>
      </c>
      <c r="BX503" s="758">
        <v>1500000</v>
      </c>
      <c r="BY503" s="758">
        <v>1500000</v>
      </c>
      <c r="BZ503" s="791">
        <v>18000000</v>
      </c>
      <c r="CB503" s="758">
        <v>1500000</v>
      </c>
      <c r="CC503" s="758">
        <v>1500000</v>
      </c>
      <c r="CD503" s="758">
        <v>1500000</v>
      </c>
      <c r="CE503" s="758">
        <v>1500000</v>
      </c>
      <c r="CF503" s="758">
        <v>1500000</v>
      </c>
      <c r="CG503" s="758">
        <v>1500000</v>
      </c>
      <c r="CH503" s="758">
        <v>1500000</v>
      </c>
      <c r="CI503" s="758">
        <v>1500000</v>
      </c>
      <c r="CJ503" s="758">
        <v>1500000</v>
      </c>
      <c r="CK503" s="758">
        <v>1500000</v>
      </c>
      <c r="CL503" s="758">
        <v>1500000</v>
      </c>
      <c r="CM503" s="758">
        <v>1500000</v>
      </c>
      <c r="CN503" s="791">
        <v>18000000</v>
      </c>
      <c r="CP503" s="653">
        <v>1550000</v>
      </c>
      <c r="CQ503" s="653">
        <v>1569950</v>
      </c>
      <c r="CR503" s="524"/>
      <c r="CS503" s="653"/>
      <c r="CT503" s="524"/>
      <c r="CU503" s="653">
        <v>6500000</v>
      </c>
      <c r="CV503" s="524"/>
      <c r="CW503" s="653"/>
      <c r="CX503" s="524"/>
      <c r="CY503" s="653"/>
      <c r="CZ503" s="524"/>
      <c r="DA503" s="653"/>
      <c r="DB503" s="524"/>
      <c r="DC503" s="653">
        <v>0</v>
      </c>
      <c r="DD503" s="524"/>
      <c r="DE503" s="758"/>
      <c r="DF503" s="524">
        <v>50000000</v>
      </c>
      <c r="DG503" s="757">
        <v>50000000</v>
      </c>
      <c r="DH503" s="758"/>
      <c r="DI503" s="524">
        <v>50000000</v>
      </c>
      <c r="DJ503" s="757">
        <v>50000000</v>
      </c>
      <c r="DK503" s="758"/>
      <c r="DL503" s="524">
        <v>50000000</v>
      </c>
      <c r="DM503" s="757">
        <v>50000000</v>
      </c>
      <c r="DN503" s="758"/>
      <c r="DO503" s="524">
        <v>50000000</v>
      </c>
      <c r="DP503" s="757">
        <v>50000000</v>
      </c>
      <c r="DQ503" s="493">
        <f t="shared" si="274"/>
        <v>209619950</v>
      </c>
      <c r="DR503" s="479">
        <f t="shared" si="286"/>
        <v>209619950</v>
      </c>
      <c r="DS503" s="1019">
        <v>20000000</v>
      </c>
      <c r="DT503" s="1019">
        <v>20000000</v>
      </c>
      <c r="DU503" s="1019">
        <v>20000000</v>
      </c>
      <c r="DV503" s="1019">
        <v>20000000</v>
      </c>
      <c r="DW503" s="1019">
        <v>20000000</v>
      </c>
      <c r="DX503" s="1019">
        <v>20000000</v>
      </c>
      <c r="DY503" s="1019">
        <v>20000000</v>
      </c>
      <c r="DZ503" s="1019">
        <v>20000000</v>
      </c>
      <c r="EA503" s="1019">
        <v>20000000</v>
      </c>
      <c r="EB503" s="1019">
        <v>20000000</v>
      </c>
      <c r="EC503" s="1019">
        <v>20000000</v>
      </c>
      <c r="ED503" s="1019">
        <v>20000000</v>
      </c>
      <c r="EE503" s="1119">
        <f t="shared" si="275"/>
        <v>240000000</v>
      </c>
      <c r="EF503" s="443">
        <v>25000000</v>
      </c>
      <c r="EG503" s="443">
        <f>EF503*1.08</f>
        <v>27000000</v>
      </c>
      <c r="EH503" s="443">
        <f t="shared" si="300"/>
        <v>29430000.000000004</v>
      </c>
      <c r="EI503" s="443">
        <f t="shared" si="300"/>
        <v>32078700.000000007</v>
      </c>
      <c r="EJ503" s="367">
        <v>3000009448</v>
      </c>
      <c r="EL503" s="177"/>
      <c r="EM503" s="177"/>
      <c r="EN503" s="177"/>
    </row>
    <row r="504" spans="1:144" outlineLevel="2">
      <c r="A504" s="367" t="s">
        <v>687</v>
      </c>
      <c r="B504" s="378"/>
      <c r="C504" s="370" t="s">
        <v>688</v>
      </c>
      <c r="D504" s="370" t="s">
        <v>40</v>
      </c>
      <c r="E504" s="403" t="s">
        <v>404</v>
      </c>
      <c r="F504" s="380">
        <v>8000000011</v>
      </c>
      <c r="G504" s="6"/>
      <c r="H504" s="13"/>
      <c r="I504" s="185"/>
      <c r="J504" s="185"/>
      <c r="K504" s="185"/>
      <c r="L504" s="185"/>
      <c r="M504" s="185"/>
      <c r="N504" s="185"/>
      <c r="O504" s="185"/>
      <c r="P504" s="185"/>
      <c r="Q504" s="185"/>
      <c r="R504" s="185"/>
      <c r="S504" s="14"/>
      <c r="T504" s="15"/>
      <c r="U504" s="6"/>
      <c r="V504" s="13"/>
      <c r="W504" s="185"/>
      <c r="X504" s="185"/>
      <c r="Y504" s="185"/>
      <c r="Z504" s="185"/>
      <c r="AA504" s="185"/>
      <c r="AB504" s="185"/>
      <c r="AC504" s="185"/>
      <c r="AD504" s="185"/>
      <c r="AE504" s="185"/>
      <c r="AF504" s="185"/>
      <c r="AG504" s="759"/>
      <c r="AH504" s="811"/>
      <c r="AI504" s="6"/>
      <c r="AJ504" s="810"/>
      <c r="AK504" s="758"/>
      <c r="AL504" s="758"/>
      <c r="AM504" s="758"/>
      <c r="AN504" s="758"/>
      <c r="AO504" s="758"/>
      <c r="AP504" s="758"/>
      <c r="AQ504" s="518"/>
      <c r="AR504" s="813"/>
      <c r="AS504" s="518">
        <v>58655200</v>
      </c>
      <c r="AT504" s="518">
        <v>41110400</v>
      </c>
      <c r="AU504" s="758"/>
      <c r="AV504" s="758"/>
      <c r="AW504" s="758"/>
      <c r="AX504" s="518">
        <f t="shared" si="284"/>
        <v>99765600</v>
      </c>
      <c r="AY504" s="811"/>
      <c r="AZ504" s="6"/>
      <c r="BA504" s="810"/>
      <c r="BB504" s="758"/>
      <c r="BC504" s="758"/>
      <c r="BD504" s="758"/>
      <c r="BE504" s="758"/>
      <c r="BF504" s="758"/>
      <c r="BG504" s="758"/>
      <c r="BH504" s="758"/>
      <c r="BI504" s="758"/>
      <c r="BJ504" s="758"/>
      <c r="BK504" s="758"/>
      <c r="BL504" s="518"/>
      <c r="BN504" s="6"/>
      <c r="BO504" s="810"/>
      <c r="BP504" s="758"/>
      <c r="BQ504" s="758"/>
      <c r="BR504" s="758"/>
      <c r="BS504" s="758"/>
      <c r="BT504" s="758"/>
      <c r="BU504" s="758"/>
      <c r="BV504" s="758"/>
      <c r="BW504" s="758"/>
      <c r="BX504" s="758"/>
      <c r="BY504" s="758"/>
      <c r="BZ504" s="791">
        <v>0</v>
      </c>
      <c r="CB504" s="6"/>
      <c r="CC504" s="810"/>
      <c r="CD504" s="758"/>
      <c r="CE504" s="758"/>
      <c r="CF504" s="758"/>
      <c r="CG504" s="758"/>
      <c r="CH504" s="758"/>
      <c r="CI504" s="758"/>
      <c r="CJ504" s="758"/>
      <c r="CK504" s="758"/>
      <c r="CL504" s="758"/>
      <c r="CM504" s="758"/>
      <c r="CN504" s="791">
        <v>0</v>
      </c>
      <c r="CP504" s="656">
        <v>24500000</v>
      </c>
      <c r="CQ504" s="656"/>
      <c r="CR504" s="520"/>
      <c r="CS504" s="656">
        <v>69629375</v>
      </c>
      <c r="CT504" s="520">
        <v>20000000</v>
      </c>
      <c r="CU504" s="656">
        <v>43254125</v>
      </c>
      <c r="CV504" s="520">
        <v>45000000</v>
      </c>
      <c r="CW504" s="656">
        <v>15917500</v>
      </c>
      <c r="CX504" s="520">
        <v>10000000</v>
      </c>
      <c r="CY504" s="656">
        <v>31646000</v>
      </c>
      <c r="CZ504" s="520">
        <v>10000000</v>
      </c>
      <c r="DA504" s="656">
        <v>16291500</v>
      </c>
      <c r="DB504" s="520">
        <v>20000000</v>
      </c>
      <c r="DC504" s="656">
        <v>71905650</v>
      </c>
      <c r="DD504" s="520">
        <v>20000000</v>
      </c>
      <c r="DE504" s="758"/>
      <c r="DF504" s="520"/>
      <c r="DG504" s="757"/>
      <c r="DH504" s="758"/>
      <c r="DI504" s="520"/>
      <c r="DJ504" s="757"/>
      <c r="DK504" s="758"/>
      <c r="DL504" s="520"/>
      <c r="DM504" s="757"/>
      <c r="DN504" s="758"/>
      <c r="DO504" s="520"/>
      <c r="DP504" s="757"/>
      <c r="DQ504" s="493">
        <f t="shared" si="274"/>
        <v>273144150</v>
      </c>
      <c r="DR504" s="479">
        <f t="shared" si="286"/>
        <v>197383500</v>
      </c>
      <c r="DS504" s="1019">
        <v>20000000</v>
      </c>
      <c r="DT504" s="1019">
        <v>20000000</v>
      </c>
      <c r="DU504" s="1019">
        <v>20000000</v>
      </c>
      <c r="DV504" s="1019">
        <v>20000000</v>
      </c>
      <c r="DW504" s="1019">
        <v>20000000</v>
      </c>
      <c r="DX504" s="1019">
        <v>20000000</v>
      </c>
      <c r="DY504" s="1019">
        <v>20000000</v>
      </c>
      <c r="DZ504" s="1019">
        <v>20000000</v>
      </c>
      <c r="EA504" s="1019">
        <v>20000000</v>
      </c>
      <c r="EB504" s="1019">
        <v>20000000</v>
      </c>
      <c r="EC504" s="1019">
        <v>20000000</v>
      </c>
      <c r="ED504" s="1019">
        <v>20000000</v>
      </c>
      <c r="EE504" s="1119">
        <f t="shared" si="275"/>
        <v>240000000</v>
      </c>
      <c r="EF504" s="447"/>
      <c r="EG504" s="447"/>
      <c r="EH504" s="447"/>
      <c r="EI504" s="447"/>
      <c r="EL504" s="177"/>
      <c r="EM504" s="177"/>
      <c r="EN504" s="177"/>
    </row>
    <row r="505" spans="1:144" outlineLevel="2">
      <c r="A505" s="367" t="s">
        <v>699</v>
      </c>
      <c r="B505" s="378"/>
      <c r="C505" s="370" t="s">
        <v>688</v>
      </c>
      <c r="D505" s="370" t="s">
        <v>40</v>
      </c>
      <c r="E505" s="383" t="s">
        <v>733</v>
      </c>
      <c r="F505" s="380">
        <v>3000002553</v>
      </c>
      <c r="G505" s="189"/>
      <c r="H505" s="153"/>
      <c r="I505" s="27"/>
      <c r="J505" s="185"/>
      <c r="K505" s="185"/>
      <c r="L505" s="194"/>
      <c r="M505" s="185"/>
      <c r="N505" s="185"/>
      <c r="O505" s="7"/>
      <c r="P505" s="7"/>
      <c r="Q505" s="7"/>
      <c r="R505" s="7"/>
      <c r="S505" s="14">
        <f>SUM(G505,H505,I505,J505,K505,L505,M505,N505,O505,P505,Q505,R505)</f>
        <v>0</v>
      </c>
      <c r="T505" s="179"/>
      <c r="U505" s="189"/>
      <c r="V505" s="153"/>
      <c r="W505" s="27"/>
      <c r="X505" s="185"/>
      <c r="Y505" s="185"/>
      <c r="Z505" s="194"/>
      <c r="AA505" s="185"/>
      <c r="AB505" s="185"/>
      <c r="AC505" s="7"/>
      <c r="AD505" s="7"/>
      <c r="AE505" s="7"/>
      <c r="AF505" s="7"/>
      <c r="AG505" s="759">
        <f>SUM(U505,V505,W505,X505,Y505,Z505,AA505,AB505,AC505,AD505,AE505,AF505)</f>
        <v>0</v>
      </c>
      <c r="AH505" s="853">
        <v>3000002553</v>
      </c>
      <c r="AI505" s="189"/>
      <c r="AJ505" s="860">
        <v>9990000</v>
      </c>
      <c r="AK505" s="858">
        <v>14810000</v>
      </c>
      <c r="AL505" s="758">
        <v>0</v>
      </c>
      <c r="AM505" s="758">
        <v>0</v>
      </c>
      <c r="AN505" s="524">
        <v>0</v>
      </c>
      <c r="AO505" s="758">
        <v>0</v>
      </c>
      <c r="AP505" s="758">
        <v>0</v>
      </c>
      <c r="AQ505" s="518">
        <v>0</v>
      </c>
      <c r="AR505" s="813">
        <v>0</v>
      </c>
      <c r="AS505" s="813">
        <v>0</v>
      </c>
      <c r="AT505" s="813">
        <v>31215000</v>
      </c>
      <c r="AU505" s="518">
        <f t="shared" ref="AU505:AW509" si="301">BI505</f>
        <v>3000000</v>
      </c>
      <c r="AV505" s="518">
        <f t="shared" si="301"/>
        <v>3000000</v>
      </c>
      <c r="AW505" s="518">
        <f t="shared" si="301"/>
        <v>3000000</v>
      </c>
      <c r="AX505" s="518">
        <f t="shared" si="284"/>
        <v>56015000</v>
      </c>
      <c r="AY505" s="853" t="e">
        <v>#N/A</v>
      </c>
      <c r="AZ505" s="189"/>
      <c r="BA505" s="860">
        <v>9990000</v>
      </c>
      <c r="BB505" s="858">
        <v>14810000</v>
      </c>
      <c r="BC505" s="758">
        <v>0</v>
      </c>
      <c r="BD505" s="758">
        <v>0</v>
      </c>
      <c r="BE505" s="524">
        <v>0</v>
      </c>
      <c r="BF505" s="758">
        <v>0</v>
      </c>
      <c r="BG505" s="518">
        <f>AP505</f>
        <v>0</v>
      </c>
      <c r="BH505" s="758">
        <v>3000000</v>
      </c>
      <c r="BI505" s="758">
        <v>3000000</v>
      </c>
      <c r="BJ505" s="758">
        <v>3000000</v>
      </c>
      <c r="BK505" s="758">
        <v>3000000</v>
      </c>
      <c r="BL505" s="759">
        <f>SUM(AZ505,BA505,BB505,BC505,BD505,BE505,BF505,BG505,BH505,BI505,BJ505,BK505)</f>
        <v>36800000</v>
      </c>
      <c r="BN505" s="758">
        <v>3000000</v>
      </c>
      <c r="BO505" s="758">
        <v>3000000</v>
      </c>
      <c r="BP505" s="758">
        <v>3000000</v>
      </c>
      <c r="BQ505" s="758">
        <v>3000000</v>
      </c>
      <c r="BR505" s="758">
        <v>3000000</v>
      </c>
      <c r="BS505" s="758">
        <v>3000000</v>
      </c>
      <c r="BT505" s="758">
        <v>3000000</v>
      </c>
      <c r="BU505" s="758">
        <v>3000000</v>
      </c>
      <c r="BV505" s="758">
        <v>3000000</v>
      </c>
      <c r="BW505" s="758">
        <v>3000000</v>
      </c>
      <c r="BX505" s="758">
        <v>3000000</v>
      </c>
      <c r="BY505" s="758">
        <v>3000000</v>
      </c>
      <c r="BZ505" s="791">
        <v>36000000</v>
      </c>
      <c r="CB505" s="758">
        <v>3000000</v>
      </c>
      <c r="CC505" s="758">
        <v>3000000</v>
      </c>
      <c r="CD505" s="758">
        <v>3000000</v>
      </c>
      <c r="CE505" s="758">
        <v>3000000</v>
      </c>
      <c r="CF505" s="758">
        <v>3000000</v>
      </c>
      <c r="CG505" s="758">
        <v>3000000</v>
      </c>
      <c r="CH505" s="758">
        <v>3000000</v>
      </c>
      <c r="CI505" s="758">
        <v>3000000</v>
      </c>
      <c r="CJ505" s="758">
        <v>3000000</v>
      </c>
      <c r="CK505" s="758">
        <v>3000000</v>
      </c>
      <c r="CL505" s="758">
        <v>3000000</v>
      </c>
      <c r="CM505" s="758">
        <v>3000000</v>
      </c>
      <c r="CN505" s="791">
        <v>36000000</v>
      </c>
      <c r="CP505" s="653"/>
      <c r="CQ505" s="653"/>
      <c r="CR505" s="524"/>
      <c r="CS505" s="653">
        <v>5170000</v>
      </c>
      <c r="CT505" s="524"/>
      <c r="CU505" s="653"/>
      <c r="CV505" s="524"/>
      <c r="CW505" s="653"/>
      <c r="CX505" s="524"/>
      <c r="CY505" s="653"/>
      <c r="CZ505" s="524"/>
      <c r="DA505" s="653">
        <v>5170000</v>
      </c>
      <c r="DB505" s="524"/>
      <c r="DC505" s="653">
        <v>0</v>
      </c>
      <c r="DD505" s="524"/>
      <c r="DE505" s="758"/>
      <c r="DF505" s="524">
        <v>20000000</v>
      </c>
      <c r="DG505" s="757">
        <v>10000000</v>
      </c>
      <c r="DH505" s="758"/>
      <c r="DI505" s="524">
        <v>20000000</v>
      </c>
      <c r="DJ505" s="757">
        <v>10000000</v>
      </c>
      <c r="DK505" s="758"/>
      <c r="DL505" s="524">
        <v>20000000</v>
      </c>
      <c r="DM505" s="757">
        <v>10000000</v>
      </c>
      <c r="DN505" s="758"/>
      <c r="DO505" s="524">
        <v>20000000</v>
      </c>
      <c r="DP505" s="757">
        <v>10000000</v>
      </c>
      <c r="DQ505" s="493">
        <f t="shared" si="274"/>
        <v>90340000</v>
      </c>
      <c r="DR505" s="479">
        <f t="shared" si="286"/>
        <v>45170000</v>
      </c>
      <c r="DS505" s="1019"/>
      <c r="DT505" s="1019"/>
      <c r="DU505" s="1019"/>
      <c r="DV505" s="1019"/>
      <c r="DW505" s="1019"/>
      <c r="DX505" s="1019"/>
      <c r="DY505" s="1019"/>
      <c r="DZ505" s="1019"/>
      <c r="EA505" s="1019"/>
      <c r="EB505" s="1019"/>
      <c r="EC505" s="1019"/>
      <c r="ED505" s="1019"/>
      <c r="EE505" s="1119">
        <f t="shared" si="275"/>
        <v>0</v>
      </c>
      <c r="EF505" s="443">
        <f>EE505*1.17</f>
        <v>0</v>
      </c>
      <c r="EG505" s="443">
        <f>EF505*1.08</f>
        <v>0</v>
      </c>
      <c r="EH505" s="443">
        <f t="shared" ref="EH505:EI509" si="302">EG505*1.09</f>
        <v>0</v>
      </c>
      <c r="EI505" s="443">
        <f t="shared" si="302"/>
        <v>0</v>
      </c>
      <c r="EJ505" s="367">
        <v>3000002553</v>
      </c>
      <c r="EL505" s="177"/>
      <c r="EM505" s="177"/>
      <c r="EN505" s="177"/>
    </row>
    <row r="506" spans="1:144" outlineLevel="2">
      <c r="A506" s="367" t="s">
        <v>291</v>
      </c>
      <c r="B506" s="378"/>
      <c r="C506" s="370" t="s">
        <v>688</v>
      </c>
      <c r="D506" s="370" t="s">
        <v>40</v>
      </c>
      <c r="E506" s="367" t="s">
        <v>734</v>
      </c>
      <c r="F506" s="380">
        <v>3000019621</v>
      </c>
      <c r="G506" s="189"/>
      <c r="H506" s="13"/>
      <c r="I506" s="185"/>
      <c r="J506" s="185"/>
      <c r="K506" s="185"/>
      <c r="L506" s="194"/>
      <c r="M506" s="185"/>
      <c r="N506" s="185"/>
      <c r="O506" s="7"/>
      <c r="P506" s="7"/>
      <c r="Q506" s="7"/>
      <c r="R506" s="7"/>
      <c r="S506" s="14">
        <f>SUM(G506,H506,I506,J506,K506,L506,M506,N506,O506,P506,Q506,R506)</f>
        <v>0</v>
      </c>
      <c r="T506" s="179"/>
      <c r="U506" s="189"/>
      <c r="V506" s="13"/>
      <c r="W506" s="185"/>
      <c r="X506" s="185"/>
      <c r="Y506" s="185"/>
      <c r="Z506" s="194"/>
      <c r="AA506" s="185"/>
      <c r="AB506" s="185"/>
      <c r="AC506" s="7"/>
      <c r="AD506" s="7"/>
      <c r="AE506" s="7"/>
      <c r="AF506" s="7"/>
      <c r="AG506" s="759">
        <f>SUM(U506,V506,W506,X506,Y506,Z506,AA506,AB506,AC506,AD506,AE506,AF506)</f>
        <v>0</v>
      </c>
      <c r="AH506" s="853">
        <v>3000019621</v>
      </c>
      <c r="AI506" s="189"/>
      <c r="AJ506" s="810"/>
      <c r="AK506" s="758"/>
      <c r="AL506" s="758">
        <v>32905000</v>
      </c>
      <c r="AM506" s="758">
        <v>0</v>
      </c>
      <c r="AN506" s="524">
        <v>0</v>
      </c>
      <c r="AO506" s="758">
        <v>0</v>
      </c>
      <c r="AP506" s="758">
        <v>0</v>
      </c>
      <c r="AQ506" s="518">
        <v>0</v>
      </c>
      <c r="AR506" s="518"/>
      <c r="AS506" s="518"/>
      <c r="AT506" s="518"/>
      <c r="AU506" s="518">
        <f t="shared" si="301"/>
        <v>0</v>
      </c>
      <c r="AV506" s="518">
        <f t="shared" si="301"/>
        <v>0</v>
      </c>
      <c r="AW506" s="518">
        <f t="shared" si="301"/>
        <v>0</v>
      </c>
      <c r="AX506" s="518">
        <f t="shared" si="284"/>
        <v>32905000</v>
      </c>
      <c r="AY506" s="853">
        <v>0</v>
      </c>
      <c r="AZ506" s="189"/>
      <c r="BA506" s="810"/>
      <c r="BB506" s="758"/>
      <c r="BC506" s="758">
        <v>32905000</v>
      </c>
      <c r="BD506" s="758">
        <v>0</v>
      </c>
      <c r="BE506" s="524">
        <v>0</v>
      </c>
      <c r="BF506" s="758">
        <v>0</v>
      </c>
      <c r="BG506" s="518">
        <f>AP506</f>
        <v>0</v>
      </c>
      <c r="BH506" s="758">
        <v>0</v>
      </c>
      <c r="BI506" s="758">
        <v>0</v>
      </c>
      <c r="BJ506" s="758">
        <v>0</v>
      </c>
      <c r="BK506" s="758">
        <v>0</v>
      </c>
      <c r="BL506" s="759">
        <f>SUM(AZ506,BA506,BB506,BC506,BD506,BE506,BF506,BG506,BH506,BI506,BJ506,BK506)</f>
        <v>32905000</v>
      </c>
      <c r="BN506" s="758">
        <v>0</v>
      </c>
      <c r="BO506" s="758">
        <v>0</v>
      </c>
      <c r="BP506" s="758">
        <v>0</v>
      </c>
      <c r="BQ506" s="758">
        <v>0</v>
      </c>
      <c r="BR506" s="758">
        <v>0</v>
      </c>
      <c r="BS506" s="758">
        <v>0</v>
      </c>
      <c r="BT506" s="758">
        <v>0</v>
      </c>
      <c r="BU506" s="758">
        <v>0</v>
      </c>
      <c r="BV506" s="758">
        <v>0</v>
      </c>
      <c r="BW506" s="758">
        <v>0</v>
      </c>
      <c r="BX506" s="758">
        <v>0</v>
      </c>
      <c r="BY506" s="758">
        <v>0</v>
      </c>
      <c r="BZ506" s="791">
        <v>0</v>
      </c>
      <c r="CB506" s="758">
        <v>0</v>
      </c>
      <c r="CC506" s="758">
        <v>0</v>
      </c>
      <c r="CD506" s="758">
        <v>0</v>
      </c>
      <c r="CE506" s="758">
        <v>0</v>
      </c>
      <c r="CF506" s="758">
        <v>0</v>
      </c>
      <c r="CG506" s="758">
        <v>0</v>
      </c>
      <c r="CH506" s="758">
        <v>0</v>
      </c>
      <c r="CI506" s="758">
        <v>0</v>
      </c>
      <c r="CJ506" s="758">
        <v>0</v>
      </c>
      <c r="CK506" s="758">
        <v>0</v>
      </c>
      <c r="CL506" s="758">
        <v>0</v>
      </c>
      <c r="CM506" s="758">
        <v>0</v>
      </c>
      <c r="CN506" s="791">
        <v>0</v>
      </c>
      <c r="CP506" s="653"/>
      <c r="CQ506" s="653"/>
      <c r="CR506" s="524"/>
      <c r="CS506" s="653"/>
      <c r="CT506" s="524"/>
      <c r="CU506" s="653"/>
      <c r="CV506" s="524"/>
      <c r="CW506" s="653"/>
      <c r="CX506" s="524"/>
      <c r="CY506" s="653"/>
      <c r="CZ506" s="524"/>
      <c r="DA506" s="653"/>
      <c r="DB506" s="524"/>
      <c r="DC506" s="653">
        <v>0</v>
      </c>
      <c r="DD506" s="524"/>
      <c r="DE506" s="758"/>
      <c r="DF506" s="524"/>
      <c r="DG506" s="757"/>
      <c r="DH506" s="758"/>
      <c r="DI506" s="524"/>
      <c r="DJ506" s="757"/>
      <c r="DK506" s="758"/>
      <c r="DL506" s="524"/>
      <c r="DM506" s="757"/>
      <c r="DN506" s="758"/>
      <c r="DO506" s="524"/>
      <c r="DP506" s="757"/>
      <c r="DQ506" s="493">
        <f t="shared" si="274"/>
        <v>0</v>
      </c>
      <c r="DR506" s="479">
        <f t="shared" si="286"/>
        <v>0</v>
      </c>
      <c r="DS506" s="1019"/>
      <c r="DT506" s="1019"/>
      <c r="DU506" s="1019"/>
      <c r="DV506" s="1019"/>
      <c r="DW506" s="1019"/>
      <c r="DX506" s="1019"/>
      <c r="DY506" s="1019"/>
      <c r="DZ506" s="1019"/>
      <c r="EA506" s="1019"/>
      <c r="EB506" s="1019"/>
      <c r="EC506" s="1019"/>
      <c r="ED506" s="1019"/>
      <c r="EE506" s="1119">
        <f t="shared" si="275"/>
        <v>0</v>
      </c>
      <c r="EF506" s="443">
        <f>EE506*1.17</f>
        <v>0</v>
      </c>
      <c r="EG506" s="443">
        <f>EF506*1.08</f>
        <v>0</v>
      </c>
      <c r="EH506" s="443">
        <f t="shared" si="302"/>
        <v>0</v>
      </c>
      <c r="EI506" s="443">
        <f t="shared" si="302"/>
        <v>0</v>
      </c>
      <c r="EJ506" s="367">
        <v>3000019621</v>
      </c>
      <c r="EL506" s="177"/>
      <c r="EM506" s="177"/>
      <c r="EN506" s="177"/>
    </row>
    <row r="507" spans="1:144" outlineLevel="2">
      <c r="A507" s="367" t="s">
        <v>687</v>
      </c>
      <c r="B507" s="378"/>
      <c r="C507" s="370" t="s">
        <v>688</v>
      </c>
      <c r="D507" s="370" t="s">
        <v>40</v>
      </c>
      <c r="E507" s="383" t="s">
        <v>735</v>
      </c>
      <c r="F507" s="380">
        <v>3000007358</v>
      </c>
      <c r="G507" s="189"/>
      <c r="H507" s="13"/>
      <c r="I507" s="151"/>
      <c r="J507" s="185"/>
      <c r="K507" s="185"/>
      <c r="L507" s="194"/>
      <c r="M507" s="185"/>
      <c r="N507" s="185"/>
      <c r="O507" s="7"/>
      <c r="P507" s="7"/>
      <c r="Q507" s="7"/>
      <c r="R507" s="7"/>
      <c r="S507" s="14">
        <f>SUM(G507,H507,I507,J507,K507,L507,M507,N507,O507,P507,Q507,R507)</f>
        <v>0</v>
      </c>
      <c r="T507" s="179"/>
      <c r="U507" s="189"/>
      <c r="V507" s="13"/>
      <c r="W507" s="151"/>
      <c r="X507" s="185"/>
      <c r="Y507" s="185"/>
      <c r="Z507" s="194"/>
      <c r="AA507" s="185"/>
      <c r="AB507" s="185"/>
      <c r="AC507" s="7"/>
      <c r="AD507" s="7"/>
      <c r="AE507" s="7"/>
      <c r="AF507" s="7"/>
      <c r="AG507" s="759">
        <f>SUM(U507,V507,W507,X507,Y507,Z507,AA507,AB507,AC507,AD507,AE507,AF507)</f>
        <v>0</v>
      </c>
      <c r="AH507" s="853">
        <v>3000007358</v>
      </c>
      <c r="AI507" s="189"/>
      <c r="AJ507" s="810"/>
      <c r="AK507" s="856">
        <v>3631299</v>
      </c>
      <c r="AL507" s="758">
        <v>0</v>
      </c>
      <c r="AM507" s="758">
        <v>0</v>
      </c>
      <c r="AN507" s="524">
        <v>1125353</v>
      </c>
      <c r="AO507" s="758">
        <v>0</v>
      </c>
      <c r="AP507" s="758">
        <v>0</v>
      </c>
      <c r="AQ507" s="518">
        <v>38538522</v>
      </c>
      <c r="AR507" s="813">
        <v>0</v>
      </c>
      <c r="AS507" s="813">
        <v>61256196</v>
      </c>
      <c r="AT507" s="813">
        <v>20080048</v>
      </c>
      <c r="AU507" s="518">
        <f t="shared" si="301"/>
        <v>0</v>
      </c>
      <c r="AV507" s="518">
        <f t="shared" si="301"/>
        <v>0</v>
      </c>
      <c r="AW507" s="518">
        <f t="shared" si="301"/>
        <v>0</v>
      </c>
      <c r="AX507" s="518">
        <f t="shared" si="284"/>
        <v>124631418</v>
      </c>
      <c r="AY507" s="853">
        <v>0</v>
      </c>
      <c r="AZ507" s="189"/>
      <c r="BA507" s="810"/>
      <c r="BB507" s="856">
        <v>3631299</v>
      </c>
      <c r="BC507" s="758">
        <v>0</v>
      </c>
      <c r="BD507" s="758">
        <v>0</v>
      </c>
      <c r="BE507" s="524">
        <v>1125353</v>
      </c>
      <c r="BF507" s="758">
        <v>0</v>
      </c>
      <c r="BG507" s="518">
        <f>AP507</f>
        <v>0</v>
      </c>
      <c r="BH507" s="758">
        <v>0</v>
      </c>
      <c r="BI507" s="758">
        <v>0</v>
      </c>
      <c r="BJ507" s="758">
        <v>0</v>
      </c>
      <c r="BK507" s="758">
        <v>0</v>
      </c>
      <c r="BL507" s="759">
        <f>SUM(AZ507,BA507,BB507,BC507,BD507,BE507,BF507,BG507,BH507,BI507,BJ507,BK507)</f>
        <v>4756652</v>
      </c>
      <c r="BN507" s="758">
        <v>36000000</v>
      </c>
      <c r="BO507" s="758">
        <v>36000000</v>
      </c>
      <c r="BP507" s="758">
        <v>36000000</v>
      </c>
      <c r="BQ507" s="758">
        <v>36000000</v>
      </c>
      <c r="BR507" s="758">
        <v>36000000</v>
      </c>
      <c r="BS507" s="758">
        <v>36000000</v>
      </c>
      <c r="BT507" s="758">
        <v>36000000</v>
      </c>
      <c r="BU507" s="758">
        <v>36000000</v>
      </c>
      <c r="BV507" s="758">
        <v>36000000</v>
      </c>
      <c r="BW507" s="758">
        <v>36000000</v>
      </c>
      <c r="BX507" s="758">
        <v>36000000</v>
      </c>
      <c r="BY507" s="758">
        <v>36000000</v>
      </c>
      <c r="BZ507" s="791">
        <v>432000000</v>
      </c>
      <c r="CB507" s="758">
        <v>36000000</v>
      </c>
      <c r="CC507" s="758">
        <v>36000000</v>
      </c>
      <c r="CD507" s="758">
        <v>36000000</v>
      </c>
      <c r="CE507" s="758">
        <v>36000000</v>
      </c>
      <c r="CF507" s="758">
        <v>36000000</v>
      </c>
      <c r="CG507" s="758">
        <v>36000000</v>
      </c>
      <c r="CH507" s="758">
        <v>36000000</v>
      </c>
      <c r="CI507" s="758">
        <v>36000000</v>
      </c>
      <c r="CJ507" s="758">
        <v>36000000</v>
      </c>
      <c r="CK507" s="758">
        <v>36000000</v>
      </c>
      <c r="CL507" s="758">
        <v>36000000</v>
      </c>
      <c r="CM507" s="758">
        <v>36000000</v>
      </c>
      <c r="CN507" s="791">
        <v>432000000</v>
      </c>
      <c r="CP507" s="653"/>
      <c r="CQ507" s="653">
        <v>34286336</v>
      </c>
      <c r="CR507" s="524">
        <v>34000000</v>
      </c>
      <c r="CS507" s="653"/>
      <c r="CT507" s="524"/>
      <c r="CU507" s="653">
        <v>4708692</v>
      </c>
      <c r="CV507" s="524"/>
      <c r="CW507" s="653"/>
      <c r="CX507" s="524"/>
      <c r="CY507" s="653"/>
      <c r="CZ507" s="524"/>
      <c r="DA507" s="653">
        <v>8709091</v>
      </c>
      <c r="DB507" s="524"/>
      <c r="DC507" s="653">
        <v>0</v>
      </c>
      <c r="DD507" s="524"/>
      <c r="DE507" s="758"/>
      <c r="DF507" s="524"/>
      <c r="DG507" s="757"/>
      <c r="DH507" s="758"/>
      <c r="DI507" s="524"/>
      <c r="DJ507" s="757"/>
      <c r="DK507" s="758"/>
      <c r="DL507" s="524"/>
      <c r="DM507" s="757"/>
      <c r="DN507" s="758"/>
      <c r="DO507" s="524"/>
      <c r="DP507" s="757"/>
      <c r="DQ507" s="493">
        <f t="shared" si="274"/>
        <v>47704119</v>
      </c>
      <c r="DR507" s="479">
        <f t="shared" si="286"/>
        <v>38995028</v>
      </c>
      <c r="DS507" s="1019"/>
      <c r="DT507" s="1019"/>
      <c r="DU507" s="1019"/>
      <c r="DV507" s="1019"/>
      <c r="DW507" s="1019"/>
      <c r="DX507" s="1019"/>
      <c r="DY507" s="1019"/>
      <c r="DZ507" s="1019"/>
      <c r="EA507" s="1019"/>
      <c r="EB507" s="1019"/>
      <c r="EC507" s="1019"/>
      <c r="ED507" s="1019"/>
      <c r="EE507" s="1119">
        <f t="shared" si="275"/>
        <v>0</v>
      </c>
      <c r="EF507" s="443">
        <f>EE507*1.17</f>
        <v>0</v>
      </c>
      <c r="EG507" s="443">
        <f>EF507*1.08</f>
        <v>0</v>
      </c>
      <c r="EH507" s="443">
        <f t="shared" si="302"/>
        <v>0</v>
      </c>
      <c r="EI507" s="443">
        <f t="shared" si="302"/>
        <v>0</v>
      </c>
      <c r="EJ507" s="367">
        <v>3000007358</v>
      </c>
      <c r="EL507" s="177"/>
      <c r="EM507" s="177"/>
      <c r="EN507" s="177"/>
    </row>
    <row r="508" spans="1:144" outlineLevel="2">
      <c r="A508" s="367" t="s">
        <v>291</v>
      </c>
      <c r="B508" s="378"/>
      <c r="C508" s="370" t="s">
        <v>688</v>
      </c>
      <c r="D508" s="370" t="s">
        <v>40</v>
      </c>
      <c r="E508" s="383" t="s">
        <v>736</v>
      </c>
      <c r="F508" s="380">
        <v>3000018654</v>
      </c>
      <c r="G508" s="189"/>
      <c r="H508" s="13"/>
      <c r="I508" s="195"/>
      <c r="J508" s="185"/>
      <c r="K508" s="185"/>
      <c r="L508" s="194"/>
      <c r="M508" s="185"/>
      <c r="N508" s="185"/>
      <c r="O508" s="7"/>
      <c r="P508" s="7"/>
      <c r="Q508" s="7"/>
      <c r="R508" s="7"/>
      <c r="S508" s="14">
        <f>SUM(G508,H508,I508,J508,K508,L508,M508,N508,O508,P508,Q508,R508)</f>
        <v>0</v>
      </c>
      <c r="T508" s="179"/>
      <c r="U508" s="189"/>
      <c r="V508" s="13"/>
      <c r="W508" s="195"/>
      <c r="X508" s="185"/>
      <c r="Y508" s="185"/>
      <c r="Z508" s="194"/>
      <c r="AA508" s="185"/>
      <c r="AB508" s="185"/>
      <c r="AC508" s="7"/>
      <c r="AD508" s="7"/>
      <c r="AE508" s="7"/>
      <c r="AF508" s="7"/>
      <c r="AG508" s="759">
        <f>SUM(U508,V508,W508,X508,Y508,Z508,AA508,AB508,AC508,AD508,AE508,AF508)</f>
        <v>0</v>
      </c>
      <c r="AH508" s="853">
        <v>3000018654</v>
      </c>
      <c r="AI508" s="189"/>
      <c r="AJ508" s="810">
        <v>7950000</v>
      </c>
      <c r="AK508" s="854"/>
      <c r="AL508" s="758">
        <v>0</v>
      </c>
      <c r="AM508" s="758">
        <v>0</v>
      </c>
      <c r="AN508" s="524">
        <v>0</v>
      </c>
      <c r="AO508" s="758">
        <v>0</v>
      </c>
      <c r="AP508" s="758">
        <v>0</v>
      </c>
      <c r="AQ508" s="518">
        <v>0</v>
      </c>
      <c r="AR508" s="813">
        <v>0</v>
      </c>
      <c r="AS508" s="813">
        <v>0</v>
      </c>
      <c r="AT508" s="813">
        <v>19766400</v>
      </c>
      <c r="AU508" s="518">
        <f t="shared" si="301"/>
        <v>15000000</v>
      </c>
      <c r="AV508" s="518">
        <f t="shared" si="301"/>
        <v>0</v>
      </c>
      <c r="AW508" s="518">
        <f t="shared" si="301"/>
        <v>15000000</v>
      </c>
      <c r="AX508" s="518">
        <f t="shared" ref="AX508:AX539" si="303">SUM(AI508,AJ508,AK508,AL508,AM508,AN508,AO508,AP508,AQ508,AR508,AS508,AT508)</f>
        <v>27716400</v>
      </c>
      <c r="AY508" s="853" t="e">
        <v>#N/A</v>
      </c>
      <c r="AZ508" s="189"/>
      <c r="BA508" s="810">
        <v>7950000</v>
      </c>
      <c r="BB508" s="854"/>
      <c r="BC508" s="758">
        <v>0</v>
      </c>
      <c r="BD508" s="758">
        <v>0</v>
      </c>
      <c r="BE508" s="524">
        <v>0</v>
      </c>
      <c r="BF508" s="758">
        <v>0</v>
      </c>
      <c r="BG508" s="518">
        <f>AP508</f>
        <v>0</v>
      </c>
      <c r="BH508" s="758">
        <v>0</v>
      </c>
      <c r="BI508" s="758">
        <v>15000000</v>
      </c>
      <c r="BJ508" s="758">
        <v>0</v>
      </c>
      <c r="BK508" s="758">
        <v>15000000</v>
      </c>
      <c r="BL508" s="759">
        <f>SUM(AZ508,BA508,BB508,BC508,BD508,BE508,BF508,BG508,BH508,BI508,BJ508,BK508)</f>
        <v>37950000</v>
      </c>
      <c r="BN508" s="758">
        <v>0</v>
      </c>
      <c r="BO508" s="758">
        <v>15000000</v>
      </c>
      <c r="BP508" s="758">
        <v>0</v>
      </c>
      <c r="BQ508" s="758">
        <v>1500000</v>
      </c>
      <c r="BR508" s="758">
        <v>0</v>
      </c>
      <c r="BS508" s="758">
        <v>1500000</v>
      </c>
      <c r="BT508" s="758">
        <v>0</v>
      </c>
      <c r="BU508" s="758">
        <v>15000000</v>
      </c>
      <c r="BV508" s="758">
        <v>0</v>
      </c>
      <c r="BW508" s="758">
        <v>15000000</v>
      </c>
      <c r="BX508" s="758">
        <v>0</v>
      </c>
      <c r="BY508" s="758">
        <v>0</v>
      </c>
      <c r="BZ508" s="791">
        <v>48000000</v>
      </c>
      <c r="CB508" s="758">
        <v>0</v>
      </c>
      <c r="CC508" s="758">
        <v>15000000</v>
      </c>
      <c r="CD508" s="758">
        <v>0</v>
      </c>
      <c r="CE508" s="758">
        <v>1500000</v>
      </c>
      <c r="CF508" s="758">
        <v>0</v>
      </c>
      <c r="CG508" s="758">
        <v>1500000</v>
      </c>
      <c r="CH508" s="758">
        <v>0</v>
      </c>
      <c r="CI508" s="758">
        <v>15000000</v>
      </c>
      <c r="CJ508" s="758">
        <v>0</v>
      </c>
      <c r="CK508" s="758">
        <v>15000000</v>
      </c>
      <c r="CL508" s="758">
        <v>0</v>
      </c>
      <c r="CM508" s="758">
        <v>0</v>
      </c>
      <c r="CN508" s="791">
        <v>48000000</v>
      </c>
      <c r="CP508" s="653"/>
      <c r="CQ508" s="653">
        <v>23442330</v>
      </c>
      <c r="CR508" s="524">
        <v>23000000</v>
      </c>
      <c r="CS508" s="653"/>
      <c r="CT508" s="524"/>
      <c r="CU508" s="653"/>
      <c r="CV508" s="524"/>
      <c r="CW508" s="653"/>
      <c r="CX508" s="524">
        <v>20000000</v>
      </c>
      <c r="CY508" s="653"/>
      <c r="CZ508" s="524"/>
      <c r="DA508" s="653"/>
      <c r="DB508" s="524"/>
      <c r="DC508" s="653">
        <v>12939775</v>
      </c>
      <c r="DD508" s="524"/>
      <c r="DE508" s="758"/>
      <c r="DF508" s="524"/>
      <c r="DG508" s="757"/>
      <c r="DH508" s="758"/>
      <c r="DI508" s="524"/>
      <c r="DJ508" s="757"/>
      <c r="DK508" s="758"/>
      <c r="DL508" s="524">
        <v>25000000</v>
      </c>
      <c r="DM508" s="757">
        <v>25000000</v>
      </c>
      <c r="DN508" s="758"/>
      <c r="DO508" s="524">
        <v>25000000</v>
      </c>
      <c r="DP508" s="757">
        <v>25000000</v>
      </c>
      <c r="DQ508" s="493">
        <f t="shared" si="274"/>
        <v>86382105</v>
      </c>
      <c r="DR508" s="479">
        <f t="shared" si="286"/>
        <v>93442330</v>
      </c>
      <c r="DS508" s="1019"/>
      <c r="DT508" s="1019"/>
      <c r="DU508" s="1019"/>
      <c r="DV508" s="1019">
        <v>50000000</v>
      </c>
      <c r="DW508" s="1019"/>
      <c r="DX508" s="1019"/>
      <c r="DY508" s="1019"/>
      <c r="DZ508" s="1019"/>
      <c r="EA508" s="1019"/>
      <c r="EB508" s="1019"/>
      <c r="EC508" s="1019"/>
      <c r="ED508" s="1019">
        <v>50000000</v>
      </c>
      <c r="EE508" s="1119">
        <f t="shared" si="275"/>
        <v>100000000</v>
      </c>
      <c r="EF508" s="443">
        <f>EE508*1.17</f>
        <v>117000000</v>
      </c>
      <c r="EG508" s="443">
        <f>EF508*1.08</f>
        <v>126360000.00000001</v>
      </c>
      <c r="EH508" s="443">
        <f t="shared" si="302"/>
        <v>137732400.00000003</v>
      </c>
      <c r="EI508" s="443">
        <f t="shared" si="302"/>
        <v>150128316.00000003</v>
      </c>
      <c r="EJ508" s="367">
        <v>3000018654</v>
      </c>
      <c r="EL508" s="177"/>
      <c r="EM508" s="177"/>
      <c r="EN508" s="177"/>
    </row>
    <row r="509" spans="1:144" outlineLevel="2">
      <c r="A509" s="367" t="s">
        <v>699</v>
      </c>
      <c r="B509" s="378"/>
      <c r="C509" s="370" t="s">
        <v>688</v>
      </c>
      <c r="D509" s="370" t="s">
        <v>40</v>
      </c>
      <c r="E509" s="383" t="s">
        <v>737</v>
      </c>
      <c r="F509" s="380">
        <v>3000017014</v>
      </c>
      <c r="G509" s="186"/>
      <c r="H509" s="30"/>
      <c r="I509" s="195"/>
      <c r="J509" s="185"/>
      <c r="K509" s="185"/>
      <c r="L509" s="194"/>
      <c r="M509" s="185"/>
      <c r="N509" s="185"/>
      <c r="O509" s="7"/>
      <c r="P509" s="7"/>
      <c r="Q509" s="7"/>
      <c r="R509" s="7"/>
      <c r="S509" s="14">
        <f>SUM(G509,H509,I509,J509,K509,L509,M509,N509,O509,P509,Q509,R509)</f>
        <v>0</v>
      </c>
      <c r="T509" s="179"/>
      <c r="U509" s="186"/>
      <c r="V509" s="30"/>
      <c r="W509" s="195"/>
      <c r="X509" s="185"/>
      <c r="Y509" s="185"/>
      <c r="Z509" s="194"/>
      <c r="AA509" s="185"/>
      <c r="AB509" s="185"/>
      <c r="AC509" s="7"/>
      <c r="AD509" s="7"/>
      <c r="AE509" s="7"/>
      <c r="AF509" s="7"/>
      <c r="AG509" s="759">
        <f>SUM(U509,V509,W509,X509,Y509,Z509,AA509,AB509,AC509,AD509,AE509,AF509)</f>
        <v>0</v>
      </c>
      <c r="AH509" s="853">
        <v>3000017014</v>
      </c>
      <c r="AI509" s="814">
        <v>5425000</v>
      </c>
      <c r="AJ509" s="859">
        <v>1325000</v>
      </c>
      <c r="AK509" s="854">
        <v>2025000</v>
      </c>
      <c r="AL509" s="758">
        <v>4050000</v>
      </c>
      <c r="AM509" s="758">
        <v>3375000</v>
      </c>
      <c r="AN509" s="524">
        <v>1350000</v>
      </c>
      <c r="AO509" s="758">
        <v>5100000</v>
      </c>
      <c r="AP509" s="758">
        <v>1275000</v>
      </c>
      <c r="AQ509" s="518">
        <v>9775000</v>
      </c>
      <c r="AR509" s="813">
        <v>4750000</v>
      </c>
      <c r="AS509" s="813">
        <v>8350000</v>
      </c>
      <c r="AT509" s="813">
        <v>2550000</v>
      </c>
      <c r="AU509" s="518">
        <f t="shared" si="301"/>
        <v>4000000</v>
      </c>
      <c r="AV509" s="518">
        <f t="shared" si="301"/>
        <v>4000000</v>
      </c>
      <c r="AW509" s="518">
        <f t="shared" si="301"/>
        <v>4000000</v>
      </c>
      <c r="AX509" s="518">
        <f t="shared" si="303"/>
        <v>49350000</v>
      </c>
      <c r="AY509" s="853" t="e">
        <v>#N/A</v>
      </c>
      <c r="AZ509" s="814">
        <v>5425000</v>
      </c>
      <c r="BA509" s="859">
        <v>1325000</v>
      </c>
      <c r="BB509" s="854">
        <v>2025000</v>
      </c>
      <c r="BC509" s="758">
        <v>4050000</v>
      </c>
      <c r="BD509" s="758">
        <v>3375000</v>
      </c>
      <c r="BE509" s="524">
        <v>1350000</v>
      </c>
      <c r="BF509" s="758">
        <v>5100000</v>
      </c>
      <c r="BG509" s="518">
        <f>AP509</f>
        <v>1275000</v>
      </c>
      <c r="BH509" s="758">
        <v>4000000</v>
      </c>
      <c r="BI509" s="758">
        <v>4000000</v>
      </c>
      <c r="BJ509" s="758">
        <v>4000000</v>
      </c>
      <c r="BK509" s="758">
        <v>4000000</v>
      </c>
      <c r="BL509" s="759">
        <f>SUM(AZ509,BA509,BB509,BC509,BD509,BE509,BF509,BG509,BH509,BI509,BJ509,BK509)</f>
        <v>39925000</v>
      </c>
      <c r="BN509" s="758">
        <v>4000000</v>
      </c>
      <c r="BO509" s="758">
        <v>4000000</v>
      </c>
      <c r="BP509" s="758">
        <v>4000000</v>
      </c>
      <c r="BQ509" s="758">
        <v>4000000</v>
      </c>
      <c r="BR509" s="758">
        <v>4000000</v>
      </c>
      <c r="BS509" s="758">
        <v>4000000</v>
      </c>
      <c r="BT509" s="758">
        <v>4000000</v>
      </c>
      <c r="BU509" s="758">
        <v>4000000</v>
      </c>
      <c r="BV509" s="758">
        <v>4000000</v>
      </c>
      <c r="BW509" s="758">
        <v>4000000</v>
      </c>
      <c r="BX509" s="758">
        <v>4000000</v>
      </c>
      <c r="BY509" s="758">
        <v>4000000</v>
      </c>
      <c r="BZ509" s="791">
        <v>48000000</v>
      </c>
      <c r="CB509" s="758">
        <v>4000000</v>
      </c>
      <c r="CC509" s="758">
        <v>4000000</v>
      </c>
      <c r="CD509" s="758">
        <v>4000000</v>
      </c>
      <c r="CE509" s="758">
        <v>4000000</v>
      </c>
      <c r="CF509" s="758">
        <v>4000000</v>
      </c>
      <c r="CG509" s="758">
        <v>4000000</v>
      </c>
      <c r="CH509" s="758">
        <v>4000000</v>
      </c>
      <c r="CI509" s="758">
        <v>4000000</v>
      </c>
      <c r="CJ509" s="758">
        <v>4000000</v>
      </c>
      <c r="CK509" s="758">
        <v>4000000</v>
      </c>
      <c r="CL509" s="758">
        <v>4000000</v>
      </c>
      <c r="CM509" s="758">
        <v>4000000</v>
      </c>
      <c r="CN509" s="791">
        <v>48000000</v>
      </c>
      <c r="CP509" s="656">
        <v>8350000</v>
      </c>
      <c r="CQ509" s="656">
        <v>3825000</v>
      </c>
      <c r="CR509" s="520">
        <v>3825000</v>
      </c>
      <c r="CS509" s="656">
        <v>5800000</v>
      </c>
      <c r="CT509" s="520">
        <v>5000000</v>
      </c>
      <c r="CU509" s="656">
        <v>10200000</v>
      </c>
      <c r="CV509" s="520">
        <v>10000000</v>
      </c>
      <c r="CW509" s="656">
        <v>6375000</v>
      </c>
      <c r="CX509" s="520">
        <v>10000000</v>
      </c>
      <c r="CY509" s="656">
        <v>3150000</v>
      </c>
      <c r="CZ509" s="520">
        <v>10000000</v>
      </c>
      <c r="DA509" s="656">
        <v>6375000</v>
      </c>
      <c r="DB509" s="520">
        <v>10000000</v>
      </c>
      <c r="DC509" s="656">
        <v>8400000</v>
      </c>
      <c r="DD509" s="520">
        <v>10000000</v>
      </c>
      <c r="DE509" s="758"/>
      <c r="DF509" s="520">
        <v>10000000</v>
      </c>
      <c r="DG509" s="757">
        <v>10000000</v>
      </c>
      <c r="DH509" s="758"/>
      <c r="DI509" s="520">
        <v>10000000</v>
      </c>
      <c r="DJ509" s="757">
        <v>10000000</v>
      </c>
      <c r="DK509" s="758"/>
      <c r="DL509" s="520">
        <v>10000000</v>
      </c>
      <c r="DM509" s="757">
        <v>10000000</v>
      </c>
      <c r="DN509" s="758"/>
      <c r="DO509" s="520">
        <v>10000000</v>
      </c>
      <c r="DP509" s="757">
        <v>10000000</v>
      </c>
      <c r="DQ509" s="493">
        <f t="shared" si="274"/>
        <v>92475000</v>
      </c>
      <c r="DR509" s="479">
        <f t="shared" si="286"/>
        <v>108175000</v>
      </c>
      <c r="DS509" s="1019">
        <v>10000000</v>
      </c>
      <c r="DT509" s="1019">
        <v>10000000</v>
      </c>
      <c r="DU509" s="1019">
        <v>10000000</v>
      </c>
      <c r="DV509" s="1019">
        <v>10000000</v>
      </c>
      <c r="DW509" s="1019">
        <v>10000000</v>
      </c>
      <c r="DX509" s="1019">
        <v>10000000</v>
      </c>
      <c r="DY509" s="1019">
        <v>10000000</v>
      </c>
      <c r="DZ509" s="1019">
        <v>10000000</v>
      </c>
      <c r="EA509" s="1019">
        <v>10000000</v>
      </c>
      <c r="EB509" s="1019">
        <v>10000000</v>
      </c>
      <c r="EC509" s="1019">
        <v>10000000</v>
      </c>
      <c r="ED509" s="1019">
        <v>10000000</v>
      </c>
      <c r="EE509" s="1119">
        <f t="shared" si="275"/>
        <v>120000000</v>
      </c>
      <c r="EF509" s="443">
        <f>EE509*1.17</f>
        <v>140400000</v>
      </c>
      <c r="EG509" s="443">
        <f>EF509*1.08</f>
        <v>151632000</v>
      </c>
      <c r="EH509" s="443">
        <f t="shared" si="302"/>
        <v>165278880</v>
      </c>
      <c r="EI509" s="443">
        <f t="shared" si="302"/>
        <v>180153979.20000002</v>
      </c>
      <c r="EJ509" s="367">
        <v>3000017014</v>
      </c>
      <c r="EL509" s="177"/>
      <c r="EM509" s="177"/>
      <c r="EN509" s="177"/>
    </row>
    <row r="510" spans="1:144" outlineLevel="2">
      <c r="A510" s="367" t="s">
        <v>291</v>
      </c>
      <c r="B510" s="378"/>
      <c r="C510" s="370" t="s">
        <v>688</v>
      </c>
      <c r="D510" s="370" t="s">
        <v>40</v>
      </c>
      <c r="E510" s="403" t="s">
        <v>738</v>
      </c>
      <c r="F510" s="380">
        <v>3000020378</v>
      </c>
      <c r="G510" s="189"/>
      <c r="H510" s="13"/>
      <c r="I510" s="195"/>
      <c r="J510" s="185"/>
      <c r="K510" s="185"/>
      <c r="L510" s="185"/>
      <c r="M510" s="185"/>
      <c r="N510" s="185"/>
      <c r="O510" s="185"/>
      <c r="P510" s="185"/>
      <c r="Q510" s="185"/>
      <c r="R510" s="185"/>
      <c r="S510" s="14"/>
      <c r="T510" s="179"/>
      <c r="U510" s="189"/>
      <c r="V510" s="13"/>
      <c r="W510" s="195"/>
      <c r="X510" s="185"/>
      <c r="Y510" s="185"/>
      <c r="Z510" s="185"/>
      <c r="AA510" s="185"/>
      <c r="AB510" s="185"/>
      <c r="AC510" s="185"/>
      <c r="AD510" s="185"/>
      <c r="AE510" s="185"/>
      <c r="AF510" s="185"/>
      <c r="AG510" s="759"/>
      <c r="AH510" s="811"/>
      <c r="AI510" s="189"/>
      <c r="AJ510" s="810"/>
      <c r="AK510" s="854"/>
      <c r="AL510" s="758"/>
      <c r="AM510" s="758"/>
      <c r="AN510" s="758"/>
      <c r="AO510" s="758"/>
      <c r="AP510" s="758"/>
      <c r="AQ510" s="518"/>
      <c r="AR510" s="813"/>
      <c r="AS510" s="518">
        <v>3036600</v>
      </c>
      <c r="AT510" s="518">
        <v>0</v>
      </c>
      <c r="AU510" s="758"/>
      <c r="AV510" s="758"/>
      <c r="AW510" s="758"/>
      <c r="AX510" s="518">
        <f t="shared" si="303"/>
        <v>3036600</v>
      </c>
      <c r="AY510" s="811"/>
      <c r="AZ510" s="189"/>
      <c r="BA510" s="810"/>
      <c r="BB510" s="854"/>
      <c r="BC510" s="758"/>
      <c r="BD510" s="758"/>
      <c r="BE510" s="758"/>
      <c r="BF510" s="758"/>
      <c r="BG510" s="758"/>
      <c r="BH510" s="758"/>
      <c r="BI510" s="758"/>
      <c r="BJ510" s="758"/>
      <c r="BK510" s="758"/>
      <c r="BL510" s="518"/>
      <c r="BN510" s="6"/>
      <c r="BO510" s="810"/>
      <c r="BP510" s="758"/>
      <c r="BQ510" s="758"/>
      <c r="BR510" s="758"/>
      <c r="BS510" s="758"/>
      <c r="BT510" s="758"/>
      <c r="BU510" s="758"/>
      <c r="BV510" s="758"/>
      <c r="BW510" s="758"/>
      <c r="BX510" s="758"/>
      <c r="BY510" s="758"/>
      <c r="BZ510" s="791">
        <v>0</v>
      </c>
      <c r="CB510" s="6"/>
      <c r="CC510" s="810"/>
      <c r="CD510" s="758"/>
      <c r="CE510" s="758"/>
      <c r="CF510" s="758"/>
      <c r="CG510" s="758"/>
      <c r="CH510" s="758"/>
      <c r="CI510" s="758"/>
      <c r="CJ510" s="758"/>
      <c r="CK510" s="758"/>
      <c r="CL510" s="758"/>
      <c r="CM510" s="758"/>
      <c r="CN510" s="791">
        <v>0</v>
      </c>
      <c r="CP510" s="655"/>
      <c r="CQ510" s="655">
        <v>1282500</v>
      </c>
      <c r="CR510" s="6"/>
      <c r="CS510" s="655"/>
      <c r="CT510" s="6"/>
      <c r="CU510" s="655"/>
      <c r="CV510" s="6"/>
      <c r="CW510" s="655"/>
      <c r="CX510" s="6"/>
      <c r="CY510" s="655"/>
      <c r="CZ510" s="6"/>
      <c r="DA510" s="655"/>
      <c r="DB510" s="6"/>
      <c r="DC510" s="655">
        <v>0</v>
      </c>
      <c r="DD510" s="6"/>
      <c r="DE510" s="758"/>
      <c r="DF510" s="6"/>
      <c r="DG510" s="757"/>
      <c r="DH510" s="758"/>
      <c r="DI510" s="6"/>
      <c r="DJ510" s="757"/>
      <c r="DK510" s="758"/>
      <c r="DL510" s="6"/>
      <c r="DM510" s="757"/>
      <c r="DN510" s="758"/>
      <c r="DO510" s="6"/>
      <c r="DP510" s="757"/>
      <c r="DQ510" s="493">
        <f t="shared" si="274"/>
        <v>1282500</v>
      </c>
      <c r="DR510" s="479">
        <f t="shared" si="286"/>
        <v>1282500</v>
      </c>
      <c r="DS510" s="1019"/>
      <c r="DT510" s="1019"/>
      <c r="DU510" s="1019"/>
      <c r="DV510" s="1019"/>
      <c r="DW510" s="1019"/>
      <c r="DX510" s="1019"/>
      <c r="DY510" s="1019"/>
      <c r="DZ510" s="1019"/>
      <c r="EA510" s="1019"/>
      <c r="EB510" s="1019"/>
      <c r="EC510" s="1019"/>
      <c r="ED510" s="1019"/>
      <c r="EE510" s="1119">
        <f t="shared" si="275"/>
        <v>0</v>
      </c>
      <c r="EF510" s="447"/>
      <c r="EG510" s="447"/>
      <c r="EH510" s="447"/>
      <c r="EI510" s="447"/>
      <c r="EL510" s="177"/>
      <c r="EM510" s="177"/>
      <c r="EN510" s="177"/>
    </row>
    <row r="511" spans="1:144" outlineLevel="2">
      <c r="A511" s="367" t="s">
        <v>699</v>
      </c>
      <c r="B511" s="378"/>
      <c r="C511" s="370" t="s">
        <v>688</v>
      </c>
      <c r="D511" s="370" t="s">
        <v>40</v>
      </c>
      <c r="E511" s="383" t="s">
        <v>739</v>
      </c>
      <c r="F511" s="380">
        <v>3000018981</v>
      </c>
      <c r="G511" s="186"/>
      <c r="H511" s="13"/>
      <c r="I511" s="195"/>
      <c r="J511" s="185"/>
      <c r="K511" s="185"/>
      <c r="L511" s="194"/>
      <c r="M511" s="185"/>
      <c r="N511" s="185"/>
      <c r="O511" s="7"/>
      <c r="P511" s="7"/>
      <c r="Q511" s="7"/>
      <c r="R511" s="7"/>
      <c r="S511" s="14">
        <f t="shared" ref="S511:S526" si="304">SUM(G511,H511,I511,J511,K511,L511,M511,N511,O511,P511,Q511,R511)</f>
        <v>0</v>
      </c>
      <c r="T511" s="179"/>
      <c r="U511" s="186"/>
      <c r="V511" s="13"/>
      <c r="W511" s="195"/>
      <c r="X511" s="185"/>
      <c r="Y511" s="185"/>
      <c r="Z511" s="194"/>
      <c r="AA511" s="185"/>
      <c r="AB511" s="185"/>
      <c r="AC511" s="7"/>
      <c r="AD511" s="7"/>
      <c r="AE511" s="7"/>
      <c r="AF511" s="7"/>
      <c r="AG511" s="759">
        <f t="shared" ref="AG511:AG526" si="305">SUM(U511,V511,W511,X511,Y511,Z511,AA511,AB511,AC511,AD511,AE511,AF511)</f>
        <v>0</v>
      </c>
      <c r="AH511" s="853">
        <v>3000018981</v>
      </c>
      <c r="AI511" s="814">
        <v>1400000</v>
      </c>
      <c r="AJ511" s="810"/>
      <c r="AK511" s="854"/>
      <c r="AL511" s="758">
        <v>1400000</v>
      </c>
      <c r="AM511" s="758">
        <v>0</v>
      </c>
      <c r="AN511" s="524">
        <v>2800000</v>
      </c>
      <c r="AO511" s="758">
        <v>0</v>
      </c>
      <c r="AP511" s="758">
        <v>0</v>
      </c>
      <c r="AQ511" s="518">
        <v>0</v>
      </c>
      <c r="AR511" s="813">
        <v>333757</v>
      </c>
      <c r="AS511" s="813">
        <v>0</v>
      </c>
      <c r="AT511" s="813">
        <v>0</v>
      </c>
      <c r="AU511" s="518">
        <f t="shared" ref="AU511:AU526" si="306">BI511</f>
        <v>0</v>
      </c>
      <c r="AV511" s="518">
        <f t="shared" ref="AV511:AV526" si="307">BJ511</f>
        <v>0</v>
      </c>
      <c r="AW511" s="518">
        <f t="shared" ref="AW511:AW526" si="308">BK511</f>
        <v>0</v>
      </c>
      <c r="AX511" s="518">
        <f t="shared" si="303"/>
        <v>5933757</v>
      </c>
      <c r="AY511" s="853">
        <v>0</v>
      </c>
      <c r="AZ511" s="814">
        <v>1400000</v>
      </c>
      <c r="BA511" s="810"/>
      <c r="BB511" s="854"/>
      <c r="BC511" s="758">
        <v>1400000</v>
      </c>
      <c r="BD511" s="758">
        <v>0</v>
      </c>
      <c r="BE511" s="524">
        <v>2800000</v>
      </c>
      <c r="BF511" s="758">
        <v>0</v>
      </c>
      <c r="BG511" s="518">
        <f t="shared" ref="BG511:BG526" si="309">AP511</f>
        <v>0</v>
      </c>
      <c r="BH511" s="758">
        <v>0</v>
      </c>
      <c r="BI511" s="758">
        <v>0</v>
      </c>
      <c r="BJ511" s="758">
        <v>0</v>
      </c>
      <c r="BK511" s="758">
        <v>0</v>
      </c>
      <c r="BL511" s="759">
        <f t="shared" ref="BL511:BL526" si="310">SUM(AZ511,BA511,BB511,BC511,BD511,BE511,BF511,BG511,BH511,BI511,BJ511,BK511)</f>
        <v>5600000</v>
      </c>
      <c r="BN511" s="758">
        <v>0</v>
      </c>
      <c r="BO511" s="758">
        <v>0</v>
      </c>
      <c r="BP511" s="758">
        <v>0</v>
      </c>
      <c r="BQ511" s="758">
        <v>0</v>
      </c>
      <c r="BR511" s="758">
        <v>0</v>
      </c>
      <c r="BS511" s="758">
        <v>0</v>
      </c>
      <c r="BT511" s="758">
        <v>0</v>
      </c>
      <c r="BU511" s="758">
        <v>0</v>
      </c>
      <c r="BV511" s="758">
        <v>0</v>
      </c>
      <c r="BW511" s="758">
        <v>0</v>
      </c>
      <c r="BX511" s="758">
        <v>0</v>
      </c>
      <c r="BY511" s="758">
        <v>0</v>
      </c>
      <c r="BZ511" s="791">
        <v>0</v>
      </c>
      <c r="CB511" s="758">
        <v>0</v>
      </c>
      <c r="CC511" s="758">
        <v>0</v>
      </c>
      <c r="CD511" s="758">
        <v>0</v>
      </c>
      <c r="CE511" s="758">
        <v>0</v>
      </c>
      <c r="CF511" s="758">
        <v>0</v>
      </c>
      <c r="CG511" s="758">
        <v>0</v>
      </c>
      <c r="CH511" s="758">
        <v>0</v>
      </c>
      <c r="CI511" s="758">
        <v>0</v>
      </c>
      <c r="CJ511" s="758">
        <v>0</v>
      </c>
      <c r="CK511" s="758">
        <v>0</v>
      </c>
      <c r="CL511" s="758">
        <v>0</v>
      </c>
      <c r="CM511" s="758">
        <v>0</v>
      </c>
      <c r="CN511" s="791">
        <v>0</v>
      </c>
      <c r="CP511" s="653"/>
      <c r="CQ511" s="653"/>
      <c r="CR511" s="524"/>
      <c r="CS511" s="653"/>
      <c r="CT511" s="524"/>
      <c r="CU511" s="653"/>
      <c r="CV511" s="524"/>
      <c r="CW511" s="653"/>
      <c r="CX511" s="524"/>
      <c r="CY511" s="653"/>
      <c r="CZ511" s="524"/>
      <c r="DA511" s="653"/>
      <c r="DB511" s="524"/>
      <c r="DC511" s="653">
        <v>0</v>
      </c>
      <c r="DD511" s="524"/>
      <c r="DE511" s="758"/>
      <c r="DF511" s="524"/>
      <c r="DG511" s="757"/>
      <c r="DH511" s="758"/>
      <c r="DI511" s="524"/>
      <c r="DJ511" s="757"/>
      <c r="DK511" s="758"/>
      <c r="DL511" s="524"/>
      <c r="DM511" s="757"/>
      <c r="DN511" s="758"/>
      <c r="DO511" s="524"/>
      <c r="DP511" s="757"/>
      <c r="DQ511" s="493">
        <f t="shared" si="274"/>
        <v>0</v>
      </c>
      <c r="DR511" s="479">
        <f t="shared" si="286"/>
        <v>0</v>
      </c>
      <c r="DS511" s="1019"/>
      <c r="DT511" s="1019"/>
      <c r="DU511" s="1019"/>
      <c r="DV511" s="1019"/>
      <c r="DW511" s="1019"/>
      <c r="DX511" s="1019"/>
      <c r="DY511" s="1019"/>
      <c r="DZ511" s="1019"/>
      <c r="EA511" s="1019"/>
      <c r="EB511" s="1019"/>
      <c r="EC511" s="1019"/>
      <c r="ED511" s="1019"/>
      <c r="EE511" s="1119">
        <f t="shared" si="275"/>
        <v>0</v>
      </c>
      <c r="EF511" s="443">
        <f t="shared" ref="EF511:EF516" si="311">EE511*1.17</f>
        <v>0</v>
      </c>
      <c r="EG511" s="443">
        <f t="shared" ref="EG511:EG526" si="312">EF511*1.08</f>
        <v>0</v>
      </c>
      <c r="EH511" s="443">
        <f t="shared" ref="EH511:EI516" si="313">EG511*1.09</f>
        <v>0</v>
      </c>
      <c r="EI511" s="443">
        <f t="shared" si="313"/>
        <v>0</v>
      </c>
      <c r="EJ511" s="367">
        <v>3000018981</v>
      </c>
      <c r="EL511" s="177"/>
      <c r="EM511" s="177"/>
      <c r="EN511" s="177"/>
    </row>
    <row r="512" spans="1:144" outlineLevel="2">
      <c r="A512" s="367" t="s">
        <v>699</v>
      </c>
      <c r="B512" s="378"/>
      <c r="C512" s="370" t="s">
        <v>688</v>
      </c>
      <c r="D512" s="370" t="s">
        <v>40</v>
      </c>
      <c r="E512" s="383" t="s">
        <v>740</v>
      </c>
      <c r="F512" s="380">
        <v>3000017804</v>
      </c>
      <c r="G512" s="189"/>
      <c r="H512" s="13"/>
      <c r="I512" s="185"/>
      <c r="J512" s="185"/>
      <c r="K512" s="185"/>
      <c r="L512" s="194"/>
      <c r="M512" s="185"/>
      <c r="N512" s="185"/>
      <c r="O512" s="7"/>
      <c r="P512" s="7"/>
      <c r="Q512" s="7"/>
      <c r="R512" s="7"/>
      <c r="S512" s="14">
        <f t="shared" si="304"/>
        <v>0</v>
      </c>
      <c r="T512" s="179"/>
      <c r="U512" s="189"/>
      <c r="V512" s="13"/>
      <c r="W512" s="185"/>
      <c r="X512" s="185"/>
      <c r="Y512" s="185"/>
      <c r="Z512" s="194"/>
      <c r="AA512" s="185"/>
      <c r="AB512" s="185"/>
      <c r="AC512" s="7"/>
      <c r="AD512" s="7"/>
      <c r="AE512" s="7"/>
      <c r="AF512" s="7"/>
      <c r="AG512" s="759">
        <f t="shared" si="305"/>
        <v>0</v>
      </c>
      <c r="AH512" s="853">
        <v>3000017804</v>
      </c>
      <c r="AI512" s="189"/>
      <c r="AJ512" s="810"/>
      <c r="AK512" s="758">
        <v>4200000</v>
      </c>
      <c r="AL512" s="758">
        <v>18679000</v>
      </c>
      <c r="AM512" s="758">
        <v>6673000</v>
      </c>
      <c r="AN512" s="524">
        <v>0</v>
      </c>
      <c r="AO512" s="758">
        <v>8345000</v>
      </c>
      <c r="AP512" s="758">
        <v>0</v>
      </c>
      <c r="AQ512" s="518">
        <v>6600000</v>
      </c>
      <c r="AR512" s="813">
        <v>6750000</v>
      </c>
      <c r="AS512" s="813">
        <v>0</v>
      </c>
      <c r="AT512" s="813">
        <v>0</v>
      </c>
      <c r="AU512" s="518">
        <f t="shared" si="306"/>
        <v>10000000</v>
      </c>
      <c r="AV512" s="518">
        <f t="shared" si="307"/>
        <v>0</v>
      </c>
      <c r="AW512" s="518">
        <f t="shared" si="308"/>
        <v>10000000</v>
      </c>
      <c r="AX512" s="518">
        <f t="shared" si="303"/>
        <v>51247000</v>
      </c>
      <c r="AY512" s="853" t="e">
        <v>#N/A</v>
      </c>
      <c r="AZ512" s="189"/>
      <c r="BA512" s="810"/>
      <c r="BB512" s="758">
        <v>4200000</v>
      </c>
      <c r="BC512" s="758">
        <v>18679000</v>
      </c>
      <c r="BD512" s="758">
        <v>6673000</v>
      </c>
      <c r="BE512" s="524">
        <v>0</v>
      </c>
      <c r="BF512" s="758">
        <v>8345000</v>
      </c>
      <c r="BG512" s="518">
        <f t="shared" si="309"/>
        <v>0</v>
      </c>
      <c r="BH512" s="758">
        <v>0</v>
      </c>
      <c r="BI512" s="758">
        <v>10000000</v>
      </c>
      <c r="BJ512" s="758">
        <v>0</v>
      </c>
      <c r="BK512" s="758">
        <v>10000000</v>
      </c>
      <c r="BL512" s="759">
        <f t="shared" si="310"/>
        <v>57897000</v>
      </c>
      <c r="BN512" s="758">
        <v>10000000</v>
      </c>
      <c r="BO512" s="758">
        <v>0</v>
      </c>
      <c r="BP512" s="758">
        <v>10000000</v>
      </c>
      <c r="BQ512" s="758">
        <v>0</v>
      </c>
      <c r="BR512" s="758">
        <v>10000000</v>
      </c>
      <c r="BS512" s="758">
        <v>0</v>
      </c>
      <c r="BT512" s="758">
        <v>10000000</v>
      </c>
      <c r="BU512" s="758">
        <v>0</v>
      </c>
      <c r="BV512" s="758">
        <v>10000000</v>
      </c>
      <c r="BW512" s="758">
        <v>0</v>
      </c>
      <c r="BX512" s="758">
        <v>10000000</v>
      </c>
      <c r="BY512" s="758">
        <v>0</v>
      </c>
      <c r="BZ512" s="791">
        <v>60000000</v>
      </c>
      <c r="CB512" s="758">
        <v>10000000</v>
      </c>
      <c r="CC512" s="758">
        <v>0</v>
      </c>
      <c r="CD512" s="758">
        <v>10000000</v>
      </c>
      <c r="CE512" s="758">
        <v>0</v>
      </c>
      <c r="CF512" s="758">
        <v>10000000</v>
      </c>
      <c r="CG512" s="758">
        <v>0</v>
      </c>
      <c r="CH512" s="758">
        <v>10000000</v>
      </c>
      <c r="CI512" s="758">
        <v>0</v>
      </c>
      <c r="CJ512" s="758">
        <v>10000000</v>
      </c>
      <c r="CK512" s="758">
        <v>0</v>
      </c>
      <c r="CL512" s="758">
        <v>10000000</v>
      </c>
      <c r="CM512" s="758">
        <v>0</v>
      </c>
      <c r="CN512" s="791">
        <v>60000000</v>
      </c>
      <c r="CP512" s="653"/>
      <c r="CQ512" s="653"/>
      <c r="CR512" s="524"/>
      <c r="CS512" s="653"/>
      <c r="CT512" s="524"/>
      <c r="CU512" s="653"/>
      <c r="CV512" s="524"/>
      <c r="CW512" s="653"/>
      <c r="CX512" s="524"/>
      <c r="CY512" s="653"/>
      <c r="CZ512" s="524"/>
      <c r="DA512" s="653"/>
      <c r="DB512" s="524"/>
      <c r="DC512" s="653">
        <v>0</v>
      </c>
      <c r="DD512" s="524"/>
      <c r="DE512" s="758"/>
      <c r="DF512" s="524"/>
      <c r="DG512" s="757"/>
      <c r="DH512" s="758"/>
      <c r="DI512" s="524"/>
      <c r="DJ512" s="757"/>
      <c r="DK512" s="758"/>
      <c r="DL512" s="524"/>
      <c r="DM512" s="757"/>
      <c r="DN512" s="758"/>
      <c r="DO512" s="524"/>
      <c r="DP512" s="757"/>
      <c r="DQ512" s="493">
        <f t="shared" si="274"/>
        <v>0</v>
      </c>
      <c r="DR512" s="479">
        <f t="shared" si="286"/>
        <v>0</v>
      </c>
      <c r="DS512" s="1019"/>
      <c r="DT512" s="1019"/>
      <c r="DU512" s="1019"/>
      <c r="DV512" s="1019"/>
      <c r="DW512" s="1019"/>
      <c r="DX512" s="1019"/>
      <c r="DY512" s="1019"/>
      <c r="DZ512" s="1019"/>
      <c r="EA512" s="1019"/>
      <c r="EB512" s="1019"/>
      <c r="EC512" s="1019"/>
      <c r="ED512" s="1019"/>
      <c r="EE512" s="1119">
        <f t="shared" si="275"/>
        <v>0</v>
      </c>
      <c r="EF512" s="443">
        <f t="shared" si="311"/>
        <v>0</v>
      </c>
      <c r="EG512" s="443">
        <f t="shared" si="312"/>
        <v>0</v>
      </c>
      <c r="EH512" s="443">
        <f t="shared" si="313"/>
        <v>0</v>
      </c>
      <c r="EI512" s="443">
        <f t="shared" si="313"/>
        <v>0</v>
      </c>
      <c r="EJ512" s="367">
        <v>3000017804</v>
      </c>
      <c r="EL512" s="177"/>
      <c r="EM512" s="177"/>
      <c r="EN512" s="177"/>
    </row>
    <row r="513" spans="1:144" outlineLevel="2">
      <c r="A513" s="367" t="s">
        <v>291</v>
      </c>
      <c r="B513" s="378"/>
      <c r="C513" s="370" t="s">
        <v>688</v>
      </c>
      <c r="D513" s="370" t="s">
        <v>40</v>
      </c>
      <c r="E513" s="383" t="s">
        <v>741</v>
      </c>
      <c r="F513" s="380">
        <v>3000017245</v>
      </c>
      <c r="G513" s="189"/>
      <c r="H513" s="13"/>
      <c r="I513" s="185"/>
      <c r="J513" s="185"/>
      <c r="K513" s="185"/>
      <c r="L513" s="194"/>
      <c r="M513" s="185"/>
      <c r="N513" s="185"/>
      <c r="O513" s="7"/>
      <c r="P513" s="7"/>
      <c r="Q513" s="7"/>
      <c r="R513" s="7"/>
      <c r="S513" s="14">
        <f t="shared" si="304"/>
        <v>0</v>
      </c>
      <c r="T513" s="179"/>
      <c r="U513" s="189"/>
      <c r="V513" s="13"/>
      <c r="W513" s="185"/>
      <c r="X513" s="185"/>
      <c r="Y513" s="185"/>
      <c r="Z513" s="194"/>
      <c r="AA513" s="185"/>
      <c r="AB513" s="185"/>
      <c r="AC513" s="7"/>
      <c r="AD513" s="7"/>
      <c r="AE513" s="7"/>
      <c r="AF513" s="7"/>
      <c r="AG513" s="759">
        <f t="shared" si="305"/>
        <v>0</v>
      </c>
      <c r="AH513" s="853">
        <v>3000017245</v>
      </c>
      <c r="AI513" s="189"/>
      <c r="AJ513" s="810"/>
      <c r="AK513" s="758"/>
      <c r="AL513" s="758">
        <v>0</v>
      </c>
      <c r="AM513" s="758">
        <v>4765065</v>
      </c>
      <c r="AN513" s="524">
        <v>0</v>
      </c>
      <c r="AO513" s="758">
        <v>0</v>
      </c>
      <c r="AP513" s="758">
        <v>0</v>
      </c>
      <c r="AQ513" s="518">
        <v>0</v>
      </c>
      <c r="AR513" s="518"/>
      <c r="AS513" s="518"/>
      <c r="AT513" s="813">
        <v>3578585</v>
      </c>
      <c r="AU513" s="518">
        <f t="shared" si="306"/>
        <v>0</v>
      </c>
      <c r="AV513" s="518">
        <f t="shared" si="307"/>
        <v>0</v>
      </c>
      <c r="AW513" s="518">
        <f t="shared" si="308"/>
        <v>0</v>
      </c>
      <c r="AX513" s="518">
        <f t="shared" si="303"/>
        <v>8343650</v>
      </c>
      <c r="AY513" s="853">
        <v>0</v>
      </c>
      <c r="AZ513" s="189"/>
      <c r="BA513" s="810"/>
      <c r="BB513" s="758"/>
      <c r="BC513" s="758">
        <v>0</v>
      </c>
      <c r="BD513" s="758">
        <v>4765065</v>
      </c>
      <c r="BE513" s="524">
        <v>0</v>
      </c>
      <c r="BF513" s="758">
        <v>0</v>
      </c>
      <c r="BG513" s="518">
        <f t="shared" si="309"/>
        <v>0</v>
      </c>
      <c r="BH513" s="758">
        <v>0</v>
      </c>
      <c r="BI513" s="758">
        <v>0</v>
      </c>
      <c r="BJ513" s="758">
        <v>0</v>
      </c>
      <c r="BK513" s="758">
        <v>0</v>
      </c>
      <c r="BL513" s="759">
        <f t="shared" si="310"/>
        <v>4765065</v>
      </c>
      <c r="BN513" s="758">
        <v>0</v>
      </c>
      <c r="BO513" s="758">
        <v>0</v>
      </c>
      <c r="BP513" s="758">
        <v>0</v>
      </c>
      <c r="BQ513" s="758">
        <v>0</v>
      </c>
      <c r="BR513" s="758">
        <v>0</v>
      </c>
      <c r="BS513" s="758">
        <v>0</v>
      </c>
      <c r="BT513" s="758">
        <v>0</v>
      </c>
      <c r="BU513" s="758">
        <v>0</v>
      </c>
      <c r="BV513" s="758">
        <v>0</v>
      </c>
      <c r="BW513" s="758">
        <v>0</v>
      </c>
      <c r="BX513" s="758">
        <v>0</v>
      </c>
      <c r="BY513" s="758">
        <v>0</v>
      </c>
      <c r="BZ513" s="791">
        <v>0</v>
      </c>
      <c r="CB513" s="758">
        <v>0</v>
      </c>
      <c r="CC513" s="758">
        <v>0</v>
      </c>
      <c r="CD513" s="758">
        <v>0</v>
      </c>
      <c r="CE513" s="758">
        <v>0</v>
      </c>
      <c r="CF513" s="758">
        <v>0</v>
      </c>
      <c r="CG513" s="758">
        <v>0</v>
      </c>
      <c r="CH513" s="758">
        <v>0</v>
      </c>
      <c r="CI513" s="758">
        <v>0</v>
      </c>
      <c r="CJ513" s="758">
        <v>0</v>
      </c>
      <c r="CK513" s="758">
        <v>0</v>
      </c>
      <c r="CL513" s="758">
        <v>0</v>
      </c>
      <c r="CM513" s="758">
        <v>0</v>
      </c>
      <c r="CN513" s="791">
        <v>0</v>
      </c>
      <c r="CP513" s="653"/>
      <c r="CQ513" s="653"/>
      <c r="CR513" s="524"/>
      <c r="CS513" s="653"/>
      <c r="CT513" s="524"/>
      <c r="CU513" s="653">
        <v>3647750</v>
      </c>
      <c r="CV513" s="524"/>
      <c r="CW513" s="653"/>
      <c r="CX513" s="524"/>
      <c r="CY513" s="653"/>
      <c r="CZ513" s="524"/>
      <c r="DA513" s="653"/>
      <c r="DB513" s="524"/>
      <c r="DC513" s="653">
        <v>0</v>
      </c>
      <c r="DD513" s="524"/>
      <c r="DE513" s="758"/>
      <c r="DF513" s="524"/>
      <c r="DG513" s="757"/>
      <c r="DH513" s="758"/>
      <c r="DI513" s="524"/>
      <c r="DJ513" s="757"/>
      <c r="DK513" s="758"/>
      <c r="DL513" s="524"/>
      <c r="DM513" s="757"/>
      <c r="DN513" s="758"/>
      <c r="DO513" s="524"/>
      <c r="DP513" s="757"/>
      <c r="DQ513" s="493">
        <f t="shared" ref="DQ513:DQ576" si="314">SUM(CP513,CQ513,CS513,CU513,CW513,CY513,DA513,DC513,DF513,DI513,DL513,DO513)</f>
        <v>3647750</v>
      </c>
      <c r="DR513" s="479">
        <f t="shared" si="286"/>
        <v>3647750</v>
      </c>
      <c r="DS513" s="1019"/>
      <c r="DT513" s="1019"/>
      <c r="DU513" s="1019"/>
      <c r="DV513" s="1019"/>
      <c r="DW513" s="1019"/>
      <c r="DX513" s="1019"/>
      <c r="DY513" s="1019"/>
      <c r="DZ513" s="1019"/>
      <c r="EA513" s="1019"/>
      <c r="EB513" s="1019"/>
      <c r="EC513" s="1019"/>
      <c r="ED513" s="1019"/>
      <c r="EE513" s="1119">
        <f t="shared" ref="EE513:EE574" si="315">SUM(DS513,DT513,DU513,DV513,DW513,DX513,DY513,DZ513,EA513,EB513,EC513,ED513)</f>
        <v>0</v>
      </c>
      <c r="EF513" s="443">
        <f t="shared" si="311"/>
        <v>0</v>
      </c>
      <c r="EG513" s="443">
        <f t="shared" si="312"/>
        <v>0</v>
      </c>
      <c r="EH513" s="443">
        <f t="shared" si="313"/>
        <v>0</v>
      </c>
      <c r="EI513" s="443">
        <f t="shared" si="313"/>
        <v>0</v>
      </c>
      <c r="EJ513" s="367">
        <v>3000017245</v>
      </c>
      <c r="EL513" s="177"/>
      <c r="EM513" s="177"/>
      <c r="EN513" s="177"/>
    </row>
    <row r="514" spans="1:144" outlineLevel="2">
      <c r="A514" s="367" t="s">
        <v>687</v>
      </c>
      <c r="B514" s="378"/>
      <c r="C514" s="370" t="s">
        <v>688</v>
      </c>
      <c r="D514" s="370" t="s">
        <v>40</v>
      </c>
      <c r="E514" s="383" t="s">
        <v>742</v>
      </c>
      <c r="F514" s="380">
        <v>3000017110</v>
      </c>
      <c r="G514" s="189"/>
      <c r="H514" s="13"/>
      <c r="I514" s="27"/>
      <c r="J514" s="185"/>
      <c r="K514" s="185"/>
      <c r="L514" s="194"/>
      <c r="M514" s="185"/>
      <c r="N514" s="185"/>
      <c r="O514" s="7"/>
      <c r="P514" s="7"/>
      <c r="Q514" s="7"/>
      <c r="R514" s="7"/>
      <c r="S514" s="14">
        <f t="shared" si="304"/>
        <v>0</v>
      </c>
      <c r="T514" s="179"/>
      <c r="U514" s="189"/>
      <c r="V514" s="13"/>
      <c r="W514" s="27"/>
      <c r="X514" s="185"/>
      <c r="Y514" s="185"/>
      <c r="Z514" s="194"/>
      <c r="AA514" s="185"/>
      <c r="AB514" s="185"/>
      <c r="AC514" s="7"/>
      <c r="AD514" s="7"/>
      <c r="AE514" s="7"/>
      <c r="AF514" s="7"/>
      <c r="AG514" s="759">
        <f t="shared" si="305"/>
        <v>0</v>
      </c>
      <c r="AH514" s="853">
        <v>3000017110</v>
      </c>
      <c r="AI514" s="189"/>
      <c r="AJ514" s="810"/>
      <c r="AK514" s="858">
        <v>3084871</v>
      </c>
      <c r="AL514" s="758">
        <v>0</v>
      </c>
      <c r="AM514" s="758">
        <v>0</v>
      </c>
      <c r="AN514" s="524">
        <v>3260447</v>
      </c>
      <c r="AO514" s="758">
        <v>3213088</v>
      </c>
      <c r="AP514" s="758">
        <v>0</v>
      </c>
      <c r="AQ514" s="518">
        <v>0</v>
      </c>
      <c r="AR514" s="518"/>
      <c r="AS514" s="518"/>
      <c r="AT514" s="518"/>
      <c r="AU514" s="518">
        <f t="shared" si="306"/>
        <v>0</v>
      </c>
      <c r="AV514" s="518">
        <f t="shared" si="307"/>
        <v>0</v>
      </c>
      <c r="AW514" s="518">
        <f t="shared" si="308"/>
        <v>0</v>
      </c>
      <c r="AX514" s="518">
        <f t="shared" si="303"/>
        <v>9558406</v>
      </c>
      <c r="AY514" s="853">
        <v>0</v>
      </c>
      <c r="AZ514" s="189"/>
      <c r="BA514" s="810"/>
      <c r="BB514" s="858">
        <v>3084871</v>
      </c>
      <c r="BC514" s="758">
        <v>0</v>
      </c>
      <c r="BD514" s="758">
        <v>0</v>
      </c>
      <c r="BE514" s="524">
        <v>3260447</v>
      </c>
      <c r="BF514" s="758">
        <v>3213088</v>
      </c>
      <c r="BG514" s="518">
        <f t="shared" si="309"/>
        <v>0</v>
      </c>
      <c r="BH514" s="758">
        <v>0</v>
      </c>
      <c r="BI514" s="758">
        <v>0</v>
      </c>
      <c r="BJ514" s="758">
        <v>0</v>
      </c>
      <c r="BK514" s="758">
        <v>0</v>
      </c>
      <c r="BL514" s="759">
        <f t="shared" si="310"/>
        <v>9558406</v>
      </c>
      <c r="BN514" s="758">
        <v>0</v>
      </c>
      <c r="BO514" s="758">
        <v>0</v>
      </c>
      <c r="BP514" s="758">
        <v>3000000</v>
      </c>
      <c r="BQ514" s="758">
        <v>0</v>
      </c>
      <c r="BR514" s="758">
        <v>0</v>
      </c>
      <c r="BS514" s="758">
        <v>3000000</v>
      </c>
      <c r="BT514" s="758">
        <v>0</v>
      </c>
      <c r="BU514" s="758">
        <v>0</v>
      </c>
      <c r="BV514" s="758">
        <v>3000000</v>
      </c>
      <c r="BW514" s="758">
        <v>0</v>
      </c>
      <c r="BX514" s="758">
        <v>0</v>
      </c>
      <c r="BY514" s="758">
        <v>3000000</v>
      </c>
      <c r="BZ514" s="791">
        <v>12000000</v>
      </c>
      <c r="CB514" s="758">
        <v>0</v>
      </c>
      <c r="CC514" s="758">
        <v>0</v>
      </c>
      <c r="CD514" s="758">
        <v>3000000</v>
      </c>
      <c r="CE514" s="758">
        <v>0</v>
      </c>
      <c r="CF514" s="758">
        <v>0</v>
      </c>
      <c r="CG514" s="758">
        <v>3000000</v>
      </c>
      <c r="CH514" s="758">
        <v>0</v>
      </c>
      <c r="CI514" s="758">
        <v>0</v>
      </c>
      <c r="CJ514" s="758">
        <v>3000000</v>
      </c>
      <c r="CK514" s="758">
        <v>0</v>
      </c>
      <c r="CL514" s="758">
        <v>0</v>
      </c>
      <c r="CM514" s="758">
        <v>3000000</v>
      </c>
      <c r="CN514" s="791">
        <v>12000000</v>
      </c>
      <c r="CP514" s="653"/>
      <c r="CQ514" s="653"/>
      <c r="CR514" s="524"/>
      <c r="CS514" s="653"/>
      <c r="CT514" s="524"/>
      <c r="CU514" s="653"/>
      <c r="CV514" s="524"/>
      <c r="CW514" s="653"/>
      <c r="CX514" s="524"/>
      <c r="CY514" s="653"/>
      <c r="CZ514" s="524"/>
      <c r="DA514" s="653"/>
      <c r="DB514" s="524"/>
      <c r="DC514" s="653">
        <v>0</v>
      </c>
      <c r="DD514" s="524"/>
      <c r="DE514" s="758"/>
      <c r="DF514" s="524"/>
      <c r="DG514" s="757"/>
      <c r="DH514" s="758"/>
      <c r="DI514" s="524"/>
      <c r="DJ514" s="757"/>
      <c r="DK514" s="758"/>
      <c r="DL514" s="524"/>
      <c r="DM514" s="757"/>
      <c r="DN514" s="758"/>
      <c r="DO514" s="524"/>
      <c r="DP514" s="757"/>
      <c r="DQ514" s="493">
        <f t="shared" si="314"/>
        <v>0</v>
      </c>
      <c r="DR514" s="479">
        <f t="shared" ref="DR514:DR545" si="316">SUM(CP514,CQ514,CS514,CU514,CX514,CZ514,DB514,DD514,DG514,DJ514,DM514,DP514)</f>
        <v>0</v>
      </c>
      <c r="DS514" s="1019"/>
      <c r="DT514" s="1019"/>
      <c r="DU514" s="1019"/>
      <c r="DV514" s="1019"/>
      <c r="DW514" s="1019"/>
      <c r="DX514" s="1019"/>
      <c r="DY514" s="1019"/>
      <c r="DZ514" s="1019"/>
      <c r="EA514" s="1019"/>
      <c r="EB514" s="1019"/>
      <c r="EC514" s="1019"/>
      <c r="ED514" s="1019"/>
      <c r="EE514" s="1119">
        <f t="shared" si="315"/>
        <v>0</v>
      </c>
      <c r="EF514" s="443">
        <f t="shared" si="311"/>
        <v>0</v>
      </c>
      <c r="EG514" s="443">
        <f t="shared" si="312"/>
        <v>0</v>
      </c>
      <c r="EH514" s="443">
        <f t="shared" si="313"/>
        <v>0</v>
      </c>
      <c r="EI514" s="443">
        <f t="shared" si="313"/>
        <v>0</v>
      </c>
      <c r="EJ514" s="367">
        <v>3000017110</v>
      </c>
      <c r="EL514" s="177"/>
      <c r="EM514" s="177"/>
      <c r="EN514" s="177"/>
    </row>
    <row r="515" spans="1:144" outlineLevel="2">
      <c r="A515" s="367" t="s">
        <v>291</v>
      </c>
      <c r="B515" s="378"/>
      <c r="C515" s="370" t="s">
        <v>688</v>
      </c>
      <c r="D515" s="370" t="s">
        <v>40</v>
      </c>
      <c r="E515" s="383" t="s">
        <v>743</v>
      </c>
      <c r="F515" s="380">
        <v>3000014426</v>
      </c>
      <c r="G515" s="189"/>
      <c r="H515" s="13"/>
      <c r="I515" s="185"/>
      <c r="J515" s="185"/>
      <c r="K515" s="185"/>
      <c r="L515" s="194"/>
      <c r="M515" s="185"/>
      <c r="N515" s="185"/>
      <c r="O515" s="7"/>
      <c r="P515" s="7"/>
      <c r="Q515" s="7"/>
      <c r="R515" s="7"/>
      <c r="S515" s="14">
        <f t="shared" si="304"/>
        <v>0</v>
      </c>
      <c r="T515" s="179"/>
      <c r="U515" s="189"/>
      <c r="V515" s="13"/>
      <c r="W515" s="185"/>
      <c r="X515" s="185"/>
      <c r="Y515" s="185"/>
      <c r="Z515" s="194"/>
      <c r="AA515" s="185"/>
      <c r="AB515" s="185"/>
      <c r="AC515" s="7"/>
      <c r="AD515" s="7"/>
      <c r="AE515" s="7"/>
      <c r="AF515" s="7"/>
      <c r="AG515" s="759">
        <f t="shared" si="305"/>
        <v>0</v>
      </c>
      <c r="AH515" s="853">
        <v>3000014426</v>
      </c>
      <c r="AI515" s="189"/>
      <c r="AJ515" s="810"/>
      <c r="AK515" s="758"/>
      <c r="AL515" s="758">
        <v>0</v>
      </c>
      <c r="AM515" s="758">
        <v>0</v>
      </c>
      <c r="AN515" s="524">
        <v>3260447</v>
      </c>
      <c r="AO515" s="758">
        <v>0</v>
      </c>
      <c r="AP515" s="758">
        <v>0</v>
      </c>
      <c r="AQ515" s="518">
        <v>0</v>
      </c>
      <c r="AR515" s="518"/>
      <c r="AS515" s="518"/>
      <c r="AT515" s="518"/>
      <c r="AU515" s="518">
        <f t="shared" si="306"/>
        <v>0</v>
      </c>
      <c r="AV515" s="518">
        <f t="shared" si="307"/>
        <v>0</v>
      </c>
      <c r="AW515" s="518">
        <f t="shared" si="308"/>
        <v>0</v>
      </c>
      <c r="AX515" s="518">
        <f t="shared" si="303"/>
        <v>3260447</v>
      </c>
      <c r="AY515" s="853">
        <v>0</v>
      </c>
      <c r="AZ515" s="189"/>
      <c r="BA515" s="810"/>
      <c r="BB515" s="758"/>
      <c r="BC515" s="758">
        <v>0</v>
      </c>
      <c r="BD515" s="758">
        <v>0</v>
      </c>
      <c r="BE515" s="524">
        <v>3260447</v>
      </c>
      <c r="BF515" s="758">
        <v>0</v>
      </c>
      <c r="BG515" s="518">
        <f t="shared" si="309"/>
        <v>0</v>
      </c>
      <c r="BH515" s="758">
        <v>0</v>
      </c>
      <c r="BI515" s="758">
        <v>0</v>
      </c>
      <c r="BJ515" s="758">
        <v>0</v>
      </c>
      <c r="BK515" s="758">
        <v>0</v>
      </c>
      <c r="BL515" s="759">
        <f t="shared" si="310"/>
        <v>3260447</v>
      </c>
      <c r="BN515" s="758">
        <v>0</v>
      </c>
      <c r="BO515" s="758">
        <v>0</v>
      </c>
      <c r="BP515" s="758">
        <v>0</v>
      </c>
      <c r="BQ515" s="758">
        <v>0</v>
      </c>
      <c r="BR515" s="758">
        <v>0</v>
      </c>
      <c r="BS515" s="758">
        <v>0</v>
      </c>
      <c r="BT515" s="758">
        <v>0</v>
      </c>
      <c r="BU515" s="758">
        <v>0</v>
      </c>
      <c r="BV515" s="758">
        <v>0</v>
      </c>
      <c r="BW515" s="758">
        <v>0</v>
      </c>
      <c r="BX515" s="758">
        <v>0</v>
      </c>
      <c r="BY515" s="758">
        <v>0</v>
      </c>
      <c r="BZ515" s="791">
        <v>0</v>
      </c>
      <c r="CB515" s="758">
        <v>0</v>
      </c>
      <c r="CC515" s="758">
        <v>0</v>
      </c>
      <c r="CD515" s="758">
        <v>0</v>
      </c>
      <c r="CE515" s="758">
        <v>0</v>
      </c>
      <c r="CF515" s="758">
        <v>0</v>
      </c>
      <c r="CG515" s="758">
        <v>0</v>
      </c>
      <c r="CH515" s="758">
        <v>0</v>
      </c>
      <c r="CI515" s="758">
        <v>0</v>
      </c>
      <c r="CJ515" s="758">
        <v>0</v>
      </c>
      <c r="CK515" s="758">
        <v>0</v>
      </c>
      <c r="CL515" s="758">
        <v>0</v>
      </c>
      <c r="CM515" s="758">
        <v>0</v>
      </c>
      <c r="CN515" s="791">
        <v>0</v>
      </c>
      <c r="CP515" s="653"/>
      <c r="CQ515" s="653"/>
      <c r="CR515" s="524"/>
      <c r="CS515" s="653"/>
      <c r="CT515" s="524"/>
      <c r="CU515" s="653"/>
      <c r="CV515" s="524"/>
      <c r="CW515" s="653"/>
      <c r="CX515" s="524"/>
      <c r="CY515" s="653"/>
      <c r="CZ515" s="524"/>
      <c r="DA515" s="653"/>
      <c r="DB515" s="524"/>
      <c r="DC515" s="653">
        <v>0</v>
      </c>
      <c r="DD515" s="524"/>
      <c r="DE515" s="758"/>
      <c r="DF515" s="524"/>
      <c r="DG515" s="757"/>
      <c r="DH515" s="758"/>
      <c r="DI515" s="524"/>
      <c r="DJ515" s="757"/>
      <c r="DK515" s="758"/>
      <c r="DL515" s="524"/>
      <c r="DM515" s="757"/>
      <c r="DN515" s="758"/>
      <c r="DO515" s="524"/>
      <c r="DP515" s="757"/>
      <c r="DQ515" s="493">
        <f t="shared" si="314"/>
        <v>0</v>
      </c>
      <c r="DR515" s="479">
        <f t="shared" si="316"/>
        <v>0</v>
      </c>
      <c r="DS515" s="1019"/>
      <c r="DT515" s="1019"/>
      <c r="DU515" s="1019"/>
      <c r="DV515" s="1019"/>
      <c r="DW515" s="1019"/>
      <c r="DX515" s="1019"/>
      <c r="DY515" s="1019"/>
      <c r="DZ515" s="1019"/>
      <c r="EA515" s="1019"/>
      <c r="EB515" s="1019"/>
      <c r="EC515" s="1019"/>
      <c r="ED515" s="1019"/>
      <c r="EE515" s="1119">
        <f t="shared" si="315"/>
        <v>0</v>
      </c>
      <c r="EF515" s="443">
        <f t="shared" si="311"/>
        <v>0</v>
      </c>
      <c r="EG515" s="443">
        <f t="shared" si="312"/>
        <v>0</v>
      </c>
      <c r="EH515" s="443">
        <f t="shared" si="313"/>
        <v>0</v>
      </c>
      <c r="EI515" s="443">
        <f t="shared" si="313"/>
        <v>0</v>
      </c>
      <c r="EJ515" s="367">
        <v>3000014426</v>
      </c>
      <c r="EL515" s="177"/>
      <c r="EM515" s="177"/>
      <c r="EN515" s="177"/>
    </row>
    <row r="516" spans="1:144" outlineLevel="2">
      <c r="A516" s="367" t="s">
        <v>687</v>
      </c>
      <c r="B516" s="378"/>
      <c r="C516" s="370" t="s">
        <v>688</v>
      </c>
      <c r="D516" s="370" t="s">
        <v>40</v>
      </c>
      <c r="E516" s="383" t="s">
        <v>83</v>
      </c>
      <c r="F516" s="380">
        <v>8000000010</v>
      </c>
      <c r="G516" s="189"/>
      <c r="H516" s="30"/>
      <c r="I516" s="27"/>
      <c r="J516" s="185"/>
      <c r="K516" s="185"/>
      <c r="L516" s="194"/>
      <c r="M516" s="185"/>
      <c r="N516" s="185"/>
      <c r="O516" s="7"/>
      <c r="P516" s="7"/>
      <c r="Q516" s="7"/>
      <c r="R516" s="7"/>
      <c r="S516" s="14">
        <f t="shared" si="304"/>
        <v>0</v>
      </c>
      <c r="T516" s="179"/>
      <c r="U516" s="189"/>
      <c r="V516" s="30"/>
      <c r="W516" s="27"/>
      <c r="X516" s="185"/>
      <c r="Y516" s="185"/>
      <c r="Z516" s="194"/>
      <c r="AA516" s="185"/>
      <c r="AB516" s="185"/>
      <c r="AC516" s="7"/>
      <c r="AD516" s="7"/>
      <c r="AE516" s="7"/>
      <c r="AF516" s="7"/>
      <c r="AG516" s="759">
        <f t="shared" si="305"/>
        <v>0</v>
      </c>
      <c r="AH516" s="853">
        <v>8000000010</v>
      </c>
      <c r="AI516" s="189"/>
      <c r="AJ516" s="859">
        <v>15537500</v>
      </c>
      <c r="AK516" s="858">
        <v>52000000</v>
      </c>
      <c r="AL516" s="758">
        <v>211437500</v>
      </c>
      <c r="AM516" s="758">
        <v>129120000</v>
      </c>
      <c r="AN516" s="524">
        <v>110065000</v>
      </c>
      <c r="AO516" s="758">
        <v>83147727</v>
      </c>
      <c r="AP516" s="758">
        <v>89437500</v>
      </c>
      <c r="AQ516" s="518">
        <v>93390000</v>
      </c>
      <c r="AR516" s="813">
        <v>110737500</v>
      </c>
      <c r="AS516" s="813">
        <v>110262500</v>
      </c>
      <c r="AT516" s="813">
        <v>149637500</v>
      </c>
      <c r="AU516" s="518">
        <f t="shared" si="306"/>
        <v>120000000</v>
      </c>
      <c r="AV516" s="518">
        <f t="shared" si="307"/>
        <v>120000000</v>
      </c>
      <c r="AW516" s="518">
        <f t="shared" si="308"/>
        <v>120000000</v>
      </c>
      <c r="AX516" s="518">
        <f t="shared" si="303"/>
        <v>1154772727</v>
      </c>
      <c r="AY516" s="853" t="e">
        <v>#N/A</v>
      </c>
      <c r="AZ516" s="189"/>
      <c r="BA516" s="859">
        <v>15537500</v>
      </c>
      <c r="BB516" s="858">
        <v>52000000</v>
      </c>
      <c r="BC516" s="758">
        <v>211437500</v>
      </c>
      <c r="BD516" s="758">
        <v>129120000</v>
      </c>
      <c r="BE516" s="524">
        <v>110065000</v>
      </c>
      <c r="BF516" s="758">
        <v>83147727</v>
      </c>
      <c r="BG516" s="518">
        <f t="shared" si="309"/>
        <v>89437500</v>
      </c>
      <c r="BH516" s="758">
        <v>120000000</v>
      </c>
      <c r="BI516" s="758">
        <v>120000000</v>
      </c>
      <c r="BJ516" s="758">
        <v>120000000</v>
      </c>
      <c r="BK516" s="758">
        <v>120000000</v>
      </c>
      <c r="BL516" s="759">
        <f t="shared" si="310"/>
        <v>1170745227</v>
      </c>
      <c r="BN516" s="758">
        <v>135000000</v>
      </c>
      <c r="BO516" s="758">
        <v>135000000</v>
      </c>
      <c r="BP516" s="758">
        <v>135000000</v>
      </c>
      <c r="BQ516" s="758">
        <v>135000000</v>
      </c>
      <c r="BR516" s="758">
        <v>135000000</v>
      </c>
      <c r="BS516" s="758">
        <v>135000000</v>
      </c>
      <c r="BT516" s="758">
        <v>135000000</v>
      </c>
      <c r="BU516" s="758">
        <v>135000000</v>
      </c>
      <c r="BV516" s="758">
        <v>135000000</v>
      </c>
      <c r="BW516" s="758">
        <v>135000000</v>
      </c>
      <c r="BX516" s="758">
        <v>135000000</v>
      </c>
      <c r="BY516" s="758">
        <v>135000000</v>
      </c>
      <c r="BZ516" s="791">
        <v>1620000000</v>
      </c>
      <c r="CB516" s="758">
        <v>135000000</v>
      </c>
      <c r="CC516" s="758">
        <v>135000000</v>
      </c>
      <c r="CD516" s="758">
        <v>135000000</v>
      </c>
      <c r="CE516" s="758">
        <v>135000000</v>
      </c>
      <c r="CF516" s="758">
        <v>135000000</v>
      </c>
      <c r="CG516" s="758">
        <v>135000000</v>
      </c>
      <c r="CH516" s="758">
        <v>135000000</v>
      </c>
      <c r="CI516" s="758">
        <v>135000000</v>
      </c>
      <c r="CJ516" s="758">
        <v>135000000</v>
      </c>
      <c r="CK516" s="758">
        <v>135000000</v>
      </c>
      <c r="CL516" s="758">
        <v>135000000</v>
      </c>
      <c r="CM516" s="758">
        <v>135000000</v>
      </c>
      <c r="CN516" s="791">
        <v>1620000000</v>
      </c>
      <c r="CP516" s="653">
        <v>129302500</v>
      </c>
      <c r="CQ516" s="653">
        <v>109725000</v>
      </c>
      <c r="CR516" s="524">
        <v>110000000</v>
      </c>
      <c r="CS516" s="653">
        <v>252600000</v>
      </c>
      <c r="CT516" s="524">
        <v>120000000</v>
      </c>
      <c r="CU516" s="653">
        <v>303950000</v>
      </c>
      <c r="CV516" s="524">
        <v>300000000</v>
      </c>
      <c r="CW516" s="653">
        <v>298226162</v>
      </c>
      <c r="CX516" s="524">
        <v>80000000</v>
      </c>
      <c r="CY516" s="653">
        <v>265862500</v>
      </c>
      <c r="CZ516" s="524">
        <v>180000000</v>
      </c>
      <c r="DA516" s="653">
        <v>71925000</v>
      </c>
      <c r="DB516" s="524">
        <v>180000000</v>
      </c>
      <c r="DC516" s="653">
        <v>190399500</v>
      </c>
      <c r="DD516" s="524">
        <v>180000000</v>
      </c>
      <c r="DE516" s="758"/>
      <c r="DF516" s="524">
        <v>180000000</v>
      </c>
      <c r="DG516" s="757">
        <v>180000000</v>
      </c>
      <c r="DH516" s="758"/>
      <c r="DI516" s="524">
        <v>180000000</v>
      </c>
      <c r="DJ516" s="757">
        <v>180000000</v>
      </c>
      <c r="DK516" s="758"/>
      <c r="DL516" s="524">
        <v>180000000</v>
      </c>
      <c r="DM516" s="757">
        <v>180000000</v>
      </c>
      <c r="DN516" s="758"/>
      <c r="DO516" s="524">
        <v>100000000</v>
      </c>
      <c r="DP516" s="757">
        <v>100000000</v>
      </c>
      <c r="DQ516" s="493">
        <f t="shared" si="314"/>
        <v>2261990662</v>
      </c>
      <c r="DR516" s="479">
        <f t="shared" si="316"/>
        <v>2055577500</v>
      </c>
      <c r="DS516" s="1019">
        <v>200000000</v>
      </c>
      <c r="DT516" s="1019">
        <v>200000000</v>
      </c>
      <c r="DU516" s="1019">
        <v>200000000</v>
      </c>
      <c r="DV516" s="1019">
        <v>200000000</v>
      </c>
      <c r="DW516" s="1019">
        <v>200000000</v>
      </c>
      <c r="DX516" s="1019">
        <v>200000000</v>
      </c>
      <c r="DY516" s="1019">
        <v>200000000</v>
      </c>
      <c r="DZ516" s="1019">
        <v>200000000</v>
      </c>
      <c r="EA516" s="1019">
        <v>200000000</v>
      </c>
      <c r="EB516" s="1019">
        <v>200000000</v>
      </c>
      <c r="EC516" s="1019">
        <v>200000000</v>
      </c>
      <c r="ED516" s="1019">
        <v>200000000</v>
      </c>
      <c r="EE516" s="1119">
        <f t="shared" si="315"/>
        <v>2400000000</v>
      </c>
      <c r="EF516" s="443">
        <f t="shared" si="311"/>
        <v>2808000000</v>
      </c>
      <c r="EG516" s="443">
        <f t="shared" si="312"/>
        <v>3032640000</v>
      </c>
      <c r="EH516" s="443">
        <f t="shared" si="313"/>
        <v>3305577600.0000005</v>
      </c>
      <c r="EI516" s="443">
        <f t="shared" si="313"/>
        <v>3603079584.000001</v>
      </c>
      <c r="EJ516" s="367">
        <v>8000000010</v>
      </c>
      <c r="EL516" s="177"/>
      <c r="EM516" s="177"/>
      <c r="EN516" s="177"/>
    </row>
    <row r="517" spans="1:144" outlineLevel="2">
      <c r="A517" s="367" t="s">
        <v>687</v>
      </c>
      <c r="B517" s="378"/>
      <c r="C517" s="370" t="s">
        <v>688</v>
      </c>
      <c r="D517" s="370" t="s">
        <v>40</v>
      </c>
      <c r="E517" s="403" t="s">
        <v>744</v>
      </c>
      <c r="F517" s="380">
        <v>8000000501</v>
      </c>
      <c r="G517" s="189"/>
      <c r="H517" s="13"/>
      <c r="I517" s="185"/>
      <c r="J517" s="185"/>
      <c r="K517" s="185"/>
      <c r="L517" s="185"/>
      <c r="M517" s="185"/>
      <c r="N517" s="185"/>
      <c r="O517" s="7"/>
      <c r="P517" s="7"/>
      <c r="Q517" s="7"/>
      <c r="R517" s="7"/>
      <c r="S517" s="14">
        <f t="shared" si="304"/>
        <v>0</v>
      </c>
      <c r="T517" s="179"/>
      <c r="U517" s="189"/>
      <c r="V517" s="13"/>
      <c r="W517" s="185"/>
      <c r="X517" s="185"/>
      <c r="Y517" s="185"/>
      <c r="Z517" s="185"/>
      <c r="AA517" s="185"/>
      <c r="AB517" s="185"/>
      <c r="AC517" s="7"/>
      <c r="AD517" s="7"/>
      <c r="AE517" s="7"/>
      <c r="AF517" s="7"/>
      <c r="AG517" s="759">
        <f t="shared" si="305"/>
        <v>0</v>
      </c>
      <c r="AH517" s="853" t="e">
        <v>#N/A</v>
      </c>
      <c r="AI517" s="189"/>
      <c r="AJ517" s="810"/>
      <c r="AK517" s="758"/>
      <c r="AL517" s="758"/>
      <c r="AM517" s="758"/>
      <c r="AN517" s="758"/>
      <c r="AO517" s="758"/>
      <c r="AP517" s="758"/>
      <c r="AQ517" s="518">
        <v>0</v>
      </c>
      <c r="AR517" s="518"/>
      <c r="AS517" s="518">
        <v>10698840</v>
      </c>
      <c r="AT517" s="518">
        <v>21580000</v>
      </c>
      <c r="AU517" s="518">
        <f t="shared" si="306"/>
        <v>0</v>
      </c>
      <c r="AV517" s="518">
        <f t="shared" si="307"/>
        <v>0</v>
      </c>
      <c r="AW517" s="518">
        <f t="shared" si="308"/>
        <v>0</v>
      </c>
      <c r="AX517" s="518">
        <f t="shared" si="303"/>
        <v>32278840</v>
      </c>
      <c r="AY517" s="853">
        <v>0</v>
      </c>
      <c r="AZ517" s="189"/>
      <c r="BA517" s="810"/>
      <c r="BB517" s="758"/>
      <c r="BC517" s="758"/>
      <c r="BD517" s="758"/>
      <c r="BE517" s="758"/>
      <c r="BF517" s="758"/>
      <c r="BG517" s="518">
        <f t="shared" si="309"/>
        <v>0</v>
      </c>
      <c r="BH517" s="758">
        <v>0</v>
      </c>
      <c r="BI517" s="758">
        <v>0</v>
      </c>
      <c r="BJ517" s="758">
        <v>0</v>
      </c>
      <c r="BK517" s="758">
        <v>0</v>
      </c>
      <c r="BL517" s="759">
        <f t="shared" si="310"/>
        <v>0</v>
      </c>
      <c r="BN517" s="758">
        <v>42000000</v>
      </c>
      <c r="BO517" s="758">
        <v>42000000</v>
      </c>
      <c r="BP517" s="758">
        <v>42000000</v>
      </c>
      <c r="BQ517" s="758">
        <v>42000000</v>
      </c>
      <c r="BR517" s="758">
        <v>42000000</v>
      </c>
      <c r="BS517" s="758">
        <v>42000000</v>
      </c>
      <c r="BT517" s="758">
        <v>42000000</v>
      </c>
      <c r="BU517" s="758">
        <v>42000000</v>
      </c>
      <c r="BV517" s="758">
        <v>42000000</v>
      </c>
      <c r="BW517" s="758">
        <v>42000000</v>
      </c>
      <c r="BX517" s="758">
        <v>42000000</v>
      </c>
      <c r="BY517" s="758">
        <v>42000000</v>
      </c>
      <c r="BZ517" s="791">
        <v>504000000</v>
      </c>
      <c r="CB517" s="758">
        <v>42000000</v>
      </c>
      <c r="CC517" s="758">
        <v>42000000</v>
      </c>
      <c r="CD517" s="758">
        <v>42000000</v>
      </c>
      <c r="CE517" s="758">
        <v>42000000</v>
      </c>
      <c r="CF517" s="758">
        <v>42000000</v>
      </c>
      <c r="CG517" s="758">
        <v>42000000</v>
      </c>
      <c r="CH517" s="758">
        <v>42000000</v>
      </c>
      <c r="CI517" s="758">
        <v>42000000</v>
      </c>
      <c r="CJ517" s="758">
        <v>42000000</v>
      </c>
      <c r="CK517" s="758">
        <v>42000000</v>
      </c>
      <c r="CL517" s="758">
        <v>42000000</v>
      </c>
      <c r="CM517" s="758">
        <v>42000000</v>
      </c>
      <c r="CN517" s="791">
        <v>504000000</v>
      </c>
      <c r="CP517" s="653"/>
      <c r="CQ517" s="653">
        <v>36063000</v>
      </c>
      <c r="CR517" s="524">
        <v>36000000</v>
      </c>
      <c r="CS517" s="653">
        <v>10487270</v>
      </c>
      <c r="CT517" s="524">
        <v>20000000</v>
      </c>
      <c r="CU517" s="653">
        <v>22170000</v>
      </c>
      <c r="CV517" s="524">
        <v>27000000</v>
      </c>
      <c r="CW517" s="653">
        <v>13920560</v>
      </c>
      <c r="CX517" s="524">
        <v>30000000</v>
      </c>
      <c r="CY517" s="653">
        <v>44089350</v>
      </c>
      <c r="CZ517" s="524">
        <v>20000000</v>
      </c>
      <c r="DA517" s="653">
        <v>47340819</v>
      </c>
      <c r="DB517" s="524">
        <v>20000000</v>
      </c>
      <c r="DC517" s="653">
        <v>21613257</v>
      </c>
      <c r="DD517" s="524">
        <v>20000000</v>
      </c>
      <c r="DE517" s="758"/>
      <c r="DF517" s="524">
        <v>20000000</v>
      </c>
      <c r="DG517" s="757">
        <v>20000000</v>
      </c>
      <c r="DH517" s="758"/>
      <c r="DI517" s="524">
        <v>20000000</v>
      </c>
      <c r="DJ517" s="757">
        <v>20000000</v>
      </c>
      <c r="DK517" s="758"/>
      <c r="DL517" s="524">
        <v>20000000</v>
      </c>
      <c r="DM517" s="757">
        <v>20000000</v>
      </c>
      <c r="DN517" s="758"/>
      <c r="DO517" s="524">
        <v>20000000</v>
      </c>
      <c r="DP517" s="757">
        <v>20000000</v>
      </c>
      <c r="DQ517" s="493">
        <f t="shared" si="314"/>
        <v>275684256</v>
      </c>
      <c r="DR517" s="479">
        <f t="shared" si="316"/>
        <v>238720270</v>
      </c>
      <c r="DS517" s="1019">
        <v>25000000</v>
      </c>
      <c r="DT517" s="1019">
        <v>25000000</v>
      </c>
      <c r="DU517" s="1019">
        <v>25000000</v>
      </c>
      <c r="DV517" s="1019">
        <v>25000000</v>
      </c>
      <c r="DW517" s="1019">
        <v>25000000</v>
      </c>
      <c r="DX517" s="1019">
        <v>25000000</v>
      </c>
      <c r="DY517" s="1019">
        <v>25000000</v>
      </c>
      <c r="DZ517" s="1019">
        <v>25000000</v>
      </c>
      <c r="EA517" s="1019">
        <v>25000000</v>
      </c>
      <c r="EB517" s="1019">
        <v>25000000</v>
      </c>
      <c r="EC517" s="1019">
        <v>25000000</v>
      </c>
      <c r="ED517" s="1019">
        <v>25000000</v>
      </c>
      <c r="EE517" s="1119">
        <f t="shared" si="315"/>
        <v>300000000</v>
      </c>
      <c r="EF517" s="443">
        <v>706000000</v>
      </c>
      <c r="EG517" s="443">
        <f t="shared" si="312"/>
        <v>762480000</v>
      </c>
      <c r="EH517" s="443">
        <v>850000000</v>
      </c>
      <c r="EI517" s="443">
        <v>850000000</v>
      </c>
      <c r="EJ517" s="367">
        <v>8000000501</v>
      </c>
      <c r="EL517" s="177"/>
      <c r="EM517" s="177"/>
      <c r="EN517" s="177"/>
    </row>
    <row r="518" spans="1:144" outlineLevel="2">
      <c r="A518" s="367" t="s">
        <v>687</v>
      </c>
      <c r="B518" s="378"/>
      <c r="C518" s="370" t="s">
        <v>688</v>
      </c>
      <c r="D518" s="370" t="s">
        <v>40</v>
      </c>
      <c r="E518" s="383" t="s">
        <v>745</v>
      </c>
      <c r="F518" s="380">
        <v>8000000062</v>
      </c>
      <c r="G518" s="189"/>
      <c r="H518" s="13"/>
      <c r="I518" s="185"/>
      <c r="J518" s="185"/>
      <c r="K518" s="185"/>
      <c r="L518" s="194"/>
      <c r="M518" s="185"/>
      <c r="N518" s="185"/>
      <c r="O518" s="7"/>
      <c r="P518" s="7"/>
      <c r="Q518" s="7"/>
      <c r="R518" s="7"/>
      <c r="S518" s="14">
        <f t="shared" si="304"/>
        <v>0</v>
      </c>
      <c r="T518" s="179"/>
      <c r="U518" s="189"/>
      <c r="V518" s="13"/>
      <c r="W518" s="185"/>
      <c r="X518" s="185"/>
      <c r="Y518" s="185"/>
      <c r="Z518" s="194"/>
      <c r="AA518" s="185"/>
      <c r="AB518" s="185"/>
      <c r="AC518" s="7"/>
      <c r="AD518" s="7"/>
      <c r="AE518" s="7"/>
      <c r="AF518" s="7"/>
      <c r="AG518" s="759">
        <f t="shared" si="305"/>
        <v>0</v>
      </c>
      <c r="AH518" s="853">
        <v>8000000062</v>
      </c>
      <c r="AI518" s="189"/>
      <c r="AJ518" s="810"/>
      <c r="AK518" s="758"/>
      <c r="AL518" s="758">
        <v>8400000</v>
      </c>
      <c r="AM518" s="758">
        <v>0</v>
      </c>
      <c r="AN518" s="524">
        <v>7050000</v>
      </c>
      <c r="AO518" s="758">
        <v>11150000</v>
      </c>
      <c r="AP518" s="758">
        <v>0</v>
      </c>
      <c r="AQ518" s="518">
        <v>0</v>
      </c>
      <c r="AR518" s="813">
        <v>0</v>
      </c>
      <c r="AS518" s="813">
        <v>0</v>
      </c>
      <c r="AT518" s="813">
        <v>2500000</v>
      </c>
      <c r="AU518" s="518">
        <f t="shared" si="306"/>
        <v>5000000</v>
      </c>
      <c r="AV518" s="518">
        <f t="shared" si="307"/>
        <v>5000000</v>
      </c>
      <c r="AW518" s="518">
        <f t="shared" si="308"/>
        <v>5000000</v>
      </c>
      <c r="AX518" s="518">
        <f t="shared" si="303"/>
        <v>29100000</v>
      </c>
      <c r="AY518" s="853" t="e">
        <v>#N/A</v>
      </c>
      <c r="AZ518" s="189"/>
      <c r="BA518" s="810"/>
      <c r="BB518" s="758"/>
      <c r="BC518" s="758">
        <v>8400000</v>
      </c>
      <c r="BD518" s="758">
        <v>0</v>
      </c>
      <c r="BE518" s="524">
        <v>7050000</v>
      </c>
      <c r="BF518" s="758">
        <v>11150000</v>
      </c>
      <c r="BG518" s="518">
        <f t="shared" si="309"/>
        <v>0</v>
      </c>
      <c r="BH518" s="758">
        <v>5000000</v>
      </c>
      <c r="BI518" s="758">
        <v>5000000</v>
      </c>
      <c r="BJ518" s="758">
        <v>5000000</v>
      </c>
      <c r="BK518" s="758">
        <v>5000000</v>
      </c>
      <c r="BL518" s="759">
        <f t="shared" si="310"/>
        <v>46600000</v>
      </c>
      <c r="BN518" s="758">
        <v>0</v>
      </c>
      <c r="BO518" s="758">
        <v>10000000</v>
      </c>
      <c r="BP518" s="758">
        <v>0</v>
      </c>
      <c r="BQ518" s="758">
        <v>10000000</v>
      </c>
      <c r="BR518" s="758">
        <v>0</v>
      </c>
      <c r="BS518" s="758">
        <v>10000000</v>
      </c>
      <c r="BT518" s="758">
        <v>0</v>
      </c>
      <c r="BU518" s="758">
        <v>10000000</v>
      </c>
      <c r="BV518" s="758">
        <v>0</v>
      </c>
      <c r="BW518" s="758">
        <v>10000000</v>
      </c>
      <c r="BX518" s="758">
        <v>0</v>
      </c>
      <c r="BY518" s="758">
        <v>10000000</v>
      </c>
      <c r="BZ518" s="791">
        <v>60000000</v>
      </c>
      <c r="CB518" s="758">
        <v>0</v>
      </c>
      <c r="CC518" s="758">
        <v>10000000</v>
      </c>
      <c r="CD518" s="758">
        <v>0</v>
      </c>
      <c r="CE518" s="758">
        <v>10000000</v>
      </c>
      <c r="CF518" s="758">
        <v>0</v>
      </c>
      <c r="CG518" s="758">
        <v>10000000</v>
      </c>
      <c r="CH518" s="758">
        <v>0</v>
      </c>
      <c r="CI518" s="758">
        <v>10000000</v>
      </c>
      <c r="CJ518" s="758">
        <v>0</v>
      </c>
      <c r="CK518" s="758">
        <v>10000000</v>
      </c>
      <c r="CL518" s="758">
        <v>0</v>
      </c>
      <c r="CM518" s="758">
        <v>10000000</v>
      </c>
      <c r="CN518" s="791">
        <v>60000000</v>
      </c>
      <c r="CP518" s="653"/>
      <c r="CQ518" s="653"/>
      <c r="CR518" s="524"/>
      <c r="CS518" s="653"/>
      <c r="CT518" s="524"/>
      <c r="CU518" s="653"/>
      <c r="CV518" s="524"/>
      <c r="CW518" s="653"/>
      <c r="CX518" s="524"/>
      <c r="CY518" s="653">
        <v>12000000</v>
      </c>
      <c r="CZ518" s="524"/>
      <c r="DA518" s="653">
        <v>2500000</v>
      </c>
      <c r="DB518" s="524"/>
      <c r="DC518" s="653">
        <v>0</v>
      </c>
      <c r="DD518" s="524"/>
      <c r="DE518" s="758"/>
      <c r="DF518" s="524"/>
      <c r="DG518" s="757"/>
      <c r="DH518" s="758"/>
      <c r="DI518" s="524"/>
      <c r="DJ518" s="757"/>
      <c r="DK518" s="758"/>
      <c r="DL518" s="524"/>
      <c r="DM518" s="757"/>
      <c r="DN518" s="758"/>
      <c r="DO518" s="524"/>
      <c r="DP518" s="757"/>
      <c r="DQ518" s="493">
        <f t="shared" si="314"/>
        <v>14500000</v>
      </c>
      <c r="DR518" s="479">
        <f t="shared" si="316"/>
        <v>0</v>
      </c>
      <c r="DS518" s="1019"/>
      <c r="DT518" s="1019"/>
      <c r="DU518" s="1019"/>
      <c r="DV518" s="1019"/>
      <c r="DW518" s="1019"/>
      <c r="DX518" s="1019"/>
      <c r="DY518" s="1019"/>
      <c r="DZ518" s="1019"/>
      <c r="EA518" s="1019"/>
      <c r="EB518" s="1019"/>
      <c r="EC518" s="1019"/>
      <c r="ED518" s="1019"/>
      <c r="EE518" s="1119">
        <f t="shared" si="315"/>
        <v>0</v>
      </c>
      <c r="EF518" s="443">
        <v>85000000</v>
      </c>
      <c r="EG518" s="443">
        <f t="shared" si="312"/>
        <v>91800000</v>
      </c>
      <c r="EH518" s="443">
        <v>100000000</v>
      </c>
      <c r="EI518" s="443">
        <v>100000000</v>
      </c>
      <c r="EJ518" s="367">
        <v>8000000062</v>
      </c>
      <c r="EL518" s="177"/>
      <c r="EM518" s="177"/>
      <c r="EN518" s="177"/>
    </row>
    <row r="519" spans="1:144" outlineLevel="2">
      <c r="A519" s="367" t="s">
        <v>687</v>
      </c>
      <c r="B519" s="378"/>
      <c r="C519" s="370" t="s">
        <v>688</v>
      </c>
      <c r="D519" s="370" t="s">
        <v>40</v>
      </c>
      <c r="E519" s="383" t="s">
        <v>746</v>
      </c>
      <c r="F519" s="380">
        <v>8000000025</v>
      </c>
      <c r="G519" s="186"/>
      <c r="H519" s="30"/>
      <c r="I519" s="185"/>
      <c r="J519" s="185"/>
      <c r="K519" s="185"/>
      <c r="L519" s="194"/>
      <c r="M519" s="185"/>
      <c r="N519" s="185"/>
      <c r="O519" s="7"/>
      <c r="P519" s="7"/>
      <c r="Q519" s="7"/>
      <c r="R519" s="7"/>
      <c r="S519" s="14">
        <f t="shared" si="304"/>
        <v>0</v>
      </c>
      <c r="T519" s="179"/>
      <c r="U519" s="186"/>
      <c r="V519" s="30"/>
      <c r="W519" s="185"/>
      <c r="X519" s="185"/>
      <c r="Y519" s="185"/>
      <c r="Z519" s="194"/>
      <c r="AA519" s="185"/>
      <c r="AB519" s="185"/>
      <c r="AC519" s="7"/>
      <c r="AD519" s="7"/>
      <c r="AE519" s="7"/>
      <c r="AF519" s="7"/>
      <c r="AG519" s="759">
        <f t="shared" si="305"/>
        <v>0</v>
      </c>
      <c r="AH519" s="853">
        <v>8000000025</v>
      </c>
      <c r="AI519" s="814">
        <v>3000000</v>
      </c>
      <c r="AJ519" s="859">
        <v>27700000</v>
      </c>
      <c r="AK519" s="758">
        <v>21000000</v>
      </c>
      <c r="AL519" s="758">
        <v>30000000</v>
      </c>
      <c r="AM519" s="758">
        <v>45700000</v>
      </c>
      <c r="AN519" s="524">
        <v>40403020</v>
      </c>
      <c r="AO519" s="758">
        <v>21000000</v>
      </c>
      <c r="AP519" s="758">
        <v>33700000</v>
      </c>
      <c r="AQ519" s="518">
        <v>42000000</v>
      </c>
      <c r="AR519" s="813">
        <v>18000000</v>
      </c>
      <c r="AS519" s="813">
        <v>15000000</v>
      </c>
      <c r="AT519" s="813">
        <v>24800000</v>
      </c>
      <c r="AU519" s="518">
        <f t="shared" si="306"/>
        <v>27000000</v>
      </c>
      <c r="AV519" s="518">
        <f t="shared" si="307"/>
        <v>27000000</v>
      </c>
      <c r="AW519" s="518">
        <f t="shared" si="308"/>
        <v>27000000</v>
      </c>
      <c r="AX519" s="518">
        <f t="shared" si="303"/>
        <v>322303020</v>
      </c>
      <c r="AY519" s="853" t="e">
        <v>#N/A</v>
      </c>
      <c r="AZ519" s="814">
        <v>3000000</v>
      </c>
      <c r="BA519" s="859">
        <v>27700000</v>
      </c>
      <c r="BB519" s="758">
        <v>21000000</v>
      </c>
      <c r="BC519" s="758">
        <v>30000000</v>
      </c>
      <c r="BD519" s="758">
        <v>45700000</v>
      </c>
      <c r="BE519" s="524">
        <v>40403020</v>
      </c>
      <c r="BF519" s="758">
        <v>21000000</v>
      </c>
      <c r="BG519" s="518">
        <f t="shared" si="309"/>
        <v>33700000</v>
      </c>
      <c r="BH519" s="758">
        <v>27000000</v>
      </c>
      <c r="BI519" s="758">
        <v>27000000</v>
      </c>
      <c r="BJ519" s="758">
        <v>27000000</v>
      </c>
      <c r="BK519" s="758">
        <v>27000000</v>
      </c>
      <c r="BL519" s="759">
        <f t="shared" si="310"/>
        <v>330503020</v>
      </c>
      <c r="BN519" s="758">
        <v>27000000</v>
      </c>
      <c r="BO519" s="758">
        <v>27000000</v>
      </c>
      <c r="BP519" s="758">
        <v>27000000</v>
      </c>
      <c r="BQ519" s="758">
        <v>27000000</v>
      </c>
      <c r="BR519" s="758">
        <v>27000000</v>
      </c>
      <c r="BS519" s="758">
        <v>27000000</v>
      </c>
      <c r="BT519" s="758">
        <v>27000000</v>
      </c>
      <c r="BU519" s="758">
        <v>27000000</v>
      </c>
      <c r="BV519" s="758">
        <v>27000000</v>
      </c>
      <c r="BW519" s="758">
        <v>27000000</v>
      </c>
      <c r="BX519" s="758">
        <v>27000000</v>
      </c>
      <c r="BY519" s="758">
        <v>27000000</v>
      </c>
      <c r="BZ519" s="791">
        <v>324000000</v>
      </c>
      <c r="CB519" s="758">
        <v>27000000</v>
      </c>
      <c r="CC519" s="758">
        <v>27000000</v>
      </c>
      <c r="CD519" s="758">
        <v>27000000</v>
      </c>
      <c r="CE519" s="758">
        <v>27000000</v>
      </c>
      <c r="CF519" s="758">
        <v>27000000</v>
      </c>
      <c r="CG519" s="758">
        <v>27000000</v>
      </c>
      <c r="CH519" s="758">
        <v>27000000</v>
      </c>
      <c r="CI519" s="758">
        <v>27000000</v>
      </c>
      <c r="CJ519" s="758">
        <v>27000000</v>
      </c>
      <c r="CK519" s="758">
        <v>27000000</v>
      </c>
      <c r="CL519" s="758">
        <v>27000000</v>
      </c>
      <c r="CM519" s="758">
        <v>27000000</v>
      </c>
      <c r="CN519" s="791">
        <v>324000000</v>
      </c>
      <c r="CP519" s="653">
        <v>15000000</v>
      </c>
      <c r="CQ519" s="653">
        <v>26200000</v>
      </c>
      <c r="CR519" s="524">
        <v>26200000</v>
      </c>
      <c r="CS519" s="653">
        <v>9000000</v>
      </c>
      <c r="CT519" s="524">
        <v>20000000</v>
      </c>
      <c r="CU519" s="653">
        <v>45000000</v>
      </c>
      <c r="CV519" s="524">
        <v>45000000</v>
      </c>
      <c r="CW519" s="653">
        <v>9000000</v>
      </c>
      <c r="CX519" s="524">
        <v>20000000</v>
      </c>
      <c r="CY519" s="653"/>
      <c r="CZ519" s="524">
        <v>10000000</v>
      </c>
      <c r="DA519" s="653"/>
      <c r="DB519" s="524">
        <v>10000000</v>
      </c>
      <c r="DC519" s="653">
        <v>0</v>
      </c>
      <c r="DD519" s="524">
        <v>10000000</v>
      </c>
      <c r="DE519" s="758"/>
      <c r="DF519" s="524">
        <v>10000000</v>
      </c>
      <c r="DG519" s="757">
        <v>10000000</v>
      </c>
      <c r="DH519" s="758"/>
      <c r="DI519" s="524">
        <v>10000000</v>
      </c>
      <c r="DJ519" s="757">
        <v>10000000</v>
      </c>
      <c r="DK519" s="758"/>
      <c r="DL519" s="524">
        <v>10000000</v>
      </c>
      <c r="DM519" s="757">
        <v>10000000</v>
      </c>
      <c r="DN519" s="758"/>
      <c r="DO519" s="524">
        <v>10000000</v>
      </c>
      <c r="DP519" s="757">
        <v>10000000</v>
      </c>
      <c r="DQ519" s="493">
        <f t="shared" si="314"/>
        <v>144200000</v>
      </c>
      <c r="DR519" s="479">
        <f t="shared" si="316"/>
        <v>185200000</v>
      </c>
      <c r="DS519" s="1019"/>
      <c r="DT519" s="1019"/>
      <c r="DU519" s="1019"/>
      <c r="DV519" s="1019"/>
      <c r="DW519" s="1019"/>
      <c r="DX519" s="1019"/>
      <c r="DY519" s="1019"/>
      <c r="DZ519" s="1019"/>
      <c r="EA519" s="1019"/>
      <c r="EB519" s="1019"/>
      <c r="EC519" s="1019"/>
      <c r="ED519" s="1019"/>
      <c r="EE519" s="1119">
        <f t="shared" si="315"/>
        <v>0</v>
      </c>
      <c r="EF519" s="443">
        <f>EE519*1.17</f>
        <v>0</v>
      </c>
      <c r="EG519" s="443">
        <f t="shared" si="312"/>
        <v>0</v>
      </c>
      <c r="EH519" s="443">
        <f t="shared" ref="EH519:EI522" si="317">EG519*1.09</f>
        <v>0</v>
      </c>
      <c r="EI519" s="443">
        <f t="shared" si="317"/>
        <v>0</v>
      </c>
      <c r="EJ519" s="367">
        <v>8000000025</v>
      </c>
      <c r="EL519" s="177"/>
      <c r="EM519" s="177"/>
      <c r="EN519" s="177"/>
    </row>
    <row r="520" spans="1:144" outlineLevel="2">
      <c r="A520" s="367" t="s">
        <v>291</v>
      </c>
      <c r="B520" s="378"/>
      <c r="C520" s="370" t="s">
        <v>688</v>
      </c>
      <c r="D520" s="370" t="s">
        <v>40</v>
      </c>
      <c r="E520" s="383" t="s">
        <v>747</v>
      </c>
      <c r="F520" s="380">
        <v>3000016234</v>
      </c>
      <c r="G520" s="189"/>
      <c r="H520" s="13"/>
      <c r="I520" s="185"/>
      <c r="J520" s="185"/>
      <c r="K520" s="185"/>
      <c r="L520" s="194"/>
      <c r="M520" s="185"/>
      <c r="N520" s="185"/>
      <c r="O520" s="7"/>
      <c r="P520" s="7"/>
      <c r="Q520" s="7"/>
      <c r="R520" s="7"/>
      <c r="S520" s="14">
        <f t="shared" si="304"/>
        <v>0</v>
      </c>
      <c r="T520" s="179"/>
      <c r="U520" s="189"/>
      <c r="V520" s="13"/>
      <c r="W520" s="185"/>
      <c r="X520" s="185"/>
      <c r="Y520" s="185"/>
      <c r="Z520" s="194"/>
      <c r="AA520" s="185"/>
      <c r="AB520" s="185"/>
      <c r="AC520" s="7"/>
      <c r="AD520" s="7"/>
      <c r="AE520" s="7"/>
      <c r="AF520" s="7"/>
      <c r="AG520" s="759">
        <f t="shared" si="305"/>
        <v>0</v>
      </c>
      <c r="AH520" s="853">
        <v>3000016234</v>
      </c>
      <c r="AI520" s="189"/>
      <c r="AJ520" s="810"/>
      <c r="AK520" s="758"/>
      <c r="AL520" s="758">
        <v>0</v>
      </c>
      <c r="AM520" s="758">
        <v>3444500</v>
      </c>
      <c r="AN520" s="524">
        <v>0</v>
      </c>
      <c r="AO520" s="758">
        <v>0</v>
      </c>
      <c r="AP520" s="758">
        <v>0</v>
      </c>
      <c r="AQ520" s="518">
        <v>0</v>
      </c>
      <c r="AR520" s="518"/>
      <c r="AS520" s="518"/>
      <c r="AT520" s="518"/>
      <c r="AU520" s="518">
        <f t="shared" si="306"/>
        <v>0</v>
      </c>
      <c r="AV520" s="518">
        <f t="shared" si="307"/>
        <v>0</v>
      </c>
      <c r="AW520" s="518">
        <f t="shared" si="308"/>
        <v>0</v>
      </c>
      <c r="AX520" s="518">
        <f t="shared" si="303"/>
        <v>3444500</v>
      </c>
      <c r="AY520" s="853">
        <v>0</v>
      </c>
      <c r="AZ520" s="189"/>
      <c r="BA520" s="810"/>
      <c r="BB520" s="758"/>
      <c r="BC520" s="758">
        <v>0</v>
      </c>
      <c r="BD520" s="758">
        <v>3444500</v>
      </c>
      <c r="BE520" s="524">
        <v>0</v>
      </c>
      <c r="BF520" s="758">
        <v>0</v>
      </c>
      <c r="BG520" s="518">
        <f t="shared" si="309"/>
        <v>0</v>
      </c>
      <c r="BH520" s="758">
        <v>0</v>
      </c>
      <c r="BI520" s="758">
        <v>0</v>
      </c>
      <c r="BJ520" s="758">
        <v>0</v>
      </c>
      <c r="BK520" s="758">
        <v>0</v>
      </c>
      <c r="BL520" s="759">
        <f t="shared" si="310"/>
        <v>3444500</v>
      </c>
      <c r="BN520" s="758">
        <v>0</v>
      </c>
      <c r="BO520" s="758">
        <v>0</v>
      </c>
      <c r="BP520" s="758">
        <v>0</v>
      </c>
      <c r="BQ520" s="758">
        <v>0</v>
      </c>
      <c r="BR520" s="758">
        <v>0</v>
      </c>
      <c r="BS520" s="758">
        <v>0</v>
      </c>
      <c r="BT520" s="758">
        <v>0</v>
      </c>
      <c r="BU520" s="758">
        <v>0</v>
      </c>
      <c r="BV520" s="758">
        <v>0</v>
      </c>
      <c r="BW520" s="758">
        <v>0</v>
      </c>
      <c r="BX520" s="758">
        <v>0</v>
      </c>
      <c r="BY520" s="758">
        <v>0</v>
      </c>
      <c r="BZ520" s="791">
        <v>0</v>
      </c>
      <c r="CB520" s="758">
        <v>0</v>
      </c>
      <c r="CC520" s="758">
        <v>0</v>
      </c>
      <c r="CD520" s="758">
        <v>0</v>
      </c>
      <c r="CE520" s="758">
        <v>0</v>
      </c>
      <c r="CF520" s="758">
        <v>0</v>
      </c>
      <c r="CG520" s="758">
        <v>0</v>
      </c>
      <c r="CH520" s="758">
        <v>0</v>
      </c>
      <c r="CI520" s="758">
        <v>0</v>
      </c>
      <c r="CJ520" s="758">
        <v>0</v>
      </c>
      <c r="CK520" s="758">
        <v>0</v>
      </c>
      <c r="CL520" s="758">
        <v>0</v>
      </c>
      <c r="CM520" s="758">
        <v>0</v>
      </c>
      <c r="CN520" s="791">
        <v>0</v>
      </c>
      <c r="CP520" s="653"/>
      <c r="CQ520" s="653"/>
      <c r="CR520" s="524"/>
      <c r="CS520" s="653"/>
      <c r="CT520" s="524"/>
      <c r="CU520" s="653"/>
      <c r="CV520" s="524"/>
      <c r="CW520" s="653"/>
      <c r="CX520" s="524"/>
      <c r="CY520" s="653"/>
      <c r="CZ520" s="524"/>
      <c r="DA520" s="653"/>
      <c r="DB520" s="524"/>
      <c r="DC520" s="653">
        <v>0</v>
      </c>
      <c r="DD520" s="524"/>
      <c r="DE520" s="758"/>
      <c r="DF520" s="524"/>
      <c r="DG520" s="757"/>
      <c r="DH520" s="758"/>
      <c r="DI520" s="524"/>
      <c r="DJ520" s="757"/>
      <c r="DK520" s="758"/>
      <c r="DL520" s="524"/>
      <c r="DM520" s="757"/>
      <c r="DN520" s="758"/>
      <c r="DO520" s="524"/>
      <c r="DP520" s="757"/>
      <c r="DQ520" s="493">
        <f t="shared" si="314"/>
        <v>0</v>
      </c>
      <c r="DR520" s="479">
        <f t="shared" si="316"/>
        <v>0</v>
      </c>
      <c r="DS520" s="1019"/>
      <c r="DT520" s="1019"/>
      <c r="DU520" s="1019"/>
      <c r="DV520" s="1019"/>
      <c r="DW520" s="1019"/>
      <c r="DX520" s="1019"/>
      <c r="DY520" s="1019"/>
      <c r="DZ520" s="1019"/>
      <c r="EA520" s="1019"/>
      <c r="EB520" s="1019"/>
      <c r="EC520" s="1019"/>
      <c r="ED520" s="1019"/>
      <c r="EE520" s="1119">
        <f t="shared" si="315"/>
        <v>0</v>
      </c>
      <c r="EF520" s="443">
        <f>EE520*1.17</f>
        <v>0</v>
      </c>
      <c r="EG520" s="443">
        <f t="shared" si="312"/>
        <v>0</v>
      </c>
      <c r="EH520" s="443">
        <f t="shared" si="317"/>
        <v>0</v>
      </c>
      <c r="EI520" s="443">
        <f t="shared" si="317"/>
        <v>0</v>
      </c>
      <c r="EJ520" s="367">
        <v>3000016234</v>
      </c>
      <c r="EL520" s="177"/>
      <c r="EM520" s="177"/>
      <c r="EN520" s="177"/>
    </row>
    <row r="521" spans="1:144" outlineLevel="2">
      <c r="A521" s="367" t="s">
        <v>291</v>
      </c>
      <c r="B521" s="378"/>
      <c r="C521" s="370" t="s">
        <v>688</v>
      </c>
      <c r="D521" s="370" t="s">
        <v>40</v>
      </c>
      <c r="E521" s="383" t="s">
        <v>748</v>
      </c>
      <c r="F521" s="380">
        <v>3000015651</v>
      </c>
      <c r="G521" s="186"/>
      <c r="H521" s="13"/>
      <c r="I521" s="185"/>
      <c r="J521" s="185"/>
      <c r="K521" s="185"/>
      <c r="L521" s="194"/>
      <c r="M521" s="185"/>
      <c r="N521" s="185"/>
      <c r="O521" s="7"/>
      <c r="P521" s="7"/>
      <c r="Q521" s="7"/>
      <c r="R521" s="7"/>
      <c r="S521" s="14">
        <f t="shared" si="304"/>
        <v>0</v>
      </c>
      <c r="T521" s="179"/>
      <c r="U521" s="186"/>
      <c r="V521" s="13"/>
      <c r="W521" s="185"/>
      <c r="X521" s="185"/>
      <c r="Y521" s="185"/>
      <c r="Z521" s="194"/>
      <c r="AA521" s="185"/>
      <c r="AB521" s="185"/>
      <c r="AC521" s="7"/>
      <c r="AD521" s="7"/>
      <c r="AE521" s="7"/>
      <c r="AF521" s="7"/>
      <c r="AG521" s="759">
        <f t="shared" si="305"/>
        <v>0</v>
      </c>
      <c r="AH521" s="853">
        <v>3000015651</v>
      </c>
      <c r="AI521" s="814">
        <v>300000</v>
      </c>
      <c r="AJ521" s="810"/>
      <c r="AK521" s="758"/>
      <c r="AL521" s="758">
        <v>0</v>
      </c>
      <c r="AM521" s="758">
        <v>0</v>
      </c>
      <c r="AN521" s="524">
        <v>0</v>
      </c>
      <c r="AO521" s="758">
        <v>0</v>
      </c>
      <c r="AP521" s="758">
        <v>0</v>
      </c>
      <c r="AQ521" s="518">
        <v>600000</v>
      </c>
      <c r="AR521" s="813">
        <v>0</v>
      </c>
      <c r="AS521" s="813">
        <v>0</v>
      </c>
      <c r="AT521" s="813">
        <v>600000</v>
      </c>
      <c r="AU521" s="518">
        <f t="shared" si="306"/>
        <v>0</v>
      </c>
      <c r="AV521" s="518">
        <f t="shared" si="307"/>
        <v>0</v>
      </c>
      <c r="AW521" s="518">
        <f t="shared" si="308"/>
        <v>0</v>
      </c>
      <c r="AX521" s="518">
        <f t="shared" si="303"/>
        <v>1500000</v>
      </c>
      <c r="AY521" s="853">
        <v>0</v>
      </c>
      <c r="AZ521" s="814">
        <v>300000</v>
      </c>
      <c r="BA521" s="810"/>
      <c r="BB521" s="758"/>
      <c r="BC521" s="758">
        <v>0</v>
      </c>
      <c r="BD521" s="758">
        <v>0</v>
      </c>
      <c r="BE521" s="524">
        <v>0</v>
      </c>
      <c r="BF521" s="758">
        <v>0</v>
      </c>
      <c r="BG521" s="518">
        <f t="shared" si="309"/>
        <v>0</v>
      </c>
      <c r="BH521" s="758">
        <v>0</v>
      </c>
      <c r="BI521" s="758">
        <v>0</v>
      </c>
      <c r="BJ521" s="758">
        <v>0</v>
      </c>
      <c r="BK521" s="758">
        <v>0</v>
      </c>
      <c r="BL521" s="759">
        <f t="shared" si="310"/>
        <v>300000</v>
      </c>
      <c r="BN521" s="758">
        <v>0</v>
      </c>
      <c r="BO521" s="758">
        <v>0</v>
      </c>
      <c r="BP521" s="758">
        <v>0</v>
      </c>
      <c r="BQ521" s="758">
        <v>0</v>
      </c>
      <c r="BR521" s="758">
        <v>0</v>
      </c>
      <c r="BS521" s="758">
        <v>0</v>
      </c>
      <c r="BT521" s="758">
        <v>0</v>
      </c>
      <c r="BU521" s="758">
        <v>0</v>
      </c>
      <c r="BV521" s="758">
        <v>0</v>
      </c>
      <c r="BW521" s="758">
        <v>0</v>
      </c>
      <c r="BX521" s="758">
        <v>0</v>
      </c>
      <c r="BY521" s="758">
        <v>0</v>
      </c>
      <c r="BZ521" s="791">
        <v>0</v>
      </c>
      <c r="CB521" s="758">
        <v>0</v>
      </c>
      <c r="CC521" s="758">
        <v>0</v>
      </c>
      <c r="CD521" s="758">
        <v>0</v>
      </c>
      <c r="CE521" s="758">
        <v>0</v>
      </c>
      <c r="CF521" s="758">
        <v>0</v>
      </c>
      <c r="CG521" s="758">
        <v>0</v>
      </c>
      <c r="CH521" s="758">
        <v>0</v>
      </c>
      <c r="CI521" s="758">
        <v>0</v>
      </c>
      <c r="CJ521" s="758">
        <v>0</v>
      </c>
      <c r="CK521" s="758">
        <v>0</v>
      </c>
      <c r="CL521" s="758">
        <v>0</v>
      </c>
      <c r="CM521" s="758">
        <v>0</v>
      </c>
      <c r="CN521" s="791">
        <v>0</v>
      </c>
      <c r="CP521" s="653"/>
      <c r="CQ521" s="653"/>
      <c r="CR521" s="524"/>
      <c r="CS521" s="653"/>
      <c r="CT521" s="524"/>
      <c r="CU521" s="653"/>
      <c r="CV521" s="524"/>
      <c r="CW521" s="653"/>
      <c r="CX521" s="524"/>
      <c r="CY521" s="653"/>
      <c r="CZ521" s="524"/>
      <c r="DA521" s="653"/>
      <c r="DB521" s="524"/>
      <c r="DC521" s="653">
        <v>0</v>
      </c>
      <c r="DD521" s="524"/>
      <c r="DE521" s="758"/>
      <c r="DF521" s="524"/>
      <c r="DG521" s="757"/>
      <c r="DH521" s="758"/>
      <c r="DI521" s="524"/>
      <c r="DJ521" s="757"/>
      <c r="DK521" s="758"/>
      <c r="DL521" s="524"/>
      <c r="DM521" s="757"/>
      <c r="DN521" s="758"/>
      <c r="DO521" s="524"/>
      <c r="DP521" s="757"/>
      <c r="DQ521" s="493">
        <f t="shared" si="314"/>
        <v>0</v>
      </c>
      <c r="DR521" s="479">
        <f t="shared" si="316"/>
        <v>0</v>
      </c>
      <c r="DS521" s="1019"/>
      <c r="DT521" s="1019"/>
      <c r="DU521" s="1019"/>
      <c r="DV521" s="1019"/>
      <c r="DW521" s="1019"/>
      <c r="DX521" s="1019"/>
      <c r="DY521" s="1019"/>
      <c r="DZ521" s="1019"/>
      <c r="EA521" s="1019"/>
      <c r="EB521" s="1019"/>
      <c r="EC521" s="1019"/>
      <c r="ED521" s="1019"/>
      <c r="EE521" s="1119">
        <f t="shared" si="315"/>
        <v>0</v>
      </c>
      <c r="EF521" s="443">
        <f>EE521*1.17</f>
        <v>0</v>
      </c>
      <c r="EG521" s="443">
        <f t="shared" si="312"/>
        <v>0</v>
      </c>
      <c r="EH521" s="443">
        <f t="shared" si="317"/>
        <v>0</v>
      </c>
      <c r="EI521" s="443">
        <f t="shared" si="317"/>
        <v>0</v>
      </c>
      <c r="EJ521" s="367">
        <v>3000015651</v>
      </c>
      <c r="EL521" s="177"/>
      <c r="EM521" s="177"/>
      <c r="EN521" s="177"/>
    </row>
    <row r="522" spans="1:144" outlineLevel="2">
      <c r="A522" s="367" t="s">
        <v>687</v>
      </c>
      <c r="B522" s="378"/>
      <c r="C522" s="370" t="s">
        <v>688</v>
      </c>
      <c r="D522" s="370" t="s">
        <v>40</v>
      </c>
      <c r="E522" s="383" t="s">
        <v>749</v>
      </c>
      <c r="F522" s="380">
        <v>3000018833</v>
      </c>
      <c r="G522" s="186"/>
      <c r="H522" s="13"/>
      <c r="I522" s="27"/>
      <c r="J522" s="185"/>
      <c r="K522" s="185"/>
      <c r="L522" s="194"/>
      <c r="M522" s="185"/>
      <c r="N522" s="185"/>
      <c r="O522" s="7"/>
      <c r="P522" s="7"/>
      <c r="Q522" s="7"/>
      <c r="R522" s="7"/>
      <c r="S522" s="14">
        <f t="shared" si="304"/>
        <v>0</v>
      </c>
      <c r="T522" s="179"/>
      <c r="U522" s="186"/>
      <c r="V522" s="13"/>
      <c r="W522" s="27"/>
      <c r="X522" s="185"/>
      <c r="Y522" s="185"/>
      <c r="Z522" s="194"/>
      <c r="AA522" s="185"/>
      <c r="AB522" s="185"/>
      <c r="AC522" s="7"/>
      <c r="AD522" s="7"/>
      <c r="AE522" s="7"/>
      <c r="AF522" s="7"/>
      <c r="AG522" s="759">
        <f t="shared" si="305"/>
        <v>0</v>
      </c>
      <c r="AH522" s="853">
        <v>3000018833</v>
      </c>
      <c r="AI522" s="814">
        <v>0</v>
      </c>
      <c r="AJ522" s="810">
        <v>30719630</v>
      </c>
      <c r="AK522" s="858">
        <v>18042235</v>
      </c>
      <c r="AL522" s="758">
        <v>21714217</v>
      </c>
      <c r="AM522" s="758">
        <v>17743572</v>
      </c>
      <c r="AN522" s="524">
        <v>0</v>
      </c>
      <c r="AO522" s="758">
        <v>16699955</v>
      </c>
      <c r="AP522" s="758">
        <v>16228874</v>
      </c>
      <c r="AQ522" s="518">
        <v>0</v>
      </c>
      <c r="AR522" s="813">
        <v>0</v>
      </c>
      <c r="AS522" s="813">
        <v>0</v>
      </c>
      <c r="AT522" s="813">
        <v>19111325</v>
      </c>
      <c r="AU522" s="518">
        <f t="shared" si="306"/>
        <v>15000000</v>
      </c>
      <c r="AV522" s="518">
        <f t="shared" si="307"/>
        <v>15000000</v>
      </c>
      <c r="AW522" s="518">
        <f t="shared" si="308"/>
        <v>15000000</v>
      </c>
      <c r="AX522" s="518">
        <f t="shared" si="303"/>
        <v>140259808</v>
      </c>
      <c r="AY522" s="853" t="e">
        <v>#N/A</v>
      </c>
      <c r="AZ522" s="814">
        <v>0</v>
      </c>
      <c r="BA522" s="810">
        <v>30719630</v>
      </c>
      <c r="BB522" s="858">
        <v>18042235</v>
      </c>
      <c r="BC522" s="758">
        <v>21714217</v>
      </c>
      <c r="BD522" s="758">
        <v>17743572</v>
      </c>
      <c r="BE522" s="524">
        <v>0</v>
      </c>
      <c r="BF522" s="758">
        <v>16699955</v>
      </c>
      <c r="BG522" s="518">
        <f t="shared" si="309"/>
        <v>16228874</v>
      </c>
      <c r="BH522" s="758">
        <v>15000000</v>
      </c>
      <c r="BI522" s="758">
        <v>15000000</v>
      </c>
      <c r="BJ522" s="758">
        <v>15000000</v>
      </c>
      <c r="BK522" s="758">
        <v>15000000</v>
      </c>
      <c r="BL522" s="759">
        <f t="shared" si="310"/>
        <v>181148483</v>
      </c>
      <c r="BN522" s="758">
        <v>17000000</v>
      </c>
      <c r="BO522" s="758">
        <v>17000000</v>
      </c>
      <c r="BP522" s="758">
        <v>17000000</v>
      </c>
      <c r="BQ522" s="758">
        <v>17000000</v>
      </c>
      <c r="BR522" s="758">
        <v>17000000</v>
      </c>
      <c r="BS522" s="758">
        <v>17000000</v>
      </c>
      <c r="BT522" s="758">
        <v>17000000</v>
      </c>
      <c r="BU522" s="758">
        <v>17000000</v>
      </c>
      <c r="BV522" s="758">
        <v>17000000</v>
      </c>
      <c r="BW522" s="758">
        <v>17000000</v>
      </c>
      <c r="BX522" s="758">
        <v>17000000</v>
      </c>
      <c r="BY522" s="758">
        <v>17000000</v>
      </c>
      <c r="BZ522" s="791">
        <v>204000000</v>
      </c>
      <c r="CB522" s="758">
        <v>17000000</v>
      </c>
      <c r="CC522" s="758">
        <v>17000000</v>
      </c>
      <c r="CD522" s="758">
        <v>17000000</v>
      </c>
      <c r="CE522" s="758">
        <v>17000000</v>
      </c>
      <c r="CF522" s="758">
        <v>17000000</v>
      </c>
      <c r="CG522" s="758">
        <v>17000000</v>
      </c>
      <c r="CH522" s="758">
        <v>17000000</v>
      </c>
      <c r="CI522" s="758">
        <v>17000000</v>
      </c>
      <c r="CJ522" s="758">
        <v>17000000</v>
      </c>
      <c r="CK522" s="758">
        <v>17000000</v>
      </c>
      <c r="CL522" s="758">
        <v>17000000</v>
      </c>
      <c r="CM522" s="758">
        <v>17000000</v>
      </c>
      <c r="CN522" s="791">
        <v>204000000</v>
      </c>
      <c r="CP522" s="653">
        <v>28012765</v>
      </c>
      <c r="CQ522" s="653">
        <v>103897400</v>
      </c>
      <c r="CR522" s="524">
        <v>103250000</v>
      </c>
      <c r="CS522" s="653">
        <v>-11820497</v>
      </c>
      <c r="CT522" s="524">
        <v>50000000</v>
      </c>
      <c r="CU522" s="653">
        <v>51173859</v>
      </c>
      <c r="CV522" s="524">
        <v>60000000</v>
      </c>
      <c r="CW522" s="653"/>
      <c r="CX522" s="524">
        <v>60000000</v>
      </c>
      <c r="CY522" s="653">
        <v>46670465</v>
      </c>
      <c r="CZ522" s="524">
        <v>40000000</v>
      </c>
      <c r="DA522" s="653">
        <v>81296501</v>
      </c>
      <c r="DB522" s="524">
        <v>40000000</v>
      </c>
      <c r="DC522" s="653">
        <v>0</v>
      </c>
      <c r="DD522" s="524">
        <v>40000000</v>
      </c>
      <c r="DE522" s="758"/>
      <c r="DF522" s="524">
        <v>40000000</v>
      </c>
      <c r="DG522" s="757">
        <v>40000000</v>
      </c>
      <c r="DH522" s="758"/>
      <c r="DI522" s="524">
        <v>40000000</v>
      </c>
      <c r="DJ522" s="757">
        <v>40000000</v>
      </c>
      <c r="DK522" s="758"/>
      <c r="DL522" s="524">
        <v>40000000</v>
      </c>
      <c r="DM522" s="757">
        <v>40000000</v>
      </c>
      <c r="DN522" s="758"/>
      <c r="DO522" s="524">
        <v>40000000</v>
      </c>
      <c r="DP522" s="757">
        <v>40000000</v>
      </c>
      <c r="DQ522" s="493">
        <f t="shared" si="314"/>
        <v>459230493</v>
      </c>
      <c r="DR522" s="479">
        <f t="shared" si="316"/>
        <v>511263527</v>
      </c>
      <c r="DS522" s="1019">
        <v>50000000</v>
      </c>
      <c r="DT522" s="1019">
        <v>50000000</v>
      </c>
      <c r="DU522" s="1019">
        <v>50000000</v>
      </c>
      <c r="DV522" s="1019">
        <v>50000000</v>
      </c>
      <c r="DW522" s="1019">
        <v>50000000</v>
      </c>
      <c r="DX522" s="1019">
        <v>50000000</v>
      </c>
      <c r="DY522" s="1019">
        <v>50000000</v>
      </c>
      <c r="DZ522" s="1019">
        <v>50000000</v>
      </c>
      <c r="EA522" s="1019">
        <v>50000000</v>
      </c>
      <c r="EB522" s="1019">
        <v>50000000</v>
      </c>
      <c r="EC522" s="1019">
        <v>50000000</v>
      </c>
      <c r="ED522" s="1019">
        <v>50000000</v>
      </c>
      <c r="EE522" s="1119">
        <f t="shared" si="315"/>
        <v>600000000</v>
      </c>
      <c r="EF522" s="443">
        <v>286000000</v>
      </c>
      <c r="EG522" s="443">
        <f t="shared" si="312"/>
        <v>308880000</v>
      </c>
      <c r="EH522" s="443">
        <f t="shared" si="317"/>
        <v>336679200</v>
      </c>
      <c r="EI522" s="443">
        <f t="shared" si="317"/>
        <v>366980328</v>
      </c>
      <c r="EJ522" s="367">
        <v>3000018833</v>
      </c>
      <c r="EL522" s="177"/>
      <c r="EM522" s="177"/>
      <c r="EN522" s="177"/>
    </row>
    <row r="523" spans="1:144" outlineLevel="2">
      <c r="A523" s="367" t="s">
        <v>687</v>
      </c>
      <c r="B523" s="378"/>
      <c r="C523" s="370" t="s">
        <v>688</v>
      </c>
      <c r="D523" s="370" t="s">
        <v>40</v>
      </c>
      <c r="E523" s="379" t="s">
        <v>413</v>
      </c>
      <c r="F523" s="380">
        <v>8000000012</v>
      </c>
      <c r="G523" s="189"/>
      <c r="H523" s="13"/>
      <c r="I523" s="185"/>
      <c r="J523" s="185"/>
      <c r="K523" s="185"/>
      <c r="L523" s="185"/>
      <c r="M523" s="185"/>
      <c r="N523" s="185"/>
      <c r="O523" s="7"/>
      <c r="P523" s="7"/>
      <c r="Q523" s="7"/>
      <c r="R523" s="7"/>
      <c r="S523" s="14">
        <f t="shared" si="304"/>
        <v>0</v>
      </c>
      <c r="T523" s="179"/>
      <c r="U523" s="189"/>
      <c r="V523" s="13"/>
      <c r="W523" s="185"/>
      <c r="X523" s="185"/>
      <c r="Y523" s="185"/>
      <c r="Z523" s="185"/>
      <c r="AA523" s="185"/>
      <c r="AB523" s="185"/>
      <c r="AC523" s="7"/>
      <c r="AD523" s="7"/>
      <c r="AE523" s="7"/>
      <c r="AF523" s="7"/>
      <c r="AG523" s="759">
        <f t="shared" si="305"/>
        <v>0</v>
      </c>
      <c r="AH523" s="853" t="e">
        <v>#N/A</v>
      </c>
      <c r="AI523" s="189"/>
      <c r="AJ523" s="810"/>
      <c r="AK523" s="758"/>
      <c r="AL523" s="758"/>
      <c r="AM523" s="758"/>
      <c r="AN523" s="758"/>
      <c r="AO523" s="758"/>
      <c r="AP523" s="758"/>
      <c r="AQ523" s="518">
        <v>0</v>
      </c>
      <c r="AR523" s="518"/>
      <c r="AS523" s="518">
        <v>54350000</v>
      </c>
      <c r="AT523" s="518">
        <v>-3300000</v>
      </c>
      <c r="AU523" s="518">
        <f t="shared" si="306"/>
        <v>0</v>
      </c>
      <c r="AV523" s="518">
        <f t="shared" si="307"/>
        <v>0</v>
      </c>
      <c r="AW523" s="518">
        <f t="shared" si="308"/>
        <v>0</v>
      </c>
      <c r="AX523" s="518">
        <f t="shared" si="303"/>
        <v>51050000</v>
      </c>
      <c r="AY523" s="853">
        <v>0</v>
      </c>
      <c r="AZ523" s="189"/>
      <c r="BA523" s="810"/>
      <c r="BB523" s="758"/>
      <c r="BC523" s="758"/>
      <c r="BD523" s="758"/>
      <c r="BE523" s="758"/>
      <c r="BF523" s="758"/>
      <c r="BG523" s="518">
        <f t="shared" si="309"/>
        <v>0</v>
      </c>
      <c r="BH523" s="758">
        <v>0</v>
      </c>
      <c r="BI523" s="758">
        <v>0</v>
      </c>
      <c r="BJ523" s="758">
        <v>0</v>
      </c>
      <c r="BK523" s="758">
        <v>0</v>
      </c>
      <c r="BL523" s="759">
        <f t="shared" si="310"/>
        <v>0</v>
      </c>
      <c r="BN523" s="758">
        <v>60000000</v>
      </c>
      <c r="BO523" s="758">
        <v>60000000</v>
      </c>
      <c r="BP523" s="758">
        <v>60000000</v>
      </c>
      <c r="BQ523" s="758">
        <v>60000000</v>
      </c>
      <c r="BR523" s="758">
        <v>60000000</v>
      </c>
      <c r="BS523" s="758">
        <v>60000000</v>
      </c>
      <c r="BT523" s="758">
        <v>60000000</v>
      </c>
      <c r="BU523" s="758">
        <v>60000000</v>
      </c>
      <c r="BV523" s="758">
        <v>60000000</v>
      </c>
      <c r="BW523" s="758">
        <v>60000000</v>
      </c>
      <c r="BX523" s="758">
        <v>60000000</v>
      </c>
      <c r="BY523" s="758">
        <v>60000000</v>
      </c>
      <c r="BZ523" s="791">
        <v>720000000</v>
      </c>
      <c r="CB523" s="758">
        <v>60000000</v>
      </c>
      <c r="CC523" s="758">
        <v>60000000</v>
      </c>
      <c r="CD523" s="758">
        <v>60000000</v>
      </c>
      <c r="CE523" s="758">
        <v>60000000</v>
      </c>
      <c r="CF523" s="758">
        <v>60000000</v>
      </c>
      <c r="CG523" s="758">
        <v>60000000</v>
      </c>
      <c r="CH523" s="758">
        <v>60000000</v>
      </c>
      <c r="CI523" s="758">
        <v>60000000</v>
      </c>
      <c r="CJ523" s="758">
        <v>60000000</v>
      </c>
      <c r="CK523" s="758">
        <v>60000000</v>
      </c>
      <c r="CL523" s="758">
        <v>60000000</v>
      </c>
      <c r="CM523" s="758">
        <v>60000000</v>
      </c>
      <c r="CN523" s="791">
        <v>720000000</v>
      </c>
      <c r="CP523" s="653"/>
      <c r="CQ523" s="653">
        <v>22300000</v>
      </c>
      <c r="CR523" s="524">
        <v>66000000</v>
      </c>
      <c r="CS523" s="653">
        <v>60400000</v>
      </c>
      <c r="CT523" s="524">
        <v>25000000</v>
      </c>
      <c r="CU523" s="653"/>
      <c r="CV523" s="524">
        <v>25000000</v>
      </c>
      <c r="CW523" s="653">
        <v>15700000</v>
      </c>
      <c r="CX523" s="524">
        <v>20000000</v>
      </c>
      <c r="CY523" s="653">
        <v>49160000</v>
      </c>
      <c r="CZ523" s="524">
        <v>60000000</v>
      </c>
      <c r="DA523" s="653"/>
      <c r="DB523" s="524">
        <v>60000000</v>
      </c>
      <c r="DC523" s="653">
        <v>53400000</v>
      </c>
      <c r="DD523" s="524">
        <v>60000000</v>
      </c>
      <c r="DE523" s="758"/>
      <c r="DF523" s="524">
        <v>60000000</v>
      </c>
      <c r="DG523" s="757">
        <v>60000000</v>
      </c>
      <c r="DH523" s="758"/>
      <c r="DI523" s="524">
        <v>60000000</v>
      </c>
      <c r="DJ523" s="757">
        <v>60000000</v>
      </c>
      <c r="DK523" s="758"/>
      <c r="DL523" s="524">
        <v>60000000</v>
      </c>
      <c r="DM523" s="757">
        <v>60000000</v>
      </c>
      <c r="DN523" s="758"/>
      <c r="DO523" s="524">
        <v>60000000</v>
      </c>
      <c r="DP523" s="757">
        <v>60000000</v>
      </c>
      <c r="DQ523" s="493">
        <f t="shared" si="314"/>
        <v>440960000</v>
      </c>
      <c r="DR523" s="479">
        <f t="shared" si="316"/>
        <v>522700000</v>
      </c>
      <c r="DS523" s="1019">
        <v>50000000</v>
      </c>
      <c r="DT523" s="1019">
        <v>50000000</v>
      </c>
      <c r="DU523" s="1019">
        <v>50000000</v>
      </c>
      <c r="DV523" s="1019">
        <v>50000000</v>
      </c>
      <c r="DW523" s="1019">
        <v>50000000</v>
      </c>
      <c r="DX523" s="1019">
        <v>50000000</v>
      </c>
      <c r="DY523" s="1019">
        <v>50000000</v>
      </c>
      <c r="DZ523" s="1019">
        <v>50000000</v>
      </c>
      <c r="EA523" s="1019">
        <v>50000000</v>
      </c>
      <c r="EB523" s="1019">
        <v>50000000</v>
      </c>
      <c r="EC523" s="1019">
        <v>50000000</v>
      </c>
      <c r="ED523" s="1019">
        <v>50000000</v>
      </c>
      <c r="EE523" s="1119">
        <f t="shared" si="315"/>
        <v>600000000</v>
      </c>
      <c r="EF523" s="443">
        <v>1010000000</v>
      </c>
      <c r="EG523" s="443">
        <f t="shared" si="312"/>
        <v>1090800000</v>
      </c>
      <c r="EH523" s="443">
        <v>1200000000</v>
      </c>
      <c r="EI523" s="443">
        <v>1200000000</v>
      </c>
      <c r="EJ523" s="367">
        <v>8000000012</v>
      </c>
      <c r="EL523" s="177"/>
      <c r="EM523" s="177"/>
      <c r="EN523" s="177"/>
    </row>
    <row r="524" spans="1:144" outlineLevel="2">
      <c r="A524" s="367" t="s">
        <v>291</v>
      </c>
      <c r="B524" s="378"/>
      <c r="C524" s="370" t="s">
        <v>688</v>
      </c>
      <c r="D524" s="370" t="s">
        <v>40</v>
      </c>
      <c r="E524" s="403" t="s">
        <v>750</v>
      </c>
      <c r="F524" s="380">
        <v>3000019772</v>
      </c>
      <c r="G524" s="189"/>
      <c r="H524" s="13"/>
      <c r="I524" s="185"/>
      <c r="J524" s="185"/>
      <c r="K524" s="185"/>
      <c r="L524" s="194"/>
      <c r="M524" s="185"/>
      <c r="N524" s="185"/>
      <c r="O524" s="7"/>
      <c r="P524" s="7"/>
      <c r="Q524" s="7"/>
      <c r="R524" s="7"/>
      <c r="S524" s="14">
        <f t="shared" si="304"/>
        <v>0</v>
      </c>
      <c r="T524" s="179"/>
      <c r="U524" s="189"/>
      <c r="V524" s="13"/>
      <c r="W524" s="185"/>
      <c r="X524" s="185"/>
      <c r="Y524" s="185"/>
      <c r="Z524" s="194"/>
      <c r="AA524" s="185"/>
      <c r="AB524" s="185"/>
      <c r="AC524" s="7"/>
      <c r="AD524" s="7"/>
      <c r="AE524" s="7"/>
      <c r="AF524" s="7"/>
      <c r="AG524" s="759">
        <f t="shared" si="305"/>
        <v>0</v>
      </c>
      <c r="AH524" s="853">
        <v>3000019772</v>
      </c>
      <c r="AI524" s="189"/>
      <c r="AJ524" s="810"/>
      <c r="AK524" s="758"/>
      <c r="AL524" s="758">
        <v>0</v>
      </c>
      <c r="AM524" s="758"/>
      <c r="AN524" s="524">
        <v>3253891</v>
      </c>
      <c r="AO524" s="758">
        <v>0</v>
      </c>
      <c r="AP524" s="758">
        <v>0</v>
      </c>
      <c r="AQ524" s="518">
        <v>0</v>
      </c>
      <c r="AR524" s="518"/>
      <c r="AS524" s="518"/>
      <c r="AT524" s="518"/>
      <c r="AU524" s="518">
        <f t="shared" si="306"/>
        <v>0</v>
      </c>
      <c r="AV524" s="518">
        <f t="shared" si="307"/>
        <v>0</v>
      </c>
      <c r="AW524" s="518">
        <f t="shared" si="308"/>
        <v>0</v>
      </c>
      <c r="AX524" s="518">
        <f t="shared" si="303"/>
        <v>3253891</v>
      </c>
      <c r="AY524" s="853">
        <v>0</v>
      </c>
      <c r="AZ524" s="189"/>
      <c r="BA524" s="810"/>
      <c r="BB524" s="758"/>
      <c r="BC524" s="758">
        <v>0</v>
      </c>
      <c r="BD524" s="758"/>
      <c r="BE524" s="524">
        <v>3253891</v>
      </c>
      <c r="BF524" s="758">
        <v>0</v>
      </c>
      <c r="BG524" s="518">
        <f t="shared" si="309"/>
        <v>0</v>
      </c>
      <c r="BH524" s="758">
        <v>0</v>
      </c>
      <c r="BI524" s="758">
        <v>0</v>
      </c>
      <c r="BJ524" s="758">
        <v>0</v>
      </c>
      <c r="BK524" s="758">
        <v>0</v>
      </c>
      <c r="BL524" s="759">
        <f t="shared" si="310"/>
        <v>3253891</v>
      </c>
      <c r="BN524" s="758">
        <v>0</v>
      </c>
      <c r="BO524" s="758">
        <v>0</v>
      </c>
      <c r="BP524" s="758">
        <v>0</v>
      </c>
      <c r="BQ524" s="758">
        <v>0</v>
      </c>
      <c r="BR524" s="758">
        <v>0</v>
      </c>
      <c r="BS524" s="758">
        <v>0</v>
      </c>
      <c r="BT524" s="758">
        <v>0</v>
      </c>
      <c r="BU524" s="758">
        <v>0</v>
      </c>
      <c r="BV524" s="758">
        <v>0</v>
      </c>
      <c r="BW524" s="758">
        <v>0</v>
      </c>
      <c r="BX524" s="758">
        <v>0</v>
      </c>
      <c r="BY524" s="758">
        <v>0</v>
      </c>
      <c r="BZ524" s="791">
        <v>0</v>
      </c>
      <c r="CB524" s="758">
        <v>0</v>
      </c>
      <c r="CC524" s="758">
        <v>0</v>
      </c>
      <c r="CD524" s="758">
        <v>0</v>
      </c>
      <c r="CE524" s="758">
        <v>0</v>
      </c>
      <c r="CF524" s="758">
        <v>0</v>
      </c>
      <c r="CG524" s="758">
        <v>0</v>
      </c>
      <c r="CH524" s="758">
        <v>0</v>
      </c>
      <c r="CI524" s="758">
        <v>0</v>
      </c>
      <c r="CJ524" s="758">
        <v>0</v>
      </c>
      <c r="CK524" s="758">
        <v>0</v>
      </c>
      <c r="CL524" s="758">
        <v>0</v>
      </c>
      <c r="CM524" s="758">
        <v>0</v>
      </c>
      <c r="CN524" s="791">
        <v>0</v>
      </c>
      <c r="CP524" s="653"/>
      <c r="CQ524" s="653"/>
      <c r="CR524" s="524"/>
      <c r="CS524" s="653"/>
      <c r="CT524" s="524"/>
      <c r="CU524" s="653"/>
      <c r="CV524" s="524"/>
      <c r="CW524" s="653"/>
      <c r="CX524" s="524"/>
      <c r="CY524" s="653"/>
      <c r="CZ524" s="524"/>
      <c r="DA524" s="653"/>
      <c r="DB524" s="524"/>
      <c r="DC524" s="653">
        <v>0</v>
      </c>
      <c r="DD524" s="524"/>
      <c r="DE524" s="758"/>
      <c r="DF524" s="524"/>
      <c r="DG524" s="757"/>
      <c r="DH524" s="758"/>
      <c r="DI524" s="524"/>
      <c r="DJ524" s="757"/>
      <c r="DK524" s="758"/>
      <c r="DL524" s="524"/>
      <c r="DM524" s="757"/>
      <c r="DN524" s="758"/>
      <c r="DO524" s="524"/>
      <c r="DP524" s="757"/>
      <c r="DQ524" s="493">
        <f t="shared" si="314"/>
        <v>0</v>
      </c>
      <c r="DR524" s="479">
        <f t="shared" si="316"/>
        <v>0</v>
      </c>
      <c r="DS524" s="1019"/>
      <c r="DT524" s="1019"/>
      <c r="DU524" s="1019"/>
      <c r="DV524" s="1019"/>
      <c r="DW524" s="1019"/>
      <c r="DX524" s="1019"/>
      <c r="DY524" s="1019"/>
      <c r="DZ524" s="1019"/>
      <c r="EA524" s="1019"/>
      <c r="EB524" s="1019"/>
      <c r="EC524" s="1019"/>
      <c r="ED524" s="1019"/>
      <c r="EE524" s="1119">
        <f t="shared" si="315"/>
        <v>0</v>
      </c>
      <c r="EF524" s="443">
        <f>EE524*1.17</f>
        <v>0</v>
      </c>
      <c r="EG524" s="443">
        <f t="shared" si="312"/>
        <v>0</v>
      </c>
      <c r="EH524" s="443">
        <f t="shared" ref="EH524:EI526" si="318">EG524*1.09</f>
        <v>0</v>
      </c>
      <c r="EI524" s="443">
        <f t="shared" si="318"/>
        <v>0</v>
      </c>
      <c r="EJ524" s="367">
        <v>3000019772</v>
      </c>
      <c r="EL524" s="177"/>
      <c r="EM524" s="177"/>
      <c r="EN524" s="177"/>
    </row>
    <row r="525" spans="1:144" outlineLevel="2">
      <c r="A525" s="367" t="s">
        <v>687</v>
      </c>
      <c r="B525" s="378"/>
      <c r="C525" s="370" t="s">
        <v>688</v>
      </c>
      <c r="D525" s="370" t="s">
        <v>40</v>
      </c>
      <c r="E525" s="383" t="s">
        <v>751</v>
      </c>
      <c r="F525" s="380">
        <v>3000012984</v>
      </c>
      <c r="G525" s="189"/>
      <c r="H525" s="13"/>
      <c r="I525" s="185"/>
      <c r="J525" s="185"/>
      <c r="K525" s="185"/>
      <c r="L525" s="194"/>
      <c r="M525" s="185"/>
      <c r="N525" s="185"/>
      <c r="O525" s="7"/>
      <c r="P525" s="7"/>
      <c r="Q525" s="7"/>
      <c r="R525" s="7"/>
      <c r="S525" s="14">
        <f t="shared" si="304"/>
        <v>0</v>
      </c>
      <c r="T525" s="179"/>
      <c r="U525" s="189"/>
      <c r="V525" s="13"/>
      <c r="W525" s="185"/>
      <c r="X525" s="185"/>
      <c r="Y525" s="185"/>
      <c r="Z525" s="194"/>
      <c r="AA525" s="185"/>
      <c r="AB525" s="185"/>
      <c r="AC525" s="7"/>
      <c r="AD525" s="7"/>
      <c r="AE525" s="7"/>
      <c r="AF525" s="7"/>
      <c r="AG525" s="759">
        <f t="shared" si="305"/>
        <v>0</v>
      </c>
      <c r="AH525" s="853">
        <v>3000012984</v>
      </c>
      <c r="AI525" s="189"/>
      <c r="AJ525" s="810"/>
      <c r="AK525" s="758"/>
      <c r="AL525" s="758">
        <v>38853500</v>
      </c>
      <c r="AM525" s="758">
        <v>0</v>
      </c>
      <c r="AN525" s="524">
        <v>0</v>
      </c>
      <c r="AO525" s="758">
        <v>0</v>
      </c>
      <c r="AP525" s="758">
        <v>0</v>
      </c>
      <c r="AQ525" s="518">
        <v>37385750</v>
      </c>
      <c r="AR525" s="813"/>
      <c r="AS525" s="813"/>
      <c r="AT525" s="813"/>
      <c r="AU525" s="518">
        <f t="shared" si="306"/>
        <v>0</v>
      </c>
      <c r="AV525" s="518">
        <f t="shared" si="307"/>
        <v>0</v>
      </c>
      <c r="AW525" s="518">
        <f t="shared" si="308"/>
        <v>0</v>
      </c>
      <c r="AX525" s="518">
        <f t="shared" si="303"/>
        <v>76239250</v>
      </c>
      <c r="AY525" s="853">
        <v>0</v>
      </c>
      <c r="AZ525" s="189"/>
      <c r="BA525" s="810"/>
      <c r="BB525" s="758"/>
      <c r="BC525" s="758">
        <v>38853500</v>
      </c>
      <c r="BD525" s="758">
        <v>0</v>
      </c>
      <c r="BE525" s="524">
        <v>0</v>
      </c>
      <c r="BF525" s="758">
        <v>0</v>
      </c>
      <c r="BG525" s="518">
        <f t="shared" si="309"/>
        <v>0</v>
      </c>
      <c r="BH525" s="758">
        <v>0</v>
      </c>
      <c r="BI525" s="758">
        <v>0</v>
      </c>
      <c r="BJ525" s="758">
        <v>0</v>
      </c>
      <c r="BK525" s="758">
        <v>0</v>
      </c>
      <c r="BL525" s="759">
        <f t="shared" si="310"/>
        <v>38853500</v>
      </c>
      <c r="BN525" s="758">
        <v>0</v>
      </c>
      <c r="BO525" s="758">
        <v>0</v>
      </c>
      <c r="BP525" s="758">
        <v>0</v>
      </c>
      <c r="BQ525" s="758">
        <v>0</v>
      </c>
      <c r="BR525" s="758">
        <v>0</v>
      </c>
      <c r="BS525" s="758">
        <v>0</v>
      </c>
      <c r="BT525" s="758">
        <v>0</v>
      </c>
      <c r="BU525" s="758">
        <v>0</v>
      </c>
      <c r="BV525" s="758">
        <v>0</v>
      </c>
      <c r="BW525" s="758">
        <v>0</v>
      </c>
      <c r="BX525" s="758">
        <v>0</v>
      </c>
      <c r="BY525" s="758">
        <v>0</v>
      </c>
      <c r="BZ525" s="791">
        <v>0</v>
      </c>
      <c r="CB525" s="758">
        <v>0</v>
      </c>
      <c r="CC525" s="758">
        <v>0</v>
      </c>
      <c r="CD525" s="758">
        <v>0</v>
      </c>
      <c r="CE525" s="758">
        <v>0</v>
      </c>
      <c r="CF525" s="758">
        <v>0</v>
      </c>
      <c r="CG525" s="758">
        <v>0</v>
      </c>
      <c r="CH525" s="758">
        <v>0</v>
      </c>
      <c r="CI525" s="758">
        <v>0</v>
      </c>
      <c r="CJ525" s="758">
        <v>0</v>
      </c>
      <c r="CK525" s="758">
        <v>0</v>
      </c>
      <c r="CL525" s="758">
        <v>0</v>
      </c>
      <c r="CM525" s="758">
        <v>0</v>
      </c>
      <c r="CN525" s="791">
        <v>0</v>
      </c>
      <c r="CP525" s="653"/>
      <c r="CQ525" s="653"/>
      <c r="CR525" s="524"/>
      <c r="CS525" s="653"/>
      <c r="CT525" s="524"/>
      <c r="CU525" s="653"/>
      <c r="CV525" s="524"/>
      <c r="CW525" s="653"/>
      <c r="CX525" s="524"/>
      <c r="CY525" s="653">
        <v>14286250</v>
      </c>
      <c r="CZ525" s="524"/>
      <c r="DA525" s="653"/>
      <c r="DB525" s="524"/>
      <c r="DC525" s="653">
        <v>0</v>
      </c>
      <c r="DD525" s="524"/>
      <c r="DE525" s="758"/>
      <c r="DF525" s="524"/>
      <c r="DG525" s="757"/>
      <c r="DH525" s="758"/>
      <c r="DI525" s="524"/>
      <c r="DJ525" s="757"/>
      <c r="DK525" s="758"/>
      <c r="DL525" s="524"/>
      <c r="DM525" s="757"/>
      <c r="DN525" s="758"/>
      <c r="DO525" s="524"/>
      <c r="DP525" s="757"/>
      <c r="DQ525" s="493">
        <f t="shared" si="314"/>
        <v>14286250</v>
      </c>
      <c r="DR525" s="479">
        <f t="shared" si="316"/>
        <v>0</v>
      </c>
      <c r="DS525" s="1019"/>
      <c r="DT525" s="1019"/>
      <c r="DU525" s="1019"/>
      <c r="DV525" s="1019"/>
      <c r="DW525" s="1019"/>
      <c r="DX525" s="1019"/>
      <c r="DY525" s="1019"/>
      <c r="DZ525" s="1019"/>
      <c r="EA525" s="1019"/>
      <c r="EB525" s="1019"/>
      <c r="EC525" s="1019"/>
      <c r="ED525" s="1019"/>
      <c r="EE525" s="1119">
        <f t="shared" si="315"/>
        <v>0</v>
      </c>
      <c r="EF525" s="443">
        <f>EE525*1.17</f>
        <v>0</v>
      </c>
      <c r="EG525" s="443">
        <f t="shared" si="312"/>
        <v>0</v>
      </c>
      <c r="EH525" s="443">
        <f t="shared" si="318"/>
        <v>0</v>
      </c>
      <c r="EI525" s="443">
        <f t="shared" si="318"/>
        <v>0</v>
      </c>
      <c r="EJ525" s="367">
        <v>3000012984</v>
      </c>
      <c r="EL525" s="177"/>
      <c r="EM525" s="177"/>
      <c r="EN525" s="177"/>
    </row>
    <row r="526" spans="1:144" outlineLevel="2">
      <c r="A526" s="367" t="s">
        <v>291</v>
      </c>
      <c r="B526" s="378"/>
      <c r="C526" s="370" t="s">
        <v>688</v>
      </c>
      <c r="D526" s="370" t="s">
        <v>40</v>
      </c>
      <c r="E526" s="383" t="s">
        <v>752</v>
      </c>
      <c r="F526" s="380">
        <v>3000018703</v>
      </c>
      <c r="G526" s="189"/>
      <c r="H526" s="13"/>
      <c r="I526" s="185"/>
      <c r="J526" s="185"/>
      <c r="K526" s="185"/>
      <c r="L526" s="194"/>
      <c r="M526" s="185"/>
      <c r="N526" s="185"/>
      <c r="O526" s="7"/>
      <c r="P526" s="7"/>
      <c r="Q526" s="7"/>
      <c r="R526" s="7"/>
      <c r="S526" s="14">
        <f t="shared" si="304"/>
        <v>0</v>
      </c>
      <c r="T526" s="179"/>
      <c r="U526" s="189"/>
      <c r="V526" s="13"/>
      <c r="W526" s="185"/>
      <c r="X526" s="185"/>
      <c r="Y526" s="185"/>
      <c r="Z526" s="194"/>
      <c r="AA526" s="185"/>
      <c r="AB526" s="185"/>
      <c r="AC526" s="7"/>
      <c r="AD526" s="7"/>
      <c r="AE526" s="7"/>
      <c r="AF526" s="7"/>
      <c r="AG526" s="759">
        <f t="shared" si="305"/>
        <v>0</v>
      </c>
      <c r="AH526" s="853">
        <v>3000018703</v>
      </c>
      <c r="AI526" s="189"/>
      <c r="AJ526" s="810"/>
      <c r="AK526" s="758"/>
      <c r="AL526" s="758">
        <v>334342</v>
      </c>
      <c r="AM526" s="758">
        <v>121461</v>
      </c>
      <c r="AN526" s="524">
        <v>0</v>
      </c>
      <c r="AO526" s="758">
        <v>0</v>
      </c>
      <c r="AP526" s="758">
        <v>0</v>
      </c>
      <c r="AQ526" s="518">
        <v>0</v>
      </c>
      <c r="AR526" s="813">
        <v>207851</v>
      </c>
      <c r="AS526" s="813">
        <v>0</v>
      </c>
      <c r="AT526" s="813">
        <v>0</v>
      </c>
      <c r="AU526" s="518">
        <f t="shared" si="306"/>
        <v>0</v>
      </c>
      <c r="AV526" s="518">
        <f t="shared" si="307"/>
        <v>0</v>
      </c>
      <c r="AW526" s="518">
        <f t="shared" si="308"/>
        <v>0</v>
      </c>
      <c r="AX526" s="518">
        <f t="shared" si="303"/>
        <v>663654</v>
      </c>
      <c r="AY526" s="853">
        <v>0</v>
      </c>
      <c r="AZ526" s="189"/>
      <c r="BA526" s="810"/>
      <c r="BB526" s="758"/>
      <c r="BC526" s="758">
        <v>334342</v>
      </c>
      <c r="BD526" s="758">
        <v>121461</v>
      </c>
      <c r="BE526" s="524">
        <v>0</v>
      </c>
      <c r="BF526" s="758">
        <v>0</v>
      </c>
      <c r="BG526" s="518">
        <f t="shared" si="309"/>
        <v>0</v>
      </c>
      <c r="BH526" s="758">
        <v>0</v>
      </c>
      <c r="BI526" s="758">
        <v>0</v>
      </c>
      <c r="BJ526" s="758">
        <v>0</v>
      </c>
      <c r="BK526" s="758">
        <v>0</v>
      </c>
      <c r="BL526" s="759">
        <f t="shared" si="310"/>
        <v>455803</v>
      </c>
      <c r="BN526" s="758">
        <v>0</v>
      </c>
      <c r="BO526" s="758">
        <v>0</v>
      </c>
      <c r="BP526" s="758">
        <v>0</v>
      </c>
      <c r="BQ526" s="758">
        <v>0</v>
      </c>
      <c r="BR526" s="758">
        <v>0</v>
      </c>
      <c r="BS526" s="758">
        <v>0</v>
      </c>
      <c r="BT526" s="758">
        <v>0</v>
      </c>
      <c r="BU526" s="758">
        <v>0</v>
      </c>
      <c r="BV526" s="758">
        <v>0</v>
      </c>
      <c r="BW526" s="758">
        <v>0</v>
      </c>
      <c r="BX526" s="758">
        <v>0</v>
      </c>
      <c r="BY526" s="758">
        <v>0</v>
      </c>
      <c r="BZ526" s="791">
        <v>0</v>
      </c>
      <c r="CB526" s="758">
        <v>0</v>
      </c>
      <c r="CC526" s="758">
        <v>0</v>
      </c>
      <c r="CD526" s="758">
        <v>0</v>
      </c>
      <c r="CE526" s="758">
        <v>0</v>
      </c>
      <c r="CF526" s="758">
        <v>0</v>
      </c>
      <c r="CG526" s="758">
        <v>0</v>
      </c>
      <c r="CH526" s="758">
        <v>0</v>
      </c>
      <c r="CI526" s="758">
        <v>0</v>
      </c>
      <c r="CJ526" s="758">
        <v>0</v>
      </c>
      <c r="CK526" s="758">
        <v>0</v>
      </c>
      <c r="CL526" s="758">
        <v>0</v>
      </c>
      <c r="CM526" s="758">
        <v>0</v>
      </c>
      <c r="CN526" s="791">
        <v>0</v>
      </c>
      <c r="CP526" s="653"/>
      <c r="CQ526" s="653"/>
      <c r="CR526" s="524"/>
      <c r="CS526" s="653"/>
      <c r="CT526" s="524"/>
      <c r="CU526" s="653"/>
      <c r="CV526" s="524"/>
      <c r="CW526" s="653"/>
      <c r="CX526" s="524"/>
      <c r="CY526" s="653"/>
      <c r="CZ526" s="524"/>
      <c r="DA526" s="653"/>
      <c r="DB526" s="524"/>
      <c r="DC526" s="653">
        <v>0</v>
      </c>
      <c r="DD526" s="524"/>
      <c r="DE526" s="758"/>
      <c r="DF526" s="524"/>
      <c r="DG526" s="757"/>
      <c r="DH526" s="758"/>
      <c r="DI526" s="524"/>
      <c r="DJ526" s="757"/>
      <c r="DK526" s="758"/>
      <c r="DL526" s="524"/>
      <c r="DM526" s="757"/>
      <c r="DN526" s="758"/>
      <c r="DO526" s="524"/>
      <c r="DP526" s="757"/>
      <c r="DQ526" s="493">
        <f t="shared" si="314"/>
        <v>0</v>
      </c>
      <c r="DR526" s="479">
        <f t="shared" si="316"/>
        <v>0</v>
      </c>
      <c r="DS526" s="1019"/>
      <c r="DT526" s="1019"/>
      <c r="DU526" s="1019"/>
      <c r="DV526" s="1019"/>
      <c r="DW526" s="1019"/>
      <c r="DX526" s="1019"/>
      <c r="DY526" s="1019"/>
      <c r="DZ526" s="1019"/>
      <c r="EA526" s="1019"/>
      <c r="EB526" s="1019"/>
      <c r="EC526" s="1019"/>
      <c r="ED526" s="1019"/>
      <c r="EE526" s="1119">
        <f t="shared" si="315"/>
        <v>0</v>
      </c>
      <c r="EF526" s="443">
        <f>EE526*1.17</f>
        <v>0</v>
      </c>
      <c r="EG526" s="443">
        <f t="shared" si="312"/>
        <v>0</v>
      </c>
      <c r="EH526" s="443">
        <f t="shared" si="318"/>
        <v>0</v>
      </c>
      <c r="EI526" s="443">
        <f t="shared" si="318"/>
        <v>0</v>
      </c>
      <c r="EJ526" s="367">
        <v>3000018703</v>
      </c>
      <c r="EL526" s="177"/>
      <c r="EM526" s="177"/>
      <c r="EN526" s="177"/>
    </row>
    <row r="527" spans="1:144" outlineLevel="2">
      <c r="A527" s="367" t="s">
        <v>291</v>
      </c>
      <c r="B527" s="378"/>
      <c r="C527" s="370" t="s">
        <v>688</v>
      </c>
      <c r="D527" s="370" t="s">
        <v>40</v>
      </c>
      <c r="E527" s="403" t="s">
        <v>753</v>
      </c>
      <c r="F527" s="380">
        <v>3000020366</v>
      </c>
      <c r="G527" s="189"/>
      <c r="H527" s="13"/>
      <c r="I527" s="185"/>
      <c r="J527" s="185"/>
      <c r="K527" s="185"/>
      <c r="L527" s="185"/>
      <c r="M527" s="185"/>
      <c r="N527" s="185"/>
      <c r="O527" s="185"/>
      <c r="P527" s="185"/>
      <c r="Q527" s="185"/>
      <c r="R527" s="185"/>
      <c r="S527" s="14"/>
      <c r="T527" s="179"/>
      <c r="U527" s="189"/>
      <c r="V527" s="13"/>
      <c r="W527" s="185"/>
      <c r="X527" s="185"/>
      <c r="Y527" s="185"/>
      <c r="Z527" s="185"/>
      <c r="AA527" s="185"/>
      <c r="AB527" s="185"/>
      <c r="AC527" s="185"/>
      <c r="AD527" s="185"/>
      <c r="AE527" s="185"/>
      <c r="AF527" s="185"/>
      <c r="AG527" s="759"/>
      <c r="AH527" s="811"/>
      <c r="AI527" s="189"/>
      <c r="AJ527" s="810"/>
      <c r="AK527" s="758"/>
      <c r="AL527" s="758"/>
      <c r="AM527" s="758"/>
      <c r="AN527" s="758"/>
      <c r="AO527" s="758"/>
      <c r="AP527" s="758"/>
      <c r="AQ527" s="518"/>
      <c r="AR527" s="813"/>
      <c r="AS527" s="518">
        <v>9834532</v>
      </c>
      <c r="AT527" s="518">
        <v>0</v>
      </c>
      <c r="AU527" s="758"/>
      <c r="AV527" s="758"/>
      <c r="AW527" s="758"/>
      <c r="AX527" s="518">
        <f t="shared" si="303"/>
        <v>9834532</v>
      </c>
      <c r="AY527" s="811"/>
      <c r="AZ527" s="189"/>
      <c r="BA527" s="810"/>
      <c r="BB527" s="758"/>
      <c r="BC527" s="758"/>
      <c r="BD527" s="758"/>
      <c r="BE527" s="758"/>
      <c r="BF527" s="758"/>
      <c r="BG527" s="758"/>
      <c r="BH527" s="758"/>
      <c r="BI527" s="758"/>
      <c r="BJ527" s="758"/>
      <c r="BK527" s="758"/>
      <c r="BL527" s="518"/>
      <c r="BN527" s="6"/>
      <c r="BO527" s="810"/>
      <c r="BP527" s="758"/>
      <c r="BQ527" s="758"/>
      <c r="BR527" s="758"/>
      <c r="BS527" s="758"/>
      <c r="BT527" s="758"/>
      <c r="BU527" s="758"/>
      <c r="BV527" s="758"/>
      <c r="BW527" s="758"/>
      <c r="BX527" s="758"/>
      <c r="BY527" s="758"/>
      <c r="BZ527" s="791">
        <v>0</v>
      </c>
      <c r="CB527" s="6"/>
      <c r="CC527" s="810"/>
      <c r="CD527" s="758"/>
      <c r="CE527" s="758"/>
      <c r="CF527" s="758"/>
      <c r="CG527" s="758"/>
      <c r="CH527" s="758"/>
      <c r="CI527" s="758"/>
      <c r="CJ527" s="758"/>
      <c r="CK527" s="758"/>
      <c r="CL527" s="758"/>
      <c r="CM527" s="758"/>
      <c r="CN527" s="791">
        <v>0</v>
      </c>
      <c r="CP527" s="655"/>
      <c r="CQ527" s="655"/>
      <c r="CR527" s="6"/>
      <c r="CS527" s="655">
        <v>9683978</v>
      </c>
      <c r="CT527" s="6"/>
      <c r="CU527" s="655"/>
      <c r="CV527" s="6"/>
      <c r="CW527" s="655"/>
      <c r="CX527" s="6"/>
      <c r="CY527" s="655">
        <v>5005685</v>
      </c>
      <c r="CZ527" s="6"/>
      <c r="DA527" s="655"/>
      <c r="DB527" s="6"/>
      <c r="DC527" s="655">
        <v>0</v>
      </c>
      <c r="DD527" s="6"/>
      <c r="DE527" s="758"/>
      <c r="DF527" s="6"/>
      <c r="DG527" s="757"/>
      <c r="DH527" s="758"/>
      <c r="DI527" s="6"/>
      <c r="DJ527" s="757"/>
      <c r="DK527" s="758"/>
      <c r="DL527" s="6"/>
      <c r="DM527" s="757"/>
      <c r="DN527" s="758"/>
      <c r="DO527" s="6"/>
      <c r="DP527" s="757"/>
      <c r="DQ527" s="493">
        <f t="shared" si="314"/>
        <v>14689663</v>
      </c>
      <c r="DR527" s="479">
        <f t="shared" si="316"/>
        <v>9683978</v>
      </c>
      <c r="DS527" s="1019"/>
      <c r="DT527" s="1019"/>
      <c r="DU527" s="1019"/>
      <c r="DV527" s="1019"/>
      <c r="DW527" s="1019"/>
      <c r="DX527" s="1019"/>
      <c r="DY527" s="1019"/>
      <c r="DZ527" s="1019"/>
      <c r="EA527" s="1019"/>
      <c r="EB527" s="1019"/>
      <c r="EC527" s="1019"/>
      <c r="ED527" s="1019"/>
      <c r="EE527" s="1119">
        <f t="shared" si="315"/>
        <v>0</v>
      </c>
      <c r="EF527" s="447"/>
      <c r="EG527" s="447"/>
      <c r="EH527" s="447"/>
      <c r="EI527" s="447"/>
      <c r="EL527" s="177"/>
      <c r="EM527" s="177"/>
      <c r="EN527" s="177"/>
    </row>
    <row r="528" spans="1:144" outlineLevel="2">
      <c r="A528" s="367" t="s">
        <v>291</v>
      </c>
      <c r="B528" s="378"/>
      <c r="C528" s="370" t="s">
        <v>688</v>
      </c>
      <c r="D528" s="370" t="s">
        <v>40</v>
      </c>
      <c r="E528" s="403" t="s">
        <v>754</v>
      </c>
      <c r="F528" s="380">
        <v>3000019995</v>
      </c>
      <c r="G528" s="189"/>
      <c r="H528" s="13"/>
      <c r="I528" s="185"/>
      <c r="J528" s="185"/>
      <c r="K528" s="185"/>
      <c r="L528" s="185"/>
      <c r="M528" s="185"/>
      <c r="N528" s="185"/>
      <c r="O528" s="7"/>
      <c r="P528" s="7"/>
      <c r="Q528" s="7"/>
      <c r="R528" s="7"/>
      <c r="S528" s="14">
        <f t="shared" ref="S528:S537" si="319">SUM(G528,H528,I528,J528,K528,L528,M528,N528,O528,P528,Q528,R528)</f>
        <v>0</v>
      </c>
      <c r="T528" s="179"/>
      <c r="U528" s="189"/>
      <c r="V528" s="13"/>
      <c r="W528" s="185"/>
      <c r="X528" s="185"/>
      <c r="Y528" s="185"/>
      <c r="Z528" s="185"/>
      <c r="AA528" s="185"/>
      <c r="AB528" s="185"/>
      <c r="AC528" s="7"/>
      <c r="AD528" s="7"/>
      <c r="AE528" s="7"/>
      <c r="AF528" s="7"/>
      <c r="AG528" s="759">
        <f t="shared" ref="AG528:AG537" si="320">SUM(U528,V528,W528,X528,Y528,Z528,AA528,AB528,AC528,AD528,AE528,AF528)</f>
        <v>0</v>
      </c>
      <c r="AH528" s="853">
        <v>3000019995</v>
      </c>
      <c r="AI528" s="189"/>
      <c r="AJ528" s="810"/>
      <c r="AK528" s="758"/>
      <c r="AL528" s="758">
        <v>0</v>
      </c>
      <c r="AM528" s="758"/>
      <c r="AN528" s="758"/>
      <c r="AO528" s="758">
        <v>0</v>
      </c>
      <c r="AP528" s="758">
        <v>2525500</v>
      </c>
      <c r="AQ528" s="518">
        <v>0</v>
      </c>
      <c r="AR528" s="813">
        <v>2535000</v>
      </c>
      <c r="AS528" s="813">
        <v>0</v>
      </c>
      <c r="AT528" s="813">
        <v>0</v>
      </c>
      <c r="AU528" s="518">
        <f t="shared" ref="AU528:AU537" si="321">BI528</f>
        <v>0</v>
      </c>
      <c r="AV528" s="518">
        <f t="shared" ref="AV528:AV537" si="322">BJ528</f>
        <v>0</v>
      </c>
      <c r="AW528" s="518">
        <f t="shared" ref="AW528:AW537" si="323">BK528</f>
        <v>0</v>
      </c>
      <c r="AX528" s="518">
        <f t="shared" si="303"/>
        <v>5060500</v>
      </c>
      <c r="AY528" s="853">
        <v>0</v>
      </c>
      <c r="AZ528" s="189"/>
      <c r="BA528" s="810"/>
      <c r="BB528" s="758"/>
      <c r="BC528" s="758">
        <v>0</v>
      </c>
      <c r="BD528" s="758"/>
      <c r="BE528" s="758"/>
      <c r="BF528" s="758">
        <v>0</v>
      </c>
      <c r="BG528" s="518">
        <f t="shared" ref="BG528:BG537" si="324">AP528</f>
        <v>2525500</v>
      </c>
      <c r="BH528" s="758">
        <v>0</v>
      </c>
      <c r="BI528" s="758">
        <v>0</v>
      </c>
      <c r="BJ528" s="758">
        <v>0</v>
      </c>
      <c r="BK528" s="758">
        <v>0</v>
      </c>
      <c r="BL528" s="759">
        <f t="shared" ref="BL528:BL537" si="325">SUM(AZ528,BA528,BB528,BC528,BD528,BE528,BF528,BG528,BH528,BI528,BJ528,BK528)</f>
        <v>2525500</v>
      </c>
      <c r="BN528" s="758">
        <v>0</v>
      </c>
      <c r="BO528" s="758">
        <v>0</v>
      </c>
      <c r="BP528" s="758">
        <v>0</v>
      </c>
      <c r="BQ528" s="758">
        <v>0</v>
      </c>
      <c r="BR528" s="758">
        <v>0</v>
      </c>
      <c r="BS528" s="758">
        <v>0</v>
      </c>
      <c r="BT528" s="758">
        <v>0</v>
      </c>
      <c r="BU528" s="758">
        <v>0</v>
      </c>
      <c r="BV528" s="758">
        <v>0</v>
      </c>
      <c r="BW528" s="758">
        <v>0</v>
      </c>
      <c r="BX528" s="758">
        <v>0</v>
      </c>
      <c r="BY528" s="758">
        <v>0</v>
      </c>
      <c r="BZ528" s="791">
        <v>0</v>
      </c>
      <c r="CB528" s="758">
        <v>0</v>
      </c>
      <c r="CC528" s="758">
        <v>0</v>
      </c>
      <c r="CD528" s="758">
        <v>0</v>
      </c>
      <c r="CE528" s="758">
        <v>0</v>
      </c>
      <c r="CF528" s="758">
        <v>0</v>
      </c>
      <c r="CG528" s="758">
        <v>0</v>
      </c>
      <c r="CH528" s="758">
        <v>0</v>
      </c>
      <c r="CI528" s="758">
        <v>0</v>
      </c>
      <c r="CJ528" s="758">
        <v>0</v>
      </c>
      <c r="CK528" s="758">
        <v>0</v>
      </c>
      <c r="CL528" s="758">
        <v>0</v>
      </c>
      <c r="CM528" s="758">
        <v>0</v>
      </c>
      <c r="CN528" s="791">
        <v>0</v>
      </c>
      <c r="CP528" s="653"/>
      <c r="CQ528" s="653"/>
      <c r="CR528" s="524"/>
      <c r="CS528" s="653"/>
      <c r="CT528" s="524"/>
      <c r="CU528" s="653"/>
      <c r="CV528" s="524"/>
      <c r="CW528" s="653"/>
      <c r="CX528" s="524"/>
      <c r="CY528" s="653"/>
      <c r="CZ528" s="524"/>
      <c r="DA528" s="653"/>
      <c r="DB528" s="524"/>
      <c r="DC528" s="653">
        <v>0</v>
      </c>
      <c r="DD528" s="524"/>
      <c r="DE528" s="758"/>
      <c r="DF528" s="524"/>
      <c r="DG528" s="757"/>
      <c r="DH528" s="758"/>
      <c r="DI528" s="524"/>
      <c r="DJ528" s="757"/>
      <c r="DK528" s="758"/>
      <c r="DL528" s="524"/>
      <c r="DM528" s="757"/>
      <c r="DN528" s="758"/>
      <c r="DO528" s="524"/>
      <c r="DP528" s="757"/>
      <c r="DQ528" s="493">
        <f t="shared" si="314"/>
        <v>0</v>
      </c>
      <c r="DR528" s="479">
        <f t="shared" si="316"/>
        <v>0</v>
      </c>
      <c r="DS528" s="1019"/>
      <c r="DT528" s="1019"/>
      <c r="DU528" s="1019"/>
      <c r="DV528" s="1019"/>
      <c r="DW528" s="1019"/>
      <c r="DX528" s="1019"/>
      <c r="DY528" s="1019"/>
      <c r="DZ528" s="1019"/>
      <c r="EA528" s="1019"/>
      <c r="EB528" s="1019"/>
      <c r="EC528" s="1019"/>
      <c r="ED528" s="1019"/>
      <c r="EE528" s="1119">
        <f t="shared" si="315"/>
        <v>0</v>
      </c>
      <c r="EF528" s="443">
        <f>EE528*1.17</f>
        <v>0</v>
      </c>
      <c r="EG528" s="443">
        <f t="shared" ref="EG528:EG537" si="326">EF528*1.08</f>
        <v>0</v>
      </c>
      <c r="EH528" s="443">
        <f t="shared" ref="EH528:EI537" si="327">EG528*1.09</f>
        <v>0</v>
      </c>
      <c r="EI528" s="443">
        <f t="shared" si="327"/>
        <v>0</v>
      </c>
      <c r="EJ528" s="367">
        <v>3000019995</v>
      </c>
      <c r="EL528" s="177"/>
      <c r="EM528" s="177"/>
      <c r="EN528" s="177"/>
    </row>
    <row r="529" spans="1:144" outlineLevel="2">
      <c r="A529" s="367" t="s">
        <v>687</v>
      </c>
      <c r="B529" s="378"/>
      <c r="C529" s="370" t="s">
        <v>688</v>
      </c>
      <c r="D529" s="370" t="s">
        <v>40</v>
      </c>
      <c r="E529" s="403" t="s">
        <v>755</v>
      </c>
      <c r="F529" s="380">
        <v>3000019893</v>
      </c>
      <c r="G529" s="189"/>
      <c r="H529" s="13"/>
      <c r="I529" s="185"/>
      <c r="J529" s="185"/>
      <c r="K529" s="185"/>
      <c r="L529" s="185"/>
      <c r="M529" s="185"/>
      <c r="N529" s="185"/>
      <c r="O529" s="7"/>
      <c r="P529" s="7"/>
      <c r="Q529" s="7"/>
      <c r="R529" s="7"/>
      <c r="S529" s="14">
        <f t="shared" si="319"/>
        <v>0</v>
      </c>
      <c r="T529" s="179"/>
      <c r="U529" s="189"/>
      <c r="V529" s="13"/>
      <c r="W529" s="185"/>
      <c r="X529" s="185"/>
      <c r="Y529" s="185"/>
      <c r="Z529" s="185"/>
      <c r="AA529" s="185"/>
      <c r="AB529" s="185"/>
      <c r="AC529" s="7"/>
      <c r="AD529" s="7"/>
      <c r="AE529" s="7"/>
      <c r="AF529" s="7"/>
      <c r="AG529" s="759">
        <f t="shared" si="320"/>
        <v>0</v>
      </c>
      <c r="AH529" s="853">
        <v>3000019893</v>
      </c>
      <c r="AI529" s="189"/>
      <c r="AJ529" s="810"/>
      <c r="AK529" s="758"/>
      <c r="AL529" s="758">
        <v>0</v>
      </c>
      <c r="AM529" s="758"/>
      <c r="AN529" s="758"/>
      <c r="AO529" s="758">
        <v>2398000</v>
      </c>
      <c r="AP529" s="758">
        <v>0</v>
      </c>
      <c r="AQ529" s="518">
        <v>0</v>
      </c>
      <c r="AR529" s="518"/>
      <c r="AS529" s="518"/>
      <c r="AT529" s="518"/>
      <c r="AU529" s="518">
        <f t="shared" si="321"/>
        <v>0</v>
      </c>
      <c r="AV529" s="518">
        <f t="shared" si="322"/>
        <v>0</v>
      </c>
      <c r="AW529" s="518">
        <f t="shared" si="323"/>
        <v>0</v>
      </c>
      <c r="AX529" s="518">
        <f t="shared" si="303"/>
        <v>2398000</v>
      </c>
      <c r="AY529" s="853">
        <v>0</v>
      </c>
      <c r="AZ529" s="189"/>
      <c r="BA529" s="810"/>
      <c r="BB529" s="758"/>
      <c r="BC529" s="758">
        <v>0</v>
      </c>
      <c r="BD529" s="758"/>
      <c r="BE529" s="758"/>
      <c r="BF529" s="758">
        <v>2398000</v>
      </c>
      <c r="BG529" s="518">
        <f t="shared" si="324"/>
        <v>0</v>
      </c>
      <c r="BH529" s="758">
        <v>0</v>
      </c>
      <c r="BI529" s="758">
        <v>0</v>
      </c>
      <c r="BJ529" s="758">
        <v>0</v>
      </c>
      <c r="BK529" s="758">
        <v>0</v>
      </c>
      <c r="BL529" s="759">
        <f t="shared" si="325"/>
        <v>2398000</v>
      </c>
      <c r="BN529" s="758">
        <v>0</v>
      </c>
      <c r="BO529" s="758">
        <v>0</v>
      </c>
      <c r="BP529" s="758">
        <v>0</v>
      </c>
      <c r="BQ529" s="758">
        <v>0</v>
      </c>
      <c r="BR529" s="758">
        <v>0</v>
      </c>
      <c r="BS529" s="758">
        <v>0</v>
      </c>
      <c r="BT529" s="758">
        <v>0</v>
      </c>
      <c r="BU529" s="758">
        <v>0</v>
      </c>
      <c r="BV529" s="758">
        <v>0</v>
      </c>
      <c r="BW529" s="758">
        <v>0</v>
      </c>
      <c r="BX529" s="758">
        <v>0</v>
      </c>
      <c r="BY529" s="758">
        <v>0</v>
      </c>
      <c r="BZ529" s="791">
        <v>0</v>
      </c>
      <c r="CB529" s="758">
        <v>0</v>
      </c>
      <c r="CC529" s="758">
        <v>0</v>
      </c>
      <c r="CD529" s="758">
        <v>0</v>
      </c>
      <c r="CE529" s="758">
        <v>0</v>
      </c>
      <c r="CF529" s="758">
        <v>0</v>
      </c>
      <c r="CG529" s="758">
        <v>0</v>
      </c>
      <c r="CH529" s="758">
        <v>0</v>
      </c>
      <c r="CI529" s="758">
        <v>0</v>
      </c>
      <c r="CJ529" s="758">
        <v>0</v>
      </c>
      <c r="CK529" s="758">
        <v>0</v>
      </c>
      <c r="CL529" s="758">
        <v>0</v>
      </c>
      <c r="CM529" s="758">
        <v>0</v>
      </c>
      <c r="CN529" s="791">
        <v>0</v>
      </c>
      <c r="CP529" s="653"/>
      <c r="CQ529" s="653"/>
      <c r="CR529" s="524"/>
      <c r="CS529" s="653"/>
      <c r="CT529" s="524"/>
      <c r="CU529" s="653"/>
      <c r="CV529" s="524"/>
      <c r="CW529" s="653"/>
      <c r="CX529" s="524"/>
      <c r="CY529" s="653"/>
      <c r="CZ529" s="524"/>
      <c r="DA529" s="653"/>
      <c r="DB529" s="524"/>
      <c r="DC529" s="653">
        <v>0</v>
      </c>
      <c r="DD529" s="524"/>
      <c r="DE529" s="758"/>
      <c r="DF529" s="524"/>
      <c r="DG529" s="757"/>
      <c r="DH529" s="758"/>
      <c r="DI529" s="524"/>
      <c r="DJ529" s="757"/>
      <c r="DK529" s="758"/>
      <c r="DL529" s="524"/>
      <c r="DM529" s="757"/>
      <c r="DN529" s="758"/>
      <c r="DO529" s="524"/>
      <c r="DP529" s="757"/>
      <c r="DQ529" s="493">
        <f t="shared" si="314"/>
        <v>0</v>
      </c>
      <c r="DR529" s="479">
        <f t="shared" si="316"/>
        <v>0</v>
      </c>
      <c r="DS529" s="1019"/>
      <c r="DT529" s="1019"/>
      <c r="DU529" s="1019"/>
      <c r="DV529" s="1019"/>
      <c r="DW529" s="1019"/>
      <c r="DX529" s="1019"/>
      <c r="DY529" s="1019"/>
      <c r="DZ529" s="1019"/>
      <c r="EA529" s="1019"/>
      <c r="EB529" s="1019"/>
      <c r="EC529" s="1019"/>
      <c r="ED529" s="1019"/>
      <c r="EE529" s="1119">
        <f t="shared" si="315"/>
        <v>0</v>
      </c>
      <c r="EF529" s="443">
        <f>EE529*1.17</f>
        <v>0</v>
      </c>
      <c r="EG529" s="443">
        <f t="shared" si="326"/>
        <v>0</v>
      </c>
      <c r="EH529" s="443">
        <f t="shared" si="327"/>
        <v>0</v>
      </c>
      <c r="EI529" s="443">
        <f t="shared" si="327"/>
        <v>0</v>
      </c>
      <c r="EJ529" s="367">
        <v>3000019893</v>
      </c>
      <c r="EL529" s="177"/>
      <c r="EM529" s="177"/>
      <c r="EN529" s="177"/>
    </row>
    <row r="530" spans="1:144" outlineLevel="2">
      <c r="A530" s="367" t="s">
        <v>291</v>
      </c>
      <c r="B530" s="378"/>
      <c r="C530" s="370" t="s">
        <v>688</v>
      </c>
      <c r="D530" s="370" t="s">
        <v>40</v>
      </c>
      <c r="E530" s="403" t="s">
        <v>756</v>
      </c>
      <c r="F530" s="380">
        <v>3000019699</v>
      </c>
      <c r="G530" s="189"/>
      <c r="H530" s="13"/>
      <c r="I530" s="185"/>
      <c r="J530" s="185"/>
      <c r="K530" s="185"/>
      <c r="L530" s="194"/>
      <c r="M530" s="185"/>
      <c r="N530" s="185"/>
      <c r="O530" s="7"/>
      <c r="P530" s="7"/>
      <c r="Q530" s="7"/>
      <c r="R530" s="7"/>
      <c r="S530" s="14">
        <f t="shared" si="319"/>
        <v>0</v>
      </c>
      <c r="T530" s="179"/>
      <c r="U530" s="189"/>
      <c r="V530" s="13"/>
      <c r="W530" s="185"/>
      <c r="X530" s="185"/>
      <c r="Y530" s="185"/>
      <c r="Z530" s="194"/>
      <c r="AA530" s="185"/>
      <c r="AB530" s="185"/>
      <c r="AC530" s="7"/>
      <c r="AD530" s="7"/>
      <c r="AE530" s="7"/>
      <c r="AF530" s="7"/>
      <c r="AG530" s="759">
        <f t="shared" si="320"/>
        <v>0</v>
      </c>
      <c r="AH530" s="853">
        <v>3000019699</v>
      </c>
      <c r="AI530" s="189"/>
      <c r="AJ530" s="810"/>
      <c r="AK530" s="758"/>
      <c r="AL530" s="758">
        <v>0</v>
      </c>
      <c r="AM530" s="758">
        <v>2476585</v>
      </c>
      <c r="AN530" s="524">
        <v>0</v>
      </c>
      <c r="AO530" s="758">
        <v>3994000</v>
      </c>
      <c r="AP530" s="758">
        <v>3025500</v>
      </c>
      <c r="AQ530" s="518">
        <v>0</v>
      </c>
      <c r="AR530" s="518"/>
      <c r="AS530" s="518"/>
      <c r="AT530" s="518"/>
      <c r="AU530" s="518">
        <f t="shared" si="321"/>
        <v>0</v>
      </c>
      <c r="AV530" s="518">
        <f t="shared" si="322"/>
        <v>0</v>
      </c>
      <c r="AW530" s="518">
        <f t="shared" si="323"/>
        <v>0</v>
      </c>
      <c r="AX530" s="518">
        <f t="shared" si="303"/>
        <v>9496085</v>
      </c>
      <c r="AY530" s="853">
        <v>0</v>
      </c>
      <c r="AZ530" s="189"/>
      <c r="BA530" s="810"/>
      <c r="BB530" s="758"/>
      <c r="BC530" s="758">
        <v>0</v>
      </c>
      <c r="BD530" s="758">
        <v>2476585</v>
      </c>
      <c r="BE530" s="524">
        <v>0</v>
      </c>
      <c r="BF530" s="758">
        <v>3994000</v>
      </c>
      <c r="BG530" s="518">
        <f t="shared" si="324"/>
        <v>3025500</v>
      </c>
      <c r="BH530" s="758">
        <v>0</v>
      </c>
      <c r="BI530" s="758">
        <v>0</v>
      </c>
      <c r="BJ530" s="758">
        <v>0</v>
      </c>
      <c r="BK530" s="758">
        <v>0</v>
      </c>
      <c r="BL530" s="759">
        <f t="shared" si="325"/>
        <v>9496085</v>
      </c>
      <c r="BN530" s="758">
        <v>0</v>
      </c>
      <c r="BO530" s="758">
        <v>0</v>
      </c>
      <c r="BP530" s="758">
        <v>0</v>
      </c>
      <c r="BQ530" s="758">
        <v>0</v>
      </c>
      <c r="BR530" s="758">
        <v>0</v>
      </c>
      <c r="BS530" s="758">
        <v>0</v>
      </c>
      <c r="BT530" s="758">
        <v>0</v>
      </c>
      <c r="BU530" s="758">
        <v>0</v>
      </c>
      <c r="BV530" s="758">
        <v>0</v>
      </c>
      <c r="BW530" s="758">
        <v>0</v>
      </c>
      <c r="BX530" s="758">
        <v>0</v>
      </c>
      <c r="BY530" s="758">
        <v>0</v>
      </c>
      <c r="BZ530" s="791">
        <v>0</v>
      </c>
      <c r="CB530" s="758">
        <v>0</v>
      </c>
      <c r="CC530" s="758">
        <v>0</v>
      </c>
      <c r="CD530" s="758">
        <v>0</v>
      </c>
      <c r="CE530" s="758">
        <v>0</v>
      </c>
      <c r="CF530" s="758">
        <v>0</v>
      </c>
      <c r="CG530" s="758">
        <v>0</v>
      </c>
      <c r="CH530" s="758">
        <v>0</v>
      </c>
      <c r="CI530" s="758">
        <v>0</v>
      </c>
      <c r="CJ530" s="758">
        <v>0</v>
      </c>
      <c r="CK530" s="758">
        <v>0</v>
      </c>
      <c r="CL530" s="758">
        <v>0</v>
      </c>
      <c r="CM530" s="758">
        <v>0</v>
      </c>
      <c r="CN530" s="791">
        <v>0</v>
      </c>
      <c r="CP530" s="653"/>
      <c r="CQ530" s="653"/>
      <c r="CR530" s="524"/>
      <c r="CS530" s="653"/>
      <c r="CT530" s="524"/>
      <c r="CU530" s="653"/>
      <c r="CV530" s="524"/>
      <c r="CW530" s="653"/>
      <c r="CX530" s="524"/>
      <c r="CY530" s="653"/>
      <c r="CZ530" s="524"/>
      <c r="DA530" s="653"/>
      <c r="DB530" s="524"/>
      <c r="DC530" s="653">
        <v>0</v>
      </c>
      <c r="DD530" s="524"/>
      <c r="DE530" s="758"/>
      <c r="DF530" s="524"/>
      <c r="DG530" s="757"/>
      <c r="DH530" s="758"/>
      <c r="DI530" s="524"/>
      <c r="DJ530" s="757"/>
      <c r="DK530" s="758"/>
      <c r="DL530" s="524"/>
      <c r="DM530" s="757"/>
      <c r="DN530" s="758"/>
      <c r="DO530" s="524"/>
      <c r="DP530" s="757"/>
      <c r="DQ530" s="493">
        <f t="shared" si="314"/>
        <v>0</v>
      </c>
      <c r="DR530" s="479">
        <f t="shared" si="316"/>
        <v>0</v>
      </c>
      <c r="DS530" s="1019"/>
      <c r="DT530" s="1019"/>
      <c r="DU530" s="1019"/>
      <c r="DV530" s="1019"/>
      <c r="DW530" s="1019"/>
      <c r="DX530" s="1019"/>
      <c r="DY530" s="1019"/>
      <c r="DZ530" s="1019"/>
      <c r="EA530" s="1019"/>
      <c r="EB530" s="1019"/>
      <c r="EC530" s="1019"/>
      <c r="ED530" s="1019"/>
      <c r="EE530" s="1119">
        <f t="shared" si="315"/>
        <v>0</v>
      </c>
      <c r="EF530" s="443">
        <f>EE530*1.17</f>
        <v>0</v>
      </c>
      <c r="EG530" s="443">
        <f t="shared" si="326"/>
        <v>0</v>
      </c>
      <c r="EH530" s="443">
        <f t="shared" si="327"/>
        <v>0</v>
      </c>
      <c r="EI530" s="443">
        <f t="shared" si="327"/>
        <v>0</v>
      </c>
      <c r="EJ530" s="367">
        <v>3000019699</v>
      </c>
      <c r="EL530" s="177"/>
      <c r="EM530" s="177"/>
      <c r="EN530" s="177"/>
    </row>
    <row r="531" spans="1:144" outlineLevel="2">
      <c r="A531" s="367" t="s">
        <v>687</v>
      </c>
      <c r="B531" s="378"/>
      <c r="C531" s="370" t="s">
        <v>688</v>
      </c>
      <c r="D531" s="370" t="s">
        <v>40</v>
      </c>
      <c r="E531" s="383" t="s">
        <v>757</v>
      </c>
      <c r="F531" s="380">
        <v>3000016970</v>
      </c>
      <c r="G531" s="189"/>
      <c r="H531" s="13"/>
      <c r="I531" s="27"/>
      <c r="J531" s="185"/>
      <c r="K531" s="185"/>
      <c r="L531" s="194"/>
      <c r="M531" s="185"/>
      <c r="N531" s="185"/>
      <c r="O531" s="7"/>
      <c r="P531" s="7"/>
      <c r="Q531" s="7"/>
      <c r="R531" s="7"/>
      <c r="S531" s="14">
        <f t="shared" si="319"/>
        <v>0</v>
      </c>
      <c r="T531" s="179"/>
      <c r="U531" s="189"/>
      <c r="V531" s="13"/>
      <c r="W531" s="27"/>
      <c r="X531" s="185"/>
      <c r="Y531" s="185"/>
      <c r="Z531" s="194"/>
      <c r="AA531" s="185"/>
      <c r="AB531" s="185"/>
      <c r="AC531" s="7"/>
      <c r="AD531" s="7"/>
      <c r="AE531" s="7"/>
      <c r="AF531" s="7"/>
      <c r="AG531" s="759">
        <f t="shared" si="320"/>
        <v>0</v>
      </c>
      <c r="AH531" s="853">
        <v>3000016970</v>
      </c>
      <c r="AI531" s="189"/>
      <c r="AJ531" s="810"/>
      <c r="AK531" s="858">
        <v>3585500</v>
      </c>
      <c r="AL531" s="758">
        <v>0</v>
      </c>
      <c r="AM531" s="758">
        <v>0</v>
      </c>
      <c r="AN531" s="524">
        <v>0</v>
      </c>
      <c r="AO531" s="758">
        <v>0</v>
      </c>
      <c r="AP531" s="758">
        <v>0</v>
      </c>
      <c r="AQ531" s="518">
        <v>0</v>
      </c>
      <c r="AR531" s="518"/>
      <c r="AS531" s="518"/>
      <c r="AT531" s="518"/>
      <c r="AU531" s="518">
        <f t="shared" si="321"/>
        <v>0</v>
      </c>
      <c r="AV531" s="518">
        <f t="shared" si="322"/>
        <v>0</v>
      </c>
      <c r="AW531" s="518">
        <f t="shared" si="323"/>
        <v>0</v>
      </c>
      <c r="AX531" s="518">
        <f t="shared" si="303"/>
        <v>3585500</v>
      </c>
      <c r="AY531" s="853">
        <v>0</v>
      </c>
      <c r="AZ531" s="189"/>
      <c r="BA531" s="810"/>
      <c r="BB531" s="858">
        <v>3585500</v>
      </c>
      <c r="BC531" s="758">
        <v>0</v>
      </c>
      <c r="BD531" s="758">
        <v>0</v>
      </c>
      <c r="BE531" s="524">
        <v>0</v>
      </c>
      <c r="BF531" s="758">
        <v>0</v>
      </c>
      <c r="BG531" s="518">
        <f t="shared" si="324"/>
        <v>0</v>
      </c>
      <c r="BH531" s="758">
        <v>0</v>
      </c>
      <c r="BI531" s="758">
        <v>0</v>
      </c>
      <c r="BJ531" s="758">
        <v>0</v>
      </c>
      <c r="BK531" s="758">
        <v>0</v>
      </c>
      <c r="BL531" s="759">
        <f t="shared" si="325"/>
        <v>3585500</v>
      </c>
      <c r="BN531" s="758">
        <v>0</v>
      </c>
      <c r="BO531" s="758">
        <v>0</v>
      </c>
      <c r="BP531" s="758">
        <v>0</v>
      </c>
      <c r="BQ531" s="758">
        <v>0</v>
      </c>
      <c r="BR531" s="758">
        <v>0</v>
      </c>
      <c r="BS531" s="758">
        <v>0</v>
      </c>
      <c r="BT531" s="758">
        <v>0</v>
      </c>
      <c r="BU531" s="758">
        <v>0</v>
      </c>
      <c r="BV531" s="758">
        <v>0</v>
      </c>
      <c r="BW531" s="758">
        <v>0</v>
      </c>
      <c r="BX531" s="758">
        <v>0</v>
      </c>
      <c r="BY531" s="758">
        <v>0</v>
      </c>
      <c r="BZ531" s="791">
        <v>0</v>
      </c>
      <c r="CB531" s="758">
        <v>0</v>
      </c>
      <c r="CC531" s="758">
        <v>0</v>
      </c>
      <c r="CD531" s="758">
        <v>0</v>
      </c>
      <c r="CE531" s="758">
        <v>0</v>
      </c>
      <c r="CF531" s="758">
        <v>0</v>
      </c>
      <c r="CG531" s="758">
        <v>0</v>
      </c>
      <c r="CH531" s="758">
        <v>0</v>
      </c>
      <c r="CI531" s="758">
        <v>0</v>
      </c>
      <c r="CJ531" s="758">
        <v>0</v>
      </c>
      <c r="CK531" s="758">
        <v>0</v>
      </c>
      <c r="CL531" s="758">
        <v>0</v>
      </c>
      <c r="CM531" s="758">
        <v>0</v>
      </c>
      <c r="CN531" s="791">
        <v>0</v>
      </c>
      <c r="CP531" s="653"/>
      <c r="CQ531" s="653">
        <v>3886033</v>
      </c>
      <c r="CR531" s="524">
        <v>3864000</v>
      </c>
      <c r="CS531" s="653"/>
      <c r="CT531" s="524"/>
      <c r="CU531" s="653"/>
      <c r="CV531" s="524"/>
      <c r="CW531" s="653"/>
      <c r="CX531" s="524"/>
      <c r="CY531" s="653"/>
      <c r="CZ531" s="524"/>
      <c r="DA531" s="653"/>
      <c r="DB531" s="524"/>
      <c r="DC531" s="653">
        <v>6755780</v>
      </c>
      <c r="DD531" s="524"/>
      <c r="DE531" s="758"/>
      <c r="DF531" s="524"/>
      <c r="DG531" s="757"/>
      <c r="DH531" s="758"/>
      <c r="DI531" s="524"/>
      <c r="DJ531" s="757"/>
      <c r="DK531" s="758"/>
      <c r="DL531" s="524"/>
      <c r="DM531" s="757"/>
      <c r="DN531" s="758"/>
      <c r="DO531" s="524"/>
      <c r="DP531" s="757"/>
      <c r="DQ531" s="493">
        <f t="shared" si="314"/>
        <v>10641813</v>
      </c>
      <c r="DR531" s="479">
        <f t="shared" si="316"/>
        <v>3886033</v>
      </c>
      <c r="DS531" s="1019"/>
      <c r="DT531" s="1019"/>
      <c r="DU531" s="1019"/>
      <c r="DV531" s="1019"/>
      <c r="DW531" s="1019"/>
      <c r="DX531" s="1019"/>
      <c r="DY531" s="1019"/>
      <c r="DZ531" s="1019"/>
      <c r="EA531" s="1019"/>
      <c r="EB531" s="1019"/>
      <c r="EC531" s="1019"/>
      <c r="ED531" s="1019"/>
      <c r="EE531" s="1119">
        <f t="shared" si="315"/>
        <v>0</v>
      </c>
      <c r="EF531" s="443">
        <f>EE531*1.17</f>
        <v>0</v>
      </c>
      <c r="EG531" s="443">
        <f t="shared" si="326"/>
        <v>0</v>
      </c>
      <c r="EH531" s="443">
        <f t="shared" si="327"/>
        <v>0</v>
      </c>
      <c r="EI531" s="443">
        <f t="shared" si="327"/>
        <v>0</v>
      </c>
      <c r="EJ531" s="367">
        <v>3000016970</v>
      </c>
      <c r="EL531" s="177"/>
      <c r="EM531" s="177"/>
      <c r="EN531" s="177"/>
    </row>
    <row r="532" spans="1:144" outlineLevel="2">
      <c r="A532" s="367" t="s">
        <v>687</v>
      </c>
      <c r="B532" s="378"/>
      <c r="C532" s="370" t="s">
        <v>688</v>
      </c>
      <c r="D532" s="370" t="s">
        <v>40</v>
      </c>
      <c r="E532" s="383" t="s">
        <v>89</v>
      </c>
      <c r="F532" s="380">
        <v>8000000018</v>
      </c>
      <c r="G532" s="189"/>
      <c r="H532" s="30"/>
      <c r="I532" s="185"/>
      <c r="J532" s="185"/>
      <c r="K532" s="185"/>
      <c r="L532" s="194"/>
      <c r="M532" s="185"/>
      <c r="N532" s="185"/>
      <c r="O532" s="7"/>
      <c r="P532" s="7"/>
      <c r="Q532" s="7"/>
      <c r="R532" s="7"/>
      <c r="S532" s="14">
        <f t="shared" si="319"/>
        <v>0</v>
      </c>
      <c r="T532" s="179"/>
      <c r="U532" s="189"/>
      <c r="V532" s="30"/>
      <c r="W532" s="185"/>
      <c r="X532" s="185"/>
      <c r="Y532" s="185"/>
      <c r="Z532" s="194"/>
      <c r="AA532" s="185"/>
      <c r="AB532" s="185"/>
      <c r="AC532" s="7"/>
      <c r="AD532" s="7"/>
      <c r="AE532" s="7"/>
      <c r="AF532" s="7"/>
      <c r="AG532" s="759">
        <f t="shared" si="320"/>
        <v>0</v>
      </c>
      <c r="AH532" s="853">
        <v>8000000018</v>
      </c>
      <c r="AI532" s="189"/>
      <c r="AJ532" s="859">
        <v>31780000</v>
      </c>
      <c r="AK532" s="758">
        <v>15890000</v>
      </c>
      <c r="AL532" s="758">
        <v>31780000</v>
      </c>
      <c r="AM532" s="758">
        <v>0</v>
      </c>
      <c r="AN532" s="524">
        <v>0</v>
      </c>
      <c r="AO532" s="758">
        <v>13620000</v>
      </c>
      <c r="AP532" s="758">
        <v>31780000</v>
      </c>
      <c r="AQ532" s="518">
        <v>13620000</v>
      </c>
      <c r="AR532" s="813">
        <v>29360000</v>
      </c>
      <c r="AS532" s="813">
        <v>17260000</v>
      </c>
      <c r="AT532" s="813">
        <v>17760000</v>
      </c>
      <c r="AU532" s="518">
        <f t="shared" si="321"/>
        <v>10000000</v>
      </c>
      <c r="AV532" s="518">
        <f t="shared" si="322"/>
        <v>10000000</v>
      </c>
      <c r="AW532" s="518">
        <f t="shared" si="323"/>
        <v>10000000</v>
      </c>
      <c r="AX532" s="518">
        <f t="shared" si="303"/>
        <v>202850000</v>
      </c>
      <c r="AY532" s="853" t="e">
        <v>#N/A</v>
      </c>
      <c r="AZ532" s="189"/>
      <c r="BA532" s="859">
        <v>31780000</v>
      </c>
      <c r="BB532" s="758">
        <v>15890000</v>
      </c>
      <c r="BC532" s="758">
        <v>31780000</v>
      </c>
      <c r="BD532" s="758">
        <v>0</v>
      </c>
      <c r="BE532" s="524">
        <v>0</v>
      </c>
      <c r="BF532" s="758">
        <v>13620000</v>
      </c>
      <c r="BG532" s="518">
        <f t="shared" si="324"/>
        <v>31780000</v>
      </c>
      <c r="BH532" s="758">
        <v>10000000</v>
      </c>
      <c r="BI532" s="758">
        <v>10000000</v>
      </c>
      <c r="BJ532" s="758">
        <v>10000000</v>
      </c>
      <c r="BK532" s="758">
        <v>10000000</v>
      </c>
      <c r="BL532" s="759">
        <f t="shared" si="325"/>
        <v>164850000</v>
      </c>
      <c r="BN532" s="758">
        <v>20000000</v>
      </c>
      <c r="BO532" s="758">
        <v>20000000</v>
      </c>
      <c r="BP532" s="758">
        <v>20000000</v>
      </c>
      <c r="BQ532" s="758">
        <v>20000000</v>
      </c>
      <c r="BR532" s="758">
        <v>20000000</v>
      </c>
      <c r="BS532" s="758">
        <v>20000000</v>
      </c>
      <c r="BT532" s="758">
        <v>20000000</v>
      </c>
      <c r="BU532" s="758">
        <v>20000000</v>
      </c>
      <c r="BV532" s="758">
        <v>20000000</v>
      </c>
      <c r="BW532" s="758">
        <v>20000000</v>
      </c>
      <c r="BX532" s="758">
        <v>20000000</v>
      </c>
      <c r="BY532" s="758">
        <v>20000000</v>
      </c>
      <c r="BZ532" s="791">
        <v>240000000</v>
      </c>
      <c r="CB532" s="758">
        <v>20000000</v>
      </c>
      <c r="CC532" s="758">
        <v>20000000</v>
      </c>
      <c r="CD532" s="758">
        <v>20000000</v>
      </c>
      <c r="CE532" s="758">
        <v>20000000</v>
      </c>
      <c r="CF532" s="758">
        <v>20000000</v>
      </c>
      <c r="CG532" s="758">
        <v>20000000</v>
      </c>
      <c r="CH532" s="758">
        <v>20000000</v>
      </c>
      <c r="CI532" s="758">
        <v>20000000</v>
      </c>
      <c r="CJ532" s="758">
        <v>20000000</v>
      </c>
      <c r="CK532" s="758">
        <v>20000000</v>
      </c>
      <c r="CL532" s="758">
        <v>20000000</v>
      </c>
      <c r="CM532" s="758">
        <v>20000000</v>
      </c>
      <c r="CN532" s="791">
        <v>240000000</v>
      </c>
      <c r="CP532" s="653">
        <v>59940000</v>
      </c>
      <c r="CQ532" s="653">
        <v>15540000</v>
      </c>
      <c r="CR532" s="524">
        <v>15000000</v>
      </c>
      <c r="CS532" s="653">
        <v>17760000</v>
      </c>
      <c r="CT532" s="524">
        <v>20000000</v>
      </c>
      <c r="CU532" s="653">
        <v>15540000</v>
      </c>
      <c r="CV532" s="524">
        <v>20000000</v>
      </c>
      <c r="CW532" s="653">
        <v>31080000</v>
      </c>
      <c r="CX532" s="524">
        <v>20000000</v>
      </c>
      <c r="CY532" s="653">
        <v>15540000</v>
      </c>
      <c r="CZ532" s="524">
        <v>20000000</v>
      </c>
      <c r="DA532" s="653">
        <v>31080000</v>
      </c>
      <c r="DB532" s="524">
        <v>20000000</v>
      </c>
      <c r="DC532" s="653">
        <v>37740000</v>
      </c>
      <c r="DD532" s="524">
        <v>20000000</v>
      </c>
      <c r="DE532" s="758"/>
      <c r="DF532" s="524">
        <v>20000000</v>
      </c>
      <c r="DG532" s="757">
        <v>20000000</v>
      </c>
      <c r="DH532" s="758"/>
      <c r="DI532" s="524">
        <v>20000000</v>
      </c>
      <c r="DJ532" s="757">
        <v>20000000</v>
      </c>
      <c r="DK532" s="758"/>
      <c r="DL532" s="524">
        <v>20000000</v>
      </c>
      <c r="DM532" s="757">
        <v>20000000</v>
      </c>
      <c r="DN532" s="758"/>
      <c r="DO532" s="524">
        <v>20000000</v>
      </c>
      <c r="DP532" s="757">
        <v>20000000</v>
      </c>
      <c r="DQ532" s="493">
        <f t="shared" si="314"/>
        <v>304220000</v>
      </c>
      <c r="DR532" s="479">
        <f t="shared" si="316"/>
        <v>268780000</v>
      </c>
      <c r="DS532" s="1019">
        <v>25000000</v>
      </c>
      <c r="DT532" s="1019">
        <v>25000000</v>
      </c>
      <c r="DU532" s="1019">
        <v>25000000</v>
      </c>
      <c r="DV532" s="1019">
        <v>25000000</v>
      </c>
      <c r="DW532" s="1019">
        <v>25000000</v>
      </c>
      <c r="DX532" s="1019">
        <v>25000000</v>
      </c>
      <c r="DY532" s="1019">
        <v>25000000</v>
      </c>
      <c r="DZ532" s="1019">
        <v>25000000</v>
      </c>
      <c r="EA532" s="1019">
        <v>25000000</v>
      </c>
      <c r="EB532" s="1019">
        <v>25000000</v>
      </c>
      <c r="EC532" s="1019">
        <v>25000000</v>
      </c>
      <c r="ED532" s="1019">
        <v>25000000</v>
      </c>
      <c r="EE532" s="1119">
        <f t="shared" si="315"/>
        <v>300000000</v>
      </c>
      <c r="EF532" s="443">
        <v>337000000</v>
      </c>
      <c r="EG532" s="443">
        <f t="shared" si="326"/>
        <v>363960000</v>
      </c>
      <c r="EH532" s="443">
        <f t="shared" si="327"/>
        <v>396716400</v>
      </c>
      <c r="EI532" s="443">
        <f t="shared" si="327"/>
        <v>432420876.00000006</v>
      </c>
      <c r="EJ532" s="367">
        <v>8000000018</v>
      </c>
      <c r="EL532" s="177"/>
      <c r="EM532" s="177"/>
      <c r="EN532" s="177"/>
    </row>
    <row r="533" spans="1:144" outlineLevel="2">
      <c r="A533" s="367" t="s">
        <v>291</v>
      </c>
      <c r="B533" s="378"/>
      <c r="C533" s="370" t="s">
        <v>688</v>
      </c>
      <c r="D533" s="370" t="s">
        <v>40</v>
      </c>
      <c r="E533" s="383" t="s">
        <v>758</v>
      </c>
      <c r="F533" s="380">
        <v>3000004248</v>
      </c>
      <c r="G533" s="189"/>
      <c r="H533" s="30"/>
      <c r="I533" s="185"/>
      <c r="J533" s="185"/>
      <c r="K533" s="185"/>
      <c r="L533" s="194"/>
      <c r="M533" s="185"/>
      <c r="N533" s="185"/>
      <c r="O533" s="7"/>
      <c r="P533" s="7"/>
      <c r="Q533" s="7"/>
      <c r="R533" s="7"/>
      <c r="S533" s="14">
        <f t="shared" si="319"/>
        <v>0</v>
      </c>
      <c r="T533" s="179"/>
      <c r="U533" s="189"/>
      <c r="V533" s="30"/>
      <c r="W533" s="185"/>
      <c r="X533" s="185"/>
      <c r="Y533" s="185"/>
      <c r="Z533" s="194"/>
      <c r="AA533" s="185"/>
      <c r="AB533" s="185"/>
      <c r="AC533" s="7"/>
      <c r="AD533" s="7"/>
      <c r="AE533" s="7"/>
      <c r="AF533" s="7"/>
      <c r="AG533" s="759">
        <f t="shared" si="320"/>
        <v>0</v>
      </c>
      <c r="AH533" s="853">
        <v>3000004248</v>
      </c>
      <c r="AI533" s="189"/>
      <c r="AJ533" s="859">
        <v>3199315</v>
      </c>
      <c r="AK533" s="758"/>
      <c r="AL533" s="758">
        <v>0</v>
      </c>
      <c r="AM533" s="758">
        <v>0</v>
      </c>
      <c r="AN533" s="524">
        <v>0</v>
      </c>
      <c r="AO533" s="758">
        <v>0</v>
      </c>
      <c r="AP533" s="758">
        <v>0</v>
      </c>
      <c r="AQ533" s="518">
        <v>0</v>
      </c>
      <c r="AR533" s="813">
        <v>3505500</v>
      </c>
      <c r="AS533" s="518"/>
      <c r="AT533" s="518"/>
      <c r="AU533" s="518">
        <f t="shared" si="321"/>
        <v>0</v>
      </c>
      <c r="AV533" s="518">
        <f t="shared" si="322"/>
        <v>0</v>
      </c>
      <c r="AW533" s="518">
        <f t="shared" si="323"/>
        <v>0</v>
      </c>
      <c r="AX533" s="518">
        <f t="shared" si="303"/>
        <v>6704815</v>
      </c>
      <c r="AY533" s="853">
        <v>0</v>
      </c>
      <c r="AZ533" s="189"/>
      <c r="BA533" s="859">
        <v>3199315</v>
      </c>
      <c r="BB533" s="758"/>
      <c r="BC533" s="758">
        <v>0</v>
      </c>
      <c r="BD533" s="758">
        <v>0</v>
      </c>
      <c r="BE533" s="524">
        <v>0</v>
      </c>
      <c r="BF533" s="758">
        <v>0</v>
      </c>
      <c r="BG533" s="518">
        <f t="shared" si="324"/>
        <v>0</v>
      </c>
      <c r="BH533" s="758">
        <v>0</v>
      </c>
      <c r="BI533" s="758">
        <v>0</v>
      </c>
      <c r="BJ533" s="758">
        <v>0</v>
      </c>
      <c r="BK533" s="758">
        <v>0</v>
      </c>
      <c r="BL533" s="759">
        <f t="shared" si="325"/>
        <v>3199315</v>
      </c>
      <c r="BN533" s="758">
        <v>0</v>
      </c>
      <c r="BO533" s="758">
        <v>0</v>
      </c>
      <c r="BP533" s="758">
        <v>0</v>
      </c>
      <c r="BQ533" s="758">
        <v>0</v>
      </c>
      <c r="BR533" s="758">
        <v>0</v>
      </c>
      <c r="BS533" s="758">
        <v>0</v>
      </c>
      <c r="BT533" s="758">
        <v>0</v>
      </c>
      <c r="BU533" s="758">
        <v>0</v>
      </c>
      <c r="BV533" s="758">
        <v>0</v>
      </c>
      <c r="BW533" s="758">
        <v>0</v>
      </c>
      <c r="BX533" s="758">
        <v>0</v>
      </c>
      <c r="BY533" s="758">
        <v>0</v>
      </c>
      <c r="BZ533" s="791">
        <v>0</v>
      </c>
      <c r="CB533" s="758">
        <v>0</v>
      </c>
      <c r="CC533" s="758">
        <v>0</v>
      </c>
      <c r="CD533" s="758">
        <v>0</v>
      </c>
      <c r="CE533" s="758">
        <v>0</v>
      </c>
      <c r="CF533" s="758">
        <v>0</v>
      </c>
      <c r="CG533" s="758">
        <v>0</v>
      </c>
      <c r="CH533" s="758">
        <v>0</v>
      </c>
      <c r="CI533" s="758">
        <v>0</v>
      </c>
      <c r="CJ533" s="758">
        <v>0</v>
      </c>
      <c r="CK533" s="758">
        <v>0</v>
      </c>
      <c r="CL533" s="758">
        <v>0</v>
      </c>
      <c r="CM533" s="758">
        <v>0</v>
      </c>
      <c r="CN533" s="791">
        <v>0</v>
      </c>
      <c r="CP533" s="653"/>
      <c r="CQ533" s="653"/>
      <c r="CR533" s="524"/>
      <c r="CS533" s="653"/>
      <c r="CT533" s="524"/>
      <c r="CU533" s="653"/>
      <c r="CV533" s="524"/>
      <c r="CW533" s="653"/>
      <c r="CX533" s="524"/>
      <c r="CY533" s="653"/>
      <c r="CZ533" s="524"/>
      <c r="DA533" s="653"/>
      <c r="DB533" s="524"/>
      <c r="DC533" s="653">
        <v>0</v>
      </c>
      <c r="DD533" s="524"/>
      <c r="DE533" s="758"/>
      <c r="DF533" s="524"/>
      <c r="DG533" s="757"/>
      <c r="DH533" s="758"/>
      <c r="DI533" s="524"/>
      <c r="DJ533" s="757"/>
      <c r="DK533" s="758"/>
      <c r="DL533" s="524"/>
      <c r="DM533" s="757"/>
      <c r="DN533" s="758"/>
      <c r="DO533" s="524"/>
      <c r="DP533" s="757"/>
      <c r="DQ533" s="493">
        <f t="shared" si="314"/>
        <v>0</v>
      </c>
      <c r="DR533" s="479">
        <f t="shared" si="316"/>
        <v>0</v>
      </c>
      <c r="DS533" s="1019"/>
      <c r="DT533" s="1019"/>
      <c r="DU533" s="1019"/>
      <c r="DV533" s="1019"/>
      <c r="DW533" s="1019"/>
      <c r="DX533" s="1019"/>
      <c r="DY533" s="1019"/>
      <c r="DZ533" s="1019"/>
      <c r="EA533" s="1019"/>
      <c r="EB533" s="1019"/>
      <c r="EC533" s="1019"/>
      <c r="ED533" s="1019"/>
      <c r="EE533" s="1119">
        <f t="shared" si="315"/>
        <v>0</v>
      </c>
      <c r="EF533" s="443">
        <f>EE533*1.17</f>
        <v>0</v>
      </c>
      <c r="EG533" s="443">
        <f t="shared" si="326"/>
        <v>0</v>
      </c>
      <c r="EH533" s="443">
        <f t="shared" si="327"/>
        <v>0</v>
      </c>
      <c r="EI533" s="443">
        <f t="shared" si="327"/>
        <v>0</v>
      </c>
      <c r="EJ533" s="367">
        <v>3000004248</v>
      </c>
      <c r="EL533" s="177"/>
      <c r="EM533" s="177"/>
      <c r="EN533" s="177"/>
    </row>
    <row r="534" spans="1:144" outlineLevel="2">
      <c r="A534" s="367" t="s">
        <v>699</v>
      </c>
      <c r="B534" s="378"/>
      <c r="C534" s="370" t="s">
        <v>688</v>
      </c>
      <c r="D534" s="370" t="s">
        <v>40</v>
      </c>
      <c r="E534" s="383" t="s">
        <v>759</v>
      </c>
      <c r="F534" s="380">
        <v>3000017569</v>
      </c>
      <c r="G534" s="189"/>
      <c r="H534" s="13"/>
      <c r="I534" s="185"/>
      <c r="J534" s="185"/>
      <c r="K534" s="185"/>
      <c r="L534" s="194"/>
      <c r="M534" s="185"/>
      <c r="N534" s="185"/>
      <c r="O534" s="7"/>
      <c r="P534" s="7"/>
      <c r="Q534" s="7"/>
      <c r="R534" s="7"/>
      <c r="S534" s="14">
        <f t="shared" si="319"/>
        <v>0</v>
      </c>
      <c r="T534" s="179"/>
      <c r="U534" s="189"/>
      <c r="V534" s="13"/>
      <c r="W534" s="185"/>
      <c r="X534" s="185"/>
      <c r="Y534" s="185"/>
      <c r="Z534" s="194"/>
      <c r="AA534" s="185"/>
      <c r="AB534" s="185"/>
      <c r="AC534" s="7"/>
      <c r="AD534" s="7"/>
      <c r="AE534" s="7"/>
      <c r="AF534" s="7"/>
      <c r="AG534" s="759">
        <f t="shared" si="320"/>
        <v>0</v>
      </c>
      <c r="AH534" s="853">
        <v>3000017569</v>
      </c>
      <c r="AI534" s="189"/>
      <c r="AJ534" s="810"/>
      <c r="AK534" s="758"/>
      <c r="AL534" s="758">
        <v>0</v>
      </c>
      <c r="AM534" s="758">
        <v>0</v>
      </c>
      <c r="AN534" s="524">
        <v>0</v>
      </c>
      <c r="AO534" s="758">
        <v>0</v>
      </c>
      <c r="AP534" s="758">
        <v>1050000</v>
      </c>
      <c r="AQ534" s="518">
        <v>9650000</v>
      </c>
      <c r="AR534" s="518"/>
      <c r="AS534" s="518"/>
      <c r="AT534" s="518"/>
      <c r="AU534" s="518">
        <f t="shared" si="321"/>
        <v>0</v>
      </c>
      <c r="AV534" s="518">
        <f t="shared" si="322"/>
        <v>0</v>
      </c>
      <c r="AW534" s="518">
        <f t="shared" si="323"/>
        <v>0</v>
      </c>
      <c r="AX534" s="518">
        <f t="shared" si="303"/>
        <v>10700000</v>
      </c>
      <c r="AY534" s="853">
        <v>0</v>
      </c>
      <c r="AZ534" s="189"/>
      <c r="BA534" s="810"/>
      <c r="BB534" s="758"/>
      <c r="BC534" s="758">
        <v>0</v>
      </c>
      <c r="BD534" s="758">
        <v>0</v>
      </c>
      <c r="BE534" s="524">
        <v>0</v>
      </c>
      <c r="BF534" s="758">
        <v>0</v>
      </c>
      <c r="BG534" s="518">
        <f t="shared" si="324"/>
        <v>1050000</v>
      </c>
      <c r="BH534" s="758">
        <v>0</v>
      </c>
      <c r="BI534" s="758">
        <v>0</v>
      </c>
      <c r="BJ534" s="758">
        <v>0</v>
      </c>
      <c r="BK534" s="758">
        <v>0</v>
      </c>
      <c r="BL534" s="759">
        <f t="shared" si="325"/>
        <v>1050000</v>
      </c>
      <c r="BN534" s="758">
        <v>0</v>
      </c>
      <c r="BO534" s="758">
        <v>0</v>
      </c>
      <c r="BP534" s="758">
        <v>0</v>
      </c>
      <c r="BQ534" s="758">
        <v>0</v>
      </c>
      <c r="BR534" s="758">
        <v>0</v>
      </c>
      <c r="BS534" s="758">
        <v>0</v>
      </c>
      <c r="BT534" s="758">
        <v>0</v>
      </c>
      <c r="BU534" s="758">
        <v>0</v>
      </c>
      <c r="BV534" s="758">
        <v>0</v>
      </c>
      <c r="BW534" s="758">
        <v>0</v>
      </c>
      <c r="BX534" s="758">
        <v>0</v>
      </c>
      <c r="BY534" s="758">
        <v>0</v>
      </c>
      <c r="BZ534" s="791">
        <v>0</v>
      </c>
      <c r="CB534" s="758">
        <v>0</v>
      </c>
      <c r="CC534" s="758">
        <v>0</v>
      </c>
      <c r="CD534" s="758">
        <v>0</v>
      </c>
      <c r="CE534" s="758">
        <v>0</v>
      </c>
      <c r="CF534" s="758">
        <v>0</v>
      </c>
      <c r="CG534" s="758">
        <v>0</v>
      </c>
      <c r="CH534" s="758">
        <v>0</v>
      </c>
      <c r="CI534" s="758">
        <v>0</v>
      </c>
      <c r="CJ534" s="758">
        <v>0</v>
      </c>
      <c r="CK534" s="758">
        <v>0</v>
      </c>
      <c r="CL534" s="758">
        <v>0</v>
      </c>
      <c r="CM534" s="758">
        <v>0</v>
      </c>
      <c r="CN534" s="791">
        <v>0</v>
      </c>
      <c r="CP534" s="653"/>
      <c r="CQ534" s="653"/>
      <c r="CR534" s="524"/>
      <c r="CS534" s="653"/>
      <c r="CT534" s="524"/>
      <c r="CU534" s="653">
        <v>24917238</v>
      </c>
      <c r="CV534" s="524">
        <v>25000000</v>
      </c>
      <c r="CW534" s="653"/>
      <c r="CX534" s="524"/>
      <c r="CY534" s="653"/>
      <c r="CZ534" s="524"/>
      <c r="DA534" s="653"/>
      <c r="DB534" s="524"/>
      <c r="DC534" s="653">
        <v>0</v>
      </c>
      <c r="DD534" s="524"/>
      <c r="DE534" s="758"/>
      <c r="DF534" s="524"/>
      <c r="DG534" s="757"/>
      <c r="DH534" s="758"/>
      <c r="DI534" s="524"/>
      <c r="DJ534" s="757"/>
      <c r="DK534" s="758"/>
      <c r="DL534" s="524"/>
      <c r="DM534" s="757"/>
      <c r="DN534" s="758"/>
      <c r="DO534" s="524"/>
      <c r="DP534" s="757"/>
      <c r="DQ534" s="493">
        <f t="shared" si="314"/>
        <v>24917238</v>
      </c>
      <c r="DR534" s="479">
        <f t="shared" si="316"/>
        <v>24917238</v>
      </c>
      <c r="DS534" s="1019"/>
      <c r="DT534" s="1019"/>
      <c r="DU534" s="1019"/>
      <c r="DV534" s="1019"/>
      <c r="DW534" s="1019"/>
      <c r="DX534" s="1019"/>
      <c r="DY534" s="1019"/>
      <c r="DZ534" s="1019"/>
      <c r="EA534" s="1019"/>
      <c r="EB534" s="1019"/>
      <c r="EC534" s="1019"/>
      <c r="ED534" s="1019"/>
      <c r="EE534" s="1119">
        <f t="shared" si="315"/>
        <v>0</v>
      </c>
      <c r="EF534" s="443">
        <f>EE534*1.17</f>
        <v>0</v>
      </c>
      <c r="EG534" s="443">
        <f t="shared" si="326"/>
        <v>0</v>
      </c>
      <c r="EH534" s="443">
        <f t="shared" si="327"/>
        <v>0</v>
      </c>
      <c r="EI534" s="443">
        <f t="shared" si="327"/>
        <v>0</v>
      </c>
      <c r="EJ534" s="367">
        <v>3000017569</v>
      </c>
      <c r="EL534" s="177"/>
      <c r="EM534" s="177"/>
      <c r="EN534" s="177"/>
    </row>
    <row r="535" spans="1:144" outlineLevel="2">
      <c r="A535" s="367" t="s">
        <v>291</v>
      </c>
      <c r="B535" s="378"/>
      <c r="C535" s="370" t="s">
        <v>688</v>
      </c>
      <c r="D535" s="370" t="s">
        <v>40</v>
      </c>
      <c r="E535" s="383" t="s">
        <v>630</v>
      </c>
      <c r="F535" s="380">
        <v>3000016893</v>
      </c>
      <c r="G535" s="189"/>
      <c r="H535" s="13"/>
      <c r="I535" s="185"/>
      <c r="J535" s="185"/>
      <c r="K535" s="185"/>
      <c r="L535" s="194"/>
      <c r="M535" s="185"/>
      <c r="N535" s="185"/>
      <c r="O535" s="7"/>
      <c r="P535" s="7"/>
      <c r="Q535" s="7"/>
      <c r="R535" s="7"/>
      <c r="S535" s="14">
        <f t="shared" si="319"/>
        <v>0</v>
      </c>
      <c r="T535" s="179"/>
      <c r="U535" s="189"/>
      <c r="V535" s="13"/>
      <c r="W535" s="185"/>
      <c r="X535" s="185"/>
      <c r="Y535" s="185"/>
      <c r="Z535" s="194"/>
      <c r="AA535" s="185"/>
      <c r="AB535" s="185"/>
      <c r="AC535" s="7"/>
      <c r="AD535" s="7"/>
      <c r="AE535" s="7"/>
      <c r="AF535" s="7"/>
      <c r="AG535" s="759">
        <f t="shared" si="320"/>
        <v>0</v>
      </c>
      <c r="AH535" s="853">
        <v>3000016893</v>
      </c>
      <c r="AI535" s="189"/>
      <c r="AJ535" s="810"/>
      <c r="AK535" s="758"/>
      <c r="AL535" s="758">
        <v>2612671</v>
      </c>
      <c r="AM535" s="758">
        <v>0</v>
      </c>
      <c r="AN535" s="524">
        <v>2631970</v>
      </c>
      <c r="AO535" s="758">
        <v>0</v>
      </c>
      <c r="AP535" s="758">
        <v>0</v>
      </c>
      <c r="AQ535" s="518">
        <v>0</v>
      </c>
      <c r="AR535" s="518"/>
      <c r="AS535" s="518"/>
      <c r="AT535" s="518"/>
      <c r="AU535" s="518">
        <f t="shared" si="321"/>
        <v>0</v>
      </c>
      <c r="AV535" s="518">
        <f t="shared" si="322"/>
        <v>0</v>
      </c>
      <c r="AW535" s="518">
        <f t="shared" si="323"/>
        <v>0</v>
      </c>
      <c r="AX535" s="518">
        <f t="shared" si="303"/>
        <v>5244641</v>
      </c>
      <c r="AY535" s="853">
        <v>0</v>
      </c>
      <c r="AZ535" s="189"/>
      <c r="BA535" s="810"/>
      <c r="BB535" s="758"/>
      <c r="BC535" s="758">
        <v>2612671</v>
      </c>
      <c r="BD535" s="758">
        <v>0</v>
      </c>
      <c r="BE535" s="524">
        <v>2631970</v>
      </c>
      <c r="BF535" s="758">
        <v>0</v>
      </c>
      <c r="BG535" s="518">
        <f t="shared" si="324"/>
        <v>0</v>
      </c>
      <c r="BH535" s="758">
        <v>0</v>
      </c>
      <c r="BI535" s="758">
        <v>0</v>
      </c>
      <c r="BJ535" s="758">
        <v>0</v>
      </c>
      <c r="BK535" s="758">
        <v>0</v>
      </c>
      <c r="BL535" s="759">
        <f t="shared" si="325"/>
        <v>5244641</v>
      </c>
      <c r="BN535" s="758">
        <v>0</v>
      </c>
      <c r="BO535" s="758">
        <v>0</v>
      </c>
      <c r="BP535" s="758">
        <v>0</v>
      </c>
      <c r="BQ535" s="758">
        <v>0</v>
      </c>
      <c r="BR535" s="758">
        <v>0</v>
      </c>
      <c r="BS535" s="758">
        <v>0</v>
      </c>
      <c r="BT535" s="758">
        <v>0</v>
      </c>
      <c r="BU535" s="758">
        <v>0</v>
      </c>
      <c r="BV535" s="758">
        <v>0</v>
      </c>
      <c r="BW535" s="758">
        <v>0</v>
      </c>
      <c r="BX535" s="758">
        <v>0</v>
      </c>
      <c r="BY535" s="758">
        <v>0</v>
      </c>
      <c r="BZ535" s="791">
        <v>0</v>
      </c>
      <c r="CB535" s="758">
        <v>0</v>
      </c>
      <c r="CC535" s="758">
        <v>0</v>
      </c>
      <c r="CD535" s="758">
        <v>0</v>
      </c>
      <c r="CE535" s="758">
        <v>0</v>
      </c>
      <c r="CF535" s="758">
        <v>0</v>
      </c>
      <c r="CG535" s="758">
        <v>0</v>
      </c>
      <c r="CH535" s="758">
        <v>0</v>
      </c>
      <c r="CI535" s="758">
        <v>0</v>
      </c>
      <c r="CJ535" s="758">
        <v>0</v>
      </c>
      <c r="CK535" s="758">
        <v>0</v>
      </c>
      <c r="CL535" s="758">
        <v>0</v>
      </c>
      <c r="CM535" s="758">
        <v>0</v>
      </c>
      <c r="CN535" s="791">
        <v>0</v>
      </c>
      <c r="CP535" s="653"/>
      <c r="CQ535" s="653"/>
      <c r="CR535" s="524"/>
      <c r="CS535" s="653"/>
      <c r="CT535" s="524"/>
      <c r="CU535" s="653"/>
      <c r="CV535" s="524"/>
      <c r="CW535" s="653"/>
      <c r="CX535" s="524"/>
      <c r="CY535" s="653"/>
      <c r="CZ535" s="524"/>
      <c r="DA535" s="653"/>
      <c r="DB535" s="524"/>
      <c r="DC535" s="653">
        <v>0</v>
      </c>
      <c r="DD535" s="524"/>
      <c r="DE535" s="758"/>
      <c r="DF535" s="524"/>
      <c r="DG535" s="757"/>
      <c r="DH535" s="758"/>
      <c r="DI535" s="524"/>
      <c r="DJ535" s="757"/>
      <c r="DK535" s="758"/>
      <c r="DL535" s="524"/>
      <c r="DM535" s="757"/>
      <c r="DN535" s="758"/>
      <c r="DO535" s="524"/>
      <c r="DP535" s="757"/>
      <c r="DQ535" s="493">
        <f t="shared" si="314"/>
        <v>0</v>
      </c>
      <c r="DR535" s="479">
        <f t="shared" si="316"/>
        <v>0</v>
      </c>
      <c r="DS535" s="1019"/>
      <c r="DT535" s="1019"/>
      <c r="DU535" s="1019"/>
      <c r="DV535" s="1019"/>
      <c r="DW535" s="1019"/>
      <c r="DX535" s="1019"/>
      <c r="DY535" s="1019"/>
      <c r="DZ535" s="1019"/>
      <c r="EA535" s="1019"/>
      <c r="EB535" s="1019"/>
      <c r="EC535" s="1019"/>
      <c r="ED535" s="1019"/>
      <c r="EE535" s="1119">
        <f t="shared" si="315"/>
        <v>0</v>
      </c>
      <c r="EF535" s="443">
        <f>EE535*1.17</f>
        <v>0</v>
      </c>
      <c r="EG535" s="443">
        <f t="shared" si="326"/>
        <v>0</v>
      </c>
      <c r="EH535" s="443">
        <f t="shared" si="327"/>
        <v>0</v>
      </c>
      <c r="EI535" s="443">
        <f t="shared" si="327"/>
        <v>0</v>
      </c>
      <c r="EJ535" s="367">
        <v>3000016893</v>
      </c>
      <c r="EL535" s="177"/>
      <c r="EM535" s="177"/>
      <c r="EN535" s="177"/>
    </row>
    <row r="536" spans="1:144" outlineLevel="2">
      <c r="A536" s="367" t="s">
        <v>291</v>
      </c>
      <c r="B536" s="378"/>
      <c r="C536" s="370" t="s">
        <v>688</v>
      </c>
      <c r="D536" s="370" t="s">
        <v>40</v>
      </c>
      <c r="E536" s="383" t="s">
        <v>760</v>
      </c>
      <c r="F536" s="380">
        <v>3000019603</v>
      </c>
      <c r="G536" s="189"/>
      <c r="H536" s="13"/>
      <c r="I536" s="27"/>
      <c r="J536" s="185"/>
      <c r="K536" s="185"/>
      <c r="L536" s="194"/>
      <c r="M536" s="185"/>
      <c r="N536" s="185"/>
      <c r="O536" s="7"/>
      <c r="P536" s="7"/>
      <c r="Q536" s="7"/>
      <c r="R536" s="7"/>
      <c r="S536" s="14">
        <f t="shared" si="319"/>
        <v>0</v>
      </c>
      <c r="T536" s="179"/>
      <c r="U536" s="189"/>
      <c r="V536" s="13"/>
      <c r="W536" s="27"/>
      <c r="X536" s="185"/>
      <c r="Y536" s="185"/>
      <c r="Z536" s="194"/>
      <c r="AA536" s="185"/>
      <c r="AB536" s="185"/>
      <c r="AC536" s="7"/>
      <c r="AD536" s="7"/>
      <c r="AE536" s="7"/>
      <c r="AF536" s="7"/>
      <c r="AG536" s="759">
        <f t="shared" si="320"/>
        <v>0</v>
      </c>
      <c r="AH536" s="853">
        <v>3000019603</v>
      </c>
      <c r="AI536" s="189"/>
      <c r="AJ536" s="810"/>
      <c r="AK536" s="858">
        <v>9350000</v>
      </c>
      <c r="AL536" s="758">
        <v>0</v>
      </c>
      <c r="AM536" s="758">
        <v>0</v>
      </c>
      <c r="AN536" s="524">
        <v>0</v>
      </c>
      <c r="AO536" s="758">
        <v>0</v>
      </c>
      <c r="AP536" s="758">
        <v>0</v>
      </c>
      <c r="AQ536" s="518">
        <v>0</v>
      </c>
      <c r="AR536" s="518"/>
      <c r="AS536" s="518"/>
      <c r="AT536" s="518"/>
      <c r="AU536" s="518">
        <f t="shared" si="321"/>
        <v>0</v>
      </c>
      <c r="AV536" s="518">
        <f t="shared" si="322"/>
        <v>0</v>
      </c>
      <c r="AW536" s="518">
        <f t="shared" si="323"/>
        <v>0</v>
      </c>
      <c r="AX536" s="518">
        <f t="shared" si="303"/>
        <v>9350000</v>
      </c>
      <c r="AY536" s="853">
        <v>0</v>
      </c>
      <c r="AZ536" s="189"/>
      <c r="BA536" s="810"/>
      <c r="BB536" s="858">
        <v>9350000</v>
      </c>
      <c r="BC536" s="758">
        <v>0</v>
      </c>
      <c r="BD536" s="758">
        <v>0</v>
      </c>
      <c r="BE536" s="524">
        <v>0</v>
      </c>
      <c r="BF536" s="758">
        <v>0</v>
      </c>
      <c r="BG536" s="518">
        <f t="shared" si="324"/>
        <v>0</v>
      </c>
      <c r="BH536" s="758">
        <v>0</v>
      </c>
      <c r="BI536" s="758">
        <v>0</v>
      </c>
      <c r="BJ536" s="758">
        <v>0</v>
      </c>
      <c r="BK536" s="758">
        <v>0</v>
      </c>
      <c r="BL536" s="759">
        <f t="shared" si="325"/>
        <v>9350000</v>
      </c>
      <c r="BN536" s="758">
        <v>0</v>
      </c>
      <c r="BO536" s="758">
        <v>0</v>
      </c>
      <c r="BP536" s="758">
        <v>0</v>
      </c>
      <c r="BQ536" s="758">
        <v>0</v>
      </c>
      <c r="BR536" s="758">
        <v>0</v>
      </c>
      <c r="BS536" s="758">
        <v>0</v>
      </c>
      <c r="BT536" s="758">
        <v>0</v>
      </c>
      <c r="BU536" s="758">
        <v>0</v>
      </c>
      <c r="BV536" s="758">
        <v>0</v>
      </c>
      <c r="BW536" s="758">
        <v>0</v>
      </c>
      <c r="BX536" s="758">
        <v>0</v>
      </c>
      <c r="BY536" s="758">
        <v>0</v>
      </c>
      <c r="BZ536" s="791">
        <v>0</v>
      </c>
      <c r="CB536" s="758">
        <v>0</v>
      </c>
      <c r="CC536" s="758">
        <v>0</v>
      </c>
      <c r="CD536" s="758">
        <v>0</v>
      </c>
      <c r="CE536" s="758">
        <v>0</v>
      </c>
      <c r="CF536" s="758">
        <v>0</v>
      </c>
      <c r="CG536" s="758">
        <v>0</v>
      </c>
      <c r="CH536" s="758">
        <v>0</v>
      </c>
      <c r="CI536" s="758">
        <v>0</v>
      </c>
      <c r="CJ536" s="758">
        <v>0</v>
      </c>
      <c r="CK536" s="758">
        <v>0</v>
      </c>
      <c r="CL536" s="758">
        <v>0</v>
      </c>
      <c r="CM536" s="758">
        <v>0</v>
      </c>
      <c r="CN536" s="791">
        <v>0</v>
      </c>
      <c r="CO536" s="37"/>
      <c r="CP536" s="657"/>
      <c r="CQ536" s="657"/>
      <c r="CR536" s="528"/>
      <c r="CS536" s="657"/>
      <c r="CT536" s="528"/>
      <c r="CU536" s="657"/>
      <c r="CV536" s="528"/>
      <c r="CW536" s="657"/>
      <c r="CX536" s="528"/>
      <c r="CY536" s="657"/>
      <c r="CZ536" s="528"/>
      <c r="DA536" s="657"/>
      <c r="DB536" s="528"/>
      <c r="DC536" s="657">
        <v>0</v>
      </c>
      <c r="DD536" s="528"/>
      <c r="DE536" s="758"/>
      <c r="DF536" s="528"/>
      <c r="DG536" s="757"/>
      <c r="DH536" s="758"/>
      <c r="DI536" s="528"/>
      <c r="DJ536" s="757"/>
      <c r="DK536" s="758"/>
      <c r="DL536" s="528"/>
      <c r="DM536" s="757"/>
      <c r="DN536" s="758"/>
      <c r="DO536" s="528"/>
      <c r="DP536" s="757"/>
      <c r="DQ536" s="493">
        <f t="shared" si="314"/>
        <v>0</v>
      </c>
      <c r="DR536" s="479">
        <f t="shared" si="316"/>
        <v>0</v>
      </c>
      <c r="DS536" s="1020"/>
      <c r="DT536" s="1020"/>
      <c r="DU536" s="1020"/>
      <c r="DV536" s="1020"/>
      <c r="DW536" s="1020"/>
      <c r="DX536" s="1020"/>
      <c r="DY536" s="1020"/>
      <c r="DZ536" s="1020"/>
      <c r="EA536" s="1020"/>
      <c r="EB536" s="1020"/>
      <c r="EC536" s="1020"/>
      <c r="ED536" s="1020"/>
      <c r="EE536" s="1119">
        <f t="shared" si="315"/>
        <v>0</v>
      </c>
      <c r="EF536" s="443">
        <f>EE536*1.17</f>
        <v>0</v>
      </c>
      <c r="EG536" s="443">
        <f t="shared" si="326"/>
        <v>0</v>
      </c>
      <c r="EH536" s="443">
        <f t="shared" si="327"/>
        <v>0</v>
      </c>
      <c r="EI536" s="443">
        <f t="shared" si="327"/>
        <v>0</v>
      </c>
      <c r="EJ536" s="367">
        <v>3000019603</v>
      </c>
      <c r="EL536" s="177"/>
      <c r="EM536" s="177"/>
      <c r="EN536" s="177"/>
    </row>
    <row r="537" spans="1:144" outlineLevel="2">
      <c r="A537" s="367" t="s">
        <v>291</v>
      </c>
      <c r="B537" s="378"/>
      <c r="C537" s="370" t="s">
        <v>688</v>
      </c>
      <c r="D537" s="370" t="s">
        <v>40</v>
      </c>
      <c r="E537" s="383" t="s">
        <v>761</v>
      </c>
      <c r="F537" s="380">
        <v>3000004297</v>
      </c>
      <c r="G537" s="189"/>
      <c r="H537" s="13"/>
      <c r="I537" s="27"/>
      <c r="J537" s="185"/>
      <c r="K537" s="185"/>
      <c r="L537" s="194"/>
      <c r="M537" s="185"/>
      <c r="N537" s="185"/>
      <c r="O537" s="7"/>
      <c r="P537" s="7"/>
      <c r="Q537" s="7"/>
      <c r="R537" s="7"/>
      <c r="S537" s="14">
        <f t="shared" si="319"/>
        <v>0</v>
      </c>
      <c r="T537" s="179"/>
      <c r="U537" s="189"/>
      <c r="V537" s="13"/>
      <c r="W537" s="27"/>
      <c r="X537" s="185"/>
      <c r="Y537" s="185"/>
      <c r="Z537" s="194"/>
      <c r="AA537" s="185"/>
      <c r="AB537" s="185"/>
      <c r="AC537" s="7"/>
      <c r="AD537" s="7"/>
      <c r="AE537" s="7"/>
      <c r="AF537" s="7"/>
      <c r="AG537" s="759">
        <f t="shared" si="320"/>
        <v>0</v>
      </c>
      <c r="AH537" s="853">
        <v>3000004297</v>
      </c>
      <c r="AI537" s="189"/>
      <c r="AJ537" s="810"/>
      <c r="AK537" s="858">
        <v>1282500</v>
      </c>
      <c r="AL537" s="758">
        <v>0</v>
      </c>
      <c r="AM537" s="758">
        <v>0</v>
      </c>
      <c r="AN537" s="524">
        <v>0</v>
      </c>
      <c r="AO537" s="758">
        <v>0</v>
      </c>
      <c r="AP537" s="758">
        <v>1282500</v>
      </c>
      <c r="AQ537" s="518">
        <v>0</v>
      </c>
      <c r="AR537" s="518"/>
      <c r="AS537" s="813">
        <v>1282500</v>
      </c>
      <c r="AT537" s="518"/>
      <c r="AU537" s="518">
        <f t="shared" si="321"/>
        <v>0</v>
      </c>
      <c r="AV537" s="518">
        <f t="shared" si="322"/>
        <v>0</v>
      </c>
      <c r="AW537" s="518">
        <f t="shared" si="323"/>
        <v>0</v>
      </c>
      <c r="AX537" s="518">
        <f t="shared" si="303"/>
        <v>3847500</v>
      </c>
      <c r="AY537" s="853">
        <v>0</v>
      </c>
      <c r="AZ537" s="189"/>
      <c r="BA537" s="810"/>
      <c r="BB537" s="858">
        <v>1282500</v>
      </c>
      <c r="BC537" s="758">
        <v>0</v>
      </c>
      <c r="BD537" s="758">
        <v>0</v>
      </c>
      <c r="BE537" s="524">
        <v>0</v>
      </c>
      <c r="BF537" s="758">
        <v>0</v>
      </c>
      <c r="BG537" s="518">
        <f t="shared" si="324"/>
        <v>1282500</v>
      </c>
      <c r="BH537" s="758">
        <v>0</v>
      </c>
      <c r="BI537" s="758">
        <v>0</v>
      </c>
      <c r="BJ537" s="758">
        <v>0</v>
      </c>
      <c r="BK537" s="758">
        <v>0</v>
      </c>
      <c r="BL537" s="759">
        <f t="shared" si="325"/>
        <v>2565000</v>
      </c>
      <c r="BN537" s="758">
        <v>0</v>
      </c>
      <c r="BO537" s="758">
        <v>0</v>
      </c>
      <c r="BP537" s="758">
        <v>0</v>
      </c>
      <c r="BQ537" s="758">
        <v>0</v>
      </c>
      <c r="BR537" s="758">
        <v>0</v>
      </c>
      <c r="BS537" s="758">
        <v>0</v>
      </c>
      <c r="BT537" s="758">
        <v>0</v>
      </c>
      <c r="BU537" s="758">
        <v>0</v>
      </c>
      <c r="BV537" s="758">
        <v>0</v>
      </c>
      <c r="BW537" s="758">
        <v>0</v>
      </c>
      <c r="BX537" s="758">
        <v>0</v>
      </c>
      <c r="BY537" s="758">
        <v>0</v>
      </c>
      <c r="BZ537" s="791">
        <v>0</v>
      </c>
      <c r="CB537" s="758">
        <v>0</v>
      </c>
      <c r="CC537" s="758">
        <v>0</v>
      </c>
      <c r="CD537" s="758">
        <v>0</v>
      </c>
      <c r="CE537" s="758">
        <v>0</v>
      </c>
      <c r="CF537" s="758">
        <v>0</v>
      </c>
      <c r="CG537" s="758">
        <v>0</v>
      </c>
      <c r="CH537" s="758">
        <v>0</v>
      </c>
      <c r="CI537" s="758">
        <v>0</v>
      </c>
      <c r="CJ537" s="758">
        <v>0</v>
      </c>
      <c r="CK537" s="758">
        <v>0</v>
      </c>
      <c r="CL537" s="758">
        <v>0</v>
      </c>
      <c r="CM537" s="758">
        <v>0</v>
      </c>
      <c r="CN537" s="791">
        <v>0</v>
      </c>
      <c r="CO537" s="37"/>
      <c r="CP537" s="657"/>
      <c r="CQ537" s="657"/>
      <c r="CR537" s="528"/>
      <c r="CS537" s="657"/>
      <c r="CT537" s="528"/>
      <c r="CU537" s="657"/>
      <c r="CV537" s="528"/>
      <c r="CW537" s="657"/>
      <c r="CX537" s="528"/>
      <c r="CY537" s="657"/>
      <c r="CZ537" s="528"/>
      <c r="DA537" s="657"/>
      <c r="DB537" s="528"/>
      <c r="DC537" s="657">
        <v>0</v>
      </c>
      <c r="DD537" s="528"/>
      <c r="DE537" s="758"/>
      <c r="DF537" s="528"/>
      <c r="DG537" s="757"/>
      <c r="DH537" s="758"/>
      <c r="DI537" s="528"/>
      <c r="DJ537" s="757"/>
      <c r="DK537" s="758"/>
      <c r="DL537" s="528"/>
      <c r="DM537" s="757"/>
      <c r="DN537" s="758"/>
      <c r="DO537" s="528"/>
      <c r="DP537" s="757"/>
      <c r="DQ537" s="493">
        <f t="shared" si="314"/>
        <v>0</v>
      </c>
      <c r="DR537" s="479">
        <f t="shared" si="316"/>
        <v>0</v>
      </c>
      <c r="DS537" s="1020"/>
      <c r="DT537" s="1020"/>
      <c r="DU537" s="1020"/>
      <c r="DV537" s="1020"/>
      <c r="DW537" s="1020"/>
      <c r="DX537" s="1020"/>
      <c r="DY537" s="1020"/>
      <c r="DZ537" s="1020"/>
      <c r="EA537" s="1020"/>
      <c r="EB537" s="1020"/>
      <c r="EC537" s="1020"/>
      <c r="ED537" s="1020"/>
      <c r="EE537" s="1119">
        <f t="shared" si="315"/>
        <v>0</v>
      </c>
      <c r="EF537" s="443">
        <f>EE537*1.17</f>
        <v>0</v>
      </c>
      <c r="EG537" s="443">
        <f t="shared" si="326"/>
        <v>0</v>
      </c>
      <c r="EH537" s="443">
        <f t="shared" si="327"/>
        <v>0</v>
      </c>
      <c r="EI537" s="443">
        <f t="shared" si="327"/>
        <v>0</v>
      </c>
      <c r="EJ537" s="367">
        <v>3000004297</v>
      </c>
      <c r="EL537" s="177"/>
      <c r="EM537" s="177"/>
      <c r="EN537" s="177"/>
    </row>
    <row r="538" spans="1:144" outlineLevel="2">
      <c r="A538" s="367" t="s">
        <v>291</v>
      </c>
      <c r="B538" s="378"/>
      <c r="C538" s="370" t="s">
        <v>688</v>
      </c>
      <c r="D538" s="370" t="s">
        <v>40</v>
      </c>
      <c r="E538" s="383" t="s">
        <v>171</v>
      </c>
      <c r="F538" s="380">
        <v>3000020764</v>
      </c>
      <c r="G538" s="189"/>
      <c r="H538" s="13"/>
      <c r="I538" s="27"/>
      <c r="J538" s="185"/>
      <c r="K538" s="185"/>
      <c r="L538" s="194"/>
      <c r="M538" s="185"/>
      <c r="N538" s="185"/>
      <c r="O538" s="7"/>
      <c r="P538" s="7"/>
      <c r="Q538" s="7"/>
      <c r="R538" s="7"/>
      <c r="S538" s="14"/>
      <c r="T538" s="179"/>
      <c r="U538" s="189"/>
      <c r="V538" s="13"/>
      <c r="W538" s="27"/>
      <c r="X538" s="185"/>
      <c r="Y538" s="185"/>
      <c r="Z538" s="194"/>
      <c r="AA538" s="185"/>
      <c r="AB538" s="185"/>
      <c r="AC538" s="7"/>
      <c r="AD538" s="7"/>
      <c r="AE538" s="7"/>
      <c r="AF538" s="7"/>
      <c r="AG538" s="759"/>
      <c r="AH538" s="853"/>
      <c r="AI538" s="189"/>
      <c r="AJ538" s="810"/>
      <c r="AK538" s="858"/>
      <c r="AL538" s="758"/>
      <c r="AM538" s="758"/>
      <c r="AN538" s="524"/>
      <c r="AO538" s="758"/>
      <c r="AP538" s="758"/>
      <c r="AQ538" s="518"/>
      <c r="AR538" s="518"/>
      <c r="AS538" s="813"/>
      <c r="AT538" s="518"/>
      <c r="AU538" s="518"/>
      <c r="AV538" s="518"/>
      <c r="AW538" s="518"/>
      <c r="AX538" s="518">
        <f t="shared" si="303"/>
        <v>0</v>
      </c>
      <c r="AY538" s="853"/>
      <c r="AZ538" s="189"/>
      <c r="BA538" s="810"/>
      <c r="BB538" s="858"/>
      <c r="BC538" s="758"/>
      <c r="BD538" s="758"/>
      <c r="BE538" s="524"/>
      <c r="BF538" s="758"/>
      <c r="BG538" s="518"/>
      <c r="BH538" s="758"/>
      <c r="BI538" s="758"/>
      <c r="BJ538" s="758"/>
      <c r="BK538" s="758"/>
      <c r="BL538" s="759"/>
      <c r="BN538" s="758"/>
      <c r="BO538" s="758"/>
      <c r="BP538" s="758"/>
      <c r="BQ538" s="758"/>
      <c r="BR538" s="758"/>
      <c r="BS538" s="758"/>
      <c r="BT538" s="758"/>
      <c r="BU538" s="758"/>
      <c r="BV538" s="758"/>
      <c r="BW538" s="758"/>
      <c r="BX538" s="758"/>
      <c r="BY538" s="758"/>
      <c r="BZ538" s="791"/>
      <c r="CB538" s="758"/>
      <c r="CC538" s="758"/>
      <c r="CD538" s="758"/>
      <c r="CE538" s="758"/>
      <c r="CF538" s="758"/>
      <c r="CG538" s="758"/>
      <c r="CH538" s="758"/>
      <c r="CI538" s="758"/>
      <c r="CJ538" s="758"/>
      <c r="CK538" s="758"/>
      <c r="CL538" s="758"/>
      <c r="CM538" s="758"/>
      <c r="CN538" s="791"/>
      <c r="CO538" s="37"/>
      <c r="CP538" s="657"/>
      <c r="CQ538" s="657"/>
      <c r="CR538" s="528"/>
      <c r="CS538" s="657">
        <v>120100000</v>
      </c>
      <c r="CT538" s="528"/>
      <c r="CU538" s="657">
        <v>68300000</v>
      </c>
      <c r="CV538" s="528">
        <v>68000000</v>
      </c>
      <c r="CW538" s="657">
        <v>168300000</v>
      </c>
      <c r="CX538" s="528">
        <v>68000000</v>
      </c>
      <c r="CY538" s="657">
        <v>93500000</v>
      </c>
      <c r="CZ538" s="528">
        <v>68000000</v>
      </c>
      <c r="DA538" s="657">
        <v>77125000</v>
      </c>
      <c r="DB538" s="528">
        <v>68000000</v>
      </c>
      <c r="DC538" s="657">
        <v>257910000</v>
      </c>
      <c r="DD538" s="528">
        <v>68000000</v>
      </c>
      <c r="DE538" s="758"/>
      <c r="DF538" s="528">
        <v>68000000</v>
      </c>
      <c r="DG538" s="757">
        <v>68000000</v>
      </c>
      <c r="DH538" s="758"/>
      <c r="DI538" s="528">
        <v>68000000</v>
      </c>
      <c r="DJ538" s="757">
        <v>68000000</v>
      </c>
      <c r="DK538" s="758"/>
      <c r="DL538" s="528">
        <v>68000000</v>
      </c>
      <c r="DM538" s="757">
        <v>68000000</v>
      </c>
      <c r="DN538" s="758"/>
      <c r="DO538" s="528">
        <v>68000000</v>
      </c>
      <c r="DP538" s="757">
        <v>68000000</v>
      </c>
      <c r="DQ538" s="493">
        <f t="shared" si="314"/>
        <v>1057235000</v>
      </c>
      <c r="DR538" s="479">
        <f t="shared" si="316"/>
        <v>732400000</v>
      </c>
      <c r="DS538" s="1020">
        <v>100000000</v>
      </c>
      <c r="DT538" s="1020">
        <v>100000000</v>
      </c>
      <c r="DU538" s="1020">
        <v>100000000</v>
      </c>
      <c r="DV538" s="1020">
        <v>100000000</v>
      </c>
      <c r="DW538" s="1020">
        <v>100000000</v>
      </c>
      <c r="DX538" s="1020">
        <v>100000000</v>
      </c>
      <c r="DY538" s="1020">
        <v>100000000</v>
      </c>
      <c r="DZ538" s="1020">
        <v>100000000</v>
      </c>
      <c r="EA538" s="1020">
        <v>100000000</v>
      </c>
      <c r="EB538" s="1020">
        <v>100000000</v>
      </c>
      <c r="EC538" s="1020">
        <v>100000000</v>
      </c>
      <c r="ED538" s="1020">
        <v>100000000</v>
      </c>
      <c r="EE538" s="1119">
        <f t="shared" si="315"/>
        <v>1200000000</v>
      </c>
      <c r="EF538" s="443"/>
      <c r="EG538" s="443"/>
      <c r="EH538" s="443"/>
      <c r="EI538" s="443"/>
      <c r="EL538" s="177"/>
      <c r="EM538" s="177"/>
      <c r="EN538" s="177"/>
    </row>
    <row r="539" spans="1:144" outlineLevel="2">
      <c r="A539" s="367" t="s">
        <v>291</v>
      </c>
      <c r="B539" s="378"/>
      <c r="C539" s="370" t="s">
        <v>688</v>
      </c>
      <c r="D539" s="370" t="s">
        <v>40</v>
      </c>
      <c r="E539" s="383" t="s">
        <v>762</v>
      </c>
      <c r="F539" s="380">
        <v>3000017133</v>
      </c>
      <c r="G539" s="189"/>
      <c r="H539" s="30"/>
      <c r="I539" s="185"/>
      <c r="J539" s="185"/>
      <c r="K539" s="185"/>
      <c r="L539" s="194"/>
      <c r="M539" s="185"/>
      <c r="N539" s="185"/>
      <c r="O539" s="7"/>
      <c r="P539" s="7"/>
      <c r="Q539" s="7"/>
      <c r="R539" s="7"/>
      <c r="S539" s="14">
        <f>SUM(G539,H539,I539,J539,K539,L539,M539,N539,O539,P539,Q539,R539)</f>
        <v>0</v>
      </c>
      <c r="T539" s="179"/>
      <c r="U539" s="189"/>
      <c r="V539" s="30"/>
      <c r="W539" s="185"/>
      <c r="X539" s="185"/>
      <c r="Y539" s="185"/>
      <c r="Z539" s="194"/>
      <c r="AA539" s="185"/>
      <c r="AB539" s="185"/>
      <c r="AC539" s="7"/>
      <c r="AD539" s="7"/>
      <c r="AE539" s="7"/>
      <c r="AF539" s="7"/>
      <c r="AG539" s="759">
        <f>SUM(U539,V539,W539,X539,Y539,Z539,AA539,AB539,AC539,AD539,AE539,AF539)</f>
        <v>0</v>
      </c>
      <c r="AH539" s="853">
        <v>3000017133</v>
      </c>
      <c r="AI539" s="189"/>
      <c r="AJ539" s="859">
        <v>2985486</v>
      </c>
      <c r="AK539" s="758"/>
      <c r="AL539" s="758">
        <v>0</v>
      </c>
      <c r="AM539" s="758">
        <v>0</v>
      </c>
      <c r="AN539" s="524">
        <v>0</v>
      </c>
      <c r="AO539" s="758">
        <v>0</v>
      </c>
      <c r="AP539" s="758">
        <v>0</v>
      </c>
      <c r="AQ539" s="518">
        <v>0</v>
      </c>
      <c r="AR539" s="518"/>
      <c r="AS539" s="518"/>
      <c r="AT539" s="518"/>
      <c r="AU539" s="518">
        <f t="shared" ref="AU539:AW541" si="328">BI539</f>
        <v>0</v>
      </c>
      <c r="AV539" s="518">
        <f t="shared" si="328"/>
        <v>0</v>
      </c>
      <c r="AW539" s="518">
        <f t="shared" si="328"/>
        <v>0</v>
      </c>
      <c r="AX539" s="518">
        <f t="shared" si="303"/>
        <v>2985486</v>
      </c>
      <c r="AY539" s="853">
        <v>0</v>
      </c>
      <c r="AZ539" s="189"/>
      <c r="BA539" s="859">
        <v>2985486</v>
      </c>
      <c r="BB539" s="758"/>
      <c r="BC539" s="758">
        <v>0</v>
      </c>
      <c r="BD539" s="758">
        <v>0</v>
      </c>
      <c r="BE539" s="524">
        <v>0</v>
      </c>
      <c r="BF539" s="758">
        <v>0</v>
      </c>
      <c r="BG539" s="518">
        <f>AP539</f>
        <v>0</v>
      </c>
      <c r="BH539" s="758">
        <v>0</v>
      </c>
      <c r="BI539" s="758">
        <v>0</v>
      </c>
      <c r="BJ539" s="758">
        <v>0</v>
      </c>
      <c r="BK539" s="758">
        <v>0</v>
      </c>
      <c r="BL539" s="759">
        <f>SUM(AZ539,BA539,BB539,BC539,BD539,BE539,BF539,BG539,BH539,BI539,BJ539,BK539)</f>
        <v>2985486</v>
      </c>
      <c r="BN539" s="758">
        <v>0</v>
      </c>
      <c r="BO539" s="758">
        <v>0</v>
      </c>
      <c r="BP539" s="758">
        <v>0</v>
      </c>
      <c r="BQ539" s="758">
        <v>0</v>
      </c>
      <c r="BR539" s="758">
        <v>0</v>
      </c>
      <c r="BS539" s="758">
        <v>0</v>
      </c>
      <c r="BT539" s="758">
        <v>0</v>
      </c>
      <c r="BU539" s="758">
        <v>0</v>
      </c>
      <c r="BV539" s="758">
        <v>0</v>
      </c>
      <c r="BW539" s="758">
        <v>0</v>
      </c>
      <c r="BX539" s="758">
        <v>0</v>
      </c>
      <c r="BY539" s="758">
        <v>0</v>
      </c>
      <c r="BZ539" s="791">
        <v>0</v>
      </c>
      <c r="CB539" s="758">
        <v>0</v>
      </c>
      <c r="CC539" s="758">
        <v>0</v>
      </c>
      <c r="CD539" s="758">
        <v>0</v>
      </c>
      <c r="CE539" s="758">
        <v>0</v>
      </c>
      <c r="CF539" s="758">
        <v>0</v>
      </c>
      <c r="CG539" s="758">
        <v>0</v>
      </c>
      <c r="CH539" s="758">
        <v>0</v>
      </c>
      <c r="CI539" s="758">
        <v>0</v>
      </c>
      <c r="CJ539" s="758">
        <v>0</v>
      </c>
      <c r="CK539" s="758">
        <v>0</v>
      </c>
      <c r="CL539" s="758">
        <v>0</v>
      </c>
      <c r="CM539" s="758">
        <v>0</v>
      </c>
      <c r="CN539" s="791">
        <v>0</v>
      </c>
      <c r="CO539" s="37"/>
      <c r="CP539" s="657"/>
      <c r="CQ539" s="657"/>
      <c r="CR539" s="528"/>
      <c r="CS539" s="657">
        <v>2374870</v>
      </c>
      <c r="CT539" s="528"/>
      <c r="CU539" s="657"/>
      <c r="CV539" s="528"/>
      <c r="CW539" s="657"/>
      <c r="CX539" s="528"/>
      <c r="CY539" s="657"/>
      <c r="CZ539" s="528"/>
      <c r="DA539" s="657"/>
      <c r="DB539" s="528"/>
      <c r="DC539" s="657">
        <v>0</v>
      </c>
      <c r="DD539" s="528"/>
      <c r="DE539" s="758"/>
      <c r="DF539" s="528"/>
      <c r="DG539" s="757"/>
      <c r="DH539" s="758"/>
      <c r="DI539" s="528"/>
      <c r="DJ539" s="757"/>
      <c r="DK539" s="758"/>
      <c r="DL539" s="528"/>
      <c r="DM539" s="757"/>
      <c r="DN539" s="758"/>
      <c r="DO539" s="528"/>
      <c r="DP539" s="757"/>
      <c r="DQ539" s="493">
        <f t="shared" si="314"/>
        <v>2374870</v>
      </c>
      <c r="DR539" s="479">
        <f t="shared" si="316"/>
        <v>2374870</v>
      </c>
      <c r="DS539" s="1020"/>
      <c r="DT539" s="1020"/>
      <c r="DU539" s="1020"/>
      <c r="DV539" s="1020"/>
      <c r="DW539" s="1020"/>
      <c r="DX539" s="1020"/>
      <c r="DY539" s="1020"/>
      <c r="DZ539" s="1020"/>
      <c r="EA539" s="1020"/>
      <c r="EB539" s="1020"/>
      <c r="EC539" s="1020"/>
      <c r="ED539" s="1020"/>
      <c r="EE539" s="1119">
        <f t="shared" si="315"/>
        <v>0</v>
      </c>
      <c r="EF539" s="443">
        <f>EE539*1.17</f>
        <v>0</v>
      </c>
      <c r="EG539" s="443">
        <f>EF539*1.08</f>
        <v>0</v>
      </c>
      <c r="EH539" s="443">
        <f t="shared" ref="EH539:EI541" si="329">EG539*1.09</f>
        <v>0</v>
      </c>
      <c r="EI539" s="443">
        <f t="shared" si="329"/>
        <v>0</v>
      </c>
      <c r="EJ539" s="367">
        <v>3000017133</v>
      </c>
      <c r="EL539" s="177"/>
      <c r="EM539" s="177"/>
      <c r="EN539" s="177"/>
    </row>
    <row r="540" spans="1:144" outlineLevel="2">
      <c r="A540" s="367" t="s">
        <v>291</v>
      </c>
      <c r="B540" s="378"/>
      <c r="C540" s="370" t="s">
        <v>688</v>
      </c>
      <c r="D540" s="370" t="s">
        <v>40</v>
      </c>
      <c r="E540" s="383" t="s">
        <v>763</v>
      </c>
      <c r="F540" s="380">
        <v>3000019468</v>
      </c>
      <c r="G540" s="189"/>
      <c r="H540" s="13"/>
      <c r="I540" s="27"/>
      <c r="J540" s="185"/>
      <c r="K540" s="185"/>
      <c r="L540" s="194"/>
      <c r="M540" s="185"/>
      <c r="N540" s="185"/>
      <c r="O540" s="7"/>
      <c r="P540" s="7"/>
      <c r="Q540" s="7"/>
      <c r="R540" s="7"/>
      <c r="S540" s="14">
        <f>SUM(G540,H540,I540,J540,K540,L540,M540,N540,O540,P540,Q540,R540)</f>
        <v>0</v>
      </c>
      <c r="T540" s="179"/>
      <c r="U540" s="189"/>
      <c r="V540" s="13"/>
      <c r="W540" s="27"/>
      <c r="X540" s="185"/>
      <c r="Y540" s="185"/>
      <c r="Z540" s="194"/>
      <c r="AA540" s="185"/>
      <c r="AB540" s="185"/>
      <c r="AC540" s="7"/>
      <c r="AD540" s="7"/>
      <c r="AE540" s="7"/>
      <c r="AF540" s="7"/>
      <c r="AG540" s="759">
        <f>SUM(U540,V540,W540,X540,Y540,Z540,AA540,AB540,AC540,AD540,AE540,AF540)</f>
        <v>0</v>
      </c>
      <c r="AH540" s="853">
        <v>3000019468</v>
      </c>
      <c r="AI540" s="189"/>
      <c r="AJ540" s="810"/>
      <c r="AK540" s="858">
        <v>43798700</v>
      </c>
      <c r="AL540" s="758">
        <v>0</v>
      </c>
      <c r="AM540" s="758">
        <v>0</v>
      </c>
      <c r="AN540" s="524">
        <v>0</v>
      </c>
      <c r="AO540" s="758">
        <v>0</v>
      </c>
      <c r="AP540" s="758">
        <v>0</v>
      </c>
      <c r="AQ540" s="518">
        <v>0</v>
      </c>
      <c r="AR540" s="518"/>
      <c r="AS540" s="518"/>
      <c r="AT540" s="518"/>
      <c r="AU540" s="518">
        <f t="shared" si="328"/>
        <v>0</v>
      </c>
      <c r="AV540" s="518">
        <f t="shared" si="328"/>
        <v>0</v>
      </c>
      <c r="AW540" s="518">
        <f t="shared" si="328"/>
        <v>0</v>
      </c>
      <c r="AX540" s="518">
        <f t="shared" ref="AX540:AX561" si="330">SUM(AI540,AJ540,AK540,AL540,AM540,AN540,AO540,AP540,AQ540,AR540,AS540,AT540)</f>
        <v>43798700</v>
      </c>
      <c r="AY540" s="853">
        <v>0</v>
      </c>
      <c r="AZ540" s="189"/>
      <c r="BA540" s="810"/>
      <c r="BB540" s="858">
        <v>43798700</v>
      </c>
      <c r="BC540" s="758">
        <v>0</v>
      </c>
      <c r="BD540" s="758">
        <v>0</v>
      </c>
      <c r="BE540" s="524">
        <v>0</v>
      </c>
      <c r="BF540" s="758">
        <v>0</v>
      </c>
      <c r="BG540" s="518">
        <f>AP540</f>
        <v>0</v>
      </c>
      <c r="BH540" s="758">
        <v>0</v>
      </c>
      <c r="BI540" s="758">
        <v>0</v>
      </c>
      <c r="BJ540" s="758">
        <v>0</v>
      </c>
      <c r="BK540" s="758">
        <v>0</v>
      </c>
      <c r="BL540" s="759">
        <f>SUM(AZ540,BA540,BB540,BC540,BD540,BE540,BF540,BG540,BH540,BI540,BJ540,BK540)</f>
        <v>43798700</v>
      </c>
      <c r="BN540" s="758">
        <v>0</v>
      </c>
      <c r="BO540" s="758">
        <v>0</v>
      </c>
      <c r="BP540" s="758">
        <v>0</v>
      </c>
      <c r="BQ540" s="758">
        <v>0</v>
      </c>
      <c r="BR540" s="758">
        <v>0</v>
      </c>
      <c r="BS540" s="758">
        <v>0</v>
      </c>
      <c r="BT540" s="758">
        <v>0</v>
      </c>
      <c r="BU540" s="758">
        <v>0</v>
      </c>
      <c r="BV540" s="758">
        <v>0</v>
      </c>
      <c r="BW540" s="758">
        <v>0</v>
      </c>
      <c r="BX540" s="758">
        <v>0</v>
      </c>
      <c r="BY540" s="758">
        <v>0</v>
      </c>
      <c r="BZ540" s="791">
        <v>0</v>
      </c>
      <c r="CB540" s="758">
        <v>0</v>
      </c>
      <c r="CC540" s="758">
        <v>0</v>
      </c>
      <c r="CD540" s="758">
        <v>0</v>
      </c>
      <c r="CE540" s="758">
        <v>0</v>
      </c>
      <c r="CF540" s="758">
        <v>0</v>
      </c>
      <c r="CG540" s="758">
        <v>0</v>
      </c>
      <c r="CH540" s="758">
        <v>0</v>
      </c>
      <c r="CI540" s="758">
        <v>0</v>
      </c>
      <c r="CJ540" s="758">
        <v>0</v>
      </c>
      <c r="CK540" s="758">
        <v>0</v>
      </c>
      <c r="CL540" s="758">
        <v>0</v>
      </c>
      <c r="CM540" s="758">
        <v>0</v>
      </c>
      <c r="CN540" s="791">
        <v>0</v>
      </c>
      <c r="CO540" s="37"/>
      <c r="CP540" s="657"/>
      <c r="CQ540" s="657"/>
      <c r="CR540" s="528"/>
      <c r="CS540" s="657"/>
      <c r="CT540" s="528"/>
      <c r="CU540" s="657"/>
      <c r="CV540" s="528"/>
      <c r="CW540" s="657"/>
      <c r="CX540" s="528"/>
      <c r="CY540" s="657"/>
      <c r="CZ540" s="528"/>
      <c r="DA540" s="657"/>
      <c r="DB540" s="528"/>
      <c r="DC540" s="657">
        <v>0</v>
      </c>
      <c r="DD540" s="528"/>
      <c r="DE540" s="758"/>
      <c r="DF540" s="528"/>
      <c r="DG540" s="757"/>
      <c r="DH540" s="758"/>
      <c r="DI540" s="528"/>
      <c r="DJ540" s="757"/>
      <c r="DK540" s="758"/>
      <c r="DL540" s="528"/>
      <c r="DM540" s="757"/>
      <c r="DN540" s="758"/>
      <c r="DO540" s="528"/>
      <c r="DP540" s="757"/>
      <c r="DQ540" s="493">
        <f t="shared" si="314"/>
        <v>0</v>
      </c>
      <c r="DR540" s="479">
        <f t="shared" si="316"/>
        <v>0</v>
      </c>
      <c r="DS540" s="1020"/>
      <c r="DT540" s="1020"/>
      <c r="DU540" s="1020"/>
      <c r="DV540" s="1020"/>
      <c r="DW540" s="1020"/>
      <c r="DX540" s="1020"/>
      <c r="DY540" s="1020"/>
      <c r="DZ540" s="1020"/>
      <c r="EA540" s="1020"/>
      <c r="EB540" s="1020"/>
      <c r="EC540" s="1020"/>
      <c r="ED540" s="1020"/>
      <c r="EE540" s="1119">
        <f t="shared" si="315"/>
        <v>0</v>
      </c>
      <c r="EF540" s="443">
        <f>EE540*1.17</f>
        <v>0</v>
      </c>
      <c r="EG540" s="443">
        <f>EF540*1.08</f>
        <v>0</v>
      </c>
      <c r="EH540" s="443">
        <f t="shared" si="329"/>
        <v>0</v>
      </c>
      <c r="EI540" s="443">
        <f t="shared" si="329"/>
        <v>0</v>
      </c>
      <c r="EJ540" s="367">
        <v>3000019468</v>
      </c>
      <c r="EL540" s="177"/>
      <c r="EM540" s="177"/>
      <c r="EN540" s="177"/>
    </row>
    <row r="541" spans="1:144" outlineLevel="2">
      <c r="A541" s="367" t="s">
        <v>291</v>
      </c>
      <c r="B541" s="378"/>
      <c r="C541" s="370" t="s">
        <v>688</v>
      </c>
      <c r="D541" s="370" t="s">
        <v>40</v>
      </c>
      <c r="E541" s="403" t="s">
        <v>764</v>
      </c>
      <c r="F541" s="380">
        <v>3000019953</v>
      </c>
      <c r="G541" s="189"/>
      <c r="H541" s="13"/>
      <c r="I541" s="185"/>
      <c r="J541" s="185"/>
      <c r="K541" s="185"/>
      <c r="L541" s="185"/>
      <c r="M541" s="185"/>
      <c r="N541" s="185"/>
      <c r="O541" s="7"/>
      <c r="P541" s="7"/>
      <c r="Q541" s="7"/>
      <c r="R541" s="7"/>
      <c r="S541" s="14">
        <f>SUM(G541,H541,I541,J541,K541,L541,M541,N541,O541,P541,Q541,R541)</f>
        <v>0</v>
      </c>
      <c r="T541" s="179"/>
      <c r="U541" s="189"/>
      <c r="V541" s="13"/>
      <c r="W541" s="185"/>
      <c r="X541" s="185"/>
      <c r="Y541" s="185"/>
      <c r="Z541" s="185"/>
      <c r="AA541" s="185"/>
      <c r="AB541" s="185"/>
      <c r="AC541" s="7"/>
      <c r="AD541" s="7"/>
      <c r="AE541" s="7"/>
      <c r="AF541" s="7"/>
      <c r="AG541" s="759">
        <f>SUM(U541,V541,W541,X541,Y541,Z541,AA541,AB541,AC541,AD541,AE541,AF541)</f>
        <v>0</v>
      </c>
      <c r="AH541" s="853">
        <v>3000019953</v>
      </c>
      <c r="AI541" s="189"/>
      <c r="AJ541" s="810"/>
      <c r="AK541" s="758"/>
      <c r="AL541" s="758">
        <v>0</v>
      </c>
      <c r="AM541" s="758"/>
      <c r="AN541" s="758"/>
      <c r="AO541" s="758">
        <v>2482101</v>
      </c>
      <c r="AP541" s="758">
        <v>0</v>
      </c>
      <c r="AQ541" s="518">
        <v>0</v>
      </c>
      <c r="AR541" s="518"/>
      <c r="AS541" s="518"/>
      <c r="AT541" s="518"/>
      <c r="AU541" s="518">
        <f t="shared" si="328"/>
        <v>0</v>
      </c>
      <c r="AV541" s="518">
        <f t="shared" si="328"/>
        <v>0</v>
      </c>
      <c r="AW541" s="518">
        <f t="shared" si="328"/>
        <v>0</v>
      </c>
      <c r="AX541" s="518">
        <f t="shared" si="330"/>
        <v>2482101</v>
      </c>
      <c r="AY541" s="853">
        <v>0</v>
      </c>
      <c r="AZ541" s="189"/>
      <c r="BA541" s="810"/>
      <c r="BB541" s="758"/>
      <c r="BC541" s="758">
        <v>0</v>
      </c>
      <c r="BD541" s="758"/>
      <c r="BE541" s="758"/>
      <c r="BF541" s="758">
        <v>2482101</v>
      </c>
      <c r="BG541" s="518">
        <f>AP541</f>
        <v>0</v>
      </c>
      <c r="BH541" s="758">
        <v>0</v>
      </c>
      <c r="BI541" s="758">
        <v>0</v>
      </c>
      <c r="BJ541" s="758">
        <v>0</v>
      </c>
      <c r="BK541" s="758">
        <v>0</v>
      </c>
      <c r="BL541" s="759">
        <f>SUM(AZ541,BA541,BB541,BC541,BD541,BE541,BF541,BG541,BH541,BI541,BJ541,BK541)</f>
        <v>2482101</v>
      </c>
      <c r="BN541" s="758">
        <v>0</v>
      </c>
      <c r="BO541" s="758">
        <v>0</v>
      </c>
      <c r="BP541" s="758">
        <v>0</v>
      </c>
      <c r="BQ541" s="758">
        <v>0</v>
      </c>
      <c r="BR541" s="758">
        <v>0</v>
      </c>
      <c r="BS541" s="758">
        <v>0</v>
      </c>
      <c r="BT541" s="758">
        <v>0</v>
      </c>
      <c r="BU541" s="758">
        <v>0</v>
      </c>
      <c r="BV541" s="758">
        <v>0</v>
      </c>
      <c r="BW541" s="758">
        <v>0</v>
      </c>
      <c r="BX541" s="758">
        <v>0</v>
      </c>
      <c r="BY541" s="758">
        <v>0</v>
      </c>
      <c r="BZ541" s="791">
        <v>0</v>
      </c>
      <c r="CB541" s="758">
        <v>0</v>
      </c>
      <c r="CC541" s="758">
        <v>0</v>
      </c>
      <c r="CD541" s="758">
        <v>0</v>
      </c>
      <c r="CE541" s="758">
        <v>0</v>
      </c>
      <c r="CF541" s="758">
        <v>0</v>
      </c>
      <c r="CG541" s="758">
        <v>0</v>
      </c>
      <c r="CH541" s="758">
        <v>0</v>
      </c>
      <c r="CI541" s="758">
        <v>0</v>
      </c>
      <c r="CJ541" s="758">
        <v>0</v>
      </c>
      <c r="CK541" s="758">
        <v>0</v>
      </c>
      <c r="CL541" s="758">
        <v>0</v>
      </c>
      <c r="CM541" s="758">
        <v>0</v>
      </c>
      <c r="CN541" s="791">
        <v>0</v>
      </c>
      <c r="CO541" s="37"/>
      <c r="CP541" s="657"/>
      <c r="CQ541" s="657"/>
      <c r="CR541" s="528"/>
      <c r="CS541" s="657"/>
      <c r="CT541" s="528"/>
      <c r="CU541" s="657"/>
      <c r="CV541" s="528"/>
      <c r="CW541" s="657"/>
      <c r="CX541" s="528"/>
      <c r="CY541" s="657"/>
      <c r="CZ541" s="528"/>
      <c r="DA541" s="657"/>
      <c r="DB541" s="528"/>
      <c r="DC541" s="657">
        <v>0</v>
      </c>
      <c r="DD541" s="528"/>
      <c r="DE541" s="758"/>
      <c r="DF541" s="528"/>
      <c r="DG541" s="757"/>
      <c r="DH541" s="758"/>
      <c r="DI541" s="528"/>
      <c r="DJ541" s="757"/>
      <c r="DK541" s="758"/>
      <c r="DL541" s="528"/>
      <c r="DM541" s="757"/>
      <c r="DN541" s="758"/>
      <c r="DO541" s="528"/>
      <c r="DP541" s="757"/>
      <c r="DQ541" s="493">
        <f t="shared" si="314"/>
        <v>0</v>
      </c>
      <c r="DR541" s="479">
        <f t="shared" si="316"/>
        <v>0</v>
      </c>
      <c r="DS541" s="1020"/>
      <c r="DT541" s="1020"/>
      <c r="DU541" s="1020"/>
      <c r="DV541" s="1020"/>
      <c r="DW541" s="1020"/>
      <c r="DX541" s="1020"/>
      <c r="DY541" s="1020"/>
      <c r="DZ541" s="1020"/>
      <c r="EA541" s="1020"/>
      <c r="EB541" s="1020"/>
      <c r="EC541" s="1020"/>
      <c r="ED541" s="1020"/>
      <c r="EE541" s="1119">
        <f t="shared" si="315"/>
        <v>0</v>
      </c>
      <c r="EF541" s="443">
        <f>EE541*1.17</f>
        <v>0</v>
      </c>
      <c r="EG541" s="443">
        <f>EF541*1.08</f>
        <v>0</v>
      </c>
      <c r="EH541" s="443">
        <f t="shared" si="329"/>
        <v>0</v>
      </c>
      <c r="EI541" s="443">
        <f t="shared" si="329"/>
        <v>0</v>
      </c>
      <c r="EJ541" s="367">
        <v>3000019953</v>
      </c>
      <c r="EL541" s="177"/>
      <c r="EM541" s="177"/>
      <c r="EN541" s="177"/>
    </row>
    <row r="542" spans="1:144" outlineLevel="2">
      <c r="A542" s="367" t="s">
        <v>687</v>
      </c>
      <c r="B542" s="378"/>
      <c r="C542" s="370" t="s">
        <v>688</v>
      </c>
      <c r="D542" s="370" t="s">
        <v>108</v>
      </c>
      <c r="E542" s="379" t="s">
        <v>202</v>
      </c>
      <c r="F542" s="380"/>
      <c r="G542" s="189"/>
      <c r="H542" s="13"/>
      <c r="I542" s="185"/>
      <c r="J542" s="185"/>
      <c r="K542" s="185"/>
      <c r="L542" s="185"/>
      <c r="M542" s="185"/>
      <c r="N542" s="185"/>
      <c r="O542" s="7"/>
      <c r="P542" s="7"/>
      <c r="Q542" s="7"/>
      <c r="R542" s="7"/>
      <c r="S542" s="14"/>
      <c r="T542" s="179"/>
      <c r="U542" s="189"/>
      <c r="V542" s="13"/>
      <c r="W542" s="185"/>
      <c r="X542" s="185"/>
      <c r="Y542" s="185"/>
      <c r="Z542" s="185"/>
      <c r="AA542" s="185"/>
      <c r="AB542" s="185"/>
      <c r="AC542" s="7"/>
      <c r="AD542" s="7"/>
      <c r="AE542" s="7"/>
      <c r="AF542" s="7"/>
      <c r="AG542" s="759"/>
      <c r="AH542" s="853"/>
      <c r="AI542" s="189"/>
      <c r="AJ542" s="810"/>
      <c r="AK542" s="758"/>
      <c r="AL542" s="758"/>
      <c r="AM542" s="758"/>
      <c r="AN542" s="758"/>
      <c r="AO542" s="758"/>
      <c r="AP542" s="758"/>
      <c r="AQ542" s="518"/>
      <c r="AR542" s="518"/>
      <c r="AS542" s="518"/>
      <c r="AT542" s="518"/>
      <c r="AU542" s="518"/>
      <c r="AV542" s="518"/>
      <c r="AW542" s="518"/>
      <c r="AX542" s="518">
        <f t="shared" si="330"/>
        <v>0</v>
      </c>
      <c r="AY542" s="853"/>
      <c r="AZ542" s="189"/>
      <c r="BA542" s="810"/>
      <c r="BB542" s="758"/>
      <c r="BC542" s="758"/>
      <c r="BD542" s="758"/>
      <c r="BE542" s="758"/>
      <c r="BF542" s="758"/>
      <c r="BG542" s="518"/>
      <c r="BH542" s="758"/>
      <c r="BI542" s="758"/>
      <c r="BJ542" s="758"/>
      <c r="BK542" s="758"/>
      <c r="BL542" s="518"/>
      <c r="BN542" s="758"/>
      <c r="BO542" s="758"/>
      <c r="BP542" s="758"/>
      <c r="BQ542" s="758"/>
      <c r="BR542" s="758"/>
      <c r="BS542" s="758"/>
      <c r="BT542" s="758"/>
      <c r="BU542" s="758"/>
      <c r="BV542" s="758"/>
      <c r="BW542" s="758"/>
      <c r="BX542" s="758"/>
      <c r="BY542" s="758"/>
      <c r="BZ542" s="791">
        <v>0</v>
      </c>
      <c r="CB542" s="758"/>
      <c r="CC542" s="758"/>
      <c r="CD542" s="758"/>
      <c r="CE542" s="758"/>
      <c r="CF542" s="758"/>
      <c r="CG542" s="758"/>
      <c r="CH542" s="758"/>
      <c r="CI542" s="758"/>
      <c r="CJ542" s="758"/>
      <c r="CK542" s="758"/>
      <c r="CL542" s="758"/>
      <c r="CM542" s="758"/>
      <c r="CN542" s="791">
        <v>0</v>
      </c>
      <c r="CO542" s="37"/>
      <c r="CP542" s="657"/>
      <c r="CQ542" s="657"/>
      <c r="CR542" s="528"/>
      <c r="CS542" s="657"/>
      <c r="CT542" s="528"/>
      <c r="CU542" s="657"/>
      <c r="CV542" s="528"/>
      <c r="CW542" s="657"/>
      <c r="CX542" s="528"/>
      <c r="CY542" s="657"/>
      <c r="CZ542" s="528"/>
      <c r="DA542" s="657"/>
      <c r="DB542" s="528"/>
      <c r="DC542" s="657">
        <v>0</v>
      </c>
      <c r="DD542" s="528"/>
      <c r="DE542" s="758"/>
      <c r="DF542" s="528"/>
      <c r="DG542" s="757"/>
      <c r="DH542" s="758"/>
      <c r="DI542" s="528"/>
      <c r="DJ542" s="757"/>
      <c r="DK542" s="758"/>
      <c r="DL542" s="528"/>
      <c r="DM542" s="757"/>
      <c r="DN542" s="758"/>
      <c r="DO542" s="528"/>
      <c r="DP542" s="757"/>
      <c r="DQ542" s="493">
        <f t="shared" si="314"/>
        <v>0</v>
      </c>
      <c r="DR542" s="479">
        <f t="shared" si="316"/>
        <v>0</v>
      </c>
      <c r="DS542" s="1020"/>
      <c r="DT542" s="1020"/>
      <c r="DU542" s="1020"/>
      <c r="DV542" s="1020"/>
      <c r="DW542" s="1020"/>
      <c r="DX542" s="1020"/>
      <c r="DY542" s="1020"/>
      <c r="DZ542" s="1020"/>
      <c r="EA542" s="1020"/>
      <c r="EB542" s="1020"/>
      <c r="EC542" s="1020"/>
      <c r="ED542" s="1020"/>
      <c r="EE542" s="1119">
        <f t="shared" si="315"/>
        <v>0</v>
      </c>
      <c r="EF542" s="443">
        <v>620000000</v>
      </c>
      <c r="EG542" s="443">
        <v>700000000</v>
      </c>
      <c r="EH542" s="443">
        <f>EG542*1.2</f>
        <v>840000000</v>
      </c>
      <c r="EI542" s="443">
        <f>EH542*1.2</f>
        <v>1008000000</v>
      </c>
      <c r="EL542" s="177"/>
      <c r="EM542" s="177"/>
      <c r="EN542" s="177"/>
    </row>
    <row r="543" spans="1:144" outlineLevel="2">
      <c r="A543" s="367" t="s">
        <v>699</v>
      </c>
      <c r="B543" s="378"/>
      <c r="C543" s="370" t="s">
        <v>688</v>
      </c>
      <c r="D543" s="370" t="s">
        <v>40</v>
      </c>
      <c r="E543" s="383" t="s">
        <v>92</v>
      </c>
      <c r="F543" s="380">
        <v>3000007612</v>
      </c>
      <c r="G543" s="186"/>
      <c r="H543" s="30"/>
      <c r="I543" s="27"/>
      <c r="J543" s="185"/>
      <c r="K543" s="185"/>
      <c r="L543" s="194"/>
      <c r="M543" s="185"/>
      <c r="N543" s="185"/>
      <c r="O543" s="7"/>
      <c r="P543" s="7"/>
      <c r="Q543" s="7"/>
      <c r="R543" s="7"/>
      <c r="S543" s="14">
        <f>SUM(G543,H543,I543,J543,K543,L543,M543,N543,O543,P543,Q543,R543)</f>
        <v>0</v>
      </c>
      <c r="T543" s="179"/>
      <c r="U543" s="186"/>
      <c r="V543" s="30"/>
      <c r="W543" s="27"/>
      <c r="X543" s="185"/>
      <c r="Y543" s="185"/>
      <c r="Z543" s="194"/>
      <c r="AA543" s="185"/>
      <c r="AB543" s="185"/>
      <c r="AC543" s="7"/>
      <c r="AD543" s="7"/>
      <c r="AE543" s="7"/>
      <c r="AF543" s="7"/>
      <c r="AG543" s="759">
        <f>SUM(U543,V543,W543,X543,Y543,Z543,AA543,AB543,AC543,AD543,AE543,AF543)</f>
        <v>0</v>
      </c>
      <c r="AH543" s="853">
        <v>3000007612</v>
      </c>
      <c r="AI543" s="814">
        <v>3242000</v>
      </c>
      <c r="AJ543" s="859">
        <v>11490000</v>
      </c>
      <c r="AK543" s="858">
        <v>8130000</v>
      </c>
      <c r="AL543" s="758">
        <v>8130000</v>
      </c>
      <c r="AM543" s="758">
        <v>3235000</v>
      </c>
      <c r="AN543" s="524">
        <v>8130000</v>
      </c>
      <c r="AO543" s="758">
        <v>2710000</v>
      </c>
      <c r="AP543" s="758">
        <v>525000</v>
      </c>
      <c r="AQ543" s="518">
        <v>3010000</v>
      </c>
      <c r="AR543" s="813">
        <v>3285000</v>
      </c>
      <c r="AS543" s="813">
        <v>13555000</v>
      </c>
      <c r="AT543" s="813">
        <v>3392950</v>
      </c>
      <c r="AU543" s="518">
        <f>BI543</f>
        <v>6000000</v>
      </c>
      <c r="AV543" s="518">
        <f>BJ543</f>
        <v>6000000</v>
      </c>
      <c r="AW543" s="518">
        <f>BK543</f>
        <v>6000000</v>
      </c>
      <c r="AX543" s="518">
        <f t="shared" si="330"/>
        <v>68834950</v>
      </c>
      <c r="AY543" s="853" t="e">
        <v>#N/A</v>
      </c>
      <c r="AZ543" s="814">
        <v>3242000</v>
      </c>
      <c r="BA543" s="859">
        <v>11490000</v>
      </c>
      <c r="BB543" s="858">
        <v>8130000</v>
      </c>
      <c r="BC543" s="758">
        <v>8130000</v>
      </c>
      <c r="BD543" s="758">
        <v>3235000</v>
      </c>
      <c r="BE543" s="524">
        <v>8130000</v>
      </c>
      <c r="BF543" s="758">
        <v>2710000</v>
      </c>
      <c r="BG543" s="518">
        <f>AP543</f>
        <v>525000</v>
      </c>
      <c r="BH543" s="758">
        <v>6000000</v>
      </c>
      <c r="BI543" s="758">
        <v>6000000</v>
      </c>
      <c r="BJ543" s="758">
        <v>6000000</v>
      </c>
      <c r="BK543" s="758">
        <v>6000000</v>
      </c>
      <c r="BL543" s="759">
        <f>SUM(AZ543,BA543,BB543,BC543,BD543,BE543,BF543,BG543,BH543,BI543,BJ543,BK543)</f>
        <v>69592000</v>
      </c>
      <c r="BN543" s="758">
        <v>6000000</v>
      </c>
      <c r="BO543" s="758">
        <v>6000000</v>
      </c>
      <c r="BP543" s="758">
        <v>6000000</v>
      </c>
      <c r="BQ543" s="758">
        <v>6000000</v>
      </c>
      <c r="BR543" s="758">
        <v>6000000</v>
      </c>
      <c r="BS543" s="758">
        <v>6000000</v>
      </c>
      <c r="BT543" s="758">
        <v>6000000</v>
      </c>
      <c r="BU543" s="758">
        <v>6000000</v>
      </c>
      <c r="BV543" s="758">
        <v>6000000</v>
      </c>
      <c r="BW543" s="758">
        <v>6000000</v>
      </c>
      <c r="BX543" s="758">
        <v>6000000</v>
      </c>
      <c r="BY543" s="758">
        <v>6000000</v>
      </c>
      <c r="BZ543" s="791">
        <v>72000000</v>
      </c>
      <c r="CB543" s="758">
        <v>6000000</v>
      </c>
      <c r="CC543" s="758">
        <v>6000000</v>
      </c>
      <c r="CD543" s="758">
        <v>6000000</v>
      </c>
      <c r="CE543" s="758">
        <v>6000000</v>
      </c>
      <c r="CF543" s="758">
        <v>6000000</v>
      </c>
      <c r="CG543" s="758">
        <v>6000000</v>
      </c>
      <c r="CH543" s="758">
        <v>6000000</v>
      </c>
      <c r="CI543" s="758">
        <v>6000000</v>
      </c>
      <c r="CJ543" s="758">
        <v>6000000</v>
      </c>
      <c r="CK543" s="758">
        <v>6000000</v>
      </c>
      <c r="CL543" s="758">
        <v>6000000</v>
      </c>
      <c r="CM543" s="758">
        <v>6000000</v>
      </c>
      <c r="CN543" s="791">
        <v>72000000</v>
      </c>
      <c r="CO543" s="37"/>
      <c r="CP543" s="657"/>
      <c r="CQ543" s="657">
        <v>525000</v>
      </c>
      <c r="CR543" s="528">
        <v>525000</v>
      </c>
      <c r="CS543" s="657">
        <v>13550000</v>
      </c>
      <c r="CT543" s="528"/>
      <c r="CU543" s="657">
        <v>5520000</v>
      </c>
      <c r="CV543" s="528"/>
      <c r="CW543" s="657">
        <v>2710000</v>
      </c>
      <c r="CX543" s="528"/>
      <c r="CY543" s="657"/>
      <c r="CZ543" s="528"/>
      <c r="DA543" s="657">
        <v>5420000</v>
      </c>
      <c r="DB543" s="528"/>
      <c r="DC543" s="657">
        <v>5420000</v>
      </c>
      <c r="DD543" s="528"/>
      <c r="DE543" s="758"/>
      <c r="DF543" s="528"/>
      <c r="DG543" s="757"/>
      <c r="DH543" s="758"/>
      <c r="DI543" s="528"/>
      <c r="DJ543" s="757"/>
      <c r="DK543" s="758"/>
      <c r="DL543" s="528"/>
      <c r="DM543" s="757"/>
      <c r="DN543" s="758"/>
      <c r="DO543" s="528"/>
      <c r="DP543" s="757"/>
      <c r="DQ543" s="493">
        <f t="shared" si="314"/>
        <v>33145000</v>
      </c>
      <c r="DR543" s="479">
        <f t="shared" si="316"/>
        <v>19595000</v>
      </c>
      <c r="DS543" s="1020"/>
      <c r="DT543" s="1020"/>
      <c r="DU543" s="1020"/>
      <c r="DV543" s="1020"/>
      <c r="DW543" s="1020"/>
      <c r="DX543" s="1020"/>
      <c r="DY543" s="1020"/>
      <c r="DZ543" s="1020"/>
      <c r="EA543" s="1020"/>
      <c r="EB543" s="1020"/>
      <c r="EC543" s="1020"/>
      <c r="ED543" s="1020"/>
      <c r="EE543" s="1119">
        <f t="shared" si="315"/>
        <v>0</v>
      </c>
      <c r="EF543" s="443">
        <v>101000000</v>
      </c>
      <c r="EG543" s="443">
        <f>EF543*1.08</f>
        <v>109080000</v>
      </c>
      <c r="EH543" s="443">
        <f>EG543*1.09</f>
        <v>118897200.00000001</v>
      </c>
      <c r="EI543" s="443">
        <f>EH543*1.09</f>
        <v>129597948.00000003</v>
      </c>
      <c r="EJ543" s="367">
        <v>3000007612</v>
      </c>
      <c r="EL543" s="177"/>
      <c r="EM543" s="177"/>
      <c r="EN543" s="177"/>
    </row>
    <row r="544" spans="1:144" outlineLevel="2">
      <c r="A544" s="367" t="s">
        <v>291</v>
      </c>
      <c r="B544" s="378"/>
      <c r="C544" s="370" t="s">
        <v>688</v>
      </c>
      <c r="D544" s="370" t="s">
        <v>40</v>
      </c>
      <c r="E544" s="383" t="s">
        <v>765</v>
      </c>
      <c r="F544" s="380"/>
      <c r="G544" s="189"/>
      <c r="H544" s="13"/>
      <c r="I544" s="185"/>
      <c r="J544" s="185"/>
      <c r="K544" s="185"/>
      <c r="L544" s="185"/>
      <c r="M544" s="185"/>
      <c r="N544" s="185"/>
      <c r="O544" s="185"/>
      <c r="P544" s="185"/>
      <c r="Q544" s="185"/>
      <c r="R544" s="185"/>
      <c r="S544" s="14"/>
      <c r="T544" s="179"/>
      <c r="U544" s="189"/>
      <c r="V544" s="13"/>
      <c r="W544" s="185"/>
      <c r="X544" s="185"/>
      <c r="Y544" s="185"/>
      <c r="Z544" s="185"/>
      <c r="AA544" s="185"/>
      <c r="AB544" s="185"/>
      <c r="AC544" s="185"/>
      <c r="AD544" s="185"/>
      <c r="AE544" s="185"/>
      <c r="AF544" s="185"/>
      <c r="AG544" s="759"/>
      <c r="AH544" s="811"/>
      <c r="AI544" s="189"/>
      <c r="AJ544" s="810"/>
      <c r="AK544" s="758"/>
      <c r="AL544" s="758"/>
      <c r="AM544" s="758"/>
      <c r="AN544" s="758"/>
      <c r="AO544" s="758"/>
      <c r="AP544" s="758"/>
      <c r="AQ544" s="518"/>
      <c r="AR544" s="813"/>
      <c r="AS544" s="518">
        <v>2762565</v>
      </c>
      <c r="AT544" s="518"/>
      <c r="AU544" s="758"/>
      <c r="AV544" s="758"/>
      <c r="AW544" s="758"/>
      <c r="AX544" s="518">
        <f t="shared" si="330"/>
        <v>2762565</v>
      </c>
      <c r="AY544" s="811"/>
      <c r="AZ544" s="189"/>
      <c r="BA544" s="810"/>
      <c r="BB544" s="758"/>
      <c r="BC544" s="758"/>
      <c r="BD544" s="758"/>
      <c r="BE544" s="758"/>
      <c r="BF544" s="758"/>
      <c r="BG544" s="758"/>
      <c r="BH544" s="758"/>
      <c r="BI544" s="758"/>
      <c r="BJ544" s="758"/>
      <c r="BK544" s="758"/>
      <c r="BL544" s="518"/>
      <c r="BN544" s="6"/>
      <c r="BO544" s="810"/>
      <c r="BP544" s="758"/>
      <c r="BQ544" s="758"/>
      <c r="BR544" s="758"/>
      <c r="BS544" s="758"/>
      <c r="BT544" s="758"/>
      <c r="BU544" s="758"/>
      <c r="BV544" s="758"/>
      <c r="BW544" s="758"/>
      <c r="BX544" s="758"/>
      <c r="BY544" s="758"/>
      <c r="BZ544" s="791">
        <v>0</v>
      </c>
      <c r="CB544" s="6"/>
      <c r="CC544" s="810"/>
      <c r="CD544" s="758"/>
      <c r="CE544" s="758"/>
      <c r="CF544" s="758"/>
      <c r="CG544" s="758"/>
      <c r="CH544" s="758"/>
      <c r="CI544" s="758"/>
      <c r="CJ544" s="758"/>
      <c r="CK544" s="758"/>
      <c r="CL544" s="758"/>
      <c r="CM544" s="758"/>
      <c r="CN544" s="791">
        <v>0</v>
      </c>
      <c r="CO544" s="37"/>
      <c r="CP544" s="658"/>
      <c r="CQ544" s="658"/>
      <c r="CR544" s="189"/>
      <c r="CS544" s="658"/>
      <c r="CT544" s="189"/>
      <c r="CU544" s="658"/>
      <c r="CV544" s="189"/>
      <c r="CW544" s="658"/>
      <c r="CX544" s="189"/>
      <c r="CY544" s="658"/>
      <c r="CZ544" s="189"/>
      <c r="DA544" s="658"/>
      <c r="DB544" s="189"/>
      <c r="DC544" s="658">
        <v>0</v>
      </c>
      <c r="DD544" s="189"/>
      <c r="DE544" s="758"/>
      <c r="DF544" s="189"/>
      <c r="DG544" s="757"/>
      <c r="DH544" s="758"/>
      <c r="DI544" s="189"/>
      <c r="DJ544" s="757"/>
      <c r="DK544" s="758"/>
      <c r="DL544" s="189"/>
      <c r="DM544" s="757"/>
      <c r="DN544" s="758"/>
      <c r="DO544" s="189"/>
      <c r="DP544" s="757"/>
      <c r="DQ544" s="493">
        <f t="shared" si="314"/>
        <v>0</v>
      </c>
      <c r="DR544" s="479">
        <f t="shared" si="316"/>
        <v>0</v>
      </c>
      <c r="DS544" s="1020"/>
      <c r="DT544" s="1020"/>
      <c r="DU544" s="1020"/>
      <c r="DV544" s="1020"/>
      <c r="DW544" s="1020"/>
      <c r="DX544" s="1020"/>
      <c r="DY544" s="1020"/>
      <c r="DZ544" s="1020"/>
      <c r="EA544" s="1020"/>
      <c r="EB544" s="1020"/>
      <c r="EC544" s="1020"/>
      <c r="ED544" s="1020"/>
      <c r="EE544" s="1119">
        <f t="shared" si="315"/>
        <v>0</v>
      </c>
      <c r="EF544" s="447"/>
      <c r="EG544" s="447"/>
      <c r="EH544" s="447"/>
      <c r="EI544" s="447"/>
      <c r="EL544" s="177"/>
      <c r="EM544" s="177"/>
      <c r="EN544" s="177"/>
    </row>
    <row r="545" spans="1:144" outlineLevel="2">
      <c r="A545" s="367" t="s">
        <v>291</v>
      </c>
      <c r="B545" s="378"/>
      <c r="C545" s="370" t="s">
        <v>688</v>
      </c>
      <c r="D545" s="370" t="s">
        <v>40</v>
      </c>
      <c r="E545" s="383" t="s">
        <v>100</v>
      </c>
      <c r="F545" s="380">
        <v>3000015283</v>
      </c>
      <c r="G545" s="189"/>
      <c r="H545" s="30"/>
      <c r="I545" s="27"/>
      <c r="J545" s="185"/>
      <c r="K545" s="185"/>
      <c r="L545" s="194"/>
      <c r="M545" s="185"/>
      <c r="N545" s="185"/>
      <c r="O545" s="7"/>
      <c r="P545" s="7"/>
      <c r="Q545" s="7"/>
      <c r="R545" s="7"/>
      <c r="S545" s="14">
        <f>SUM(G545,H545,I545,J545,K545,L545,M545,N545,O545,P545,Q545,R545)</f>
        <v>0</v>
      </c>
      <c r="T545" s="179"/>
      <c r="U545" s="189"/>
      <c r="V545" s="30"/>
      <c r="W545" s="27"/>
      <c r="X545" s="185"/>
      <c r="Y545" s="185"/>
      <c r="Z545" s="194"/>
      <c r="AA545" s="185"/>
      <c r="AB545" s="185"/>
      <c r="AC545" s="7"/>
      <c r="AD545" s="7"/>
      <c r="AE545" s="7"/>
      <c r="AF545" s="7"/>
      <c r="AG545" s="759">
        <f>SUM(U545,V545,W545,X545,Y545,Z545,AA545,AB545,AC545,AD545,AE545,AF545)</f>
        <v>0</v>
      </c>
      <c r="AH545" s="861">
        <v>3000015283</v>
      </c>
      <c r="AI545" s="189"/>
      <c r="AJ545" s="859">
        <v>2400000</v>
      </c>
      <c r="AK545" s="858">
        <v>2400000</v>
      </c>
      <c r="AL545" s="758">
        <v>0</v>
      </c>
      <c r="AM545" s="758">
        <v>2400000</v>
      </c>
      <c r="AN545" s="524">
        <v>650000</v>
      </c>
      <c r="AO545" s="758">
        <v>0</v>
      </c>
      <c r="AP545" s="758">
        <v>0</v>
      </c>
      <c r="AQ545" s="518">
        <v>0</v>
      </c>
      <c r="AR545" s="813">
        <v>3400000</v>
      </c>
      <c r="AS545" s="813">
        <v>650000</v>
      </c>
      <c r="AT545" s="813">
        <v>0</v>
      </c>
      <c r="AU545" s="518">
        <f t="shared" ref="AU545:AW546" si="331">BI545</f>
        <v>0</v>
      </c>
      <c r="AV545" s="518">
        <f t="shared" si="331"/>
        <v>0</v>
      </c>
      <c r="AW545" s="518">
        <f t="shared" si="331"/>
        <v>0</v>
      </c>
      <c r="AX545" s="518">
        <f t="shared" si="330"/>
        <v>11900000</v>
      </c>
      <c r="AY545" s="861">
        <v>0</v>
      </c>
      <c r="AZ545" s="189"/>
      <c r="BA545" s="859">
        <v>2400000</v>
      </c>
      <c r="BB545" s="858">
        <v>2400000</v>
      </c>
      <c r="BC545" s="758">
        <v>0</v>
      </c>
      <c r="BD545" s="758">
        <v>2400000</v>
      </c>
      <c r="BE545" s="524">
        <v>650000</v>
      </c>
      <c r="BF545" s="758">
        <v>0</v>
      </c>
      <c r="BG545" s="518">
        <f>AP545</f>
        <v>0</v>
      </c>
      <c r="BH545" s="758">
        <v>0</v>
      </c>
      <c r="BI545" s="758">
        <v>0</v>
      </c>
      <c r="BJ545" s="758">
        <v>0</v>
      </c>
      <c r="BK545" s="758">
        <v>0</v>
      </c>
      <c r="BL545" s="759">
        <f t="shared" ref="BL545:BL561" si="332">SUM(AZ545,BA545,BB545,BC545,BD545,BE545,BF545,BG545,BH545,BI545,BJ545,BK545)</f>
        <v>7850000</v>
      </c>
      <c r="BN545" s="485">
        <v>0</v>
      </c>
      <c r="BO545" s="758">
        <v>0</v>
      </c>
      <c r="BP545" s="758">
        <v>0</v>
      </c>
      <c r="BQ545" s="758">
        <v>0</v>
      </c>
      <c r="BR545" s="758">
        <v>0</v>
      </c>
      <c r="BS545" s="758">
        <v>0</v>
      </c>
      <c r="BT545" s="758">
        <v>0</v>
      </c>
      <c r="BU545" s="758">
        <v>0</v>
      </c>
      <c r="BV545" s="758">
        <v>0</v>
      </c>
      <c r="BW545" s="758">
        <v>0</v>
      </c>
      <c r="BX545" s="758">
        <v>0</v>
      </c>
      <c r="BY545" s="758">
        <v>0</v>
      </c>
      <c r="BZ545" s="791">
        <v>0</v>
      </c>
      <c r="CB545" s="485">
        <v>0</v>
      </c>
      <c r="CC545" s="758">
        <v>0</v>
      </c>
      <c r="CD545" s="758">
        <v>0</v>
      </c>
      <c r="CE545" s="758">
        <v>0</v>
      </c>
      <c r="CF545" s="758">
        <v>0</v>
      </c>
      <c r="CG545" s="758">
        <v>0</v>
      </c>
      <c r="CH545" s="758">
        <v>0</v>
      </c>
      <c r="CI545" s="758">
        <v>0</v>
      </c>
      <c r="CJ545" s="758">
        <v>0</v>
      </c>
      <c r="CK545" s="758">
        <v>0</v>
      </c>
      <c r="CL545" s="758">
        <v>0</v>
      </c>
      <c r="CM545" s="758">
        <v>0</v>
      </c>
      <c r="CN545" s="791">
        <v>0</v>
      </c>
      <c r="CO545" s="37"/>
      <c r="CP545" s="657">
        <v>650000</v>
      </c>
      <c r="CQ545" s="657">
        <v>4650000</v>
      </c>
      <c r="CR545" s="528">
        <v>4650000</v>
      </c>
      <c r="CS545" s="657">
        <v>2400000</v>
      </c>
      <c r="CT545" s="528"/>
      <c r="CU545" s="657"/>
      <c r="CV545" s="528"/>
      <c r="CW545" s="657"/>
      <c r="CX545" s="528"/>
      <c r="CY545" s="657">
        <v>650000</v>
      </c>
      <c r="CZ545" s="528"/>
      <c r="DA545" s="657"/>
      <c r="DB545" s="528"/>
      <c r="DC545" s="657">
        <v>3700000</v>
      </c>
      <c r="DD545" s="528"/>
      <c r="DE545" s="758"/>
      <c r="DF545" s="528"/>
      <c r="DG545" s="757"/>
      <c r="DH545" s="758"/>
      <c r="DI545" s="528"/>
      <c r="DJ545" s="757"/>
      <c r="DK545" s="758"/>
      <c r="DL545" s="528"/>
      <c r="DM545" s="757"/>
      <c r="DN545" s="758"/>
      <c r="DO545" s="528"/>
      <c r="DP545" s="757"/>
      <c r="DQ545" s="493">
        <f t="shared" si="314"/>
        <v>12050000</v>
      </c>
      <c r="DR545" s="479">
        <f t="shared" si="316"/>
        <v>7700000</v>
      </c>
      <c r="DS545" s="1020"/>
      <c r="DT545" s="1020"/>
      <c r="DU545" s="1020"/>
      <c r="DV545" s="1020"/>
      <c r="DW545" s="1020"/>
      <c r="DX545" s="1020"/>
      <c r="DY545" s="1020"/>
      <c r="DZ545" s="1020"/>
      <c r="EA545" s="1020"/>
      <c r="EB545" s="1020"/>
      <c r="EC545" s="1020"/>
      <c r="ED545" s="1020"/>
      <c r="EE545" s="1119">
        <f t="shared" si="315"/>
        <v>0</v>
      </c>
      <c r="EF545" s="443">
        <f>EE545*1.17</f>
        <v>0</v>
      </c>
      <c r="EG545" s="443">
        <f>EF545*1.08</f>
        <v>0</v>
      </c>
      <c r="EH545" s="443">
        <f>EG545*1.09</f>
        <v>0</v>
      </c>
      <c r="EI545" s="443">
        <f>EH545*1.09</f>
        <v>0</v>
      </c>
      <c r="EJ545" s="367">
        <v>3000015283</v>
      </c>
      <c r="EL545" s="177"/>
      <c r="EM545" s="177"/>
      <c r="EN545" s="177"/>
    </row>
    <row r="546" spans="1:144" outlineLevel="2">
      <c r="A546" s="367" t="s">
        <v>291</v>
      </c>
      <c r="B546" s="378"/>
      <c r="C546" s="370" t="s">
        <v>688</v>
      </c>
      <c r="D546" s="370" t="s">
        <v>40</v>
      </c>
      <c r="E546" s="403" t="s">
        <v>766</v>
      </c>
      <c r="F546" s="380">
        <v>3000019744</v>
      </c>
      <c r="G546" s="189"/>
      <c r="H546" s="13"/>
      <c r="I546" s="185"/>
      <c r="J546" s="185"/>
      <c r="K546" s="185"/>
      <c r="L546" s="194"/>
      <c r="M546" s="185"/>
      <c r="N546" s="185"/>
      <c r="O546" s="7"/>
      <c r="P546" s="7"/>
      <c r="Q546" s="7"/>
      <c r="R546" s="7"/>
      <c r="S546" s="14">
        <f>SUM(G546,H546,I546,J546,K546,L546,M546,N546,O546,P546,Q546,R546)</f>
        <v>0</v>
      </c>
      <c r="T546" s="179"/>
      <c r="U546" s="189"/>
      <c r="V546" s="13"/>
      <c r="W546" s="185"/>
      <c r="X546" s="185"/>
      <c r="Y546" s="185"/>
      <c r="Z546" s="194"/>
      <c r="AA546" s="185"/>
      <c r="AB546" s="185"/>
      <c r="AC546" s="7"/>
      <c r="AD546" s="7"/>
      <c r="AE546" s="7"/>
      <c r="AF546" s="7"/>
      <c r="AG546" s="759">
        <f>SUM(U546,V546,W546,X546,Y546,Z546,AA546,AB546,AC546,AD546,AE546,AF546)</f>
        <v>0</v>
      </c>
      <c r="AH546" s="861">
        <v>3000019744</v>
      </c>
      <c r="AI546" s="189"/>
      <c r="AJ546" s="810"/>
      <c r="AK546" s="758"/>
      <c r="AL546" s="758">
        <v>0</v>
      </c>
      <c r="AM546" s="758"/>
      <c r="AN546" s="524"/>
      <c r="AO546" s="758">
        <v>3998871</v>
      </c>
      <c r="AP546" s="758">
        <v>1500000</v>
      </c>
      <c r="AQ546" s="518">
        <v>0</v>
      </c>
      <c r="AR546" s="813">
        <v>0</v>
      </c>
      <c r="AS546" s="813">
        <v>0</v>
      </c>
      <c r="AT546" s="813">
        <v>5055444</v>
      </c>
      <c r="AU546" s="518">
        <f t="shared" si="331"/>
        <v>0</v>
      </c>
      <c r="AV546" s="518">
        <f t="shared" si="331"/>
        <v>0</v>
      </c>
      <c r="AW546" s="518">
        <f t="shared" si="331"/>
        <v>0</v>
      </c>
      <c r="AX546" s="518">
        <f t="shared" si="330"/>
        <v>10554315</v>
      </c>
      <c r="AY546" s="861">
        <v>0</v>
      </c>
      <c r="AZ546" s="189"/>
      <c r="BA546" s="810"/>
      <c r="BB546" s="758"/>
      <c r="BC546" s="758">
        <v>0</v>
      </c>
      <c r="BD546" s="758"/>
      <c r="BE546" s="524"/>
      <c r="BF546" s="758">
        <v>3998871</v>
      </c>
      <c r="BG546" s="518">
        <f>AP546</f>
        <v>1500000</v>
      </c>
      <c r="BH546" s="758">
        <v>0</v>
      </c>
      <c r="BI546" s="758">
        <v>0</v>
      </c>
      <c r="BJ546" s="758">
        <v>0</v>
      </c>
      <c r="BK546" s="758">
        <v>0</v>
      </c>
      <c r="BL546" s="759">
        <f t="shared" si="332"/>
        <v>5498871</v>
      </c>
      <c r="BN546" s="485">
        <v>0</v>
      </c>
      <c r="BO546" s="758">
        <v>0</v>
      </c>
      <c r="BP546" s="758">
        <v>0</v>
      </c>
      <c r="BQ546" s="758">
        <v>0</v>
      </c>
      <c r="BR546" s="758">
        <v>0</v>
      </c>
      <c r="BS546" s="758">
        <v>0</v>
      </c>
      <c r="BT546" s="758">
        <v>0</v>
      </c>
      <c r="BU546" s="758">
        <v>0</v>
      </c>
      <c r="BV546" s="758">
        <v>0</v>
      </c>
      <c r="BW546" s="758">
        <v>0</v>
      </c>
      <c r="BX546" s="758">
        <v>0</v>
      </c>
      <c r="BY546" s="758">
        <v>0</v>
      </c>
      <c r="BZ546" s="791">
        <v>0</v>
      </c>
      <c r="CB546" s="485">
        <v>0</v>
      </c>
      <c r="CC546" s="758">
        <v>0</v>
      </c>
      <c r="CD546" s="758">
        <v>0</v>
      </c>
      <c r="CE546" s="758">
        <v>0</v>
      </c>
      <c r="CF546" s="758">
        <v>0</v>
      </c>
      <c r="CG546" s="758">
        <v>0</v>
      </c>
      <c r="CH546" s="758">
        <v>0</v>
      </c>
      <c r="CI546" s="758">
        <v>0</v>
      </c>
      <c r="CJ546" s="758">
        <v>0</v>
      </c>
      <c r="CK546" s="758">
        <v>0</v>
      </c>
      <c r="CL546" s="758">
        <v>0</v>
      </c>
      <c r="CM546" s="758">
        <v>0</v>
      </c>
      <c r="CN546" s="791">
        <v>0</v>
      </c>
      <c r="CO546" s="37"/>
      <c r="CP546" s="657"/>
      <c r="CQ546" s="657"/>
      <c r="CR546" s="528"/>
      <c r="CS546" s="657"/>
      <c r="CT546" s="528"/>
      <c r="CU546" s="657"/>
      <c r="CV546" s="528"/>
      <c r="CW546" s="657"/>
      <c r="CX546" s="528"/>
      <c r="CY546" s="657"/>
      <c r="CZ546" s="528"/>
      <c r="DA546" s="657"/>
      <c r="DB546" s="528"/>
      <c r="DC546" s="657">
        <v>0</v>
      </c>
      <c r="DD546" s="528"/>
      <c r="DE546" s="758"/>
      <c r="DF546" s="528"/>
      <c r="DG546" s="757"/>
      <c r="DH546" s="758"/>
      <c r="DI546" s="528"/>
      <c r="DJ546" s="757"/>
      <c r="DK546" s="758"/>
      <c r="DL546" s="528"/>
      <c r="DM546" s="757"/>
      <c r="DN546" s="758"/>
      <c r="DO546" s="528"/>
      <c r="DP546" s="757"/>
      <c r="DQ546" s="493">
        <f t="shared" si="314"/>
        <v>0</v>
      </c>
      <c r="DR546" s="479">
        <f t="shared" ref="DR546:DR571" si="333">SUM(CP546,CQ546,CS546,CU546,CX546,CZ546,DB546,DD546,DG546,DJ546,DM546,DP546)</f>
        <v>0</v>
      </c>
      <c r="DS546" s="1020"/>
      <c r="DT546" s="1020"/>
      <c r="DU546" s="1020"/>
      <c r="DV546" s="1020"/>
      <c r="DW546" s="1020"/>
      <c r="DX546" s="1020"/>
      <c r="DY546" s="1020"/>
      <c r="DZ546" s="1020"/>
      <c r="EA546" s="1020"/>
      <c r="EB546" s="1020"/>
      <c r="EC546" s="1020"/>
      <c r="ED546" s="1020"/>
      <c r="EE546" s="1119">
        <f t="shared" si="315"/>
        <v>0</v>
      </c>
      <c r="EF546" s="443">
        <f>EE546*1.17</f>
        <v>0</v>
      </c>
      <c r="EG546" s="443">
        <f>EF546*1.08</f>
        <v>0</v>
      </c>
      <c r="EH546" s="443">
        <f>EG546*1.09</f>
        <v>0</v>
      </c>
      <c r="EI546" s="443">
        <f>EH546*1.09</f>
        <v>0</v>
      </c>
      <c r="EJ546" s="367">
        <v>3000019744</v>
      </c>
      <c r="EL546" s="177"/>
      <c r="EM546" s="177"/>
      <c r="EN546" s="177"/>
    </row>
    <row r="547" spans="1:144" outlineLevel="2">
      <c r="A547" s="367" t="s">
        <v>687</v>
      </c>
      <c r="B547" s="378"/>
      <c r="C547" s="370" t="s">
        <v>688</v>
      </c>
      <c r="D547" s="370" t="s">
        <v>40</v>
      </c>
      <c r="E547" s="379" t="s">
        <v>767</v>
      </c>
      <c r="F547" s="380">
        <v>3000020165</v>
      </c>
      <c r="G547" s="189"/>
      <c r="H547" s="13"/>
      <c r="I547" s="185"/>
      <c r="J547" s="185"/>
      <c r="K547" s="185"/>
      <c r="L547" s="185"/>
      <c r="M547" s="185"/>
      <c r="N547" s="185"/>
      <c r="O547" s="7"/>
      <c r="P547" s="7"/>
      <c r="Q547" s="7"/>
      <c r="R547" s="7"/>
      <c r="S547" s="14"/>
      <c r="T547" s="179"/>
      <c r="U547" s="189"/>
      <c r="V547" s="13"/>
      <c r="W547" s="185"/>
      <c r="X547" s="185"/>
      <c r="Y547" s="185"/>
      <c r="Z547" s="185"/>
      <c r="AA547" s="185"/>
      <c r="AB547" s="185"/>
      <c r="AC547" s="7"/>
      <c r="AD547" s="7"/>
      <c r="AE547" s="7"/>
      <c r="AF547" s="7"/>
      <c r="AG547" s="759"/>
      <c r="AH547" s="861"/>
      <c r="AI547" s="189"/>
      <c r="AJ547" s="810"/>
      <c r="AK547" s="758"/>
      <c r="AL547" s="758"/>
      <c r="AM547" s="758"/>
      <c r="AN547" s="758"/>
      <c r="AO547" s="758"/>
      <c r="AP547" s="758"/>
      <c r="AQ547" s="518">
        <v>515750</v>
      </c>
      <c r="AR547" s="813">
        <v>0</v>
      </c>
      <c r="AS547" s="813">
        <v>350000</v>
      </c>
      <c r="AT547" s="813">
        <v>1518750</v>
      </c>
      <c r="AU547" s="518"/>
      <c r="AV547" s="518"/>
      <c r="AW547" s="518"/>
      <c r="AX547" s="518">
        <f t="shared" si="330"/>
        <v>2384500</v>
      </c>
      <c r="AY547" s="861"/>
      <c r="AZ547" s="189"/>
      <c r="BA547" s="810"/>
      <c r="BB547" s="758"/>
      <c r="BC547" s="758"/>
      <c r="BD547" s="758"/>
      <c r="BE547" s="758"/>
      <c r="BF547" s="758"/>
      <c r="BG547" s="518"/>
      <c r="BH547" s="758"/>
      <c r="BI547" s="758"/>
      <c r="BJ547" s="758"/>
      <c r="BK547" s="758"/>
      <c r="BL547" s="518">
        <f t="shared" si="332"/>
        <v>0</v>
      </c>
      <c r="BN547" s="485"/>
      <c r="BO547" s="758"/>
      <c r="BP547" s="758"/>
      <c r="BQ547" s="758"/>
      <c r="BR547" s="758"/>
      <c r="BS547" s="758"/>
      <c r="BT547" s="758"/>
      <c r="BU547" s="758"/>
      <c r="BV547" s="758"/>
      <c r="BW547" s="758"/>
      <c r="BX547" s="758"/>
      <c r="BY547" s="758"/>
      <c r="BZ547" s="791">
        <v>0</v>
      </c>
      <c r="CB547" s="485"/>
      <c r="CC547" s="758"/>
      <c r="CD547" s="758"/>
      <c r="CE547" s="758"/>
      <c r="CF547" s="758"/>
      <c r="CG547" s="758"/>
      <c r="CH547" s="758"/>
      <c r="CI547" s="758"/>
      <c r="CJ547" s="758"/>
      <c r="CK547" s="758"/>
      <c r="CL547" s="758"/>
      <c r="CM547" s="758"/>
      <c r="CN547" s="791">
        <v>0</v>
      </c>
      <c r="CO547" s="37"/>
      <c r="CP547" s="657">
        <v>224000</v>
      </c>
      <c r="CQ547" s="657">
        <v>1195000</v>
      </c>
      <c r="CR547" s="528"/>
      <c r="CS547" s="657">
        <v>-224000</v>
      </c>
      <c r="CT547" s="528"/>
      <c r="CU547" s="657">
        <v>1195450</v>
      </c>
      <c r="CV547" s="528"/>
      <c r="CW547" s="657"/>
      <c r="CX547" s="528"/>
      <c r="CY547" s="657"/>
      <c r="CZ547" s="528"/>
      <c r="DA547" s="657"/>
      <c r="DB547" s="528"/>
      <c r="DC547" s="657">
        <v>0</v>
      </c>
      <c r="DD547" s="528"/>
      <c r="DE547" s="758"/>
      <c r="DF547" s="528"/>
      <c r="DG547" s="757"/>
      <c r="DH547" s="758"/>
      <c r="DI547" s="528"/>
      <c r="DJ547" s="757"/>
      <c r="DK547" s="758"/>
      <c r="DL547" s="528"/>
      <c r="DM547" s="757"/>
      <c r="DN547" s="758"/>
      <c r="DO547" s="528"/>
      <c r="DP547" s="757"/>
      <c r="DQ547" s="493">
        <f t="shared" si="314"/>
        <v>2390450</v>
      </c>
      <c r="DR547" s="479">
        <f t="shared" si="333"/>
        <v>2390450</v>
      </c>
      <c r="DS547" s="1020"/>
      <c r="DT547" s="1020"/>
      <c r="DU547" s="1020"/>
      <c r="DV547" s="1020"/>
      <c r="DW547" s="1020"/>
      <c r="DX547" s="1020"/>
      <c r="DY547" s="1020"/>
      <c r="DZ547" s="1020"/>
      <c r="EA547" s="1020"/>
      <c r="EB547" s="1020"/>
      <c r="EC547" s="1020"/>
      <c r="ED547" s="1020"/>
      <c r="EE547" s="1119">
        <f t="shared" si="315"/>
        <v>0</v>
      </c>
      <c r="EF547" s="459"/>
      <c r="EG547" s="459"/>
      <c r="EH547" s="459"/>
      <c r="EI547" s="459"/>
      <c r="EJ547" s="367">
        <v>3000020165</v>
      </c>
      <c r="EL547" s="177"/>
      <c r="EM547" s="177"/>
      <c r="EN547" s="177"/>
    </row>
    <row r="548" spans="1:144" outlineLevel="2">
      <c r="A548" s="367" t="s">
        <v>687</v>
      </c>
      <c r="B548" s="378"/>
      <c r="C548" s="370" t="s">
        <v>688</v>
      </c>
      <c r="D548" s="370" t="s">
        <v>40</v>
      </c>
      <c r="E548" s="383" t="s">
        <v>768</v>
      </c>
      <c r="F548" s="380">
        <v>3000018998</v>
      </c>
      <c r="G548" s="186"/>
      <c r="H548" s="13"/>
      <c r="I548" s="185"/>
      <c r="J548" s="185"/>
      <c r="K548" s="185"/>
      <c r="L548" s="194"/>
      <c r="M548" s="185"/>
      <c r="N548" s="185"/>
      <c r="O548" s="7"/>
      <c r="P548" s="7"/>
      <c r="Q548" s="7"/>
      <c r="R548" s="7"/>
      <c r="S548" s="14">
        <f t="shared" ref="S548:S555" si="334">SUM(G548,H548,I548,J548,K548,L548,M548,N548,O548,P548,Q548,R548)</f>
        <v>0</v>
      </c>
      <c r="T548" s="179"/>
      <c r="U548" s="186"/>
      <c r="V548" s="13"/>
      <c r="W548" s="185"/>
      <c r="X548" s="185"/>
      <c r="Y548" s="185"/>
      <c r="Z548" s="194"/>
      <c r="AA548" s="185"/>
      <c r="AB548" s="185"/>
      <c r="AC548" s="7"/>
      <c r="AD548" s="7"/>
      <c r="AE548" s="7"/>
      <c r="AF548" s="7"/>
      <c r="AG548" s="759">
        <f t="shared" ref="AG548:AG555" si="335">SUM(U548,V548,W548,X548,Y548,Z548,AA548,AB548,AC548,AD548,AE548,AF548)</f>
        <v>0</v>
      </c>
      <c r="AH548" s="861">
        <v>3000018998</v>
      </c>
      <c r="AI548" s="814">
        <v>3754300</v>
      </c>
      <c r="AJ548" s="810"/>
      <c r="AK548" s="758"/>
      <c r="AL548" s="758">
        <v>8712000</v>
      </c>
      <c r="AM548" s="758">
        <v>0</v>
      </c>
      <c r="AN548" s="524">
        <v>11697675</v>
      </c>
      <c r="AO548" s="758">
        <v>0</v>
      </c>
      <c r="AP548" s="758">
        <v>0</v>
      </c>
      <c r="AQ548" s="518">
        <v>0</v>
      </c>
      <c r="AR548" s="518"/>
      <c r="AS548" s="518"/>
      <c r="AT548" s="518"/>
      <c r="AU548" s="518">
        <f t="shared" ref="AU548:AW555" si="336">BI548</f>
        <v>5000000</v>
      </c>
      <c r="AV548" s="518">
        <f t="shared" si="336"/>
        <v>0</v>
      </c>
      <c r="AW548" s="518">
        <f t="shared" si="336"/>
        <v>5000000</v>
      </c>
      <c r="AX548" s="518">
        <f t="shared" si="330"/>
        <v>24163975</v>
      </c>
      <c r="AY548" s="861" t="e">
        <v>#N/A</v>
      </c>
      <c r="AZ548" s="814">
        <v>3754300</v>
      </c>
      <c r="BA548" s="810"/>
      <c r="BB548" s="758"/>
      <c r="BC548" s="758">
        <v>8712000</v>
      </c>
      <c r="BD548" s="758">
        <v>0</v>
      </c>
      <c r="BE548" s="524">
        <v>11697675</v>
      </c>
      <c r="BF548" s="758">
        <v>0</v>
      </c>
      <c r="BG548" s="518">
        <f t="shared" ref="BG548:BG555" si="337">AP548</f>
        <v>0</v>
      </c>
      <c r="BH548" s="758">
        <v>0</v>
      </c>
      <c r="BI548" s="758">
        <v>5000000</v>
      </c>
      <c r="BJ548" s="758">
        <v>0</v>
      </c>
      <c r="BK548" s="758">
        <v>5000000</v>
      </c>
      <c r="BL548" s="759">
        <f t="shared" si="332"/>
        <v>34163975</v>
      </c>
      <c r="BN548" s="485">
        <v>5000000</v>
      </c>
      <c r="BO548" s="758">
        <v>0</v>
      </c>
      <c r="BP548" s="758">
        <v>5000000</v>
      </c>
      <c r="BQ548" s="758">
        <v>0</v>
      </c>
      <c r="BR548" s="758">
        <v>5000000</v>
      </c>
      <c r="BS548" s="758">
        <v>0</v>
      </c>
      <c r="BT548" s="758">
        <v>5000000</v>
      </c>
      <c r="BU548" s="758">
        <v>0</v>
      </c>
      <c r="BV548" s="758">
        <v>5000000</v>
      </c>
      <c r="BW548" s="758">
        <v>0</v>
      </c>
      <c r="BX548" s="758">
        <v>5000000</v>
      </c>
      <c r="BY548" s="758">
        <v>0</v>
      </c>
      <c r="BZ548" s="791">
        <v>30000000</v>
      </c>
      <c r="CB548" s="485">
        <v>5000000</v>
      </c>
      <c r="CC548" s="758">
        <v>0</v>
      </c>
      <c r="CD548" s="758">
        <v>5000000</v>
      </c>
      <c r="CE548" s="758">
        <v>0</v>
      </c>
      <c r="CF548" s="758">
        <v>5000000</v>
      </c>
      <c r="CG548" s="758">
        <v>0</v>
      </c>
      <c r="CH548" s="758">
        <v>5000000</v>
      </c>
      <c r="CI548" s="758">
        <v>0</v>
      </c>
      <c r="CJ548" s="758">
        <v>5000000</v>
      </c>
      <c r="CK548" s="758">
        <v>0</v>
      </c>
      <c r="CL548" s="758">
        <v>5000000</v>
      </c>
      <c r="CM548" s="758">
        <v>0</v>
      </c>
      <c r="CN548" s="791">
        <v>30000000</v>
      </c>
      <c r="CO548" s="37"/>
      <c r="CP548" s="657"/>
      <c r="CQ548" s="657"/>
      <c r="CR548" s="528"/>
      <c r="CS548" s="657"/>
      <c r="CT548" s="528"/>
      <c r="CU548" s="657"/>
      <c r="CV548" s="528"/>
      <c r="CW548" s="657"/>
      <c r="CX548" s="528"/>
      <c r="CY548" s="657"/>
      <c r="CZ548" s="528"/>
      <c r="DA548" s="657"/>
      <c r="DB548" s="528"/>
      <c r="DC548" s="657">
        <v>0</v>
      </c>
      <c r="DD548" s="528"/>
      <c r="DE548" s="758"/>
      <c r="DF548" s="528"/>
      <c r="DG548" s="757"/>
      <c r="DH548" s="758"/>
      <c r="DI548" s="528"/>
      <c r="DJ548" s="757"/>
      <c r="DK548" s="758"/>
      <c r="DL548" s="528"/>
      <c r="DM548" s="757"/>
      <c r="DN548" s="758"/>
      <c r="DO548" s="528"/>
      <c r="DP548" s="757"/>
      <c r="DQ548" s="493">
        <f t="shared" si="314"/>
        <v>0</v>
      </c>
      <c r="DR548" s="479">
        <f t="shared" si="333"/>
        <v>0</v>
      </c>
      <c r="DS548" s="1020"/>
      <c r="DT548" s="1020"/>
      <c r="DU548" s="1020"/>
      <c r="DV548" s="1020"/>
      <c r="DW548" s="1020"/>
      <c r="DX548" s="1020"/>
      <c r="DY548" s="1020"/>
      <c r="DZ548" s="1020"/>
      <c r="EA548" s="1020"/>
      <c r="EB548" s="1020"/>
      <c r="EC548" s="1020"/>
      <c r="ED548" s="1020"/>
      <c r="EE548" s="1119">
        <f t="shared" si="315"/>
        <v>0</v>
      </c>
      <c r="EF548" s="443">
        <v>43000000</v>
      </c>
      <c r="EG548" s="443">
        <f t="shared" ref="EG548:EG555" si="338">EF548*1.08</f>
        <v>46440000</v>
      </c>
      <c r="EH548" s="443">
        <f t="shared" ref="EH548:EI554" si="339">EG548*1.09</f>
        <v>50619600</v>
      </c>
      <c r="EI548" s="443">
        <f t="shared" si="339"/>
        <v>55175364.000000007</v>
      </c>
      <c r="EJ548" s="367">
        <v>3000018998</v>
      </c>
      <c r="EL548" s="177"/>
      <c r="EM548" s="177"/>
      <c r="EN548" s="177"/>
    </row>
    <row r="549" spans="1:144" outlineLevel="2">
      <c r="A549" s="367" t="s">
        <v>291</v>
      </c>
      <c r="B549" s="378"/>
      <c r="C549" s="370" t="s">
        <v>688</v>
      </c>
      <c r="D549" s="370" t="s">
        <v>40</v>
      </c>
      <c r="E549" s="383" t="s">
        <v>769</v>
      </c>
      <c r="F549" s="380">
        <v>3000017147</v>
      </c>
      <c r="G549" s="189"/>
      <c r="H549" s="30"/>
      <c r="I549" s="185"/>
      <c r="J549" s="185"/>
      <c r="K549" s="185"/>
      <c r="L549" s="194"/>
      <c r="M549" s="185"/>
      <c r="N549" s="185"/>
      <c r="O549" s="7"/>
      <c r="P549" s="7"/>
      <c r="Q549" s="7"/>
      <c r="R549" s="7"/>
      <c r="S549" s="14">
        <f t="shared" si="334"/>
        <v>0</v>
      </c>
      <c r="T549" s="179"/>
      <c r="U549" s="189"/>
      <c r="V549" s="30"/>
      <c r="W549" s="185"/>
      <c r="X549" s="185"/>
      <c r="Y549" s="185"/>
      <c r="Z549" s="194"/>
      <c r="AA549" s="185"/>
      <c r="AB549" s="185"/>
      <c r="AC549" s="7"/>
      <c r="AD549" s="7"/>
      <c r="AE549" s="7"/>
      <c r="AF549" s="7"/>
      <c r="AG549" s="759">
        <f t="shared" si="335"/>
        <v>0</v>
      </c>
      <c r="AH549" s="861">
        <v>3000017147</v>
      </c>
      <c r="AI549" s="189"/>
      <c r="AJ549" s="859">
        <v>637118</v>
      </c>
      <c r="AK549" s="758"/>
      <c r="AL549" s="758">
        <v>812250</v>
      </c>
      <c r="AM549" s="758">
        <v>0</v>
      </c>
      <c r="AN549" s="524">
        <v>0</v>
      </c>
      <c r="AO549" s="758">
        <v>0</v>
      </c>
      <c r="AP549" s="758">
        <v>0</v>
      </c>
      <c r="AQ549" s="518">
        <v>0</v>
      </c>
      <c r="AR549" s="518"/>
      <c r="AS549" s="518"/>
      <c r="AT549" s="518"/>
      <c r="AU549" s="518">
        <f t="shared" si="336"/>
        <v>0</v>
      </c>
      <c r="AV549" s="518">
        <f t="shared" si="336"/>
        <v>0</v>
      </c>
      <c r="AW549" s="518">
        <f t="shared" si="336"/>
        <v>0</v>
      </c>
      <c r="AX549" s="518">
        <f t="shared" si="330"/>
        <v>1449368</v>
      </c>
      <c r="AY549" s="861">
        <v>0</v>
      </c>
      <c r="AZ549" s="189"/>
      <c r="BA549" s="859">
        <v>637118</v>
      </c>
      <c r="BB549" s="758"/>
      <c r="BC549" s="758">
        <v>812250</v>
      </c>
      <c r="BD549" s="758">
        <v>0</v>
      </c>
      <c r="BE549" s="524">
        <v>0</v>
      </c>
      <c r="BF549" s="758">
        <v>0</v>
      </c>
      <c r="BG549" s="518">
        <f t="shared" si="337"/>
        <v>0</v>
      </c>
      <c r="BH549" s="758">
        <v>0</v>
      </c>
      <c r="BI549" s="758">
        <v>0</v>
      </c>
      <c r="BJ549" s="758">
        <v>0</v>
      </c>
      <c r="BK549" s="758">
        <v>0</v>
      </c>
      <c r="BL549" s="759">
        <f t="shared" si="332"/>
        <v>1449368</v>
      </c>
      <c r="BN549" s="485">
        <v>0</v>
      </c>
      <c r="BO549" s="758">
        <v>0</v>
      </c>
      <c r="BP549" s="758">
        <v>0</v>
      </c>
      <c r="BQ549" s="758">
        <v>0</v>
      </c>
      <c r="BR549" s="758">
        <v>0</v>
      </c>
      <c r="BS549" s="758">
        <v>0</v>
      </c>
      <c r="BT549" s="758">
        <v>0</v>
      </c>
      <c r="BU549" s="758">
        <v>0</v>
      </c>
      <c r="BV549" s="758">
        <v>0</v>
      </c>
      <c r="BW549" s="758">
        <v>0</v>
      </c>
      <c r="BX549" s="758">
        <v>0</v>
      </c>
      <c r="BY549" s="758">
        <v>0</v>
      </c>
      <c r="BZ549" s="791">
        <v>0</v>
      </c>
      <c r="CB549" s="485">
        <v>0</v>
      </c>
      <c r="CC549" s="758">
        <v>0</v>
      </c>
      <c r="CD549" s="758">
        <v>0</v>
      </c>
      <c r="CE549" s="758">
        <v>0</v>
      </c>
      <c r="CF549" s="758">
        <v>0</v>
      </c>
      <c r="CG549" s="758">
        <v>0</v>
      </c>
      <c r="CH549" s="758">
        <v>0</v>
      </c>
      <c r="CI549" s="758">
        <v>0</v>
      </c>
      <c r="CJ549" s="758">
        <v>0</v>
      </c>
      <c r="CK549" s="758">
        <v>0</v>
      </c>
      <c r="CL549" s="758">
        <v>0</v>
      </c>
      <c r="CM549" s="758">
        <v>0</v>
      </c>
      <c r="CN549" s="791">
        <v>0</v>
      </c>
      <c r="CO549" s="37"/>
      <c r="CP549" s="657"/>
      <c r="CQ549" s="657"/>
      <c r="CR549" s="528"/>
      <c r="CS549" s="657">
        <v>657162</v>
      </c>
      <c r="CT549" s="528"/>
      <c r="CU549" s="657"/>
      <c r="CV549" s="528"/>
      <c r="CW549" s="657"/>
      <c r="CX549" s="528"/>
      <c r="CY549" s="657"/>
      <c r="CZ549" s="528"/>
      <c r="DA549" s="657"/>
      <c r="DB549" s="528"/>
      <c r="DC549" s="657">
        <v>0</v>
      </c>
      <c r="DD549" s="528"/>
      <c r="DE549" s="758"/>
      <c r="DF549" s="528"/>
      <c r="DG549" s="757"/>
      <c r="DH549" s="758"/>
      <c r="DI549" s="528"/>
      <c r="DJ549" s="757"/>
      <c r="DK549" s="758"/>
      <c r="DL549" s="528"/>
      <c r="DM549" s="757"/>
      <c r="DN549" s="758"/>
      <c r="DO549" s="528"/>
      <c r="DP549" s="757"/>
      <c r="DQ549" s="493">
        <f t="shared" si="314"/>
        <v>657162</v>
      </c>
      <c r="DR549" s="479">
        <f t="shared" si="333"/>
        <v>657162</v>
      </c>
      <c r="DS549" s="1020"/>
      <c r="DT549" s="1020"/>
      <c r="DU549" s="1020"/>
      <c r="DV549" s="1020"/>
      <c r="DW549" s="1020"/>
      <c r="DX549" s="1020"/>
      <c r="DY549" s="1020"/>
      <c r="DZ549" s="1020"/>
      <c r="EA549" s="1020"/>
      <c r="EB549" s="1020"/>
      <c r="EC549" s="1020"/>
      <c r="ED549" s="1020"/>
      <c r="EE549" s="1119">
        <f t="shared" si="315"/>
        <v>0</v>
      </c>
      <c r="EF549" s="443">
        <f>EE549*1.17</f>
        <v>0</v>
      </c>
      <c r="EG549" s="443">
        <f t="shared" si="338"/>
        <v>0</v>
      </c>
      <c r="EH549" s="443">
        <f t="shared" si="339"/>
        <v>0</v>
      </c>
      <c r="EI549" s="443">
        <f t="shared" si="339"/>
        <v>0</v>
      </c>
      <c r="EJ549" s="367">
        <v>3000017147</v>
      </c>
      <c r="EL549" s="177"/>
      <c r="EM549" s="177"/>
      <c r="EN549" s="177"/>
    </row>
    <row r="550" spans="1:144" outlineLevel="2">
      <c r="A550" s="367" t="s">
        <v>291</v>
      </c>
      <c r="B550" s="378"/>
      <c r="C550" s="370" t="s">
        <v>688</v>
      </c>
      <c r="D550" s="370" t="s">
        <v>40</v>
      </c>
      <c r="E550" s="383" t="s">
        <v>770</v>
      </c>
      <c r="F550" s="380">
        <v>3000019464</v>
      </c>
      <c r="G550" s="189"/>
      <c r="H550" s="13"/>
      <c r="I550" s="27"/>
      <c r="J550" s="185"/>
      <c r="K550" s="185"/>
      <c r="L550" s="194"/>
      <c r="M550" s="185"/>
      <c r="N550" s="185"/>
      <c r="O550" s="7"/>
      <c r="P550" s="7"/>
      <c r="Q550" s="7"/>
      <c r="R550" s="7"/>
      <c r="S550" s="14">
        <f t="shared" si="334"/>
        <v>0</v>
      </c>
      <c r="T550" s="179"/>
      <c r="U550" s="189"/>
      <c r="V550" s="13"/>
      <c r="W550" s="27"/>
      <c r="X550" s="185"/>
      <c r="Y550" s="185"/>
      <c r="Z550" s="194"/>
      <c r="AA550" s="185"/>
      <c r="AB550" s="185"/>
      <c r="AC550" s="7"/>
      <c r="AD550" s="7"/>
      <c r="AE550" s="7"/>
      <c r="AF550" s="7"/>
      <c r="AG550" s="759">
        <f t="shared" si="335"/>
        <v>0</v>
      </c>
      <c r="AH550" s="861">
        <v>3000019464</v>
      </c>
      <c r="AI550" s="189"/>
      <c r="AJ550" s="810"/>
      <c r="AK550" s="858">
        <v>4134878</v>
      </c>
      <c r="AL550" s="758">
        <v>0</v>
      </c>
      <c r="AM550" s="758">
        <v>0</v>
      </c>
      <c r="AN550" s="524">
        <v>0</v>
      </c>
      <c r="AO550" s="758">
        <v>0</v>
      </c>
      <c r="AP550" s="758">
        <v>0</v>
      </c>
      <c r="AQ550" s="518">
        <v>0</v>
      </c>
      <c r="AR550" s="518"/>
      <c r="AS550" s="518"/>
      <c r="AT550" s="518"/>
      <c r="AU550" s="518">
        <f t="shared" si="336"/>
        <v>0</v>
      </c>
      <c r="AV550" s="518">
        <f t="shared" si="336"/>
        <v>0</v>
      </c>
      <c r="AW550" s="518">
        <f t="shared" si="336"/>
        <v>0</v>
      </c>
      <c r="AX550" s="518">
        <f t="shared" si="330"/>
        <v>4134878</v>
      </c>
      <c r="AY550" s="861">
        <v>0</v>
      </c>
      <c r="AZ550" s="189"/>
      <c r="BA550" s="810"/>
      <c r="BB550" s="858">
        <v>4134878</v>
      </c>
      <c r="BC550" s="758">
        <v>0</v>
      </c>
      <c r="BD550" s="758">
        <v>0</v>
      </c>
      <c r="BE550" s="524">
        <v>0</v>
      </c>
      <c r="BF550" s="758">
        <v>0</v>
      </c>
      <c r="BG550" s="518">
        <f t="shared" si="337"/>
        <v>0</v>
      </c>
      <c r="BH550" s="758">
        <v>0</v>
      </c>
      <c r="BI550" s="758">
        <v>0</v>
      </c>
      <c r="BJ550" s="758">
        <v>0</v>
      </c>
      <c r="BK550" s="758">
        <v>0</v>
      </c>
      <c r="BL550" s="759">
        <f t="shared" si="332"/>
        <v>4134878</v>
      </c>
      <c r="BN550" s="485">
        <v>0</v>
      </c>
      <c r="BO550" s="758">
        <v>0</v>
      </c>
      <c r="BP550" s="758">
        <v>0</v>
      </c>
      <c r="BQ550" s="758">
        <v>0</v>
      </c>
      <c r="BR550" s="758">
        <v>0</v>
      </c>
      <c r="BS550" s="758">
        <v>0</v>
      </c>
      <c r="BT550" s="758">
        <v>0</v>
      </c>
      <c r="BU550" s="758">
        <v>0</v>
      </c>
      <c r="BV550" s="758">
        <v>0</v>
      </c>
      <c r="BW550" s="758">
        <v>0</v>
      </c>
      <c r="BX550" s="758">
        <v>0</v>
      </c>
      <c r="BY550" s="758">
        <v>0</v>
      </c>
      <c r="BZ550" s="791">
        <v>0</v>
      </c>
      <c r="CB550" s="485">
        <v>0</v>
      </c>
      <c r="CC550" s="758">
        <v>0</v>
      </c>
      <c r="CD550" s="758">
        <v>0</v>
      </c>
      <c r="CE550" s="758">
        <v>0</v>
      </c>
      <c r="CF550" s="758">
        <v>0</v>
      </c>
      <c r="CG550" s="758">
        <v>0</v>
      </c>
      <c r="CH550" s="758">
        <v>0</v>
      </c>
      <c r="CI550" s="758">
        <v>0</v>
      </c>
      <c r="CJ550" s="758">
        <v>0</v>
      </c>
      <c r="CK550" s="758">
        <v>0</v>
      </c>
      <c r="CL550" s="758">
        <v>0</v>
      </c>
      <c r="CM550" s="758">
        <v>0</v>
      </c>
      <c r="CN550" s="791">
        <v>0</v>
      </c>
      <c r="CO550" s="37"/>
      <c r="CP550" s="657"/>
      <c r="CQ550" s="657"/>
      <c r="CR550" s="528"/>
      <c r="CS550" s="657"/>
      <c r="CT550" s="528"/>
      <c r="CU550" s="657"/>
      <c r="CV550" s="528"/>
      <c r="CW550" s="657"/>
      <c r="CX550" s="528"/>
      <c r="CY550" s="657"/>
      <c r="CZ550" s="528"/>
      <c r="DA550" s="657"/>
      <c r="DB550" s="528"/>
      <c r="DC550" s="657">
        <v>0</v>
      </c>
      <c r="DD550" s="528"/>
      <c r="DE550" s="758"/>
      <c r="DF550" s="528"/>
      <c r="DG550" s="757"/>
      <c r="DH550" s="758"/>
      <c r="DI550" s="528"/>
      <c r="DJ550" s="757"/>
      <c r="DK550" s="758"/>
      <c r="DL550" s="528"/>
      <c r="DM550" s="757"/>
      <c r="DN550" s="758"/>
      <c r="DO550" s="528"/>
      <c r="DP550" s="757"/>
      <c r="DQ550" s="493">
        <f t="shared" si="314"/>
        <v>0</v>
      </c>
      <c r="DR550" s="479">
        <f t="shared" si="333"/>
        <v>0</v>
      </c>
      <c r="DS550" s="1020"/>
      <c r="DT550" s="1020"/>
      <c r="DU550" s="1020"/>
      <c r="DV550" s="1020"/>
      <c r="DW550" s="1020"/>
      <c r="DX550" s="1020"/>
      <c r="DY550" s="1020"/>
      <c r="DZ550" s="1020"/>
      <c r="EA550" s="1020"/>
      <c r="EB550" s="1020"/>
      <c r="EC550" s="1020"/>
      <c r="ED550" s="1020"/>
      <c r="EE550" s="1119">
        <f t="shared" si="315"/>
        <v>0</v>
      </c>
      <c r="EF550" s="443">
        <f>EE550*1.17</f>
        <v>0</v>
      </c>
      <c r="EG550" s="443">
        <f t="shared" si="338"/>
        <v>0</v>
      </c>
      <c r="EH550" s="443">
        <f t="shared" si="339"/>
        <v>0</v>
      </c>
      <c r="EI550" s="443">
        <f t="shared" si="339"/>
        <v>0</v>
      </c>
      <c r="EJ550" s="367">
        <v>3000019464</v>
      </c>
      <c r="EL550" s="177"/>
      <c r="EM550" s="177"/>
      <c r="EN550" s="177"/>
    </row>
    <row r="551" spans="1:144" outlineLevel="2">
      <c r="A551" s="367" t="s">
        <v>699</v>
      </c>
      <c r="B551" s="378"/>
      <c r="C551" s="370" t="s">
        <v>688</v>
      </c>
      <c r="D551" s="370" t="s">
        <v>40</v>
      </c>
      <c r="E551" s="383" t="s">
        <v>771</v>
      </c>
      <c r="F551" s="380">
        <v>3000005129</v>
      </c>
      <c r="G551" s="189"/>
      <c r="H551" s="13"/>
      <c r="I551" s="185"/>
      <c r="J551" s="185"/>
      <c r="K551" s="185"/>
      <c r="L551" s="194"/>
      <c r="M551" s="185"/>
      <c r="N551" s="185"/>
      <c r="O551" s="7"/>
      <c r="P551" s="7"/>
      <c r="Q551" s="7"/>
      <c r="R551" s="7"/>
      <c r="S551" s="14">
        <f t="shared" si="334"/>
        <v>0</v>
      </c>
      <c r="T551" s="179"/>
      <c r="U551" s="189"/>
      <c r="V551" s="13"/>
      <c r="W551" s="185"/>
      <c r="X551" s="185"/>
      <c r="Y551" s="185"/>
      <c r="Z551" s="194"/>
      <c r="AA551" s="185"/>
      <c r="AB551" s="185"/>
      <c r="AC551" s="7"/>
      <c r="AD551" s="7"/>
      <c r="AE551" s="7"/>
      <c r="AF551" s="7"/>
      <c r="AG551" s="759">
        <f t="shared" si="335"/>
        <v>0</v>
      </c>
      <c r="AH551" s="861">
        <v>3000005129</v>
      </c>
      <c r="AI551" s="189"/>
      <c r="AJ551" s="810"/>
      <c r="AK551" s="758"/>
      <c r="AL551" s="758">
        <v>0</v>
      </c>
      <c r="AM551" s="758">
        <v>0</v>
      </c>
      <c r="AN551" s="524">
        <v>0</v>
      </c>
      <c r="AO551" s="758">
        <v>0</v>
      </c>
      <c r="AP551" s="758">
        <v>1000000</v>
      </c>
      <c r="AQ551" s="518">
        <v>0</v>
      </c>
      <c r="AR551" s="813">
        <v>1000000</v>
      </c>
      <c r="AS551" s="813">
        <v>1000000</v>
      </c>
      <c r="AT551" s="813">
        <v>1000000</v>
      </c>
      <c r="AU551" s="518">
        <f t="shared" si="336"/>
        <v>0</v>
      </c>
      <c r="AV551" s="518">
        <f t="shared" si="336"/>
        <v>0</v>
      </c>
      <c r="AW551" s="518">
        <f t="shared" si="336"/>
        <v>0</v>
      </c>
      <c r="AX551" s="518">
        <f t="shared" si="330"/>
        <v>4000000</v>
      </c>
      <c r="AY551" s="861">
        <v>0</v>
      </c>
      <c r="AZ551" s="189"/>
      <c r="BA551" s="810"/>
      <c r="BB551" s="758"/>
      <c r="BC551" s="758">
        <v>0</v>
      </c>
      <c r="BD551" s="758">
        <v>0</v>
      </c>
      <c r="BE551" s="524">
        <v>0</v>
      </c>
      <c r="BF551" s="758">
        <v>0</v>
      </c>
      <c r="BG551" s="518">
        <f t="shared" si="337"/>
        <v>1000000</v>
      </c>
      <c r="BH551" s="758">
        <v>0</v>
      </c>
      <c r="BI551" s="758">
        <v>0</v>
      </c>
      <c r="BJ551" s="758">
        <v>0</v>
      </c>
      <c r="BK551" s="758">
        <v>0</v>
      </c>
      <c r="BL551" s="759">
        <f t="shared" si="332"/>
        <v>1000000</v>
      </c>
      <c r="BN551" s="485">
        <v>0</v>
      </c>
      <c r="BO551" s="758">
        <v>0</v>
      </c>
      <c r="BP551" s="758">
        <v>0</v>
      </c>
      <c r="BQ551" s="758">
        <v>0</v>
      </c>
      <c r="BR551" s="758">
        <v>0</v>
      </c>
      <c r="BS551" s="758">
        <v>0</v>
      </c>
      <c r="BT551" s="758">
        <v>0</v>
      </c>
      <c r="BU551" s="758">
        <v>0</v>
      </c>
      <c r="BV551" s="758">
        <v>0</v>
      </c>
      <c r="BW551" s="758">
        <v>0</v>
      </c>
      <c r="BX551" s="758">
        <v>0</v>
      </c>
      <c r="BY551" s="758">
        <v>0</v>
      </c>
      <c r="BZ551" s="791">
        <v>0</v>
      </c>
      <c r="CB551" s="485">
        <v>0</v>
      </c>
      <c r="CC551" s="758">
        <v>0</v>
      </c>
      <c r="CD551" s="758">
        <v>0</v>
      </c>
      <c r="CE551" s="758">
        <v>0</v>
      </c>
      <c r="CF551" s="758">
        <v>0</v>
      </c>
      <c r="CG551" s="758">
        <v>0</v>
      </c>
      <c r="CH551" s="758">
        <v>0</v>
      </c>
      <c r="CI551" s="758">
        <v>0</v>
      </c>
      <c r="CJ551" s="758">
        <v>0</v>
      </c>
      <c r="CK551" s="758">
        <v>0</v>
      </c>
      <c r="CL551" s="758">
        <v>0</v>
      </c>
      <c r="CM551" s="758">
        <v>0</v>
      </c>
      <c r="CN551" s="791">
        <v>0</v>
      </c>
      <c r="CO551" s="37"/>
      <c r="CP551" s="657"/>
      <c r="CQ551" s="657"/>
      <c r="CR551" s="528"/>
      <c r="CS551" s="657"/>
      <c r="CT551" s="528"/>
      <c r="CU551" s="657"/>
      <c r="CV551" s="528"/>
      <c r="CW551" s="657"/>
      <c r="CX551" s="528"/>
      <c r="CY551" s="657">
        <v>1000000</v>
      </c>
      <c r="CZ551" s="528"/>
      <c r="DA551" s="657"/>
      <c r="DB551" s="528"/>
      <c r="DC551" s="657">
        <v>1000000</v>
      </c>
      <c r="DD551" s="528"/>
      <c r="DE551" s="758"/>
      <c r="DF551" s="528"/>
      <c r="DG551" s="757"/>
      <c r="DH551" s="758"/>
      <c r="DI551" s="528"/>
      <c r="DJ551" s="757"/>
      <c r="DK551" s="758"/>
      <c r="DL551" s="528"/>
      <c r="DM551" s="757"/>
      <c r="DN551" s="758"/>
      <c r="DO551" s="528"/>
      <c r="DP551" s="757"/>
      <c r="DQ551" s="493">
        <f t="shared" si="314"/>
        <v>2000000</v>
      </c>
      <c r="DR551" s="479">
        <f t="shared" si="333"/>
        <v>0</v>
      </c>
      <c r="DS551" s="1020"/>
      <c r="DT551" s="1020"/>
      <c r="DU551" s="1020"/>
      <c r="DV551" s="1020"/>
      <c r="DW551" s="1020"/>
      <c r="DX551" s="1020"/>
      <c r="DY551" s="1020"/>
      <c r="DZ551" s="1020"/>
      <c r="EA551" s="1020"/>
      <c r="EB551" s="1020"/>
      <c r="EC551" s="1020"/>
      <c r="ED551" s="1020"/>
      <c r="EE551" s="1119">
        <f t="shared" si="315"/>
        <v>0</v>
      </c>
      <c r="EF551" s="443">
        <f>EE551*1.17</f>
        <v>0</v>
      </c>
      <c r="EG551" s="443">
        <f t="shared" si="338"/>
        <v>0</v>
      </c>
      <c r="EH551" s="443">
        <f t="shared" si="339"/>
        <v>0</v>
      </c>
      <c r="EI551" s="443">
        <f t="shared" si="339"/>
        <v>0</v>
      </c>
      <c r="EJ551" s="367">
        <v>3000005129</v>
      </c>
      <c r="EL551" s="177"/>
      <c r="EM551" s="177"/>
      <c r="EN551" s="177"/>
    </row>
    <row r="552" spans="1:144" outlineLevel="2">
      <c r="A552" s="367" t="s">
        <v>291</v>
      </c>
      <c r="B552" s="378"/>
      <c r="C552" s="370" t="s">
        <v>688</v>
      </c>
      <c r="D552" s="370" t="s">
        <v>40</v>
      </c>
      <c r="E552" s="403" t="s">
        <v>772</v>
      </c>
      <c r="F552" s="380">
        <v>3000019916</v>
      </c>
      <c r="G552" s="189"/>
      <c r="H552" s="13"/>
      <c r="I552" s="185"/>
      <c r="J552" s="185"/>
      <c r="K552" s="185"/>
      <c r="L552" s="185"/>
      <c r="M552" s="185"/>
      <c r="N552" s="185"/>
      <c r="O552" s="7"/>
      <c r="P552" s="7"/>
      <c r="Q552" s="7"/>
      <c r="R552" s="7"/>
      <c r="S552" s="14">
        <f t="shared" si="334"/>
        <v>0</v>
      </c>
      <c r="T552" s="179"/>
      <c r="U552" s="189"/>
      <c r="V552" s="13"/>
      <c r="W552" s="185"/>
      <c r="X552" s="185"/>
      <c r="Y552" s="185"/>
      <c r="Z552" s="185"/>
      <c r="AA552" s="185"/>
      <c r="AB552" s="185"/>
      <c r="AC552" s="7"/>
      <c r="AD552" s="7"/>
      <c r="AE552" s="7"/>
      <c r="AF552" s="7"/>
      <c r="AG552" s="759">
        <f t="shared" si="335"/>
        <v>0</v>
      </c>
      <c r="AH552" s="861">
        <v>3000019916</v>
      </c>
      <c r="AI552" s="189"/>
      <c r="AJ552" s="810"/>
      <c r="AK552" s="758"/>
      <c r="AL552" s="758">
        <v>0</v>
      </c>
      <c r="AM552" s="758"/>
      <c r="AN552" s="758"/>
      <c r="AO552" s="758">
        <v>3363450</v>
      </c>
      <c r="AP552" s="758">
        <v>0</v>
      </c>
      <c r="AQ552" s="518">
        <v>0</v>
      </c>
      <c r="AR552" s="518"/>
      <c r="AS552" s="518"/>
      <c r="AT552" s="518"/>
      <c r="AU552" s="518">
        <f t="shared" si="336"/>
        <v>0</v>
      </c>
      <c r="AV552" s="518">
        <f t="shared" si="336"/>
        <v>0</v>
      </c>
      <c r="AW552" s="518">
        <f t="shared" si="336"/>
        <v>0</v>
      </c>
      <c r="AX552" s="518">
        <f t="shared" si="330"/>
        <v>3363450</v>
      </c>
      <c r="AY552" s="861">
        <v>0</v>
      </c>
      <c r="AZ552" s="189"/>
      <c r="BA552" s="810"/>
      <c r="BB552" s="758"/>
      <c r="BC552" s="758">
        <v>0</v>
      </c>
      <c r="BD552" s="758"/>
      <c r="BE552" s="758"/>
      <c r="BF552" s="758">
        <v>3363450</v>
      </c>
      <c r="BG552" s="518">
        <f t="shared" si="337"/>
        <v>0</v>
      </c>
      <c r="BH552" s="758">
        <v>0</v>
      </c>
      <c r="BI552" s="758">
        <v>0</v>
      </c>
      <c r="BJ552" s="758">
        <v>0</v>
      </c>
      <c r="BK552" s="758">
        <v>0</v>
      </c>
      <c r="BL552" s="759">
        <f t="shared" si="332"/>
        <v>3363450</v>
      </c>
      <c r="BN552" s="485">
        <v>0</v>
      </c>
      <c r="BO552" s="758">
        <v>0</v>
      </c>
      <c r="BP552" s="758">
        <v>0</v>
      </c>
      <c r="BQ552" s="758">
        <v>0</v>
      </c>
      <c r="BR552" s="758">
        <v>0</v>
      </c>
      <c r="BS552" s="758">
        <v>0</v>
      </c>
      <c r="BT552" s="758">
        <v>0</v>
      </c>
      <c r="BU552" s="758">
        <v>0</v>
      </c>
      <c r="BV552" s="758">
        <v>0</v>
      </c>
      <c r="BW552" s="758">
        <v>0</v>
      </c>
      <c r="BX552" s="758">
        <v>0</v>
      </c>
      <c r="BY552" s="758">
        <v>0</v>
      </c>
      <c r="BZ552" s="791">
        <v>0</v>
      </c>
      <c r="CB552" s="485">
        <v>0</v>
      </c>
      <c r="CC552" s="758">
        <v>0</v>
      </c>
      <c r="CD552" s="758">
        <v>0</v>
      </c>
      <c r="CE552" s="758">
        <v>0</v>
      </c>
      <c r="CF552" s="758">
        <v>0</v>
      </c>
      <c r="CG552" s="758">
        <v>0</v>
      </c>
      <c r="CH552" s="758">
        <v>0</v>
      </c>
      <c r="CI552" s="758">
        <v>0</v>
      </c>
      <c r="CJ552" s="758">
        <v>0</v>
      </c>
      <c r="CK552" s="758">
        <v>0</v>
      </c>
      <c r="CL552" s="758">
        <v>0</v>
      </c>
      <c r="CM552" s="758">
        <v>0</v>
      </c>
      <c r="CN552" s="791">
        <v>0</v>
      </c>
      <c r="CO552" s="37"/>
      <c r="CP552" s="657"/>
      <c r="CQ552" s="657"/>
      <c r="CR552" s="528"/>
      <c r="CS552" s="657"/>
      <c r="CT552" s="528"/>
      <c r="CU552" s="657"/>
      <c r="CV552" s="528"/>
      <c r="CW552" s="657"/>
      <c r="CX552" s="528"/>
      <c r="CY552" s="657"/>
      <c r="CZ552" s="528"/>
      <c r="DA552" s="657"/>
      <c r="DB552" s="528"/>
      <c r="DC552" s="657">
        <v>0</v>
      </c>
      <c r="DD552" s="528"/>
      <c r="DE552" s="758"/>
      <c r="DF552" s="528"/>
      <c r="DG552" s="757"/>
      <c r="DH552" s="758"/>
      <c r="DI552" s="528"/>
      <c r="DJ552" s="757"/>
      <c r="DK552" s="758"/>
      <c r="DL552" s="528"/>
      <c r="DM552" s="757"/>
      <c r="DN552" s="758"/>
      <c r="DO552" s="528"/>
      <c r="DP552" s="757"/>
      <c r="DQ552" s="493">
        <f t="shared" si="314"/>
        <v>0</v>
      </c>
      <c r="DR552" s="479">
        <f t="shared" si="333"/>
        <v>0</v>
      </c>
      <c r="DS552" s="1020"/>
      <c r="DT552" s="1020"/>
      <c r="DU552" s="1020"/>
      <c r="DV552" s="1020"/>
      <c r="DW552" s="1020"/>
      <c r="DX552" s="1020"/>
      <c r="DY552" s="1020"/>
      <c r="DZ552" s="1020"/>
      <c r="EA552" s="1020"/>
      <c r="EB552" s="1020"/>
      <c r="EC552" s="1020"/>
      <c r="ED552" s="1020"/>
      <c r="EE552" s="1119">
        <f t="shared" si="315"/>
        <v>0</v>
      </c>
      <c r="EF552" s="443">
        <f>EE552*1.17</f>
        <v>0</v>
      </c>
      <c r="EG552" s="443">
        <f t="shared" si="338"/>
        <v>0</v>
      </c>
      <c r="EH552" s="443">
        <f t="shared" si="339"/>
        <v>0</v>
      </c>
      <c r="EI552" s="443">
        <f t="shared" si="339"/>
        <v>0</v>
      </c>
      <c r="EJ552" s="367">
        <v>3000019916</v>
      </c>
      <c r="EL552" s="177"/>
      <c r="EM552" s="177"/>
      <c r="EN552" s="177"/>
    </row>
    <row r="553" spans="1:144" outlineLevel="2">
      <c r="A553" s="367" t="s">
        <v>687</v>
      </c>
      <c r="B553" s="378"/>
      <c r="C553" s="370" t="s">
        <v>688</v>
      </c>
      <c r="D553" s="370" t="s">
        <v>40</v>
      </c>
      <c r="E553" s="396" t="s">
        <v>773</v>
      </c>
      <c r="F553" s="380">
        <v>3000019117</v>
      </c>
      <c r="G553" s="186"/>
      <c r="H553" s="13"/>
      <c r="I553" s="185"/>
      <c r="J553" s="185"/>
      <c r="K553" s="185"/>
      <c r="L553" s="194"/>
      <c r="M553" s="185"/>
      <c r="N553" s="185"/>
      <c r="O553" s="7"/>
      <c r="P553" s="7"/>
      <c r="Q553" s="7"/>
      <c r="R553" s="7"/>
      <c r="S553" s="14">
        <f t="shared" si="334"/>
        <v>0</v>
      </c>
      <c r="T553" s="179"/>
      <c r="U553" s="186"/>
      <c r="V553" s="13"/>
      <c r="W553" s="185"/>
      <c r="X553" s="185"/>
      <c r="Y553" s="185"/>
      <c r="Z553" s="194"/>
      <c r="AA553" s="185"/>
      <c r="AB553" s="185"/>
      <c r="AC553" s="7"/>
      <c r="AD553" s="7"/>
      <c r="AE553" s="7"/>
      <c r="AF553" s="7"/>
      <c r="AG553" s="759">
        <f t="shared" si="335"/>
        <v>0</v>
      </c>
      <c r="AH553" s="861">
        <v>3000019117</v>
      </c>
      <c r="AI553" s="814">
        <v>15962560</v>
      </c>
      <c r="AJ553" s="810"/>
      <c r="AK553" s="758"/>
      <c r="AL553" s="758">
        <v>2750000</v>
      </c>
      <c r="AM553" s="758">
        <v>2750000</v>
      </c>
      <c r="AN553" s="524">
        <v>4950000</v>
      </c>
      <c r="AO553" s="758">
        <v>2750000</v>
      </c>
      <c r="AP553" s="758">
        <v>51282000</v>
      </c>
      <c r="AQ553" s="518">
        <v>0</v>
      </c>
      <c r="AR553" s="518"/>
      <c r="AS553" s="518"/>
      <c r="AT553" s="518"/>
      <c r="AU553" s="518">
        <f t="shared" si="336"/>
        <v>3000000</v>
      </c>
      <c r="AV553" s="518">
        <f t="shared" si="336"/>
        <v>3000000</v>
      </c>
      <c r="AW553" s="518">
        <f t="shared" si="336"/>
        <v>3000000</v>
      </c>
      <c r="AX553" s="518">
        <f t="shared" si="330"/>
        <v>80444560</v>
      </c>
      <c r="AY553" s="861" t="e">
        <v>#N/A</v>
      </c>
      <c r="AZ553" s="814">
        <v>15962560</v>
      </c>
      <c r="BA553" s="810"/>
      <c r="BB553" s="758"/>
      <c r="BC553" s="758">
        <v>2750000</v>
      </c>
      <c r="BD553" s="758">
        <v>2750000</v>
      </c>
      <c r="BE553" s="524">
        <v>4950000</v>
      </c>
      <c r="BF553" s="758">
        <v>2750000</v>
      </c>
      <c r="BG553" s="518">
        <f t="shared" si="337"/>
        <v>51282000</v>
      </c>
      <c r="BH553" s="758">
        <v>3000000</v>
      </c>
      <c r="BI553" s="758">
        <v>3000000</v>
      </c>
      <c r="BJ553" s="758">
        <v>3000000</v>
      </c>
      <c r="BK553" s="758">
        <v>3000000</v>
      </c>
      <c r="BL553" s="759">
        <f t="shared" si="332"/>
        <v>92444560</v>
      </c>
      <c r="BN553" s="485">
        <v>3000000</v>
      </c>
      <c r="BO553" s="758">
        <v>3000000</v>
      </c>
      <c r="BP553" s="758">
        <v>3000000</v>
      </c>
      <c r="BQ553" s="758">
        <v>3000000</v>
      </c>
      <c r="BR553" s="758">
        <v>3000000</v>
      </c>
      <c r="BS553" s="758">
        <v>3000000</v>
      </c>
      <c r="BT553" s="758">
        <v>3000000</v>
      </c>
      <c r="BU553" s="758">
        <v>3000000</v>
      </c>
      <c r="BV553" s="758">
        <v>3000000</v>
      </c>
      <c r="BW553" s="758">
        <v>3000000</v>
      </c>
      <c r="BX553" s="758">
        <v>3000000</v>
      </c>
      <c r="BY553" s="758">
        <v>3000000</v>
      </c>
      <c r="BZ553" s="791">
        <v>36000000</v>
      </c>
      <c r="CB553" s="485">
        <v>3000000</v>
      </c>
      <c r="CC553" s="758">
        <v>3000000</v>
      </c>
      <c r="CD553" s="758">
        <v>3000000</v>
      </c>
      <c r="CE553" s="758">
        <v>3000000</v>
      </c>
      <c r="CF553" s="758">
        <v>3000000</v>
      </c>
      <c r="CG553" s="758">
        <v>3000000</v>
      </c>
      <c r="CH553" s="758">
        <v>3000000</v>
      </c>
      <c r="CI553" s="758">
        <v>3000000</v>
      </c>
      <c r="CJ553" s="758">
        <v>3000000</v>
      </c>
      <c r="CK553" s="758">
        <v>3000000</v>
      </c>
      <c r="CL553" s="758">
        <v>3000000</v>
      </c>
      <c r="CM553" s="758">
        <v>3000000</v>
      </c>
      <c r="CN553" s="791">
        <v>36000000</v>
      </c>
      <c r="CO553" s="37"/>
      <c r="CP553" s="657">
        <v>2200000</v>
      </c>
      <c r="CQ553" s="657">
        <v>2200000</v>
      </c>
      <c r="CR553" s="528">
        <v>2200000</v>
      </c>
      <c r="CS553" s="657"/>
      <c r="CT553" s="528"/>
      <c r="CU553" s="657"/>
      <c r="CV553" s="528"/>
      <c r="CW553" s="657"/>
      <c r="CX553" s="528"/>
      <c r="CY553" s="657"/>
      <c r="CZ553" s="528"/>
      <c r="DA553" s="657"/>
      <c r="DB553" s="528"/>
      <c r="DC553" s="657">
        <v>0</v>
      </c>
      <c r="DD553" s="528"/>
      <c r="DE553" s="758"/>
      <c r="DF553" s="528"/>
      <c r="DG553" s="757"/>
      <c r="DH553" s="758"/>
      <c r="DI553" s="528"/>
      <c r="DJ553" s="757"/>
      <c r="DK553" s="758"/>
      <c r="DL553" s="528"/>
      <c r="DM553" s="757"/>
      <c r="DN553" s="758"/>
      <c r="DO553" s="528"/>
      <c r="DP553" s="757"/>
      <c r="DQ553" s="493">
        <f t="shared" si="314"/>
        <v>4400000</v>
      </c>
      <c r="DR553" s="479">
        <f t="shared" si="333"/>
        <v>4400000</v>
      </c>
      <c r="DS553" s="1020"/>
      <c r="DT553" s="1020"/>
      <c r="DU553" s="1020"/>
      <c r="DV553" s="1020"/>
      <c r="DW553" s="1020"/>
      <c r="DX553" s="1020"/>
      <c r="DY553" s="1020"/>
      <c r="DZ553" s="1020"/>
      <c r="EA553" s="1020"/>
      <c r="EB553" s="1020"/>
      <c r="EC553" s="1020"/>
      <c r="ED553" s="1020"/>
      <c r="EE553" s="1119">
        <f t="shared" si="315"/>
        <v>0</v>
      </c>
      <c r="EF553" s="443">
        <v>51000000</v>
      </c>
      <c r="EG553" s="443">
        <f t="shared" si="338"/>
        <v>55080000</v>
      </c>
      <c r="EH553" s="443">
        <f t="shared" si="339"/>
        <v>60037200.000000007</v>
      </c>
      <c r="EI553" s="443">
        <f t="shared" si="339"/>
        <v>65440548.000000015</v>
      </c>
      <c r="EJ553" s="367">
        <v>3000019117</v>
      </c>
      <c r="EL553" s="177"/>
      <c r="EM553" s="177"/>
      <c r="EN553" s="177"/>
    </row>
    <row r="554" spans="1:144" outlineLevel="2">
      <c r="A554" s="367" t="s">
        <v>687</v>
      </c>
      <c r="B554" s="378"/>
      <c r="C554" s="370" t="s">
        <v>688</v>
      </c>
      <c r="D554" s="370" t="s">
        <v>40</v>
      </c>
      <c r="E554" s="403" t="s">
        <v>774</v>
      </c>
      <c r="F554" s="380">
        <v>3000019951</v>
      </c>
      <c r="G554" s="189"/>
      <c r="H554" s="13"/>
      <c r="I554" s="185"/>
      <c r="J554" s="185"/>
      <c r="K554" s="185"/>
      <c r="L554" s="185"/>
      <c r="M554" s="185"/>
      <c r="N554" s="185"/>
      <c r="O554" s="7"/>
      <c r="P554" s="7"/>
      <c r="Q554" s="7"/>
      <c r="R554" s="7"/>
      <c r="S554" s="14">
        <f t="shared" si="334"/>
        <v>0</v>
      </c>
      <c r="T554" s="179"/>
      <c r="U554" s="189"/>
      <c r="V554" s="13"/>
      <c r="W554" s="185"/>
      <c r="X554" s="185"/>
      <c r="Y554" s="185"/>
      <c r="Z554" s="185"/>
      <c r="AA554" s="185"/>
      <c r="AB554" s="185"/>
      <c r="AC554" s="7"/>
      <c r="AD554" s="7"/>
      <c r="AE554" s="7"/>
      <c r="AF554" s="7"/>
      <c r="AG554" s="759">
        <f t="shared" si="335"/>
        <v>0</v>
      </c>
      <c r="AH554" s="861">
        <v>3000019951</v>
      </c>
      <c r="AI554" s="189"/>
      <c r="AJ554" s="810"/>
      <c r="AK554" s="758"/>
      <c r="AL554" s="758">
        <v>0</v>
      </c>
      <c r="AM554" s="758"/>
      <c r="AN554" s="758"/>
      <c r="AO554" s="758">
        <v>9000000</v>
      </c>
      <c r="AP554" s="758">
        <v>19006290</v>
      </c>
      <c r="AQ554" s="518">
        <v>32484000</v>
      </c>
      <c r="AR554" s="813">
        <v>0</v>
      </c>
      <c r="AS554" s="813">
        <v>38949500</v>
      </c>
      <c r="AT554" s="813">
        <v>2250000</v>
      </c>
      <c r="AU554" s="518">
        <f t="shared" si="336"/>
        <v>9000000</v>
      </c>
      <c r="AV554" s="518">
        <f t="shared" si="336"/>
        <v>9000000</v>
      </c>
      <c r="AW554" s="518">
        <f t="shared" si="336"/>
        <v>9000000</v>
      </c>
      <c r="AX554" s="518">
        <f t="shared" si="330"/>
        <v>101689790</v>
      </c>
      <c r="AY554" s="861" t="e">
        <v>#N/A</v>
      </c>
      <c r="AZ554" s="189"/>
      <c r="BA554" s="810"/>
      <c r="BB554" s="758"/>
      <c r="BC554" s="758">
        <v>0</v>
      </c>
      <c r="BD554" s="758"/>
      <c r="BE554" s="758"/>
      <c r="BF554" s="758">
        <v>9000000</v>
      </c>
      <c r="BG554" s="518">
        <f t="shared" si="337"/>
        <v>19006290</v>
      </c>
      <c r="BH554" s="758">
        <v>9000000</v>
      </c>
      <c r="BI554" s="758">
        <v>9000000</v>
      </c>
      <c r="BJ554" s="758">
        <v>9000000</v>
      </c>
      <c r="BK554" s="758">
        <v>9000000</v>
      </c>
      <c r="BL554" s="759">
        <f t="shared" si="332"/>
        <v>64006290</v>
      </c>
      <c r="BN554" s="485">
        <v>9000000</v>
      </c>
      <c r="BO554" s="758">
        <v>9000000</v>
      </c>
      <c r="BP554" s="758">
        <v>9000000</v>
      </c>
      <c r="BQ554" s="758">
        <v>9000000</v>
      </c>
      <c r="BR554" s="758">
        <v>9000000</v>
      </c>
      <c r="BS554" s="758">
        <v>9000000</v>
      </c>
      <c r="BT554" s="758">
        <v>9000000</v>
      </c>
      <c r="BU554" s="758">
        <v>9000000</v>
      </c>
      <c r="BV554" s="758">
        <v>9000000</v>
      </c>
      <c r="BW554" s="758">
        <v>9000000</v>
      </c>
      <c r="BX554" s="758">
        <v>9000000</v>
      </c>
      <c r="BY554" s="758">
        <v>9000000</v>
      </c>
      <c r="BZ554" s="791">
        <v>108000000</v>
      </c>
      <c r="CB554" s="485">
        <v>9000000</v>
      </c>
      <c r="CC554" s="758">
        <v>9000000</v>
      </c>
      <c r="CD554" s="758">
        <v>9000000</v>
      </c>
      <c r="CE554" s="758">
        <v>9000000</v>
      </c>
      <c r="CF554" s="758">
        <v>9000000</v>
      </c>
      <c r="CG554" s="758">
        <v>9000000</v>
      </c>
      <c r="CH554" s="758">
        <v>9000000</v>
      </c>
      <c r="CI554" s="758">
        <v>9000000</v>
      </c>
      <c r="CJ554" s="758">
        <v>9000000</v>
      </c>
      <c r="CK554" s="758">
        <v>9000000</v>
      </c>
      <c r="CL554" s="758">
        <v>9000000</v>
      </c>
      <c r="CM554" s="758">
        <v>9000000</v>
      </c>
      <c r="CN554" s="791">
        <v>108000000</v>
      </c>
      <c r="CO554" s="37"/>
      <c r="CP554" s="657">
        <v>4100000</v>
      </c>
      <c r="CQ554" s="657"/>
      <c r="CR554" s="528"/>
      <c r="CS554" s="657"/>
      <c r="CT554" s="528"/>
      <c r="CU554" s="657"/>
      <c r="CV554" s="528"/>
      <c r="CW554" s="657"/>
      <c r="CX554" s="528"/>
      <c r="CY554" s="657"/>
      <c r="CZ554" s="528"/>
      <c r="DA554" s="657"/>
      <c r="DB554" s="528"/>
      <c r="DC554" s="657">
        <v>0</v>
      </c>
      <c r="DD554" s="528"/>
      <c r="DE554" s="758"/>
      <c r="DF554" s="528"/>
      <c r="DG554" s="757"/>
      <c r="DH554" s="758"/>
      <c r="DI554" s="528"/>
      <c r="DJ554" s="757"/>
      <c r="DK554" s="758"/>
      <c r="DL554" s="528"/>
      <c r="DM554" s="757"/>
      <c r="DN554" s="758"/>
      <c r="DO554" s="528"/>
      <c r="DP554" s="757"/>
      <c r="DQ554" s="493">
        <f t="shared" si="314"/>
        <v>4100000</v>
      </c>
      <c r="DR554" s="479">
        <f t="shared" si="333"/>
        <v>4100000</v>
      </c>
      <c r="DS554" s="1020"/>
      <c r="DT554" s="1020"/>
      <c r="DU554" s="1020"/>
      <c r="DV554" s="1020"/>
      <c r="DW554" s="1020"/>
      <c r="DX554" s="1020"/>
      <c r="DY554" s="1020"/>
      <c r="DZ554" s="1020"/>
      <c r="EA554" s="1020"/>
      <c r="EB554" s="1020"/>
      <c r="EC554" s="1020"/>
      <c r="ED554" s="1020"/>
      <c r="EE554" s="1119">
        <f t="shared" si="315"/>
        <v>0</v>
      </c>
      <c r="EF554" s="443">
        <v>150000000</v>
      </c>
      <c r="EG554" s="443">
        <f t="shared" si="338"/>
        <v>162000000</v>
      </c>
      <c r="EH554" s="443">
        <f t="shared" si="339"/>
        <v>176580000</v>
      </c>
      <c r="EI554" s="443">
        <f t="shared" si="339"/>
        <v>192472200</v>
      </c>
      <c r="EJ554" s="367">
        <v>3000019951</v>
      </c>
      <c r="EL554" s="177"/>
      <c r="EM554" s="177"/>
      <c r="EN554" s="177"/>
    </row>
    <row r="555" spans="1:144" outlineLevel="2">
      <c r="A555" s="367" t="s">
        <v>687</v>
      </c>
      <c r="B555" s="378"/>
      <c r="C555" s="370" t="s">
        <v>688</v>
      </c>
      <c r="D555" s="370" t="s">
        <v>40</v>
      </c>
      <c r="E555" s="403" t="s">
        <v>775</v>
      </c>
      <c r="F555" s="380">
        <v>3000020061</v>
      </c>
      <c r="G555" s="189"/>
      <c r="H555" s="13"/>
      <c r="I555" s="185"/>
      <c r="J555" s="185"/>
      <c r="K555" s="185"/>
      <c r="L555" s="185"/>
      <c r="M555" s="185"/>
      <c r="N555" s="185"/>
      <c r="O555" s="7"/>
      <c r="P555" s="7"/>
      <c r="Q555" s="7"/>
      <c r="R555" s="7"/>
      <c r="S555" s="14">
        <f t="shared" si="334"/>
        <v>0</v>
      </c>
      <c r="T555" s="179"/>
      <c r="U555" s="189"/>
      <c r="V555" s="13"/>
      <c r="W555" s="185"/>
      <c r="X555" s="185"/>
      <c r="Y555" s="185"/>
      <c r="Z555" s="185"/>
      <c r="AA555" s="185"/>
      <c r="AB555" s="185"/>
      <c r="AC555" s="7"/>
      <c r="AD555" s="7"/>
      <c r="AE555" s="7"/>
      <c r="AF555" s="7"/>
      <c r="AG555" s="759">
        <f t="shared" si="335"/>
        <v>0</v>
      </c>
      <c r="AH555" s="861">
        <v>3000020061</v>
      </c>
      <c r="AI555" s="189"/>
      <c r="AJ555" s="810"/>
      <c r="AK555" s="758"/>
      <c r="AL555" s="758">
        <v>0</v>
      </c>
      <c r="AM555" s="758"/>
      <c r="AN555" s="758"/>
      <c r="AO555" s="758">
        <v>0</v>
      </c>
      <c r="AP555" s="758">
        <v>7350000</v>
      </c>
      <c r="AQ555" s="518">
        <v>2214500</v>
      </c>
      <c r="AR555" s="813">
        <v>0</v>
      </c>
      <c r="AS555" s="813">
        <v>0</v>
      </c>
      <c r="AT555" s="813">
        <v>15150000</v>
      </c>
      <c r="AU555" s="518">
        <f t="shared" si="336"/>
        <v>10000000</v>
      </c>
      <c r="AV555" s="518">
        <f t="shared" si="336"/>
        <v>10000000</v>
      </c>
      <c r="AW555" s="518">
        <f t="shared" si="336"/>
        <v>10000000</v>
      </c>
      <c r="AX555" s="518">
        <f t="shared" si="330"/>
        <v>24714500</v>
      </c>
      <c r="AY555" s="861" t="e">
        <v>#N/A</v>
      </c>
      <c r="AZ555" s="189"/>
      <c r="BA555" s="810"/>
      <c r="BB555" s="758"/>
      <c r="BC555" s="758">
        <v>0</v>
      </c>
      <c r="BD555" s="758"/>
      <c r="BE555" s="758"/>
      <c r="BF555" s="758">
        <v>0</v>
      </c>
      <c r="BG555" s="518">
        <f t="shared" si="337"/>
        <v>7350000</v>
      </c>
      <c r="BH555" s="758">
        <v>10000000</v>
      </c>
      <c r="BI555" s="758">
        <v>10000000</v>
      </c>
      <c r="BJ555" s="758">
        <v>10000000</v>
      </c>
      <c r="BK555" s="758">
        <v>10000000</v>
      </c>
      <c r="BL555" s="759">
        <f t="shared" si="332"/>
        <v>47350000</v>
      </c>
      <c r="BN555" s="485">
        <v>10000000</v>
      </c>
      <c r="BO555" s="758">
        <v>10000000</v>
      </c>
      <c r="BP555" s="758">
        <v>10000000</v>
      </c>
      <c r="BQ555" s="758">
        <v>10000000</v>
      </c>
      <c r="BR555" s="758">
        <v>10000000</v>
      </c>
      <c r="BS555" s="758">
        <v>10000000</v>
      </c>
      <c r="BT555" s="758">
        <v>10000000</v>
      </c>
      <c r="BU555" s="758">
        <v>10000000</v>
      </c>
      <c r="BV555" s="758">
        <v>10000000</v>
      </c>
      <c r="BW555" s="758">
        <v>10000000</v>
      </c>
      <c r="BX555" s="758">
        <v>10000000</v>
      </c>
      <c r="BY555" s="758">
        <v>10000000</v>
      </c>
      <c r="BZ555" s="791">
        <v>120000000</v>
      </c>
      <c r="CB555" s="485">
        <v>10000000</v>
      </c>
      <c r="CC555" s="758">
        <v>10000000</v>
      </c>
      <c r="CD555" s="758">
        <v>10000000</v>
      </c>
      <c r="CE555" s="758">
        <v>10000000</v>
      </c>
      <c r="CF555" s="758">
        <v>10000000</v>
      </c>
      <c r="CG555" s="758">
        <v>10000000</v>
      </c>
      <c r="CH555" s="758">
        <v>10000000</v>
      </c>
      <c r="CI555" s="758">
        <v>10000000</v>
      </c>
      <c r="CJ555" s="758">
        <v>10000000</v>
      </c>
      <c r="CK555" s="758">
        <v>10000000</v>
      </c>
      <c r="CL555" s="758">
        <v>10000000</v>
      </c>
      <c r="CM555" s="758">
        <v>10000000</v>
      </c>
      <c r="CN555" s="791">
        <v>120000000</v>
      </c>
      <c r="CO555" s="37"/>
      <c r="CP555" s="657">
        <v>9900000</v>
      </c>
      <c r="CQ555" s="657"/>
      <c r="CR555" s="528"/>
      <c r="CS555" s="657"/>
      <c r="CT555" s="528"/>
      <c r="CU555" s="657"/>
      <c r="CV555" s="528"/>
      <c r="CW555" s="657"/>
      <c r="CX555" s="528"/>
      <c r="CY555" s="657"/>
      <c r="CZ555" s="528"/>
      <c r="DA555" s="657"/>
      <c r="DB555" s="528"/>
      <c r="DC555" s="657">
        <v>0</v>
      </c>
      <c r="DD555" s="528"/>
      <c r="DE555" s="758"/>
      <c r="DF555" s="528"/>
      <c r="DG555" s="757"/>
      <c r="DH555" s="758"/>
      <c r="DI555" s="528"/>
      <c r="DJ555" s="757"/>
      <c r="DK555" s="758"/>
      <c r="DL555" s="528"/>
      <c r="DM555" s="757"/>
      <c r="DN555" s="758"/>
      <c r="DO555" s="528"/>
      <c r="DP555" s="757"/>
      <c r="DQ555" s="493">
        <f t="shared" si="314"/>
        <v>9900000</v>
      </c>
      <c r="DR555" s="479">
        <f t="shared" si="333"/>
        <v>9900000</v>
      </c>
      <c r="DS555" s="1020"/>
      <c r="DT555" s="1020"/>
      <c r="DU555" s="1020"/>
      <c r="DV555" s="1020"/>
      <c r="DW555" s="1020"/>
      <c r="DX555" s="1020"/>
      <c r="DY555" s="1020"/>
      <c r="DZ555" s="1020"/>
      <c r="EA555" s="1020"/>
      <c r="EB555" s="1020"/>
      <c r="EC555" s="1020"/>
      <c r="ED555" s="1020"/>
      <c r="EE555" s="1119">
        <f t="shared" si="315"/>
        <v>0</v>
      </c>
      <c r="EF555" s="443">
        <v>168000000</v>
      </c>
      <c r="EG555" s="443">
        <f t="shared" si="338"/>
        <v>181440000</v>
      </c>
      <c r="EH555" s="443">
        <v>200000000</v>
      </c>
      <c r="EI555" s="443">
        <v>200000000</v>
      </c>
      <c r="EJ555" s="367">
        <v>3000020061</v>
      </c>
      <c r="EL555" s="177"/>
      <c r="EM555" s="177"/>
      <c r="EN555" s="177"/>
    </row>
    <row r="556" spans="1:144" outlineLevel="2">
      <c r="A556" s="367" t="s">
        <v>687</v>
      </c>
      <c r="B556" s="378"/>
      <c r="C556" s="370" t="s">
        <v>688</v>
      </c>
      <c r="D556" s="370" t="s">
        <v>40</v>
      </c>
      <c r="E556" s="379" t="s">
        <v>776</v>
      </c>
      <c r="F556" s="380">
        <v>3000016783</v>
      </c>
      <c r="G556" s="189"/>
      <c r="H556" s="13"/>
      <c r="I556" s="185"/>
      <c r="J556" s="185"/>
      <c r="K556" s="185"/>
      <c r="L556" s="185"/>
      <c r="M556" s="185"/>
      <c r="N556" s="185"/>
      <c r="O556" s="7"/>
      <c r="P556" s="7"/>
      <c r="Q556" s="7"/>
      <c r="R556" s="7"/>
      <c r="S556" s="14"/>
      <c r="T556" s="179"/>
      <c r="U556" s="189"/>
      <c r="V556" s="13"/>
      <c r="W556" s="185"/>
      <c r="X556" s="185"/>
      <c r="Y556" s="185"/>
      <c r="Z556" s="185"/>
      <c r="AA556" s="185"/>
      <c r="AB556" s="185"/>
      <c r="AC556" s="7"/>
      <c r="AD556" s="7"/>
      <c r="AE556" s="7"/>
      <c r="AF556" s="7"/>
      <c r="AG556" s="759"/>
      <c r="AH556" s="861"/>
      <c r="AI556" s="189"/>
      <c r="AJ556" s="810"/>
      <c r="AK556" s="758"/>
      <c r="AL556" s="758"/>
      <c r="AM556" s="758"/>
      <c r="AN556" s="758"/>
      <c r="AO556" s="758"/>
      <c r="AP556" s="758"/>
      <c r="AQ556" s="518">
        <v>14945610</v>
      </c>
      <c r="AR556" s="518"/>
      <c r="AS556" s="518"/>
      <c r="AT556" s="518"/>
      <c r="AU556" s="518"/>
      <c r="AV556" s="518"/>
      <c r="AW556" s="518"/>
      <c r="AX556" s="518">
        <f t="shared" si="330"/>
        <v>14945610</v>
      </c>
      <c r="AY556" s="861"/>
      <c r="AZ556" s="189"/>
      <c r="BA556" s="810"/>
      <c r="BB556" s="758"/>
      <c r="BC556" s="758"/>
      <c r="BD556" s="758"/>
      <c r="BE556" s="758"/>
      <c r="BF556" s="758"/>
      <c r="BG556" s="518"/>
      <c r="BH556" s="758"/>
      <c r="BI556" s="758"/>
      <c r="BJ556" s="758"/>
      <c r="BK556" s="758"/>
      <c r="BL556" s="518">
        <f t="shared" si="332"/>
        <v>0</v>
      </c>
      <c r="BN556" s="485"/>
      <c r="BO556" s="758"/>
      <c r="BP556" s="758"/>
      <c r="BQ556" s="758"/>
      <c r="BR556" s="758"/>
      <c r="BS556" s="758"/>
      <c r="BT556" s="758"/>
      <c r="BU556" s="758"/>
      <c r="BV556" s="758"/>
      <c r="BW556" s="758"/>
      <c r="BX556" s="758"/>
      <c r="BY556" s="758"/>
      <c r="BZ556" s="791">
        <v>0</v>
      </c>
      <c r="CB556" s="485"/>
      <c r="CC556" s="758"/>
      <c r="CD556" s="758"/>
      <c r="CE556" s="758"/>
      <c r="CF556" s="758"/>
      <c r="CG556" s="758"/>
      <c r="CH556" s="758"/>
      <c r="CI556" s="758"/>
      <c r="CJ556" s="758"/>
      <c r="CK556" s="758"/>
      <c r="CL556" s="758"/>
      <c r="CM556" s="758"/>
      <c r="CN556" s="791">
        <v>0</v>
      </c>
      <c r="CO556" s="37"/>
      <c r="CP556" s="657"/>
      <c r="CQ556" s="657"/>
      <c r="CR556" s="528"/>
      <c r="CS556" s="657">
        <v>526529</v>
      </c>
      <c r="CT556" s="528"/>
      <c r="CU556" s="657"/>
      <c r="CV556" s="528">
        <v>10000000</v>
      </c>
      <c r="CW556" s="657"/>
      <c r="CX556" s="528"/>
      <c r="CY556" s="657"/>
      <c r="CZ556" s="528"/>
      <c r="DA556" s="657"/>
      <c r="DB556" s="528"/>
      <c r="DC556" s="657">
        <v>0</v>
      </c>
      <c r="DD556" s="528"/>
      <c r="DE556" s="758"/>
      <c r="DF556" s="528"/>
      <c r="DG556" s="757"/>
      <c r="DH556" s="758"/>
      <c r="DI556" s="528"/>
      <c r="DJ556" s="757"/>
      <c r="DK556" s="758"/>
      <c r="DL556" s="528"/>
      <c r="DM556" s="757"/>
      <c r="DN556" s="758"/>
      <c r="DO556" s="528"/>
      <c r="DP556" s="757"/>
      <c r="DQ556" s="493">
        <f t="shared" si="314"/>
        <v>526529</v>
      </c>
      <c r="DR556" s="479">
        <f t="shared" si="333"/>
        <v>526529</v>
      </c>
      <c r="DS556" s="1020"/>
      <c r="DT556" s="1020"/>
      <c r="DU556" s="1020"/>
      <c r="DV556" s="1020"/>
      <c r="DW556" s="1020"/>
      <c r="DX556" s="1020"/>
      <c r="DY556" s="1020"/>
      <c r="DZ556" s="1020"/>
      <c r="EA556" s="1020"/>
      <c r="EB556" s="1020"/>
      <c r="EC556" s="1020"/>
      <c r="ED556" s="1020"/>
      <c r="EE556" s="1119">
        <f t="shared" si="315"/>
        <v>0</v>
      </c>
      <c r="EF556" s="459"/>
      <c r="EG556" s="459"/>
      <c r="EH556" s="459"/>
      <c r="EI556" s="459"/>
      <c r="EJ556" s="367">
        <v>3000016783</v>
      </c>
      <c r="EL556" s="177"/>
      <c r="EM556" s="177"/>
      <c r="EN556" s="177"/>
    </row>
    <row r="557" spans="1:144" outlineLevel="2">
      <c r="A557" s="367" t="s">
        <v>291</v>
      </c>
      <c r="B557" s="378"/>
      <c r="C557" s="370" t="s">
        <v>688</v>
      </c>
      <c r="D557" s="370" t="s">
        <v>40</v>
      </c>
      <c r="E557" s="383" t="s">
        <v>777</v>
      </c>
      <c r="F557" s="380">
        <v>3000018229</v>
      </c>
      <c r="G557" s="189"/>
      <c r="H557" s="13"/>
      <c r="I557" s="185"/>
      <c r="J557" s="185"/>
      <c r="K557" s="185"/>
      <c r="L557" s="194"/>
      <c r="M557" s="185"/>
      <c r="N557" s="185"/>
      <c r="O557" s="7"/>
      <c r="P557" s="7"/>
      <c r="Q557" s="7"/>
      <c r="R557" s="7"/>
      <c r="S557" s="14">
        <f>SUM(G557,H557,I557,J557,K557,L557,M557,N557,O557,P557,Q557,R557)</f>
        <v>0</v>
      </c>
      <c r="T557" s="179"/>
      <c r="U557" s="189"/>
      <c r="V557" s="13"/>
      <c r="W557" s="185"/>
      <c r="X557" s="185"/>
      <c r="Y557" s="185"/>
      <c r="Z557" s="194"/>
      <c r="AA557" s="185"/>
      <c r="AB557" s="185"/>
      <c r="AC557" s="7"/>
      <c r="AD557" s="7"/>
      <c r="AE557" s="7"/>
      <c r="AF557" s="7"/>
      <c r="AG557" s="759">
        <f>SUM(U557,V557,W557,X557,Y557,Z557,AA557,AB557,AC557,AD557,AE557,AF557)</f>
        <v>0</v>
      </c>
      <c r="AH557" s="861">
        <v>3000018229</v>
      </c>
      <c r="AI557" s="189"/>
      <c r="AJ557" s="810"/>
      <c r="AK557" s="758"/>
      <c r="AL557" s="758">
        <v>1000000</v>
      </c>
      <c r="AM557" s="758">
        <v>0</v>
      </c>
      <c r="AN557" s="524">
        <v>0</v>
      </c>
      <c r="AO557" s="758">
        <v>0</v>
      </c>
      <c r="AP557" s="758">
        <v>0</v>
      </c>
      <c r="AQ557" s="518">
        <v>0</v>
      </c>
      <c r="AR557" s="518"/>
      <c r="AS557" s="518"/>
      <c r="AT557" s="518"/>
      <c r="AU557" s="518">
        <f t="shared" ref="AU557:AW561" si="340">BI557</f>
        <v>0</v>
      </c>
      <c r="AV557" s="518">
        <f t="shared" si="340"/>
        <v>0</v>
      </c>
      <c r="AW557" s="518">
        <f t="shared" si="340"/>
        <v>0</v>
      </c>
      <c r="AX557" s="518">
        <f t="shared" si="330"/>
        <v>1000000</v>
      </c>
      <c r="AY557" s="861">
        <v>0</v>
      </c>
      <c r="AZ557" s="189"/>
      <c r="BA557" s="810"/>
      <c r="BB557" s="758"/>
      <c r="BC557" s="758">
        <v>1000000</v>
      </c>
      <c r="BD557" s="758">
        <v>0</v>
      </c>
      <c r="BE557" s="524">
        <v>0</v>
      </c>
      <c r="BF557" s="758">
        <v>0</v>
      </c>
      <c r="BG557" s="518">
        <f>AP557</f>
        <v>0</v>
      </c>
      <c r="BH557" s="758">
        <v>0</v>
      </c>
      <c r="BI557" s="758">
        <v>0</v>
      </c>
      <c r="BJ557" s="758">
        <v>0</v>
      </c>
      <c r="BK557" s="758">
        <v>0</v>
      </c>
      <c r="BL557" s="759">
        <f t="shared" si="332"/>
        <v>1000000</v>
      </c>
      <c r="BN557" s="485">
        <v>0</v>
      </c>
      <c r="BO557" s="758">
        <v>0</v>
      </c>
      <c r="BP557" s="758">
        <v>0</v>
      </c>
      <c r="BQ557" s="758">
        <v>0</v>
      </c>
      <c r="BR557" s="758">
        <v>0</v>
      </c>
      <c r="BS557" s="758">
        <v>0</v>
      </c>
      <c r="BT557" s="758">
        <v>0</v>
      </c>
      <c r="BU557" s="758">
        <v>0</v>
      </c>
      <c r="BV557" s="758">
        <v>0</v>
      </c>
      <c r="BW557" s="758">
        <v>0</v>
      </c>
      <c r="BX557" s="758">
        <v>0</v>
      </c>
      <c r="BY557" s="758">
        <v>0</v>
      </c>
      <c r="BZ557" s="791">
        <v>0</v>
      </c>
      <c r="CB557" s="485">
        <v>0</v>
      </c>
      <c r="CC557" s="758">
        <v>0</v>
      </c>
      <c r="CD557" s="758">
        <v>0</v>
      </c>
      <c r="CE557" s="758">
        <v>0</v>
      </c>
      <c r="CF557" s="758">
        <v>0</v>
      </c>
      <c r="CG557" s="758">
        <v>0</v>
      </c>
      <c r="CH557" s="758">
        <v>0</v>
      </c>
      <c r="CI557" s="758">
        <v>0</v>
      </c>
      <c r="CJ557" s="758">
        <v>0</v>
      </c>
      <c r="CK557" s="758">
        <v>0</v>
      </c>
      <c r="CL557" s="758">
        <v>0</v>
      </c>
      <c r="CM557" s="758">
        <v>0</v>
      </c>
      <c r="CN557" s="791">
        <v>0</v>
      </c>
      <c r="CO557" s="37"/>
      <c r="CP557" s="657"/>
      <c r="CQ557" s="657"/>
      <c r="CR557" s="528"/>
      <c r="CS557" s="657"/>
      <c r="CT557" s="528"/>
      <c r="CU557" s="657"/>
      <c r="CV557" s="528"/>
      <c r="CW557" s="657"/>
      <c r="CX557" s="528"/>
      <c r="CY557" s="657"/>
      <c r="CZ557" s="528"/>
      <c r="DA557" s="657"/>
      <c r="DB557" s="528"/>
      <c r="DC557" s="657">
        <v>0</v>
      </c>
      <c r="DD557" s="528"/>
      <c r="DE557" s="758"/>
      <c r="DF557" s="528"/>
      <c r="DG557" s="757"/>
      <c r="DH557" s="758"/>
      <c r="DI557" s="528"/>
      <c r="DJ557" s="757"/>
      <c r="DK557" s="758"/>
      <c r="DL557" s="528"/>
      <c r="DM557" s="757"/>
      <c r="DN557" s="758"/>
      <c r="DO557" s="528"/>
      <c r="DP557" s="757"/>
      <c r="DQ557" s="493">
        <f t="shared" si="314"/>
        <v>0</v>
      </c>
      <c r="DR557" s="479">
        <f t="shared" si="333"/>
        <v>0</v>
      </c>
      <c r="DS557" s="1020"/>
      <c r="DT557" s="1020"/>
      <c r="DU557" s="1020"/>
      <c r="DV557" s="1020"/>
      <c r="DW557" s="1020"/>
      <c r="DX557" s="1020"/>
      <c r="DY557" s="1020"/>
      <c r="DZ557" s="1020"/>
      <c r="EA557" s="1020"/>
      <c r="EB557" s="1020"/>
      <c r="EC557" s="1020"/>
      <c r="ED557" s="1020"/>
      <c r="EE557" s="1119">
        <f t="shared" si="315"/>
        <v>0</v>
      </c>
      <c r="EF557" s="443">
        <f>EE557*1.17</f>
        <v>0</v>
      </c>
      <c r="EG557" s="443">
        <f>EF557*1.08</f>
        <v>0</v>
      </c>
      <c r="EH557" s="443">
        <f t="shared" ref="EH557:EI561" si="341">EG557*1.09</f>
        <v>0</v>
      </c>
      <c r="EI557" s="443">
        <f t="shared" si="341"/>
        <v>0</v>
      </c>
      <c r="EJ557" s="367">
        <v>3000018229</v>
      </c>
      <c r="EL557" s="177"/>
      <c r="EM557" s="177"/>
      <c r="EN557" s="177"/>
    </row>
    <row r="558" spans="1:144" outlineLevel="2">
      <c r="A558" s="367" t="s">
        <v>291</v>
      </c>
      <c r="B558" s="378"/>
      <c r="C558" s="370" t="s">
        <v>688</v>
      </c>
      <c r="D558" s="370" t="s">
        <v>40</v>
      </c>
      <c r="E558" s="403" t="s">
        <v>778</v>
      </c>
      <c r="F558" s="380">
        <v>3000019714</v>
      </c>
      <c r="G558" s="189"/>
      <c r="H558" s="13"/>
      <c r="I558" s="185"/>
      <c r="J558" s="185"/>
      <c r="K558" s="185"/>
      <c r="L558" s="194"/>
      <c r="M558" s="185"/>
      <c r="N558" s="185"/>
      <c r="O558" s="7"/>
      <c r="P558" s="7"/>
      <c r="Q558" s="7"/>
      <c r="R558" s="7"/>
      <c r="S558" s="14">
        <f>SUM(G558,H558,I558,J558,K558,L558,M558,N558,O558,P558,Q558,R558)</f>
        <v>0</v>
      </c>
      <c r="T558" s="179"/>
      <c r="U558" s="189"/>
      <c r="V558" s="13"/>
      <c r="W558" s="185"/>
      <c r="X558" s="185"/>
      <c r="Y558" s="185"/>
      <c r="Z558" s="194"/>
      <c r="AA558" s="185"/>
      <c r="AB558" s="185"/>
      <c r="AC558" s="7"/>
      <c r="AD558" s="7"/>
      <c r="AE558" s="7"/>
      <c r="AF558" s="7"/>
      <c r="AG558" s="759">
        <f>SUM(U558,V558,W558,X558,Y558,Z558,AA558,AB558,AC558,AD558,AE558,AF558)</f>
        <v>0</v>
      </c>
      <c r="AH558" s="861">
        <v>3000019714</v>
      </c>
      <c r="AI558" s="189"/>
      <c r="AJ558" s="810"/>
      <c r="AK558" s="758"/>
      <c r="AL558" s="758">
        <v>0</v>
      </c>
      <c r="AM558" s="758">
        <v>2962400</v>
      </c>
      <c r="AN558" s="524">
        <v>0</v>
      </c>
      <c r="AO558" s="758">
        <v>0</v>
      </c>
      <c r="AP558" s="758">
        <v>0</v>
      </c>
      <c r="AQ558" s="518">
        <v>0</v>
      </c>
      <c r="AR558" s="518"/>
      <c r="AS558" s="518"/>
      <c r="AT558" s="518"/>
      <c r="AU558" s="518">
        <f t="shared" si="340"/>
        <v>0</v>
      </c>
      <c r="AV558" s="518">
        <f t="shared" si="340"/>
        <v>0</v>
      </c>
      <c r="AW558" s="518">
        <f t="shared" si="340"/>
        <v>0</v>
      </c>
      <c r="AX558" s="518">
        <f t="shared" si="330"/>
        <v>2962400</v>
      </c>
      <c r="AY558" s="861">
        <v>0</v>
      </c>
      <c r="AZ558" s="189"/>
      <c r="BA558" s="810"/>
      <c r="BB558" s="758"/>
      <c r="BC558" s="758">
        <v>0</v>
      </c>
      <c r="BD558" s="758">
        <v>2962400</v>
      </c>
      <c r="BE558" s="524">
        <v>0</v>
      </c>
      <c r="BF558" s="758">
        <v>0</v>
      </c>
      <c r="BG558" s="518">
        <f>AP558</f>
        <v>0</v>
      </c>
      <c r="BH558" s="758">
        <v>0</v>
      </c>
      <c r="BI558" s="758">
        <v>0</v>
      </c>
      <c r="BJ558" s="758">
        <v>0</v>
      </c>
      <c r="BK558" s="758">
        <v>0</v>
      </c>
      <c r="BL558" s="759">
        <f t="shared" si="332"/>
        <v>2962400</v>
      </c>
      <c r="BN558" s="485">
        <v>0</v>
      </c>
      <c r="BO558" s="758">
        <v>0</v>
      </c>
      <c r="BP558" s="758">
        <v>0</v>
      </c>
      <c r="BQ558" s="758">
        <v>0</v>
      </c>
      <c r="BR558" s="758">
        <v>0</v>
      </c>
      <c r="BS558" s="758">
        <v>0</v>
      </c>
      <c r="BT558" s="758">
        <v>0</v>
      </c>
      <c r="BU558" s="758">
        <v>0</v>
      </c>
      <c r="BV558" s="758">
        <v>0</v>
      </c>
      <c r="BW558" s="758">
        <v>0</v>
      </c>
      <c r="BX558" s="758">
        <v>0</v>
      </c>
      <c r="BY558" s="758">
        <v>0</v>
      </c>
      <c r="BZ558" s="791">
        <v>0</v>
      </c>
      <c r="CB558" s="485">
        <v>0</v>
      </c>
      <c r="CC558" s="758">
        <v>0</v>
      </c>
      <c r="CD558" s="758">
        <v>0</v>
      </c>
      <c r="CE558" s="758">
        <v>0</v>
      </c>
      <c r="CF558" s="758">
        <v>0</v>
      </c>
      <c r="CG558" s="758">
        <v>0</v>
      </c>
      <c r="CH558" s="758">
        <v>0</v>
      </c>
      <c r="CI558" s="758">
        <v>0</v>
      </c>
      <c r="CJ558" s="758">
        <v>0</v>
      </c>
      <c r="CK558" s="758">
        <v>0</v>
      </c>
      <c r="CL558" s="758">
        <v>0</v>
      </c>
      <c r="CM558" s="758">
        <v>0</v>
      </c>
      <c r="CN558" s="791">
        <v>0</v>
      </c>
      <c r="CO558" s="37"/>
      <c r="CP558" s="657"/>
      <c r="CQ558" s="657"/>
      <c r="CR558" s="528"/>
      <c r="CS558" s="657"/>
      <c r="CT558" s="528"/>
      <c r="CU558" s="657"/>
      <c r="CV558" s="528"/>
      <c r="CW558" s="657"/>
      <c r="CX558" s="528"/>
      <c r="CY558" s="657"/>
      <c r="CZ558" s="528"/>
      <c r="DA558" s="657"/>
      <c r="DB558" s="528"/>
      <c r="DC558" s="657">
        <v>0</v>
      </c>
      <c r="DD558" s="528"/>
      <c r="DE558" s="758"/>
      <c r="DF558" s="528"/>
      <c r="DG558" s="757"/>
      <c r="DH558" s="758"/>
      <c r="DI558" s="528"/>
      <c r="DJ558" s="757"/>
      <c r="DK558" s="758"/>
      <c r="DL558" s="528"/>
      <c r="DM558" s="757"/>
      <c r="DN558" s="758"/>
      <c r="DO558" s="528"/>
      <c r="DP558" s="757"/>
      <c r="DQ558" s="493">
        <f t="shared" si="314"/>
        <v>0</v>
      </c>
      <c r="DR558" s="479">
        <f t="shared" si="333"/>
        <v>0</v>
      </c>
      <c r="DS558" s="1020"/>
      <c r="DT558" s="1020"/>
      <c r="DU558" s="1020"/>
      <c r="DV558" s="1020"/>
      <c r="DW558" s="1020"/>
      <c r="DX558" s="1020"/>
      <c r="DY558" s="1020"/>
      <c r="DZ558" s="1020"/>
      <c r="EA558" s="1020"/>
      <c r="EB558" s="1020"/>
      <c r="EC558" s="1020"/>
      <c r="ED558" s="1020"/>
      <c r="EE558" s="1119">
        <f t="shared" si="315"/>
        <v>0</v>
      </c>
      <c r="EF558" s="443">
        <f>EE558*1.17</f>
        <v>0</v>
      </c>
      <c r="EG558" s="443">
        <f>EF558*1.08</f>
        <v>0</v>
      </c>
      <c r="EH558" s="443">
        <f t="shared" si="341"/>
        <v>0</v>
      </c>
      <c r="EI558" s="443">
        <f t="shared" si="341"/>
        <v>0</v>
      </c>
      <c r="EJ558" s="367">
        <v>3000019714</v>
      </c>
      <c r="EL558" s="177"/>
      <c r="EM558" s="177"/>
      <c r="EN558" s="177"/>
    </row>
    <row r="559" spans="1:144" outlineLevel="2">
      <c r="A559" s="367" t="s">
        <v>291</v>
      </c>
      <c r="B559" s="378"/>
      <c r="C559" s="370" t="s">
        <v>688</v>
      </c>
      <c r="D559" s="370" t="s">
        <v>40</v>
      </c>
      <c r="E559" s="383" t="s">
        <v>779</v>
      </c>
      <c r="F559" s="380">
        <v>3000019568</v>
      </c>
      <c r="G559" s="189"/>
      <c r="H559" s="13"/>
      <c r="I559" s="27"/>
      <c r="J559" s="185"/>
      <c r="K559" s="185"/>
      <c r="L559" s="194"/>
      <c r="M559" s="185"/>
      <c r="N559" s="185"/>
      <c r="O559" s="7"/>
      <c r="P559" s="7"/>
      <c r="Q559" s="7"/>
      <c r="R559" s="7"/>
      <c r="S559" s="14">
        <f>SUM(G559,H559,I559,J559,K559,L559,M559,N559,O559,P559,Q559,R559)</f>
        <v>0</v>
      </c>
      <c r="T559" s="179"/>
      <c r="U559" s="189"/>
      <c r="V559" s="13"/>
      <c r="W559" s="27"/>
      <c r="X559" s="185"/>
      <c r="Y559" s="185"/>
      <c r="Z559" s="194"/>
      <c r="AA559" s="185"/>
      <c r="AB559" s="185"/>
      <c r="AC559" s="7"/>
      <c r="AD559" s="7"/>
      <c r="AE559" s="7"/>
      <c r="AF559" s="7"/>
      <c r="AG559" s="759">
        <f>SUM(U559,V559,W559,X559,Y559,Z559,AA559,AB559,AC559,AD559,AE559,AF559)</f>
        <v>0</v>
      </c>
      <c r="AH559" s="861">
        <v>3000019568</v>
      </c>
      <c r="AI559" s="189"/>
      <c r="AJ559" s="810"/>
      <c r="AK559" s="858">
        <v>650000</v>
      </c>
      <c r="AL559" s="758">
        <v>0</v>
      </c>
      <c r="AM559" s="758">
        <v>0</v>
      </c>
      <c r="AN559" s="524">
        <v>0</v>
      </c>
      <c r="AO559" s="758">
        <v>0</v>
      </c>
      <c r="AP559" s="758">
        <v>0</v>
      </c>
      <c r="AQ559" s="518">
        <v>0</v>
      </c>
      <c r="AR559" s="518"/>
      <c r="AS559" s="518"/>
      <c r="AT559" s="518"/>
      <c r="AU559" s="518">
        <f t="shared" si="340"/>
        <v>0</v>
      </c>
      <c r="AV559" s="518">
        <f t="shared" si="340"/>
        <v>0</v>
      </c>
      <c r="AW559" s="518">
        <f t="shared" si="340"/>
        <v>0</v>
      </c>
      <c r="AX559" s="518">
        <f t="shared" si="330"/>
        <v>650000</v>
      </c>
      <c r="AY559" s="861">
        <v>0</v>
      </c>
      <c r="AZ559" s="189"/>
      <c r="BA559" s="810"/>
      <c r="BB559" s="858">
        <v>650000</v>
      </c>
      <c r="BC559" s="758">
        <v>0</v>
      </c>
      <c r="BD559" s="758">
        <v>0</v>
      </c>
      <c r="BE559" s="524">
        <v>0</v>
      </c>
      <c r="BF559" s="758">
        <v>0</v>
      </c>
      <c r="BG559" s="518">
        <f>AP559</f>
        <v>0</v>
      </c>
      <c r="BH559" s="758">
        <v>0</v>
      </c>
      <c r="BI559" s="758">
        <v>0</v>
      </c>
      <c r="BJ559" s="758">
        <v>0</v>
      </c>
      <c r="BK559" s="758">
        <v>0</v>
      </c>
      <c r="BL559" s="759">
        <f t="shared" si="332"/>
        <v>650000</v>
      </c>
      <c r="BN559" s="485">
        <v>0</v>
      </c>
      <c r="BO559" s="758">
        <v>0</v>
      </c>
      <c r="BP559" s="758">
        <v>0</v>
      </c>
      <c r="BQ559" s="758">
        <v>0</v>
      </c>
      <c r="BR559" s="758">
        <v>0</v>
      </c>
      <c r="BS559" s="758">
        <v>0</v>
      </c>
      <c r="BT559" s="758">
        <v>0</v>
      </c>
      <c r="BU559" s="758">
        <v>0</v>
      </c>
      <c r="BV559" s="758">
        <v>0</v>
      </c>
      <c r="BW559" s="758">
        <v>0</v>
      </c>
      <c r="BX559" s="758">
        <v>0</v>
      </c>
      <c r="BY559" s="758">
        <v>0</v>
      </c>
      <c r="BZ559" s="791">
        <v>0</v>
      </c>
      <c r="CB559" s="485">
        <v>0</v>
      </c>
      <c r="CC559" s="758">
        <v>0</v>
      </c>
      <c r="CD559" s="758">
        <v>0</v>
      </c>
      <c r="CE559" s="758">
        <v>0</v>
      </c>
      <c r="CF559" s="758">
        <v>0</v>
      </c>
      <c r="CG559" s="758">
        <v>0</v>
      </c>
      <c r="CH559" s="758">
        <v>0</v>
      </c>
      <c r="CI559" s="758">
        <v>0</v>
      </c>
      <c r="CJ559" s="758">
        <v>0</v>
      </c>
      <c r="CK559" s="758">
        <v>0</v>
      </c>
      <c r="CL559" s="758">
        <v>0</v>
      </c>
      <c r="CM559" s="758">
        <v>0</v>
      </c>
      <c r="CN559" s="791">
        <v>0</v>
      </c>
      <c r="CO559" s="37"/>
      <c r="CP559" s="657"/>
      <c r="CQ559" s="657"/>
      <c r="CR559" s="528"/>
      <c r="CS559" s="657"/>
      <c r="CT559" s="528"/>
      <c r="CU559" s="657"/>
      <c r="CV559" s="528"/>
      <c r="CW559" s="657"/>
      <c r="CX559" s="528"/>
      <c r="CY559" s="657">
        <v>450000</v>
      </c>
      <c r="CZ559" s="528"/>
      <c r="DA559" s="657"/>
      <c r="DB559" s="528"/>
      <c r="DC559" s="657">
        <v>0</v>
      </c>
      <c r="DD559" s="528"/>
      <c r="DE559" s="758"/>
      <c r="DF559" s="528"/>
      <c r="DG559" s="757"/>
      <c r="DH559" s="758"/>
      <c r="DI559" s="528"/>
      <c r="DJ559" s="757"/>
      <c r="DK559" s="758"/>
      <c r="DL559" s="528"/>
      <c r="DM559" s="757"/>
      <c r="DN559" s="758"/>
      <c r="DO559" s="528"/>
      <c r="DP559" s="757"/>
      <c r="DQ559" s="493">
        <f t="shared" si="314"/>
        <v>450000</v>
      </c>
      <c r="DR559" s="479">
        <f t="shared" si="333"/>
        <v>0</v>
      </c>
      <c r="DS559" s="1020"/>
      <c r="DT559" s="1020"/>
      <c r="DU559" s="1020"/>
      <c r="DV559" s="1020"/>
      <c r="DW559" s="1020"/>
      <c r="DX559" s="1020"/>
      <c r="DY559" s="1020"/>
      <c r="DZ559" s="1020"/>
      <c r="EA559" s="1020"/>
      <c r="EB559" s="1020"/>
      <c r="EC559" s="1020"/>
      <c r="ED559" s="1020"/>
      <c r="EE559" s="1119">
        <f t="shared" si="315"/>
        <v>0</v>
      </c>
      <c r="EF559" s="443">
        <f>EE559*1.17</f>
        <v>0</v>
      </c>
      <c r="EG559" s="443">
        <f>EF559*1.08</f>
        <v>0</v>
      </c>
      <c r="EH559" s="443">
        <f t="shared" si="341"/>
        <v>0</v>
      </c>
      <c r="EI559" s="443">
        <f t="shared" si="341"/>
        <v>0</v>
      </c>
      <c r="EJ559" s="367">
        <v>3000019568</v>
      </c>
      <c r="EL559" s="177"/>
      <c r="EM559" s="177"/>
      <c r="EN559" s="177"/>
    </row>
    <row r="560" spans="1:144" outlineLevel="2">
      <c r="A560" s="367" t="s">
        <v>699</v>
      </c>
      <c r="B560" s="378"/>
      <c r="C560" s="370" t="s">
        <v>688</v>
      </c>
      <c r="D560" s="370" t="s">
        <v>40</v>
      </c>
      <c r="E560" s="383" t="s">
        <v>780</v>
      </c>
      <c r="F560" s="380">
        <v>3000012573</v>
      </c>
      <c r="G560" s="189"/>
      <c r="H560" s="30"/>
      <c r="I560" s="185"/>
      <c r="J560" s="185"/>
      <c r="K560" s="185"/>
      <c r="L560" s="194"/>
      <c r="M560" s="185"/>
      <c r="N560" s="185"/>
      <c r="O560" s="7"/>
      <c r="P560" s="7"/>
      <c r="Q560" s="7"/>
      <c r="R560" s="7"/>
      <c r="S560" s="14">
        <f>SUM(G560,H560,I560,J560,K560,L560,M560,N560,O560,P560,Q560,R560)</f>
        <v>0</v>
      </c>
      <c r="T560" s="179"/>
      <c r="U560" s="189"/>
      <c r="V560" s="30"/>
      <c r="W560" s="185"/>
      <c r="X560" s="185"/>
      <c r="Y560" s="185"/>
      <c r="Z560" s="194"/>
      <c r="AA560" s="185"/>
      <c r="AB560" s="185"/>
      <c r="AC560" s="7"/>
      <c r="AD560" s="7"/>
      <c r="AE560" s="7"/>
      <c r="AF560" s="7"/>
      <c r="AG560" s="759">
        <f>SUM(U560,V560,W560,X560,Y560,Z560,AA560,AB560,AC560,AD560,AE560,AF560)</f>
        <v>0</v>
      </c>
      <c r="AH560" s="861">
        <v>3000012573</v>
      </c>
      <c r="AI560" s="189"/>
      <c r="AJ560" s="859">
        <v>2550000</v>
      </c>
      <c r="AK560" s="758">
        <v>2550000</v>
      </c>
      <c r="AL560" s="758">
        <v>0</v>
      </c>
      <c r="AM560" s="758">
        <v>0</v>
      </c>
      <c r="AN560" s="524">
        <v>2550000</v>
      </c>
      <c r="AO560" s="758">
        <v>0</v>
      </c>
      <c r="AP560" s="758">
        <v>0</v>
      </c>
      <c r="AQ560" s="518">
        <v>0</v>
      </c>
      <c r="AR560" s="813">
        <v>0</v>
      </c>
      <c r="AS560" s="813">
        <v>0</v>
      </c>
      <c r="AT560" s="813">
        <v>2550000</v>
      </c>
      <c r="AU560" s="518">
        <f t="shared" si="340"/>
        <v>0</v>
      </c>
      <c r="AV560" s="518">
        <f t="shared" si="340"/>
        <v>0</v>
      </c>
      <c r="AW560" s="518">
        <f t="shared" si="340"/>
        <v>0</v>
      </c>
      <c r="AX560" s="518">
        <f t="shared" si="330"/>
        <v>10200000</v>
      </c>
      <c r="AY560" s="861">
        <v>0</v>
      </c>
      <c r="AZ560" s="189"/>
      <c r="BA560" s="859">
        <v>2550000</v>
      </c>
      <c r="BB560" s="758">
        <v>2550000</v>
      </c>
      <c r="BC560" s="758">
        <v>0</v>
      </c>
      <c r="BD560" s="758">
        <v>0</v>
      </c>
      <c r="BE560" s="524">
        <v>2550000</v>
      </c>
      <c r="BF560" s="758">
        <v>0</v>
      </c>
      <c r="BG560" s="518">
        <f>AP560</f>
        <v>0</v>
      </c>
      <c r="BH560" s="758">
        <v>0</v>
      </c>
      <c r="BI560" s="758">
        <v>0</v>
      </c>
      <c r="BJ560" s="758">
        <v>0</v>
      </c>
      <c r="BK560" s="758">
        <v>0</v>
      </c>
      <c r="BL560" s="759">
        <f t="shared" si="332"/>
        <v>7650000</v>
      </c>
      <c r="BN560" s="485">
        <v>0</v>
      </c>
      <c r="BO560" s="758">
        <v>0</v>
      </c>
      <c r="BP560" s="758">
        <v>0</v>
      </c>
      <c r="BQ560" s="758">
        <v>0</v>
      </c>
      <c r="BR560" s="758">
        <v>0</v>
      </c>
      <c r="BS560" s="758">
        <v>0</v>
      </c>
      <c r="BT560" s="758">
        <v>0</v>
      </c>
      <c r="BU560" s="758">
        <v>0</v>
      </c>
      <c r="BV560" s="758">
        <v>0</v>
      </c>
      <c r="BW560" s="758">
        <v>0</v>
      </c>
      <c r="BX560" s="758">
        <v>0</v>
      </c>
      <c r="BY560" s="758">
        <v>0</v>
      </c>
      <c r="BZ560" s="791">
        <v>0</v>
      </c>
      <c r="CB560" s="485">
        <v>0</v>
      </c>
      <c r="CC560" s="758">
        <v>0</v>
      </c>
      <c r="CD560" s="758">
        <v>0</v>
      </c>
      <c r="CE560" s="758">
        <v>0</v>
      </c>
      <c r="CF560" s="758">
        <v>0</v>
      </c>
      <c r="CG560" s="758">
        <v>0</v>
      </c>
      <c r="CH560" s="758">
        <v>0</v>
      </c>
      <c r="CI560" s="758">
        <v>0</v>
      </c>
      <c r="CJ560" s="758">
        <v>0</v>
      </c>
      <c r="CK560" s="758">
        <v>0</v>
      </c>
      <c r="CL560" s="758">
        <v>0</v>
      </c>
      <c r="CM560" s="758">
        <v>0</v>
      </c>
      <c r="CN560" s="791">
        <v>0</v>
      </c>
      <c r="CO560" s="37"/>
      <c r="CP560" s="657"/>
      <c r="CQ560" s="657"/>
      <c r="CR560" s="528"/>
      <c r="CS560" s="657">
        <v>2550000</v>
      </c>
      <c r="CT560" s="528"/>
      <c r="CU560" s="657">
        <v>2550000</v>
      </c>
      <c r="CV560" s="528"/>
      <c r="CW560" s="657"/>
      <c r="CX560" s="528"/>
      <c r="CY560" s="657">
        <v>2550000</v>
      </c>
      <c r="CZ560" s="528"/>
      <c r="DA560" s="657">
        <v>2550000</v>
      </c>
      <c r="DB560" s="528"/>
      <c r="DC560" s="657">
        <v>0</v>
      </c>
      <c r="DD560" s="528"/>
      <c r="DE560" s="758"/>
      <c r="DF560" s="528"/>
      <c r="DG560" s="757"/>
      <c r="DH560" s="758"/>
      <c r="DI560" s="528"/>
      <c r="DJ560" s="757"/>
      <c r="DK560" s="758"/>
      <c r="DL560" s="528"/>
      <c r="DM560" s="757"/>
      <c r="DN560" s="758"/>
      <c r="DO560" s="528"/>
      <c r="DP560" s="757"/>
      <c r="DQ560" s="493">
        <f t="shared" si="314"/>
        <v>10200000</v>
      </c>
      <c r="DR560" s="479">
        <f t="shared" si="333"/>
        <v>5100000</v>
      </c>
      <c r="DS560" s="1020"/>
      <c r="DT560" s="1020"/>
      <c r="DU560" s="1020"/>
      <c r="DV560" s="1020"/>
      <c r="DW560" s="1020"/>
      <c r="DX560" s="1020"/>
      <c r="DY560" s="1020"/>
      <c r="DZ560" s="1020"/>
      <c r="EA560" s="1020"/>
      <c r="EB560" s="1020"/>
      <c r="EC560" s="1020"/>
      <c r="ED560" s="1020"/>
      <c r="EE560" s="1119">
        <f t="shared" si="315"/>
        <v>0</v>
      </c>
      <c r="EF560" s="443">
        <f>EE560*1.17</f>
        <v>0</v>
      </c>
      <c r="EG560" s="443">
        <f>EF560*1.08</f>
        <v>0</v>
      </c>
      <c r="EH560" s="443">
        <f t="shared" si="341"/>
        <v>0</v>
      </c>
      <c r="EI560" s="443">
        <f t="shared" si="341"/>
        <v>0</v>
      </c>
      <c r="EJ560" s="367">
        <v>3000012573</v>
      </c>
      <c r="EL560" s="177"/>
      <c r="EM560" s="177"/>
      <c r="EN560" s="177"/>
    </row>
    <row r="561" spans="1:144" outlineLevel="2">
      <c r="A561" s="367" t="s">
        <v>291</v>
      </c>
      <c r="B561" s="378"/>
      <c r="C561" s="370" t="s">
        <v>688</v>
      </c>
      <c r="D561" s="370" t="s">
        <v>40</v>
      </c>
      <c r="E561" s="383" t="s">
        <v>781</v>
      </c>
      <c r="F561" s="380">
        <v>3000005683</v>
      </c>
      <c r="G561" s="189"/>
      <c r="H561" s="30"/>
      <c r="I561" s="185"/>
      <c r="J561" s="185"/>
      <c r="K561" s="185"/>
      <c r="L561" s="194"/>
      <c r="M561" s="185"/>
      <c r="N561" s="185"/>
      <c r="O561" s="7"/>
      <c r="P561" s="7"/>
      <c r="Q561" s="7"/>
      <c r="R561" s="7"/>
      <c r="S561" s="14">
        <f>SUM(G561,H561,I561,J561,K561,L561,M561,N561,O561,P561,Q561,R561)</f>
        <v>0</v>
      </c>
      <c r="T561" s="179"/>
      <c r="U561" s="189"/>
      <c r="V561" s="30"/>
      <c r="W561" s="185"/>
      <c r="X561" s="185"/>
      <c r="Y561" s="185"/>
      <c r="Z561" s="194"/>
      <c r="AA561" s="185"/>
      <c r="AB561" s="185"/>
      <c r="AC561" s="7"/>
      <c r="AD561" s="7"/>
      <c r="AE561" s="7"/>
      <c r="AF561" s="7"/>
      <c r="AG561" s="759">
        <f>SUM(U561,V561,W561,X561,Y561,Z561,AA561,AB561,AC561,AD561,AE561,AF561)</f>
        <v>0</v>
      </c>
      <c r="AH561" s="861">
        <v>3000005683</v>
      </c>
      <c r="AI561" s="189"/>
      <c r="AJ561" s="859">
        <v>3125500</v>
      </c>
      <c r="AK561" s="758"/>
      <c r="AL561" s="758">
        <v>0</v>
      </c>
      <c r="AM561" s="758">
        <v>0</v>
      </c>
      <c r="AN561" s="524">
        <v>0</v>
      </c>
      <c r="AO561" s="758">
        <v>3212500</v>
      </c>
      <c r="AP561" s="758">
        <v>0</v>
      </c>
      <c r="AQ561" s="518">
        <v>0</v>
      </c>
      <c r="AR561" s="518"/>
      <c r="AS561" s="518"/>
      <c r="AT561" s="518"/>
      <c r="AU561" s="518">
        <f t="shared" si="340"/>
        <v>0</v>
      </c>
      <c r="AV561" s="518">
        <f t="shared" si="340"/>
        <v>0</v>
      </c>
      <c r="AW561" s="518">
        <f t="shared" si="340"/>
        <v>0</v>
      </c>
      <c r="AX561" s="518">
        <f t="shared" si="330"/>
        <v>6338000</v>
      </c>
      <c r="AY561" s="861">
        <v>0</v>
      </c>
      <c r="AZ561" s="189"/>
      <c r="BA561" s="859">
        <v>3125500</v>
      </c>
      <c r="BB561" s="758"/>
      <c r="BC561" s="758">
        <v>0</v>
      </c>
      <c r="BD561" s="758">
        <v>0</v>
      </c>
      <c r="BE561" s="524">
        <v>0</v>
      </c>
      <c r="BF561" s="758">
        <v>3212500</v>
      </c>
      <c r="BG561" s="518">
        <f>AP561</f>
        <v>0</v>
      </c>
      <c r="BH561" s="758">
        <v>0</v>
      </c>
      <c r="BI561" s="758">
        <v>0</v>
      </c>
      <c r="BJ561" s="758">
        <v>0</v>
      </c>
      <c r="BK561" s="758">
        <v>0</v>
      </c>
      <c r="BL561" s="759">
        <f t="shared" si="332"/>
        <v>6338000</v>
      </c>
      <c r="BN561" s="485">
        <v>0</v>
      </c>
      <c r="BO561" s="758">
        <v>0</v>
      </c>
      <c r="BP561" s="758">
        <v>0</v>
      </c>
      <c r="BQ561" s="758">
        <v>0</v>
      </c>
      <c r="BR561" s="758">
        <v>0</v>
      </c>
      <c r="BS561" s="758">
        <v>0</v>
      </c>
      <c r="BT561" s="758">
        <v>0</v>
      </c>
      <c r="BU561" s="758">
        <v>0</v>
      </c>
      <c r="BV561" s="758">
        <v>0</v>
      </c>
      <c r="BW561" s="758">
        <v>0</v>
      </c>
      <c r="BX561" s="758">
        <v>0</v>
      </c>
      <c r="BY561" s="758">
        <v>0</v>
      </c>
      <c r="BZ561" s="791">
        <v>0</v>
      </c>
      <c r="CB561" s="485">
        <v>0</v>
      </c>
      <c r="CC561" s="758">
        <v>0</v>
      </c>
      <c r="CD561" s="758">
        <v>0</v>
      </c>
      <c r="CE561" s="758">
        <v>0</v>
      </c>
      <c r="CF561" s="758">
        <v>0</v>
      </c>
      <c r="CG561" s="758">
        <v>0</v>
      </c>
      <c r="CH561" s="758">
        <v>0</v>
      </c>
      <c r="CI561" s="758">
        <v>0</v>
      </c>
      <c r="CJ561" s="758">
        <v>0</v>
      </c>
      <c r="CK561" s="758">
        <v>0</v>
      </c>
      <c r="CL561" s="758">
        <v>0</v>
      </c>
      <c r="CM561" s="758">
        <v>0</v>
      </c>
      <c r="CN561" s="791">
        <v>0</v>
      </c>
      <c r="CO561" s="37"/>
      <c r="CP561" s="657"/>
      <c r="CQ561" s="657">
        <v>6842500</v>
      </c>
      <c r="CR561" s="528">
        <v>7000000</v>
      </c>
      <c r="CS561" s="657"/>
      <c r="CT561" s="528"/>
      <c r="CU561" s="657"/>
      <c r="CV561" s="528"/>
      <c r="CW561" s="657"/>
      <c r="CX561" s="528"/>
      <c r="CY561" s="657"/>
      <c r="CZ561" s="528"/>
      <c r="DA561" s="657">
        <v>4724000</v>
      </c>
      <c r="DB561" s="528"/>
      <c r="DC561" s="657">
        <v>0</v>
      </c>
      <c r="DD561" s="528"/>
      <c r="DE561" s="758"/>
      <c r="DF561" s="528"/>
      <c r="DG561" s="757"/>
      <c r="DH561" s="758"/>
      <c r="DI561" s="528"/>
      <c r="DJ561" s="757"/>
      <c r="DK561" s="758"/>
      <c r="DL561" s="528"/>
      <c r="DM561" s="757"/>
      <c r="DN561" s="758"/>
      <c r="DO561" s="528"/>
      <c r="DP561" s="757"/>
      <c r="DQ561" s="493">
        <f t="shared" si="314"/>
        <v>11566500</v>
      </c>
      <c r="DR561" s="479">
        <f t="shared" si="333"/>
        <v>6842500</v>
      </c>
      <c r="DS561" s="1020"/>
      <c r="DT561" s="1020"/>
      <c r="DU561" s="1020"/>
      <c r="DV561" s="1020"/>
      <c r="DW561" s="1020"/>
      <c r="DX561" s="1020"/>
      <c r="DY561" s="1020"/>
      <c r="DZ561" s="1020"/>
      <c r="EA561" s="1020"/>
      <c r="EB561" s="1020"/>
      <c r="EC561" s="1020"/>
      <c r="ED561" s="1020"/>
      <c r="EE561" s="1119">
        <f t="shared" si="315"/>
        <v>0</v>
      </c>
      <c r="EF561" s="443">
        <f>EE561*1.17</f>
        <v>0</v>
      </c>
      <c r="EG561" s="443">
        <f>EF561*1.08</f>
        <v>0</v>
      </c>
      <c r="EH561" s="443">
        <f t="shared" si="341"/>
        <v>0</v>
      </c>
      <c r="EI561" s="443">
        <f t="shared" si="341"/>
        <v>0</v>
      </c>
      <c r="EJ561" s="367">
        <v>3000005683</v>
      </c>
      <c r="EL561" s="177"/>
      <c r="EM561" s="177"/>
      <c r="EN561" s="177"/>
    </row>
    <row r="562" spans="1:144" outlineLevel="2">
      <c r="B562" s="378"/>
      <c r="C562" s="370" t="s">
        <v>688</v>
      </c>
      <c r="D562" s="370" t="s">
        <v>108</v>
      </c>
      <c r="E562" s="383" t="s">
        <v>782</v>
      </c>
      <c r="F562" s="380" t="s">
        <v>783</v>
      </c>
      <c r="G562" s="189"/>
      <c r="H562" s="30"/>
      <c r="I562" s="185"/>
      <c r="J562" s="185"/>
      <c r="K562" s="185"/>
      <c r="L562" s="194"/>
      <c r="M562" s="185"/>
      <c r="N562" s="185"/>
      <c r="O562" s="7"/>
      <c r="P562" s="7"/>
      <c r="Q562" s="7"/>
      <c r="R562" s="7"/>
      <c r="S562" s="14"/>
      <c r="T562" s="179"/>
      <c r="U562" s="189"/>
      <c r="V562" s="30"/>
      <c r="W562" s="185"/>
      <c r="X562" s="185"/>
      <c r="Y562" s="185"/>
      <c r="Z562" s="194"/>
      <c r="AA562" s="185"/>
      <c r="AB562" s="185"/>
      <c r="AC562" s="7"/>
      <c r="AD562" s="7"/>
      <c r="AE562" s="7"/>
      <c r="AF562" s="7"/>
      <c r="AG562" s="759"/>
      <c r="AH562" s="861"/>
      <c r="AI562" s="189"/>
      <c r="AJ562" s="859"/>
      <c r="AK562" s="758"/>
      <c r="AL562" s="758"/>
      <c r="AM562" s="758"/>
      <c r="AN562" s="524"/>
      <c r="AO562" s="758"/>
      <c r="AP562" s="758"/>
      <c r="AQ562" s="518"/>
      <c r="AR562" s="518"/>
      <c r="AS562" s="518"/>
      <c r="AT562" s="518"/>
      <c r="AU562" s="518"/>
      <c r="AV562" s="518"/>
      <c r="AW562" s="518"/>
      <c r="AX562" s="518"/>
      <c r="AY562" s="861"/>
      <c r="AZ562" s="189"/>
      <c r="BA562" s="859"/>
      <c r="BB562" s="758"/>
      <c r="BC562" s="758"/>
      <c r="BD562" s="758"/>
      <c r="BE562" s="524"/>
      <c r="BF562" s="758"/>
      <c r="BG562" s="518"/>
      <c r="BH562" s="758"/>
      <c r="BI562" s="758"/>
      <c r="BJ562" s="758"/>
      <c r="BK562" s="758"/>
      <c r="BL562" s="759"/>
      <c r="BN562" s="485"/>
      <c r="BO562" s="758"/>
      <c r="BP562" s="758"/>
      <c r="BQ562" s="758"/>
      <c r="BR562" s="758"/>
      <c r="BS562" s="758"/>
      <c r="BT562" s="758"/>
      <c r="BU562" s="758"/>
      <c r="BV562" s="758"/>
      <c r="BW562" s="758"/>
      <c r="BX562" s="758"/>
      <c r="BY562" s="758"/>
      <c r="BZ562" s="791"/>
      <c r="CB562" s="485"/>
      <c r="CC562" s="758"/>
      <c r="CD562" s="758"/>
      <c r="CE562" s="758"/>
      <c r="CF562" s="758"/>
      <c r="CG562" s="758"/>
      <c r="CH562" s="758"/>
      <c r="CI562" s="758"/>
      <c r="CJ562" s="758"/>
      <c r="CK562" s="758"/>
      <c r="CL562" s="758"/>
      <c r="CM562" s="758"/>
      <c r="CN562" s="791"/>
      <c r="CO562" s="37"/>
      <c r="CP562" s="657"/>
      <c r="CQ562" s="657">
        <v>6200000</v>
      </c>
      <c r="CR562" s="528"/>
      <c r="CS562" s="657"/>
      <c r="CT562" s="528"/>
      <c r="CU562" s="657"/>
      <c r="CV562" s="528"/>
      <c r="CW562" s="657"/>
      <c r="CX562" s="528"/>
      <c r="CY562" s="657"/>
      <c r="CZ562" s="528"/>
      <c r="DA562" s="657"/>
      <c r="DB562" s="528"/>
      <c r="DC562" s="657">
        <v>0</v>
      </c>
      <c r="DD562" s="528"/>
      <c r="DE562" s="758"/>
      <c r="DF562" s="528"/>
      <c r="DG562" s="757"/>
      <c r="DH562" s="758"/>
      <c r="DI562" s="528"/>
      <c r="DJ562" s="757"/>
      <c r="DK562" s="758"/>
      <c r="DL562" s="528"/>
      <c r="DM562" s="757"/>
      <c r="DN562" s="758"/>
      <c r="DO562" s="528"/>
      <c r="DP562" s="757"/>
      <c r="DQ562" s="493">
        <f t="shared" si="314"/>
        <v>6200000</v>
      </c>
      <c r="DR562" s="479">
        <f t="shared" si="333"/>
        <v>6200000</v>
      </c>
      <c r="DS562" s="1020"/>
      <c r="DT562" s="1020"/>
      <c r="DU562" s="1020"/>
      <c r="DV562" s="1020"/>
      <c r="DW562" s="1020"/>
      <c r="DX562" s="1020"/>
      <c r="DY562" s="1020"/>
      <c r="DZ562" s="1020"/>
      <c r="EA562" s="1020"/>
      <c r="EB562" s="1020"/>
      <c r="EC562" s="1020"/>
      <c r="ED562" s="1020"/>
      <c r="EE562" s="1119">
        <f t="shared" si="315"/>
        <v>0</v>
      </c>
      <c r="EF562" s="443"/>
      <c r="EG562" s="443"/>
      <c r="EH562" s="443"/>
      <c r="EI562" s="443"/>
      <c r="EL562" s="177"/>
      <c r="EM562" s="177"/>
      <c r="EN562" s="177"/>
    </row>
    <row r="563" spans="1:144" outlineLevel="2">
      <c r="A563" s="367" t="s">
        <v>687</v>
      </c>
      <c r="B563" s="378"/>
      <c r="C563" s="370" t="s">
        <v>688</v>
      </c>
      <c r="D563" s="370" t="s">
        <v>40</v>
      </c>
      <c r="E563" s="383" t="s">
        <v>449</v>
      </c>
      <c r="F563" s="380">
        <v>8000000031</v>
      </c>
      <c r="G563" s="189"/>
      <c r="H563" s="13"/>
      <c r="I563" s="185"/>
      <c r="J563" s="185"/>
      <c r="K563" s="185"/>
      <c r="L563" s="194"/>
      <c r="M563" s="185"/>
      <c r="N563" s="185"/>
      <c r="O563" s="7"/>
      <c r="P563" s="7"/>
      <c r="Q563" s="7"/>
      <c r="R563" s="7"/>
      <c r="S563" s="14">
        <f>SUM(G563,H563,I563,J563,K563,L563,M563,N563,O563,P563,Q563,R563)</f>
        <v>0</v>
      </c>
      <c r="T563" s="179"/>
      <c r="U563" s="189"/>
      <c r="V563" s="13"/>
      <c r="W563" s="185"/>
      <c r="X563" s="185"/>
      <c r="Y563" s="185"/>
      <c r="Z563" s="194"/>
      <c r="AA563" s="185"/>
      <c r="AB563" s="185"/>
      <c r="AC563" s="7"/>
      <c r="AD563" s="7"/>
      <c r="AE563" s="7"/>
      <c r="AF563" s="7"/>
      <c r="AG563" s="759">
        <f>SUM(U563,V563,W563,X563,Y563,Z563,AA563,AB563,AC563,AD563,AE563,AF563)</f>
        <v>0</v>
      </c>
      <c r="AH563" s="861">
        <v>8000000031</v>
      </c>
      <c r="AI563" s="189"/>
      <c r="AJ563" s="810"/>
      <c r="AK563" s="758"/>
      <c r="AL563" s="758">
        <v>42271318</v>
      </c>
      <c r="AM563" s="758">
        <v>0</v>
      </c>
      <c r="AN563" s="524">
        <v>0</v>
      </c>
      <c r="AO563" s="758">
        <v>0</v>
      </c>
      <c r="AP563" s="758">
        <v>0</v>
      </c>
      <c r="AQ563" s="518">
        <v>0</v>
      </c>
      <c r="AR563" s="518"/>
      <c r="AS563" s="518"/>
      <c r="AT563" s="518"/>
      <c r="AU563" s="518">
        <f t="shared" ref="AU563:AW565" si="342">BI563</f>
        <v>0</v>
      </c>
      <c r="AV563" s="518">
        <f t="shared" si="342"/>
        <v>0</v>
      </c>
      <c r="AW563" s="518">
        <f t="shared" si="342"/>
        <v>0</v>
      </c>
      <c r="AX563" s="518">
        <f t="shared" ref="AX563:AX574" si="343">SUM(AI563,AJ563,AK563,AL563,AM563,AN563,AO563,AP563,AQ563,AR563,AS563,AT563)</f>
        <v>42271318</v>
      </c>
      <c r="AY563" s="861">
        <v>0</v>
      </c>
      <c r="AZ563" s="189"/>
      <c r="BA563" s="810"/>
      <c r="BB563" s="758"/>
      <c r="BC563" s="758">
        <v>42271318</v>
      </c>
      <c r="BD563" s="758">
        <v>0</v>
      </c>
      <c r="BE563" s="524">
        <v>0</v>
      </c>
      <c r="BF563" s="758">
        <v>0</v>
      </c>
      <c r="BG563" s="518">
        <f>AP563</f>
        <v>0</v>
      </c>
      <c r="BH563" s="758">
        <v>0</v>
      </c>
      <c r="BI563" s="758">
        <v>0</v>
      </c>
      <c r="BJ563" s="758">
        <v>0</v>
      </c>
      <c r="BK563" s="758">
        <v>0</v>
      </c>
      <c r="BL563" s="759">
        <f>SUM(AZ563,BA563,BB563,BC563,BD563,BE563,BF563,BG563,BH563,BI563,BJ563,BK563)</f>
        <v>42271318</v>
      </c>
      <c r="BN563" s="485">
        <v>0</v>
      </c>
      <c r="BO563" s="758">
        <v>0</v>
      </c>
      <c r="BP563" s="758">
        <v>0</v>
      </c>
      <c r="BQ563" s="758">
        <v>0</v>
      </c>
      <c r="BR563" s="758">
        <v>0</v>
      </c>
      <c r="BS563" s="758">
        <v>0</v>
      </c>
      <c r="BT563" s="758">
        <v>0</v>
      </c>
      <c r="BU563" s="758">
        <v>0</v>
      </c>
      <c r="BV563" s="758">
        <v>0</v>
      </c>
      <c r="BW563" s="758">
        <v>0</v>
      </c>
      <c r="BX563" s="758">
        <v>0</v>
      </c>
      <c r="BY563" s="758">
        <v>0</v>
      </c>
      <c r="BZ563" s="791">
        <v>0</v>
      </c>
      <c r="CB563" s="485">
        <v>0</v>
      </c>
      <c r="CC563" s="758">
        <v>0</v>
      </c>
      <c r="CD563" s="758">
        <v>0</v>
      </c>
      <c r="CE563" s="758">
        <v>0</v>
      </c>
      <c r="CF563" s="758">
        <v>0</v>
      </c>
      <c r="CG563" s="758">
        <v>0</v>
      </c>
      <c r="CH563" s="758">
        <v>0</v>
      </c>
      <c r="CI563" s="758">
        <v>0</v>
      </c>
      <c r="CJ563" s="758">
        <v>0</v>
      </c>
      <c r="CK563" s="758">
        <v>0</v>
      </c>
      <c r="CL563" s="758">
        <v>0</v>
      </c>
      <c r="CM563" s="758">
        <v>0</v>
      </c>
      <c r="CN563" s="791">
        <v>0</v>
      </c>
      <c r="CO563" s="37"/>
      <c r="CP563" s="657"/>
      <c r="CQ563" s="657"/>
      <c r="CR563" s="528"/>
      <c r="CS563" s="657"/>
      <c r="CT563" s="528"/>
      <c r="CU563" s="657"/>
      <c r="CV563" s="528"/>
      <c r="CW563" s="657"/>
      <c r="CX563" s="528"/>
      <c r="CY563" s="657"/>
      <c r="CZ563" s="528"/>
      <c r="DA563" s="657"/>
      <c r="DB563" s="528"/>
      <c r="DC563" s="657">
        <v>0</v>
      </c>
      <c r="DD563" s="528"/>
      <c r="DE563" s="758"/>
      <c r="DF563" s="528"/>
      <c r="DG563" s="757"/>
      <c r="DH563" s="758"/>
      <c r="DI563" s="528"/>
      <c r="DJ563" s="757"/>
      <c r="DK563" s="758"/>
      <c r="DL563" s="528"/>
      <c r="DM563" s="757"/>
      <c r="DN563" s="758"/>
      <c r="DO563" s="528"/>
      <c r="DP563" s="757"/>
      <c r="DQ563" s="493">
        <f t="shared" si="314"/>
        <v>0</v>
      </c>
      <c r="DR563" s="479">
        <f t="shared" si="333"/>
        <v>0</v>
      </c>
      <c r="DS563" s="1020"/>
      <c r="DT563" s="1020"/>
      <c r="DU563" s="1020"/>
      <c r="DV563" s="1020"/>
      <c r="DW563" s="1020"/>
      <c r="DX563" s="1020"/>
      <c r="DY563" s="1020"/>
      <c r="DZ563" s="1020"/>
      <c r="EA563" s="1020"/>
      <c r="EB563" s="1020"/>
      <c r="EC563" s="1020"/>
      <c r="ED563" s="1020"/>
      <c r="EE563" s="1119">
        <f t="shared" si="315"/>
        <v>0</v>
      </c>
      <c r="EF563" s="443">
        <f>EE563*1.17</f>
        <v>0</v>
      </c>
      <c r="EG563" s="443">
        <f>EF563*1.08</f>
        <v>0</v>
      </c>
      <c r="EH563" s="443">
        <f>EG563*1.09</f>
        <v>0</v>
      </c>
      <c r="EI563" s="443">
        <f>EH563*1.09</f>
        <v>0</v>
      </c>
      <c r="EJ563" s="367">
        <v>8000000031</v>
      </c>
      <c r="EL563" s="177"/>
      <c r="EM563" s="177"/>
      <c r="EN563" s="177"/>
    </row>
    <row r="564" spans="1:144" outlineLevel="2">
      <c r="A564" s="367" t="s">
        <v>291</v>
      </c>
      <c r="B564" s="378"/>
      <c r="C564" s="370" t="s">
        <v>688</v>
      </c>
      <c r="D564" s="370" t="s">
        <v>40</v>
      </c>
      <c r="E564" s="383" t="s">
        <v>784</v>
      </c>
      <c r="F564" s="380">
        <v>3000015190</v>
      </c>
      <c r="G564" s="189"/>
      <c r="H564" s="13"/>
      <c r="I564" s="27"/>
      <c r="J564" s="185"/>
      <c r="K564" s="185"/>
      <c r="L564" s="194"/>
      <c r="M564" s="185"/>
      <c r="N564" s="185"/>
      <c r="O564" s="7"/>
      <c r="P564" s="7"/>
      <c r="Q564" s="7"/>
      <c r="R564" s="7"/>
      <c r="S564" s="14">
        <f>SUM(G564,H564,I564,J564,K564,L564,M564,N564,O564,P564,Q564,R564)</f>
        <v>0</v>
      </c>
      <c r="T564" s="179"/>
      <c r="U564" s="189"/>
      <c r="V564" s="13"/>
      <c r="W564" s="27"/>
      <c r="X564" s="185"/>
      <c r="Y564" s="185"/>
      <c r="Z564" s="194"/>
      <c r="AA564" s="185"/>
      <c r="AB564" s="185"/>
      <c r="AC564" s="7"/>
      <c r="AD564" s="7"/>
      <c r="AE564" s="7"/>
      <c r="AF564" s="7"/>
      <c r="AG564" s="759">
        <f>SUM(U564,V564,W564,X564,Y564,Z564,AA564,AB564,AC564,AD564,AE564,AF564)</f>
        <v>0</v>
      </c>
      <c r="AH564" s="861">
        <v>3000015190</v>
      </c>
      <c r="AI564" s="189"/>
      <c r="AJ564" s="810"/>
      <c r="AK564" s="858">
        <v>6864250</v>
      </c>
      <c r="AL564" s="758">
        <v>0</v>
      </c>
      <c r="AM564" s="758">
        <v>0</v>
      </c>
      <c r="AN564" s="524">
        <v>0</v>
      </c>
      <c r="AO564" s="758">
        <v>0</v>
      </c>
      <c r="AP564" s="758">
        <v>0</v>
      </c>
      <c r="AQ564" s="518">
        <v>0</v>
      </c>
      <c r="AR564" s="518"/>
      <c r="AS564" s="518"/>
      <c r="AT564" s="518"/>
      <c r="AU564" s="518">
        <f t="shared" si="342"/>
        <v>0</v>
      </c>
      <c r="AV564" s="518">
        <f t="shared" si="342"/>
        <v>0</v>
      </c>
      <c r="AW564" s="518">
        <f t="shared" si="342"/>
        <v>0</v>
      </c>
      <c r="AX564" s="518">
        <f t="shared" si="343"/>
        <v>6864250</v>
      </c>
      <c r="AY564" s="861">
        <v>0</v>
      </c>
      <c r="AZ564" s="189"/>
      <c r="BA564" s="810"/>
      <c r="BB564" s="858">
        <v>6864250</v>
      </c>
      <c r="BC564" s="758">
        <v>0</v>
      </c>
      <c r="BD564" s="758">
        <v>0</v>
      </c>
      <c r="BE564" s="524">
        <v>0</v>
      </c>
      <c r="BF564" s="758">
        <v>0</v>
      </c>
      <c r="BG564" s="518">
        <f>AP564</f>
        <v>0</v>
      </c>
      <c r="BH564" s="758">
        <v>0</v>
      </c>
      <c r="BI564" s="758">
        <v>0</v>
      </c>
      <c r="BJ564" s="758">
        <v>0</v>
      </c>
      <c r="BK564" s="758">
        <v>0</v>
      </c>
      <c r="BL564" s="759">
        <f>SUM(AZ564,BA564,BB564,BC564,BD564,BE564,BF564,BG564,BH564,BI564,BJ564,BK564)</f>
        <v>6864250</v>
      </c>
      <c r="BN564" s="485">
        <v>0</v>
      </c>
      <c r="BO564" s="758">
        <v>0</v>
      </c>
      <c r="BP564" s="758">
        <v>0</v>
      </c>
      <c r="BQ564" s="758">
        <v>0</v>
      </c>
      <c r="BR564" s="758">
        <v>0</v>
      </c>
      <c r="BS564" s="758">
        <v>0</v>
      </c>
      <c r="BT564" s="758">
        <v>0</v>
      </c>
      <c r="BU564" s="758">
        <v>0</v>
      </c>
      <c r="BV564" s="758">
        <v>0</v>
      </c>
      <c r="BW564" s="758">
        <v>0</v>
      </c>
      <c r="BX564" s="758">
        <v>0</v>
      </c>
      <c r="BY564" s="758">
        <v>0</v>
      </c>
      <c r="BZ564" s="791">
        <v>0</v>
      </c>
      <c r="CB564" s="485">
        <v>0</v>
      </c>
      <c r="CC564" s="758">
        <v>0</v>
      </c>
      <c r="CD564" s="758">
        <v>0</v>
      </c>
      <c r="CE564" s="758">
        <v>0</v>
      </c>
      <c r="CF564" s="758">
        <v>0</v>
      </c>
      <c r="CG564" s="758">
        <v>0</v>
      </c>
      <c r="CH564" s="758">
        <v>0</v>
      </c>
      <c r="CI564" s="758">
        <v>0</v>
      </c>
      <c r="CJ564" s="758">
        <v>0</v>
      </c>
      <c r="CK564" s="758">
        <v>0</v>
      </c>
      <c r="CL564" s="758">
        <v>0</v>
      </c>
      <c r="CM564" s="758">
        <v>0</v>
      </c>
      <c r="CN564" s="791">
        <v>0</v>
      </c>
      <c r="CO564" s="37"/>
      <c r="CP564" s="657"/>
      <c r="CQ564" s="657"/>
      <c r="CR564" s="528"/>
      <c r="CS564" s="657"/>
      <c r="CT564" s="528"/>
      <c r="CU564" s="657"/>
      <c r="CV564" s="528"/>
      <c r="CW564" s="657"/>
      <c r="CX564" s="528"/>
      <c r="CY564" s="657"/>
      <c r="CZ564" s="528"/>
      <c r="DA564" s="657"/>
      <c r="DB564" s="528"/>
      <c r="DC564" s="657">
        <v>0</v>
      </c>
      <c r="DD564" s="528"/>
      <c r="DE564" s="758"/>
      <c r="DF564" s="528"/>
      <c r="DG564" s="757"/>
      <c r="DH564" s="758"/>
      <c r="DI564" s="528"/>
      <c r="DJ564" s="757"/>
      <c r="DK564" s="758"/>
      <c r="DL564" s="528"/>
      <c r="DM564" s="757"/>
      <c r="DN564" s="758"/>
      <c r="DO564" s="528"/>
      <c r="DP564" s="757"/>
      <c r="DQ564" s="493">
        <f t="shared" si="314"/>
        <v>0</v>
      </c>
      <c r="DR564" s="479">
        <f t="shared" si="333"/>
        <v>0</v>
      </c>
      <c r="DS564" s="1020"/>
      <c r="DT564" s="1020"/>
      <c r="DU564" s="1020"/>
      <c r="DV564" s="1020"/>
      <c r="DW564" s="1020"/>
      <c r="DX564" s="1020"/>
      <c r="DY564" s="1020"/>
      <c r="DZ564" s="1020"/>
      <c r="EA564" s="1020"/>
      <c r="EB564" s="1020"/>
      <c r="EC564" s="1020"/>
      <c r="ED564" s="1020"/>
      <c r="EE564" s="1119">
        <f t="shared" si="315"/>
        <v>0</v>
      </c>
      <c r="EF564" s="443">
        <f>EE564*1.17</f>
        <v>0</v>
      </c>
      <c r="EG564" s="443">
        <f>EF564*1.08</f>
        <v>0</v>
      </c>
      <c r="EH564" s="443">
        <f>EG564*1.09</f>
        <v>0</v>
      </c>
      <c r="EI564" s="443">
        <f>EH564*1.09</f>
        <v>0</v>
      </c>
      <c r="EJ564" s="367">
        <v>3000015190</v>
      </c>
      <c r="EL564" s="177"/>
      <c r="EM564" s="177"/>
      <c r="EN564" s="177"/>
    </row>
    <row r="565" spans="1:144" outlineLevel="2">
      <c r="A565" s="367" t="s">
        <v>291</v>
      </c>
      <c r="B565" s="378"/>
      <c r="C565" s="370" t="s">
        <v>688</v>
      </c>
      <c r="D565" s="370" t="s">
        <v>40</v>
      </c>
      <c r="E565" s="379" t="s">
        <v>103</v>
      </c>
      <c r="F565" s="380">
        <v>3000009257</v>
      </c>
      <c r="G565" s="189"/>
      <c r="H565" s="13"/>
      <c r="I565" s="185"/>
      <c r="J565" s="185"/>
      <c r="K565" s="185"/>
      <c r="L565" s="185"/>
      <c r="M565" s="185"/>
      <c r="N565" s="185"/>
      <c r="O565" s="7"/>
      <c r="P565" s="7"/>
      <c r="Q565" s="7"/>
      <c r="R565" s="7"/>
      <c r="S565" s="14">
        <f>SUM(G565,H565,I565,J565,K565,L565,M565,N565,O565,P565,Q565,R565)</f>
        <v>0</v>
      </c>
      <c r="T565" s="179"/>
      <c r="U565" s="189"/>
      <c r="V565" s="13"/>
      <c r="W565" s="185"/>
      <c r="X565" s="185"/>
      <c r="Y565" s="185"/>
      <c r="Z565" s="185"/>
      <c r="AA565" s="185"/>
      <c r="AB565" s="185"/>
      <c r="AC565" s="7"/>
      <c r="AD565" s="7"/>
      <c r="AE565" s="7"/>
      <c r="AF565" s="7"/>
      <c r="AG565" s="759">
        <f>SUM(U565,V565,W565,X565,Y565,Z565,AA565,AB565,AC565,AD565,AE565,AF565)</f>
        <v>0</v>
      </c>
      <c r="AH565" s="861" t="e">
        <v>#N/A</v>
      </c>
      <c r="AI565" s="189"/>
      <c r="AJ565" s="810"/>
      <c r="AK565" s="758"/>
      <c r="AL565" s="758"/>
      <c r="AM565" s="758"/>
      <c r="AN565" s="758"/>
      <c r="AO565" s="758"/>
      <c r="AP565" s="758"/>
      <c r="AQ565" s="518">
        <v>0</v>
      </c>
      <c r="AR565" s="813"/>
      <c r="AS565" s="813"/>
      <c r="AT565" s="813"/>
      <c r="AU565" s="518">
        <f t="shared" si="342"/>
        <v>0</v>
      </c>
      <c r="AV565" s="518">
        <f t="shared" si="342"/>
        <v>0</v>
      </c>
      <c r="AW565" s="518">
        <f t="shared" si="342"/>
        <v>0</v>
      </c>
      <c r="AX565" s="518">
        <f t="shared" si="343"/>
        <v>0</v>
      </c>
      <c r="AY565" s="861">
        <v>0</v>
      </c>
      <c r="AZ565" s="189"/>
      <c r="BA565" s="810"/>
      <c r="BB565" s="758"/>
      <c r="BC565" s="758"/>
      <c r="BD565" s="758"/>
      <c r="BE565" s="758"/>
      <c r="BF565" s="758"/>
      <c r="BG565" s="518">
        <f>AP565</f>
        <v>0</v>
      </c>
      <c r="BH565" s="758">
        <v>0</v>
      </c>
      <c r="BI565" s="758">
        <v>0</v>
      </c>
      <c r="BJ565" s="758">
        <v>0</v>
      </c>
      <c r="BK565" s="758">
        <v>0</v>
      </c>
      <c r="BL565" s="759">
        <f>SUM(AZ565,BA565,BB565,BC565,BD565,BE565,BF565,BG565,BH565,BI565,BJ565,BK565)</f>
        <v>0</v>
      </c>
      <c r="BN565" s="485">
        <v>1250000000</v>
      </c>
      <c r="BO565" s="758">
        <v>1250000000</v>
      </c>
      <c r="BP565" s="758">
        <v>1250000000</v>
      </c>
      <c r="BQ565" s="758">
        <v>1250000000</v>
      </c>
      <c r="BR565" s="758">
        <v>1250000000</v>
      </c>
      <c r="BS565" s="758">
        <v>1250000000</v>
      </c>
      <c r="BT565" s="758">
        <v>1250000000</v>
      </c>
      <c r="BU565" s="758">
        <v>1250000000</v>
      </c>
      <c r="BV565" s="758">
        <v>1250000000</v>
      </c>
      <c r="BW565" s="758">
        <v>1250000000</v>
      </c>
      <c r="BX565" s="758">
        <v>1250000000</v>
      </c>
      <c r="BY565" s="758">
        <v>1250000000</v>
      </c>
      <c r="BZ565" s="791">
        <v>15000000000</v>
      </c>
      <c r="CB565" s="485">
        <v>1250000000</v>
      </c>
      <c r="CC565" s="758">
        <v>1250000000</v>
      </c>
      <c r="CD565" s="758">
        <v>1250000000</v>
      </c>
      <c r="CE565" s="758">
        <v>1250000000</v>
      </c>
      <c r="CF565" s="758">
        <v>1250000000</v>
      </c>
      <c r="CG565" s="758">
        <v>1250000000</v>
      </c>
      <c r="CH565" s="758">
        <v>1250000000</v>
      </c>
      <c r="CI565" s="758">
        <v>1250000000</v>
      </c>
      <c r="CJ565" s="758">
        <v>1250000000</v>
      </c>
      <c r="CK565" s="758">
        <v>1250000000</v>
      </c>
      <c r="CL565" s="758">
        <v>1250000000</v>
      </c>
      <c r="CM565" s="758">
        <v>1250000000</v>
      </c>
      <c r="CN565" s="791">
        <v>15000000000</v>
      </c>
      <c r="CO565" s="37"/>
      <c r="CP565" s="657">
        <v>69709242</v>
      </c>
      <c r="CQ565" s="657">
        <v>354750520</v>
      </c>
      <c r="CR565" s="528">
        <v>254000000</v>
      </c>
      <c r="CS565" s="657">
        <v>219971551</v>
      </c>
      <c r="CT565" s="528">
        <v>200000000</v>
      </c>
      <c r="CU565" s="657">
        <v>274936258</v>
      </c>
      <c r="CV565" s="528">
        <v>200000000</v>
      </c>
      <c r="CW565" s="657">
        <v>80539886</v>
      </c>
      <c r="CX565" s="528">
        <v>200000000</v>
      </c>
      <c r="CY565" s="657">
        <v>301325350</v>
      </c>
      <c r="CZ565" s="528">
        <v>250000000</v>
      </c>
      <c r="DA565" s="657">
        <v>299945174</v>
      </c>
      <c r="DB565" s="528">
        <v>450000000</v>
      </c>
      <c r="DC565" s="657">
        <v>655122530</v>
      </c>
      <c r="DD565" s="528">
        <v>250000000</v>
      </c>
      <c r="DE565" s="758"/>
      <c r="DF565" s="528">
        <v>250000000</v>
      </c>
      <c r="DG565" s="757">
        <v>250000000</v>
      </c>
      <c r="DH565" s="758"/>
      <c r="DI565" s="528">
        <v>250000000</v>
      </c>
      <c r="DJ565" s="757">
        <v>250000000</v>
      </c>
      <c r="DK565" s="758"/>
      <c r="DL565" s="528">
        <v>250000000</v>
      </c>
      <c r="DM565" s="757">
        <v>250000000</v>
      </c>
      <c r="DN565" s="758"/>
      <c r="DO565" s="528">
        <v>250000000</v>
      </c>
      <c r="DP565" s="757">
        <v>250000000</v>
      </c>
      <c r="DQ565" s="493">
        <f t="shared" si="314"/>
        <v>3256300511</v>
      </c>
      <c r="DR565" s="479">
        <f t="shared" si="333"/>
        <v>3069367571</v>
      </c>
      <c r="DS565" s="1020">
        <v>250000000</v>
      </c>
      <c r="DT565" s="1020">
        <v>300000000</v>
      </c>
      <c r="DU565" s="1020">
        <v>300000000</v>
      </c>
      <c r="DV565" s="1020">
        <v>300000000</v>
      </c>
      <c r="DW565" s="1020">
        <v>300000000</v>
      </c>
      <c r="DX565" s="1020">
        <v>300000000</v>
      </c>
      <c r="DY565" s="1020">
        <v>300000000</v>
      </c>
      <c r="DZ565" s="1020">
        <v>300000000</v>
      </c>
      <c r="EA565" s="1020">
        <v>300000000</v>
      </c>
      <c r="EB565" s="1020">
        <v>300000000</v>
      </c>
      <c r="EC565" s="1020">
        <v>300000000</v>
      </c>
      <c r="ED565" s="1020">
        <v>300000000</v>
      </c>
      <c r="EE565" s="1119">
        <f t="shared" si="315"/>
        <v>3550000000</v>
      </c>
      <c r="EF565" s="453">
        <f>(EE565*1.17)-108360290.219664</f>
        <v>4045139709.7803354</v>
      </c>
      <c r="EG565" s="453">
        <f>(EF565*1.08)-344393398.012855</f>
        <v>4024357488.5499072</v>
      </c>
      <c r="EH565" s="453">
        <f>25000000000+2603963.81809112</f>
        <v>25002603963.818092</v>
      </c>
      <c r="EI565" s="453">
        <f>25000000000+2603963.81809112</f>
        <v>25002603963.818092</v>
      </c>
      <c r="EJ565" s="367">
        <v>3000009257</v>
      </c>
      <c r="EL565" s="177">
        <v>1</v>
      </c>
      <c r="EM565" s="177"/>
      <c r="EN565" s="177"/>
    </row>
    <row r="566" spans="1:144" outlineLevel="2">
      <c r="A566" s="367" t="s">
        <v>291</v>
      </c>
      <c r="B566" s="378"/>
      <c r="C566" s="370" t="s">
        <v>688</v>
      </c>
      <c r="D566" s="370" t="s">
        <v>40</v>
      </c>
      <c r="E566" s="403" t="s">
        <v>673</v>
      </c>
      <c r="F566" s="380">
        <v>3000015441</v>
      </c>
      <c r="G566" s="189"/>
      <c r="H566" s="13"/>
      <c r="I566" s="185"/>
      <c r="J566" s="185"/>
      <c r="K566" s="185"/>
      <c r="L566" s="185"/>
      <c r="M566" s="185"/>
      <c r="N566" s="185"/>
      <c r="O566" s="185"/>
      <c r="P566" s="185"/>
      <c r="Q566" s="185"/>
      <c r="R566" s="185"/>
      <c r="S566" s="14"/>
      <c r="T566" s="179"/>
      <c r="U566" s="189"/>
      <c r="V566" s="13"/>
      <c r="W566" s="185"/>
      <c r="X566" s="185"/>
      <c r="Y566" s="185"/>
      <c r="Z566" s="185"/>
      <c r="AA566" s="185"/>
      <c r="AB566" s="185"/>
      <c r="AC566" s="185"/>
      <c r="AD566" s="185"/>
      <c r="AE566" s="185"/>
      <c r="AF566" s="185"/>
      <c r="AG566" s="759"/>
      <c r="AH566" s="788"/>
      <c r="AI566" s="189"/>
      <c r="AJ566" s="810"/>
      <c r="AK566" s="758"/>
      <c r="AL566" s="758"/>
      <c r="AM566" s="758"/>
      <c r="AN566" s="758"/>
      <c r="AO566" s="758"/>
      <c r="AP566" s="758"/>
      <c r="AQ566" s="518"/>
      <c r="AR566" s="813"/>
      <c r="AS566" s="518"/>
      <c r="AT566" s="518"/>
      <c r="AU566" s="758"/>
      <c r="AV566" s="758"/>
      <c r="AW566" s="758"/>
      <c r="AX566" s="518">
        <f t="shared" si="343"/>
        <v>0</v>
      </c>
      <c r="AY566" s="788"/>
      <c r="AZ566" s="189"/>
      <c r="BA566" s="810"/>
      <c r="BB566" s="758"/>
      <c r="BC566" s="758"/>
      <c r="BD566" s="758"/>
      <c r="BE566" s="758"/>
      <c r="BF566" s="758"/>
      <c r="BG566" s="758"/>
      <c r="BH566" s="758"/>
      <c r="BI566" s="758"/>
      <c r="BJ566" s="758"/>
      <c r="BK566" s="758"/>
      <c r="BL566" s="518"/>
      <c r="BN566" s="189"/>
      <c r="BO566" s="810"/>
      <c r="BP566" s="758"/>
      <c r="BQ566" s="758"/>
      <c r="BR566" s="758"/>
      <c r="BS566" s="758"/>
      <c r="BT566" s="758"/>
      <c r="BU566" s="758"/>
      <c r="BV566" s="758"/>
      <c r="BW566" s="758"/>
      <c r="BX566" s="758"/>
      <c r="BY566" s="758"/>
      <c r="BZ566" s="791">
        <v>0</v>
      </c>
      <c r="CB566" s="189"/>
      <c r="CC566" s="810"/>
      <c r="CD566" s="758"/>
      <c r="CE566" s="758"/>
      <c r="CF566" s="758"/>
      <c r="CG566" s="758"/>
      <c r="CH566" s="758"/>
      <c r="CI566" s="758"/>
      <c r="CJ566" s="758"/>
      <c r="CK566" s="758"/>
      <c r="CL566" s="758"/>
      <c r="CM566" s="758"/>
      <c r="CN566" s="791">
        <v>0</v>
      </c>
      <c r="CO566" s="37"/>
      <c r="CP566" s="659">
        <v>7679074</v>
      </c>
      <c r="CQ566" s="659">
        <v>1634850</v>
      </c>
      <c r="CR566" s="612">
        <v>1600000</v>
      </c>
      <c r="CS566" s="659">
        <v>28884367</v>
      </c>
      <c r="CT566" s="612"/>
      <c r="CU566" s="659">
        <v>16552255</v>
      </c>
      <c r="CV566" s="612"/>
      <c r="CW566" s="659">
        <v>1772132</v>
      </c>
      <c r="CX566" s="612"/>
      <c r="CY566" s="659">
        <v>45332700</v>
      </c>
      <c r="CZ566" s="612"/>
      <c r="DA566" s="659"/>
      <c r="DB566" s="612"/>
      <c r="DC566" s="659">
        <v>7860997</v>
      </c>
      <c r="DD566" s="612"/>
      <c r="DE566" s="758"/>
      <c r="DF566" s="612"/>
      <c r="DG566" s="757"/>
      <c r="DH566" s="758"/>
      <c r="DI566" s="612"/>
      <c r="DJ566" s="757"/>
      <c r="DK566" s="758"/>
      <c r="DL566" s="612"/>
      <c r="DM566" s="757"/>
      <c r="DN566" s="758"/>
      <c r="DO566" s="612"/>
      <c r="DP566" s="757"/>
      <c r="DQ566" s="493">
        <f t="shared" si="314"/>
        <v>109716375</v>
      </c>
      <c r="DR566" s="479">
        <f t="shared" si="333"/>
        <v>54750546</v>
      </c>
      <c r="DS566" s="1020">
        <v>5000000</v>
      </c>
      <c r="DT566" s="1020">
        <v>5000000</v>
      </c>
      <c r="DU566" s="1020">
        <v>5000000</v>
      </c>
      <c r="DV566" s="1020">
        <v>5000000</v>
      </c>
      <c r="DW566" s="1020">
        <v>5000000</v>
      </c>
      <c r="DX566" s="1020">
        <v>5000000</v>
      </c>
      <c r="DY566" s="1020">
        <v>5000000</v>
      </c>
      <c r="DZ566" s="1020">
        <v>5000000</v>
      </c>
      <c r="EA566" s="1020">
        <v>5000000</v>
      </c>
      <c r="EB566" s="1020">
        <v>5000000</v>
      </c>
      <c r="EC566" s="1020">
        <v>5000000</v>
      </c>
      <c r="ED566" s="1020">
        <v>5000000</v>
      </c>
      <c r="EE566" s="1119">
        <f t="shared" si="315"/>
        <v>60000000</v>
      </c>
      <c r="EF566" s="447"/>
      <c r="EG566" s="447"/>
      <c r="EH566" s="447"/>
      <c r="EI566" s="447"/>
      <c r="EL566" s="177"/>
      <c r="EM566" s="177"/>
      <c r="EN566" s="177"/>
    </row>
    <row r="567" spans="1:144" outlineLevel="2">
      <c r="A567" s="367" t="s">
        <v>687</v>
      </c>
      <c r="B567" s="378"/>
      <c r="C567" s="370" t="s">
        <v>688</v>
      </c>
      <c r="D567" s="370" t="s">
        <v>40</v>
      </c>
      <c r="E567" s="403" t="s">
        <v>785</v>
      </c>
      <c r="F567" s="380">
        <v>3000018860</v>
      </c>
      <c r="G567" s="189"/>
      <c r="H567" s="13"/>
      <c r="I567" s="185"/>
      <c r="J567" s="185"/>
      <c r="K567" s="185"/>
      <c r="L567" s="194"/>
      <c r="M567" s="185"/>
      <c r="N567" s="185"/>
      <c r="O567" s="7"/>
      <c r="P567" s="7"/>
      <c r="Q567" s="7"/>
      <c r="R567" s="7"/>
      <c r="S567" s="14">
        <f>SUM(G567,H567,I567,J567,K567,L567,M567,N567,O567,P567,Q567,R567)</f>
        <v>0</v>
      </c>
      <c r="T567" s="179"/>
      <c r="U567" s="189"/>
      <c r="V567" s="13"/>
      <c r="W567" s="185"/>
      <c r="X567" s="185"/>
      <c r="Y567" s="185"/>
      <c r="Z567" s="194"/>
      <c r="AA567" s="185"/>
      <c r="AB567" s="185"/>
      <c r="AC567" s="7"/>
      <c r="AD567" s="7"/>
      <c r="AE567" s="7"/>
      <c r="AF567" s="7"/>
      <c r="AG567" s="759">
        <f>SUM(U567,V567,W567,X567,Y567,Z567,AA567,AB567,AC567,AD567,AE567,AF567)</f>
        <v>0</v>
      </c>
      <c r="AH567" s="861">
        <v>3000018860</v>
      </c>
      <c r="AI567" s="189"/>
      <c r="AJ567" s="810"/>
      <c r="AK567" s="758"/>
      <c r="AL567" s="758">
        <v>0</v>
      </c>
      <c r="AM567" s="758"/>
      <c r="AN567" s="524">
        <v>9915000</v>
      </c>
      <c r="AO567" s="758">
        <v>0</v>
      </c>
      <c r="AP567" s="758">
        <v>0</v>
      </c>
      <c r="AQ567" s="518">
        <v>0</v>
      </c>
      <c r="AR567" s="518"/>
      <c r="AS567" s="518"/>
      <c r="AT567" s="518"/>
      <c r="AU567" s="518">
        <f>BI567</f>
        <v>0</v>
      </c>
      <c r="AV567" s="518">
        <f>BJ567</f>
        <v>0</v>
      </c>
      <c r="AW567" s="518">
        <f>BK567</f>
        <v>0</v>
      </c>
      <c r="AX567" s="518">
        <f t="shared" si="343"/>
        <v>9915000</v>
      </c>
      <c r="AY567" s="861">
        <v>0</v>
      </c>
      <c r="AZ567" s="189"/>
      <c r="BA567" s="810"/>
      <c r="BB567" s="758"/>
      <c r="BC567" s="758">
        <v>0</v>
      </c>
      <c r="BD567" s="758"/>
      <c r="BE567" s="524">
        <v>9915000</v>
      </c>
      <c r="BF567" s="758">
        <v>0</v>
      </c>
      <c r="BG567" s="518">
        <f>AP567</f>
        <v>0</v>
      </c>
      <c r="BH567" s="758">
        <v>0</v>
      </c>
      <c r="BI567" s="758">
        <v>0</v>
      </c>
      <c r="BJ567" s="758">
        <v>0</v>
      </c>
      <c r="BK567" s="758">
        <v>0</v>
      </c>
      <c r="BL567" s="759">
        <f>SUM(AZ567,BA567,BB567,BC567,BD567,BE567,BF567,BG567,BH567,BI567,BJ567,BK567)</f>
        <v>9915000</v>
      </c>
      <c r="BN567" s="485">
        <v>0</v>
      </c>
      <c r="BO567" s="758">
        <v>0</v>
      </c>
      <c r="BP567" s="758">
        <v>0</v>
      </c>
      <c r="BQ567" s="758">
        <v>0</v>
      </c>
      <c r="BR567" s="758">
        <v>0</v>
      </c>
      <c r="BS567" s="758">
        <v>9000000</v>
      </c>
      <c r="BT567" s="758">
        <v>0</v>
      </c>
      <c r="BU567" s="758">
        <v>0</v>
      </c>
      <c r="BV567" s="758">
        <v>0</v>
      </c>
      <c r="BW567" s="758">
        <v>0</v>
      </c>
      <c r="BX567" s="758">
        <v>0</v>
      </c>
      <c r="BY567" s="758">
        <v>9000000</v>
      </c>
      <c r="BZ567" s="791">
        <v>18000000</v>
      </c>
      <c r="CB567" s="485">
        <v>0</v>
      </c>
      <c r="CC567" s="758">
        <v>0</v>
      </c>
      <c r="CD567" s="758">
        <v>0</v>
      </c>
      <c r="CE567" s="758">
        <v>0</v>
      </c>
      <c r="CF567" s="758">
        <v>0</v>
      </c>
      <c r="CG567" s="758">
        <v>9000000</v>
      </c>
      <c r="CH567" s="758">
        <v>0</v>
      </c>
      <c r="CI567" s="758">
        <v>0</v>
      </c>
      <c r="CJ567" s="758">
        <v>0</v>
      </c>
      <c r="CK567" s="758">
        <v>0</v>
      </c>
      <c r="CL567" s="758">
        <v>0</v>
      </c>
      <c r="CM567" s="758">
        <v>9000000</v>
      </c>
      <c r="CN567" s="791">
        <v>18000000</v>
      </c>
      <c r="CO567" s="37"/>
      <c r="CP567" s="657"/>
      <c r="CQ567" s="657"/>
      <c r="CR567" s="528"/>
      <c r="CS567" s="657">
        <v>46626245</v>
      </c>
      <c r="CT567" s="528"/>
      <c r="CU567" s="657">
        <v>500000</v>
      </c>
      <c r="CV567" s="528"/>
      <c r="CW567" s="657"/>
      <c r="CX567" s="528"/>
      <c r="CY567" s="657"/>
      <c r="CZ567" s="528"/>
      <c r="DA567" s="657">
        <v>30358595</v>
      </c>
      <c r="DB567" s="528"/>
      <c r="DC567" s="657">
        <v>0</v>
      </c>
      <c r="DD567" s="528"/>
      <c r="DE567" s="758"/>
      <c r="DF567" s="528"/>
      <c r="DG567" s="757"/>
      <c r="DH567" s="758"/>
      <c r="DI567" s="528"/>
      <c r="DJ567" s="757"/>
      <c r="DK567" s="758"/>
      <c r="DL567" s="528"/>
      <c r="DM567" s="757"/>
      <c r="DN567" s="758"/>
      <c r="DO567" s="528"/>
      <c r="DP567" s="757"/>
      <c r="DQ567" s="493">
        <f t="shared" si="314"/>
        <v>77484840</v>
      </c>
      <c r="DR567" s="479">
        <f t="shared" si="333"/>
        <v>47126245</v>
      </c>
      <c r="DS567" s="1020">
        <v>4000000</v>
      </c>
      <c r="DT567" s="1020">
        <v>4000000</v>
      </c>
      <c r="DU567" s="1020">
        <v>4000000</v>
      </c>
      <c r="DV567" s="1020">
        <v>4000000</v>
      </c>
      <c r="DW567" s="1020">
        <v>4000000</v>
      </c>
      <c r="DX567" s="1020">
        <v>4000000</v>
      </c>
      <c r="DY567" s="1020">
        <v>4000000</v>
      </c>
      <c r="DZ567" s="1020">
        <v>4000000</v>
      </c>
      <c r="EA567" s="1020">
        <v>4000000</v>
      </c>
      <c r="EB567" s="1020">
        <v>4000000</v>
      </c>
      <c r="EC567" s="1020">
        <v>4000000</v>
      </c>
      <c r="ED567" s="1020">
        <v>4000000</v>
      </c>
      <c r="EE567" s="1119">
        <f t="shared" si="315"/>
        <v>48000000</v>
      </c>
      <c r="EF567" s="443">
        <v>25000000</v>
      </c>
      <c r="EG567" s="443">
        <f>EF567*1.08</f>
        <v>27000000</v>
      </c>
      <c r="EH567" s="443">
        <f>EG567*1.09</f>
        <v>29430000.000000004</v>
      </c>
      <c r="EI567" s="443">
        <f>EH567*1.09</f>
        <v>32078700.000000007</v>
      </c>
      <c r="EJ567" s="367">
        <v>3000018860</v>
      </c>
      <c r="EL567" s="177"/>
      <c r="EM567" s="177"/>
      <c r="EN567" s="177"/>
    </row>
    <row r="568" spans="1:144" outlineLevel="2">
      <c r="A568" s="367" t="s">
        <v>291</v>
      </c>
      <c r="B568" s="378"/>
      <c r="C568" s="370" t="s">
        <v>688</v>
      </c>
      <c r="D568" s="370" t="s">
        <v>40</v>
      </c>
      <c r="E568" s="403" t="s">
        <v>786</v>
      </c>
      <c r="F568" s="380">
        <v>3000020471</v>
      </c>
      <c r="G568" s="189"/>
      <c r="H568" s="13"/>
      <c r="I568" s="185"/>
      <c r="J568" s="185"/>
      <c r="K568" s="185"/>
      <c r="L568" s="185"/>
      <c r="M568" s="185"/>
      <c r="N568" s="185"/>
      <c r="O568" s="185"/>
      <c r="P568" s="185"/>
      <c r="Q568" s="185"/>
      <c r="R568" s="185"/>
      <c r="S568" s="14"/>
      <c r="T568" s="179"/>
      <c r="U568" s="189"/>
      <c r="V568" s="13"/>
      <c r="W568" s="185"/>
      <c r="X568" s="185"/>
      <c r="Y568" s="185"/>
      <c r="Z568" s="185"/>
      <c r="AA568" s="185"/>
      <c r="AB568" s="185"/>
      <c r="AC568" s="185"/>
      <c r="AD568" s="185"/>
      <c r="AE568" s="185"/>
      <c r="AF568" s="185"/>
      <c r="AG568" s="759"/>
      <c r="AH568" s="788"/>
      <c r="AI568" s="189"/>
      <c r="AJ568" s="810"/>
      <c r="AK568" s="758"/>
      <c r="AL568" s="758"/>
      <c r="AM568" s="758"/>
      <c r="AN568" s="758"/>
      <c r="AO568" s="758"/>
      <c r="AP568" s="758"/>
      <c r="AQ568" s="518"/>
      <c r="AR568" s="813"/>
      <c r="AS568" s="518"/>
      <c r="AT568" s="518">
        <v>675000</v>
      </c>
      <c r="AU568" s="758"/>
      <c r="AV568" s="758"/>
      <c r="AW568" s="758"/>
      <c r="AX568" s="518">
        <f t="shared" si="343"/>
        <v>675000</v>
      </c>
      <c r="AY568" s="788"/>
      <c r="AZ568" s="189"/>
      <c r="BA568" s="810"/>
      <c r="BB568" s="758"/>
      <c r="BC568" s="758"/>
      <c r="BD568" s="758"/>
      <c r="BE568" s="758"/>
      <c r="BF568" s="758"/>
      <c r="BG568" s="758"/>
      <c r="BH568" s="758"/>
      <c r="BI568" s="758"/>
      <c r="BJ568" s="758"/>
      <c r="BK568" s="758"/>
      <c r="BL568" s="518"/>
      <c r="BN568" s="189"/>
      <c r="BO568" s="810"/>
      <c r="BP568" s="758"/>
      <c r="BQ568" s="758"/>
      <c r="BR568" s="758"/>
      <c r="BS568" s="758"/>
      <c r="BT568" s="758"/>
      <c r="BU568" s="758"/>
      <c r="BV568" s="758"/>
      <c r="BW568" s="758"/>
      <c r="BX568" s="758"/>
      <c r="BY568" s="758"/>
      <c r="BZ568" s="791">
        <v>0</v>
      </c>
      <c r="CB568" s="189"/>
      <c r="CC568" s="810"/>
      <c r="CD568" s="758"/>
      <c r="CE568" s="758"/>
      <c r="CF568" s="758"/>
      <c r="CG568" s="758"/>
      <c r="CH568" s="758"/>
      <c r="CI568" s="758"/>
      <c r="CJ568" s="758"/>
      <c r="CK568" s="758"/>
      <c r="CL568" s="758"/>
      <c r="CM568" s="758"/>
      <c r="CN568" s="791">
        <v>0</v>
      </c>
      <c r="CO568" s="37"/>
      <c r="CP568" s="658"/>
      <c r="CQ568" s="658"/>
      <c r="CR568" s="189"/>
      <c r="CS568" s="658"/>
      <c r="CT568" s="189"/>
      <c r="CU568" s="658"/>
      <c r="CV568" s="189">
        <v>20000000</v>
      </c>
      <c r="CW568" s="658">
        <v>4200000</v>
      </c>
      <c r="CX568" s="189">
        <v>20000000</v>
      </c>
      <c r="CY568" s="658">
        <v>8786000</v>
      </c>
      <c r="CZ568" s="189">
        <v>20000000</v>
      </c>
      <c r="DA568" s="658">
        <v>4500000</v>
      </c>
      <c r="DB568" s="189">
        <v>20000000</v>
      </c>
      <c r="DC568" s="658">
        <v>0</v>
      </c>
      <c r="DD568" s="189">
        <v>20000000</v>
      </c>
      <c r="DE568" s="758"/>
      <c r="DF568" s="189">
        <v>20000000</v>
      </c>
      <c r="DG568" s="757">
        <v>20000000</v>
      </c>
      <c r="DH568" s="758"/>
      <c r="DI568" s="189">
        <v>20000000</v>
      </c>
      <c r="DJ568" s="757">
        <v>20000000</v>
      </c>
      <c r="DK568" s="758"/>
      <c r="DL568" s="189">
        <v>20000000</v>
      </c>
      <c r="DM568" s="757">
        <v>20000000</v>
      </c>
      <c r="DN568" s="758"/>
      <c r="DO568" s="189">
        <v>20000000</v>
      </c>
      <c r="DP568" s="757">
        <v>20000000</v>
      </c>
      <c r="DQ568" s="493">
        <f t="shared" si="314"/>
        <v>97486000</v>
      </c>
      <c r="DR568" s="479">
        <f t="shared" si="333"/>
        <v>160000000</v>
      </c>
      <c r="DS568" s="1020">
        <v>20000000</v>
      </c>
      <c r="DT568" s="1020">
        <v>20000000</v>
      </c>
      <c r="DU568" s="1020">
        <v>20000000</v>
      </c>
      <c r="DV568" s="1020">
        <v>20000000</v>
      </c>
      <c r="DW568" s="1020">
        <v>20000000</v>
      </c>
      <c r="DX568" s="1020">
        <v>20000000</v>
      </c>
      <c r="DY568" s="1020">
        <v>20000000</v>
      </c>
      <c r="DZ568" s="1020">
        <v>20000000</v>
      </c>
      <c r="EA568" s="1020">
        <v>20000000</v>
      </c>
      <c r="EB568" s="1020">
        <v>20000000</v>
      </c>
      <c r="EC568" s="1020">
        <v>20000000</v>
      </c>
      <c r="ED568" s="1020">
        <v>20000000</v>
      </c>
      <c r="EE568" s="1119">
        <f t="shared" si="315"/>
        <v>240000000</v>
      </c>
      <c r="EF568" s="447"/>
      <c r="EG568" s="447"/>
      <c r="EH568" s="447"/>
      <c r="EI568" s="447"/>
      <c r="EL568" s="177"/>
      <c r="EM568" s="177"/>
      <c r="EN568" s="177"/>
    </row>
    <row r="569" spans="1:144" outlineLevel="2">
      <c r="A569" s="367" t="s">
        <v>687</v>
      </c>
      <c r="B569" s="378"/>
      <c r="C569" s="370" t="s">
        <v>688</v>
      </c>
      <c r="D569" s="370" t="s">
        <v>40</v>
      </c>
      <c r="E569" s="403" t="s">
        <v>787</v>
      </c>
      <c r="F569" s="380">
        <v>3000019895</v>
      </c>
      <c r="G569" s="189"/>
      <c r="H569" s="13"/>
      <c r="I569" s="185"/>
      <c r="J569" s="185"/>
      <c r="K569" s="185"/>
      <c r="L569" s="185"/>
      <c r="M569" s="185"/>
      <c r="N569" s="185"/>
      <c r="O569" s="7"/>
      <c r="P569" s="7"/>
      <c r="Q569" s="7"/>
      <c r="R569" s="7"/>
      <c r="S569" s="14">
        <f t="shared" ref="S569:S574" si="344">SUM(G569,H569,I569,J569,K569,L569,M569,N569,O569,P569,Q569,R569)</f>
        <v>0</v>
      </c>
      <c r="T569" s="179"/>
      <c r="U569" s="189"/>
      <c r="V569" s="13"/>
      <c r="W569" s="185"/>
      <c r="X569" s="185"/>
      <c r="Y569" s="185"/>
      <c r="Z569" s="185"/>
      <c r="AA569" s="185"/>
      <c r="AB569" s="185"/>
      <c r="AC569" s="7"/>
      <c r="AD569" s="7"/>
      <c r="AE569" s="7"/>
      <c r="AF569" s="7"/>
      <c r="AG569" s="759">
        <f t="shared" ref="AG569:AG574" si="345">SUM(U569,V569,W569,X569,Y569,Z569,AA569,AB569,AC569,AD569,AE569,AF569)</f>
        <v>0</v>
      </c>
      <c r="AH569" s="861">
        <v>3000019895</v>
      </c>
      <c r="AI569" s="189"/>
      <c r="AJ569" s="810"/>
      <c r="AK569" s="758"/>
      <c r="AL569" s="758">
        <v>0</v>
      </c>
      <c r="AM569" s="758"/>
      <c r="AN569" s="758"/>
      <c r="AO569" s="758">
        <v>7877273</v>
      </c>
      <c r="AP569" s="758">
        <v>0</v>
      </c>
      <c r="AQ569" s="518">
        <v>0</v>
      </c>
      <c r="AR569" s="518"/>
      <c r="AS569" s="518"/>
      <c r="AT569" s="518"/>
      <c r="AU569" s="518">
        <f t="shared" ref="AU569:AW574" si="346">BI569</f>
        <v>0</v>
      </c>
      <c r="AV569" s="518">
        <f t="shared" si="346"/>
        <v>0</v>
      </c>
      <c r="AW569" s="518">
        <f t="shared" si="346"/>
        <v>0</v>
      </c>
      <c r="AX569" s="518">
        <f t="shared" si="343"/>
        <v>7877273</v>
      </c>
      <c r="AY569" s="861">
        <v>0</v>
      </c>
      <c r="AZ569" s="189"/>
      <c r="BA569" s="810"/>
      <c r="BB569" s="758"/>
      <c r="BC569" s="758">
        <v>0</v>
      </c>
      <c r="BD569" s="758"/>
      <c r="BE569" s="758"/>
      <c r="BF569" s="758">
        <v>7877273</v>
      </c>
      <c r="BG569" s="518">
        <f t="shared" ref="BG569:BG574" si="347">AP569</f>
        <v>0</v>
      </c>
      <c r="BH569" s="758">
        <v>0</v>
      </c>
      <c r="BI569" s="758">
        <v>0</v>
      </c>
      <c r="BJ569" s="758">
        <v>0</v>
      </c>
      <c r="BK569" s="758">
        <v>0</v>
      </c>
      <c r="BL569" s="759">
        <f t="shared" ref="BL569:BL574" si="348">SUM(AZ569,BA569,BB569,BC569,BD569,BE569,BF569,BG569,BH569,BI569,BJ569,BK569)</f>
        <v>7877273</v>
      </c>
      <c r="BN569" s="485">
        <v>0</v>
      </c>
      <c r="BO569" s="758">
        <v>0</v>
      </c>
      <c r="BP569" s="758">
        <v>0</v>
      </c>
      <c r="BQ569" s="758">
        <v>0</v>
      </c>
      <c r="BR569" s="758">
        <v>0</v>
      </c>
      <c r="BS569" s="758">
        <v>0</v>
      </c>
      <c r="BT569" s="758">
        <v>0</v>
      </c>
      <c r="BU569" s="758">
        <v>0</v>
      </c>
      <c r="BV569" s="758">
        <v>0</v>
      </c>
      <c r="BW569" s="758">
        <v>0</v>
      </c>
      <c r="BX569" s="758">
        <v>0</v>
      </c>
      <c r="BY569" s="758">
        <v>0</v>
      </c>
      <c r="BZ569" s="791">
        <v>0</v>
      </c>
      <c r="CB569" s="485">
        <v>0</v>
      </c>
      <c r="CC569" s="758">
        <v>0</v>
      </c>
      <c r="CD569" s="758">
        <v>0</v>
      </c>
      <c r="CE569" s="758">
        <v>0</v>
      </c>
      <c r="CF569" s="758">
        <v>0</v>
      </c>
      <c r="CG569" s="758">
        <v>0</v>
      </c>
      <c r="CH569" s="758">
        <v>0</v>
      </c>
      <c r="CI569" s="758">
        <v>0</v>
      </c>
      <c r="CJ569" s="758">
        <v>0</v>
      </c>
      <c r="CK569" s="758">
        <v>0</v>
      </c>
      <c r="CL569" s="758">
        <v>0</v>
      </c>
      <c r="CM569" s="758">
        <v>0</v>
      </c>
      <c r="CN569" s="791">
        <v>0</v>
      </c>
      <c r="CO569" s="37"/>
      <c r="CP569" s="657"/>
      <c r="CQ569" s="657"/>
      <c r="CR569" s="528"/>
      <c r="CS569" s="657"/>
      <c r="CT569" s="528"/>
      <c r="CU569" s="657">
        <v>8230600</v>
      </c>
      <c r="CV569" s="528"/>
      <c r="CW569" s="657"/>
      <c r="CX569" s="528"/>
      <c r="CY569" s="657"/>
      <c r="CZ569" s="528"/>
      <c r="DA569" s="657"/>
      <c r="DB569" s="528"/>
      <c r="DC569" s="657">
        <v>0</v>
      </c>
      <c r="DD569" s="528"/>
      <c r="DE569" s="758"/>
      <c r="DF569" s="528"/>
      <c r="DG569" s="757"/>
      <c r="DH569" s="758"/>
      <c r="DI569" s="528"/>
      <c r="DJ569" s="757"/>
      <c r="DK569" s="758"/>
      <c r="DL569" s="528"/>
      <c r="DM569" s="757"/>
      <c r="DN569" s="758"/>
      <c r="DO569" s="528"/>
      <c r="DP569" s="757"/>
      <c r="DQ569" s="493">
        <f t="shared" si="314"/>
        <v>8230600</v>
      </c>
      <c r="DR569" s="479">
        <f t="shared" si="333"/>
        <v>8230600</v>
      </c>
      <c r="DS569" s="1020"/>
      <c r="DT569" s="1020"/>
      <c r="DU569" s="1020"/>
      <c r="DV569" s="1020"/>
      <c r="DW569" s="1020"/>
      <c r="DX569" s="1020"/>
      <c r="DY569" s="1020"/>
      <c r="DZ569" s="1020"/>
      <c r="EA569" s="1020"/>
      <c r="EB569" s="1020"/>
      <c r="EC569" s="1020"/>
      <c r="ED569" s="1020"/>
      <c r="EE569" s="1119">
        <f t="shared" si="315"/>
        <v>0</v>
      </c>
      <c r="EF569" s="443">
        <f>EE569*1.17</f>
        <v>0</v>
      </c>
      <c r="EG569" s="443">
        <f t="shared" ref="EG569:EG574" si="349">EF569*1.08</f>
        <v>0</v>
      </c>
      <c r="EH569" s="443">
        <f>EG569*1.09</f>
        <v>0</v>
      </c>
      <c r="EI569" s="443">
        <f>EH569*1.09</f>
        <v>0</v>
      </c>
      <c r="EJ569" s="367">
        <v>3000019895</v>
      </c>
      <c r="EL569" s="177"/>
      <c r="EM569" s="177"/>
      <c r="EN569" s="177"/>
    </row>
    <row r="570" spans="1:144" outlineLevel="2">
      <c r="A570" s="367" t="s">
        <v>291</v>
      </c>
      <c r="B570" s="378"/>
      <c r="C570" s="370" t="s">
        <v>688</v>
      </c>
      <c r="D570" s="370" t="s">
        <v>40</v>
      </c>
      <c r="E570" s="383" t="s">
        <v>260</v>
      </c>
      <c r="F570" s="380">
        <v>3000008984</v>
      </c>
      <c r="G570" s="189"/>
      <c r="H570" s="30"/>
      <c r="I570" s="27"/>
      <c r="J570" s="185"/>
      <c r="K570" s="185"/>
      <c r="L570" s="194"/>
      <c r="M570" s="185"/>
      <c r="N570" s="185"/>
      <c r="O570" s="7"/>
      <c r="P570" s="7"/>
      <c r="Q570" s="7"/>
      <c r="R570" s="7"/>
      <c r="S570" s="14">
        <f t="shared" si="344"/>
        <v>0</v>
      </c>
      <c r="T570" s="179"/>
      <c r="U570" s="189"/>
      <c r="V570" s="30"/>
      <c r="W570" s="27"/>
      <c r="X570" s="185"/>
      <c r="Y570" s="185"/>
      <c r="Z570" s="194"/>
      <c r="AA570" s="185"/>
      <c r="AB570" s="185"/>
      <c r="AC570" s="7"/>
      <c r="AD570" s="7"/>
      <c r="AE570" s="7"/>
      <c r="AF570" s="7"/>
      <c r="AG570" s="759">
        <f t="shared" si="345"/>
        <v>0</v>
      </c>
      <c r="AH570" s="861">
        <v>3000008984</v>
      </c>
      <c r="AI570" s="189"/>
      <c r="AJ570" s="859">
        <v>61900000</v>
      </c>
      <c r="AK570" s="858">
        <v>2400000</v>
      </c>
      <c r="AL570" s="758">
        <v>342350000</v>
      </c>
      <c r="AM570" s="758">
        <v>61900000</v>
      </c>
      <c r="AN570" s="524">
        <v>367800000</v>
      </c>
      <c r="AO570" s="758">
        <v>193900000</v>
      </c>
      <c r="AP570" s="758">
        <v>278900000</v>
      </c>
      <c r="AQ570" s="518">
        <v>93404300</v>
      </c>
      <c r="AR570" s="813">
        <v>407550000</v>
      </c>
      <c r="AS570" s="813">
        <v>38450000</v>
      </c>
      <c r="AT570" s="813">
        <v>335700000</v>
      </c>
      <c r="AU570" s="518">
        <f t="shared" si="346"/>
        <v>100000000</v>
      </c>
      <c r="AV570" s="518">
        <f t="shared" si="346"/>
        <v>120000000</v>
      </c>
      <c r="AW570" s="518">
        <f t="shared" si="346"/>
        <v>100000000</v>
      </c>
      <c r="AX570" s="518">
        <f t="shared" si="343"/>
        <v>2184254300</v>
      </c>
      <c r="AY570" s="861" t="e">
        <v>#N/A</v>
      </c>
      <c r="AZ570" s="189"/>
      <c r="BA570" s="859">
        <v>61900000</v>
      </c>
      <c r="BB570" s="858">
        <v>2400000</v>
      </c>
      <c r="BC570" s="758">
        <v>342350000</v>
      </c>
      <c r="BD570" s="758">
        <v>61900000</v>
      </c>
      <c r="BE570" s="524">
        <v>367800000</v>
      </c>
      <c r="BF570" s="758">
        <v>193900000</v>
      </c>
      <c r="BG570" s="518">
        <f t="shared" si="347"/>
        <v>278900000</v>
      </c>
      <c r="BH570" s="758">
        <v>120000000</v>
      </c>
      <c r="BI570" s="758">
        <v>100000000</v>
      </c>
      <c r="BJ570" s="758">
        <v>120000000</v>
      </c>
      <c r="BK570" s="758">
        <v>100000000</v>
      </c>
      <c r="BL570" s="759">
        <f t="shared" si="348"/>
        <v>1749150000</v>
      </c>
      <c r="BN570" s="485">
        <v>120000000</v>
      </c>
      <c r="BO570" s="758">
        <v>120000000</v>
      </c>
      <c r="BP570" s="758">
        <v>120000000</v>
      </c>
      <c r="BQ570" s="758">
        <v>120000000</v>
      </c>
      <c r="BR570" s="758">
        <v>120000000</v>
      </c>
      <c r="BS570" s="758">
        <v>120000000</v>
      </c>
      <c r="BT570" s="758">
        <v>120000000</v>
      </c>
      <c r="BU570" s="758">
        <v>120000000</v>
      </c>
      <c r="BV570" s="758">
        <v>120000000</v>
      </c>
      <c r="BW570" s="758">
        <v>120000000</v>
      </c>
      <c r="BX570" s="758">
        <v>120000000</v>
      </c>
      <c r="BY570" s="758">
        <v>120000000</v>
      </c>
      <c r="BZ570" s="791">
        <v>1440000000</v>
      </c>
      <c r="CB570" s="485">
        <v>120000000</v>
      </c>
      <c r="CC570" s="758">
        <v>120000000</v>
      </c>
      <c r="CD570" s="758">
        <v>120000000</v>
      </c>
      <c r="CE570" s="758">
        <v>120000000</v>
      </c>
      <c r="CF570" s="758">
        <v>120000000</v>
      </c>
      <c r="CG570" s="758">
        <v>120000000</v>
      </c>
      <c r="CH570" s="758">
        <v>120000000</v>
      </c>
      <c r="CI570" s="758">
        <v>120000000</v>
      </c>
      <c r="CJ570" s="758">
        <v>120000000</v>
      </c>
      <c r="CK570" s="758">
        <v>120000000</v>
      </c>
      <c r="CL570" s="758">
        <v>120000000</v>
      </c>
      <c r="CM570" s="758">
        <v>120000000</v>
      </c>
      <c r="CN570" s="791">
        <v>1440000000</v>
      </c>
      <c r="CO570" s="37"/>
      <c r="CP570" s="657">
        <v>563650000</v>
      </c>
      <c r="CQ570" s="657">
        <v>160250000</v>
      </c>
      <c r="CR570" s="528">
        <v>160000000</v>
      </c>
      <c r="CS570" s="657">
        <v>103650000</v>
      </c>
      <c r="CT570" s="528">
        <v>150000000</v>
      </c>
      <c r="CU570" s="657">
        <v>80700000</v>
      </c>
      <c r="CV570" s="528">
        <v>150000000</v>
      </c>
      <c r="CW570" s="657">
        <v>600325000</v>
      </c>
      <c r="CX570" s="528">
        <v>200000000</v>
      </c>
      <c r="CY570" s="657">
        <v>506000000</v>
      </c>
      <c r="CZ570" s="528">
        <v>100000000</v>
      </c>
      <c r="DA570" s="657">
        <v>232800000</v>
      </c>
      <c r="DB570" s="528">
        <v>100000000</v>
      </c>
      <c r="DC570" s="657">
        <v>223625000</v>
      </c>
      <c r="DD570" s="528">
        <v>100000000</v>
      </c>
      <c r="DE570" s="758"/>
      <c r="DF570" s="528">
        <v>100000000</v>
      </c>
      <c r="DG570" s="757">
        <v>100000000</v>
      </c>
      <c r="DH570" s="758"/>
      <c r="DI570" s="528">
        <v>100000000</v>
      </c>
      <c r="DJ570" s="757">
        <v>100000000</v>
      </c>
      <c r="DK570" s="758"/>
      <c r="DL570" s="528">
        <v>100000000</v>
      </c>
      <c r="DM570" s="757">
        <v>100000000</v>
      </c>
      <c r="DN570" s="758"/>
      <c r="DO570" s="528">
        <v>100000000</v>
      </c>
      <c r="DP570" s="757">
        <v>100000000</v>
      </c>
      <c r="DQ570" s="493">
        <f t="shared" si="314"/>
        <v>2871000000</v>
      </c>
      <c r="DR570" s="479">
        <f t="shared" si="333"/>
        <v>1808250000</v>
      </c>
      <c r="DS570" s="1020">
        <v>200000000</v>
      </c>
      <c r="DT570" s="1020">
        <v>200000000</v>
      </c>
      <c r="DU570" s="1020">
        <v>200000000</v>
      </c>
      <c r="DV570" s="1020">
        <v>200000000</v>
      </c>
      <c r="DW570" s="1020">
        <v>200000000</v>
      </c>
      <c r="DX570" s="1020">
        <v>200000000</v>
      </c>
      <c r="DY570" s="1020">
        <v>200000000</v>
      </c>
      <c r="DZ570" s="1020">
        <v>200000000</v>
      </c>
      <c r="EA570" s="1020">
        <v>200000000</v>
      </c>
      <c r="EB570" s="1020">
        <v>200000000</v>
      </c>
      <c r="EC570" s="1020">
        <v>200000000</v>
      </c>
      <c r="ED570" s="1020">
        <v>200000000</v>
      </c>
      <c r="EE570" s="1119">
        <f t="shared" si="315"/>
        <v>2400000000</v>
      </c>
      <c r="EF570" s="443">
        <v>2022000000</v>
      </c>
      <c r="EG570" s="443">
        <f t="shared" si="349"/>
        <v>2183760000</v>
      </c>
      <c r="EH570" s="443">
        <v>2380000000</v>
      </c>
      <c r="EI570" s="443">
        <v>2380000000</v>
      </c>
      <c r="EJ570" s="367">
        <v>3000008984</v>
      </c>
      <c r="EL570" s="177"/>
      <c r="EM570" s="177"/>
      <c r="EN570" s="177"/>
    </row>
    <row r="571" spans="1:144" outlineLevel="2">
      <c r="A571" s="367" t="s">
        <v>687</v>
      </c>
      <c r="B571" s="378"/>
      <c r="C571" s="370" t="s">
        <v>688</v>
      </c>
      <c r="D571" s="370" t="s">
        <v>40</v>
      </c>
      <c r="E571" s="383" t="s">
        <v>119</v>
      </c>
      <c r="F571" s="380">
        <v>3000017758</v>
      </c>
      <c r="G571" s="189"/>
      <c r="H571" s="13"/>
      <c r="I571" s="185"/>
      <c r="J571" s="185"/>
      <c r="K571" s="185"/>
      <c r="L571" s="194"/>
      <c r="M571" s="185"/>
      <c r="N571" s="185"/>
      <c r="O571" s="7"/>
      <c r="P571" s="7"/>
      <c r="Q571" s="7"/>
      <c r="R571" s="7"/>
      <c r="S571" s="14">
        <f t="shared" si="344"/>
        <v>0</v>
      </c>
      <c r="T571" s="179"/>
      <c r="U571" s="189"/>
      <c r="V571" s="13"/>
      <c r="W571" s="185"/>
      <c r="X571" s="185"/>
      <c r="Y571" s="185"/>
      <c r="Z571" s="194"/>
      <c r="AA571" s="185"/>
      <c r="AB571" s="185"/>
      <c r="AC571" s="7"/>
      <c r="AD571" s="7"/>
      <c r="AE571" s="7"/>
      <c r="AF571" s="7"/>
      <c r="AG571" s="759">
        <f t="shared" si="345"/>
        <v>0</v>
      </c>
      <c r="AH571" s="861">
        <v>3000017758</v>
      </c>
      <c r="AI571" s="189"/>
      <c r="AJ571" s="810"/>
      <c r="AK571" s="758"/>
      <c r="AL571" s="758">
        <v>13500000</v>
      </c>
      <c r="AM571" s="758">
        <v>40900000</v>
      </c>
      <c r="AN571" s="524">
        <v>94500000</v>
      </c>
      <c r="AO571" s="758">
        <v>13500000</v>
      </c>
      <c r="AP571" s="758">
        <v>27000000</v>
      </c>
      <c r="AQ571" s="518">
        <v>0</v>
      </c>
      <c r="AR571" s="813">
        <v>13700000</v>
      </c>
      <c r="AS571" s="813">
        <v>0</v>
      </c>
      <c r="AT571" s="813">
        <v>0</v>
      </c>
      <c r="AU571" s="518">
        <f t="shared" si="346"/>
        <v>0</v>
      </c>
      <c r="AV571" s="518">
        <f t="shared" si="346"/>
        <v>0</v>
      </c>
      <c r="AW571" s="518">
        <f t="shared" si="346"/>
        <v>0</v>
      </c>
      <c r="AX571" s="518">
        <f t="shared" si="343"/>
        <v>203100000</v>
      </c>
      <c r="AY571" s="861">
        <v>0</v>
      </c>
      <c r="AZ571" s="189"/>
      <c r="BA571" s="810"/>
      <c r="BB571" s="758"/>
      <c r="BC571" s="758">
        <v>13500000</v>
      </c>
      <c r="BD571" s="758">
        <v>40900000</v>
      </c>
      <c r="BE571" s="524">
        <v>94500000</v>
      </c>
      <c r="BF571" s="758">
        <v>13500000</v>
      </c>
      <c r="BG571" s="518">
        <f t="shared" si="347"/>
        <v>27000000</v>
      </c>
      <c r="BH571" s="758">
        <v>0</v>
      </c>
      <c r="BI571" s="758">
        <v>0</v>
      </c>
      <c r="BJ571" s="758">
        <v>0</v>
      </c>
      <c r="BK571" s="758">
        <v>0</v>
      </c>
      <c r="BL571" s="759">
        <f t="shared" si="348"/>
        <v>189400000</v>
      </c>
      <c r="BN571" s="485">
        <v>15000000</v>
      </c>
      <c r="BO571" s="758">
        <v>15000000</v>
      </c>
      <c r="BP571" s="758">
        <v>15000000</v>
      </c>
      <c r="BQ571" s="758">
        <v>15000000</v>
      </c>
      <c r="BR571" s="758">
        <v>15000000</v>
      </c>
      <c r="BS571" s="758">
        <v>15000000</v>
      </c>
      <c r="BT571" s="758">
        <v>15000000</v>
      </c>
      <c r="BU571" s="758">
        <v>15000000</v>
      </c>
      <c r="BV571" s="758">
        <v>15000000</v>
      </c>
      <c r="BW571" s="758">
        <v>15000000</v>
      </c>
      <c r="BX571" s="758">
        <v>15000000</v>
      </c>
      <c r="BY571" s="758">
        <v>15000000</v>
      </c>
      <c r="BZ571" s="791">
        <v>180000000</v>
      </c>
      <c r="CB571" s="485">
        <v>15000000</v>
      </c>
      <c r="CC571" s="758">
        <v>15000000</v>
      </c>
      <c r="CD571" s="758">
        <v>15000000</v>
      </c>
      <c r="CE571" s="758">
        <v>15000000</v>
      </c>
      <c r="CF571" s="758">
        <v>15000000</v>
      </c>
      <c r="CG571" s="758">
        <v>15000000</v>
      </c>
      <c r="CH571" s="758">
        <v>15000000</v>
      </c>
      <c r="CI571" s="758">
        <v>15000000</v>
      </c>
      <c r="CJ571" s="758">
        <v>15000000</v>
      </c>
      <c r="CK571" s="758">
        <v>15000000</v>
      </c>
      <c r="CL571" s="758">
        <v>15000000</v>
      </c>
      <c r="CM571" s="758">
        <v>15000000</v>
      </c>
      <c r="CN571" s="791">
        <v>180000000</v>
      </c>
      <c r="CO571" s="37"/>
      <c r="CP571" s="657">
        <v>27000000</v>
      </c>
      <c r="CQ571" s="657">
        <v>27000000</v>
      </c>
      <c r="CR571" s="528"/>
      <c r="CS571" s="657">
        <v>78500000</v>
      </c>
      <c r="CT571" s="528">
        <v>50000000</v>
      </c>
      <c r="CU571" s="657">
        <v>126452000</v>
      </c>
      <c r="CV571" s="528">
        <v>50000000</v>
      </c>
      <c r="CW571" s="657">
        <v>87040000</v>
      </c>
      <c r="CX571" s="528">
        <v>100000000</v>
      </c>
      <c r="CY571" s="657">
        <v>108646000</v>
      </c>
      <c r="CZ571" s="528">
        <v>80000000</v>
      </c>
      <c r="DA571" s="657">
        <v>14400000</v>
      </c>
      <c r="DB571" s="528">
        <v>80000000</v>
      </c>
      <c r="DC571" s="657">
        <v>105381000</v>
      </c>
      <c r="DD571" s="528">
        <v>80000000</v>
      </c>
      <c r="DE571" s="758"/>
      <c r="DF571" s="528">
        <v>80000000</v>
      </c>
      <c r="DG571" s="757">
        <v>80000000</v>
      </c>
      <c r="DH571" s="758"/>
      <c r="DI571" s="528">
        <v>80000000</v>
      </c>
      <c r="DJ571" s="757">
        <v>80000000</v>
      </c>
      <c r="DK571" s="758"/>
      <c r="DL571" s="528">
        <v>120000000</v>
      </c>
      <c r="DM571" s="757">
        <v>120000000</v>
      </c>
      <c r="DN571" s="758"/>
      <c r="DO571" s="528">
        <v>120000000</v>
      </c>
      <c r="DP571" s="757">
        <v>120000000</v>
      </c>
      <c r="DQ571" s="493">
        <f t="shared" si="314"/>
        <v>974419000</v>
      </c>
      <c r="DR571" s="479">
        <f t="shared" si="333"/>
        <v>998952000</v>
      </c>
      <c r="DS571" s="1020">
        <v>100000000</v>
      </c>
      <c r="DT571" s="1020">
        <v>100000000</v>
      </c>
      <c r="DU571" s="1020">
        <v>100000000</v>
      </c>
      <c r="DV571" s="1020">
        <v>100000000</v>
      </c>
      <c r="DW571" s="1020">
        <v>100000000</v>
      </c>
      <c r="DX571" s="1020">
        <v>100000000</v>
      </c>
      <c r="DY571" s="1020">
        <v>100000000</v>
      </c>
      <c r="DZ571" s="1020">
        <v>100000000</v>
      </c>
      <c r="EA571" s="1020">
        <v>100000000</v>
      </c>
      <c r="EB571" s="1020">
        <v>100000000</v>
      </c>
      <c r="EC571" s="1020">
        <v>100000000</v>
      </c>
      <c r="ED571" s="1020">
        <v>100000000</v>
      </c>
      <c r="EE571" s="1119">
        <f t="shared" si="315"/>
        <v>1200000000</v>
      </c>
      <c r="EF571" s="443">
        <v>253000000</v>
      </c>
      <c r="EG571" s="443">
        <f t="shared" si="349"/>
        <v>273240000</v>
      </c>
      <c r="EH571" s="443">
        <f t="shared" ref="EH571:EI574" si="350">EG571*1.09</f>
        <v>297831600</v>
      </c>
      <c r="EI571" s="443">
        <f t="shared" si="350"/>
        <v>324636444</v>
      </c>
      <c r="EJ571" s="367">
        <v>3000017758</v>
      </c>
      <c r="EL571" s="177"/>
      <c r="EM571" s="177"/>
      <c r="EN571" s="177"/>
    </row>
    <row r="572" spans="1:144" outlineLevel="2">
      <c r="A572" s="367" t="s">
        <v>291</v>
      </c>
      <c r="B572" s="378"/>
      <c r="C572" s="370" t="s">
        <v>688</v>
      </c>
      <c r="D572" s="370" t="s">
        <v>40</v>
      </c>
      <c r="E572" s="383" t="s">
        <v>788</v>
      </c>
      <c r="F572" s="380">
        <v>3000018305</v>
      </c>
      <c r="G572" s="186"/>
      <c r="H572" s="13"/>
      <c r="I572" s="185"/>
      <c r="J572" s="185"/>
      <c r="K572" s="185"/>
      <c r="L572" s="194"/>
      <c r="M572" s="185"/>
      <c r="N572" s="185"/>
      <c r="O572" s="7"/>
      <c r="P572" s="7"/>
      <c r="Q572" s="7"/>
      <c r="R572" s="7"/>
      <c r="S572" s="14">
        <f t="shared" si="344"/>
        <v>0</v>
      </c>
      <c r="T572" s="179"/>
      <c r="U572" s="186"/>
      <c r="V572" s="13"/>
      <c r="W572" s="185"/>
      <c r="X572" s="185"/>
      <c r="Y572" s="185"/>
      <c r="Z572" s="194"/>
      <c r="AA572" s="185"/>
      <c r="AB572" s="185"/>
      <c r="AC572" s="7"/>
      <c r="AD572" s="7"/>
      <c r="AE572" s="7"/>
      <c r="AF572" s="7"/>
      <c r="AG572" s="759">
        <f t="shared" si="345"/>
        <v>0</v>
      </c>
      <c r="AH572" s="861">
        <v>3000018305</v>
      </c>
      <c r="AI572" s="814">
        <v>2704800</v>
      </c>
      <c r="AJ572" s="810"/>
      <c r="AK572" s="758"/>
      <c r="AL572" s="758">
        <v>0</v>
      </c>
      <c r="AM572" s="758">
        <v>0</v>
      </c>
      <c r="AN572" s="524">
        <v>5891600</v>
      </c>
      <c r="AO572" s="758">
        <v>0</v>
      </c>
      <c r="AP572" s="758">
        <v>0</v>
      </c>
      <c r="AQ572" s="518">
        <v>0</v>
      </c>
      <c r="AR572" s="518"/>
      <c r="AS572" s="518"/>
      <c r="AT572" s="518"/>
      <c r="AU572" s="518">
        <f t="shared" si="346"/>
        <v>0</v>
      </c>
      <c r="AV572" s="518">
        <f t="shared" si="346"/>
        <v>0</v>
      </c>
      <c r="AW572" s="518">
        <f t="shared" si="346"/>
        <v>0</v>
      </c>
      <c r="AX572" s="518">
        <f t="shared" si="343"/>
        <v>8596400</v>
      </c>
      <c r="AY572" s="861">
        <v>0</v>
      </c>
      <c r="AZ572" s="814">
        <v>2704800</v>
      </c>
      <c r="BA572" s="810"/>
      <c r="BB572" s="758"/>
      <c r="BC572" s="758">
        <v>0</v>
      </c>
      <c r="BD572" s="758">
        <v>0</v>
      </c>
      <c r="BE572" s="524">
        <v>5891600</v>
      </c>
      <c r="BF572" s="758">
        <v>0</v>
      </c>
      <c r="BG572" s="518">
        <f t="shared" si="347"/>
        <v>0</v>
      </c>
      <c r="BH572" s="758">
        <v>0</v>
      </c>
      <c r="BI572" s="758">
        <v>0</v>
      </c>
      <c r="BJ572" s="758">
        <v>0</v>
      </c>
      <c r="BK572" s="758">
        <v>0</v>
      </c>
      <c r="BL572" s="759">
        <f t="shared" si="348"/>
        <v>8596400</v>
      </c>
      <c r="BN572" s="485">
        <v>0</v>
      </c>
      <c r="BO572" s="758">
        <v>0</v>
      </c>
      <c r="BP572" s="758">
        <v>0</v>
      </c>
      <c r="BQ572" s="758">
        <v>0</v>
      </c>
      <c r="BR572" s="758">
        <v>0</v>
      </c>
      <c r="BS572" s="758">
        <v>0</v>
      </c>
      <c r="BT572" s="758">
        <v>0</v>
      </c>
      <c r="BU572" s="758">
        <v>0</v>
      </c>
      <c r="BV572" s="758">
        <v>0</v>
      </c>
      <c r="BW572" s="758">
        <v>0</v>
      </c>
      <c r="BX572" s="758">
        <v>0</v>
      </c>
      <c r="BY572" s="758">
        <v>0</v>
      </c>
      <c r="BZ572" s="791">
        <v>0</v>
      </c>
      <c r="CB572" s="485">
        <v>0</v>
      </c>
      <c r="CC572" s="758">
        <v>0</v>
      </c>
      <c r="CD572" s="758">
        <v>0</v>
      </c>
      <c r="CE572" s="758">
        <v>0</v>
      </c>
      <c r="CF572" s="758">
        <v>0</v>
      </c>
      <c r="CG572" s="758">
        <v>0</v>
      </c>
      <c r="CH572" s="758">
        <v>0</v>
      </c>
      <c r="CI572" s="758">
        <v>0</v>
      </c>
      <c r="CJ572" s="758">
        <v>0</v>
      </c>
      <c r="CK572" s="758">
        <v>0</v>
      </c>
      <c r="CL572" s="758">
        <v>0</v>
      </c>
      <c r="CM572" s="758">
        <v>0</v>
      </c>
      <c r="CN572" s="791">
        <v>0</v>
      </c>
      <c r="CO572" s="37"/>
      <c r="CP572" s="657"/>
      <c r="CQ572" s="657"/>
      <c r="CR572" s="528"/>
      <c r="CS572" s="657"/>
      <c r="CT572" s="528"/>
      <c r="CU572" s="657"/>
      <c r="CV572" s="528"/>
      <c r="CW572" s="657"/>
      <c r="CX572" s="528"/>
      <c r="CY572" s="657"/>
      <c r="CZ572" s="528"/>
      <c r="DA572" s="657">
        <v>2914912</v>
      </c>
      <c r="DB572" s="528"/>
      <c r="DC572" s="657">
        <v>0</v>
      </c>
      <c r="DD572" s="528"/>
      <c r="DE572" s="758"/>
      <c r="DF572" s="528"/>
      <c r="DG572" s="757"/>
      <c r="DH572" s="758"/>
      <c r="DI572" s="528"/>
      <c r="DJ572" s="757"/>
      <c r="DK572" s="758"/>
      <c r="DL572" s="528"/>
      <c r="DM572" s="757"/>
      <c r="DN572" s="758"/>
      <c r="DO572" s="528"/>
      <c r="DP572" s="757"/>
      <c r="DQ572" s="493">
        <f t="shared" si="314"/>
        <v>2914912</v>
      </c>
      <c r="DR572" s="479">
        <f>SUM(CR572,CT572,CV572,CX572,CZ572,DB572,DD572,DG572,DJ572,DM572,DP572)</f>
        <v>0</v>
      </c>
      <c r="DS572" s="1020"/>
      <c r="DT572" s="1020"/>
      <c r="DU572" s="1020"/>
      <c r="DV572" s="1020"/>
      <c r="DW572" s="1020"/>
      <c r="DX572" s="1020"/>
      <c r="DY572" s="1020"/>
      <c r="DZ572" s="1020"/>
      <c r="EA572" s="1020"/>
      <c r="EB572" s="1020"/>
      <c r="EC572" s="1020"/>
      <c r="ED572" s="1020"/>
      <c r="EE572" s="1119">
        <f t="shared" si="315"/>
        <v>0</v>
      </c>
      <c r="EF572" s="443">
        <f>EE572*1.17</f>
        <v>0</v>
      </c>
      <c r="EG572" s="443">
        <f t="shared" si="349"/>
        <v>0</v>
      </c>
      <c r="EH572" s="443">
        <f t="shared" si="350"/>
        <v>0</v>
      </c>
      <c r="EI572" s="443">
        <f t="shared" si="350"/>
        <v>0</v>
      </c>
      <c r="EJ572" s="367">
        <v>3000018305</v>
      </c>
      <c r="EL572" s="177"/>
      <c r="EM572" s="177"/>
      <c r="EN572" s="177"/>
    </row>
    <row r="573" spans="1:144" outlineLevel="2">
      <c r="A573" s="367" t="s">
        <v>291</v>
      </c>
      <c r="B573" s="378"/>
      <c r="C573" s="370" t="s">
        <v>688</v>
      </c>
      <c r="D573" s="370" t="s">
        <v>40</v>
      </c>
      <c r="E573" s="383" t="s">
        <v>789</v>
      </c>
      <c r="F573" s="380">
        <v>3000006458</v>
      </c>
      <c r="G573" s="186"/>
      <c r="H573" s="13"/>
      <c r="I573" s="185"/>
      <c r="J573" s="185"/>
      <c r="K573" s="185"/>
      <c r="L573" s="194"/>
      <c r="M573" s="185"/>
      <c r="N573" s="185"/>
      <c r="O573" s="7"/>
      <c r="P573" s="7"/>
      <c r="Q573" s="7"/>
      <c r="R573" s="7"/>
      <c r="S573" s="14">
        <f t="shared" si="344"/>
        <v>0</v>
      </c>
      <c r="T573" s="179"/>
      <c r="U573" s="186"/>
      <c r="V573" s="13"/>
      <c r="W573" s="185"/>
      <c r="X573" s="185"/>
      <c r="Y573" s="185"/>
      <c r="Z573" s="194"/>
      <c r="AA573" s="185"/>
      <c r="AB573" s="185"/>
      <c r="AC573" s="7"/>
      <c r="AD573" s="7"/>
      <c r="AE573" s="7"/>
      <c r="AF573" s="7"/>
      <c r="AG573" s="759">
        <f t="shared" si="345"/>
        <v>0</v>
      </c>
      <c r="AH573" s="861">
        <v>3000006458</v>
      </c>
      <c r="AI573" s="814">
        <v>5372800</v>
      </c>
      <c r="AJ573" s="810"/>
      <c r="AK573" s="758"/>
      <c r="AL573" s="758">
        <v>0</v>
      </c>
      <c r="AM573" s="758">
        <v>0</v>
      </c>
      <c r="AN573" s="524">
        <v>0</v>
      </c>
      <c r="AO573" s="758">
        <v>0</v>
      </c>
      <c r="AP573" s="758">
        <v>0</v>
      </c>
      <c r="AQ573" s="518">
        <v>0</v>
      </c>
      <c r="AR573" s="518"/>
      <c r="AS573" s="518"/>
      <c r="AT573" s="518"/>
      <c r="AU573" s="518">
        <f t="shared" si="346"/>
        <v>0</v>
      </c>
      <c r="AV573" s="518">
        <f t="shared" si="346"/>
        <v>0</v>
      </c>
      <c r="AW573" s="518">
        <f t="shared" si="346"/>
        <v>0</v>
      </c>
      <c r="AX573" s="518">
        <f t="shared" si="343"/>
        <v>5372800</v>
      </c>
      <c r="AY573" s="861">
        <v>0</v>
      </c>
      <c r="AZ573" s="814">
        <v>5372800</v>
      </c>
      <c r="BA573" s="810"/>
      <c r="BB573" s="758"/>
      <c r="BC573" s="758">
        <v>0</v>
      </c>
      <c r="BD573" s="758">
        <v>0</v>
      </c>
      <c r="BE573" s="524">
        <v>0</v>
      </c>
      <c r="BF573" s="758">
        <v>0</v>
      </c>
      <c r="BG573" s="518">
        <f t="shared" si="347"/>
        <v>0</v>
      </c>
      <c r="BH573" s="758">
        <v>0</v>
      </c>
      <c r="BI573" s="758">
        <v>0</v>
      </c>
      <c r="BJ573" s="758">
        <v>0</v>
      </c>
      <c r="BK573" s="758">
        <v>0</v>
      </c>
      <c r="BL573" s="759">
        <f t="shared" si="348"/>
        <v>5372800</v>
      </c>
      <c r="BN573" s="485">
        <v>0</v>
      </c>
      <c r="BO573" s="758">
        <v>0</v>
      </c>
      <c r="BP573" s="758">
        <v>0</v>
      </c>
      <c r="BQ573" s="758">
        <v>0</v>
      </c>
      <c r="BR573" s="758">
        <v>0</v>
      </c>
      <c r="BS573" s="758">
        <v>0</v>
      </c>
      <c r="BT573" s="758">
        <v>0</v>
      </c>
      <c r="BU573" s="758">
        <v>0</v>
      </c>
      <c r="BV573" s="758">
        <v>0</v>
      </c>
      <c r="BW573" s="758">
        <v>0</v>
      </c>
      <c r="BX573" s="758">
        <v>0</v>
      </c>
      <c r="BY573" s="758">
        <v>0</v>
      </c>
      <c r="BZ573" s="791">
        <v>0</v>
      </c>
      <c r="CB573" s="485">
        <v>0</v>
      </c>
      <c r="CC573" s="758">
        <v>0</v>
      </c>
      <c r="CD573" s="758">
        <v>0</v>
      </c>
      <c r="CE573" s="758">
        <v>0</v>
      </c>
      <c r="CF573" s="758">
        <v>0</v>
      </c>
      <c r="CG573" s="758">
        <v>0</v>
      </c>
      <c r="CH573" s="758">
        <v>0</v>
      </c>
      <c r="CI573" s="758">
        <v>0</v>
      </c>
      <c r="CJ573" s="758">
        <v>0</v>
      </c>
      <c r="CK573" s="758">
        <v>0</v>
      </c>
      <c r="CL573" s="758">
        <v>0</v>
      </c>
      <c r="CM573" s="758">
        <v>0</v>
      </c>
      <c r="CN573" s="791">
        <v>0</v>
      </c>
      <c r="CO573" s="37"/>
      <c r="CP573" s="657"/>
      <c r="CQ573" s="657"/>
      <c r="CR573" s="528"/>
      <c r="CS573" s="657"/>
      <c r="CT573" s="528"/>
      <c r="CU573" s="657"/>
      <c r="CV573" s="528"/>
      <c r="CW573" s="657"/>
      <c r="CX573" s="528"/>
      <c r="CY573" s="657"/>
      <c r="CZ573" s="528"/>
      <c r="DA573" s="657"/>
      <c r="DB573" s="528"/>
      <c r="DC573" s="657">
        <v>0</v>
      </c>
      <c r="DD573" s="528"/>
      <c r="DE573" s="758"/>
      <c r="DF573" s="528"/>
      <c r="DG573" s="757"/>
      <c r="DH573" s="758"/>
      <c r="DI573" s="528"/>
      <c r="DJ573" s="757"/>
      <c r="DK573" s="758"/>
      <c r="DL573" s="528"/>
      <c r="DM573" s="757"/>
      <c r="DN573" s="758"/>
      <c r="DO573" s="528"/>
      <c r="DP573" s="757"/>
      <c r="DQ573" s="493">
        <f t="shared" si="314"/>
        <v>0</v>
      </c>
      <c r="DR573" s="479">
        <f>SUM(CR573,CT573,CV573,CX573,CZ573,DB573,DD573,DG573,DJ573,DM573,DP573)</f>
        <v>0</v>
      </c>
      <c r="DS573" s="1020"/>
      <c r="DT573" s="1020"/>
      <c r="DU573" s="1020"/>
      <c r="DV573" s="1020"/>
      <c r="DW573" s="1020"/>
      <c r="DX573" s="1020"/>
      <c r="DY573" s="1020"/>
      <c r="DZ573" s="1020"/>
      <c r="EA573" s="1020"/>
      <c r="EB573" s="1020"/>
      <c r="EC573" s="1020"/>
      <c r="ED573" s="1020"/>
      <c r="EE573" s="1119">
        <f t="shared" si="315"/>
        <v>0</v>
      </c>
      <c r="EF573" s="443">
        <f>EE573*1.17</f>
        <v>0</v>
      </c>
      <c r="EG573" s="443">
        <f t="shared" si="349"/>
        <v>0</v>
      </c>
      <c r="EH573" s="443">
        <f t="shared" si="350"/>
        <v>0</v>
      </c>
      <c r="EI573" s="443">
        <f t="shared" si="350"/>
        <v>0</v>
      </c>
      <c r="EJ573" s="367">
        <v>3000006458</v>
      </c>
      <c r="EL573" s="177"/>
      <c r="EM573" s="177"/>
      <c r="EN573" s="177"/>
    </row>
    <row r="574" spans="1:144" outlineLevel="2">
      <c r="A574" s="367" t="s">
        <v>291</v>
      </c>
      <c r="B574" s="378"/>
      <c r="C574" s="370" t="s">
        <v>688</v>
      </c>
      <c r="D574" s="370" t="s">
        <v>40</v>
      </c>
      <c r="E574" s="428" t="s">
        <v>790</v>
      </c>
      <c r="F574" s="380">
        <v>3000007863</v>
      </c>
      <c r="G574" s="189"/>
      <c r="H574" s="13"/>
      <c r="I574" s="185"/>
      <c r="J574" s="185"/>
      <c r="K574" s="185"/>
      <c r="L574" s="194"/>
      <c r="M574" s="185"/>
      <c r="N574" s="185"/>
      <c r="O574" s="7"/>
      <c r="P574" s="7"/>
      <c r="Q574" s="7"/>
      <c r="R574" s="7"/>
      <c r="S574" s="14">
        <f t="shared" si="344"/>
        <v>0</v>
      </c>
      <c r="T574" s="179"/>
      <c r="U574" s="189"/>
      <c r="V574" s="13"/>
      <c r="W574" s="185"/>
      <c r="X574" s="185"/>
      <c r="Y574" s="185"/>
      <c r="Z574" s="194"/>
      <c r="AA574" s="185"/>
      <c r="AB574" s="185"/>
      <c r="AC574" s="7"/>
      <c r="AD574" s="7"/>
      <c r="AE574" s="7"/>
      <c r="AF574" s="7"/>
      <c r="AG574" s="759">
        <f t="shared" si="345"/>
        <v>0</v>
      </c>
      <c r="AH574" s="861">
        <v>3000007863</v>
      </c>
      <c r="AI574" s="189"/>
      <c r="AJ574" s="810">
        <v>2430500</v>
      </c>
      <c r="AK574" s="758"/>
      <c r="AL574" s="758">
        <v>0</v>
      </c>
      <c r="AM574" s="758">
        <v>0</v>
      </c>
      <c r="AN574" s="524">
        <v>0</v>
      </c>
      <c r="AO574" s="758">
        <v>0</v>
      </c>
      <c r="AP574" s="758">
        <v>0</v>
      </c>
      <c r="AQ574" s="518">
        <v>0</v>
      </c>
      <c r="AR574" s="518"/>
      <c r="AS574" s="518"/>
      <c r="AT574" s="518"/>
      <c r="AU574" s="518">
        <f t="shared" si="346"/>
        <v>0</v>
      </c>
      <c r="AV574" s="518">
        <f t="shared" si="346"/>
        <v>0</v>
      </c>
      <c r="AW574" s="518">
        <f t="shared" si="346"/>
        <v>0</v>
      </c>
      <c r="AX574" s="518">
        <f t="shared" si="343"/>
        <v>2430500</v>
      </c>
      <c r="AY574" s="861">
        <v>0</v>
      </c>
      <c r="AZ574" s="189"/>
      <c r="BA574" s="810">
        <v>2430500</v>
      </c>
      <c r="BB574" s="758"/>
      <c r="BC574" s="758">
        <v>0</v>
      </c>
      <c r="BD574" s="758">
        <v>0</v>
      </c>
      <c r="BE574" s="524">
        <v>0</v>
      </c>
      <c r="BF574" s="758">
        <v>0</v>
      </c>
      <c r="BG574" s="518">
        <f t="shared" si="347"/>
        <v>0</v>
      </c>
      <c r="BH574" s="758">
        <v>0</v>
      </c>
      <c r="BI574" s="758">
        <v>0</v>
      </c>
      <c r="BJ574" s="758">
        <v>0</v>
      </c>
      <c r="BK574" s="758">
        <v>0</v>
      </c>
      <c r="BL574" s="759">
        <f t="shared" si="348"/>
        <v>2430500</v>
      </c>
      <c r="BN574" s="485">
        <v>0</v>
      </c>
      <c r="BO574" s="758">
        <v>0</v>
      </c>
      <c r="BP574" s="758">
        <v>0</v>
      </c>
      <c r="BQ574" s="758">
        <v>0</v>
      </c>
      <c r="BR574" s="758">
        <v>0</v>
      </c>
      <c r="BS574" s="758">
        <v>0</v>
      </c>
      <c r="BT574" s="758">
        <v>0</v>
      </c>
      <c r="BU574" s="758">
        <v>0</v>
      </c>
      <c r="BV574" s="758">
        <v>0</v>
      </c>
      <c r="BW574" s="758">
        <v>0</v>
      </c>
      <c r="BX574" s="758">
        <v>0</v>
      </c>
      <c r="BY574" s="758">
        <v>0</v>
      </c>
      <c r="BZ574" s="791">
        <v>0</v>
      </c>
      <c r="CB574" s="485">
        <v>0</v>
      </c>
      <c r="CC574" s="758">
        <v>0</v>
      </c>
      <c r="CD574" s="758">
        <v>0</v>
      </c>
      <c r="CE574" s="758">
        <v>0</v>
      </c>
      <c r="CF574" s="758">
        <v>0</v>
      </c>
      <c r="CG574" s="758">
        <v>0</v>
      </c>
      <c r="CH574" s="758">
        <v>0</v>
      </c>
      <c r="CI574" s="758">
        <v>0</v>
      </c>
      <c r="CJ574" s="758">
        <v>0</v>
      </c>
      <c r="CK574" s="758">
        <v>0</v>
      </c>
      <c r="CL574" s="758">
        <v>0</v>
      </c>
      <c r="CM574" s="758">
        <v>0</v>
      </c>
      <c r="CN574" s="791">
        <v>0</v>
      </c>
      <c r="CO574" s="37"/>
      <c r="CP574" s="657"/>
      <c r="CQ574" s="657"/>
      <c r="CR574" s="528"/>
      <c r="CS574" s="657"/>
      <c r="CT574" s="528"/>
      <c r="CU574" s="657"/>
      <c r="CV574" s="528"/>
      <c r="CW574" s="657"/>
      <c r="CX574" s="528"/>
      <c r="CY574" s="657"/>
      <c r="CZ574" s="528"/>
      <c r="DA574" s="657"/>
      <c r="DB574" s="528"/>
      <c r="DC574" s="657">
        <v>0</v>
      </c>
      <c r="DD574" s="528"/>
      <c r="DE574" s="758"/>
      <c r="DF574" s="528"/>
      <c r="DG574" s="757"/>
      <c r="DH574" s="758"/>
      <c r="DI574" s="528"/>
      <c r="DJ574" s="757"/>
      <c r="DK574" s="758"/>
      <c r="DL574" s="528"/>
      <c r="DM574" s="757"/>
      <c r="DN574" s="758"/>
      <c r="DO574" s="528"/>
      <c r="DP574" s="757"/>
      <c r="DQ574" s="493">
        <f t="shared" si="314"/>
        <v>0</v>
      </c>
      <c r="DR574" s="479">
        <f>SUM(CR574,CT574,CV574,CX574,CZ574,DB574,DD574,DG574,DJ574,DM574,DP574)</f>
        <v>0</v>
      </c>
      <c r="DS574" s="1020"/>
      <c r="DT574" s="1020"/>
      <c r="DU574" s="1020"/>
      <c r="DV574" s="1020"/>
      <c r="DW574" s="1020"/>
      <c r="DX574" s="1020"/>
      <c r="DY574" s="1020"/>
      <c r="DZ574" s="1020"/>
      <c r="EA574" s="1020"/>
      <c r="EB574" s="1020"/>
      <c r="EC574" s="1020"/>
      <c r="ED574" s="1020"/>
      <c r="EE574" s="1119">
        <f t="shared" si="315"/>
        <v>0</v>
      </c>
      <c r="EF574" s="443">
        <f>EE574*1.17</f>
        <v>0</v>
      </c>
      <c r="EG574" s="443">
        <f t="shared" si="349"/>
        <v>0</v>
      </c>
      <c r="EH574" s="443">
        <f t="shared" si="350"/>
        <v>0</v>
      </c>
      <c r="EI574" s="443">
        <f t="shared" si="350"/>
        <v>0</v>
      </c>
      <c r="EJ574" s="367">
        <v>3000007863</v>
      </c>
      <c r="EL574" s="177"/>
      <c r="EM574" s="177"/>
      <c r="EN574" s="177"/>
    </row>
    <row r="575" spans="1:144" s="8" customFormat="1" ht="18.5" outlineLevel="2">
      <c r="A575" s="389"/>
      <c r="B575" s="429"/>
      <c r="C575" s="430"/>
      <c r="D575" s="430"/>
      <c r="E575" s="431" t="s">
        <v>474</v>
      </c>
      <c r="F575" s="390"/>
      <c r="G575" s="240"/>
      <c r="H575" s="240"/>
      <c r="I575" s="240"/>
      <c r="J575" s="240"/>
      <c r="K575" s="240"/>
      <c r="L575" s="240"/>
      <c r="M575" s="240"/>
      <c r="N575" s="240"/>
      <c r="O575" s="240"/>
      <c r="P575" s="240"/>
      <c r="Q575" s="240"/>
      <c r="R575" s="240"/>
      <c r="S575" s="49"/>
      <c r="T575" s="179"/>
      <c r="U575" s="240"/>
      <c r="V575" s="240"/>
      <c r="W575" s="240"/>
      <c r="X575" s="240"/>
      <c r="Y575" s="240"/>
      <c r="Z575" s="240"/>
      <c r="AA575" s="240"/>
      <c r="AB575" s="240"/>
      <c r="AC575" s="240"/>
      <c r="AD575" s="240"/>
      <c r="AE575" s="240"/>
      <c r="AF575" s="240"/>
      <c r="AG575" s="774"/>
      <c r="AH575" s="788"/>
      <c r="AI575" s="862"/>
      <c r="AJ575" s="863"/>
      <c r="AK575" s="774"/>
      <c r="AL575" s="774"/>
      <c r="AM575" s="774"/>
      <c r="AN575" s="774"/>
      <c r="AO575" s="774"/>
      <c r="AP575" s="774"/>
      <c r="AQ575" s="774"/>
      <c r="AR575" s="774"/>
      <c r="AS575" s="774"/>
      <c r="AT575" s="774"/>
      <c r="AU575" s="774"/>
      <c r="AV575" s="774"/>
      <c r="AW575" s="774"/>
      <c r="AX575" s="774"/>
      <c r="AY575" s="788"/>
      <c r="AZ575" s="862"/>
      <c r="BA575" s="863"/>
      <c r="BB575" s="774"/>
      <c r="BC575" s="774"/>
      <c r="BD575" s="774"/>
      <c r="BE575" s="774"/>
      <c r="BF575" s="774"/>
      <c r="BG575" s="774"/>
      <c r="BH575" s="774"/>
      <c r="BI575" s="774"/>
      <c r="BJ575" s="774"/>
      <c r="BK575" s="774"/>
      <c r="BL575" s="774"/>
      <c r="BM575" s="3"/>
      <c r="BN575" s="467">
        <f t="shared" ref="BN575:BZ575" si="351">SUM(BN578:BN598)</f>
        <v>0</v>
      </c>
      <c r="BO575" s="467">
        <f t="shared" si="351"/>
        <v>0</v>
      </c>
      <c r="BP575" s="467">
        <f t="shared" si="351"/>
        <v>0</v>
      </c>
      <c r="BQ575" s="467">
        <f t="shared" si="351"/>
        <v>0</v>
      </c>
      <c r="BR575" s="467">
        <f t="shared" si="351"/>
        <v>0</v>
      </c>
      <c r="BS575" s="467">
        <f t="shared" si="351"/>
        <v>0</v>
      </c>
      <c r="BT575" s="467">
        <f t="shared" si="351"/>
        <v>0</v>
      </c>
      <c r="BU575" s="467">
        <f t="shared" si="351"/>
        <v>0</v>
      </c>
      <c r="BV575" s="467">
        <f t="shared" si="351"/>
        <v>0</v>
      </c>
      <c r="BW575" s="467">
        <f t="shared" si="351"/>
        <v>0</v>
      </c>
      <c r="BX575" s="467">
        <f t="shared" si="351"/>
        <v>0</v>
      </c>
      <c r="BY575" s="467">
        <f t="shared" si="351"/>
        <v>0</v>
      </c>
      <c r="BZ575" s="467">
        <f t="shared" si="351"/>
        <v>0</v>
      </c>
      <c r="CA575" s="3"/>
      <c r="CB575" s="483"/>
      <c r="CC575" s="864"/>
      <c r="CD575" s="774"/>
      <c r="CE575" s="774"/>
      <c r="CF575" s="774"/>
      <c r="CG575" s="774"/>
      <c r="CH575" s="774"/>
      <c r="CI575" s="774"/>
      <c r="CJ575" s="774"/>
      <c r="CK575" s="774"/>
      <c r="CL575" s="774"/>
      <c r="CM575" s="774"/>
      <c r="CN575" s="865"/>
      <c r="CO575" s="3"/>
      <c r="CP575" s="467">
        <f t="shared" ref="CP575:CV575" si="352">SUM(CP578:CP598)</f>
        <v>4550895</v>
      </c>
      <c r="CQ575" s="467">
        <f t="shared" si="352"/>
        <v>13508261</v>
      </c>
      <c r="CR575" s="467">
        <f t="shared" si="352"/>
        <v>45000000</v>
      </c>
      <c r="CS575" s="467">
        <f t="shared" si="352"/>
        <v>64241039</v>
      </c>
      <c r="CT575" s="467">
        <f t="shared" si="352"/>
        <v>27000000</v>
      </c>
      <c r="CU575" s="467">
        <f t="shared" si="352"/>
        <v>44635900</v>
      </c>
      <c r="CV575" s="467">
        <f t="shared" si="352"/>
        <v>40000000</v>
      </c>
      <c r="CW575" s="467">
        <f>SUM(CW576:CW601)</f>
        <v>16828500</v>
      </c>
      <c r="CX575" s="467">
        <f>SUM(CX578:CX598)</f>
        <v>20000000</v>
      </c>
      <c r="CY575" s="467">
        <f>SUM(CY576:CY598)</f>
        <v>519919030</v>
      </c>
      <c r="CZ575" s="467">
        <f>SUM(CZ576:CZ598)</f>
        <v>30000000</v>
      </c>
      <c r="DA575" s="467">
        <f>SUM(DA576:DA599)</f>
        <v>660205867</v>
      </c>
      <c r="DB575" s="467">
        <f>SUM(DB576:DB599)</f>
        <v>40000000</v>
      </c>
      <c r="DC575" s="467">
        <f>SUM(DC576:DC600)</f>
        <v>526787782</v>
      </c>
      <c r="DD575" s="467">
        <f t="shared" ref="DD575:DP575" si="353">SUM(DD576:DD599)</f>
        <v>40000000</v>
      </c>
      <c r="DE575" s="467">
        <f t="shared" si="353"/>
        <v>0</v>
      </c>
      <c r="DF575" s="467">
        <f>SUM(DF576:DF599)</f>
        <v>40000000</v>
      </c>
      <c r="DG575" s="467">
        <f t="shared" si="353"/>
        <v>40000000</v>
      </c>
      <c r="DH575" s="467">
        <f t="shared" si="353"/>
        <v>0</v>
      </c>
      <c r="DI575" s="467">
        <f>SUM(DI576:DI599)</f>
        <v>40000000</v>
      </c>
      <c r="DJ575" s="467">
        <f t="shared" si="353"/>
        <v>40000000</v>
      </c>
      <c r="DK575" s="467">
        <f t="shared" si="353"/>
        <v>0</v>
      </c>
      <c r="DL575" s="467">
        <f>SUM(DL576:DL599)</f>
        <v>40000000</v>
      </c>
      <c r="DM575" s="467">
        <f>SUM(DM576:DM599)</f>
        <v>40000000</v>
      </c>
      <c r="DN575" s="467">
        <f t="shared" si="353"/>
        <v>0</v>
      </c>
      <c r="DO575" s="467">
        <f>SUM(DO576:DO599)</f>
        <v>40000000</v>
      </c>
      <c r="DP575" s="467">
        <f t="shared" si="353"/>
        <v>40000000</v>
      </c>
      <c r="DQ575" s="467">
        <f>SUM(DQ576:DQ601)</f>
        <v>2010677274</v>
      </c>
      <c r="DR575" s="467">
        <f>SUM(DR576:DR601)</f>
        <v>416936095</v>
      </c>
      <c r="DS575" s="444">
        <f>SUM(DS576:DS601)</f>
        <v>435000000</v>
      </c>
      <c r="DT575" s="444">
        <f t="shared" ref="DT575:EI575" si="354">SUM(DT576:DT601)</f>
        <v>435000000</v>
      </c>
      <c r="DU575" s="444">
        <f t="shared" si="354"/>
        <v>435000000</v>
      </c>
      <c r="DV575" s="444">
        <f t="shared" si="354"/>
        <v>435000000</v>
      </c>
      <c r="DW575" s="444">
        <f t="shared" si="354"/>
        <v>435000000</v>
      </c>
      <c r="DX575" s="444">
        <f t="shared" si="354"/>
        <v>435000000</v>
      </c>
      <c r="DY575" s="444">
        <f t="shared" si="354"/>
        <v>435000000</v>
      </c>
      <c r="DZ575" s="444">
        <f t="shared" si="354"/>
        <v>435000000</v>
      </c>
      <c r="EA575" s="444">
        <f t="shared" si="354"/>
        <v>435000000</v>
      </c>
      <c r="EB575" s="444">
        <f t="shared" si="354"/>
        <v>435000000</v>
      </c>
      <c r="EC575" s="444">
        <f t="shared" si="354"/>
        <v>435000000</v>
      </c>
      <c r="ED575" s="444">
        <f t="shared" si="354"/>
        <v>435000000</v>
      </c>
      <c r="EE575" s="1125">
        <f t="shared" si="354"/>
        <v>5220000000</v>
      </c>
      <c r="EF575" s="444">
        <f t="shared" si="354"/>
        <v>103000000</v>
      </c>
      <c r="EG575" s="444">
        <f t="shared" si="354"/>
        <v>130000000</v>
      </c>
      <c r="EH575" s="444">
        <f t="shared" si="354"/>
        <v>190000000</v>
      </c>
      <c r="EI575" s="444">
        <f t="shared" si="354"/>
        <v>190000000</v>
      </c>
      <c r="EJ575" s="389"/>
      <c r="EK575" s="389"/>
    </row>
    <row r="576" spans="1:144" outlineLevel="2">
      <c r="B576" s="378"/>
      <c r="C576" s="370" t="s">
        <v>688</v>
      </c>
      <c r="D576" s="370" t="s">
        <v>108</v>
      </c>
      <c r="E576" s="403" t="s">
        <v>791</v>
      </c>
      <c r="F576" s="380" t="s">
        <v>792</v>
      </c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7"/>
      <c r="T576" s="266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518"/>
      <c r="AH576" s="788"/>
      <c r="AI576" s="789"/>
      <c r="AJ576" s="790"/>
      <c r="AK576" s="518"/>
      <c r="AL576" s="518"/>
      <c r="AM576" s="518"/>
      <c r="AN576" s="518"/>
      <c r="AO576" s="518"/>
      <c r="AP576" s="518"/>
      <c r="AQ576" s="518"/>
      <c r="AR576" s="518"/>
      <c r="AS576" s="518"/>
      <c r="AT576" s="518"/>
      <c r="AU576" s="518"/>
      <c r="AV576" s="518"/>
      <c r="AW576" s="518"/>
      <c r="AX576" s="518"/>
      <c r="AY576" s="788"/>
      <c r="AZ576" s="789"/>
      <c r="BA576" s="790"/>
      <c r="BB576" s="518"/>
      <c r="BC576" s="518"/>
      <c r="BD576" s="518"/>
      <c r="BE576" s="518"/>
      <c r="BF576" s="518"/>
      <c r="BG576" s="518"/>
      <c r="BH576" s="518"/>
      <c r="BI576" s="518"/>
      <c r="BJ576" s="518"/>
      <c r="BK576" s="518"/>
      <c r="BL576" s="518"/>
      <c r="BM576" s="1"/>
      <c r="BN576" s="477"/>
      <c r="BO576" s="477"/>
      <c r="BP576" s="477"/>
      <c r="BQ576" s="477"/>
      <c r="BR576" s="477"/>
      <c r="BS576" s="477"/>
      <c r="BT576" s="477"/>
      <c r="BU576" s="477"/>
      <c r="BV576" s="477"/>
      <c r="BW576" s="477"/>
      <c r="BX576" s="477"/>
      <c r="BY576" s="477"/>
      <c r="BZ576" s="477"/>
      <c r="CB576" s="516"/>
      <c r="CC576" s="517"/>
      <c r="CD576" s="518"/>
      <c r="CE576" s="518"/>
      <c r="CF576" s="518"/>
      <c r="CG576" s="518"/>
      <c r="CH576" s="518"/>
      <c r="CI576" s="518"/>
      <c r="CJ576" s="518"/>
      <c r="CK576" s="518"/>
      <c r="CL576" s="518"/>
      <c r="CM576" s="518"/>
      <c r="CN576" s="791"/>
      <c r="CO576" s="1"/>
      <c r="CP576" s="652"/>
      <c r="CQ576" s="652"/>
      <c r="CR576" s="477"/>
      <c r="CS576" s="652"/>
      <c r="CT576" s="477"/>
      <c r="CU576" s="652"/>
      <c r="CV576" s="477"/>
      <c r="CW576" s="652">
        <v>2651000</v>
      </c>
      <c r="CX576" s="477"/>
      <c r="CY576" s="652"/>
      <c r="CZ576" s="477"/>
      <c r="DA576" s="652"/>
      <c r="DB576" s="477"/>
      <c r="DC576" s="652">
        <v>0</v>
      </c>
      <c r="DD576" s="477"/>
      <c r="DE576" s="477"/>
      <c r="DF576" s="477"/>
      <c r="DG576" s="477"/>
      <c r="DH576" s="477"/>
      <c r="DI576" s="477"/>
      <c r="DJ576" s="477"/>
      <c r="DK576" s="477"/>
      <c r="DL576" s="477"/>
      <c r="DM576" s="477"/>
      <c r="DN576" s="477"/>
      <c r="DO576" s="477"/>
      <c r="DP576" s="477"/>
      <c r="DQ576" s="493">
        <f t="shared" si="314"/>
        <v>2651000</v>
      </c>
      <c r="DR576" s="477"/>
      <c r="DS576" s="1011"/>
      <c r="DT576" s="1011"/>
      <c r="DU576" s="1011"/>
      <c r="DV576" s="1011"/>
      <c r="DW576" s="1011"/>
      <c r="DX576" s="1011"/>
      <c r="DY576" s="1011"/>
      <c r="DZ576" s="1011"/>
      <c r="EA576" s="1011"/>
      <c r="EB576" s="1011"/>
      <c r="EC576" s="1011"/>
      <c r="ED576" s="1011"/>
      <c r="EE576" s="1119">
        <f t="shared" ref="EE576:EE601" si="355">SUM(DS576,DT576,DU576,DV576,DW576,DX576,DY576,DZ576,EA576,EB576,EC576,ED576)</f>
        <v>0</v>
      </c>
      <c r="EF576" s="446"/>
      <c r="EG576" s="446"/>
      <c r="EH576" s="446"/>
      <c r="EI576" s="446"/>
    </row>
    <row r="577" spans="1:144" outlineLevel="2">
      <c r="B577" s="378"/>
      <c r="C577" s="370" t="s">
        <v>688</v>
      </c>
      <c r="D577" s="370" t="s">
        <v>108</v>
      </c>
      <c r="E577" s="403" t="s">
        <v>793</v>
      </c>
      <c r="F577" s="380" t="s">
        <v>794</v>
      </c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7"/>
      <c r="T577" s="266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518"/>
      <c r="AH577" s="788"/>
      <c r="AI577" s="789"/>
      <c r="AJ577" s="790"/>
      <c r="AK577" s="518"/>
      <c r="AL577" s="518"/>
      <c r="AM577" s="518"/>
      <c r="AN577" s="518"/>
      <c r="AO577" s="518"/>
      <c r="AP577" s="518"/>
      <c r="AQ577" s="518"/>
      <c r="AR577" s="518"/>
      <c r="AS577" s="518"/>
      <c r="AT577" s="518"/>
      <c r="AU577" s="518"/>
      <c r="AV577" s="518"/>
      <c r="AW577" s="518"/>
      <c r="AX577" s="518"/>
      <c r="AY577" s="788"/>
      <c r="AZ577" s="789"/>
      <c r="BA577" s="790"/>
      <c r="BB577" s="518"/>
      <c r="BC577" s="518"/>
      <c r="BD577" s="518"/>
      <c r="BE577" s="518"/>
      <c r="BF577" s="518"/>
      <c r="BG577" s="518"/>
      <c r="BH577" s="518"/>
      <c r="BI577" s="518"/>
      <c r="BJ577" s="518"/>
      <c r="BK577" s="518"/>
      <c r="BL577" s="518"/>
      <c r="BM577" s="1"/>
      <c r="BN577" s="477"/>
      <c r="BO577" s="477"/>
      <c r="BP577" s="477"/>
      <c r="BQ577" s="477"/>
      <c r="BR577" s="477"/>
      <c r="BS577" s="477"/>
      <c r="BT577" s="477"/>
      <c r="BU577" s="477"/>
      <c r="BV577" s="477"/>
      <c r="BW577" s="477"/>
      <c r="BX577" s="477"/>
      <c r="BY577" s="477"/>
      <c r="BZ577" s="477"/>
      <c r="CB577" s="516"/>
      <c r="CC577" s="517"/>
      <c r="CD577" s="518"/>
      <c r="CE577" s="518"/>
      <c r="CF577" s="518"/>
      <c r="CG577" s="518"/>
      <c r="CH577" s="518"/>
      <c r="CI577" s="518"/>
      <c r="CJ577" s="518"/>
      <c r="CK577" s="518"/>
      <c r="CL577" s="518"/>
      <c r="CM577" s="518"/>
      <c r="CN577" s="791"/>
      <c r="CO577" s="1"/>
      <c r="CP577" s="652"/>
      <c r="CQ577" s="652"/>
      <c r="CR577" s="477"/>
      <c r="CS577" s="652"/>
      <c r="CT577" s="477"/>
      <c r="CU577" s="652"/>
      <c r="CV577" s="477"/>
      <c r="CW577" s="652"/>
      <c r="CX577" s="477"/>
      <c r="CY577" s="652"/>
      <c r="CZ577" s="477"/>
      <c r="DA577" s="652">
        <v>3712500</v>
      </c>
      <c r="DB577" s="477"/>
      <c r="DC577" s="652">
        <v>0</v>
      </c>
      <c r="DD577" s="477"/>
      <c r="DE577" s="477"/>
      <c r="DF577" s="477"/>
      <c r="DG577" s="477"/>
      <c r="DH577" s="477"/>
      <c r="DI577" s="477"/>
      <c r="DJ577" s="477"/>
      <c r="DK577" s="477"/>
      <c r="DL577" s="477"/>
      <c r="DM577" s="477"/>
      <c r="DN577" s="477"/>
      <c r="DO577" s="477"/>
      <c r="DP577" s="477"/>
      <c r="DQ577" s="493">
        <f t="shared" ref="DQ577:DQ600" si="356">SUM(CP577,CQ577,CS577,CU577,CW577,CY577,DA577,DC577,DF577,DI577,DL577,DO577)</f>
        <v>3712500</v>
      </c>
      <c r="DR577" s="477"/>
      <c r="DS577" s="1011"/>
      <c r="DT577" s="1011"/>
      <c r="DU577" s="1011"/>
      <c r="DV577" s="1011"/>
      <c r="DW577" s="1011"/>
      <c r="DX577" s="1011"/>
      <c r="DY577" s="1011"/>
      <c r="DZ577" s="1011"/>
      <c r="EA577" s="1011"/>
      <c r="EB577" s="1011"/>
      <c r="EC577" s="1011"/>
      <c r="ED577" s="1011"/>
      <c r="EE577" s="1119">
        <f t="shared" si="355"/>
        <v>0</v>
      </c>
      <c r="EF577" s="446"/>
      <c r="EG577" s="446"/>
      <c r="EH577" s="446"/>
      <c r="EI577" s="446"/>
    </row>
    <row r="578" spans="1:144" outlineLevel="2">
      <c r="A578" s="367" t="s">
        <v>291</v>
      </c>
      <c r="B578" s="378"/>
      <c r="C578" s="370" t="s">
        <v>688</v>
      </c>
      <c r="D578" s="370" t="s">
        <v>108</v>
      </c>
      <c r="E578" s="403" t="s">
        <v>795</v>
      </c>
      <c r="F578" s="380">
        <v>3000018645</v>
      </c>
      <c r="G578" s="189"/>
      <c r="H578" s="13"/>
      <c r="I578" s="185"/>
      <c r="J578" s="185"/>
      <c r="K578" s="185"/>
      <c r="L578" s="185"/>
      <c r="M578" s="185"/>
      <c r="N578" s="185"/>
      <c r="O578" s="185"/>
      <c r="P578" s="185"/>
      <c r="Q578" s="185"/>
      <c r="R578" s="185"/>
      <c r="S578" s="14"/>
      <c r="T578" s="179"/>
      <c r="U578" s="189"/>
      <c r="V578" s="13"/>
      <c r="W578" s="185"/>
      <c r="X578" s="185"/>
      <c r="Y578" s="185"/>
      <c r="Z578" s="185"/>
      <c r="AA578" s="185"/>
      <c r="AB578" s="185"/>
      <c r="AC578" s="185"/>
      <c r="AD578" s="185"/>
      <c r="AE578" s="185"/>
      <c r="AF578" s="185"/>
      <c r="AG578" s="759"/>
      <c r="AH578" s="811"/>
      <c r="AI578" s="189"/>
      <c r="AJ578" s="810"/>
      <c r="AK578" s="758"/>
      <c r="AL578" s="758"/>
      <c r="AM578" s="758"/>
      <c r="AN578" s="758"/>
      <c r="AO578" s="758"/>
      <c r="AP578" s="758"/>
      <c r="AQ578" s="518"/>
      <c r="AR578" s="813"/>
      <c r="AS578" s="518"/>
      <c r="AT578" s="518"/>
      <c r="AU578" s="758"/>
      <c r="AV578" s="758"/>
      <c r="AW578" s="758"/>
      <c r="AX578" s="518">
        <f>SUM(AI578,AJ578,AK578,AL578,AM578,AN578,AO578,AP578,AQ578,AR578,AS578,AT578)</f>
        <v>0</v>
      </c>
      <c r="AY578" s="811"/>
      <c r="AZ578" s="189"/>
      <c r="BA578" s="810"/>
      <c r="BB578" s="758"/>
      <c r="BC578" s="758"/>
      <c r="BD578" s="758"/>
      <c r="BE578" s="758"/>
      <c r="BF578" s="758"/>
      <c r="BG578" s="758"/>
      <c r="BH578" s="758"/>
      <c r="BI578" s="758"/>
      <c r="BJ578" s="758"/>
      <c r="BK578" s="758"/>
      <c r="BL578" s="518"/>
      <c r="BN578" s="6"/>
      <c r="BO578" s="810"/>
      <c r="BP578" s="758"/>
      <c r="BQ578" s="758"/>
      <c r="BR578" s="758"/>
      <c r="BS578" s="758"/>
      <c r="BT578" s="758"/>
      <c r="BU578" s="758"/>
      <c r="BV578" s="758"/>
      <c r="BW578" s="758"/>
      <c r="BX578" s="758"/>
      <c r="BY578" s="758"/>
      <c r="BZ578" s="791">
        <v>0</v>
      </c>
      <c r="CB578" s="6"/>
      <c r="CC578" s="810"/>
      <c r="CD578" s="758"/>
      <c r="CE578" s="758"/>
      <c r="CF578" s="758"/>
      <c r="CG578" s="758"/>
      <c r="CH578" s="758"/>
      <c r="CI578" s="758"/>
      <c r="CJ578" s="758"/>
      <c r="CK578" s="758"/>
      <c r="CL578" s="758"/>
      <c r="CM578" s="758"/>
      <c r="CN578" s="791">
        <v>0</v>
      </c>
      <c r="CP578" s="656">
        <v>3654895</v>
      </c>
      <c r="CQ578" s="656"/>
      <c r="CR578" s="520"/>
      <c r="CS578" s="656"/>
      <c r="CT578" s="520"/>
      <c r="CU578" s="656"/>
      <c r="CV578" s="520"/>
      <c r="CW578" s="656"/>
      <c r="CX578" s="520"/>
      <c r="CY578" s="656"/>
      <c r="CZ578" s="520"/>
      <c r="DA578" s="656"/>
      <c r="DB578" s="520"/>
      <c r="DC578" s="656">
        <v>0</v>
      </c>
      <c r="DD578" s="520"/>
      <c r="DE578" s="758"/>
      <c r="DF578" s="520"/>
      <c r="DG578" s="757"/>
      <c r="DH578" s="758"/>
      <c r="DI578" s="520"/>
      <c r="DJ578" s="757"/>
      <c r="DK578" s="758"/>
      <c r="DL578" s="520"/>
      <c r="DM578" s="757"/>
      <c r="DN578" s="758"/>
      <c r="DO578" s="520"/>
      <c r="DP578" s="757"/>
      <c r="DQ578" s="493">
        <f t="shared" si="356"/>
        <v>3654895</v>
      </c>
      <c r="DR578" s="479">
        <f>SUM(CP578,CQ578,CS578,CU578,CX578,CZ578,DB578,DD578,DG578,DJ578,DM578,DP578)</f>
        <v>3654895</v>
      </c>
      <c r="DS578" s="1019"/>
      <c r="DT578" s="1019"/>
      <c r="DU578" s="1019"/>
      <c r="DV578" s="1019"/>
      <c r="DW578" s="1019"/>
      <c r="DX578" s="1019"/>
      <c r="DY578" s="1019"/>
      <c r="DZ578" s="1019"/>
      <c r="EA578" s="1019"/>
      <c r="EB578" s="1019"/>
      <c r="EC578" s="1019"/>
      <c r="ED578" s="1019"/>
      <c r="EE578" s="1119">
        <f t="shared" si="355"/>
        <v>0</v>
      </c>
      <c r="EF578" s="447"/>
      <c r="EG578" s="447"/>
      <c r="EH578" s="447"/>
      <c r="EI578" s="447"/>
      <c r="EL578" s="177"/>
      <c r="EM578" s="177"/>
      <c r="EN578" s="177"/>
    </row>
    <row r="579" spans="1:144" outlineLevel="2">
      <c r="B579" s="378"/>
      <c r="C579" s="370" t="s">
        <v>688</v>
      </c>
      <c r="D579" s="370" t="s">
        <v>108</v>
      </c>
      <c r="E579" s="403" t="s">
        <v>623</v>
      </c>
      <c r="F579" s="380" t="s">
        <v>796</v>
      </c>
      <c r="G579" s="189"/>
      <c r="H579" s="13"/>
      <c r="I579" s="185"/>
      <c r="J579" s="185"/>
      <c r="K579" s="185"/>
      <c r="L579" s="185"/>
      <c r="M579" s="185"/>
      <c r="N579" s="185"/>
      <c r="O579" s="185"/>
      <c r="P579" s="185"/>
      <c r="Q579" s="185"/>
      <c r="R579" s="185"/>
      <c r="S579" s="14"/>
      <c r="T579" s="179"/>
      <c r="U579" s="189"/>
      <c r="V579" s="13"/>
      <c r="W579" s="185"/>
      <c r="X579" s="185"/>
      <c r="Y579" s="185"/>
      <c r="Z579" s="185"/>
      <c r="AA579" s="185"/>
      <c r="AB579" s="185"/>
      <c r="AC579" s="185"/>
      <c r="AD579" s="185"/>
      <c r="AE579" s="185"/>
      <c r="AF579" s="185"/>
      <c r="AG579" s="759"/>
      <c r="AH579" s="811"/>
      <c r="AI579" s="189"/>
      <c r="AJ579" s="810"/>
      <c r="AK579" s="758"/>
      <c r="AL579" s="758"/>
      <c r="AM579" s="758"/>
      <c r="AN579" s="758"/>
      <c r="AO579" s="758"/>
      <c r="AP579" s="758"/>
      <c r="AQ579" s="518"/>
      <c r="AR579" s="813"/>
      <c r="AS579" s="518"/>
      <c r="AT579" s="518"/>
      <c r="AU579" s="758"/>
      <c r="AV579" s="758"/>
      <c r="AW579" s="758"/>
      <c r="AX579" s="518"/>
      <c r="AY579" s="811"/>
      <c r="AZ579" s="189"/>
      <c r="BA579" s="810"/>
      <c r="BB579" s="758"/>
      <c r="BC579" s="758"/>
      <c r="BD579" s="758"/>
      <c r="BE579" s="758"/>
      <c r="BF579" s="758"/>
      <c r="BG579" s="758"/>
      <c r="BH579" s="758"/>
      <c r="BI579" s="758"/>
      <c r="BJ579" s="758"/>
      <c r="BK579" s="758"/>
      <c r="BL579" s="518"/>
      <c r="BN579" s="6"/>
      <c r="BO579" s="810"/>
      <c r="BP579" s="758"/>
      <c r="BQ579" s="758"/>
      <c r="BR579" s="758"/>
      <c r="BS579" s="758"/>
      <c r="BT579" s="758"/>
      <c r="BU579" s="758"/>
      <c r="BV579" s="758"/>
      <c r="BW579" s="758"/>
      <c r="BX579" s="758"/>
      <c r="BY579" s="758"/>
      <c r="BZ579" s="791"/>
      <c r="CB579" s="6"/>
      <c r="CC579" s="810"/>
      <c r="CD579" s="758"/>
      <c r="CE579" s="758"/>
      <c r="CF579" s="758"/>
      <c r="CG579" s="758"/>
      <c r="CH579" s="758"/>
      <c r="CI579" s="758"/>
      <c r="CJ579" s="758"/>
      <c r="CK579" s="758"/>
      <c r="CL579" s="758"/>
      <c r="CM579" s="758"/>
      <c r="CN579" s="791"/>
      <c r="CP579" s="656"/>
      <c r="CQ579" s="656"/>
      <c r="CR579" s="520"/>
      <c r="CS579" s="656"/>
      <c r="CT579" s="520"/>
      <c r="CU579" s="656"/>
      <c r="CV579" s="520"/>
      <c r="CW579" s="656"/>
      <c r="CX579" s="520"/>
      <c r="CY579" s="656"/>
      <c r="CZ579" s="520"/>
      <c r="DA579" s="656"/>
      <c r="DB579" s="520"/>
      <c r="DC579" s="656">
        <v>5500000</v>
      </c>
      <c r="DD579" s="520"/>
      <c r="DE579" s="758"/>
      <c r="DF579" s="520"/>
      <c r="DG579" s="757"/>
      <c r="DH579" s="758"/>
      <c r="DI579" s="520"/>
      <c r="DJ579" s="757"/>
      <c r="DK579" s="758"/>
      <c r="DL579" s="520"/>
      <c r="DM579" s="757"/>
      <c r="DN579" s="758"/>
      <c r="DO579" s="520"/>
      <c r="DP579" s="757"/>
      <c r="DQ579" s="493">
        <f t="shared" si="356"/>
        <v>5500000</v>
      </c>
      <c r="DR579" s="479"/>
      <c r="DS579" s="1019"/>
      <c r="DT579" s="1019"/>
      <c r="DU579" s="1019"/>
      <c r="DV579" s="1019"/>
      <c r="DW579" s="1019"/>
      <c r="DX579" s="1019"/>
      <c r="DY579" s="1019"/>
      <c r="DZ579" s="1019"/>
      <c r="EA579" s="1019"/>
      <c r="EB579" s="1019"/>
      <c r="EC579" s="1019"/>
      <c r="ED579" s="1019"/>
      <c r="EE579" s="1119">
        <f t="shared" si="355"/>
        <v>0</v>
      </c>
      <c r="EF579" s="447"/>
      <c r="EG579" s="447"/>
      <c r="EH579" s="447"/>
      <c r="EI579" s="447"/>
      <c r="EL579" s="177"/>
      <c r="EM579" s="177"/>
      <c r="EN579" s="177"/>
    </row>
    <row r="580" spans="1:144" outlineLevel="2">
      <c r="A580" s="367" t="s">
        <v>687</v>
      </c>
      <c r="B580" s="378"/>
      <c r="C580" s="370" t="s">
        <v>688</v>
      </c>
      <c r="D580" s="370" t="s">
        <v>108</v>
      </c>
      <c r="E580" s="403" t="s">
        <v>243</v>
      </c>
      <c r="F580" s="380">
        <v>3000019640</v>
      </c>
      <c r="G580" s="189"/>
      <c r="H580" s="13"/>
      <c r="I580" s="185"/>
      <c r="J580" s="185"/>
      <c r="K580" s="185"/>
      <c r="L580" s="185"/>
      <c r="M580" s="185"/>
      <c r="N580" s="185"/>
      <c r="O580" s="185"/>
      <c r="P580" s="185"/>
      <c r="Q580" s="185"/>
      <c r="R580" s="185"/>
      <c r="S580" s="14"/>
      <c r="T580" s="179"/>
      <c r="U580" s="189"/>
      <c r="V580" s="13"/>
      <c r="W580" s="185"/>
      <c r="X580" s="185"/>
      <c r="Y580" s="185"/>
      <c r="Z580" s="185"/>
      <c r="AA580" s="185"/>
      <c r="AB580" s="185"/>
      <c r="AC580" s="185"/>
      <c r="AD580" s="185"/>
      <c r="AE580" s="185"/>
      <c r="AF580" s="185"/>
      <c r="AG580" s="759"/>
      <c r="AH580" s="811"/>
      <c r="AI580" s="189"/>
      <c r="AJ580" s="810"/>
      <c r="AK580" s="758"/>
      <c r="AL580" s="758"/>
      <c r="AM580" s="758"/>
      <c r="AN580" s="758"/>
      <c r="AO580" s="758"/>
      <c r="AP580" s="758"/>
      <c r="AQ580" s="518"/>
      <c r="AR580" s="813"/>
      <c r="AS580" s="518"/>
      <c r="AT580" s="518"/>
      <c r="AU580" s="758"/>
      <c r="AV580" s="758"/>
      <c r="AW580" s="758"/>
      <c r="AX580" s="518">
        <f>SUM(AI580,AJ580,AK580,AL580,AM580,AN580,AO580,AP580,AQ580,AR580,AS580,AT580)</f>
        <v>0</v>
      </c>
      <c r="AY580" s="811"/>
      <c r="AZ580" s="189"/>
      <c r="BA580" s="810"/>
      <c r="BB580" s="758"/>
      <c r="BC580" s="758"/>
      <c r="BD580" s="758"/>
      <c r="BE580" s="758"/>
      <c r="BF580" s="758"/>
      <c r="BG580" s="758"/>
      <c r="BH580" s="758"/>
      <c r="BI580" s="758"/>
      <c r="BJ580" s="758"/>
      <c r="BK580" s="758"/>
      <c r="BL580" s="518"/>
      <c r="BN580" s="6"/>
      <c r="BO580" s="810"/>
      <c r="BP580" s="758"/>
      <c r="BQ580" s="758"/>
      <c r="BR580" s="758"/>
      <c r="BS580" s="758"/>
      <c r="BT580" s="758"/>
      <c r="BU580" s="758"/>
      <c r="BV580" s="758"/>
      <c r="BW580" s="758"/>
      <c r="BX580" s="758"/>
      <c r="BY580" s="758"/>
      <c r="BZ580" s="791">
        <v>0</v>
      </c>
      <c r="CB580" s="6"/>
      <c r="CC580" s="810"/>
      <c r="CD580" s="758"/>
      <c r="CE580" s="758"/>
      <c r="CF580" s="758"/>
      <c r="CG580" s="758"/>
      <c r="CH580" s="758"/>
      <c r="CI580" s="758"/>
      <c r="CJ580" s="758"/>
      <c r="CK580" s="758"/>
      <c r="CL580" s="758"/>
      <c r="CM580" s="758"/>
      <c r="CN580" s="791">
        <v>0</v>
      </c>
      <c r="CP580" s="656">
        <v>896000</v>
      </c>
      <c r="CQ580" s="656">
        <v>5500000</v>
      </c>
      <c r="CR580" s="520">
        <v>38000000</v>
      </c>
      <c r="CS580" s="656">
        <v>45755350</v>
      </c>
      <c r="CT580" s="520">
        <v>20000000</v>
      </c>
      <c r="CU580" s="656">
        <v>39189500</v>
      </c>
      <c r="CV580" s="520">
        <v>40000000</v>
      </c>
      <c r="CW580" s="656">
        <v>12800000</v>
      </c>
      <c r="CX580" s="520">
        <v>20000000</v>
      </c>
      <c r="CY580" s="656">
        <v>22406731</v>
      </c>
      <c r="CZ580" s="520">
        <v>30000000</v>
      </c>
      <c r="DA580" s="656">
        <v>41053350</v>
      </c>
      <c r="DB580" s="520">
        <v>40000000</v>
      </c>
      <c r="DC580" s="656">
        <v>10500000</v>
      </c>
      <c r="DD580" s="520">
        <v>40000000</v>
      </c>
      <c r="DE580" s="758"/>
      <c r="DF580" s="520">
        <v>40000000</v>
      </c>
      <c r="DG580" s="757">
        <v>40000000</v>
      </c>
      <c r="DH580" s="758"/>
      <c r="DI580" s="520">
        <v>40000000</v>
      </c>
      <c r="DJ580" s="757">
        <v>40000000</v>
      </c>
      <c r="DK580" s="758"/>
      <c r="DL580" s="520">
        <v>40000000</v>
      </c>
      <c r="DM580" s="757">
        <v>40000000</v>
      </c>
      <c r="DN580" s="758"/>
      <c r="DO580" s="520">
        <v>40000000</v>
      </c>
      <c r="DP580" s="757">
        <v>40000000</v>
      </c>
      <c r="DQ580" s="493">
        <f t="shared" si="356"/>
        <v>338100931</v>
      </c>
      <c r="DR580" s="479">
        <f>SUM(CP580,CQ580,CS580,CU580,CX580,CZ580,DB580,DD580,DG580,DJ580,DM580,DP580)</f>
        <v>381340850</v>
      </c>
      <c r="DS580" s="1019">
        <v>35000000</v>
      </c>
      <c r="DT580" s="1019">
        <v>35000000</v>
      </c>
      <c r="DU580" s="1019">
        <v>35000000</v>
      </c>
      <c r="DV580" s="1019">
        <v>35000000</v>
      </c>
      <c r="DW580" s="1019">
        <v>35000000</v>
      </c>
      <c r="DX580" s="1019">
        <v>35000000</v>
      </c>
      <c r="DY580" s="1019">
        <v>35000000</v>
      </c>
      <c r="DZ580" s="1019">
        <v>35000000</v>
      </c>
      <c r="EA580" s="1019">
        <v>35000000</v>
      </c>
      <c r="EB580" s="1019">
        <v>35000000</v>
      </c>
      <c r="EC580" s="1019">
        <v>35000000</v>
      </c>
      <c r="ED580" s="1019">
        <v>35000000</v>
      </c>
      <c r="EE580" s="1119">
        <f t="shared" si="355"/>
        <v>420000000</v>
      </c>
      <c r="EF580" s="447"/>
      <c r="EG580" s="447"/>
      <c r="EH580" s="447"/>
      <c r="EI580" s="447"/>
      <c r="EL580" s="177"/>
      <c r="EM580" s="177"/>
      <c r="EN580" s="177"/>
    </row>
    <row r="581" spans="1:144" outlineLevel="2">
      <c r="B581" s="378"/>
      <c r="C581" s="370" t="s">
        <v>688</v>
      </c>
      <c r="D581" s="370" t="s">
        <v>108</v>
      </c>
      <c r="E581" s="403" t="s">
        <v>797</v>
      </c>
      <c r="F581" s="380" t="s">
        <v>798</v>
      </c>
      <c r="G581" s="189"/>
      <c r="H581" s="13"/>
      <c r="I581" s="185"/>
      <c r="J581" s="185"/>
      <c r="K581" s="185"/>
      <c r="L581" s="185"/>
      <c r="M581" s="185"/>
      <c r="N581" s="185"/>
      <c r="O581" s="185"/>
      <c r="P581" s="185"/>
      <c r="Q581" s="185"/>
      <c r="R581" s="185"/>
      <c r="S581" s="14"/>
      <c r="T581" s="179"/>
      <c r="U581" s="189"/>
      <c r="V581" s="13"/>
      <c r="W581" s="185"/>
      <c r="X581" s="185"/>
      <c r="Y581" s="185"/>
      <c r="Z581" s="185"/>
      <c r="AA581" s="185"/>
      <c r="AB581" s="185"/>
      <c r="AC581" s="185"/>
      <c r="AD581" s="185"/>
      <c r="AE581" s="185"/>
      <c r="AF581" s="185"/>
      <c r="AG581" s="759"/>
      <c r="AH581" s="788"/>
      <c r="AI581" s="189"/>
      <c r="AJ581" s="810"/>
      <c r="AK581" s="758"/>
      <c r="AL581" s="758"/>
      <c r="AM581" s="758"/>
      <c r="AN581" s="758"/>
      <c r="AO581" s="758"/>
      <c r="AP581" s="758"/>
      <c r="AQ581" s="518"/>
      <c r="AR581" s="813"/>
      <c r="AS581" s="518"/>
      <c r="AT581" s="518"/>
      <c r="AU581" s="758"/>
      <c r="AV581" s="758"/>
      <c r="AW581" s="758"/>
      <c r="AX581" s="518"/>
      <c r="AY581" s="788"/>
      <c r="AZ581" s="189"/>
      <c r="BA581" s="810"/>
      <c r="BB581" s="758"/>
      <c r="BC581" s="758"/>
      <c r="BD581" s="758"/>
      <c r="BE581" s="758"/>
      <c r="BF581" s="758"/>
      <c r="BG581" s="758"/>
      <c r="BH581" s="758"/>
      <c r="BI581" s="758"/>
      <c r="BJ581" s="758"/>
      <c r="BK581" s="758"/>
      <c r="BL581" s="518"/>
      <c r="BN581" s="189"/>
      <c r="BO581" s="810"/>
      <c r="BP581" s="758"/>
      <c r="BQ581" s="758"/>
      <c r="BR581" s="758"/>
      <c r="BS581" s="758"/>
      <c r="BT581" s="758"/>
      <c r="BU581" s="758"/>
      <c r="BV581" s="758"/>
      <c r="BW581" s="758"/>
      <c r="BX581" s="758"/>
      <c r="BY581" s="758"/>
      <c r="BZ581" s="791"/>
      <c r="CB581" s="189"/>
      <c r="CC581" s="810"/>
      <c r="CD581" s="758"/>
      <c r="CE581" s="758"/>
      <c r="CF581" s="758"/>
      <c r="CG581" s="758"/>
      <c r="CH581" s="758"/>
      <c r="CI581" s="758"/>
      <c r="CJ581" s="758"/>
      <c r="CK581" s="758"/>
      <c r="CL581" s="758"/>
      <c r="CM581" s="758"/>
      <c r="CN581" s="791"/>
      <c r="CP581" s="659"/>
      <c r="CQ581" s="659"/>
      <c r="CR581" s="612"/>
      <c r="CS581" s="659"/>
      <c r="CT581" s="612"/>
      <c r="CU581" s="659"/>
      <c r="CV581" s="612"/>
      <c r="CW581" s="659"/>
      <c r="CX581" s="612"/>
      <c r="CY581" s="659"/>
      <c r="CZ581" s="612"/>
      <c r="DA581" s="659">
        <v>8645526</v>
      </c>
      <c r="DB581" s="612"/>
      <c r="DC581" s="659">
        <v>0</v>
      </c>
      <c r="DD581" s="612"/>
      <c r="DE581" s="758"/>
      <c r="DF581" s="612"/>
      <c r="DG581" s="757"/>
      <c r="DH581" s="758"/>
      <c r="DI581" s="612"/>
      <c r="DJ581" s="757"/>
      <c r="DK581" s="758"/>
      <c r="DL581" s="612"/>
      <c r="DM581" s="757"/>
      <c r="DN581" s="758"/>
      <c r="DO581" s="612"/>
      <c r="DP581" s="757"/>
      <c r="DQ581" s="493">
        <f t="shared" si="356"/>
        <v>8645526</v>
      </c>
      <c r="DR581" s="479"/>
      <c r="DS581" s="1020"/>
      <c r="DT581" s="1020"/>
      <c r="DU581" s="1020"/>
      <c r="DV581" s="1020"/>
      <c r="DW581" s="1020"/>
      <c r="DX581" s="1020"/>
      <c r="DY581" s="1020"/>
      <c r="DZ581" s="1020"/>
      <c r="EA581" s="1020"/>
      <c r="EB581" s="1020"/>
      <c r="EC581" s="1020"/>
      <c r="ED581" s="1020"/>
      <c r="EE581" s="1119">
        <f t="shared" si="355"/>
        <v>0</v>
      </c>
      <c r="EF581" s="447"/>
      <c r="EG581" s="447"/>
      <c r="EH581" s="447"/>
      <c r="EI581" s="447"/>
      <c r="EL581" s="177"/>
      <c r="EM581" s="177"/>
      <c r="EN581" s="177"/>
    </row>
    <row r="582" spans="1:144" outlineLevel="2">
      <c r="A582" s="389"/>
      <c r="B582" s="378"/>
      <c r="C582" s="370" t="s">
        <v>688</v>
      </c>
      <c r="D582" s="370" t="s">
        <v>108</v>
      </c>
      <c r="E582" s="403" t="s">
        <v>799</v>
      </c>
      <c r="F582" s="380">
        <v>3000020646</v>
      </c>
      <c r="G582" s="189"/>
      <c r="H582" s="13"/>
      <c r="I582" s="185"/>
      <c r="J582" s="185"/>
      <c r="K582" s="185"/>
      <c r="L582" s="185"/>
      <c r="M582" s="185"/>
      <c r="N582" s="185"/>
      <c r="O582" s="185"/>
      <c r="P582" s="185"/>
      <c r="Q582" s="185"/>
      <c r="R582" s="185"/>
      <c r="S582" s="14"/>
      <c r="T582" s="179"/>
      <c r="U582" s="189"/>
      <c r="V582" s="13"/>
      <c r="W582" s="185"/>
      <c r="X582" s="185"/>
      <c r="Y582" s="185"/>
      <c r="Z582" s="185"/>
      <c r="AA582" s="185"/>
      <c r="AB582" s="185"/>
      <c r="AC582" s="185"/>
      <c r="AD582" s="185"/>
      <c r="AE582" s="185"/>
      <c r="AF582" s="185"/>
      <c r="AG582" s="759"/>
      <c r="AH582" s="788"/>
      <c r="AI582" s="189"/>
      <c r="AJ582" s="810"/>
      <c r="AK582" s="758"/>
      <c r="AL582" s="758"/>
      <c r="AM582" s="758"/>
      <c r="AN582" s="758"/>
      <c r="AO582" s="758"/>
      <c r="AP582" s="758"/>
      <c r="AQ582" s="518"/>
      <c r="AR582" s="813"/>
      <c r="AS582" s="518"/>
      <c r="AT582" s="518"/>
      <c r="AU582" s="758"/>
      <c r="AV582" s="758"/>
      <c r="AW582" s="758"/>
      <c r="AX582" s="518">
        <f>SUM(AI582,AJ582,AK582,AL582,AM582,AN582,AO582,AP582,AQ582,AR582,AS582,AT582)</f>
        <v>0</v>
      </c>
      <c r="AY582" s="788"/>
      <c r="AZ582" s="189"/>
      <c r="BA582" s="810"/>
      <c r="BB582" s="758"/>
      <c r="BC582" s="758"/>
      <c r="BD582" s="758"/>
      <c r="BE582" s="758"/>
      <c r="BF582" s="758"/>
      <c r="BG582" s="758"/>
      <c r="BH582" s="758"/>
      <c r="BI582" s="758"/>
      <c r="BJ582" s="758"/>
      <c r="BK582" s="758"/>
      <c r="BL582" s="518"/>
      <c r="BN582" s="189"/>
      <c r="BO582" s="810"/>
      <c r="BP582" s="758"/>
      <c r="BQ582" s="758"/>
      <c r="BR582" s="758"/>
      <c r="BS582" s="758"/>
      <c r="BT582" s="758"/>
      <c r="BU582" s="758"/>
      <c r="BV582" s="758"/>
      <c r="BW582" s="758"/>
      <c r="BX582" s="758"/>
      <c r="BY582" s="758"/>
      <c r="BZ582" s="791"/>
      <c r="CB582" s="189"/>
      <c r="CC582" s="810"/>
      <c r="CD582" s="758"/>
      <c r="CE582" s="758"/>
      <c r="CF582" s="758"/>
      <c r="CG582" s="758"/>
      <c r="CH582" s="758"/>
      <c r="CI582" s="758"/>
      <c r="CJ582" s="758"/>
      <c r="CK582" s="758"/>
      <c r="CL582" s="758"/>
      <c r="CM582" s="758"/>
      <c r="CN582" s="791"/>
      <c r="CO582" s="37"/>
      <c r="CP582" s="659"/>
      <c r="CQ582" s="659">
        <v>7367234</v>
      </c>
      <c r="CR582" s="612">
        <v>7000000</v>
      </c>
      <c r="CS582" s="659">
        <v>3694601</v>
      </c>
      <c r="CT582" s="612">
        <v>7000000</v>
      </c>
      <c r="CU582" s="659"/>
      <c r="CV582" s="612"/>
      <c r="CW582" s="659"/>
      <c r="CX582" s="612"/>
      <c r="CY582" s="659">
        <v>6017120</v>
      </c>
      <c r="CZ582" s="612"/>
      <c r="DA582" s="659">
        <v>9743055</v>
      </c>
      <c r="DB582" s="612"/>
      <c r="DC582" s="659">
        <v>0</v>
      </c>
      <c r="DD582" s="612"/>
      <c r="DE582" s="758"/>
      <c r="DF582" s="612"/>
      <c r="DG582" s="757"/>
      <c r="DH582" s="758"/>
      <c r="DI582" s="612"/>
      <c r="DJ582" s="757"/>
      <c r="DK582" s="758"/>
      <c r="DL582" s="612"/>
      <c r="DM582" s="757"/>
      <c r="DN582" s="758"/>
      <c r="DO582" s="612"/>
      <c r="DP582" s="757"/>
      <c r="DQ582" s="493">
        <f t="shared" si="356"/>
        <v>26822010</v>
      </c>
      <c r="DR582" s="479">
        <f>SUM(CP582,CQ582,CS582,CU582,CX582,CZ582,DB582,DD582,DG582,DJ582,DM582,DP582)</f>
        <v>11061835</v>
      </c>
      <c r="DS582" s="1020"/>
      <c r="DT582" s="1020"/>
      <c r="DU582" s="1020"/>
      <c r="DV582" s="1020"/>
      <c r="DW582" s="1020"/>
      <c r="DX582" s="1020"/>
      <c r="DY582" s="1020"/>
      <c r="DZ582" s="1020"/>
      <c r="EA582" s="1020"/>
      <c r="EB582" s="1020"/>
      <c r="EC582" s="1020"/>
      <c r="ED582" s="1020"/>
      <c r="EE582" s="1119">
        <f t="shared" si="355"/>
        <v>0</v>
      </c>
      <c r="EF582" s="447"/>
      <c r="EG582" s="447"/>
      <c r="EH582" s="447"/>
      <c r="EI582" s="447"/>
      <c r="EL582" s="177"/>
      <c r="EM582" s="177"/>
      <c r="EN582" s="177"/>
    </row>
    <row r="583" spans="1:144" outlineLevel="2">
      <c r="A583" s="389"/>
      <c r="B583" s="378"/>
      <c r="C583" s="370" t="s">
        <v>688</v>
      </c>
      <c r="D583" s="370" t="s">
        <v>108</v>
      </c>
      <c r="E583" s="403" t="s">
        <v>800</v>
      </c>
      <c r="F583" s="380" t="s">
        <v>801</v>
      </c>
      <c r="G583" s="189"/>
      <c r="H583" s="13"/>
      <c r="I583" s="185"/>
      <c r="J583" s="185"/>
      <c r="K583" s="185"/>
      <c r="L583" s="185"/>
      <c r="M583" s="185"/>
      <c r="N583" s="185"/>
      <c r="O583" s="185"/>
      <c r="P583" s="185"/>
      <c r="Q583" s="185"/>
      <c r="R583" s="185"/>
      <c r="S583" s="14"/>
      <c r="T583" s="179"/>
      <c r="U583" s="189"/>
      <c r="V583" s="13"/>
      <c r="W583" s="185"/>
      <c r="X583" s="185"/>
      <c r="Y583" s="185"/>
      <c r="Z583" s="185"/>
      <c r="AA583" s="185"/>
      <c r="AB583" s="185"/>
      <c r="AC583" s="185"/>
      <c r="AD583" s="185"/>
      <c r="AE583" s="185"/>
      <c r="AF583" s="185"/>
      <c r="AG583" s="759"/>
      <c r="AH583" s="788"/>
      <c r="AI583" s="189"/>
      <c r="AJ583" s="810"/>
      <c r="AK583" s="758"/>
      <c r="AL583" s="758"/>
      <c r="AM583" s="758"/>
      <c r="AN583" s="758"/>
      <c r="AO583" s="758"/>
      <c r="AP583" s="758"/>
      <c r="AQ583" s="518"/>
      <c r="AR583" s="813"/>
      <c r="AS583" s="518"/>
      <c r="AT583" s="518"/>
      <c r="AU583" s="758"/>
      <c r="AV583" s="758"/>
      <c r="AW583" s="758"/>
      <c r="AX583" s="518"/>
      <c r="AY583" s="788"/>
      <c r="AZ583" s="189"/>
      <c r="BA583" s="810"/>
      <c r="BB583" s="758"/>
      <c r="BC583" s="758"/>
      <c r="BD583" s="758"/>
      <c r="BE583" s="758"/>
      <c r="BF583" s="758"/>
      <c r="BG583" s="758"/>
      <c r="BH583" s="758"/>
      <c r="BI583" s="758"/>
      <c r="BJ583" s="758"/>
      <c r="BK583" s="758"/>
      <c r="BL583" s="518"/>
      <c r="BN583" s="189"/>
      <c r="BO583" s="810"/>
      <c r="BP583" s="758"/>
      <c r="BQ583" s="758"/>
      <c r="BR583" s="758"/>
      <c r="BS583" s="758"/>
      <c r="BT583" s="758"/>
      <c r="BU583" s="758"/>
      <c r="BV583" s="758"/>
      <c r="BW583" s="758"/>
      <c r="BX583" s="758"/>
      <c r="BY583" s="758"/>
      <c r="BZ583" s="791"/>
      <c r="CB583" s="189"/>
      <c r="CC583" s="810"/>
      <c r="CD583" s="758"/>
      <c r="CE583" s="758"/>
      <c r="CF583" s="758"/>
      <c r="CG583" s="758"/>
      <c r="CH583" s="758"/>
      <c r="CI583" s="758"/>
      <c r="CJ583" s="758"/>
      <c r="CK583" s="758"/>
      <c r="CL583" s="758"/>
      <c r="CM583" s="758"/>
      <c r="CN583" s="791"/>
      <c r="CP583" s="659"/>
      <c r="CQ583" s="659"/>
      <c r="CR583" s="612"/>
      <c r="CS583" s="659"/>
      <c r="CT583" s="612"/>
      <c r="CU583" s="659"/>
      <c r="CV583" s="612"/>
      <c r="CW583" s="659"/>
      <c r="CX583" s="612"/>
      <c r="CY583" s="659">
        <v>1000000</v>
      </c>
      <c r="CZ583" s="612"/>
      <c r="DA583" s="659"/>
      <c r="DB583" s="612"/>
      <c r="DC583" s="659">
        <v>0</v>
      </c>
      <c r="DD583" s="612"/>
      <c r="DE583" s="758"/>
      <c r="DF583" s="612"/>
      <c r="DG583" s="757"/>
      <c r="DH583" s="758"/>
      <c r="DI583" s="612"/>
      <c r="DJ583" s="757"/>
      <c r="DK583" s="758"/>
      <c r="DL583" s="612"/>
      <c r="DM583" s="757"/>
      <c r="DN583" s="758"/>
      <c r="DO583" s="612"/>
      <c r="DP583" s="757"/>
      <c r="DQ583" s="493">
        <f t="shared" si="356"/>
        <v>1000000</v>
      </c>
      <c r="DR583" s="479"/>
      <c r="DS583" s="1020"/>
      <c r="DT583" s="1020"/>
      <c r="DU583" s="1020"/>
      <c r="DV583" s="1020"/>
      <c r="DW583" s="1020"/>
      <c r="DX583" s="1020"/>
      <c r="DY583" s="1020"/>
      <c r="DZ583" s="1020"/>
      <c r="EA583" s="1020"/>
      <c r="EB583" s="1020"/>
      <c r="EC583" s="1020"/>
      <c r="ED583" s="1020"/>
      <c r="EE583" s="1119">
        <f t="shared" si="355"/>
        <v>0</v>
      </c>
      <c r="EF583" s="447"/>
      <c r="EG583" s="447"/>
      <c r="EH583" s="447"/>
      <c r="EI583" s="447"/>
      <c r="EL583" s="177"/>
      <c r="EM583" s="177"/>
      <c r="EN583" s="177"/>
    </row>
    <row r="584" spans="1:144" outlineLevel="2">
      <c r="A584" s="389"/>
      <c r="B584" s="378"/>
      <c r="C584" s="370" t="s">
        <v>688</v>
      </c>
      <c r="D584" s="370" t="s">
        <v>108</v>
      </c>
      <c r="E584" s="403" t="s">
        <v>802</v>
      </c>
      <c r="F584" s="380">
        <v>3000012299</v>
      </c>
      <c r="G584" s="189"/>
      <c r="H584" s="13"/>
      <c r="I584" s="185"/>
      <c r="J584" s="185"/>
      <c r="K584" s="185"/>
      <c r="L584" s="185"/>
      <c r="M584" s="185"/>
      <c r="N584" s="185"/>
      <c r="O584" s="7"/>
      <c r="P584" s="7"/>
      <c r="Q584" s="7"/>
      <c r="R584" s="7"/>
      <c r="S584" s="14"/>
      <c r="T584" s="179"/>
      <c r="U584" s="189"/>
      <c r="V584" s="13"/>
      <c r="W584" s="185"/>
      <c r="X584" s="185"/>
      <c r="Y584" s="185"/>
      <c r="Z584" s="185"/>
      <c r="AA584" s="185"/>
      <c r="AB584" s="185"/>
      <c r="AC584" s="7"/>
      <c r="AD584" s="7"/>
      <c r="AE584" s="7"/>
      <c r="AF584" s="7"/>
      <c r="AG584" s="759"/>
      <c r="AH584" s="853"/>
      <c r="AI584" s="189"/>
      <c r="AJ584" s="810"/>
      <c r="AK584" s="758"/>
      <c r="AL584" s="758"/>
      <c r="AM584" s="758"/>
      <c r="AN584" s="758"/>
      <c r="AO584" s="758"/>
      <c r="AP584" s="758"/>
      <c r="AQ584" s="518"/>
      <c r="AR584" s="518"/>
      <c r="AS584" s="518"/>
      <c r="AT584" s="518"/>
      <c r="AU584" s="518"/>
      <c r="AV584" s="518"/>
      <c r="AW584" s="518"/>
      <c r="AX584" s="518">
        <f>SUM(AI584,AJ584,AK584,AL584,AM584,AN584,AO584,AP584,AQ584,AR584,AS584,AT584)</f>
        <v>0</v>
      </c>
      <c r="AY584" s="853"/>
      <c r="AZ584" s="189"/>
      <c r="BA584" s="810"/>
      <c r="BB584" s="758"/>
      <c r="BC584" s="758"/>
      <c r="BD584" s="758"/>
      <c r="BE584" s="758"/>
      <c r="BF584" s="758"/>
      <c r="BG584" s="518"/>
      <c r="BH584" s="758"/>
      <c r="BI584" s="758"/>
      <c r="BJ584" s="758"/>
      <c r="BK584" s="758"/>
      <c r="BL584" s="518"/>
      <c r="BN584" s="758"/>
      <c r="BO584" s="758"/>
      <c r="BP584" s="758"/>
      <c r="BQ584" s="758"/>
      <c r="BR584" s="758"/>
      <c r="BS584" s="758"/>
      <c r="BT584" s="758"/>
      <c r="BU584" s="758"/>
      <c r="BV584" s="758"/>
      <c r="BW584" s="758"/>
      <c r="BX584" s="758"/>
      <c r="BY584" s="758"/>
      <c r="BZ584" s="791"/>
      <c r="CB584" s="758"/>
      <c r="CC584" s="758"/>
      <c r="CD584" s="758"/>
      <c r="CE584" s="758"/>
      <c r="CF584" s="758"/>
      <c r="CG584" s="758"/>
      <c r="CH584" s="758"/>
      <c r="CI584" s="758"/>
      <c r="CJ584" s="758"/>
      <c r="CK584" s="758"/>
      <c r="CL584" s="758"/>
      <c r="CM584" s="758"/>
      <c r="CN584" s="791"/>
      <c r="CP584" s="653"/>
      <c r="CQ584" s="653"/>
      <c r="CR584" s="524"/>
      <c r="CS584" s="653">
        <v>2770874</v>
      </c>
      <c r="CT584" s="524"/>
      <c r="CU584" s="653"/>
      <c r="CV584" s="524"/>
      <c r="CW584" s="653"/>
      <c r="CX584" s="524"/>
      <c r="CY584" s="653"/>
      <c r="CZ584" s="524"/>
      <c r="DA584" s="653"/>
      <c r="DB584" s="524"/>
      <c r="DC584" s="653">
        <v>0</v>
      </c>
      <c r="DD584" s="524"/>
      <c r="DE584" s="758"/>
      <c r="DF584" s="524"/>
      <c r="DG584" s="757"/>
      <c r="DH584" s="758"/>
      <c r="DI584" s="524"/>
      <c r="DJ584" s="757"/>
      <c r="DK584" s="758"/>
      <c r="DL584" s="524"/>
      <c r="DM584" s="757"/>
      <c r="DN584" s="758"/>
      <c r="DO584" s="524"/>
      <c r="DP584" s="757"/>
      <c r="DQ584" s="493">
        <f t="shared" si="356"/>
        <v>2770874</v>
      </c>
      <c r="DR584" s="479">
        <f>SUM(CP584,CQ584,CS584,CU584,CX584,CZ584,DB584,DD584,DG584,DJ584,DM584,DP584)</f>
        <v>2770874</v>
      </c>
      <c r="DS584" s="1019"/>
      <c r="DT584" s="1019"/>
      <c r="DU584" s="1019"/>
      <c r="DV584" s="1019"/>
      <c r="DW584" s="1019"/>
      <c r="DX584" s="1019"/>
      <c r="DY584" s="1019"/>
      <c r="DZ584" s="1019"/>
      <c r="EA584" s="1019"/>
      <c r="EB584" s="1019"/>
      <c r="EC584" s="1019"/>
      <c r="ED584" s="1019"/>
      <c r="EE584" s="1119">
        <f t="shared" si="355"/>
        <v>0</v>
      </c>
      <c r="EF584" s="443"/>
      <c r="EG584" s="443"/>
      <c r="EH584" s="443"/>
      <c r="EI584" s="443"/>
      <c r="EL584" s="177"/>
      <c r="EM584" s="177"/>
      <c r="EN584" s="177"/>
    </row>
    <row r="585" spans="1:144" outlineLevel="2">
      <c r="A585" s="389"/>
      <c r="B585" s="378"/>
      <c r="C585" s="370" t="s">
        <v>688</v>
      </c>
      <c r="D585" s="370" t="s">
        <v>108</v>
      </c>
      <c r="E585" s="403" t="s">
        <v>803</v>
      </c>
      <c r="F585" s="380">
        <v>3000001904</v>
      </c>
      <c r="G585" s="189"/>
      <c r="H585" s="13"/>
      <c r="I585" s="185"/>
      <c r="J585" s="185"/>
      <c r="K585" s="185"/>
      <c r="L585" s="185"/>
      <c r="M585" s="185"/>
      <c r="N585" s="185"/>
      <c r="O585" s="7"/>
      <c r="P585" s="7"/>
      <c r="Q585" s="7"/>
      <c r="R585" s="7"/>
      <c r="S585" s="14"/>
      <c r="T585" s="179"/>
      <c r="U585" s="189"/>
      <c r="V585" s="13"/>
      <c r="W585" s="185"/>
      <c r="X585" s="185"/>
      <c r="Y585" s="185"/>
      <c r="Z585" s="185"/>
      <c r="AA585" s="185"/>
      <c r="AB585" s="185"/>
      <c r="AC585" s="7"/>
      <c r="AD585" s="7"/>
      <c r="AE585" s="7"/>
      <c r="AF585" s="7"/>
      <c r="AG585" s="759"/>
      <c r="AH585" s="853"/>
      <c r="AI585" s="189"/>
      <c r="AJ585" s="810"/>
      <c r="AK585" s="758"/>
      <c r="AL585" s="758"/>
      <c r="AM585" s="758"/>
      <c r="AN585" s="758"/>
      <c r="AO585" s="758"/>
      <c r="AP585" s="758"/>
      <c r="AQ585" s="518"/>
      <c r="AR585" s="518"/>
      <c r="AS585" s="518"/>
      <c r="AT585" s="518"/>
      <c r="AU585" s="518"/>
      <c r="AV585" s="518"/>
      <c r="AW585" s="518"/>
      <c r="AX585" s="518">
        <f>SUM(AI585,AJ585,AK585,AL585,AM585,AN585,AO585,AP585,AQ585,AR585,AS585,AT585)</f>
        <v>0</v>
      </c>
      <c r="AY585" s="853"/>
      <c r="AZ585" s="189"/>
      <c r="BA585" s="810"/>
      <c r="BB585" s="758"/>
      <c r="BC585" s="758"/>
      <c r="BD585" s="758"/>
      <c r="BE585" s="758"/>
      <c r="BF585" s="758"/>
      <c r="BG585" s="518"/>
      <c r="BH585" s="758"/>
      <c r="BI585" s="758"/>
      <c r="BJ585" s="758"/>
      <c r="BK585" s="758"/>
      <c r="BL585" s="518"/>
      <c r="BN585" s="758"/>
      <c r="BO585" s="758"/>
      <c r="BP585" s="758"/>
      <c r="BQ585" s="758"/>
      <c r="BR585" s="758"/>
      <c r="BS585" s="758"/>
      <c r="BT585" s="758"/>
      <c r="BU585" s="758"/>
      <c r="BV585" s="758"/>
      <c r="BW585" s="758"/>
      <c r="BX585" s="758"/>
      <c r="BY585" s="758"/>
      <c r="BZ585" s="791"/>
      <c r="CB585" s="758"/>
      <c r="CC585" s="758"/>
      <c r="CD585" s="758"/>
      <c r="CE585" s="758"/>
      <c r="CF585" s="758"/>
      <c r="CG585" s="758"/>
      <c r="CH585" s="758"/>
      <c r="CI585" s="758"/>
      <c r="CJ585" s="758"/>
      <c r="CK585" s="758"/>
      <c r="CL585" s="758"/>
      <c r="CM585" s="758"/>
      <c r="CN585" s="791"/>
      <c r="CP585" s="653"/>
      <c r="CQ585" s="653"/>
      <c r="CR585" s="524"/>
      <c r="CS585" s="653">
        <v>2427000</v>
      </c>
      <c r="CT585" s="524"/>
      <c r="CU585" s="653"/>
      <c r="CV585" s="524"/>
      <c r="CW585" s="653"/>
      <c r="CX585" s="524"/>
      <c r="CY585" s="653"/>
      <c r="CZ585" s="524"/>
      <c r="DA585" s="653"/>
      <c r="DB585" s="524"/>
      <c r="DC585" s="653">
        <v>0</v>
      </c>
      <c r="DD585" s="524"/>
      <c r="DE585" s="758"/>
      <c r="DF585" s="524"/>
      <c r="DG585" s="757"/>
      <c r="DH585" s="758"/>
      <c r="DI585" s="524"/>
      <c r="DJ585" s="757"/>
      <c r="DK585" s="758"/>
      <c r="DL585" s="524"/>
      <c r="DM585" s="757"/>
      <c r="DN585" s="758"/>
      <c r="DO585" s="524"/>
      <c r="DP585" s="757"/>
      <c r="DQ585" s="493">
        <f t="shared" si="356"/>
        <v>2427000</v>
      </c>
      <c r="DR585" s="479">
        <f>SUM(CP585,CQ585,CS585,CU585,CX585,CZ585,DB585,DD585,DG585,DJ585,DM585,DP585)</f>
        <v>2427000</v>
      </c>
      <c r="DS585" s="1019"/>
      <c r="DT585" s="1019"/>
      <c r="DU585" s="1019"/>
      <c r="DV585" s="1019"/>
      <c r="DW585" s="1019"/>
      <c r="DX585" s="1019"/>
      <c r="DY585" s="1019"/>
      <c r="DZ585" s="1019"/>
      <c r="EA585" s="1019"/>
      <c r="EB585" s="1019"/>
      <c r="EC585" s="1019"/>
      <c r="ED585" s="1019"/>
      <c r="EE585" s="1119">
        <f t="shared" si="355"/>
        <v>0</v>
      </c>
      <c r="EF585" s="443"/>
      <c r="EG585" s="443"/>
      <c r="EH585" s="443"/>
      <c r="EI585" s="443"/>
      <c r="EL585" s="177"/>
      <c r="EM585" s="177"/>
      <c r="EN585" s="177"/>
    </row>
    <row r="586" spans="1:144" outlineLevel="2">
      <c r="A586" s="389"/>
      <c r="B586" s="378"/>
      <c r="C586" s="370" t="s">
        <v>688</v>
      </c>
      <c r="D586" s="370" t="s">
        <v>108</v>
      </c>
      <c r="E586" s="403" t="s">
        <v>804</v>
      </c>
      <c r="F586" s="380">
        <v>3221070000</v>
      </c>
      <c r="G586" s="189"/>
      <c r="H586" s="13"/>
      <c r="I586" s="185"/>
      <c r="J586" s="185"/>
      <c r="K586" s="185"/>
      <c r="L586" s="194"/>
      <c r="M586" s="185"/>
      <c r="N586" s="185"/>
      <c r="O586" s="7"/>
      <c r="P586" s="7"/>
      <c r="Q586" s="7"/>
      <c r="R586" s="7"/>
      <c r="S586" s="14"/>
      <c r="T586" s="179"/>
      <c r="U586" s="189"/>
      <c r="V586" s="13"/>
      <c r="W586" s="185"/>
      <c r="X586" s="185"/>
      <c r="Y586" s="185"/>
      <c r="Z586" s="194"/>
      <c r="AA586" s="185"/>
      <c r="AB586" s="185"/>
      <c r="AC586" s="7"/>
      <c r="AD586" s="7"/>
      <c r="AE586" s="7"/>
      <c r="AF586" s="7"/>
      <c r="AG586" s="759"/>
      <c r="AH586" s="853"/>
      <c r="AI586" s="189"/>
      <c r="AJ586" s="810"/>
      <c r="AK586" s="758"/>
      <c r="AL586" s="758"/>
      <c r="AM586" s="758"/>
      <c r="AN586" s="524"/>
      <c r="AO586" s="758"/>
      <c r="AP586" s="758"/>
      <c r="AQ586" s="518"/>
      <c r="AR586" s="813"/>
      <c r="AS586" s="813"/>
      <c r="AT586" s="813"/>
      <c r="AU586" s="518"/>
      <c r="AV586" s="518"/>
      <c r="AW586" s="518"/>
      <c r="AX586" s="518">
        <f>SUM(AI586,AJ586,AK586,AL586,AM586,AN586,AO586,AP586,AQ586,AR586,AS586,AT586)</f>
        <v>0</v>
      </c>
      <c r="AY586" s="853"/>
      <c r="AZ586" s="189"/>
      <c r="BA586" s="810"/>
      <c r="BB586" s="758"/>
      <c r="BC586" s="758"/>
      <c r="BD586" s="758"/>
      <c r="BE586" s="524"/>
      <c r="BF586" s="758"/>
      <c r="BG586" s="518"/>
      <c r="BH586" s="758"/>
      <c r="BI586" s="758"/>
      <c r="BJ586" s="758"/>
      <c r="BK586" s="758"/>
      <c r="BL586" s="759"/>
      <c r="BN586" s="758"/>
      <c r="BO586" s="758"/>
      <c r="BP586" s="758"/>
      <c r="BQ586" s="758"/>
      <c r="BR586" s="758"/>
      <c r="BS586" s="758"/>
      <c r="BT586" s="758"/>
      <c r="BU586" s="758"/>
      <c r="BV586" s="758"/>
      <c r="BW586" s="758"/>
      <c r="BX586" s="758"/>
      <c r="BY586" s="758"/>
      <c r="BZ586" s="791"/>
      <c r="CB586" s="758"/>
      <c r="CC586" s="758"/>
      <c r="CD586" s="758"/>
      <c r="CE586" s="758"/>
      <c r="CF586" s="758"/>
      <c r="CG586" s="758"/>
      <c r="CH586" s="758"/>
      <c r="CI586" s="758"/>
      <c r="CJ586" s="758"/>
      <c r="CK586" s="758"/>
      <c r="CL586" s="758"/>
      <c r="CM586" s="758"/>
      <c r="CN586" s="791"/>
      <c r="CP586" s="653"/>
      <c r="CQ586" s="653"/>
      <c r="CR586" s="524"/>
      <c r="CS586" s="653"/>
      <c r="CT586" s="524"/>
      <c r="CU586" s="653">
        <v>4340400</v>
      </c>
      <c r="CV586" s="524"/>
      <c r="CW586" s="653"/>
      <c r="CX586" s="524"/>
      <c r="CY586" s="653"/>
      <c r="CZ586" s="524"/>
      <c r="DA586" s="653">
        <v>4352400</v>
      </c>
      <c r="DB586" s="524"/>
      <c r="DC586" s="653">
        <v>0</v>
      </c>
      <c r="DD586" s="524"/>
      <c r="DE586" s="758"/>
      <c r="DF586" s="524"/>
      <c r="DG586" s="757"/>
      <c r="DH586" s="758"/>
      <c r="DI586" s="524"/>
      <c r="DJ586" s="757"/>
      <c r="DK586" s="758"/>
      <c r="DL586" s="524"/>
      <c r="DM586" s="757"/>
      <c r="DN586" s="758"/>
      <c r="DO586" s="524"/>
      <c r="DP586" s="757"/>
      <c r="DQ586" s="493">
        <f t="shared" si="356"/>
        <v>8692800</v>
      </c>
      <c r="DR586" s="479">
        <f>SUM(CP586,CQ586,CS586,CU586,CX586,CZ586,DB586,DD586,DG586,DJ586,DM586,DP586)</f>
        <v>4340400</v>
      </c>
      <c r="DS586" s="1019"/>
      <c r="DT586" s="1019"/>
      <c r="DU586" s="1019"/>
      <c r="DV586" s="1019"/>
      <c r="DW586" s="1019"/>
      <c r="DX586" s="1019"/>
      <c r="DY586" s="1019"/>
      <c r="DZ586" s="1019"/>
      <c r="EA586" s="1019"/>
      <c r="EB586" s="1019"/>
      <c r="EC586" s="1019"/>
      <c r="ED586" s="1019"/>
      <c r="EE586" s="1119">
        <f t="shared" si="355"/>
        <v>0</v>
      </c>
      <c r="EF586" s="443"/>
      <c r="EG586" s="443"/>
      <c r="EH586" s="443"/>
      <c r="EI586" s="443"/>
      <c r="EL586" s="177"/>
      <c r="EM586" s="177"/>
      <c r="EN586" s="177"/>
    </row>
    <row r="587" spans="1:144" outlineLevel="2">
      <c r="A587" s="389"/>
      <c r="B587" s="378"/>
      <c r="C587" s="370" t="s">
        <v>688</v>
      </c>
      <c r="D587" s="370" t="s">
        <v>108</v>
      </c>
      <c r="E587" s="403" t="s">
        <v>805</v>
      </c>
      <c r="F587" s="380" t="s">
        <v>806</v>
      </c>
      <c r="G587" s="189"/>
      <c r="H587" s="13"/>
      <c r="I587" s="185"/>
      <c r="J587" s="185"/>
      <c r="K587" s="185"/>
      <c r="L587" s="194"/>
      <c r="M587" s="185"/>
      <c r="N587" s="185"/>
      <c r="O587" s="7"/>
      <c r="P587" s="7"/>
      <c r="Q587" s="7"/>
      <c r="R587" s="7"/>
      <c r="S587" s="14"/>
      <c r="T587" s="179"/>
      <c r="U587" s="189"/>
      <c r="V587" s="13"/>
      <c r="W587" s="185"/>
      <c r="X587" s="185"/>
      <c r="Y587" s="185"/>
      <c r="Z587" s="194"/>
      <c r="AA587" s="185"/>
      <c r="AB587" s="185"/>
      <c r="AC587" s="7"/>
      <c r="AD587" s="7"/>
      <c r="AE587" s="7"/>
      <c r="AF587" s="7"/>
      <c r="AG587" s="759"/>
      <c r="AH587" s="853"/>
      <c r="AI587" s="189"/>
      <c r="AJ587" s="810"/>
      <c r="AK587" s="758"/>
      <c r="AL587" s="758"/>
      <c r="AM587" s="758"/>
      <c r="AN587" s="524"/>
      <c r="AO587" s="758"/>
      <c r="AP587" s="758"/>
      <c r="AQ587" s="518"/>
      <c r="AR587" s="813"/>
      <c r="AS587" s="813"/>
      <c r="AT587" s="813"/>
      <c r="AU587" s="518"/>
      <c r="AV587" s="518"/>
      <c r="AW587" s="518"/>
      <c r="AX587" s="518"/>
      <c r="AY587" s="853"/>
      <c r="AZ587" s="189"/>
      <c r="BA587" s="810"/>
      <c r="BB587" s="758"/>
      <c r="BC587" s="758"/>
      <c r="BD587" s="758"/>
      <c r="BE587" s="524"/>
      <c r="BF587" s="758"/>
      <c r="BG587" s="518"/>
      <c r="BH587" s="758"/>
      <c r="BI587" s="758"/>
      <c r="BJ587" s="758"/>
      <c r="BK587" s="758"/>
      <c r="BL587" s="759"/>
      <c r="BN587" s="758"/>
      <c r="BO587" s="758"/>
      <c r="BP587" s="758"/>
      <c r="BQ587" s="758"/>
      <c r="BR587" s="758"/>
      <c r="BS587" s="758"/>
      <c r="BT587" s="758"/>
      <c r="BU587" s="758"/>
      <c r="BV587" s="758"/>
      <c r="BW587" s="758"/>
      <c r="BX587" s="758"/>
      <c r="BY587" s="758"/>
      <c r="BZ587" s="791"/>
      <c r="CB587" s="758"/>
      <c r="CC587" s="758"/>
      <c r="CD587" s="758"/>
      <c r="CE587" s="758"/>
      <c r="CF587" s="758"/>
      <c r="CG587" s="758"/>
      <c r="CH587" s="758"/>
      <c r="CI587" s="758"/>
      <c r="CJ587" s="758"/>
      <c r="CK587" s="758"/>
      <c r="CL587" s="758"/>
      <c r="CM587" s="758"/>
      <c r="CN587" s="791"/>
      <c r="CP587" s="653"/>
      <c r="CQ587" s="653"/>
      <c r="CR587" s="524"/>
      <c r="CS587" s="653"/>
      <c r="CT587" s="524"/>
      <c r="CU587" s="653"/>
      <c r="CV587" s="524"/>
      <c r="CW587" s="653"/>
      <c r="CX587" s="524"/>
      <c r="CY587" s="653">
        <v>11890775</v>
      </c>
      <c r="CZ587" s="524"/>
      <c r="DA587" s="653">
        <v>4391350</v>
      </c>
      <c r="DB587" s="524"/>
      <c r="DC587" s="653">
        <v>700000</v>
      </c>
      <c r="DD587" s="524"/>
      <c r="DE587" s="758"/>
      <c r="DF587" s="524"/>
      <c r="DG587" s="757"/>
      <c r="DH587" s="758"/>
      <c r="DI587" s="524"/>
      <c r="DJ587" s="757"/>
      <c r="DK587" s="758"/>
      <c r="DL587" s="524"/>
      <c r="DM587" s="757"/>
      <c r="DN587" s="758"/>
      <c r="DO587" s="524"/>
      <c r="DP587" s="757"/>
      <c r="DQ587" s="493">
        <f t="shared" si="356"/>
        <v>16982125</v>
      </c>
      <c r="DR587" s="479"/>
      <c r="DS587" s="1019"/>
      <c r="DT587" s="1019"/>
      <c r="DU587" s="1019"/>
      <c r="DV587" s="1019"/>
      <c r="DW587" s="1019"/>
      <c r="DX587" s="1019"/>
      <c r="DY587" s="1019"/>
      <c r="DZ587" s="1019"/>
      <c r="EA587" s="1019"/>
      <c r="EB587" s="1019"/>
      <c r="EC587" s="1019"/>
      <c r="ED587" s="1019"/>
      <c r="EE587" s="1119">
        <f t="shared" si="355"/>
        <v>0</v>
      </c>
      <c r="EF587" s="443"/>
      <c r="EG587" s="443"/>
      <c r="EH587" s="443"/>
      <c r="EI587" s="443"/>
      <c r="EL587" s="177"/>
      <c r="EM587" s="177"/>
      <c r="EN587" s="177"/>
    </row>
    <row r="588" spans="1:144" outlineLevel="2">
      <c r="A588" s="389"/>
      <c r="B588" s="378"/>
      <c r="C588" s="370" t="s">
        <v>688</v>
      </c>
      <c r="D588" s="370" t="s">
        <v>108</v>
      </c>
      <c r="E588" s="403" t="s">
        <v>807</v>
      </c>
      <c r="F588" s="380" t="s">
        <v>808</v>
      </c>
      <c r="G588" s="186"/>
      <c r="H588" s="30"/>
      <c r="I588" s="185"/>
      <c r="J588" s="185"/>
      <c r="K588" s="185"/>
      <c r="L588" s="194"/>
      <c r="M588" s="185"/>
      <c r="N588" s="185"/>
      <c r="O588" s="7"/>
      <c r="P588" s="7"/>
      <c r="Q588" s="7"/>
      <c r="R588" s="7"/>
      <c r="S588" s="14"/>
      <c r="T588" s="179"/>
      <c r="U588" s="186"/>
      <c r="V588" s="30"/>
      <c r="W588" s="185"/>
      <c r="X588" s="185"/>
      <c r="Y588" s="185"/>
      <c r="Z588" s="194"/>
      <c r="AA588" s="185"/>
      <c r="AB588" s="185"/>
      <c r="AC588" s="7"/>
      <c r="AD588" s="7"/>
      <c r="AE588" s="7"/>
      <c r="AF588" s="7"/>
      <c r="AG588" s="759"/>
      <c r="AH588" s="853"/>
      <c r="AI588" s="814"/>
      <c r="AJ588" s="859"/>
      <c r="AK588" s="758"/>
      <c r="AL588" s="758"/>
      <c r="AM588" s="758"/>
      <c r="AN588" s="524"/>
      <c r="AO588" s="758"/>
      <c r="AP588" s="758"/>
      <c r="AQ588" s="518"/>
      <c r="AR588" s="813"/>
      <c r="AS588" s="813"/>
      <c r="AT588" s="813"/>
      <c r="AU588" s="518"/>
      <c r="AV588" s="518"/>
      <c r="AW588" s="518"/>
      <c r="AX588" s="518">
        <f>SUM(AI588,AJ588,AK588,AL588,AM588,AN588,AO588,AP588,AQ588,AR588,AS588,AT588)</f>
        <v>0</v>
      </c>
      <c r="AY588" s="853"/>
      <c r="AZ588" s="814"/>
      <c r="BA588" s="859"/>
      <c r="BB588" s="758"/>
      <c r="BC588" s="758"/>
      <c r="BD588" s="758"/>
      <c r="BE588" s="524"/>
      <c r="BF588" s="758"/>
      <c r="BG588" s="518"/>
      <c r="BH588" s="758"/>
      <c r="BI588" s="758"/>
      <c r="BJ588" s="758"/>
      <c r="BK588" s="758"/>
      <c r="BL588" s="759"/>
      <c r="BN588" s="758"/>
      <c r="BO588" s="758"/>
      <c r="BP588" s="758"/>
      <c r="BQ588" s="758"/>
      <c r="BR588" s="758"/>
      <c r="BS588" s="758"/>
      <c r="BT588" s="758"/>
      <c r="BU588" s="758"/>
      <c r="BV588" s="758"/>
      <c r="BW588" s="758"/>
      <c r="BX588" s="758"/>
      <c r="BY588" s="758"/>
      <c r="BZ588" s="791"/>
      <c r="CB588" s="758"/>
      <c r="CC588" s="758"/>
      <c r="CD588" s="758"/>
      <c r="CE588" s="758"/>
      <c r="CF588" s="758"/>
      <c r="CG588" s="758"/>
      <c r="CH588" s="758"/>
      <c r="CI588" s="758"/>
      <c r="CJ588" s="758"/>
      <c r="CK588" s="758"/>
      <c r="CL588" s="758"/>
      <c r="CM588" s="758"/>
      <c r="CN588" s="791"/>
      <c r="CP588" s="656"/>
      <c r="CQ588" s="656">
        <v>641027</v>
      </c>
      <c r="CR588" s="520"/>
      <c r="CS588" s="656">
        <v>328214</v>
      </c>
      <c r="CT588" s="520"/>
      <c r="CU588" s="656"/>
      <c r="CV588" s="520"/>
      <c r="CW588" s="656"/>
      <c r="CX588" s="520"/>
      <c r="CY588" s="656">
        <v>323919</v>
      </c>
      <c r="CZ588" s="520"/>
      <c r="DA588" s="656">
        <v>988366</v>
      </c>
      <c r="DB588" s="520"/>
      <c r="DC588" s="656">
        <v>0</v>
      </c>
      <c r="DD588" s="520"/>
      <c r="DE588" s="758"/>
      <c r="DF588" s="520"/>
      <c r="DG588" s="757"/>
      <c r="DH588" s="758"/>
      <c r="DI588" s="520"/>
      <c r="DJ588" s="757"/>
      <c r="DK588" s="758"/>
      <c r="DL588" s="520"/>
      <c r="DM588" s="757"/>
      <c r="DN588" s="758"/>
      <c r="DO588" s="520"/>
      <c r="DP588" s="757"/>
      <c r="DQ588" s="493">
        <f t="shared" si="356"/>
        <v>2281526</v>
      </c>
      <c r="DR588" s="479">
        <f>SUM(CP588,CQ588,CS588,CU588,CX588,CZ588,DB588,DD588,DG588,DJ588,DM588,DP588)</f>
        <v>969241</v>
      </c>
      <c r="DS588" s="1019"/>
      <c r="DT588" s="1019"/>
      <c r="DU588" s="1019"/>
      <c r="DV588" s="1019"/>
      <c r="DW588" s="1019"/>
      <c r="DX588" s="1019"/>
      <c r="DY588" s="1019"/>
      <c r="DZ588" s="1019"/>
      <c r="EA588" s="1019"/>
      <c r="EB588" s="1019"/>
      <c r="EC588" s="1019"/>
      <c r="ED588" s="1019"/>
      <c r="EE588" s="1119">
        <f t="shared" si="355"/>
        <v>0</v>
      </c>
      <c r="EF588" s="443"/>
      <c r="EG588" s="443"/>
      <c r="EH588" s="443"/>
      <c r="EI588" s="443"/>
      <c r="EL588" s="177"/>
      <c r="EM588" s="177"/>
      <c r="EN588" s="177"/>
    </row>
    <row r="589" spans="1:144" outlineLevel="2">
      <c r="B589" s="378"/>
      <c r="C589" s="370" t="s">
        <v>688</v>
      </c>
      <c r="D589" s="370" t="s">
        <v>108</v>
      </c>
      <c r="E589" s="403" t="s">
        <v>809</v>
      </c>
      <c r="F589" s="380" t="s">
        <v>810</v>
      </c>
      <c r="G589" s="189"/>
      <c r="H589" s="13"/>
      <c r="I589" s="27"/>
      <c r="J589" s="185"/>
      <c r="K589" s="185"/>
      <c r="L589" s="194"/>
      <c r="M589" s="185"/>
      <c r="N589" s="185"/>
      <c r="O589" s="7"/>
      <c r="P589" s="7"/>
      <c r="Q589" s="7"/>
      <c r="R589" s="7"/>
      <c r="S589" s="14"/>
      <c r="T589" s="179"/>
      <c r="U589" s="189"/>
      <c r="V589" s="13"/>
      <c r="W589" s="27"/>
      <c r="X589" s="185"/>
      <c r="Y589" s="185"/>
      <c r="Z589" s="194"/>
      <c r="AA589" s="185"/>
      <c r="AB589" s="185"/>
      <c r="AC589" s="7"/>
      <c r="AD589" s="7"/>
      <c r="AE589" s="7"/>
      <c r="AF589" s="7"/>
      <c r="AG589" s="759"/>
      <c r="AH589" s="853"/>
      <c r="AI589" s="189"/>
      <c r="AJ589" s="810"/>
      <c r="AK589" s="858"/>
      <c r="AL589" s="758"/>
      <c r="AM589" s="758"/>
      <c r="AN589" s="524"/>
      <c r="AO589" s="758"/>
      <c r="AP589" s="758"/>
      <c r="AQ589" s="518"/>
      <c r="AR589" s="518"/>
      <c r="AS589" s="518"/>
      <c r="AT589" s="518"/>
      <c r="AU589" s="518"/>
      <c r="AV589" s="518"/>
      <c r="AW589" s="518"/>
      <c r="AX589" s="518"/>
      <c r="AY589" s="853"/>
      <c r="AZ589" s="189"/>
      <c r="BA589" s="810"/>
      <c r="BB589" s="858"/>
      <c r="BC589" s="758"/>
      <c r="BD589" s="758"/>
      <c r="BE589" s="524"/>
      <c r="BF589" s="758"/>
      <c r="BG589" s="518"/>
      <c r="BH589" s="758"/>
      <c r="BI589" s="758"/>
      <c r="BJ589" s="758"/>
      <c r="BK589" s="758"/>
      <c r="BL589" s="759"/>
      <c r="BN589" s="758"/>
      <c r="BO589" s="758"/>
      <c r="BP589" s="758"/>
      <c r="BQ589" s="758"/>
      <c r="BR589" s="758"/>
      <c r="BS589" s="758"/>
      <c r="BT589" s="758"/>
      <c r="BU589" s="758"/>
      <c r="BV589" s="758"/>
      <c r="BW589" s="758"/>
      <c r="BX589" s="758"/>
      <c r="BY589" s="758"/>
      <c r="BZ589" s="791"/>
      <c r="CB589" s="758"/>
      <c r="CC589" s="758"/>
      <c r="CD589" s="758"/>
      <c r="CE589" s="758"/>
      <c r="CF589" s="758"/>
      <c r="CG589" s="758"/>
      <c r="CH589" s="758"/>
      <c r="CI589" s="758"/>
      <c r="CJ589" s="758"/>
      <c r="CK589" s="758"/>
      <c r="CL589" s="758"/>
      <c r="CM589" s="758"/>
      <c r="CN589" s="791"/>
      <c r="CP589" s="653"/>
      <c r="CQ589" s="653"/>
      <c r="CR589" s="524"/>
      <c r="CS589" s="653">
        <v>1282500</v>
      </c>
      <c r="CT589" s="524"/>
      <c r="CU589" s="653"/>
      <c r="CV589" s="524"/>
      <c r="CW589" s="653"/>
      <c r="CX589" s="524"/>
      <c r="CY589" s="653"/>
      <c r="CZ589" s="524"/>
      <c r="DA589" s="653"/>
      <c r="DB589" s="524"/>
      <c r="DC589" s="653">
        <v>0</v>
      </c>
      <c r="DD589" s="524"/>
      <c r="DE589" s="758"/>
      <c r="DF589" s="524"/>
      <c r="DG589" s="757"/>
      <c r="DH589" s="758"/>
      <c r="DI589" s="524"/>
      <c r="DJ589" s="757"/>
      <c r="DK589" s="758"/>
      <c r="DL589" s="524"/>
      <c r="DM589" s="757"/>
      <c r="DN589" s="758"/>
      <c r="DO589" s="524"/>
      <c r="DP589" s="757"/>
      <c r="DQ589" s="493">
        <f t="shared" si="356"/>
        <v>1282500</v>
      </c>
      <c r="DR589" s="479">
        <f>SUM(CP589,CQ589,CS589,CU589,CX589,CZ589,DB589,DD589,DG589,DJ589,DM589,DP589)</f>
        <v>1282500</v>
      </c>
      <c r="DS589" s="1019"/>
      <c r="DT589" s="1019"/>
      <c r="DU589" s="1019"/>
      <c r="DV589" s="1019"/>
      <c r="DW589" s="1019"/>
      <c r="DX589" s="1019"/>
      <c r="DY589" s="1019"/>
      <c r="DZ589" s="1019"/>
      <c r="EA589" s="1019"/>
      <c r="EB589" s="1019"/>
      <c r="EC589" s="1019"/>
      <c r="ED589" s="1019"/>
      <c r="EE589" s="1119">
        <f t="shared" si="355"/>
        <v>0</v>
      </c>
      <c r="EF589" s="443"/>
      <c r="EG589" s="443"/>
      <c r="EH589" s="443"/>
      <c r="EI589" s="443"/>
      <c r="EL589" s="177"/>
      <c r="EM589" s="177"/>
      <c r="EN589" s="177"/>
    </row>
    <row r="590" spans="1:144" outlineLevel="2">
      <c r="B590" s="378"/>
      <c r="C590" s="370" t="s">
        <v>688</v>
      </c>
      <c r="D590" s="370" t="s">
        <v>108</v>
      </c>
      <c r="E590" s="403" t="s">
        <v>811</v>
      </c>
      <c r="F590" s="380" t="s">
        <v>812</v>
      </c>
      <c r="G590" s="189"/>
      <c r="H590" s="13"/>
      <c r="I590" s="27"/>
      <c r="J590" s="185"/>
      <c r="K590" s="185"/>
      <c r="L590" s="194"/>
      <c r="M590" s="185"/>
      <c r="N590" s="185"/>
      <c r="O590" s="7"/>
      <c r="P590" s="7"/>
      <c r="Q590" s="7"/>
      <c r="R590" s="7"/>
      <c r="S590" s="14"/>
      <c r="T590" s="179"/>
      <c r="U590" s="189"/>
      <c r="V590" s="13"/>
      <c r="W590" s="27"/>
      <c r="X590" s="185"/>
      <c r="Y590" s="185"/>
      <c r="Z590" s="194"/>
      <c r="AA590" s="185"/>
      <c r="AB590" s="185"/>
      <c r="AC590" s="7"/>
      <c r="AD590" s="7"/>
      <c r="AE590" s="7"/>
      <c r="AF590" s="7"/>
      <c r="AG590" s="759"/>
      <c r="AH590" s="853"/>
      <c r="AI590" s="189"/>
      <c r="AJ590" s="810"/>
      <c r="AK590" s="858"/>
      <c r="AL590" s="758"/>
      <c r="AM590" s="758"/>
      <c r="AN590" s="524"/>
      <c r="AO590" s="758"/>
      <c r="AP590" s="758"/>
      <c r="AQ590" s="518"/>
      <c r="AR590" s="518"/>
      <c r="AS590" s="518"/>
      <c r="AT590" s="518"/>
      <c r="AU590" s="518"/>
      <c r="AV590" s="518"/>
      <c r="AW590" s="518"/>
      <c r="AX590" s="518"/>
      <c r="AY590" s="853"/>
      <c r="AZ590" s="189"/>
      <c r="BA590" s="810"/>
      <c r="BB590" s="858"/>
      <c r="BC590" s="758"/>
      <c r="BD590" s="758"/>
      <c r="BE590" s="524"/>
      <c r="BF590" s="758"/>
      <c r="BG590" s="518"/>
      <c r="BH590" s="758"/>
      <c r="BI590" s="758"/>
      <c r="BJ590" s="758"/>
      <c r="BK590" s="758"/>
      <c r="BL590" s="759"/>
      <c r="BN590" s="758"/>
      <c r="BO590" s="758"/>
      <c r="BP590" s="758"/>
      <c r="BQ590" s="758"/>
      <c r="BR590" s="758"/>
      <c r="BS590" s="758"/>
      <c r="BT590" s="758"/>
      <c r="BU590" s="758"/>
      <c r="BV590" s="758"/>
      <c r="BW590" s="758"/>
      <c r="BX590" s="758"/>
      <c r="BY590" s="758"/>
      <c r="BZ590" s="791"/>
      <c r="CB590" s="758"/>
      <c r="CC590" s="758"/>
      <c r="CD590" s="758"/>
      <c r="CE590" s="758"/>
      <c r="CF590" s="758"/>
      <c r="CG590" s="758"/>
      <c r="CH590" s="758"/>
      <c r="CI590" s="758"/>
      <c r="CJ590" s="758"/>
      <c r="CK590" s="758"/>
      <c r="CL590" s="758"/>
      <c r="CM590" s="758"/>
      <c r="CN590" s="791"/>
      <c r="CP590" s="653"/>
      <c r="CQ590" s="653"/>
      <c r="CR590" s="524"/>
      <c r="CS590" s="653"/>
      <c r="CT590" s="524"/>
      <c r="CU590" s="653"/>
      <c r="CV590" s="524"/>
      <c r="CW590" s="653"/>
      <c r="CX590" s="524"/>
      <c r="CY590" s="653"/>
      <c r="CZ590" s="524"/>
      <c r="DA590" s="653"/>
      <c r="DB590" s="524"/>
      <c r="DC590" s="653">
        <v>13687245</v>
      </c>
      <c r="DD590" s="524"/>
      <c r="DE590" s="758"/>
      <c r="DF590" s="524"/>
      <c r="DG590" s="757"/>
      <c r="DH590" s="758"/>
      <c r="DI590" s="524"/>
      <c r="DJ590" s="757"/>
      <c r="DK590" s="758"/>
      <c r="DL590" s="524"/>
      <c r="DM590" s="757"/>
      <c r="DN590" s="758"/>
      <c r="DO590" s="524"/>
      <c r="DP590" s="757"/>
      <c r="DQ590" s="493">
        <f t="shared" si="356"/>
        <v>13687245</v>
      </c>
      <c r="DR590" s="479"/>
      <c r="DS590" s="1019"/>
      <c r="DT590" s="1019"/>
      <c r="DU590" s="1019"/>
      <c r="DV590" s="1019"/>
      <c r="DW590" s="1019"/>
      <c r="DX590" s="1019"/>
      <c r="DY590" s="1019"/>
      <c r="DZ590" s="1019"/>
      <c r="EA590" s="1019"/>
      <c r="EB590" s="1019"/>
      <c r="EC590" s="1019"/>
      <c r="ED590" s="1019"/>
      <c r="EE590" s="1119">
        <f t="shared" si="355"/>
        <v>0</v>
      </c>
      <c r="EF590" s="443"/>
      <c r="EG590" s="443"/>
      <c r="EH590" s="443"/>
      <c r="EI590" s="443"/>
      <c r="EL590" s="177"/>
      <c r="EM590" s="177"/>
      <c r="EN590" s="177"/>
    </row>
    <row r="591" spans="1:144" outlineLevel="2">
      <c r="B591" s="378"/>
      <c r="C591" s="370" t="s">
        <v>688</v>
      </c>
      <c r="D591" s="370" t="s">
        <v>108</v>
      </c>
      <c r="E591" s="403" t="s">
        <v>116</v>
      </c>
      <c r="F591" s="380" t="s">
        <v>813</v>
      </c>
      <c r="G591" s="189"/>
      <c r="H591" s="13"/>
      <c r="I591" s="27"/>
      <c r="J591" s="185"/>
      <c r="K591" s="185"/>
      <c r="L591" s="194"/>
      <c r="M591" s="185"/>
      <c r="N591" s="185"/>
      <c r="O591" s="7"/>
      <c r="P591" s="7"/>
      <c r="Q591" s="7"/>
      <c r="R591" s="7"/>
      <c r="S591" s="14"/>
      <c r="T591" s="179"/>
      <c r="U591" s="189"/>
      <c r="V591" s="13"/>
      <c r="W591" s="27"/>
      <c r="X591" s="185"/>
      <c r="Y591" s="185"/>
      <c r="Z591" s="194"/>
      <c r="AA591" s="185"/>
      <c r="AB591" s="185"/>
      <c r="AC591" s="7"/>
      <c r="AD591" s="7"/>
      <c r="AE591" s="7"/>
      <c r="AF591" s="7"/>
      <c r="AG591" s="759"/>
      <c r="AH591" s="853"/>
      <c r="AI591" s="189"/>
      <c r="AJ591" s="810"/>
      <c r="AK591" s="858"/>
      <c r="AL591" s="758"/>
      <c r="AM591" s="758"/>
      <c r="AN591" s="524"/>
      <c r="AO591" s="758"/>
      <c r="AP591" s="758"/>
      <c r="AQ591" s="518"/>
      <c r="AR591" s="518"/>
      <c r="AS591" s="518"/>
      <c r="AT591" s="518"/>
      <c r="AU591" s="518"/>
      <c r="AV591" s="518"/>
      <c r="AW591" s="518"/>
      <c r="AX591" s="518"/>
      <c r="AY591" s="853"/>
      <c r="AZ591" s="189"/>
      <c r="BA591" s="810"/>
      <c r="BB591" s="858"/>
      <c r="BC591" s="758"/>
      <c r="BD591" s="758"/>
      <c r="BE591" s="524"/>
      <c r="BF591" s="758"/>
      <c r="BG591" s="518"/>
      <c r="BH591" s="758"/>
      <c r="BI591" s="758"/>
      <c r="BJ591" s="758"/>
      <c r="BK591" s="758"/>
      <c r="BL591" s="759"/>
      <c r="BN591" s="758"/>
      <c r="BO591" s="758"/>
      <c r="BP591" s="758"/>
      <c r="BQ591" s="758"/>
      <c r="BR591" s="758"/>
      <c r="BS591" s="758"/>
      <c r="BT591" s="758"/>
      <c r="BU591" s="758"/>
      <c r="BV591" s="758"/>
      <c r="BW591" s="758"/>
      <c r="BX591" s="758"/>
      <c r="BY591" s="758"/>
      <c r="BZ591" s="791"/>
      <c r="CB591" s="758"/>
      <c r="CC591" s="758"/>
      <c r="CD591" s="758"/>
      <c r="CE591" s="758"/>
      <c r="CF591" s="758"/>
      <c r="CG591" s="758"/>
      <c r="CH591" s="758"/>
      <c r="CI591" s="758"/>
      <c r="CJ591" s="758"/>
      <c r="CK591" s="758"/>
      <c r="CL591" s="758"/>
      <c r="CM591" s="758"/>
      <c r="CN591" s="791"/>
      <c r="CP591" s="653"/>
      <c r="CQ591" s="653"/>
      <c r="CR591" s="524"/>
      <c r="CS591" s="653"/>
      <c r="CT591" s="524"/>
      <c r="CU591" s="653"/>
      <c r="CV591" s="524"/>
      <c r="CW591" s="653"/>
      <c r="CX591" s="524"/>
      <c r="CY591" s="653">
        <v>7520000</v>
      </c>
      <c r="CZ591" s="524"/>
      <c r="DA591" s="653"/>
      <c r="DB591" s="524"/>
      <c r="DC591" s="653">
        <v>10258165</v>
      </c>
      <c r="DD591" s="524"/>
      <c r="DE591" s="758"/>
      <c r="DF591" s="524"/>
      <c r="DG591" s="757"/>
      <c r="DH591" s="758"/>
      <c r="DI591" s="524"/>
      <c r="DJ591" s="757"/>
      <c r="DK591" s="758"/>
      <c r="DL591" s="524"/>
      <c r="DM591" s="757"/>
      <c r="DN591" s="758"/>
      <c r="DO591" s="524"/>
      <c r="DP591" s="757"/>
      <c r="DQ591" s="493">
        <f t="shared" si="356"/>
        <v>17778165</v>
      </c>
      <c r="DR591" s="479"/>
      <c r="DS591" s="1019"/>
      <c r="DT591" s="1019"/>
      <c r="DU591" s="1019"/>
      <c r="DV591" s="1019"/>
      <c r="DW591" s="1019"/>
      <c r="DX591" s="1019"/>
      <c r="DY591" s="1019"/>
      <c r="DZ591" s="1019"/>
      <c r="EA591" s="1019"/>
      <c r="EB591" s="1019"/>
      <c r="EC591" s="1019"/>
      <c r="ED591" s="1019"/>
      <c r="EE591" s="1119">
        <f t="shared" si="355"/>
        <v>0</v>
      </c>
      <c r="EF591" s="443"/>
      <c r="EG591" s="443"/>
      <c r="EH591" s="443"/>
      <c r="EI591" s="443"/>
      <c r="EL591" s="177"/>
      <c r="EM591" s="177"/>
      <c r="EN591" s="177"/>
    </row>
    <row r="592" spans="1:144" outlineLevel="2">
      <c r="B592" s="378"/>
      <c r="C592" s="370" t="s">
        <v>688</v>
      </c>
      <c r="D592" s="370" t="s">
        <v>108</v>
      </c>
      <c r="E592" s="403" t="s">
        <v>814</v>
      </c>
      <c r="F592" s="380" t="s">
        <v>815</v>
      </c>
      <c r="G592" s="189"/>
      <c r="H592" s="13"/>
      <c r="I592" s="27"/>
      <c r="J592" s="185"/>
      <c r="K592" s="185"/>
      <c r="L592" s="194"/>
      <c r="M592" s="185"/>
      <c r="N592" s="185"/>
      <c r="O592" s="7"/>
      <c r="P592" s="7"/>
      <c r="Q592" s="7"/>
      <c r="R592" s="7"/>
      <c r="S592" s="14"/>
      <c r="T592" s="179"/>
      <c r="U592" s="189"/>
      <c r="V592" s="13"/>
      <c r="W592" s="27"/>
      <c r="X592" s="185"/>
      <c r="Y592" s="185"/>
      <c r="Z592" s="194"/>
      <c r="AA592" s="185"/>
      <c r="AB592" s="185"/>
      <c r="AC592" s="7"/>
      <c r="AD592" s="7"/>
      <c r="AE592" s="7"/>
      <c r="AF592" s="7"/>
      <c r="AG592" s="759"/>
      <c r="AH592" s="853"/>
      <c r="AI592" s="189"/>
      <c r="AJ592" s="810"/>
      <c r="AK592" s="858"/>
      <c r="AL592" s="758"/>
      <c r="AM592" s="758"/>
      <c r="AN592" s="524"/>
      <c r="AO592" s="758"/>
      <c r="AP592" s="758"/>
      <c r="AQ592" s="518"/>
      <c r="AR592" s="518"/>
      <c r="AS592" s="518"/>
      <c r="AT592" s="518"/>
      <c r="AU592" s="518"/>
      <c r="AV592" s="518"/>
      <c r="AW592" s="518"/>
      <c r="AX592" s="518"/>
      <c r="AY592" s="853"/>
      <c r="AZ592" s="189"/>
      <c r="BA592" s="810"/>
      <c r="BB592" s="858"/>
      <c r="BC592" s="758"/>
      <c r="BD592" s="758"/>
      <c r="BE592" s="524"/>
      <c r="BF592" s="758"/>
      <c r="BG592" s="518"/>
      <c r="BH592" s="758"/>
      <c r="BI592" s="758"/>
      <c r="BJ592" s="758"/>
      <c r="BK592" s="758"/>
      <c r="BL592" s="759"/>
      <c r="BN592" s="758"/>
      <c r="BO592" s="758"/>
      <c r="BP592" s="758"/>
      <c r="BQ592" s="758"/>
      <c r="BR592" s="758"/>
      <c r="BS592" s="758"/>
      <c r="BT592" s="758"/>
      <c r="BU592" s="758"/>
      <c r="BV592" s="758"/>
      <c r="BW592" s="758"/>
      <c r="BX592" s="758"/>
      <c r="BY592" s="758"/>
      <c r="BZ592" s="791"/>
      <c r="CB592" s="758"/>
      <c r="CC592" s="758"/>
      <c r="CD592" s="758"/>
      <c r="CE592" s="758"/>
      <c r="CF592" s="758"/>
      <c r="CG592" s="758"/>
      <c r="CH592" s="758"/>
      <c r="CI592" s="758"/>
      <c r="CJ592" s="758"/>
      <c r="CK592" s="758"/>
      <c r="CL592" s="758"/>
      <c r="CM592" s="758"/>
      <c r="CN592" s="791"/>
      <c r="CP592" s="653"/>
      <c r="CQ592" s="653"/>
      <c r="CR592" s="524"/>
      <c r="CS592" s="653"/>
      <c r="CT592" s="524"/>
      <c r="CU592" s="653"/>
      <c r="CV592" s="524"/>
      <c r="CW592" s="653"/>
      <c r="CX592" s="524"/>
      <c r="CY592" s="653"/>
      <c r="CZ592" s="524"/>
      <c r="DA592" s="653"/>
      <c r="DB592" s="524"/>
      <c r="DC592" s="653">
        <v>18989482</v>
      </c>
      <c r="DD592" s="524"/>
      <c r="DE592" s="758"/>
      <c r="DF592" s="524"/>
      <c r="DG592" s="757"/>
      <c r="DH592" s="758"/>
      <c r="DI592" s="524"/>
      <c r="DJ592" s="757"/>
      <c r="DK592" s="758"/>
      <c r="DL592" s="524"/>
      <c r="DM592" s="757"/>
      <c r="DN592" s="758"/>
      <c r="DO592" s="524"/>
      <c r="DP592" s="757"/>
      <c r="DQ592" s="493">
        <f t="shared" si="356"/>
        <v>18989482</v>
      </c>
      <c r="DR592" s="479"/>
      <c r="DS592" s="1019"/>
      <c r="DT592" s="1019"/>
      <c r="DU592" s="1019"/>
      <c r="DV592" s="1019"/>
      <c r="DW592" s="1019"/>
      <c r="DX592" s="1019"/>
      <c r="DY592" s="1019"/>
      <c r="DZ592" s="1019"/>
      <c r="EA592" s="1019"/>
      <c r="EB592" s="1019"/>
      <c r="EC592" s="1019"/>
      <c r="ED592" s="1019"/>
      <c r="EE592" s="1119">
        <f t="shared" si="355"/>
        <v>0</v>
      </c>
      <c r="EF592" s="443"/>
      <c r="EG592" s="443"/>
      <c r="EH592" s="443"/>
      <c r="EI592" s="443"/>
      <c r="EL592" s="177"/>
      <c r="EM592" s="177"/>
      <c r="EN592" s="177"/>
    </row>
    <row r="593" spans="1:144" outlineLevel="2">
      <c r="B593" s="378"/>
      <c r="C593" s="370" t="s">
        <v>688</v>
      </c>
      <c r="D593" s="370" t="s">
        <v>108</v>
      </c>
      <c r="E593" s="403" t="s">
        <v>816</v>
      </c>
      <c r="F593" s="380" t="s">
        <v>817</v>
      </c>
      <c r="G593" s="189"/>
      <c r="H593" s="13"/>
      <c r="I593" s="27"/>
      <c r="J593" s="185"/>
      <c r="K593" s="185"/>
      <c r="L593" s="194"/>
      <c r="M593" s="185"/>
      <c r="N593" s="185"/>
      <c r="O593" s="7"/>
      <c r="P593" s="7"/>
      <c r="Q593" s="7"/>
      <c r="R593" s="7"/>
      <c r="S593" s="14"/>
      <c r="T593" s="179"/>
      <c r="U593" s="189"/>
      <c r="V593" s="13"/>
      <c r="W593" s="27"/>
      <c r="X593" s="185"/>
      <c r="Y593" s="185"/>
      <c r="Z593" s="194"/>
      <c r="AA593" s="185"/>
      <c r="AB593" s="185"/>
      <c r="AC593" s="7"/>
      <c r="AD593" s="7"/>
      <c r="AE593" s="7"/>
      <c r="AF593" s="7"/>
      <c r="AG593" s="759"/>
      <c r="AH593" s="853"/>
      <c r="AI593" s="189"/>
      <c r="AJ593" s="810"/>
      <c r="AK593" s="858"/>
      <c r="AL593" s="758"/>
      <c r="AM593" s="758"/>
      <c r="AN593" s="524"/>
      <c r="AO593" s="758"/>
      <c r="AP593" s="758"/>
      <c r="AQ593" s="518"/>
      <c r="AR593" s="518"/>
      <c r="AS593" s="518"/>
      <c r="AT593" s="518"/>
      <c r="AU593" s="518"/>
      <c r="AV593" s="518"/>
      <c r="AW593" s="518"/>
      <c r="AX593" s="518"/>
      <c r="AY593" s="853"/>
      <c r="AZ593" s="189"/>
      <c r="BA593" s="810"/>
      <c r="BB593" s="858"/>
      <c r="BC593" s="758"/>
      <c r="BD593" s="758"/>
      <c r="BE593" s="524"/>
      <c r="BF593" s="758"/>
      <c r="BG593" s="518"/>
      <c r="BH593" s="758"/>
      <c r="BI593" s="758"/>
      <c r="BJ593" s="758"/>
      <c r="BK593" s="758"/>
      <c r="BL593" s="759"/>
      <c r="BN593" s="758"/>
      <c r="BO593" s="758"/>
      <c r="BP593" s="758"/>
      <c r="BQ593" s="758"/>
      <c r="BR593" s="758"/>
      <c r="BS593" s="758"/>
      <c r="BT593" s="758"/>
      <c r="BU593" s="758"/>
      <c r="BV593" s="758"/>
      <c r="BW593" s="758"/>
      <c r="BX593" s="758"/>
      <c r="BY593" s="758"/>
      <c r="BZ593" s="791"/>
      <c r="CB593" s="758"/>
      <c r="CC593" s="758"/>
      <c r="CD593" s="758"/>
      <c r="CE593" s="758"/>
      <c r="CF593" s="758"/>
      <c r="CG593" s="758"/>
      <c r="CH593" s="758"/>
      <c r="CI593" s="758"/>
      <c r="CJ593" s="758"/>
      <c r="CK593" s="758"/>
      <c r="CL593" s="758"/>
      <c r="CM593" s="758"/>
      <c r="CN593" s="791"/>
      <c r="CP593" s="653"/>
      <c r="CQ593" s="653"/>
      <c r="CR593" s="524"/>
      <c r="CS593" s="653"/>
      <c r="CT593" s="524"/>
      <c r="CU593" s="653"/>
      <c r="CV593" s="524"/>
      <c r="CW593" s="653">
        <v>1377500</v>
      </c>
      <c r="CX593" s="524"/>
      <c r="CY593" s="653"/>
      <c r="CZ593" s="524"/>
      <c r="DA593" s="653"/>
      <c r="DB593" s="524"/>
      <c r="DC593" s="653">
        <v>1377500</v>
      </c>
      <c r="DD593" s="524"/>
      <c r="DE593" s="758"/>
      <c r="DF593" s="524"/>
      <c r="DG593" s="757"/>
      <c r="DH593" s="758"/>
      <c r="DI593" s="524"/>
      <c r="DJ593" s="757"/>
      <c r="DK593" s="758"/>
      <c r="DL593" s="524"/>
      <c r="DM593" s="757"/>
      <c r="DN593" s="758"/>
      <c r="DO593" s="524"/>
      <c r="DP593" s="757"/>
      <c r="DQ593" s="493">
        <f t="shared" si="356"/>
        <v>2755000</v>
      </c>
      <c r="DR593" s="479"/>
      <c r="DS593" s="1019"/>
      <c r="DT593" s="1019"/>
      <c r="DU593" s="1019"/>
      <c r="DV593" s="1019"/>
      <c r="DW593" s="1019"/>
      <c r="DX593" s="1019"/>
      <c r="DY593" s="1019"/>
      <c r="DZ593" s="1019"/>
      <c r="EA593" s="1019"/>
      <c r="EB593" s="1019"/>
      <c r="EC593" s="1019"/>
      <c r="ED593" s="1019"/>
      <c r="EE593" s="1119">
        <f t="shared" si="355"/>
        <v>0</v>
      </c>
      <c r="EF593" s="443"/>
      <c r="EG593" s="443"/>
      <c r="EH593" s="443"/>
      <c r="EI593" s="443"/>
      <c r="EL593" s="177"/>
      <c r="EM593" s="177"/>
      <c r="EN593" s="177"/>
    </row>
    <row r="594" spans="1:144" outlineLevel="2">
      <c r="B594" s="378"/>
      <c r="C594" s="370" t="s">
        <v>688</v>
      </c>
      <c r="D594" s="370" t="s">
        <v>108</v>
      </c>
      <c r="E594" s="403" t="s">
        <v>818</v>
      </c>
      <c r="F594" s="380" t="s">
        <v>819</v>
      </c>
      <c r="G594" s="189"/>
      <c r="H594" s="13"/>
      <c r="I594" s="185"/>
      <c r="J594" s="185"/>
      <c r="K594" s="185"/>
      <c r="L594" s="185"/>
      <c r="M594" s="185"/>
      <c r="N594" s="185"/>
      <c r="O594" s="7"/>
      <c r="P594" s="7"/>
      <c r="Q594" s="7"/>
      <c r="R594" s="7"/>
      <c r="S594" s="14"/>
      <c r="T594" s="179"/>
      <c r="U594" s="189"/>
      <c r="V594" s="13"/>
      <c r="W594" s="185"/>
      <c r="X594" s="185"/>
      <c r="Y594" s="185"/>
      <c r="Z594" s="185"/>
      <c r="AA594" s="185"/>
      <c r="AB594" s="185"/>
      <c r="AC594" s="7"/>
      <c r="AD594" s="7"/>
      <c r="AE594" s="7"/>
      <c r="AF594" s="7"/>
      <c r="AG594" s="759"/>
      <c r="AH594" s="853"/>
      <c r="AI594" s="189"/>
      <c r="AJ594" s="810"/>
      <c r="AK594" s="758"/>
      <c r="AL594" s="758"/>
      <c r="AM594" s="758"/>
      <c r="AN594" s="758"/>
      <c r="AO594" s="758"/>
      <c r="AP594" s="758"/>
      <c r="AQ594" s="518"/>
      <c r="AR594" s="518"/>
      <c r="AS594" s="518"/>
      <c r="AT594" s="518"/>
      <c r="AU594" s="518"/>
      <c r="AV594" s="518"/>
      <c r="AW594" s="518"/>
      <c r="AX594" s="518">
        <f>SUM(AI594,AJ594,AK594,AL594,AM594,AN594,AO594,AP594,AQ594,AR594,AS594,AT594)</f>
        <v>0</v>
      </c>
      <c r="AY594" s="853"/>
      <c r="AZ594" s="189"/>
      <c r="BA594" s="810"/>
      <c r="BB594" s="758"/>
      <c r="BC594" s="758"/>
      <c r="BD594" s="758"/>
      <c r="BE594" s="758"/>
      <c r="BF594" s="758"/>
      <c r="BG594" s="518"/>
      <c r="BH594" s="758"/>
      <c r="BI594" s="758"/>
      <c r="BJ594" s="758"/>
      <c r="BK594" s="758"/>
      <c r="BL594" s="518"/>
      <c r="BN594" s="758"/>
      <c r="BO594" s="758"/>
      <c r="BP594" s="758"/>
      <c r="BQ594" s="758"/>
      <c r="BR594" s="758"/>
      <c r="BS594" s="758"/>
      <c r="BT594" s="758"/>
      <c r="BU594" s="758"/>
      <c r="BV594" s="758"/>
      <c r="BW594" s="758"/>
      <c r="BX594" s="758"/>
      <c r="BY594" s="758"/>
      <c r="BZ594" s="791"/>
      <c r="CB594" s="758"/>
      <c r="CC594" s="758"/>
      <c r="CD594" s="758"/>
      <c r="CE594" s="758"/>
      <c r="CF594" s="758"/>
      <c r="CG594" s="758"/>
      <c r="CH594" s="758"/>
      <c r="CI594" s="758"/>
      <c r="CJ594" s="758"/>
      <c r="CK594" s="758"/>
      <c r="CL594" s="758"/>
      <c r="CM594" s="758"/>
      <c r="CN594" s="791"/>
      <c r="CP594" s="653"/>
      <c r="CQ594" s="653"/>
      <c r="CR594" s="524"/>
      <c r="CS594" s="653">
        <v>1282500</v>
      </c>
      <c r="CT594" s="524"/>
      <c r="CU594" s="653"/>
      <c r="CV594" s="524"/>
      <c r="CW594" s="653"/>
      <c r="CX594" s="524"/>
      <c r="CY594" s="653"/>
      <c r="CZ594" s="524"/>
      <c r="DA594" s="653"/>
      <c r="DB594" s="524"/>
      <c r="DC594" s="653">
        <v>0</v>
      </c>
      <c r="DD594" s="524"/>
      <c r="DE594" s="758"/>
      <c r="DF594" s="524"/>
      <c r="DG594" s="757"/>
      <c r="DH594" s="758"/>
      <c r="DI594" s="524"/>
      <c r="DJ594" s="757"/>
      <c r="DK594" s="758"/>
      <c r="DL594" s="524"/>
      <c r="DM594" s="757"/>
      <c r="DN594" s="758"/>
      <c r="DO594" s="524"/>
      <c r="DP594" s="757"/>
      <c r="DQ594" s="493">
        <f t="shared" si="356"/>
        <v>1282500</v>
      </c>
      <c r="DR594" s="479">
        <f>SUM(CP594,CQ594,CS594,CU594,CX594,CZ594,DB594,DD594,DG594,DJ594,DM594,DP594)</f>
        <v>1282500</v>
      </c>
      <c r="DS594" s="1019"/>
      <c r="DT594" s="1019"/>
      <c r="DU594" s="1019"/>
      <c r="DV594" s="1019"/>
      <c r="DW594" s="1019"/>
      <c r="DX594" s="1019"/>
      <c r="DY594" s="1019"/>
      <c r="DZ594" s="1019"/>
      <c r="EA594" s="1019"/>
      <c r="EB594" s="1019"/>
      <c r="EC594" s="1019"/>
      <c r="ED594" s="1019"/>
      <c r="EE594" s="1119">
        <f t="shared" si="355"/>
        <v>0</v>
      </c>
      <c r="EF594" s="443"/>
      <c r="EG594" s="443"/>
      <c r="EH594" s="443"/>
      <c r="EI594" s="443"/>
      <c r="EL594" s="177"/>
      <c r="EM594" s="177"/>
      <c r="EN594" s="177"/>
    </row>
    <row r="595" spans="1:144" outlineLevel="2">
      <c r="B595" s="378"/>
      <c r="C595" s="370" t="s">
        <v>688</v>
      </c>
      <c r="D595" s="370" t="s">
        <v>108</v>
      </c>
      <c r="E595" s="403" t="s">
        <v>820</v>
      </c>
      <c r="F595" s="380" t="s">
        <v>821</v>
      </c>
      <c r="G595" s="189"/>
      <c r="H595" s="13"/>
      <c r="I595" s="185"/>
      <c r="J595" s="185"/>
      <c r="K595" s="185"/>
      <c r="L595" s="185"/>
      <c r="M595" s="185"/>
      <c r="N595" s="185"/>
      <c r="O595" s="7"/>
      <c r="P595" s="7"/>
      <c r="Q595" s="7"/>
      <c r="R595" s="7"/>
      <c r="S595" s="14"/>
      <c r="T595" s="179"/>
      <c r="U595" s="189"/>
      <c r="V595" s="13"/>
      <c r="W595" s="185"/>
      <c r="X595" s="185"/>
      <c r="Y595" s="185"/>
      <c r="Z595" s="185"/>
      <c r="AA595" s="185"/>
      <c r="AB595" s="185"/>
      <c r="AC595" s="7"/>
      <c r="AD595" s="7"/>
      <c r="AE595" s="7"/>
      <c r="AF595" s="7"/>
      <c r="AG595" s="759"/>
      <c r="AH595" s="853"/>
      <c r="AI595" s="189"/>
      <c r="AJ595" s="810"/>
      <c r="AK595" s="758"/>
      <c r="AL595" s="758"/>
      <c r="AM595" s="758"/>
      <c r="AN595" s="758"/>
      <c r="AO595" s="758"/>
      <c r="AP595" s="758"/>
      <c r="AQ595" s="518"/>
      <c r="AR595" s="518"/>
      <c r="AS595" s="518"/>
      <c r="AT595" s="518"/>
      <c r="AU595" s="518"/>
      <c r="AV595" s="518"/>
      <c r="AW595" s="518"/>
      <c r="AX595" s="518">
        <f>SUM(AI595,AJ595,AK595,AL595,AM595,AN595,AO595,AP595,AQ595,AR595,AS595,AT595)</f>
        <v>0</v>
      </c>
      <c r="AY595" s="853"/>
      <c r="AZ595" s="189"/>
      <c r="BA595" s="810"/>
      <c r="BB595" s="758"/>
      <c r="BC595" s="758"/>
      <c r="BD595" s="758"/>
      <c r="BE595" s="758"/>
      <c r="BF595" s="758"/>
      <c r="BG595" s="518"/>
      <c r="BH595" s="758"/>
      <c r="BI595" s="758"/>
      <c r="BJ595" s="758"/>
      <c r="BK595" s="758"/>
      <c r="BL595" s="518"/>
      <c r="BN595" s="758"/>
      <c r="BO595" s="758"/>
      <c r="BP595" s="758"/>
      <c r="BQ595" s="758"/>
      <c r="BR595" s="758"/>
      <c r="BS595" s="758"/>
      <c r="BT595" s="758"/>
      <c r="BU595" s="758"/>
      <c r="BV595" s="758"/>
      <c r="BW595" s="758"/>
      <c r="BX595" s="758"/>
      <c r="BY595" s="758"/>
      <c r="BZ595" s="791"/>
      <c r="CB595" s="758"/>
      <c r="CC595" s="758"/>
      <c r="CD595" s="758"/>
      <c r="CE595" s="758"/>
      <c r="CF595" s="758"/>
      <c r="CG595" s="758"/>
      <c r="CH595" s="758"/>
      <c r="CI595" s="758"/>
      <c r="CJ595" s="758"/>
      <c r="CK595" s="758"/>
      <c r="CL595" s="758"/>
      <c r="CM595" s="758"/>
      <c r="CN595" s="791"/>
      <c r="CP595" s="653"/>
      <c r="CQ595" s="653"/>
      <c r="CR595" s="524"/>
      <c r="CS595" s="653"/>
      <c r="CT595" s="524"/>
      <c r="CU595" s="653">
        <v>1106000</v>
      </c>
      <c r="CV595" s="524"/>
      <c r="CW595" s="653"/>
      <c r="CX595" s="524"/>
      <c r="CY595" s="653"/>
      <c r="CZ595" s="524"/>
      <c r="DA595" s="653"/>
      <c r="DB595" s="524"/>
      <c r="DC595" s="653">
        <v>0</v>
      </c>
      <c r="DD595" s="524"/>
      <c r="DE595" s="758"/>
      <c r="DF595" s="524"/>
      <c r="DG595" s="757"/>
      <c r="DH595" s="758"/>
      <c r="DI595" s="524"/>
      <c r="DJ595" s="757"/>
      <c r="DK595" s="758"/>
      <c r="DL595" s="524"/>
      <c r="DM595" s="757"/>
      <c r="DN595" s="758"/>
      <c r="DO595" s="524"/>
      <c r="DP595" s="757"/>
      <c r="DQ595" s="493">
        <f t="shared" si="356"/>
        <v>1106000</v>
      </c>
      <c r="DR595" s="479">
        <f>SUM(CP595,CQ595,CS595,CU595,CX595,CZ595,DB595,DD595,DG595,DJ595,DM595,DP595)</f>
        <v>1106000</v>
      </c>
      <c r="DS595" s="1019"/>
      <c r="DT595" s="1019"/>
      <c r="DU595" s="1019"/>
      <c r="DV595" s="1019"/>
      <c r="DW595" s="1019"/>
      <c r="DX595" s="1019"/>
      <c r="DY595" s="1019"/>
      <c r="DZ595" s="1019"/>
      <c r="EA595" s="1019"/>
      <c r="EB595" s="1019"/>
      <c r="EC595" s="1019"/>
      <c r="ED595" s="1019"/>
      <c r="EE595" s="1119">
        <f t="shared" si="355"/>
        <v>0</v>
      </c>
      <c r="EF595" s="443"/>
      <c r="EG595" s="443"/>
      <c r="EH595" s="443"/>
      <c r="EI595" s="443"/>
      <c r="EL595" s="177"/>
      <c r="EM595" s="177"/>
      <c r="EN595" s="177"/>
    </row>
    <row r="596" spans="1:144" outlineLevel="2">
      <c r="B596" s="378"/>
      <c r="C596" s="370" t="s">
        <v>688</v>
      </c>
      <c r="D596" s="370" t="s">
        <v>108</v>
      </c>
      <c r="E596" s="403" t="s">
        <v>822</v>
      </c>
      <c r="F596" s="380" t="s">
        <v>823</v>
      </c>
      <c r="G596" s="189"/>
      <c r="H596" s="13"/>
      <c r="I596" s="185"/>
      <c r="J596" s="185"/>
      <c r="K596" s="185"/>
      <c r="L596" s="185"/>
      <c r="M596" s="185"/>
      <c r="N596" s="185"/>
      <c r="O596" s="7"/>
      <c r="P596" s="7"/>
      <c r="Q596" s="7"/>
      <c r="R596" s="7"/>
      <c r="S596" s="14"/>
      <c r="T596" s="179"/>
      <c r="U596" s="189"/>
      <c r="V596" s="13"/>
      <c r="W596" s="185"/>
      <c r="X596" s="185"/>
      <c r="Y596" s="185"/>
      <c r="Z596" s="185"/>
      <c r="AA596" s="185"/>
      <c r="AB596" s="185"/>
      <c r="AC596" s="7"/>
      <c r="AD596" s="7"/>
      <c r="AE596" s="7"/>
      <c r="AF596" s="7"/>
      <c r="AG596" s="759"/>
      <c r="AH596" s="853"/>
      <c r="AI596" s="189"/>
      <c r="AJ596" s="810"/>
      <c r="AK596" s="758"/>
      <c r="AL596" s="758"/>
      <c r="AM596" s="758"/>
      <c r="AN596" s="758"/>
      <c r="AO596" s="758"/>
      <c r="AP596" s="758"/>
      <c r="AQ596" s="518"/>
      <c r="AR596" s="518"/>
      <c r="AS596" s="518"/>
      <c r="AT596" s="518"/>
      <c r="AU596" s="518"/>
      <c r="AV596" s="518"/>
      <c r="AW596" s="518"/>
      <c r="AX596" s="518"/>
      <c r="AY596" s="853"/>
      <c r="AZ596" s="189"/>
      <c r="BA596" s="810"/>
      <c r="BB596" s="758"/>
      <c r="BC596" s="758"/>
      <c r="BD596" s="758"/>
      <c r="BE596" s="758"/>
      <c r="BF596" s="758"/>
      <c r="BG596" s="518"/>
      <c r="BH596" s="758"/>
      <c r="BI596" s="758"/>
      <c r="BJ596" s="758"/>
      <c r="BK596" s="758"/>
      <c r="BL596" s="518"/>
      <c r="BN596" s="758"/>
      <c r="BO596" s="758"/>
      <c r="BP596" s="758"/>
      <c r="BQ596" s="758"/>
      <c r="BR596" s="758"/>
      <c r="BS596" s="758"/>
      <c r="BT596" s="758"/>
      <c r="BU596" s="758"/>
      <c r="BV596" s="758"/>
      <c r="BW596" s="758"/>
      <c r="BX596" s="758"/>
      <c r="BY596" s="758"/>
      <c r="BZ596" s="791"/>
      <c r="CB596" s="758"/>
      <c r="CC596" s="758"/>
      <c r="CD596" s="758"/>
      <c r="CE596" s="758"/>
      <c r="CF596" s="758"/>
      <c r="CG596" s="758"/>
      <c r="CH596" s="758"/>
      <c r="CI596" s="758"/>
      <c r="CJ596" s="758"/>
      <c r="CK596" s="758"/>
      <c r="CL596" s="758"/>
      <c r="CM596" s="758"/>
      <c r="CN596" s="791"/>
      <c r="CP596" s="657"/>
      <c r="CQ596" s="657"/>
      <c r="CR596" s="528"/>
      <c r="CS596" s="657"/>
      <c r="CT596" s="528"/>
      <c r="CU596" s="657"/>
      <c r="CV596" s="528"/>
      <c r="CW596" s="657"/>
      <c r="CX596" s="528"/>
      <c r="CY596" s="657">
        <v>467410485</v>
      </c>
      <c r="CZ596" s="528"/>
      <c r="DA596" s="657">
        <v>567928120</v>
      </c>
      <c r="DB596" s="528"/>
      <c r="DC596" s="657">
        <v>0</v>
      </c>
      <c r="DD596" s="528"/>
      <c r="DE596" s="758"/>
      <c r="DF596" s="528"/>
      <c r="DG596" s="757"/>
      <c r="DH596" s="758"/>
      <c r="DI596" s="528"/>
      <c r="DJ596" s="757"/>
      <c r="DK596" s="758"/>
      <c r="DL596" s="528"/>
      <c r="DM596" s="757"/>
      <c r="DN596" s="758"/>
      <c r="DO596" s="528"/>
      <c r="DP596" s="757"/>
      <c r="DQ596" s="493">
        <f t="shared" si="356"/>
        <v>1035338605</v>
      </c>
      <c r="DR596" s="479"/>
      <c r="DS596" s="1020"/>
      <c r="DT596" s="1020"/>
      <c r="DU596" s="1020"/>
      <c r="DV596" s="1020"/>
      <c r="DW596" s="1020"/>
      <c r="DX596" s="1020"/>
      <c r="DY596" s="1020"/>
      <c r="DZ596" s="1020"/>
      <c r="EA596" s="1020"/>
      <c r="EB596" s="1020"/>
      <c r="EC596" s="1020"/>
      <c r="ED596" s="1020"/>
      <c r="EE596" s="1119">
        <f t="shared" si="355"/>
        <v>0</v>
      </c>
      <c r="EF596" s="443"/>
      <c r="EG596" s="443"/>
      <c r="EH596" s="443"/>
      <c r="EI596" s="443"/>
      <c r="EL596" s="177"/>
      <c r="EM596" s="177"/>
      <c r="EN596" s="177"/>
    </row>
    <row r="597" spans="1:144" outlineLevel="2">
      <c r="B597" s="378"/>
      <c r="C597" s="370" t="s">
        <v>688</v>
      </c>
      <c r="D597" s="370" t="s">
        <v>108</v>
      </c>
      <c r="E597" s="403" t="s">
        <v>824</v>
      </c>
      <c r="F597" s="380" t="s">
        <v>825</v>
      </c>
      <c r="G597" s="189"/>
      <c r="H597" s="13"/>
      <c r="I597" s="185"/>
      <c r="J597" s="185"/>
      <c r="K597" s="185"/>
      <c r="L597" s="185"/>
      <c r="M597" s="185"/>
      <c r="N597" s="185"/>
      <c r="O597" s="7"/>
      <c r="P597" s="7"/>
      <c r="Q597" s="7"/>
      <c r="R597" s="7"/>
      <c r="S597" s="14"/>
      <c r="T597" s="179"/>
      <c r="U597" s="189"/>
      <c r="V597" s="13"/>
      <c r="W597" s="185"/>
      <c r="X597" s="185"/>
      <c r="Y597" s="185"/>
      <c r="Z597" s="185"/>
      <c r="AA597" s="185"/>
      <c r="AB597" s="185"/>
      <c r="AC597" s="7"/>
      <c r="AD597" s="7"/>
      <c r="AE597" s="7"/>
      <c r="AF597" s="7"/>
      <c r="AG597" s="759"/>
      <c r="AH597" s="853"/>
      <c r="AI597" s="189"/>
      <c r="AJ597" s="810"/>
      <c r="AK597" s="758"/>
      <c r="AL597" s="758"/>
      <c r="AM597" s="758"/>
      <c r="AN597" s="758"/>
      <c r="AO597" s="758"/>
      <c r="AP597" s="758"/>
      <c r="AQ597" s="518"/>
      <c r="AR597" s="518"/>
      <c r="AS597" s="518"/>
      <c r="AT597" s="518"/>
      <c r="AU597" s="518"/>
      <c r="AV597" s="518"/>
      <c r="AW597" s="518"/>
      <c r="AX597" s="518"/>
      <c r="AY597" s="853"/>
      <c r="AZ597" s="189"/>
      <c r="BA597" s="810"/>
      <c r="BB597" s="758"/>
      <c r="BC597" s="758"/>
      <c r="BD597" s="758"/>
      <c r="BE597" s="758"/>
      <c r="BF597" s="758"/>
      <c r="BG597" s="518"/>
      <c r="BH597" s="758"/>
      <c r="BI597" s="758"/>
      <c r="BJ597" s="758"/>
      <c r="BK597" s="758"/>
      <c r="BL597" s="518"/>
      <c r="BN597" s="758"/>
      <c r="BO597" s="758"/>
      <c r="BP597" s="758"/>
      <c r="BQ597" s="758"/>
      <c r="BR597" s="758"/>
      <c r="BS597" s="758"/>
      <c r="BT597" s="758"/>
      <c r="BU597" s="758"/>
      <c r="BV597" s="758"/>
      <c r="BW597" s="758"/>
      <c r="BX597" s="758"/>
      <c r="BY597" s="758"/>
      <c r="BZ597" s="791"/>
      <c r="CB597" s="758"/>
      <c r="CC597" s="758"/>
      <c r="CD597" s="758"/>
      <c r="CE597" s="758"/>
      <c r="CF597" s="758"/>
      <c r="CG597" s="758"/>
      <c r="CH597" s="758"/>
      <c r="CI597" s="758"/>
      <c r="CJ597" s="758"/>
      <c r="CK597" s="758"/>
      <c r="CL597" s="758"/>
      <c r="CM597" s="758"/>
      <c r="CN597" s="791"/>
      <c r="CP597" s="657"/>
      <c r="CQ597" s="657"/>
      <c r="CR597" s="528"/>
      <c r="CS597" s="657"/>
      <c r="CT597" s="528"/>
      <c r="CU597" s="657"/>
      <c r="CV597" s="528"/>
      <c r="CW597" s="657"/>
      <c r="CX597" s="528"/>
      <c r="CY597" s="657"/>
      <c r="CZ597" s="528"/>
      <c r="DA597" s="657"/>
      <c r="DB597" s="528"/>
      <c r="DC597" s="657">
        <v>461960380</v>
      </c>
      <c r="DD597" s="528"/>
      <c r="DE597" s="758"/>
      <c r="DF597" s="528"/>
      <c r="DG597" s="757"/>
      <c r="DH597" s="758"/>
      <c r="DI597" s="528"/>
      <c r="DJ597" s="757"/>
      <c r="DK597" s="758"/>
      <c r="DL597" s="528"/>
      <c r="DM597" s="757"/>
      <c r="DN597" s="758"/>
      <c r="DO597" s="528"/>
      <c r="DP597" s="757"/>
      <c r="DQ597" s="493">
        <f t="shared" si="356"/>
        <v>461960380</v>
      </c>
      <c r="DR597" s="479"/>
      <c r="DS597" s="1020">
        <v>400000000</v>
      </c>
      <c r="DT597" s="1020">
        <v>400000000</v>
      </c>
      <c r="DU597" s="1020">
        <v>400000000</v>
      </c>
      <c r="DV597" s="1020">
        <v>400000000</v>
      </c>
      <c r="DW597" s="1020">
        <v>400000000</v>
      </c>
      <c r="DX597" s="1020">
        <v>400000000</v>
      </c>
      <c r="DY597" s="1020">
        <v>400000000</v>
      </c>
      <c r="DZ597" s="1020">
        <v>400000000</v>
      </c>
      <c r="EA597" s="1020">
        <v>400000000</v>
      </c>
      <c r="EB597" s="1020">
        <v>400000000</v>
      </c>
      <c r="EC597" s="1020">
        <v>400000000</v>
      </c>
      <c r="ED597" s="1020">
        <v>400000000</v>
      </c>
      <c r="EE597" s="1119">
        <f t="shared" si="355"/>
        <v>4800000000</v>
      </c>
      <c r="EF597" s="443"/>
      <c r="EG597" s="443"/>
      <c r="EH597" s="443"/>
      <c r="EI597" s="443"/>
      <c r="EL597" s="177"/>
      <c r="EM597" s="177"/>
      <c r="EN597" s="177"/>
    </row>
    <row r="598" spans="1:144" outlineLevel="2">
      <c r="A598" s="367" t="s">
        <v>687</v>
      </c>
      <c r="B598" s="378"/>
      <c r="C598" s="370" t="s">
        <v>688</v>
      </c>
      <c r="D598" s="370" t="s">
        <v>108</v>
      </c>
      <c r="E598" s="379" t="s">
        <v>826</v>
      </c>
      <c r="F598" s="380">
        <v>8000000520</v>
      </c>
      <c r="G598" s="189"/>
      <c r="H598" s="13"/>
      <c r="I598" s="185"/>
      <c r="J598" s="185"/>
      <c r="K598" s="185"/>
      <c r="L598" s="185"/>
      <c r="M598" s="185"/>
      <c r="N598" s="185"/>
      <c r="O598" s="7"/>
      <c r="P598" s="7"/>
      <c r="Q598" s="7"/>
      <c r="R598" s="7"/>
      <c r="S598" s="14"/>
      <c r="T598" s="179"/>
      <c r="U598" s="189"/>
      <c r="V598" s="13"/>
      <c r="W598" s="185"/>
      <c r="X598" s="185"/>
      <c r="Y598" s="185"/>
      <c r="Z598" s="185"/>
      <c r="AA598" s="185"/>
      <c r="AB598" s="185"/>
      <c r="AC598" s="7"/>
      <c r="AD598" s="7"/>
      <c r="AE598" s="7"/>
      <c r="AF598" s="7"/>
      <c r="AG598" s="759"/>
      <c r="AH598" s="853"/>
      <c r="AI598" s="189"/>
      <c r="AJ598" s="810"/>
      <c r="AK598" s="758"/>
      <c r="AL598" s="758"/>
      <c r="AM598" s="758"/>
      <c r="AN598" s="758"/>
      <c r="AO598" s="758"/>
      <c r="AP598" s="758"/>
      <c r="AQ598" s="518">
        <v>0</v>
      </c>
      <c r="AR598" s="518"/>
      <c r="AS598" s="518"/>
      <c r="AT598" s="518"/>
      <c r="AU598" s="518"/>
      <c r="AV598" s="518"/>
      <c r="AW598" s="518"/>
      <c r="AX598" s="518">
        <f>SUM(AI598,AJ598,AK598,AL598,AM598,AN598,AO598,AP598,AQ598,AR598,AS598,AT598)</f>
        <v>0</v>
      </c>
      <c r="AY598" s="853"/>
      <c r="AZ598" s="189"/>
      <c r="BA598" s="810"/>
      <c r="BB598" s="758"/>
      <c r="BC598" s="758"/>
      <c r="BD598" s="758"/>
      <c r="BE598" s="758"/>
      <c r="BF598" s="758"/>
      <c r="BG598" s="518"/>
      <c r="BH598" s="758"/>
      <c r="BI598" s="758"/>
      <c r="BJ598" s="758"/>
      <c r="BK598" s="758"/>
      <c r="BL598" s="518">
        <f>SUM(AZ598,BA598,BB598,BC598,BD598,BE598,BF598,BG598,BH598,BI598,BJ598,BK598)</f>
        <v>0</v>
      </c>
      <c r="BN598" s="758"/>
      <c r="BO598" s="758"/>
      <c r="BP598" s="758"/>
      <c r="BQ598" s="758"/>
      <c r="BR598" s="758"/>
      <c r="BS598" s="758"/>
      <c r="BT598" s="758"/>
      <c r="BU598" s="758"/>
      <c r="BV598" s="758"/>
      <c r="BW598" s="758"/>
      <c r="BX598" s="758"/>
      <c r="BY598" s="758"/>
      <c r="BZ598" s="791">
        <v>0</v>
      </c>
      <c r="CB598" s="758"/>
      <c r="CC598" s="758"/>
      <c r="CD598" s="758"/>
      <c r="CE598" s="758"/>
      <c r="CF598" s="758"/>
      <c r="CG598" s="758"/>
      <c r="CH598" s="758"/>
      <c r="CI598" s="758"/>
      <c r="CJ598" s="758"/>
      <c r="CK598" s="758"/>
      <c r="CL598" s="758"/>
      <c r="CM598" s="758"/>
      <c r="CN598" s="791">
        <v>0</v>
      </c>
      <c r="CO598" s="37"/>
      <c r="CP598" s="657"/>
      <c r="CQ598" s="657"/>
      <c r="CR598" s="528"/>
      <c r="CS598" s="657">
        <v>6700000</v>
      </c>
      <c r="CT598" s="528"/>
      <c r="CU598" s="657"/>
      <c r="CV598" s="528"/>
      <c r="CW598" s="657"/>
      <c r="CX598" s="528"/>
      <c r="CY598" s="657">
        <v>3350000</v>
      </c>
      <c r="CZ598" s="528"/>
      <c r="DA598" s="657"/>
      <c r="DB598" s="528"/>
      <c r="DC598" s="657">
        <v>0</v>
      </c>
      <c r="DD598" s="528"/>
      <c r="DE598" s="758"/>
      <c r="DF598" s="528"/>
      <c r="DG598" s="757"/>
      <c r="DH598" s="758"/>
      <c r="DI598" s="528"/>
      <c r="DJ598" s="757"/>
      <c r="DK598" s="758"/>
      <c r="DL598" s="528"/>
      <c r="DM598" s="757"/>
      <c r="DN598" s="758"/>
      <c r="DO598" s="528"/>
      <c r="DP598" s="757"/>
      <c r="DQ598" s="493">
        <f t="shared" si="356"/>
        <v>10050000</v>
      </c>
      <c r="DR598" s="479">
        <f>SUM(CP598,CQ598,CS598,CU598,CX598,CZ598,DB598,DD598,DG598,DJ598,DM598,DP598)</f>
        <v>6700000</v>
      </c>
      <c r="DS598" s="1020"/>
      <c r="DT598" s="1020"/>
      <c r="DU598" s="1020"/>
      <c r="DV598" s="1020"/>
      <c r="DW598" s="1020"/>
      <c r="DX598" s="1020"/>
      <c r="DY598" s="1020"/>
      <c r="DZ598" s="1020"/>
      <c r="EA598" s="1020"/>
      <c r="EB598" s="1020"/>
      <c r="EC598" s="1020"/>
      <c r="ED598" s="1020"/>
      <c r="EE598" s="1119">
        <f t="shared" si="355"/>
        <v>0</v>
      </c>
      <c r="EF598" s="443">
        <v>103000000</v>
      </c>
      <c r="EG598" s="443">
        <v>130000000</v>
      </c>
      <c r="EH598" s="443">
        <v>190000000</v>
      </c>
      <c r="EI598" s="443">
        <v>190000000</v>
      </c>
      <c r="EJ598" s="367" t="e">
        <v>#N/A</v>
      </c>
      <c r="EL598" s="177"/>
      <c r="EM598" s="177"/>
      <c r="EN598" s="177"/>
    </row>
    <row r="599" spans="1:144" outlineLevel="2">
      <c r="B599" s="378"/>
      <c r="C599" s="370" t="s">
        <v>688</v>
      </c>
      <c r="D599" s="370" t="s">
        <v>108</v>
      </c>
      <c r="E599" s="388" t="s">
        <v>439</v>
      </c>
      <c r="F599" s="380" t="s">
        <v>827</v>
      </c>
      <c r="G599" s="189"/>
      <c r="H599" s="267"/>
      <c r="I599" s="196"/>
      <c r="J599" s="196"/>
      <c r="K599" s="196"/>
      <c r="L599" s="196"/>
      <c r="M599" s="196"/>
      <c r="N599" s="196"/>
      <c r="O599" s="266"/>
      <c r="P599" s="266"/>
      <c r="Q599" s="266"/>
      <c r="R599" s="266"/>
      <c r="S599" s="14"/>
      <c r="T599" s="179"/>
      <c r="U599" s="189"/>
      <c r="V599" s="267"/>
      <c r="W599" s="196"/>
      <c r="X599" s="196"/>
      <c r="Y599" s="196"/>
      <c r="Z599" s="196"/>
      <c r="AA599" s="196"/>
      <c r="AB599" s="196"/>
      <c r="AC599" s="266"/>
      <c r="AD599" s="266"/>
      <c r="AE599" s="266"/>
      <c r="AF599" s="266"/>
      <c r="AG599" s="759"/>
      <c r="AH599" s="861"/>
      <c r="AI599" s="189"/>
      <c r="AJ599" s="824"/>
      <c r="AK599" s="758"/>
      <c r="AL599" s="758"/>
      <c r="AM599" s="758"/>
      <c r="AN599" s="758"/>
      <c r="AO599" s="758"/>
      <c r="AP599" s="758"/>
      <c r="AQ599" s="518"/>
      <c r="AR599" s="518"/>
      <c r="AS599" s="518"/>
      <c r="AT599" s="518"/>
      <c r="AU599" s="518"/>
      <c r="AV599" s="518"/>
      <c r="AW599" s="518"/>
      <c r="AX599" s="518"/>
      <c r="AY599" s="861"/>
      <c r="AZ599" s="189"/>
      <c r="BA599" s="824"/>
      <c r="BB599" s="758"/>
      <c r="BC599" s="758"/>
      <c r="BD599" s="758"/>
      <c r="BE599" s="758"/>
      <c r="BF599" s="758"/>
      <c r="BG599" s="518"/>
      <c r="BH599" s="758"/>
      <c r="BI599" s="758"/>
      <c r="BJ599" s="758"/>
      <c r="BK599" s="758"/>
      <c r="BL599" s="518"/>
      <c r="BN599" s="758"/>
      <c r="BO599" s="758"/>
      <c r="BP599" s="758"/>
      <c r="BQ599" s="758"/>
      <c r="BR599" s="758"/>
      <c r="BS599" s="758"/>
      <c r="BT599" s="758"/>
      <c r="BU599" s="758"/>
      <c r="BV599" s="758"/>
      <c r="BW599" s="758"/>
      <c r="BX599" s="758"/>
      <c r="BY599" s="758"/>
      <c r="BZ599" s="791"/>
      <c r="CB599" s="758"/>
      <c r="CC599" s="758"/>
      <c r="CD599" s="758"/>
      <c r="CE599" s="758"/>
      <c r="CF599" s="758"/>
      <c r="CG599" s="758"/>
      <c r="CH599" s="758"/>
      <c r="CI599" s="758"/>
      <c r="CJ599" s="758"/>
      <c r="CK599" s="758"/>
      <c r="CL599" s="758"/>
      <c r="CM599" s="758"/>
      <c r="CN599" s="791"/>
      <c r="CP599" s="657"/>
      <c r="CQ599" s="657"/>
      <c r="CR599" s="528"/>
      <c r="CS599" s="657"/>
      <c r="CT599" s="528"/>
      <c r="CU599" s="657"/>
      <c r="CV599" s="528"/>
      <c r="CW599" s="657"/>
      <c r="CX599" s="528"/>
      <c r="CY599" s="657"/>
      <c r="CZ599" s="528"/>
      <c r="DA599" s="657">
        <v>19391200</v>
      </c>
      <c r="DB599" s="528"/>
      <c r="DC599" s="657">
        <v>0</v>
      </c>
      <c r="DD599" s="528"/>
      <c r="DE599" s="758"/>
      <c r="DF599" s="528"/>
      <c r="DG599" s="757"/>
      <c r="DH599" s="758"/>
      <c r="DI599" s="528"/>
      <c r="DJ599" s="757"/>
      <c r="DK599" s="758"/>
      <c r="DL599" s="528"/>
      <c r="DM599" s="757"/>
      <c r="DN599" s="758"/>
      <c r="DO599" s="528"/>
      <c r="DP599" s="757"/>
      <c r="DQ599" s="493">
        <f t="shared" si="356"/>
        <v>19391200</v>
      </c>
      <c r="DR599" s="479"/>
      <c r="DS599" s="1020"/>
      <c r="DT599" s="1020"/>
      <c r="DU599" s="1020"/>
      <c r="DV599" s="1020"/>
      <c r="DW599" s="1020"/>
      <c r="DX599" s="1020"/>
      <c r="DY599" s="1020"/>
      <c r="DZ599" s="1020"/>
      <c r="EA599" s="1020"/>
      <c r="EB599" s="1020"/>
      <c r="EC599" s="1020"/>
      <c r="ED599" s="1020"/>
      <c r="EE599" s="1119">
        <f t="shared" si="355"/>
        <v>0</v>
      </c>
      <c r="EF599" s="443"/>
      <c r="EG599" s="443"/>
      <c r="EH599" s="443"/>
      <c r="EI599" s="443"/>
      <c r="EL599" s="177"/>
      <c r="EM599" s="177"/>
      <c r="EN599" s="177"/>
    </row>
    <row r="600" spans="1:144" outlineLevel="2">
      <c r="B600" s="378"/>
      <c r="C600" s="370" t="s">
        <v>688</v>
      </c>
      <c r="D600" s="370" t="s">
        <v>108</v>
      </c>
      <c r="E600" s="388" t="s">
        <v>828</v>
      </c>
      <c r="F600" s="380" t="s">
        <v>829</v>
      </c>
      <c r="G600" s="189"/>
      <c r="H600" s="267"/>
      <c r="I600" s="196"/>
      <c r="J600" s="196"/>
      <c r="K600" s="196"/>
      <c r="L600" s="196"/>
      <c r="M600" s="196"/>
      <c r="N600" s="196"/>
      <c r="O600" s="266"/>
      <c r="P600" s="266"/>
      <c r="Q600" s="266"/>
      <c r="R600" s="266"/>
      <c r="S600" s="14"/>
      <c r="T600" s="179"/>
      <c r="U600" s="189"/>
      <c r="V600" s="267"/>
      <c r="W600" s="196"/>
      <c r="X600" s="196"/>
      <c r="Y600" s="196"/>
      <c r="Z600" s="196"/>
      <c r="AA600" s="196"/>
      <c r="AB600" s="196"/>
      <c r="AC600" s="266"/>
      <c r="AD600" s="266"/>
      <c r="AE600" s="266"/>
      <c r="AF600" s="266"/>
      <c r="AG600" s="759"/>
      <c r="AH600" s="861"/>
      <c r="AI600" s="189"/>
      <c r="AJ600" s="824"/>
      <c r="AK600" s="758"/>
      <c r="AL600" s="758"/>
      <c r="AM600" s="758"/>
      <c r="AN600" s="758"/>
      <c r="AO600" s="758"/>
      <c r="AP600" s="758"/>
      <c r="AQ600" s="518"/>
      <c r="AR600" s="518"/>
      <c r="AS600" s="518"/>
      <c r="AT600" s="518"/>
      <c r="AU600" s="518"/>
      <c r="AV600" s="518"/>
      <c r="AW600" s="518"/>
      <c r="AX600" s="518"/>
      <c r="AY600" s="861"/>
      <c r="AZ600" s="189"/>
      <c r="BA600" s="824"/>
      <c r="BB600" s="758"/>
      <c r="BC600" s="758"/>
      <c r="BD600" s="758"/>
      <c r="BE600" s="758"/>
      <c r="BF600" s="758"/>
      <c r="BG600" s="518"/>
      <c r="BH600" s="758"/>
      <c r="BI600" s="758"/>
      <c r="BJ600" s="758"/>
      <c r="BK600" s="758"/>
      <c r="BL600" s="518"/>
      <c r="BN600" s="758"/>
      <c r="BO600" s="758"/>
      <c r="BP600" s="758"/>
      <c r="BQ600" s="758"/>
      <c r="BR600" s="758"/>
      <c r="BS600" s="758"/>
      <c r="BT600" s="758"/>
      <c r="BU600" s="758"/>
      <c r="BV600" s="758"/>
      <c r="BW600" s="758"/>
      <c r="BX600" s="758"/>
      <c r="BY600" s="758"/>
      <c r="BZ600" s="791"/>
      <c r="CB600" s="758"/>
      <c r="CC600" s="758"/>
      <c r="CD600" s="758"/>
      <c r="CE600" s="758"/>
      <c r="CF600" s="758"/>
      <c r="CG600" s="758"/>
      <c r="CH600" s="758"/>
      <c r="CI600" s="758"/>
      <c r="CJ600" s="758"/>
      <c r="CK600" s="758"/>
      <c r="CL600" s="758"/>
      <c r="CM600" s="758"/>
      <c r="CN600" s="791"/>
      <c r="CP600" s="657"/>
      <c r="CQ600" s="657"/>
      <c r="CR600" s="528"/>
      <c r="CS600" s="657"/>
      <c r="CT600" s="528"/>
      <c r="CU600" s="657"/>
      <c r="CV600" s="528"/>
      <c r="CW600" s="657"/>
      <c r="CX600" s="528"/>
      <c r="CY600" s="657"/>
      <c r="CZ600" s="528"/>
      <c r="DA600" s="657"/>
      <c r="DB600" s="528"/>
      <c r="DC600" s="657">
        <v>3815010</v>
      </c>
      <c r="DD600" s="528"/>
      <c r="DE600" s="758"/>
      <c r="DF600" s="528"/>
      <c r="DG600" s="757"/>
      <c r="DH600" s="758"/>
      <c r="DI600" s="528"/>
      <c r="DJ600" s="757"/>
      <c r="DK600" s="758"/>
      <c r="DL600" s="528"/>
      <c r="DM600" s="757"/>
      <c r="DN600" s="758"/>
      <c r="DO600" s="528"/>
      <c r="DP600" s="757"/>
      <c r="DQ600" s="493">
        <f t="shared" si="356"/>
        <v>3815010</v>
      </c>
      <c r="DR600" s="479"/>
      <c r="DS600" s="1020"/>
      <c r="DT600" s="1020"/>
      <c r="DU600" s="1020"/>
      <c r="DV600" s="1020"/>
      <c r="DW600" s="1020"/>
      <c r="DX600" s="1020"/>
      <c r="DY600" s="1020"/>
      <c r="DZ600" s="1020"/>
      <c r="EA600" s="1020"/>
      <c r="EB600" s="1020"/>
      <c r="EC600" s="1020"/>
      <c r="ED600" s="1020"/>
      <c r="EE600" s="1119">
        <f t="shared" si="355"/>
        <v>0</v>
      </c>
      <c r="EF600" s="443"/>
      <c r="EG600" s="443"/>
      <c r="EH600" s="443"/>
      <c r="EI600" s="443"/>
      <c r="EL600" s="177"/>
      <c r="EM600" s="177"/>
      <c r="EN600" s="177"/>
    </row>
    <row r="601" spans="1:144" outlineLevel="2">
      <c r="B601" s="378"/>
      <c r="E601" s="388"/>
      <c r="F601" s="380"/>
      <c r="G601" s="189"/>
      <c r="H601" s="267"/>
      <c r="I601" s="196"/>
      <c r="J601" s="196"/>
      <c r="K601" s="196"/>
      <c r="L601" s="196"/>
      <c r="M601" s="196"/>
      <c r="N601" s="196"/>
      <c r="O601" s="266"/>
      <c r="P601" s="266"/>
      <c r="Q601" s="266"/>
      <c r="R601" s="266"/>
      <c r="S601" s="14"/>
      <c r="T601" s="179"/>
      <c r="U601" s="189"/>
      <c r="V601" s="267"/>
      <c r="W601" s="196"/>
      <c r="X601" s="196"/>
      <c r="Y601" s="196"/>
      <c r="Z601" s="196"/>
      <c r="AA601" s="196"/>
      <c r="AB601" s="196"/>
      <c r="AC601" s="266"/>
      <c r="AD601" s="266"/>
      <c r="AE601" s="266"/>
      <c r="AF601" s="266"/>
      <c r="AG601" s="759"/>
      <c r="AH601" s="861"/>
      <c r="AI601" s="189"/>
      <c r="AJ601" s="824"/>
      <c r="AK601" s="758"/>
      <c r="AL601" s="758"/>
      <c r="AM601" s="758"/>
      <c r="AN601" s="758"/>
      <c r="AO601" s="758"/>
      <c r="AP601" s="758"/>
      <c r="AQ601" s="518"/>
      <c r="AR601" s="518"/>
      <c r="AS601" s="518"/>
      <c r="AT601" s="518"/>
      <c r="AU601" s="518"/>
      <c r="AV601" s="518"/>
      <c r="AW601" s="518"/>
      <c r="AX601" s="518"/>
      <c r="AY601" s="861"/>
      <c r="AZ601" s="189"/>
      <c r="BA601" s="824"/>
      <c r="BB601" s="758"/>
      <c r="BC601" s="758"/>
      <c r="BD601" s="758"/>
      <c r="BE601" s="758"/>
      <c r="BF601" s="758"/>
      <c r="BG601" s="518"/>
      <c r="BH601" s="758"/>
      <c r="BI601" s="758"/>
      <c r="BJ601" s="758"/>
      <c r="BK601" s="758"/>
      <c r="BL601" s="518"/>
      <c r="BN601" s="758"/>
      <c r="BO601" s="758"/>
      <c r="BP601" s="758"/>
      <c r="BQ601" s="758"/>
      <c r="BR601" s="758"/>
      <c r="BS601" s="758"/>
      <c r="BT601" s="758"/>
      <c r="BU601" s="758"/>
      <c r="BV601" s="758"/>
      <c r="BW601" s="758"/>
      <c r="BX601" s="758"/>
      <c r="BY601" s="758"/>
      <c r="BZ601" s="791"/>
      <c r="CB601" s="758"/>
      <c r="CC601" s="758"/>
      <c r="CD601" s="758"/>
      <c r="CE601" s="758"/>
      <c r="CF601" s="758"/>
      <c r="CG601" s="758"/>
      <c r="CH601" s="758"/>
      <c r="CI601" s="758"/>
      <c r="CJ601" s="758"/>
      <c r="CK601" s="758"/>
      <c r="CL601" s="758"/>
      <c r="CM601" s="758"/>
      <c r="CN601" s="791"/>
      <c r="CP601" s="657"/>
      <c r="CQ601" s="657"/>
      <c r="CR601" s="528"/>
      <c r="CS601" s="657"/>
      <c r="CT601" s="528"/>
      <c r="CU601" s="657"/>
      <c r="CV601" s="528"/>
      <c r="CW601" s="657"/>
      <c r="CX601" s="528"/>
      <c r="CY601" s="657"/>
      <c r="CZ601" s="528"/>
      <c r="DA601" s="657"/>
      <c r="DB601" s="528"/>
      <c r="DC601" s="657"/>
      <c r="DD601" s="528"/>
      <c r="DE601" s="758"/>
      <c r="DF601" s="528"/>
      <c r="DG601" s="757"/>
      <c r="DH601" s="758"/>
      <c r="DI601" s="528"/>
      <c r="DJ601" s="757"/>
      <c r="DK601" s="758"/>
      <c r="DL601" s="528"/>
      <c r="DM601" s="757"/>
      <c r="DN601" s="758"/>
      <c r="DO601" s="528"/>
      <c r="DP601" s="757"/>
      <c r="DQ601" s="493"/>
      <c r="DR601" s="479"/>
      <c r="DS601" s="1020"/>
      <c r="DT601" s="1020"/>
      <c r="DU601" s="1020"/>
      <c r="DV601" s="1020"/>
      <c r="DW601" s="1020"/>
      <c r="DX601" s="1020"/>
      <c r="DY601" s="1020"/>
      <c r="DZ601" s="1020"/>
      <c r="EA601" s="1020"/>
      <c r="EB601" s="1020"/>
      <c r="EC601" s="1020"/>
      <c r="ED601" s="1020"/>
      <c r="EE601" s="1119">
        <f t="shared" si="355"/>
        <v>0</v>
      </c>
      <c r="EF601" s="443"/>
      <c r="EG601" s="443"/>
      <c r="EH601" s="443"/>
      <c r="EI601" s="443"/>
      <c r="EL601" s="177"/>
      <c r="EM601" s="177"/>
      <c r="EN601" s="177"/>
    </row>
    <row r="602" spans="1:144" s="241" customFormat="1" ht="18.5" outlineLevel="2">
      <c r="A602" s="413"/>
      <c r="B602" s="414"/>
      <c r="C602" s="415"/>
      <c r="D602" s="415"/>
      <c r="E602" s="416" t="s">
        <v>531</v>
      </c>
      <c r="F602" s="417"/>
      <c r="G602" s="242"/>
      <c r="H602" s="242"/>
      <c r="I602" s="242"/>
      <c r="J602" s="242"/>
      <c r="K602" s="242"/>
      <c r="L602" s="242"/>
      <c r="M602" s="242"/>
      <c r="N602" s="242"/>
      <c r="O602" s="242"/>
      <c r="P602" s="242"/>
      <c r="Q602" s="242"/>
      <c r="R602" s="242"/>
      <c r="S602" s="243"/>
      <c r="T602" s="244"/>
      <c r="U602" s="242"/>
      <c r="V602" s="242"/>
      <c r="W602" s="242"/>
      <c r="X602" s="242"/>
      <c r="Y602" s="242"/>
      <c r="Z602" s="242"/>
      <c r="AA602" s="242"/>
      <c r="AB602" s="242"/>
      <c r="AC602" s="242"/>
      <c r="AD602" s="242"/>
      <c r="AE602" s="242"/>
      <c r="AF602" s="242"/>
      <c r="AG602" s="844"/>
      <c r="AH602" s="788"/>
      <c r="AI602" s="845"/>
      <c r="AJ602" s="846"/>
      <c r="AK602" s="844"/>
      <c r="AL602" s="844"/>
      <c r="AM602" s="844"/>
      <c r="AN602" s="844"/>
      <c r="AO602" s="844"/>
      <c r="AP602" s="844"/>
      <c r="AQ602" s="844"/>
      <c r="AR602" s="844"/>
      <c r="AS602" s="844"/>
      <c r="AT602" s="844"/>
      <c r="AU602" s="844"/>
      <c r="AV602" s="844"/>
      <c r="AW602" s="844"/>
      <c r="AX602" s="844"/>
      <c r="AY602" s="788"/>
      <c r="AZ602" s="845"/>
      <c r="BA602" s="846"/>
      <c r="BB602" s="844"/>
      <c r="BC602" s="844"/>
      <c r="BD602" s="844"/>
      <c r="BE602" s="844"/>
      <c r="BF602" s="844"/>
      <c r="BG602" s="844"/>
      <c r="BH602" s="844"/>
      <c r="BI602" s="844"/>
      <c r="BJ602" s="844"/>
      <c r="BK602" s="844"/>
      <c r="BL602" s="844"/>
      <c r="BM602" s="3"/>
      <c r="BN602" s="468">
        <f t="shared" ref="BN602:BZ602" si="357">SUM(BN603:BN623)</f>
        <v>592000000</v>
      </c>
      <c r="BO602" s="468">
        <f t="shared" si="357"/>
        <v>592000000</v>
      </c>
      <c r="BP602" s="468">
        <f t="shared" si="357"/>
        <v>592000000</v>
      </c>
      <c r="BQ602" s="468">
        <f t="shared" si="357"/>
        <v>592000000</v>
      </c>
      <c r="BR602" s="468">
        <f t="shared" si="357"/>
        <v>742000000</v>
      </c>
      <c r="BS602" s="468">
        <f t="shared" si="357"/>
        <v>742000000</v>
      </c>
      <c r="BT602" s="468">
        <f t="shared" si="357"/>
        <v>742000000</v>
      </c>
      <c r="BU602" s="468">
        <f t="shared" si="357"/>
        <v>742000000</v>
      </c>
      <c r="BV602" s="468">
        <f t="shared" si="357"/>
        <v>742000000</v>
      </c>
      <c r="BW602" s="468">
        <f t="shared" si="357"/>
        <v>742000000</v>
      </c>
      <c r="BX602" s="468">
        <f t="shared" si="357"/>
        <v>742000000</v>
      </c>
      <c r="BY602" s="468">
        <f t="shared" si="357"/>
        <v>742000000</v>
      </c>
      <c r="BZ602" s="468">
        <f t="shared" si="357"/>
        <v>8304000000</v>
      </c>
      <c r="CA602" s="3"/>
      <c r="CB602" s="866"/>
      <c r="CC602" s="867"/>
      <c r="CD602" s="844"/>
      <c r="CE602" s="844"/>
      <c r="CF602" s="844"/>
      <c r="CG602" s="844"/>
      <c r="CH602" s="844"/>
      <c r="CI602" s="844"/>
      <c r="CJ602" s="844"/>
      <c r="CK602" s="844"/>
      <c r="CL602" s="844"/>
      <c r="CM602" s="844"/>
      <c r="CN602" s="868"/>
      <c r="CO602" s="3"/>
      <c r="CP602" s="468">
        <f t="shared" ref="CP602:EI602" si="358">SUM(CP603:CP623)</f>
        <v>0</v>
      </c>
      <c r="CQ602" s="468">
        <f t="shared" si="358"/>
        <v>0</v>
      </c>
      <c r="CR602" s="468">
        <f t="shared" si="358"/>
        <v>0</v>
      </c>
      <c r="CS602" s="468">
        <f t="shared" si="358"/>
        <v>0</v>
      </c>
      <c r="CT602" s="468">
        <f t="shared" si="358"/>
        <v>0</v>
      </c>
      <c r="CU602" s="468">
        <f t="shared" si="358"/>
        <v>0</v>
      </c>
      <c r="CV602" s="468">
        <f t="shared" si="358"/>
        <v>5000000</v>
      </c>
      <c r="CW602" s="468">
        <f t="shared" si="358"/>
        <v>1250000</v>
      </c>
      <c r="CX602" s="468">
        <f t="shared" si="358"/>
        <v>460000000</v>
      </c>
      <c r="CY602" s="468">
        <f t="shared" si="358"/>
        <v>4682500</v>
      </c>
      <c r="CZ602" s="468">
        <f t="shared" si="358"/>
        <v>780000000</v>
      </c>
      <c r="DA602" s="468">
        <f t="shared" si="358"/>
        <v>19000000</v>
      </c>
      <c r="DB602" s="468">
        <f t="shared" si="358"/>
        <v>855000000</v>
      </c>
      <c r="DC602" s="468">
        <f t="shared" si="358"/>
        <v>24400000</v>
      </c>
      <c r="DD602" s="468">
        <f t="shared" si="358"/>
        <v>1755000000</v>
      </c>
      <c r="DE602" s="468">
        <f t="shared" si="358"/>
        <v>0</v>
      </c>
      <c r="DF602" s="468">
        <f>SUM(DF603:DF623)</f>
        <v>2255000000</v>
      </c>
      <c r="DG602" s="468">
        <f t="shared" si="358"/>
        <v>1655000000</v>
      </c>
      <c r="DH602" s="468">
        <f t="shared" si="358"/>
        <v>0</v>
      </c>
      <c r="DI602" s="468">
        <f>SUM(DI603:DI623)</f>
        <v>1305000000</v>
      </c>
      <c r="DJ602" s="468">
        <f t="shared" si="358"/>
        <v>1805000000</v>
      </c>
      <c r="DK602" s="468">
        <f t="shared" si="358"/>
        <v>0</v>
      </c>
      <c r="DL602" s="468">
        <f>SUM(DL603:DL623)</f>
        <v>1305000000</v>
      </c>
      <c r="DM602" s="468">
        <f>SUM(DM603:DM623)</f>
        <v>1805000000</v>
      </c>
      <c r="DN602" s="468">
        <f t="shared" si="358"/>
        <v>0</v>
      </c>
      <c r="DO602" s="468">
        <f>SUM(DO603:DO623)</f>
        <v>1705000000</v>
      </c>
      <c r="DP602" s="468">
        <f t="shared" si="358"/>
        <v>1905000000</v>
      </c>
      <c r="DQ602" s="468">
        <f>SUM(DQ603:DQ623)</f>
        <v>6619332500</v>
      </c>
      <c r="DR602" s="468">
        <f>SUM(DR603:DR623)</f>
        <v>11020000000</v>
      </c>
      <c r="DS602" s="445">
        <f>SUM(DS603:DS623)</f>
        <v>280000000</v>
      </c>
      <c r="DT602" s="445">
        <f t="shared" si="358"/>
        <v>280000000</v>
      </c>
      <c r="DU602" s="445">
        <f t="shared" si="358"/>
        <v>480000000</v>
      </c>
      <c r="DV602" s="445">
        <f t="shared" si="358"/>
        <v>280000000</v>
      </c>
      <c r="DW602" s="445">
        <f t="shared" si="358"/>
        <v>280000000</v>
      </c>
      <c r="DX602" s="445">
        <f t="shared" si="358"/>
        <v>780000000</v>
      </c>
      <c r="DY602" s="445">
        <f t="shared" si="358"/>
        <v>980000000</v>
      </c>
      <c r="DZ602" s="445">
        <f t="shared" si="358"/>
        <v>1280000000</v>
      </c>
      <c r="EA602" s="445">
        <f t="shared" si="358"/>
        <v>1080000000</v>
      </c>
      <c r="EB602" s="445">
        <f t="shared" si="358"/>
        <v>880000000</v>
      </c>
      <c r="EC602" s="445">
        <f t="shared" si="358"/>
        <v>1480000000</v>
      </c>
      <c r="ED602" s="445">
        <f t="shared" si="358"/>
        <v>880000000</v>
      </c>
      <c r="EE602" s="1120">
        <f t="shared" si="358"/>
        <v>8960000000</v>
      </c>
      <c r="EF602" s="445">
        <f t="shared" si="358"/>
        <v>14603000000</v>
      </c>
      <c r="EG602" s="445">
        <f t="shared" si="358"/>
        <v>24044200000</v>
      </c>
      <c r="EH602" s="445">
        <f t="shared" si="358"/>
        <v>30582000000</v>
      </c>
      <c r="EI602" s="445">
        <f t="shared" si="358"/>
        <v>32022000000</v>
      </c>
      <c r="EJ602" s="413"/>
      <c r="EK602" s="413"/>
    </row>
    <row r="603" spans="1:144" outlineLevel="2">
      <c r="A603" s="389"/>
      <c r="B603" s="378"/>
      <c r="C603" s="370" t="s">
        <v>688</v>
      </c>
      <c r="D603" s="297" t="s">
        <v>121</v>
      </c>
      <c r="E603" s="403" t="s">
        <v>830</v>
      </c>
      <c r="F603" s="380"/>
      <c r="G603" s="189"/>
      <c r="H603" s="13"/>
      <c r="I603" s="185"/>
      <c r="J603" s="185"/>
      <c r="K603" s="185"/>
      <c r="L603" s="185"/>
      <c r="M603" s="185"/>
      <c r="N603" s="185"/>
      <c r="O603" s="7"/>
      <c r="P603" s="7"/>
      <c r="Q603" s="7"/>
      <c r="R603" s="7"/>
      <c r="S603" s="14"/>
      <c r="T603" s="179"/>
      <c r="U603" s="189"/>
      <c r="V603" s="13"/>
      <c r="W603" s="185"/>
      <c r="X603" s="185"/>
      <c r="Y603" s="185"/>
      <c r="Z603" s="185"/>
      <c r="AA603" s="185"/>
      <c r="AB603" s="185"/>
      <c r="AC603" s="7"/>
      <c r="AD603" s="7"/>
      <c r="AE603" s="7"/>
      <c r="AF603" s="7"/>
      <c r="AG603" s="759"/>
      <c r="AH603" s="853"/>
      <c r="AI603" s="189"/>
      <c r="AJ603" s="810"/>
      <c r="AK603" s="758"/>
      <c r="AL603" s="758"/>
      <c r="AM603" s="758"/>
      <c r="AN603" s="758"/>
      <c r="AO603" s="758"/>
      <c r="AP603" s="758"/>
      <c r="AQ603" s="518"/>
      <c r="AR603" s="518"/>
      <c r="AS603" s="518"/>
      <c r="AT603" s="518"/>
      <c r="AU603" s="518"/>
      <c r="AV603" s="518"/>
      <c r="AW603" s="518"/>
      <c r="AX603" s="518"/>
      <c r="AY603" s="853"/>
      <c r="AZ603" s="189"/>
      <c r="BA603" s="810"/>
      <c r="BB603" s="758"/>
      <c r="BC603" s="758"/>
      <c r="BD603" s="758"/>
      <c r="BE603" s="758"/>
      <c r="BF603" s="758"/>
      <c r="BG603" s="518"/>
      <c r="BH603" s="758"/>
      <c r="BI603" s="758"/>
      <c r="BJ603" s="758"/>
      <c r="BK603" s="758"/>
      <c r="BL603" s="759"/>
      <c r="BN603" s="758"/>
      <c r="BO603" s="758"/>
      <c r="BP603" s="758"/>
      <c r="BQ603" s="758"/>
      <c r="BR603" s="758"/>
      <c r="BS603" s="758"/>
      <c r="BT603" s="758"/>
      <c r="BU603" s="758"/>
      <c r="BV603" s="758"/>
      <c r="BW603" s="758"/>
      <c r="BX603" s="758"/>
      <c r="BY603" s="758"/>
      <c r="BZ603" s="791"/>
      <c r="CB603" s="758"/>
      <c r="CC603" s="758"/>
      <c r="CD603" s="758"/>
      <c r="CE603" s="758"/>
      <c r="CF603" s="758"/>
      <c r="CG603" s="758"/>
      <c r="CH603" s="758"/>
      <c r="CI603" s="758"/>
      <c r="CJ603" s="758"/>
      <c r="CK603" s="758"/>
      <c r="CL603" s="758"/>
      <c r="CM603" s="758"/>
      <c r="CN603" s="791"/>
      <c r="CO603" s="37"/>
      <c r="CP603" s="657"/>
      <c r="CQ603" s="657"/>
      <c r="CR603" s="528"/>
      <c r="CS603" s="657"/>
      <c r="CT603" s="528"/>
      <c r="CU603" s="657"/>
      <c r="CV603" s="528"/>
      <c r="CW603" s="657"/>
      <c r="CX603" s="528">
        <v>5000000</v>
      </c>
      <c r="CY603" s="657"/>
      <c r="CZ603" s="528">
        <v>5000000</v>
      </c>
      <c r="DA603" s="657"/>
      <c r="DB603" s="528">
        <v>5000000</v>
      </c>
      <c r="DC603" s="657">
        <v>0</v>
      </c>
      <c r="DD603" s="528">
        <v>5000000</v>
      </c>
      <c r="DE603" s="758"/>
      <c r="DF603" s="528">
        <v>5000000</v>
      </c>
      <c r="DG603" s="757">
        <v>5000000</v>
      </c>
      <c r="DH603" s="758"/>
      <c r="DI603" s="528">
        <v>5000000</v>
      </c>
      <c r="DJ603" s="757">
        <v>5000000</v>
      </c>
      <c r="DK603" s="758"/>
      <c r="DL603" s="528">
        <v>5000000</v>
      </c>
      <c r="DM603" s="757">
        <v>5000000</v>
      </c>
      <c r="DN603" s="758"/>
      <c r="DO603" s="528">
        <v>5000000</v>
      </c>
      <c r="DP603" s="757">
        <v>5000000</v>
      </c>
      <c r="DQ603" s="493">
        <f t="shared" ref="DQ603:DQ619" si="359">SUM(CP603,CQ603,CS603,CU603,CW603,CY603,DA603,DC603,DF603,DI603,DL603,DO603)</f>
        <v>20000000</v>
      </c>
      <c r="DR603" s="479">
        <f t="shared" ref="DR603:DR619" si="360">SUM(CP603,CQ603,CS603,CU603,CX603,CZ603,DB603,DD603,DG603,DJ603,DM603,DP603)</f>
        <v>40000000</v>
      </c>
      <c r="DS603" s="1020"/>
      <c r="DT603" s="1020"/>
      <c r="DU603" s="1020"/>
      <c r="DV603" s="1020"/>
      <c r="DW603" s="1020"/>
      <c r="DX603" s="1020"/>
      <c r="DY603" s="1020"/>
      <c r="DZ603" s="1020"/>
      <c r="EA603" s="1020"/>
      <c r="EB603" s="1020"/>
      <c r="EC603" s="1020"/>
      <c r="ED603" s="1020"/>
      <c r="EE603" s="1119">
        <f t="shared" ref="EE603:EE623" si="361">SUM(DS603,DT603,DU603,DV603,DW603,DX603,DY603,DZ603,EA603,EB603,EC603,ED603)</f>
        <v>0</v>
      </c>
      <c r="EF603" s="443"/>
      <c r="EG603" s="443"/>
      <c r="EH603" s="443"/>
      <c r="EI603" s="443"/>
      <c r="EL603" s="177"/>
      <c r="EM603" s="177"/>
      <c r="EN603" s="177"/>
    </row>
    <row r="604" spans="1:144" outlineLevel="2">
      <c r="A604" s="367" t="s">
        <v>687</v>
      </c>
      <c r="B604" s="378"/>
      <c r="C604" s="370" t="s">
        <v>688</v>
      </c>
      <c r="D604" s="297" t="s">
        <v>121</v>
      </c>
      <c r="E604" s="403" t="s">
        <v>489</v>
      </c>
      <c r="F604" s="380">
        <v>3000019899</v>
      </c>
      <c r="G604" s="189"/>
      <c r="H604" s="13"/>
      <c r="I604" s="185"/>
      <c r="J604" s="185"/>
      <c r="K604" s="185"/>
      <c r="L604" s="185"/>
      <c r="M604" s="185"/>
      <c r="N604" s="185"/>
      <c r="O604" s="7"/>
      <c r="P604" s="7"/>
      <c r="Q604" s="7"/>
      <c r="R604" s="7"/>
      <c r="S604" s="14">
        <f>SUM(G604,H604,I604,J604,K604,L604,M604,N604,O604,P604,Q604,R604)</f>
        <v>0</v>
      </c>
      <c r="T604" s="179"/>
      <c r="U604" s="189"/>
      <c r="V604" s="13"/>
      <c r="W604" s="185"/>
      <c r="X604" s="185"/>
      <c r="Y604" s="185"/>
      <c r="Z604" s="185"/>
      <c r="AA604" s="185"/>
      <c r="AB604" s="185"/>
      <c r="AC604" s="7"/>
      <c r="AD604" s="7"/>
      <c r="AE604" s="7"/>
      <c r="AF604" s="7"/>
      <c r="AG604" s="759">
        <f>SUM(U604,V604,W604,X604,Y604,Z604,AA604,AB604,AC604,AD604,AE604,AF604)</f>
        <v>0</v>
      </c>
      <c r="AH604" s="861">
        <v>3000019899</v>
      </c>
      <c r="AI604" s="189"/>
      <c r="AJ604" s="810"/>
      <c r="AK604" s="758"/>
      <c r="AL604" s="758"/>
      <c r="AM604" s="758"/>
      <c r="AN604" s="758"/>
      <c r="AO604" s="758"/>
      <c r="AP604" s="758"/>
      <c r="AQ604" s="518">
        <v>0</v>
      </c>
      <c r="AR604" s="518"/>
      <c r="AS604" s="518"/>
      <c r="AT604" s="518"/>
      <c r="AU604" s="518">
        <f>BI604</f>
        <v>100000000</v>
      </c>
      <c r="AV604" s="518">
        <f>BJ604</f>
        <v>100000000</v>
      </c>
      <c r="AW604" s="518">
        <f>BK604</f>
        <v>100000000</v>
      </c>
      <c r="AX604" s="518">
        <f t="shared" ref="AX604:AX610" si="362">SUM(AI604,AJ604,AK604,AL604,AM604,AN604,AO604,AP604,AQ604,AR604,AS604,AT604)</f>
        <v>0</v>
      </c>
      <c r="AY604" s="861" t="e">
        <v>#N/A</v>
      </c>
      <c r="AZ604" s="189"/>
      <c r="BA604" s="810"/>
      <c r="BB604" s="758"/>
      <c r="BC604" s="758"/>
      <c r="BD604" s="758"/>
      <c r="BE604" s="758"/>
      <c r="BF604" s="758"/>
      <c r="BG604" s="518">
        <f>AP604</f>
        <v>0</v>
      </c>
      <c r="BH604" s="758">
        <v>100000000</v>
      </c>
      <c r="BI604" s="758">
        <v>100000000</v>
      </c>
      <c r="BJ604" s="758">
        <v>100000000</v>
      </c>
      <c r="BK604" s="758">
        <v>100000000</v>
      </c>
      <c r="BL604" s="759">
        <f>SUM(AZ604,BA604,BB604,BC604,BD604,BE604,BF604,BG604,BH604,BI604,BJ604,BK604)</f>
        <v>400000000</v>
      </c>
      <c r="BN604" s="485">
        <v>70000000</v>
      </c>
      <c r="BO604" s="758">
        <v>70000000</v>
      </c>
      <c r="BP604" s="758">
        <v>70000000</v>
      </c>
      <c r="BQ604" s="758">
        <v>70000000</v>
      </c>
      <c r="BR604" s="758">
        <v>70000000</v>
      </c>
      <c r="BS604" s="758">
        <v>70000000</v>
      </c>
      <c r="BT604" s="758">
        <v>70000000</v>
      </c>
      <c r="BU604" s="758">
        <v>70000000</v>
      </c>
      <c r="BV604" s="758">
        <v>70000000</v>
      </c>
      <c r="BW604" s="758">
        <v>70000000</v>
      </c>
      <c r="BX604" s="758">
        <v>70000000</v>
      </c>
      <c r="BY604" s="758">
        <v>70000000</v>
      </c>
      <c r="BZ604" s="791">
        <v>840000000</v>
      </c>
      <c r="CB604" s="485">
        <v>70000000</v>
      </c>
      <c r="CC604" s="758">
        <v>70000000</v>
      </c>
      <c r="CD604" s="758">
        <v>70000000</v>
      </c>
      <c r="CE604" s="758">
        <v>70000000</v>
      </c>
      <c r="CF604" s="758">
        <v>70000000</v>
      </c>
      <c r="CG604" s="758">
        <v>70000000</v>
      </c>
      <c r="CH604" s="758">
        <v>70000000</v>
      </c>
      <c r="CI604" s="758">
        <v>70000000</v>
      </c>
      <c r="CJ604" s="758">
        <v>70000000</v>
      </c>
      <c r="CK604" s="758">
        <v>70000000</v>
      </c>
      <c r="CL604" s="758">
        <v>70000000</v>
      </c>
      <c r="CM604" s="758">
        <v>70000000</v>
      </c>
      <c r="CN604" s="791">
        <v>840000000</v>
      </c>
      <c r="CO604" s="37"/>
      <c r="CP604" s="657"/>
      <c r="CQ604" s="657"/>
      <c r="CR604" s="528"/>
      <c r="CS604" s="657"/>
      <c r="CT604" s="528"/>
      <c r="CU604" s="657"/>
      <c r="CV604" s="528"/>
      <c r="CW604" s="657"/>
      <c r="CX604" s="528"/>
      <c r="CY604" s="657"/>
      <c r="CZ604" s="528"/>
      <c r="DA604" s="657"/>
      <c r="DB604" s="528"/>
      <c r="DC604" s="657">
        <v>0</v>
      </c>
      <c r="DD604" s="528"/>
      <c r="DE604" s="758"/>
      <c r="DF604" s="528"/>
      <c r="DG604" s="757"/>
      <c r="DH604" s="758"/>
      <c r="DI604" s="528"/>
      <c r="DJ604" s="757"/>
      <c r="DK604" s="758"/>
      <c r="DL604" s="528"/>
      <c r="DM604" s="757"/>
      <c r="DN604" s="758"/>
      <c r="DO604" s="528"/>
      <c r="DP604" s="757"/>
      <c r="DQ604" s="493">
        <f t="shared" si="359"/>
        <v>0</v>
      </c>
      <c r="DR604" s="479">
        <f t="shared" si="360"/>
        <v>0</v>
      </c>
      <c r="DS604" s="1020"/>
      <c r="DT604" s="1020"/>
      <c r="DU604" s="1020">
        <v>100000000</v>
      </c>
      <c r="DV604" s="1020"/>
      <c r="DW604" s="1020"/>
      <c r="DX604" s="1020"/>
      <c r="DY604" s="1020">
        <v>100000000</v>
      </c>
      <c r="DZ604" s="1020"/>
      <c r="EA604" s="1020">
        <v>100000000</v>
      </c>
      <c r="EB604" s="1020"/>
      <c r="EC604" s="1020">
        <v>100000000</v>
      </c>
      <c r="ED604" s="1020"/>
      <c r="EE604" s="1119">
        <f t="shared" si="361"/>
        <v>400000000</v>
      </c>
      <c r="EF604" s="443">
        <f>EE604*1.17</f>
        <v>468000000</v>
      </c>
      <c r="EG604" s="443">
        <f>EF604*1.08</f>
        <v>505440000.00000006</v>
      </c>
      <c r="EH604" s="443">
        <v>1378000000</v>
      </c>
      <c r="EI604" s="443">
        <v>1378000000</v>
      </c>
      <c r="EJ604" s="367">
        <v>3000019899</v>
      </c>
      <c r="EL604" s="177"/>
      <c r="EM604" s="177"/>
      <c r="EN604" s="177"/>
    </row>
    <row r="605" spans="1:144" outlineLevel="2">
      <c r="A605" s="389"/>
      <c r="B605" s="378"/>
      <c r="C605" s="370" t="s">
        <v>688</v>
      </c>
      <c r="D605" s="297" t="s">
        <v>121</v>
      </c>
      <c r="E605" s="403" t="s">
        <v>831</v>
      </c>
      <c r="F605" s="380"/>
      <c r="G605" s="189"/>
      <c r="H605" s="26"/>
      <c r="I605" s="185"/>
      <c r="J605" s="185"/>
      <c r="K605" s="185"/>
      <c r="L605" s="185"/>
      <c r="M605" s="185"/>
      <c r="N605" s="185"/>
      <c r="O605" s="7"/>
      <c r="P605" s="7"/>
      <c r="Q605" s="7"/>
      <c r="R605" s="7"/>
      <c r="S605" s="14"/>
      <c r="T605" s="179"/>
      <c r="U605" s="189"/>
      <c r="V605" s="26"/>
      <c r="W605" s="185"/>
      <c r="X605" s="185"/>
      <c r="Y605" s="185"/>
      <c r="Z605" s="185"/>
      <c r="AA605" s="185"/>
      <c r="AB605" s="185"/>
      <c r="AC605" s="7"/>
      <c r="AD605" s="7"/>
      <c r="AE605" s="7"/>
      <c r="AF605" s="7"/>
      <c r="AG605" s="759"/>
      <c r="AH605" s="853"/>
      <c r="AI605" s="189"/>
      <c r="AJ605" s="824"/>
      <c r="AK605" s="758"/>
      <c r="AL605" s="758"/>
      <c r="AM605" s="758"/>
      <c r="AN605" s="758"/>
      <c r="AO605" s="758"/>
      <c r="AP605" s="758"/>
      <c r="AQ605" s="518"/>
      <c r="AR605" s="518"/>
      <c r="AS605" s="518"/>
      <c r="AT605" s="518"/>
      <c r="AU605" s="518"/>
      <c r="AV605" s="518"/>
      <c r="AW605" s="518"/>
      <c r="AX605" s="518">
        <f t="shared" si="362"/>
        <v>0</v>
      </c>
      <c r="AY605" s="853"/>
      <c r="AZ605" s="189"/>
      <c r="BA605" s="824"/>
      <c r="BB605" s="758"/>
      <c r="BC605" s="758"/>
      <c r="BD605" s="758"/>
      <c r="BE605" s="758"/>
      <c r="BF605" s="758"/>
      <c r="BG605" s="518"/>
      <c r="BH605" s="758"/>
      <c r="BI605" s="758"/>
      <c r="BJ605" s="758"/>
      <c r="BK605" s="758"/>
      <c r="BL605" s="518"/>
      <c r="BN605" s="758"/>
      <c r="BO605" s="758"/>
      <c r="BP605" s="758"/>
      <c r="BQ605" s="758"/>
      <c r="BR605" s="758"/>
      <c r="BS605" s="758"/>
      <c r="BT605" s="758"/>
      <c r="BU605" s="758"/>
      <c r="BV605" s="758"/>
      <c r="BW605" s="758"/>
      <c r="BX605" s="758"/>
      <c r="BY605" s="758"/>
      <c r="BZ605" s="791">
        <v>0</v>
      </c>
      <c r="CB605" s="758"/>
      <c r="CC605" s="758"/>
      <c r="CD605" s="758"/>
      <c r="CE605" s="758"/>
      <c r="CF605" s="758"/>
      <c r="CG605" s="758"/>
      <c r="CH605" s="758"/>
      <c r="CI605" s="758"/>
      <c r="CJ605" s="758"/>
      <c r="CK605" s="758"/>
      <c r="CL605" s="758"/>
      <c r="CM605" s="758"/>
      <c r="CN605" s="791">
        <v>0</v>
      </c>
      <c r="CP605" s="653"/>
      <c r="CQ605" s="653"/>
      <c r="CR605" s="524"/>
      <c r="CS605" s="653"/>
      <c r="CT605" s="524"/>
      <c r="CU605" s="653"/>
      <c r="CV605" s="524"/>
      <c r="CW605" s="653"/>
      <c r="CX605" s="524"/>
      <c r="CY605" s="653"/>
      <c r="CZ605" s="524"/>
      <c r="DA605" s="653"/>
      <c r="DB605" s="524"/>
      <c r="DC605" s="653">
        <v>0</v>
      </c>
      <c r="DD605" s="524"/>
      <c r="DE605" s="758"/>
      <c r="DF605" s="524"/>
      <c r="DG605" s="757"/>
      <c r="DH605" s="758"/>
      <c r="DI605" s="524"/>
      <c r="DJ605" s="757"/>
      <c r="DK605" s="758"/>
      <c r="DL605" s="524"/>
      <c r="DM605" s="757"/>
      <c r="DN605" s="758"/>
      <c r="DO605" s="524"/>
      <c r="DP605" s="757"/>
      <c r="DQ605" s="493">
        <f t="shared" si="359"/>
        <v>0</v>
      </c>
      <c r="DR605" s="479">
        <f t="shared" si="360"/>
        <v>0</v>
      </c>
      <c r="DS605" s="1019"/>
      <c r="DT605" s="1019"/>
      <c r="DU605" s="1019"/>
      <c r="DV605" s="1019"/>
      <c r="DW605" s="1019"/>
      <c r="DX605" s="1019"/>
      <c r="DY605" s="1019"/>
      <c r="DZ605" s="1019">
        <v>100000000</v>
      </c>
      <c r="EA605" s="1019">
        <v>100000000</v>
      </c>
      <c r="EB605" s="1019">
        <v>100000000</v>
      </c>
      <c r="EC605" s="1019">
        <v>100000000</v>
      </c>
      <c r="ED605" s="1019">
        <v>100000000</v>
      </c>
      <c r="EE605" s="1119">
        <f t="shared" si="361"/>
        <v>500000000</v>
      </c>
      <c r="EF605" s="443"/>
      <c r="EG605" s="443">
        <v>6000000000</v>
      </c>
      <c r="EH605" s="443">
        <f>EG605*1.2</f>
        <v>7200000000</v>
      </c>
      <c r="EI605" s="443">
        <f>EH605*1.2</f>
        <v>8640000000</v>
      </c>
      <c r="EL605" s="177"/>
      <c r="EM605" s="177"/>
      <c r="EN605" s="177"/>
    </row>
    <row r="606" spans="1:144" outlineLevel="2">
      <c r="A606" s="389" t="s">
        <v>291</v>
      </c>
      <c r="B606" s="378"/>
      <c r="C606" s="370" t="s">
        <v>688</v>
      </c>
      <c r="D606" s="297" t="s">
        <v>121</v>
      </c>
      <c r="E606" s="403" t="s">
        <v>832</v>
      </c>
      <c r="F606" s="380">
        <v>3000002062</v>
      </c>
      <c r="G606" s="189"/>
      <c r="H606" s="13"/>
      <c r="I606" s="185"/>
      <c r="J606" s="185"/>
      <c r="K606" s="185"/>
      <c r="L606" s="185"/>
      <c r="M606" s="185"/>
      <c r="N606" s="185"/>
      <c r="O606" s="7"/>
      <c r="P606" s="7"/>
      <c r="Q606" s="7"/>
      <c r="R606" s="7"/>
      <c r="S606" s="14">
        <f>SUM(G606,H606,I606,J606,K606,L606,M606,N606,O606,P606,Q606,R606)</f>
        <v>0</v>
      </c>
      <c r="T606" s="179"/>
      <c r="U606" s="189"/>
      <c r="V606" s="13"/>
      <c r="W606" s="185"/>
      <c r="X606" s="185"/>
      <c r="Y606" s="185"/>
      <c r="Z606" s="185"/>
      <c r="AA606" s="185"/>
      <c r="AB606" s="185"/>
      <c r="AC606" s="7"/>
      <c r="AD606" s="7"/>
      <c r="AE606" s="7"/>
      <c r="AF606" s="7"/>
      <c r="AG606" s="759">
        <f>SUM(U606,V606,W606,X606,Y606,Z606,AA606,AB606,AC606,AD606,AE606,AF606)</f>
        <v>0</v>
      </c>
      <c r="AH606" s="853">
        <v>3000002062</v>
      </c>
      <c r="AI606" s="189"/>
      <c r="AJ606" s="810"/>
      <c r="AK606" s="758"/>
      <c r="AL606" s="758"/>
      <c r="AM606" s="758"/>
      <c r="AN606" s="758"/>
      <c r="AO606" s="758"/>
      <c r="AP606" s="758"/>
      <c r="AQ606" s="518">
        <v>0</v>
      </c>
      <c r="AR606" s="518"/>
      <c r="AS606" s="518"/>
      <c r="AT606" s="518"/>
      <c r="AU606" s="518">
        <f>BI606</f>
        <v>20000000</v>
      </c>
      <c r="AV606" s="518">
        <f>BJ606</f>
        <v>20000000</v>
      </c>
      <c r="AW606" s="518">
        <f>BK606</f>
        <v>20000000</v>
      </c>
      <c r="AX606" s="518">
        <f t="shared" si="362"/>
        <v>0</v>
      </c>
      <c r="AY606" s="853" t="e">
        <v>#N/A</v>
      </c>
      <c r="AZ606" s="189"/>
      <c r="BA606" s="810"/>
      <c r="BB606" s="758"/>
      <c r="BC606" s="758"/>
      <c r="BD606" s="758"/>
      <c r="BE606" s="758"/>
      <c r="BF606" s="758"/>
      <c r="BG606" s="518">
        <f>AP606</f>
        <v>0</v>
      </c>
      <c r="BH606" s="758">
        <v>20000000</v>
      </c>
      <c r="BI606" s="758">
        <v>20000000</v>
      </c>
      <c r="BJ606" s="758">
        <v>20000000</v>
      </c>
      <c r="BK606" s="758">
        <v>20000000</v>
      </c>
      <c r="BL606" s="759">
        <f>SUM(AZ606,BA606,BB606,BC606,BD606,BE606,BF606,BG606,BH606,BI606,BJ606,BK606)</f>
        <v>80000000</v>
      </c>
      <c r="BN606" s="758">
        <v>0</v>
      </c>
      <c r="BO606" s="758">
        <v>0</v>
      </c>
      <c r="BP606" s="758">
        <v>0</v>
      </c>
      <c r="BQ606" s="758">
        <v>0</v>
      </c>
      <c r="BR606" s="758">
        <v>0</v>
      </c>
      <c r="BS606" s="758">
        <v>0</v>
      </c>
      <c r="BT606" s="758">
        <v>0</v>
      </c>
      <c r="BU606" s="758">
        <v>0</v>
      </c>
      <c r="BV606" s="758">
        <v>0</v>
      </c>
      <c r="BW606" s="758">
        <v>0</v>
      </c>
      <c r="BX606" s="758">
        <v>0</v>
      </c>
      <c r="BY606" s="758">
        <v>0</v>
      </c>
      <c r="BZ606" s="791">
        <v>0</v>
      </c>
      <c r="CB606" s="758">
        <v>0</v>
      </c>
      <c r="CC606" s="758">
        <v>0</v>
      </c>
      <c r="CD606" s="758">
        <v>0</v>
      </c>
      <c r="CE606" s="758">
        <v>0</v>
      </c>
      <c r="CF606" s="758">
        <v>0</v>
      </c>
      <c r="CG606" s="758">
        <v>0</v>
      </c>
      <c r="CH606" s="758">
        <v>0</v>
      </c>
      <c r="CI606" s="758">
        <v>0</v>
      </c>
      <c r="CJ606" s="758">
        <v>0</v>
      </c>
      <c r="CK606" s="758">
        <v>0</v>
      </c>
      <c r="CL606" s="758">
        <v>0</v>
      </c>
      <c r="CM606" s="758">
        <v>0</v>
      </c>
      <c r="CN606" s="791">
        <v>0</v>
      </c>
      <c r="CP606" s="653"/>
      <c r="CQ606" s="653"/>
      <c r="CR606" s="524"/>
      <c r="CS606" s="653"/>
      <c r="CT606" s="524"/>
      <c r="CU606" s="653"/>
      <c r="CV606" s="524"/>
      <c r="CW606" s="653"/>
      <c r="CX606" s="524"/>
      <c r="CY606" s="653">
        <v>1282500</v>
      </c>
      <c r="CZ606" s="524"/>
      <c r="DA606" s="653"/>
      <c r="DB606" s="524"/>
      <c r="DC606" s="653">
        <v>0</v>
      </c>
      <c r="DD606" s="524"/>
      <c r="DE606" s="758"/>
      <c r="DF606" s="524"/>
      <c r="DG606" s="757"/>
      <c r="DH606" s="758"/>
      <c r="DI606" s="524"/>
      <c r="DJ606" s="757"/>
      <c r="DK606" s="758"/>
      <c r="DL606" s="524"/>
      <c r="DM606" s="757"/>
      <c r="DN606" s="758"/>
      <c r="DO606" s="524"/>
      <c r="DP606" s="757"/>
      <c r="DQ606" s="493">
        <f t="shared" si="359"/>
        <v>1282500</v>
      </c>
      <c r="DR606" s="479">
        <f t="shared" si="360"/>
        <v>0</v>
      </c>
      <c r="DS606" s="1019"/>
      <c r="DT606" s="1019"/>
      <c r="DU606" s="1019"/>
      <c r="DV606" s="1019"/>
      <c r="DW606" s="1019"/>
      <c r="DX606" s="1019"/>
      <c r="DY606" s="1019"/>
      <c r="DZ606" s="1019"/>
      <c r="EA606" s="1019"/>
      <c r="EB606" s="1019"/>
      <c r="EC606" s="1019"/>
      <c r="ED606" s="1019"/>
      <c r="EE606" s="1119">
        <f t="shared" si="361"/>
        <v>0</v>
      </c>
      <c r="EF606" s="443">
        <f>EE606*1.17</f>
        <v>0</v>
      </c>
      <c r="EG606" s="443">
        <f>EF606*1.08</f>
        <v>0</v>
      </c>
      <c r="EH606" s="443">
        <f>EG606*1.09</f>
        <v>0</v>
      </c>
      <c r="EI606" s="443">
        <f>EH606*1.09</f>
        <v>0</v>
      </c>
      <c r="EJ606" s="367">
        <v>3000002062</v>
      </c>
      <c r="EL606" s="177"/>
      <c r="EM606" s="177"/>
      <c r="EN606" s="177"/>
    </row>
    <row r="607" spans="1:144" outlineLevel="2">
      <c r="A607" s="389"/>
      <c r="B607" s="378"/>
      <c r="C607" s="370" t="s">
        <v>688</v>
      </c>
      <c r="D607" s="297" t="s">
        <v>121</v>
      </c>
      <c r="E607" s="403" t="s">
        <v>833</v>
      </c>
      <c r="F607" s="380"/>
      <c r="G607" s="189"/>
      <c r="H607" s="13"/>
      <c r="I607" s="195"/>
      <c r="J607" s="185"/>
      <c r="K607" s="185"/>
      <c r="L607" s="185"/>
      <c r="M607" s="185"/>
      <c r="N607" s="185"/>
      <c r="O607" s="7"/>
      <c r="P607" s="7"/>
      <c r="Q607" s="7"/>
      <c r="R607" s="7"/>
      <c r="S607" s="14"/>
      <c r="T607" s="179"/>
      <c r="U607" s="189"/>
      <c r="V607" s="13"/>
      <c r="W607" s="195"/>
      <c r="X607" s="185"/>
      <c r="Y607" s="185"/>
      <c r="Z607" s="185"/>
      <c r="AA607" s="185"/>
      <c r="AB607" s="185"/>
      <c r="AC607" s="7"/>
      <c r="AD607" s="7"/>
      <c r="AE607" s="7"/>
      <c r="AF607" s="7"/>
      <c r="AG607" s="759"/>
      <c r="AH607" s="853"/>
      <c r="AI607" s="189"/>
      <c r="AJ607" s="810"/>
      <c r="AK607" s="854"/>
      <c r="AL607" s="758"/>
      <c r="AM607" s="758"/>
      <c r="AN607" s="758"/>
      <c r="AO607" s="758"/>
      <c r="AP607" s="758"/>
      <c r="AQ607" s="518"/>
      <c r="AR607" s="518"/>
      <c r="AS607" s="518"/>
      <c r="AT607" s="518"/>
      <c r="AU607" s="518"/>
      <c r="AV607" s="518"/>
      <c r="AW607" s="518"/>
      <c r="AX607" s="518">
        <f t="shared" si="362"/>
        <v>0</v>
      </c>
      <c r="AY607" s="853"/>
      <c r="AZ607" s="189"/>
      <c r="BA607" s="810"/>
      <c r="BB607" s="854"/>
      <c r="BC607" s="758"/>
      <c r="BD607" s="758"/>
      <c r="BE607" s="758"/>
      <c r="BF607" s="758"/>
      <c r="BG607" s="518"/>
      <c r="BH607" s="758"/>
      <c r="BI607" s="758"/>
      <c r="BJ607" s="758"/>
      <c r="BK607" s="758"/>
      <c r="BL607" s="518"/>
      <c r="BN607" s="758"/>
      <c r="BO607" s="758"/>
      <c r="BP607" s="758"/>
      <c r="BQ607" s="758"/>
      <c r="BR607" s="758"/>
      <c r="BS607" s="758"/>
      <c r="BT607" s="758"/>
      <c r="BU607" s="758"/>
      <c r="BV607" s="758"/>
      <c r="BW607" s="758"/>
      <c r="BX607" s="758"/>
      <c r="BY607" s="758"/>
      <c r="BZ607" s="791">
        <v>0</v>
      </c>
      <c r="CB607" s="758"/>
      <c r="CC607" s="758"/>
      <c r="CD607" s="758"/>
      <c r="CE607" s="758"/>
      <c r="CF607" s="758"/>
      <c r="CG607" s="758"/>
      <c r="CH607" s="758"/>
      <c r="CI607" s="758"/>
      <c r="CJ607" s="758"/>
      <c r="CK607" s="758"/>
      <c r="CL607" s="758"/>
      <c r="CM607" s="758"/>
      <c r="CN607" s="791">
        <v>0</v>
      </c>
      <c r="CP607" s="653"/>
      <c r="CQ607" s="653"/>
      <c r="CR607" s="524"/>
      <c r="CS607" s="653"/>
      <c r="CT607" s="524"/>
      <c r="CU607" s="653"/>
      <c r="CV607" s="524"/>
      <c r="CW607" s="653"/>
      <c r="CX607" s="524"/>
      <c r="CY607" s="653"/>
      <c r="CZ607" s="524">
        <v>100000000</v>
      </c>
      <c r="DA607" s="653"/>
      <c r="DB607" s="524">
        <v>100000000</v>
      </c>
      <c r="DC607" s="653">
        <v>0</v>
      </c>
      <c r="DD607" s="524">
        <v>100000000</v>
      </c>
      <c r="DE607" s="758"/>
      <c r="DF607" s="524">
        <v>200000000</v>
      </c>
      <c r="DG607" s="757">
        <v>200000000</v>
      </c>
      <c r="DH607" s="758"/>
      <c r="DI607" s="524">
        <v>250000000</v>
      </c>
      <c r="DJ607" s="757">
        <v>250000000</v>
      </c>
      <c r="DK607" s="758"/>
      <c r="DL607" s="524">
        <v>250000000</v>
      </c>
      <c r="DM607" s="757">
        <v>250000000</v>
      </c>
      <c r="DN607" s="758"/>
      <c r="DO607" s="524">
        <v>250000000</v>
      </c>
      <c r="DP607" s="757">
        <v>250000000</v>
      </c>
      <c r="DQ607" s="493">
        <f t="shared" si="359"/>
        <v>950000000</v>
      </c>
      <c r="DR607" s="479">
        <f t="shared" si="360"/>
        <v>1250000000</v>
      </c>
      <c r="DS607" s="1019"/>
      <c r="DT607" s="1019"/>
      <c r="DU607" s="1019">
        <v>100000000</v>
      </c>
      <c r="DV607" s="1019"/>
      <c r="DW607" s="1019"/>
      <c r="DX607" s="1019"/>
      <c r="DY607" s="1019">
        <v>100000000</v>
      </c>
      <c r="DZ607" s="1019"/>
      <c r="EA607" s="1019">
        <v>100000000</v>
      </c>
      <c r="EB607" s="1019"/>
      <c r="EC607" s="1019">
        <v>100000000</v>
      </c>
      <c r="ED607" s="1019"/>
      <c r="EE607" s="1119">
        <f t="shared" si="361"/>
        <v>400000000</v>
      </c>
      <c r="EF607" s="443">
        <v>700000000</v>
      </c>
      <c r="EG607" s="443">
        <f>EF607*1.2</f>
        <v>840000000</v>
      </c>
      <c r="EH607" s="443">
        <v>1010000000</v>
      </c>
      <c r="EI607" s="443">
        <v>1010000000</v>
      </c>
      <c r="EL607" s="177"/>
      <c r="EM607" s="177"/>
      <c r="EN607" s="177"/>
    </row>
    <row r="608" spans="1:144" outlineLevel="2">
      <c r="A608" s="367" t="s">
        <v>687</v>
      </c>
      <c r="B608" s="378"/>
      <c r="C608" s="370" t="s">
        <v>688</v>
      </c>
      <c r="D608" s="297" t="s">
        <v>121</v>
      </c>
      <c r="E608" s="403" t="s">
        <v>834</v>
      </c>
      <c r="F608" s="380">
        <v>3000003504</v>
      </c>
      <c r="G608" s="189"/>
      <c r="H608" s="13"/>
      <c r="I608" s="185"/>
      <c r="J608" s="185"/>
      <c r="K608" s="185"/>
      <c r="L608" s="185"/>
      <c r="M608" s="185"/>
      <c r="N608" s="185"/>
      <c r="O608" s="7"/>
      <c r="P608" s="7"/>
      <c r="Q608" s="7"/>
      <c r="R608" s="7"/>
      <c r="S608" s="14"/>
      <c r="T608" s="179"/>
      <c r="U608" s="189"/>
      <c r="V608" s="13"/>
      <c r="W608" s="185"/>
      <c r="X608" s="185"/>
      <c r="Y608" s="185"/>
      <c r="Z608" s="185"/>
      <c r="AA608" s="185"/>
      <c r="AB608" s="185"/>
      <c r="AC608" s="7"/>
      <c r="AD608" s="7"/>
      <c r="AE608" s="7"/>
      <c r="AF608" s="7"/>
      <c r="AG608" s="759"/>
      <c r="AH608" s="853"/>
      <c r="AI608" s="189"/>
      <c r="AJ608" s="810"/>
      <c r="AK608" s="758"/>
      <c r="AL608" s="758"/>
      <c r="AM608" s="758"/>
      <c r="AN608" s="758"/>
      <c r="AO608" s="758"/>
      <c r="AP608" s="758"/>
      <c r="AQ608" s="518">
        <v>0</v>
      </c>
      <c r="AR608" s="518"/>
      <c r="AS608" s="518"/>
      <c r="AT608" s="518"/>
      <c r="AU608" s="518"/>
      <c r="AV608" s="518"/>
      <c r="AW608" s="518"/>
      <c r="AX608" s="518">
        <f t="shared" si="362"/>
        <v>0</v>
      </c>
      <c r="AY608" s="853"/>
      <c r="AZ608" s="189"/>
      <c r="BA608" s="810"/>
      <c r="BB608" s="758"/>
      <c r="BC608" s="758"/>
      <c r="BD608" s="758"/>
      <c r="BE608" s="758"/>
      <c r="BF608" s="758"/>
      <c r="BG608" s="518"/>
      <c r="BH608" s="758"/>
      <c r="BI608" s="758"/>
      <c r="BJ608" s="758"/>
      <c r="BK608" s="758"/>
      <c r="BL608" s="518">
        <f>SUM(AZ608,BA608,BB608,BC608,BD608,BE608,BF608,BG608,BH608,BI608,BJ608,BK608)</f>
        <v>0</v>
      </c>
      <c r="BN608" s="758">
        <v>7000000</v>
      </c>
      <c r="BO608" s="758">
        <v>7000000</v>
      </c>
      <c r="BP608" s="758">
        <v>7000000</v>
      </c>
      <c r="BQ608" s="758">
        <v>7000000</v>
      </c>
      <c r="BR608" s="758">
        <v>7000000</v>
      </c>
      <c r="BS608" s="758">
        <v>7000000</v>
      </c>
      <c r="BT608" s="758">
        <v>7000000</v>
      </c>
      <c r="BU608" s="758">
        <v>7000000</v>
      </c>
      <c r="BV608" s="758">
        <v>7000000</v>
      </c>
      <c r="BW608" s="758">
        <v>7000000</v>
      </c>
      <c r="BX608" s="758">
        <v>7000000</v>
      </c>
      <c r="BY608" s="758">
        <v>7000000</v>
      </c>
      <c r="BZ608" s="791">
        <v>84000000</v>
      </c>
      <c r="CB608" s="758">
        <v>7000000</v>
      </c>
      <c r="CC608" s="758">
        <v>7000000</v>
      </c>
      <c r="CD608" s="758">
        <v>7000000</v>
      </c>
      <c r="CE608" s="758">
        <v>7000000</v>
      </c>
      <c r="CF608" s="758">
        <v>7000000</v>
      </c>
      <c r="CG608" s="758">
        <v>7000000</v>
      </c>
      <c r="CH608" s="758">
        <v>7000000</v>
      </c>
      <c r="CI608" s="758">
        <v>7000000</v>
      </c>
      <c r="CJ608" s="758">
        <v>7000000</v>
      </c>
      <c r="CK608" s="758">
        <v>7000000</v>
      </c>
      <c r="CL608" s="758">
        <v>7000000</v>
      </c>
      <c r="CM608" s="758">
        <v>7000000</v>
      </c>
      <c r="CN608" s="791">
        <v>84000000</v>
      </c>
      <c r="CP608" s="653"/>
      <c r="CQ608" s="653"/>
      <c r="CR608" s="524"/>
      <c r="CS608" s="653"/>
      <c r="CT608" s="524"/>
      <c r="CU608" s="653"/>
      <c r="CV608" s="524">
        <v>5000000</v>
      </c>
      <c r="CW608" s="653"/>
      <c r="CX608" s="524">
        <v>5000000</v>
      </c>
      <c r="CY608" s="653"/>
      <c r="CZ608" s="524">
        <v>5000000</v>
      </c>
      <c r="DA608" s="653"/>
      <c r="DB608" s="524"/>
      <c r="DC608" s="653">
        <v>0</v>
      </c>
      <c r="DD608" s="524"/>
      <c r="DE608" s="758"/>
      <c r="DF608" s="524"/>
      <c r="DG608" s="757"/>
      <c r="DH608" s="758"/>
      <c r="DI608" s="524"/>
      <c r="DJ608" s="757"/>
      <c r="DK608" s="758"/>
      <c r="DL608" s="524"/>
      <c r="DM608" s="757"/>
      <c r="DN608" s="758"/>
      <c r="DO608" s="524"/>
      <c r="DP608" s="757"/>
      <c r="DQ608" s="493">
        <f t="shared" si="359"/>
        <v>0</v>
      </c>
      <c r="DR608" s="479">
        <f t="shared" si="360"/>
        <v>10000000</v>
      </c>
      <c r="DS608" s="1019"/>
      <c r="DT608" s="1019"/>
      <c r="DU608" s="1019"/>
      <c r="DV608" s="1019"/>
      <c r="DW608" s="1019"/>
      <c r="DX608" s="1019"/>
      <c r="DY608" s="1019"/>
      <c r="DZ608" s="1019"/>
      <c r="EA608" s="1019"/>
      <c r="EB608" s="1019"/>
      <c r="EC608" s="1019"/>
      <c r="ED608" s="1019"/>
      <c r="EE608" s="1119">
        <f t="shared" si="361"/>
        <v>0</v>
      </c>
      <c r="EF608" s="443">
        <v>180000000</v>
      </c>
      <c r="EG608" s="443">
        <v>195000000</v>
      </c>
      <c r="EH608" s="443">
        <v>250000000</v>
      </c>
      <c r="EI608" s="443">
        <v>250000000</v>
      </c>
      <c r="EJ608" s="367">
        <v>3000003504</v>
      </c>
      <c r="EL608" s="177"/>
      <c r="EM608" s="177"/>
      <c r="EN608" s="177"/>
    </row>
    <row r="609" spans="1:144" outlineLevel="2">
      <c r="A609" s="367" t="s">
        <v>687</v>
      </c>
      <c r="B609" s="378"/>
      <c r="C609" s="370" t="s">
        <v>688</v>
      </c>
      <c r="D609" s="297" t="s">
        <v>121</v>
      </c>
      <c r="E609" s="403" t="s">
        <v>835</v>
      </c>
      <c r="F609" s="380" t="s">
        <v>836</v>
      </c>
      <c r="G609" s="189"/>
      <c r="H609" s="13"/>
      <c r="I609" s="185"/>
      <c r="J609" s="185"/>
      <c r="K609" s="185"/>
      <c r="L609" s="185"/>
      <c r="M609" s="185"/>
      <c r="N609" s="185"/>
      <c r="O609" s="7"/>
      <c r="P609" s="7"/>
      <c r="Q609" s="7"/>
      <c r="R609" s="7"/>
      <c r="S609" s="14"/>
      <c r="T609" s="179"/>
      <c r="U609" s="189"/>
      <c r="V609" s="13"/>
      <c r="W609" s="185"/>
      <c r="X609" s="185"/>
      <c r="Y609" s="185"/>
      <c r="Z609" s="185"/>
      <c r="AA609" s="185"/>
      <c r="AB609" s="185"/>
      <c r="AC609" s="7"/>
      <c r="AD609" s="7"/>
      <c r="AE609" s="7"/>
      <c r="AF609" s="7"/>
      <c r="AG609" s="759"/>
      <c r="AH609" s="853"/>
      <c r="AI609" s="189"/>
      <c r="AJ609" s="810"/>
      <c r="AK609" s="758"/>
      <c r="AL609" s="758"/>
      <c r="AM609" s="758"/>
      <c r="AN609" s="758"/>
      <c r="AO609" s="758"/>
      <c r="AP609" s="758"/>
      <c r="AQ609" s="518">
        <v>0</v>
      </c>
      <c r="AR609" s="518"/>
      <c r="AS609" s="518"/>
      <c r="AT609" s="518"/>
      <c r="AU609" s="518"/>
      <c r="AV609" s="518"/>
      <c r="AW609" s="518"/>
      <c r="AX609" s="518">
        <f t="shared" si="362"/>
        <v>0</v>
      </c>
      <c r="AY609" s="853"/>
      <c r="AZ609" s="189"/>
      <c r="BA609" s="810"/>
      <c r="BB609" s="758"/>
      <c r="BC609" s="758"/>
      <c r="BD609" s="758"/>
      <c r="BE609" s="758"/>
      <c r="BF609" s="758"/>
      <c r="BG609" s="518"/>
      <c r="BH609" s="758"/>
      <c r="BI609" s="758"/>
      <c r="BJ609" s="758"/>
      <c r="BK609" s="758"/>
      <c r="BL609" s="518">
        <f>SUM(AZ609,BA609,BB609,BC609,BD609,BE609,BF609,BG609,BH609,BI609,BJ609,BK609)</f>
        <v>0</v>
      </c>
      <c r="BN609" s="758"/>
      <c r="BO609" s="758"/>
      <c r="BP609" s="758"/>
      <c r="BQ609" s="758"/>
      <c r="BR609" s="758">
        <v>150000000</v>
      </c>
      <c r="BS609" s="758">
        <v>150000000</v>
      </c>
      <c r="BT609" s="758">
        <v>150000000</v>
      </c>
      <c r="BU609" s="758">
        <v>150000000</v>
      </c>
      <c r="BV609" s="758">
        <v>150000000</v>
      </c>
      <c r="BW609" s="758">
        <v>150000000</v>
      </c>
      <c r="BX609" s="758">
        <v>150000000</v>
      </c>
      <c r="BY609" s="758">
        <v>150000000</v>
      </c>
      <c r="BZ609" s="791">
        <v>1200000000</v>
      </c>
      <c r="CB609" s="758"/>
      <c r="CC609" s="758"/>
      <c r="CD609" s="758"/>
      <c r="CE609" s="758"/>
      <c r="CF609" s="758">
        <v>150000000</v>
      </c>
      <c r="CG609" s="758">
        <v>150000000</v>
      </c>
      <c r="CH609" s="758">
        <v>150000000</v>
      </c>
      <c r="CI609" s="758">
        <v>150000000</v>
      </c>
      <c r="CJ609" s="758">
        <v>150000000</v>
      </c>
      <c r="CK609" s="758">
        <v>150000000</v>
      </c>
      <c r="CL609" s="758">
        <v>150000000</v>
      </c>
      <c r="CM609" s="758">
        <v>150000000</v>
      </c>
      <c r="CN609" s="791">
        <v>1200000000</v>
      </c>
      <c r="CP609" s="653"/>
      <c r="CQ609" s="653"/>
      <c r="CR609" s="524"/>
      <c r="CS609" s="653"/>
      <c r="CT609" s="524"/>
      <c r="CU609" s="653"/>
      <c r="CV609" s="524"/>
      <c r="CW609" s="653"/>
      <c r="CX609" s="524"/>
      <c r="CY609" s="653"/>
      <c r="CZ609" s="524"/>
      <c r="DA609" s="653"/>
      <c r="DB609" s="524"/>
      <c r="DC609" s="653">
        <v>0</v>
      </c>
      <c r="DD609" s="524"/>
      <c r="DE609" s="758"/>
      <c r="DF609" s="524"/>
      <c r="DG609" s="757"/>
      <c r="DH609" s="758"/>
      <c r="DI609" s="524"/>
      <c r="DJ609" s="757"/>
      <c r="DK609" s="758"/>
      <c r="DL609" s="524"/>
      <c r="DM609" s="757"/>
      <c r="DN609" s="758"/>
      <c r="DO609" s="524"/>
      <c r="DP609" s="757"/>
      <c r="DQ609" s="493">
        <f t="shared" si="359"/>
        <v>0</v>
      </c>
      <c r="DR609" s="479">
        <f t="shared" si="360"/>
        <v>0</v>
      </c>
      <c r="DS609" s="1019"/>
      <c r="DT609" s="1019"/>
      <c r="DU609" s="1019"/>
      <c r="DV609" s="1019"/>
      <c r="DW609" s="1019"/>
      <c r="DX609" s="1019"/>
      <c r="DY609" s="1019"/>
      <c r="DZ609" s="1019"/>
      <c r="EA609" s="1019"/>
      <c r="EB609" s="1019"/>
      <c r="EC609" s="1019"/>
      <c r="ED609" s="1019"/>
      <c r="EE609" s="1119">
        <f t="shared" si="361"/>
        <v>0</v>
      </c>
      <c r="EF609" s="443">
        <v>1583000000</v>
      </c>
      <c r="EG609" s="443">
        <v>1710000000</v>
      </c>
      <c r="EH609" s="443">
        <v>1864000000</v>
      </c>
      <c r="EI609" s="443">
        <v>1864000000</v>
      </c>
      <c r="EJ609" s="367" t="s">
        <v>836</v>
      </c>
      <c r="EL609" s="177"/>
      <c r="EM609" s="177"/>
      <c r="EN609" s="177"/>
    </row>
    <row r="610" spans="1:144" outlineLevel="2">
      <c r="A610" s="367" t="s">
        <v>687</v>
      </c>
      <c r="B610" s="378"/>
      <c r="C610" s="370" t="s">
        <v>688</v>
      </c>
      <c r="D610" s="297" t="s">
        <v>121</v>
      </c>
      <c r="E610" s="403" t="s">
        <v>837</v>
      </c>
      <c r="F610" s="380">
        <v>3000003933</v>
      </c>
      <c r="G610" s="189"/>
      <c r="H610" s="13"/>
      <c r="I610" s="185"/>
      <c r="J610" s="185"/>
      <c r="K610" s="185"/>
      <c r="L610" s="185"/>
      <c r="M610" s="185"/>
      <c r="N610" s="185"/>
      <c r="O610" s="7"/>
      <c r="P610" s="7"/>
      <c r="Q610" s="7"/>
      <c r="R610" s="7"/>
      <c r="S610" s="14">
        <f>SUM(G610,H610,I610,J610,K610,L610,M610,N610,O610,P610,Q610,R610)</f>
        <v>0</v>
      </c>
      <c r="T610" s="179"/>
      <c r="U610" s="189"/>
      <c r="V610" s="13"/>
      <c r="W610" s="185"/>
      <c r="X610" s="185"/>
      <c r="Y610" s="185"/>
      <c r="Z610" s="185"/>
      <c r="AA610" s="185"/>
      <c r="AB610" s="185"/>
      <c r="AC610" s="7"/>
      <c r="AD610" s="7"/>
      <c r="AE610" s="7"/>
      <c r="AF610" s="7"/>
      <c r="AG610" s="759">
        <f>SUM(U610,V610,W610,X610,Y610,Z610,AA610,AB610,AC610,AD610,AE610,AF610)</f>
        <v>0</v>
      </c>
      <c r="AH610" s="853">
        <v>3000003933</v>
      </c>
      <c r="AI610" s="189"/>
      <c r="AJ610" s="810"/>
      <c r="AK610" s="758"/>
      <c r="AL610" s="758"/>
      <c r="AM610" s="758"/>
      <c r="AN610" s="758"/>
      <c r="AO610" s="758"/>
      <c r="AP610" s="758"/>
      <c r="AQ610" s="518">
        <v>0</v>
      </c>
      <c r="AR610" s="518"/>
      <c r="AS610" s="518"/>
      <c r="AT610" s="518"/>
      <c r="AU610" s="518">
        <f>BI610</f>
        <v>350000000</v>
      </c>
      <c r="AV610" s="518">
        <f>BJ610</f>
        <v>350000000</v>
      </c>
      <c r="AW610" s="518">
        <f>BK610</f>
        <v>350000000</v>
      </c>
      <c r="AX610" s="518">
        <f t="shared" si="362"/>
        <v>0</v>
      </c>
      <c r="AY610" s="853" t="e">
        <v>#N/A</v>
      </c>
      <c r="AZ610" s="189"/>
      <c r="BA610" s="810"/>
      <c r="BB610" s="758"/>
      <c r="BC610" s="758"/>
      <c r="BD610" s="758"/>
      <c r="BE610" s="758"/>
      <c r="BF610" s="758"/>
      <c r="BG610" s="518">
        <f>AP610</f>
        <v>0</v>
      </c>
      <c r="BH610" s="758">
        <v>350000000</v>
      </c>
      <c r="BI610" s="758">
        <v>350000000</v>
      </c>
      <c r="BJ610" s="758">
        <v>350000000</v>
      </c>
      <c r="BK610" s="758">
        <v>350000000</v>
      </c>
      <c r="BL610" s="759">
        <f>SUM(AZ610,BA610,BB610,BC610,BD610,BE610,BF610,BG610,BH610,BI610,BJ610,BK610)</f>
        <v>1400000000</v>
      </c>
      <c r="BN610" s="758">
        <v>100000000</v>
      </c>
      <c r="BO610" s="758">
        <v>100000000</v>
      </c>
      <c r="BP610" s="758">
        <v>100000000</v>
      </c>
      <c r="BQ610" s="758">
        <v>100000000</v>
      </c>
      <c r="BR610" s="758">
        <v>100000000</v>
      </c>
      <c r="BS610" s="758">
        <v>100000000</v>
      </c>
      <c r="BT610" s="758">
        <v>100000000</v>
      </c>
      <c r="BU610" s="758">
        <v>100000000</v>
      </c>
      <c r="BV610" s="758">
        <v>100000000</v>
      </c>
      <c r="BW610" s="758">
        <v>100000000</v>
      </c>
      <c r="BX610" s="758">
        <v>100000000</v>
      </c>
      <c r="BY610" s="758">
        <v>100000000</v>
      </c>
      <c r="BZ610" s="791">
        <v>1200000000</v>
      </c>
      <c r="CB610" s="758">
        <v>100000000</v>
      </c>
      <c r="CC610" s="758">
        <v>100000000</v>
      </c>
      <c r="CD610" s="758">
        <v>100000000</v>
      </c>
      <c r="CE610" s="758">
        <v>100000000</v>
      </c>
      <c r="CF610" s="758">
        <v>100000000</v>
      </c>
      <c r="CG610" s="758">
        <v>100000000</v>
      </c>
      <c r="CH610" s="758">
        <v>100000000</v>
      </c>
      <c r="CI610" s="758">
        <v>100000000</v>
      </c>
      <c r="CJ610" s="758">
        <v>100000000</v>
      </c>
      <c r="CK610" s="758">
        <v>100000000</v>
      </c>
      <c r="CL610" s="758">
        <v>100000000</v>
      </c>
      <c r="CM610" s="758">
        <v>100000000</v>
      </c>
      <c r="CN610" s="791">
        <v>1200000000</v>
      </c>
      <c r="CP610" s="653"/>
      <c r="CQ610" s="653"/>
      <c r="CR610" s="524"/>
      <c r="CS610" s="653"/>
      <c r="CT610" s="524"/>
      <c r="CU610" s="653"/>
      <c r="CV610" s="524"/>
      <c r="CW610" s="653"/>
      <c r="CX610" s="524"/>
      <c r="CY610" s="653"/>
      <c r="CZ610" s="524"/>
      <c r="DA610" s="653"/>
      <c r="DB610" s="524"/>
      <c r="DC610" s="653">
        <v>0</v>
      </c>
      <c r="DD610" s="524"/>
      <c r="DE610" s="758"/>
      <c r="DF610" s="524"/>
      <c r="DG610" s="757"/>
      <c r="DH610" s="758"/>
      <c r="DI610" s="524"/>
      <c r="DJ610" s="757"/>
      <c r="DK610" s="758"/>
      <c r="DL610" s="524"/>
      <c r="DM610" s="757"/>
      <c r="DN610" s="758"/>
      <c r="DO610" s="524"/>
      <c r="DP610" s="757"/>
      <c r="DQ610" s="493">
        <f t="shared" si="359"/>
        <v>0</v>
      </c>
      <c r="DR610" s="479">
        <f t="shared" si="360"/>
        <v>0</v>
      </c>
      <c r="DS610" s="1019"/>
      <c r="DT610" s="1019"/>
      <c r="DU610" s="1019"/>
      <c r="DV610" s="1019"/>
      <c r="DW610" s="1019"/>
      <c r="DX610" s="1019">
        <v>100000000</v>
      </c>
      <c r="DY610" s="1019">
        <v>100000000</v>
      </c>
      <c r="DZ610" s="1019">
        <v>100000000</v>
      </c>
      <c r="EA610" s="1019">
        <v>100000000</v>
      </c>
      <c r="EB610" s="1019">
        <v>100000000</v>
      </c>
      <c r="EC610" s="1019">
        <v>100000000</v>
      </c>
      <c r="ED610" s="1019">
        <v>100000000</v>
      </c>
      <c r="EE610" s="1119">
        <f t="shared" si="361"/>
        <v>700000000</v>
      </c>
      <c r="EF610" s="443">
        <v>1684000000</v>
      </c>
      <c r="EG610" s="443">
        <f>EF610*1.08</f>
        <v>1818720000.0000002</v>
      </c>
      <c r="EH610" s="443">
        <v>1983000000</v>
      </c>
      <c r="EI610" s="443">
        <v>1983000000</v>
      </c>
      <c r="EJ610" s="367">
        <v>3000003933</v>
      </c>
      <c r="EL610" s="177"/>
      <c r="EM610" s="177"/>
      <c r="EN610" s="177"/>
    </row>
    <row r="611" spans="1:144" outlineLevel="2">
      <c r="A611" s="389"/>
      <c r="B611" s="378"/>
      <c r="C611" s="370" t="s">
        <v>688</v>
      </c>
      <c r="D611" s="297" t="s">
        <v>121</v>
      </c>
      <c r="E611" s="403" t="s">
        <v>838</v>
      </c>
      <c r="F611" s="380"/>
      <c r="G611" s="189"/>
      <c r="H611" s="13"/>
      <c r="I611" s="185"/>
      <c r="J611" s="185"/>
      <c r="K611" s="185"/>
      <c r="L611" s="185"/>
      <c r="M611" s="185"/>
      <c r="N611" s="185"/>
      <c r="O611" s="7"/>
      <c r="P611" s="7"/>
      <c r="Q611" s="7"/>
      <c r="R611" s="7"/>
      <c r="S611" s="14"/>
      <c r="T611" s="179"/>
      <c r="U611" s="189"/>
      <c r="V611" s="13"/>
      <c r="W611" s="185"/>
      <c r="X611" s="185"/>
      <c r="Y611" s="185"/>
      <c r="Z611" s="185"/>
      <c r="AA611" s="185"/>
      <c r="AB611" s="185"/>
      <c r="AC611" s="7"/>
      <c r="AD611" s="7"/>
      <c r="AE611" s="7"/>
      <c r="AF611" s="7"/>
      <c r="AG611" s="759"/>
      <c r="AH611" s="853"/>
      <c r="AI611" s="189"/>
      <c r="AJ611" s="810"/>
      <c r="AK611" s="758"/>
      <c r="AL611" s="758"/>
      <c r="AM611" s="758"/>
      <c r="AN611" s="758"/>
      <c r="AO611" s="758"/>
      <c r="AP611" s="758"/>
      <c r="AQ611" s="518"/>
      <c r="AR611" s="518"/>
      <c r="AS611" s="518"/>
      <c r="AT611" s="518"/>
      <c r="AU611" s="518"/>
      <c r="AV611" s="518"/>
      <c r="AW611" s="518"/>
      <c r="AX611" s="518">
        <f t="shared" ref="AX611:AX619" si="363">SUM(AI611,AJ611,AK611,AL611,AM611,AN611,AO611,AP611,AQ611,AR611,AS611,AT611)</f>
        <v>0</v>
      </c>
      <c r="AY611" s="853"/>
      <c r="AZ611" s="189"/>
      <c r="BA611" s="810"/>
      <c r="BB611" s="758"/>
      <c r="BC611" s="758"/>
      <c r="BD611" s="758"/>
      <c r="BE611" s="758"/>
      <c r="BF611" s="758"/>
      <c r="BG611" s="518"/>
      <c r="BH611" s="758"/>
      <c r="BI611" s="758"/>
      <c r="BJ611" s="758"/>
      <c r="BK611" s="758"/>
      <c r="BL611" s="518"/>
      <c r="BN611" s="758"/>
      <c r="BO611" s="758"/>
      <c r="BP611" s="758"/>
      <c r="BQ611" s="758"/>
      <c r="BR611" s="758"/>
      <c r="BS611" s="758"/>
      <c r="BT611" s="758"/>
      <c r="BU611" s="758"/>
      <c r="BV611" s="758"/>
      <c r="BW611" s="758"/>
      <c r="BX611" s="758"/>
      <c r="BY611" s="758"/>
      <c r="BZ611" s="791"/>
      <c r="CB611" s="758"/>
      <c r="CC611" s="758"/>
      <c r="CD611" s="758"/>
      <c r="CE611" s="758"/>
      <c r="CF611" s="758"/>
      <c r="CG611" s="758"/>
      <c r="CH611" s="758"/>
      <c r="CI611" s="758"/>
      <c r="CJ611" s="758"/>
      <c r="CK611" s="758"/>
      <c r="CL611" s="758"/>
      <c r="CM611" s="758"/>
      <c r="CN611" s="791"/>
      <c r="CP611" s="653"/>
      <c r="CQ611" s="653"/>
      <c r="CR611" s="524"/>
      <c r="CS611" s="653"/>
      <c r="CT611" s="524"/>
      <c r="CU611" s="653"/>
      <c r="CV611" s="524"/>
      <c r="CW611" s="653"/>
      <c r="CX611" s="524"/>
      <c r="CY611" s="653"/>
      <c r="CZ611" s="524">
        <v>200000000</v>
      </c>
      <c r="DA611" s="653"/>
      <c r="DB611" s="524">
        <v>200000000</v>
      </c>
      <c r="DC611" s="653">
        <v>0</v>
      </c>
      <c r="DD611" s="524">
        <v>200000000</v>
      </c>
      <c r="DE611" s="758"/>
      <c r="DF611" s="524">
        <v>200000000</v>
      </c>
      <c r="DG611" s="757">
        <v>200000000</v>
      </c>
      <c r="DH611" s="758"/>
      <c r="DI611" s="524">
        <v>200000000</v>
      </c>
      <c r="DJ611" s="757">
        <v>200000000</v>
      </c>
      <c r="DK611" s="758"/>
      <c r="DL611" s="524">
        <v>200000000</v>
      </c>
      <c r="DM611" s="757">
        <v>200000000</v>
      </c>
      <c r="DN611" s="758"/>
      <c r="DO611" s="524">
        <v>200000000</v>
      </c>
      <c r="DP611" s="757">
        <v>200000000</v>
      </c>
      <c r="DQ611" s="493">
        <f t="shared" si="359"/>
        <v>800000000</v>
      </c>
      <c r="DR611" s="479">
        <f t="shared" si="360"/>
        <v>1400000000</v>
      </c>
      <c r="DS611" s="1019"/>
      <c r="DT611" s="1019"/>
      <c r="DU611" s="1019"/>
      <c r="DV611" s="1019"/>
      <c r="DW611" s="1019"/>
      <c r="DX611" s="1019">
        <v>50000000</v>
      </c>
      <c r="DY611" s="1019">
        <v>50000000</v>
      </c>
      <c r="DZ611" s="1019">
        <v>50000000</v>
      </c>
      <c r="EA611" s="1019">
        <v>50000000</v>
      </c>
      <c r="EB611" s="1019">
        <v>50000000</v>
      </c>
      <c r="EC611" s="1019">
        <v>50000000</v>
      </c>
      <c r="ED611" s="1019">
        <v>50000000</v>
      </c>
      <c r="EE611" s="1119">
        <f t="shared" si="361"/>
        <v>350000000</v>
      </c>
      <c r="EF611" s="443"/>
      <c r="EG611" s="443"/>
      <c r="EH611" s="443"/>
      <c r="EI611" s="443"/>
      <c r="EL611" s="177"/>
      <c r="EM611" s="177"/>
      <c r="EN611" s="177"/>
    </row>
    <row r="612" spans="1:144" outlineLevel="2">
      <c r="A612" s="389"/>
      <c r="B612" s="378"/>
      <c r="C612" s="370" t="s">
        <v>688</v>
      </c>
      <c r="D612" s="297" t="s">
        <v>121</v>
      </c>
      <c r="E612" s="403" t="s">
        <v>839</v>
      </c>
      <c r="F612" s="380" t="s">
        <v>840</v>
      </c>
      <c r="G612" s="189"/>
      <c r="H612" s="13"/>
      <c r="I612" s="185"/>
      <c r="J612" s="185"/>
      <c r="K612" s="185"/>
      <c r="L612" s="185"/>
      <c r="M612" s="185"/>
      <c r="N612" s="185"/>
      <c r="O612" s="7"/>
      <c r="P612" s="7"/>
      <c r="Q612" s="7"/>
      <c r="R612" s="7"/>
      <c r="S612" s="14"/>
      <c r="T612" s="179"/>
      <c r="U612" s="189"/>
      <c r="V612" s="13"/>
      <c r="W612" s="185"/>
      <c r="X612" s="185"/>
      <c r="Y612" s="185"/>
      <c r="Z612" s="185"/>
      <c r="AA612" s="185"/>
      <c r="AB612" s="185"/>
      <c r="AC612" s="7"/>
      <c r="AD612" s="7"/>
      <c r="AE612" s="7"/>
      <c r="AF612" s="7"/>
      <c r="AG612" s="759"/>
      <c r="AH612" s="853"/>
      <c r="AI612" s="189"/>
      <c r="AJ612" s="810"/>
      <c r="AK612" s="758"/>
      <c r="AL612" s="758"/>
      <c r="AM612" s="758"/>
      <c r="AN612" s="758"/>
      <c r="AO612" s="758"/>
      <c r="AP612" s="758"/>
      <c r="AQ612" s="518"/>
      <c r="AR612" s="518"/>
      <c r="AS612" s="518"/>
      <c r="AT612" s="518"/>
      <c r="AU612" s="518"/>
      <c r="AV612" s="518"/>
      <c r="AW612" s="518"/>
      <c r="AX612" s="518">
        <f t="shared" si="363"/>
        <v>0</v>
      </c>
      <c r="AY612" s="853"/>
      <c r="AZ612" s="189"/>
      <c r="BA612" s="810"/>
      <c r="BB612" s="758"/>
      <c r="BC612" s="758"/>
      <c r="BD612" s="758"/>
      <c r="BE612" s="758"/>
      <c r="BF612" s="758"/>
      <c r="BG612" s="518"/>
      <c r="BH612" s="758"/>
      <c r="BI612" s="758"/>
      <c r="BJ612" s="758"/>
      <c r="BK612" s="758"/>
      <c r="BL612" s="759"/>
      <c r="BN612" s="758"/>
      <c r="BO612" s="758"/>
      <c r="BP612" s="758"/>
      <c r="BQ612" s="758"/>
      <c r="BR612" s="758"/>
      <c r="BS612" s="758"/>
      <c r="BT612" s="758"/>
      <c r="BU612" s="758"/>
      <c r="BV612" s="758"/>
      <c r="BW612" s="758"/>
      <c r="BX612" s="758"/>
      <c r="BY612" s="758"/>
      <c r="BZ612" s="791"/>
      <c r="CB612" s="758"/>
      <c r="CC612" s="758"/>
      <c r="CD612" s="758"/>
      <c r="CE612" s="758"/>
      <c r="CF612" s="758"/>
      <c r="CG612" s="758"/>
      <c r="CH612" s="758"/>
      <c r="CI612" s="758"/>
      <c r="CJ612" s="758"/>
      <c r="CK612" s="758"/>
      <c r="CL612" s="758"/>
      <c r="CM612" s="758"/>
      <c r="CN612" s="791"/>
      <c r="CO612" s="37"/>
      <c r="CP612" s="657"/>
      <c r="CQ612" s="657"/>
      <c r="CR612" s="528"/>
      <c r="CS612" s="657"/>
      <c r="CT612" s="528"/>
      <c r="CU612" s="657"/>
      <c r="CV612" s="528"/>
      <c r="CW612" s="657"/>
      <c r="CX612" s="528"/>
      <c r="CY612" s="657"/>
      <c r="CZ612" s="528">
        <v>20000000</v>
      </c>
      <c r="DA612" s="657">
        <v>19000000</v>
      </c>
      <c r="DB612" s="528"/>
      <c r="DC612" s="657">
        <v>24250000</v>
      </c>
      <c r="DD612" s="528"/>
      <c r="DE612" s="758"/>
      <c r="DF612" s="528"/>
      <c r="DG612" s="757"/>
      <c r="DH612" s="758"/>
      <c r="DI612" s="528"/>
      <c r="DJ612" s="757"/>
      <c r="DK612" s="758"/>
      <c r="DL612" s="528"/>
      <c r="DM612" s="757"/>
      <c r="DN612" s="758"/>
      <c r="DO612" s="528"/>
      <c r="DP612" s="757"/>
      <c r="DQ612" s="493">
        <f t="shared" si="359"/>
        <v>43250000</v>
      </c>
      <c r="DR612" s="479">
        <f t="shared" si="360"/>
        <v>20000000</v>
      </c>
      <c r="DS612" s="1020"/>
      <c r="DT612" s="1020"/>
      <c r="DU612" s="1020"/>
      <c r="DV612" s="1020"/>
      <c r="DW612" s="1020"/>
      <c r="DX612" s="1020"/>
      <c r="DY612" s="1020"/>
      <c r="DZ612" s="1020"/>
      <c r="EA612" s="1020"/>
      <c r="EB612" s="1020"/>
      <c r="EC612" s="1020"/>
      <c r="ED612" s="1020"/>
      <c r="EE612" s="1119">
        <f t="shared" si="361"/>
        <v>0</v>
      </c>
      <c r="EF612" s="443"/>
      <c r="EG612" s="443"/>
      <c r="EH612" s="443"/>
      <c r="EI612" s="443"/>
      <c r="EL612" s="177"/>
      <c r="EM612" s="177"/>
      <c r="EN612" s="177"/>
    </row>
    <row r="613" spans="1:144" outlineLevel="2">
      <c r="A613" s="389"/>
      <c r="B613" s="378"/>
      <c r="C613" s="370" t="s">
        <v>688</v>
      </c>
      <c r="D613" s="297" t="s">
        <v>121</v>
      </c>
      <c r="E613" s="403" t="s">
        <v>841</v>
      </c>
      <c r="F613" s="380"/>
      <c r="G613" s="189"/>
      <c r="H613" s="13"/>
      <c r="I613" s="185"/>
      <c r="J613" s="185"/>
      <c r="K613" s="185"/>
      <c r="L613" s="194"/>
      <c r="M613" s="185"/>
      <c r="N613" s="185"/>
      <c r="O613" s="7"/>
      <c r="P613" s="7"/>
      <c r="Q613" s="7"/>
      <c r="R613" s="7"/>
      <c r="S613" s="14"/>
      <c r="T613" s="179"/>
      <c r="U613" s="189"/>
      <c r="V613" s="13"/>
      <c r="W613" s="185"/>
      <c r="X613" s="185"/>
      <c r="Y613" s="185"/>
      <c r="Z613" s="194"/>
      <c r="AA613" s="185"/>
      <c r="AB613" s="185"/>
      <c r="AC613" s="7"/>
      <c r="AD613" s="7"/>
      <c r="AE613" s="7"/>
      <c r="AF613" s="7"/>
      <c r="AG613" s="759"/>
      <c r="AH613" s="861"/>
      <c r="AI613" s="189"/>
      <c r="AJ613" s="810"/>
      <c r="AK613" s="758"/>
      <c r="AL613" s="758"/>
      <c r="AM613" s="758"/>
      <c r="AN613" s="524"/>
      <c r="AO613" s="758"/>
      <c r="AP613" s="758"/>
      <c r="AQ613" s="518"/>
      <c r="AR613" s="518"/>
      <c r="AS613" s="518"/>
      <c r="AT613" s="518"/>
      <c r="AU613" s="518"/>
      <c r="AV613" s="518"/>
      <c r="AW613" s="518"/>
      <c r="AX613" s="518">
        <f t="shared" si="363"/>
        <v>0</v>
      </c>
      <c r="AY613" s="861"/>
      <c r="AZ613" s="189"/>
      <c r="BA613" s="810"/>
      <c r="BB613" s="758"/>
      <c r="BC613" s="758"/>
      <c r="BD613" s="758"/>
      <c r="BE613" s="524"/>
      <c r="BF613" s="758"/>
      <c r="BG613" s="518"/>
      <c r="BH613" s="758"/>
      <c r="BI613" s="758"/>
      <c r="BJ613" s="758"/>
      <c r="BK613" s="758"/>
      <c r="BL613" s="759"/>
      <c r="BN613" s="485"/>
      <c r="BO613" s="758"/>
      <c r="BP613" s="758"/>
      <c r="BQ613" s="758"/>
      <c r="BR613" s="758"/>
      <c r="BS613" s="758"/>
      <c r="BT613" s="758"/>
      <c r="BU613" s="758"/>
      <c r="BV613" s="758"/>
      <c r="BW613" s="758"/>
      <c r="BX613" s="758"/>
      <c r="BY613" s="758"/>
      <c r="BZ613" s="791"/>
      <c r="CB613" s="485"/>
      <c r="CC613" s="758"/>
      <c r="CD613" s="758"/>
      <c r="CE613" s="758"/>
      <c r="CF613" s="758"/>
      <c r="CG613" s="758"/>
      <c r="CH613" s="758"/>
      <c r="CI613" s="758"/>
      <c r="CJ613" s="758"/>
      <c r="CK613" s="758"/>
      <c r="CL613" s="758"/>
      <c r="CM613" s="758"/>
      <c r="CN613" s="791"/>
      <c r="CO613" s="37"/>
      <c r="CP613" s="657"/>
      <c r="CQ613" s="657"/>
      <c r="CR613" s="528"/>
      <c r="CS613" s="657"/>
      <c r="CT613" s="528"/>
      <c r="CU613" s="657"/>
      <c r="CV613" s="528"/>
      <c r="CW613" s="657"/>
      <c r="CX613" s="528"/>
      <c r="CY613" s="657"/>
      <c r="CZ613" s="528">
        <v>100000000</v>
      </c>
      <c r="DA613" s="657"/>
      <c r="DB613" s="528">
        <v>100000000</v>
      </c>
      <c r="DC613" s="657">
        <v>0</v>
      </c>
      <c r="DD613" s="528">
        <v>200000000</v>
      </c>
      <c r="DE613" s="758"/>
      <c r="DF613" s="528">
        <v>200000000</v>
      </c>
      <c r="DG613" s="757">
        <v>200000000</v>
      </c>
      <c r="DH613" s="758"/>
      <c r="DI613" s="528">
        <v>200000000</v>
      </c>
      <c r="DJ613" s="757">
        <v>200000000</v>
      </c>
      <c r="DK613" s="758"/>
      <c r="DL613" s="528">
        <v>200000000</v>
      </c>
      <c r="DM613" s="757">
        <v>200000000</v>
      </c>
      <c r="DN613" s="758"/>
      <c r="DO613" s="528">
        <v>200000000</v>
      </c>
      <c r="DP613" s="757">
        <v>200000000</v>
      </c>
      <c r="DQ613" s="493">
        <f t="shared" si="359"/>
        <v>800000000</v>
      </c>
      <c r="DR613" s="479">
        <f t="shared" si="360"/>
        <v>1200000000</v>
      </c>
      <c r="DS613" s="1020"/>
      <c r="DT613" s="1020"/>
      <c r="DU613" s="1020"/>
      <c r="DV613" s="1020"/>
      <c r="DW613" s="1020"/>
      <c r="DX613" s="1020"/>
      <c r="DY613" s="1020"/>
      <c r="DZ613" s="1020"/>
      <c r="EA613" s="1020"/>
      <c r="EB613" s="1020"/>
      <c r="EC613" s="1020"/>
      <c r="ED613" s="1020"/>
      <c r="EE613" s="1119">
        <f t="shared" si="361"/>
        <v>0</v>
      </c>
      <c r="EF613" s="443"/>
      <c r="EG613" s="443"/>
      <c r="EH613" s="443"/>
      <c r="EI613" s="443"/>
      <c r="EL613" s="177"/>
      <c r="EM613" s="177"/>
      <c r="EN613" s="177"/>
    </row>
    <row r="614" spans="1:144" outlineLevel="2">
      <c r="A614" s="389"/>
      <c r="B614" s="378"/>
      <c r="C614" s="370" t="s">
        <v>688</v>
      </c>
      <c r="D614" s="297" t="s">
        <v>121</v>
      </c>
      <c r="E614" s="403" t="s">
        <v>842</v>
      </c>
      <c r="F614" s="380"/>
      <c r="G614" s="189"/>
      <c r="H614" s="13"/>
      <c r="I614" s="185"/>
      <c r="J614" s="185"/>
      <c r="K614" s="185"/>
      <c r="L614" s="194"/>
      <c r="M614" s="185"/>
      <c r="N614" s="185"/>
      <c r="O614" s="7"/>
      <c r="P614" s="7"/>
      <c r="Q614" s="7"/>
      <c r="R614" s="7"/>
      <c r="S614" s="14"/>
      <c r="T614" s="179"/>
      <c r="U614" s="189"/>
      <c r="V614" s="13"/>
      <c r="W614" s="185"/>
      <c r="X614" s="185"/>
      <c r="Y614" s="185"/>
      <c r="Z614" s="194"/>
      <c r="AA614" s="185"/>
      <c r="AB614" s="185"/>
      <c r="AC614" s="7"/>
      <c r="AD614" s="7"/>
      <c r="AE614" s="7"/>
      <c r="AF614" s="7"/>
      <c r="AG614" s="759"/>
      <c r="AH614" s="853"/>
      <c r="AI614" s="189"/>
      <c r="AJ614" s="810"/>
      <c r="AK614" s="758"/>
      <c r="AL614" s="758"/>
      <c r="AM614" s="758"/>
      <c r="AN614" s="524"/>
      <c r="AO614" s="758"/>
      <c r="AP614" s="758"/>
      <c r="AQ614" s="518"/>
      <c r="AR614" s="518"/>
      <c r="AS614" s="518"/>
      <c r="AT614" s="518"/>
      <c r="AU614" s="518"/>
      <c r="AV614" s="518"/>
      <c r="AW614" s="518"/>
      <c r="AX614" s="518">
        <f t="shared" si="363"/>
        <v>0</v>
      </c>
      <c r="AY614" s="853"/>
      <c r="AZ614" s="189"/>
      <c r="BA614" s="810"/>
      <c r="BB614" s="758"/>
      <c r="BC614" s="758"/>
      <c r="BD614" s="758"/>
      <c r="BE614" s="524"/>
      <c r="BF614" s="758"/>
      <c r="BG614" s="518"/>
      <c r="BH614" s="758"/>
      <c r="BI614" s="758"/>
      <c r="BJ614" s="758"/>
      <c r="BK614" s="758"/>
      <c r="BL614" s="759"/>
      <c r="BN614" s="758"/>
      <c r="BO614" s="758"/>
      <c r="BP614" s="758"/>
      <c r="BQ614" s="758"/>
      <c r="BR614" s="758"/>
      <c r="BS614" s="758"/>
      <c r="BT614" s="758"/>
      <c r="BU614" s="758"/>
      <c r="BV614" s="758"/>
      <c r="BW614" s="758"/>
      <c r="BX614" s="758"/>
      <c r="BY614" s="758"/>
      <c r="BZ614" s="791"/>
      <c r="CB614" s="758"/>
      <c r="CC614" s="758"/>
      <c r="CD614" s="758"/>
      <c r="CE614" s="758"/>
      <c r="CF614" s="758"/>
      <c r="CG614" s="758"/>
      <c r="CH614" s="758"/>
      <c r="CI614" s="758"/>
      <c r="CJ614" s="758"/>
      <c r="CK614" s="758"/>
      <c r="CL614" s="758"/>
      <c r="CM614" s="758"/>
      <c r="CN614" s="791"/>
      <c r="CP614" s="653"/>
      <c r="CQ614" s="653"/>
      <c r="CR614" s="524"/>
      <c r="CS614" s="653"/>
      <c r="CT614" s="524"/>
      <c r="CU614" s="653"/>
      <c r="CV614" s="524"/>
      <c r="CW614" s="653"/>
      <c r="CX614" s="524"/>
      <c r="CY614" s="653"/>
      <c r="CZ614" s="524"/>
      <c r="DA614" s="653"/>
      <c r="DB614" s="524">
        <v>100000000</v>
      </c>
      <c r="DC614" s="653">
        <v>0</v>
      </c>
      <c r="DD614" s="524">
        <v>100000000</v>
      </c>
      <c r="DE614" s="758"/>
      <c r="DF614" s="524">
        <v>100000000</v>
      </c>
      <c r="DG614" s="757">
        <v>100000000</v>
      </c>
      <c r="DH614" s="758"/>
      <c r="DI614" s="524">
        <v>100000000</v>
      </c>
      <c r="DJ614" s="757">
        <v>100000000</v>
      </c>
      <c r="DK614" s="758"/>
      <c r="DL614" s="524">
        <v>100000000</v>
      </c>
      <c r="DM614" s="757">
        <v>100000000</v>
      </c>
      <c r="DN614" s="758"/>
      <c r="DO614" s="524">
        <v>100000000</v>
      </c>
      <c r="DP614" s="757">
        <v>100000000</v>
      </c>
      <c r="DQ614" s="493">
        <f t="shared" si="359"/>
        <v>400000000</v>
      </c>
      <c r="DR614" s="479">
        <f t="shared" si="360"/>
        <v>600000000</v>
      </c>
      <c r="DS614" s="1193">
        <v>100000000</v>
      </c>
      <c r="DT614" s="1193">
        <v>100000000</v>
      </c>
      <c r="DU614" s="1193">
        <v>100000000</v>
      </c>
      <c r="DV614" s="1193">
        <v>100000000</v>
      </c>
      <c r="DW614" s="1193">
        <v>100000000</v>
      </c>
      <c r="DX614" s="1193">
        <v>100000000</v>
      </c>
      <c r="DY614" s="1193">
        <v>100000000</v>
      </c>
      <c r="DZ614" s="1193">
        <v>100000000</v>
      </c>
      <c r="EA614" s="1193">
        <v>100000000</v>
      </c>
      <c r="EB614" s="1193">
        <v>100000000</v>
      </c>
      <c r="EC614" s="1193">
        <v>100000000</v>
      </c>
      <c r="ED614" s="1193">
        <v>100000000</v>
      </c>
      <c r="EE614" s="1194">
        <f t="shared" si="361"/>
        <v>1200000000</v>
      </c>
      <c r="EF614" s="443"/>
      <c r="EG614" s="443"/>
      <c r="EH614" s="443"/>
      <c r="EI614" s="443"/>
      <c r="EL614" s="177"/>
      <c r="EM614" s="177"/>
      <c r="EN614" s="177"/>
    </row>
    <row r="615" spans="1:144" outlineLevel="2">
      <c r="A615" s="367" t="s">
        <v>291</v>
      </c>
      <c r="B615" s="378"/>
      <c r="C615" s="370" t="s">
        <v>688</v>
      </c>
      <c r="D615" s="297" t="s">
        <v>121</v>
      </c>
      <c r="E615" s="403" t="s">
        <v>843</v>
      </c>
      <c r="F615" s="380" t="s">
        <v>844</v>
      </c>
      <c r="G615" s="189"/>
      <c r="H615" s="26"/>
      <c r="I615" s="185"/>
      <c r="J615" s="185"/>
      <c r="K615" s="185"/>
      <c r="L615" s="185"/>
      <c r="M615" s="185"/>
      <c r="N615" s="185"/>
      <c r="O615" s="7"/>
      <c r="P615" s="7"/>
      <c r="Q615" s="7"/>
      <c r="R615" s="7"/>
      <c r="S615" s="14">
        <f>SUM(G615,H615,I615,J615,K615,L615,M615,N615,O615,P615,Q615,R615)</f>
        <v>0</v>
      </c>
      <c r="T615" s="179"/>
      <c r="U615" s="189"/>
      <c r="V615" s="26"/>
      <c r="W615" s="185"/>
      <c r="X615" s="185"/>
      <c r="Y615" s="185"/>
      <c r="Z615" s="185"/>
      <c r="AA615" s="185"/>
      <c r="AB615" s="185"/>
      <c r="AC615" s="7"/>
      <c r="AD615" s="7"/>
      <c r="AE615" s="7"/>
      <c r="AF615" s="7"/>
      <c r="AG615" s="759">
        <f>SUM(U615,V615,W615,X615,Y615,Z615,AA615,AB615,AC615,AD615,AE615,AF615)</f>
        <v>0</v>
      </c>
      <c r="AH615" s="853" t="e">
        <v>#N/A</v>
      </c>
      <c r="AI615" s="189"/>
      <c r="AJ615" s="824"/>
      <c r="AK615" s="758"/>
      <c r="AL615" s="758"/>
      <c r="AM615" s="758"/>
      <c r="AN615" s="758"/>
      <c r="AO615" s="758"/>
      <c r="AP615" s="758"/>
      <c r="AQ615" s="518">
        <v>0</v>
      </c>
      <c r="AR615" s="518"/>
      <c r="AS615" s="518"/>
      <c r="AT615" s="518"/>
      <c r="AU615" s="518">
        <f t="shared" ref="AU615:AW616" si="364">BI615</f>
        <v>0</v>
      </c>
      <c r="AV615" s="518">
        <f t="shared" si="364"/>
        <v>0</v>
      </c>
      <c r="AW615" s="518">
        <f t="shared" si="364"/>
        <v>0</v>
      </c>
      <c r="AX615" s="518">
        <f t="shared" si="363"/>
        <v>0</v>
      </c>
      <c r="AY615" s="853">
        <v>0</v>
      </c>
      <c r="AZ615" s="189"/>
      <c r="BA615" s="824"/>
      <c r="BB615" s="758"/>
      <c r="BC615" s="758"/>
      <c r="BD615" s="758"/>
      <c r="BE615" s="758"/>
      <c r="BF615" s="758"/>
      <c r="BG615" s="518">
        <f>AP615</f>
        <v>0</v>
      </c>
      <c r="BH615" s="758">
        <v>0</v>
      </c>
      <c r="BI615" s="758">
        <v>0</v>
      </c>
      <c r="BJ615" s="758">
        <v>0</v>
      </c>
      <c r="BK615" s="758">
        <v>0</v>
      </c>
      <c r="BL615" s="759">
        <f>SUM(AZ615,BA615,BB615,BC615,BD615,BE615,BF615,BG615,BH615,BI615,BJ615,BK615)</f>
        <v>0</v>
      </c>
      <c r="BN615" s="758">
        <v>400000000</v>
      </c>
      <c r="BO615" s="758">
        <v>400000000</v>
      </c>
      <c r="BP615" s="758">
        <v>400000000</v>
      </c>
      <c r="BQ615" s="758">
        <v>400000000</v>
      </c>
      <c r="BR615" s="758">
        <v>400000000</v>
      </c>
      <c r="BS615" s="758">
        <v>400000000</v>
      </c>
      <c r="BT615" s="758">
        <v>400000000</v>
      </c>
      <c r="BU615" s="758">
        <v>400000000</v>
      </c>
      <c r="BV615" s="758">
        <v>400000000</v>
      </c>
      <c r="BW615" s="758">
        <v>400000000</v>
      </c>
      <c r="BX615" s="758">
        <v>400000000</v>
      </c>
      <c r="BY615" s="758">
        <v>400000000</v>
      </c>
      <c r="BZ615" s="791">
        <v>4800000000</v>
      </c>
      <c r="CB615" s="758">
        <v>400000000</v>
      </c>
      <c r="CC615" s="758">
        <v>400000000</v>
      </c>
      <c r="CD615" s="758">
        <v>400000000</v>
      </c>
      <c r="CE615" s="758">
        <v>400000000</v>
      </c>
      <c r="CF615" s="758">
        <v>400000000</v>
      </c>
      <c r="CG615" s="758">
        <v>400000000</v>
      </c>
      <c r="CH615" s="758">
        <v>400000000</v>
      </c>
      <c r="CI615" s="758">
        <v>400000000</v>
      </c>
      <c r="CJ615" s="758">
        <v>400000000</v>
      </c>
      <c r="CK615" s="758">
        <v>400000000</v>
      </c>
      <c r="CL615" s="758">
        <v>400000000</v>
      </c>
      <c r="CM615" s="758">
        <v>400000000</v>
      </c>
      <c r="CN615" s="791">
        <v>4800000000</v>
      </c>
      <c r="CP615" s="653"/>
      <c r="CQ615" s="653"/>
      <c r="CR615" s="524"/>
      <c r="CS615" s="653"/>
      <c r="CT615" s="524"/>
      <c r="CU615" s="653"/>
      <c r="CV615" s="524"/>
      <c r="CW615" s="653"/>
      <c r="CX615" s="524">
        <v>400000000</v>
      </c>
      <c r="CY615" s="653"/>
      <c r="CZ615" s="524">
        <v>300000000</v>
      </c>
      <c r="DA615" s="653"/>
      <c r="DB615" s="524">
        <v>300000000</v>
      </c>
      <c r="DC615" s="653">
        <v>0</v>
      </c>
      <c r="DD615" s="524">
        <v>300000000</v>
      </c>
      <c r="DE615" s="758"/>
      <c r="DF615" s="524">
        <v>500000000</v>
      </c>
      <c r="DG615" s="757">
        <v>500000000</v>
      </c>
      <c r="DH615" s="758"/>
      <c r="DI615" s="524">
        <v>500000000</v>
      </c>
      <c r="DJ615" s="757">
        <v>500000000</v>
      </c>
      <c r="DK615" s="758"/>
      <c r="DL615" s="524">
        <v>500000000</v>
      </c>
      <c r="DM615" s="757">
        <v>500000000</v>
      </c>
      <c r="DN615" s="758"/>
      <c r="DO615" s="524">
        <v>500000000</v>
      </c>
      <c r="DP615" s="757">
        <v>500000000</v>
      </c>
      <c r="DQ615" s="493">
        <f t="shared" si="359"/>
        <v>2000000000</v>
      </c>
      <c r="DR615" s="479">
        <f t="shared" si="360"/>
        <v>3300000000</v>
      </c>
      <c r="DS615" s="1193">
        <v>100000000</v>
      </c>
      <c r="DT615" s="1193">
        <v>100000000</v>
      </c>
      <c r="DU615" s="1193">
        <v>100000000</v>
      </c>
      <c r="DV615" s="1193">
        <v>100000000</v>
      </c>
      <c r="DW615" s="1193">
        <v>100000000</v>
      </c>
      <c r="DX615" s="1193">
        <v>100000000</v>
      </c>
      <c r="DY615" s="1193">
        <v>100000000</v>
      </c>
      <c r="DZ615" s="1193">
        <v>100000000</v>
      </c>
      <c r="EA615" s="1193">
        <v>100000000</v>
      </c>
      <c r="EB615" s="1193">
        <v>100000000</v>
      </c>
      <c r="EC615" s="1193">
        <v>100000000</v>
      </c>
      <c r="ED615" s="1193">
        <v>100000000</v>
      </c>
      <c r="EE615" s="1194">
        <f t="shared" si="361"/>
        <v>1200000000</v>
      </c>
      <c r="EF615" s="443">
        <v>9736000000</v>
      </c>
      <c r="EG615" s="443">
        <v>12702880000</v>
      </c>
      <c r="EH615" s="443">
        <v>16600000000</v>
      </c>
      <c r="EI615" s="443">
        <v>16600000000</v>
      </c>
      <c r="EJ615" s="367" t="s">
        <v>844</v>
      </c>
      <c r="EL615" s="177"/>
      <c r="EM615" s="177"/>
      <c r="EN615" s="177"/>
    </row>
    <row r="616" spans="1:144" outlineLevel="2">
      <c r="A616" s="367" t="s">
        <v>687</v>
      </c>
      <c r="B616" s="378"/>
      <c r="C616" s="370" t="s">
        <v>688</v>
      </c>
      <c r="D616" s="297" t="s">
        <v>121</v>
      </c>
      <c r="E616" s="403" t="s">
        <v>845</v>
      </c>
      <c r="F616" s="380" t="s">
        <v>846</v>
      </c>
      <c r="G616" s="189"/>
      <c r="H616" s="13"/>
      <c r="I616" s="185"/>
      <c r="J616" s="185"/>
      <c r="K616" s="185"/>
      <c r="L616" s="185"/>
      <c r="M616" s="185"/>
      <c r="N616" s="185"/>
      <c r="O616" s="7"/>
      <c r="P616" s="7"/>
      <c r="Q616" s="7"/>
      <c r="R616" s="7"/>
      <c r="S616" s="14">
        <f>SUM(G616,H616,I616,J616,K616,L616,M616,N616,O616,P616,Q616,R616)</f>
        <v>0</v>
      </c>
      <c r="T616" s="179"/>
      <c r="U616" s="189"/>
      <c r="V616" s="13"/>
      <c r="W616" s="185"/>
      <c r="X616" s="185"/>
      <c r="Y616" s="185"/>
      <c r="Z616" s="185"/>
      <c r="AA616" s="185"/>
      <c r="AB616" s="185"/>
      <c r="AC616" s="7"/>
      <c r="AD616" s="7"/>
      <c r="AE616" s="7"/>
      <c r="AF616" s="7"/>
      <c r="AG616" s="759">
        <f>SUM(U616,V616,W616,X616,Y616,Z616,AA616,AB616,AC616,AD616,AE616,AF616)</f>
        <v>0</v>
      </c>
      <c r="AH616" s="861" t="e">
        <v>#N/A</v>
      </c>
      <c r="AI616" s="189"/>
      <c r="AJ616" s="810"/>
      <c r="AK616" s="758"/>
      <c r="AL616" s="758"/>
      <c r="AM616" s="758"/>
      <c r="AN616" s="758"/>
      <c r="AO616" s="758"/>
      <c r="AP616" s="758"/>
      <c r="AQ616" s="518">
        <v>0</v>
      </c>
      <c r="AR616" s="518"/>
      <c r="AS616" s="518"/>
      <c r="AT616" s="518"/>
      <c r="AU616" s="518">
        <f t="shared" si="364"/>
        <v>0</v>
      </c>
      <c r="AV616" s="518">
        <f t="shared" si="364"/>
        <v>0</v>
      </c>
      <c r="AW616" s="518">
        <f t="shared" si="364"/>
        <v>0</v>
      </c>
      <c r="AX616" s="518">
        <f t="shared" si="363"/>
        <v>0</v>
      </c>
      <c r="AY616" s="861">
        <v>0</v>
      </c>
      <c r="AZ616" s="189"/>
      <c r="BA616" s="810"/>
      <c r="BB616" s="758"/>
      <c r="BC616" s="758"/>
      <c r="BD616" s="758"/>
      <c r="BE616" s="758"/>
      <c r="BF616" s="758"/>
      <c r="BG616" s="518">
        <f>AP616</f>
        <v>0</v>
      </c>
      <c r="BH616" s="758">
        <v>0</v>
      </c>
      <c r="BI616" s="758">
        <v>0</v>
      </c>
      <c r="BJ616" s="758">
        <v>0</v>
      </c>
      <c r="BK616" s="758">
        <v>0</v>
      </c>
      <c r="BL616" s="759">
        <f>SUM(AZ616,BA616,BB616,BC616,BD616,BE616,BF616,BG616,BH616,BI616,BJ616,BK616)</f>
        <v>0</v>
      </c>
      <c r="BN616" s="485">
        <v>15000000</v>
      </c>
      <c r="BO616" s="758">
        <v>15000000</v>
      </c>
      <c r="BP616" s="758">
        <v>15000000</v>
      </c>
      <c r="BQ616" s="758">
        <v>15000000</v>
      </c>
      <c r="BR616" s="758">
        <v>15000000</v>
      </c>
      <c r="BS616" s="758">
        <v>15000000</v>
      </c>
      <c r="BT616" s="758">
        <v>15000000</v>
      </c>
      <c r="BU616" s="758">
        <v>15000000</v>
      </c>
      <c r="BV616" s="758">
        <v>15000000</v>
      </c>
      <c r="BW616" s="758">
        <v>15000000</v>
      </c>
      <c r="BX616" s="758">
        <v>15000000</v>
      </c>
      <c r="BY616" s="758">
        <v>15000000</v>
      </c>
      <c r="BZ616" s="791">
        <v>180000000</v>
      </c>
      <c r="CB616" s="485">
        <v>15000000</v>
      </c>
      <c r="CC616" s="758">
        <v>15000000</v>
      </c>
      <c r="CD616" s="758">
        <v>15000000</v>
      </c>
      <c r="CE616" s="758">
        <v>15000000</v>
      </c>
      <c r="CF616" s="758">
        <v>15000000</v>
      </c>
      <c r="CG616" s="758">
        <v>15000000</v>
      </c>
      <c r="CH616" s="758">
        <v>15000000</v>
      </c>
      <c r="CI616" s="758">
        <v>15000000</v>
      </c>
      <c r="CJ616" s="758">
        <v>15000000</v>
      </c>
      <c r="CK616" s="758">
        <v>15000000</v>
      </c>
      <c r="CL616" s="758">
        <v>15000000</v>
      </c>
      <c r="CM616" s="758">
        <v>15000000</v>
      </c>
      <c r="CN616" s="791">
        <v>180000000</v>
      </c>
      <c r="CO616" s="37"/>
      <c r="CP616" s="657"/>
      <c r="CQ616" s="657"/>
      <c r="CR616" s="528"/>
      <c r="CS616" s="657"/>
      <c r="CT616" s="528"/>
      <c r="CU616" s="657"/>
      <c r="CV616" s="528"/>
      <c r="CW616" s="657"/>
      <c r="CX616" s="528"/>
      <c r="CY616" s="657"/>
      <c r="CZ616" s="528"/>
      <c r="DA616" s="657"/>
      <c r="DB616" s="528"/>
      <c r="DC616" s="657">
        <v>0</v>
      </c>
      <c r="DD616" s="528"/>
      <c r="DE616" s="758"/>
      <c r="DF616" s="528"/>
      <c r="DG616" s="757"/>
      <c r="DH616" s="758"/>
      <c r="DI616" s="528"/>
      <c r="DJ616" s="757"/>
      <c r="DK616" s="758"/>
      <c r="DL616" s="528"/>
      <c r="DM616" s="757"/>
      <c r="DN616" s="758"/>
      <c r="DO616" s="528"/>
      <c r="DP616" s="757"/>
      <c r="DQ616" s="493">
        <f t="shared" si="359"/>
        <v>0</v>
      </c>
      <c r="DR616" s="479">
        <f t="shared" si="360"/>
        <v>0</v>
      </c>
      <c r="DS616" s="1020"/>
      <c r="DT616" s="1020"/>
      <c r="DU616" s="1020"/>
      <c r="DV616" s="1020"/>
      <c r="DW616" s="1020"/>
      <c r="DX616" s="1020"/>
      <c r="DY616" s="1020"/>
      <c r="DZ616" s="1020"/>
      <c r="EA616" s="1020"/>
      <c r="EB616" s="1020"/>
      <c r="EC616" s="1020"/>
      <c r="ED616" s="1020"/>
      <c r="EE616" s="1119">
        <f t="shared" si="361"/>
        <v>0</v>
      </c>
      <c r="EF616" s="443">
        <v>252000000</v>
      </c>
      <c r="EG616" s="443">
        <f>EF616*1.08</f>
        <v>272160000</v>
      </c>
      <c r="EH616" s="443">
        <v>297000000</v>
      </c>
      <c r="EI616" s="443">
        <v>297000000</v>
      </c>
      <c r="EJ616" s="367" t="s">
        <v>846</v>
      </c>
      <c r="EL616" s="177"/>
      <c r="EM616" s="177"/>
      <c r="EN616" s="177"/>
    </row>
    <row r="617" spans="1:144" outlineLevel="2">
      <c r="A617" s="389"/>
      <c r="B617" s="378"/>
      <c r="C617" s="370" t="s">
        <v>688</v>
      </c>
      <c r="D617" s="297" t="s">
        <v>121</v>
      </c>
      <c r="E617" s="388" t="s">
        <v>847</v>
      </c>
      <c r="F617" s="380" t="s">
        <v>848</v>
      </c>
      <c r="G617" s="189"/>
      <c r="H617" s="30"/>
      <c r="I617" s="185"/>
      <c r="J617" s="185"/>
      <c r="K617" s="185"/>
      <c r="L617" s="194"/>
      <c r="M617" s="185"/>
      <c r="N617" s="185"/>
      <c r="O617" s="7"/>
      <c r="P617" s="7"/>
      <c r="Q617" s="7"/>
      <c r="R617" s="7"/>
      <c r="S617" s="14"/>
      <c r="T617" s="179"/>
      <c r="U617" s="189"/>
      <c r="V617" s="30"/>
      <c r="W617" s="185"/>
      <c r="X617" s="185"/>
      <c r="Y617" s="185"/>
      <c r="Z617" s="194"/>
      <c r="AA617" s="185"/>
      <c r="AB617" s="185"/>
      <c r="AC617" s="7"/>
      <c r="AD617" s="7"/>
      <c r="AE617" s="7"/>
      <c r="AF617" s="7"/>
      <c r="AG617" s="759"/>
      <c r="AH617" s="861"/>
      <c r="AI617" s="189"/>
      <c r="AJ617" s="859"/>
      <c r="AK617" s="758"/>
      <c r="AL617" s="758"/>
      <c r="AM617" s="758"/>
      <c r="AN617" s="524"/>
      <c r="AO617" s="758"/>
      <c r="AP617" s="758"/>
      <c r="AQ617" s="518"/>
      <c r="AR617" s="518"/>
      <c r="AS617" s="518"/>
      <c r="AT617" s="518"/>
      <c r="AU617" s="518"/>
      <c r="AV617" s="518"/>
      <c r="AW617" s="518"/>
      <c r="AX617" s="518">
        <f t="shared" si="363"/>
        <v>0</v>
      </c>
      <c r="AY617" s="861"/>
      <c r="AZ617" s="189"/>
      <c r="BA617" s="859"/>
      <c r="BB617" s="758"/>
      <c r="BC617" s="758"/>
      <c r="BD617" s="758"/>
      <c r="BE617" s="524"/>
      <c r="BF617" s="758"/>
      <c r="BG617" s="518"/>
      <c r="BH617" s="758"/>
      <c r="BI617" s="758"/>
      <c r="BJ617" s="758"/>
      <c r="BK617" s="758"/>
      <c r="BL617" s="759"/>
      <c r="BN617" s="485"/>
      <c r="BO617" s="758"/>
      <c r="BP617" s="758"/>
      <c r="BQ617" s="758"/>
      <c r="BR617" s="758"/>
      <c r="BS617" s="758"/>
      <c r="BT617" s="758"/>
      <c r="BU617" s="758"/>
      <c r="BV617" s="758"/>
      <c r="BW617" s="758"/>
      <c r="BX617" s="758"/>
      <c r="BY617" s="758"/>
      <c r="BZ617" s="791"/>
      <c r="CB617" s="485"/>
      <c r="CC617" s="758"/>
      <c r="CD617" s="758"/>
      <c r="CE617" s="758"/>
      <c r="CF617" s="758"/>
      <c r="CG617" s="758"/>
      <c r="CH617" s="758"/>
      <c r="CI617" s="758"/>
      <c r="CJ617" s="758"/>
      <c r="CK617" s="758"/>
      <c r="CL617" s="758"/>
      <c r="CM617" s="758"/>
      <c r="CN617" s="791"/>
      <c r="CO617" s="37"/>
      <c r="CP617" s="657"/>
      <c r="CQ617" s="657"/>
      <c r="CR617" s="528"/>
      <c r="CS617" s="657"/>
      <c r="CT617" s="528"/>
      <c r="CU617" s="657"/>
      <c r="CV617" s="528"/>
      <c r="CW617" s="657">
        <v>1250000</v>
      </c>
      <c r="CX617" s="528">
        <v>50000000</v>
      </c>
      <c r="CY617" s="657">
        <v>3400000</v>
      </c>
      <c r="CZ617" s="528">
        <v>50000000</v>
      </c>
      <c r="DA617" s="657"/>
      <c r="DB617" s="528">
        <v>50000000</v>
      </c>
      <c r="DC617" s="657">
        <v>150000</v>
      </c>
      <c r="DD617" s="528">
        <v>50000000</v>
      </c>
      <c r="DE617" s="758"/>
      <c r="DF617" s="528">
        <v>50000000</v>
      </c>
      <c r="DG617" s="757">
        <v>50000000</v>
      </c>
      <c r="DH617" s="758"/>
      <c r="DI617" s="528">
        <v>50000000</v>
      </c>
      <c r="DJ617" s="757">
        <v>50000000</v>
      </c>
      <c r="DK617" s="758"/>
      <c r="DL617" s="528">
        <v>50000000</v>
      </c>
      <c r="DM617" s="757">
        <v>50000000</v>
      </c>
      <c r="DN617" s="758"/>
      <c r="DO617" s="528">
        <v>50000000</v>
      </c>
      <c r="DP617" s="757">
        <v>50000000</v>
      </c>
      <c r="DQ617" s="493">
        <f t="shared" si="359"/>
        <v>204800000</v>
      </c>
      <c r="DR617" s="479">
        <f t="shared" si="360"/>
        <v>400000000</v>
      </c>
      <c r="DS617" s="1020"/>
      <c r="DT617" s="1020"/>
      <c r="DU617" s="1020"/>
      <c r="DV617" s="1020"/>
      <c r="DW617" s="1020"/>
      <c r="DX617" s="1020"/>
      <c r="DY617" s="1020"/>
      <c r="DZ617" s="1020"/>
      <c r="EA617" s="1020"/>
      <c r="EB617" s="1020"/>
      <c r="EC617" s="1020"/>
      <c r="ED617" s="1020"/>
      <c r="EE617" s="1119">
        <f t="shared" si="361"/>
        <v>0</v>
      </c>
      <c r="EF617" s="443"/>
      <c r="EG617" s="443"/>
      <c r="EH617" s="443"/>
      <c r="EI617" s="443"/>
      <c r="EL617" s="177"/>
      <c r="EM617" s="177"/>
      <c r="EN617" s="177"/>
    </row>
    <row r="618" spans="1:144" outlineLevel="2">
      <c r="A618" s="389"/>
      <c r="B618" s="378"/>
      <c r="C618" s="370" t="s">
        <v>688</v>
      </c>
      <c r="D618" s="297" t="s">
        <v>121</v>
      </c>
      <c r="E618" s="403" t="s">
        <v>849</v>
      </c>
      <c r="F618" s="380"/>
      <c r="G618" s="189"/>
      <c r="H618" s="13"/>
      <c r="I618" s="185"/>
      <c r="J618" s="185"/>
      <c r="K618" s="185"/>
      <c r="L618" s="194"/>
      <c r="M618" s="185"/>
      <c r="N618" s="185"/>
      <c r="O618" s="7"/>
      <c r="P618" s="7"/>
      <c r="Q618" s="7"/>
      <c r="R618" s="7"/>
      <c r="S618" s="14"/>
      <c r="T618" s="179"/>
      <c r="U618" s="189"/>
      <c r="V618" s="13"/>
      <c r="W618" s="185"/>
      <c r="X618" s="185"/>
      <c r="Y618" s="185"/>
      <c r="Z618" s="194"/>
      <c r="AA618" s="185"/>
      <c r="AB618" s="185"/>
      <c r="AC618" s="7"/>
      <c r="AD618" s="7"/>
      <c r="AE618" s="7"/>
      <c r="AF618" s="7"/>
      <c r="AG618" s="759"/>
      <c r="AH618" s="861"/>
      <c r="AI618" s="189"/>
      <c r="AJ618" s="810"/>
      <c r="AK618" s="758"/>
      <c r="AL618" s="758"/>
      <c r="AM618" s="758"/>
      <c r="AN618" s="524"/>
      <c r="AO618" s="758"/>
      <c r="AP618" s="758"/>
      <c r="AQ618" s="518"/>
      <c r="AR618" s="518"/>
      <c r="AS618" s="518"/>
      <c r="AT618" s="518"/>
      <c r="AU618" s="518"/>
      <c r="AV618" s="518"/>
      <c r="AW618" s="518"/>
      <c r="AX618" s="518">
        <f t="shared" si="363"/>
        <v>0</v>
      </c>
      <c r="AY618" s="861"/>
      <c r="AZ618" s="189"/>
      <c r="BA618" s="810"/>
      <c r="BB618" s="758"/>
      <c r="BC618" s="758"/>
      <c r="BD618" s="758"/>
      <c r="BE618" s="524"/>
      <c r="BF618" s="758"/>
      <c r="BG618" s="518"/>
      <c r="BH618" s="758"/>
      <c r="BI618" s="758"/>
      <c r="BJ618" s="758"/>
      <c r="BK618" s="758"/>
      <c r="BL618" s="759"/>
      <c r="BN618" s="485"/>
      <c r="BO618" s="758"/>
      <c r="BP618" s="758"/>
      <c r="BQ618" s="758"/>
      <c r="BR618" s="758"/>
      <c r="BS618" s="758"/>
      <c r="BT618" s="758"/>
      <c r="BU618" s="758"/>
      <c r="BV618" s="758"/>
      <c r="BW618" s="758"/>
      <c r="BX618" s="758"/>
      <c r="BY618" s="758"/>
      <c r="BZ618" s="791"/>
      <c r="CB618" s="485"/>
      <c r="CC618" s="758"/>
      <c r="CD618" s="758"/>
      <c r="CE618" s="758"/>
      <c r="CF618" s="758"/>
      <c r="CG618" s="758"/>
      <c r="CH618" s="758"/>
      <c r="CI618" s="758"/>
      <c r="CJ618" s="758"/>
      <c r="CK618" s="758"/>
      <c r="CL618" s="758"/>
      <c r="CM618" s="758"/>
      <c r="CN618" s="791"/>
      <c r="CO618" s="37"/>
      <c r="CP618" s="657"/>
      <c r="CQ618" s="657"/>
      <c r="CR618" s="528"/>
      <c r="CS618" s="657"/>
      <c r="CT618" s="528"/>
      <c r="CU618" s="657"/>
      <c r="CV618" s="528"/>
      <c r="CW618" s="657"/>
      <c r="CX618" s="528"/>
      <c r="CY618" s="657"/>
      <c r="CZ618" s="528"/>
      <c r="DA618" s="657"/>
      <c r="DB618" s="528"/>
      <c r="DC618" s="657">
        <v>0</v>
      </c>
      <c r="DD618" s="528"/>
      <c r="DE618" s="758"/>
      <c r="DF618" s="528">
        <v>200000000</v>
      </c>
      <c r="DG618" s="757"/>
      <c r="DH618" s="758"/>
      <c r="DI618" s="528"/>
      <c r="DJ618" s="757"/>
      <c r="DK618" s="758"/>
      <c r="DL618" s="528"/>
      <c r="DM618" s="757"/>
      <c r="DN618" s="758"/>
      <c r="DO618" s="528"/>
      <c r="DP618" s="757"/>
      <c r="DQ618" s="493">
        <f t="shared" si="359"/>
        <v>200000000</v>
      </c>
      <c r="DR618" s="479">
        <f t="shared" si="360"/>
        <v>0</v>
      </c>
      <c r="DS618" s="1020"/>
      <c r="DT618" s="1020"/>
      <c r="DU618" s="1020"/>
      <c r="DV618" s="1020"/>
      <c r="DW618" s="1020"/>
      <c r="DX618" s="1020">
        <v>50000000</v>
      </c>
      <c r="DY618" s="1020">
        <v>50000000</v>
      </c>
      <c r="DZ618" s="1020">
        <v>50000000</v>
      </c>
      <c r="EA618" s="1020">
        <v>50000000</v>
      </c>
      <c r="EB618" s="1020">
        <v>50000000</v>
      </c>
      <c r="EC618" s="1020">
        <v>50000000</v>
      </c>
      <c r="ED618" s="1020">
        <v>50000000</v>
      </c>
      <c r="EE618" s="1119">
        <f t="shared" si="361"/>
        <v>350000000</v>
      </c>
      <c r="EF618" s="443"/>
      <c r="EG618" s="443"/>
      <c r="EH618" s="443"/>
      <c r="EI618" s="443"/>
      <c r="EL618" s="177"/>
      <c r="EM618" s="177"/>
      <c r="EN618" s="177"/>
    </row>
    <row r="619" spans="1:144" outlineLevel="2">
      <c r="A619" s="389"/>
      <c r="B619" s="378"/>
      <c r="C619" s="370" t="s">
        <v>688</v>
      </c>
      <c r="D619" s="297" t="s">
        <v>121</v>
      </c>
      <c r="E619" s="403" t="s">
        <v>850</v>
      </c>
      <c r="F619" s="380"/>
      <c r="G619" s="189"/>
      <c r="H619" s="13"/>
      <c r="I619" s="185"/>
      <c r="J619" s="185"/>
      <c r="K619" s="185"/>
      <c r="L619" s="185"/>
      <c r="M619" s="185"/>
      <c r="N619" s="185"/>
      <c r="O619" s="185"/>
      <c r="P619" s="185"/>
      <c r="Q619" s="185"/>
      <c r="R619" s="185"/>
      <c r="S619" s="14"/>
      <c r="T619" s="179"/>
      <c r="U619" s="189"/>
      <c r="V619" s="13"/>
      <c r="W619" s="185"/>
      <c r="X619" s="185"/>
      <c r="Y619" s="185"/>
      <c r="Z619" s="185"/>
      <c r="AA619" s="185"/>
      <c r="AB619" s="185"/>
      <c r="AC619" s="185"/>
      <c r="AD619" s="185"/>
      <c r="AE619" s="185"/>
      <c r="AF619" s="185"/>
      <c r="AG619" s="759"/>
      <c r="AH619" s="788"/>
      <c r="AI619" s="189"/>
      <c r="AJ619" s="810"/>
      <c r="AK619" s="758"/>
      <c r="AL619" s="758"/>
      <c r="AM619" s="758"/>
      <c r="AN619" s="758"/>
      <c r="AO619" s="758"/>
      <c r="AP619" s="758"/>
      <c r="AQ619" s="518"/>
      <c r="AR619" s="813"/>
      <c r="AS619" s="518"/>
      <c r="AT619" s="518"/>
      <c r="AU619" s="758"/>
      <c r="AV619" s="758"/>
      <c r="AW619" s="758"/>
      <c r="AX619" s="518">
        <f t="shared" si="363"/>
        <v>0</v>
      </c>
      <c r="AY619" s="788"/>
      <c r="AZ619" s="189"/>
      <c r="BA619" s="810"/>
      <c r="BB619" s="758"/>
      <c r="BC619" s="758"/>
      <c r="BD619" s="758"/>
      <c r="BE619" s="758"/>
      <c r="BF619" s="758"/>
      <c r="BG619" s="758"/>
      <c r="BH619" s="758"/>
      <c r="BI619" s="758"/>
      <c r="BJ619" s="758"/>
      <c r="BK619" s="758"/>
      <c r="BL619" s="518"/>
      <c r="BN619" s="189"/>
      <c r="BO619" s="810"/>
      <c r="BP619" s="758"/>
      <c r="BQ619" s="758"/>
      <c r="BR619" s="758"/>
      <c r="BS619" s="758"/>
      <c r="BT619" s="758"/>
      <c r="BU619" s="758"/>
      <c r="BV619" s="758"/>
      <c r="BW619" s="758"/>
      <c r="BX619" s="758"/>
      <c r="BY619" s="758"/>
      <c r="BZ619" s="496"/>
      <c r="CB619" s="189"/>
      <c r="CC619" s="810"/>
      <c r="CD619" s="758"/>
      <c r="CE619" s="758"/>
      <c r="CF619" s="758"/>
      <c r="CG619" s="758"/>
      <c r="CH619" s="758"/>
      <c r="CI619" s="758"/>
      <c r="CJ619" s="758"/>
      <c r="CK619" s="758"/>
      <c r="CL619" s="758"/>
      <c r="CM619" s="758"/>
      <c r="CN619" s="759"/>
      <c r="CO619" s="37"/>
      <c r="CP619" s="658"/>
      <c r="CQ619" s="658"/>
      <c r="CR619" s="189"/>
      <c r="CS619" s="658"/>
      <c r="CT619" s="189"/>
      <c r="CU619" s="658"/>
      <c r="CV619" s="189"/>
      <c r="CW619" s="658"/>
      <c r="CX619" s="189"/>
      <c r="CY619" s="658"/>
      <c r="CZ619" s="189"/>
      <c r="DA619" s="658"/>
      <c r="DB619" s="189"/>
      <c r="DC619" s="658">
        <v>0</v>
      </c>
      <c r="DD619" s="189">
        <v>800000000</v>
      </c>
      <c r="DE619" s="758"/>
      <c r="DF619" s="189">
        <v>800000000</v>
      </c>
      <c r="DG619" s="757">
        <v>400000000</v>
      </c>
      <c r="DH619" s="758"/>
      <c r="DI619" s="189"/>
      <c r="DJ619" s="757">
        <v>500000000</v>
      </c>
      <c r="DK619" s="758"/>
      <c r="DL619" s="189"/>
      <c r="DM619" s="757">
        <v>500000000</v>
      </c>
      <c r="DN619" s="758"/>
      <c r="DO619" s="189">
        <v>400000000</v>
      </c>
      <c r="DP619" s="757">
        <v>600000000</v>
      </c>
      <c r="DQ619" s="493">
        <f t="shared" si="359"/>
        <v>1200000000</v>
      </c>
      <c r="DR619" s="479">
        <f t="shared" si="360"/>
        <v>2800000000</v>
      </c>
      <c r="DS619" s="1193">
        <v>50000000</v>
      </c>
      <c r="DT619" s="1193">
        <v>50000000</v>
      </c>
      <c r="DU619" s="1193">
        <v>50000000</v>
      </c>
      <c r="DV619" s="1193">
        <v>50000000</v>
      </c>
      <c r="DW619" s="1193">
        <v>50000000</v>
      </c>
      <c r="DX619" s="1193">
        <v>50000000</v>
      </c>
      <c r="DY619" s="1193">
        <v>50000000</v>
      </c>
      <c r="DZ619" s="1193">
        <v>50000000</v>
      </c>
      <c r="EA619" s="1193">
        <v>50000000</v>
      </c>
      <c r="EB619" s="1193">
        <v>50000000</v>
      </c>
      <c r="EC619" s="1193">
        <v>50000000</v>
      </c>
      <c r="ED619" s="1193">
        <v>50000000</v>
      </c>
      <c r="EE619" s="1194">
        <f t="shared" si="361"/>
        <v>600000000</v>
      </c>
      <c r="EF619" s="447"/>
      <c r="EG619" s="447"/>
      <c r="EH619" s="447"/>
      <c r="EI619" s="447"/>
      <c r="EL619" s="177"/>
      <c r="EM619" s="177"/>
      <c r="EN619" s="177"/>
    </row>
    <row r="620" spans="1:144" outlineLevel="2">
      <c r="A620" s="389"/>
      <c r="B620" s="378"/>
      <c r="D620" s="297"/>
      <c r="E620" s="403" t="s">
        <v>851</v>
      </c>
      <c r="F620" s="380"/>
      <c r="G620" s="189"/>
      <c r="H620" s="13"/>
      <c r="I620" s="185"/>
      <c r="J620" s="185"/>
      <c r="K620" s="185"/>
      <c r="L620" s="185"/>
      <c r="M620" s="185"/>
      <c r="N620" s="185"/>
      <c r="O620" s="185"/>
      <c r="P620" s="185"/>
      <c r="Q620" s="185"/>
      <c r="R620" s="185"/>
      <c r="S620" s="14"/>
      <c r="T620" s="179"/>
      <c r="U620" s="189"/>
      <c r="V620" s="13"/>
      <c r="W620" s="185"/>
      <c r="X620" s="185"/>
      <c r="Y620" s="185"/>
      <c r="Z620" s="185"/>
      <c r="AA620" s="185"/>
      <c r="AB620" s="185"/>
      <c r="AC620" s="185"/>
      <c r="AD620" s="185"/>
      <c r="AE620" s="185"/>
      <c r="AF620" s="185"/>
      <c r="AG620" s="759"/>
      <c r="AH620" s="788"/>
      <c r="AI620" s="189"/>
      <c r="AJ620" s="810"/>
      <c r="AK620" s="758"/>
      <c r="AL620" s="758"/>
      <c r="AM620" s="758"/>
      <c r="AN620" s="758"/>
      <c r="AO620" s="758"/>
      <c r="AP620" s="758"/>
      <c r="AQ620" s="518"/>
      <c r="AR620" s="813"/>
      <c r="AS620" s="518"/>
      <c r="AT620" s="518"/>
      <c r="AU620" s="758"/>
      <c r="AV620" s="758"/>
      <c r="AW620" s="758"/>
      <c r="AX620" s="518"/>
      <c r="AY620" s="788"/>
      <c r="AZ620" s="189"/>
      <c r="BA620" s="810"/>
      <c r="BB620" s="758"/>
      <c r="BC620" s="758"/>
      <c r="BD620" s="758"/>
      <c r="BE620" s="758"/>
      <c r="BF620" s="758"/>
      <c r="BG620" s="758"/>
      <c r="BH620" s="758"/>
      <c r="BI620" s="758"/>
      <c r="BJ620" s="758"/>
      <c r="BK620" s="758"/>
      <c r="BL620" s="518"/>
      <c r="BN620" s="189"/>
      <c r="BO620" s="810"/>
      <c r="BP620" s="758"/>
      <c r="BQ620" s="758"/>
      <c r="BR620" s="758"/>
      <c r="BS620" s="758"/>
      <c r="BT620" s="758"/>
      <c r="BU620" s="758"/>
      <c r="BV620" s="758"/>
      <c r="BW620" s="758"/>
      <c r="BX620" s="758"/>
      <c r="BY620" s="758"/>
      <c r="BZ620" s="496"/>
      <c r="CB620" s="189"/>
      <c r="CC620" s="810"/>
      <c r="CD620" s="758"/>
      <c r="CE620" s="758"/>
      <c r="CF620" s="758"/>
      <c r="CG620" s="758"/>
      <c r="CH620" s="758"/>
      <c r="CI620" s="758"/>
      <c r="CJ620" s="758"/>
      <c r="CK620" s="758"/>
      <c r="CL620" s="758"/>
      <c r="CM620" s="758"/>
      <c r="CN620" s="759"/>
      <c r="CO620" s="37"/>
      <c r="CP620" s="658"/>
      <c r="CQ620" s="658"/>
      <c r="CR620" s="189"/>
      <c r="CS620" s="658"/>
      <c r="CT620" s="189"/>
      <c r="CU620" s="658"/>
      <c r="CV620" s="189"/>
      <c r="CW620" s="658"/>
      <c r="CX620" s="189"/>
      <c r="CY620" s="658"/>
      <c r="CZ620" s="189"/>
      <c r="DA620" s="658"/>
      <c r="DB620" s="189"/>
      <c r="DC620" s="658"/>
      <c r="DD620" s="189"/>
      <c r="DE620" s="758"/>
      <c r="DF620" s="189"/>
      <c r="DG620" s="757"/>
      <c r="DH620" s="758"/>
      <c r="DI620" s="189"/>
      <c r="DJ620" s="757"/>
      <c r="DK620" s="758"/>
      <c r="DL620" s="189"/>
      <c r="DM620" s="757"/>
      <c r="DN620" s="758"/>
      <c r="DO620" s="189"/>
      <c r="DP620" s="757"/>
      <c r="DQ620" s="493"/>
      <c r="DR620" s="479"/>
      <c r="DS620" s="1019"/>
      <c r="DT620" s="1019"/>
      <c r="DU620" s="1019"/>
      <c r="DV620" s="1019"/>
      <c r="DW620" s="1019"/>
      <c r="DX620" s="1019"/>
      <c r="DY620" s="1019"/>
      <c r="DZ620" s="1019">
        <v>400000000</v>
      </c>
      <c r="EA620" s="1019"/>
      <c r="EB620" s="1019"/>
      <c r="EC620" s="1019">
        <v>400000000</v>
      </c>
      <c r="ED620" s="1019"/>
      <c r="EE620" s="1119">
        <f t="shared" si="361"/>
        <v>800000000</v>
      </c>
      <c r="EF620" s="447"/>
      <c r="EG620" s="447"/>
      <c r="EH620" s="447"/>
      <c r="EI620" s="447"/>
      <c r="EL620" s="177"/>
      <c r="EM620" s="177"/>
      <c r="EN620" s="177"/>
    </row>
    <row r="621" spans="1:144" outlineLevel="2">
      <c r="A621" s="389"/>
      <c r="B621" s="378"/>
      <c r="D621" s="297"/>
      <c r="E621" s="403" t="s">
        <v>144</v>
      </c>
      <c r="F621" s="380"/>
      <c r="G621" s="189"/>
      <c r="H621" s="13"/>
      <c r="I621" s="185"/>
      <c r="J621" s="185"/>
      <c r="K621" s="185"/>
      <c r="L621" s="185"/>
      <c r="M621" s="185"/>
      <c r="N621" s="185"/>
      <c r="O621" s="185"/>
      <c r="P621" s="185"/>
      <c r="Q621" s="185"/>
      <c r="R621" s="185"/>
      <c r="S621" s="14"/>
      <c r="T621" s="179"/>
      <c r="U621" s="189"/>
      <c r="V621" s="13"/>
      <c r="W621" s="185"/>
      <c r="X621" s="185"/>
      <c r="Y621" s="185"/>
      <c r="Z621" s="185"/>
      <c r="AA621" s="185"/>
      <c r="AB621" s="185"/>
      <c r="AC621" s="185"/>
      <c r="AD621" s="185"/>
      <c r="AE621" s="185"/>
      <c r="AF621" s="185"/>
      <c r="AG621" s="759"/>
      <c r="AH621" s="788"/>
      <c r="AI621" s="189"/>
      <c r="AJ621" s="810"/>
      <c r="AK621" s="758"/>
      <c r="AL621" s="758"/>
      <c r="AM621" s="758"/>
      <c r="AN621" s="758"/>
      <c r="AO621" s="758"/>
      <c r="AP621" s="758"/>
      <c r="AQ621" s="518"/>
      <c r="AR621" s="813"/>
      <c r="AS621" s="518"/>
      <c r="AT621" s="518"/>
      <c r="AU621" s="758"/>
      <c r="AV621" s="758"/>
      <c r="AW621" s="758"/>
      <c r="AX621" s="518"/>
      <c r="AY621" s="788"/>
      <c r="AZ621" s="189"/>
      <c r="BA621" s="810"/>
      <c r="BB621" s="758"/>
      <c r="BC621" s="758"/>
      <c r="BD621" s="758"/>
      <c r="BE621" s="758"/>
      <c r="BF621" s="758"/>
      <c r="BG621" s="758"/>
      <c r="BH621" s="758"/>
      <c r="BI621" s="758"/>
      <c r="BJ621" s="758"/>
      <c r="BK621" s="758"/>
      <c r="BL621" s="518"/>
      <c r="BN621" s="189"/>
      <c r="BO621" s="810"/>
      <c r="BP621" s="758"/>
      <c r="BQ621" s="758"/>
      <c r="BR621" s="758"/>
      <c r="BS621" s="758"/>
      <c r="BT621" s="758"/>
      <c r="BU621" s="758"/>
      <c r="BV621" s="758"/>
      <c r="BW621" s="758"/>
      <c r="BX621" s="758"/>
      <c r="BY621" s="758"/>
      <c r="BZ621" s="496"/>
      <c r="CB621" s="189"/>
      <c r="CC621" s="810"/>
      <c r="CD621" s="758"/>
      <c r="CE621" s="758"/>
      <c r="CF621" s="758"/>
      <c r="CG621" s="758"/>
      <c r="CH621" s="758"/>
      <c r="CI621" s="758"/>
      <c r="CJ621" s="758"/>
      <c r="CK621" s="758"/>
      <c r="CL621" s="758"/>
      <c r="CM621" s="758"/>
      <c r="CN621" s="759"/>
      <c r="CO621" s="37"/>
      <c r="CP621" s="658"/>
      <c r="CQ621" s="658"/>
      <c r="CR621" s="189"/>
      <c r="CS621" s="658"/>
      <c r="CT621" s="189"/>
      <c r="CU621" s="658"/>
      <c r="CV621" s="189"/>
      <c r="CW621" s="658"/>
      <c r="CX621" s="189"/>
      <c r="CY621" s="658"/>
      <c r="CZ621" s="189"/>
      <c r="DA621" s="658"/>
      <c r="DB621" s="189"/>
      <c r="DC621" s="658"/>
      <c r="DD621" s="189"/>
      <c r="DE621" s="758"/>
      <c r="DF621" s="189"/>
      <c r="DG621" s="757"/>
      <c r="DH621" s="758"/>
      <c r="DI621" s="189"/>
      <c r="DJ621" s="757"/>
      <c r="DK621" s="758"/>
      <c r="DL621" s="189"/>
      <c r="DM621" s="757"/>
      <c r="DN621" s="758"/>
      <c r="DO621" s="189"/>
      <c r="DP621" s="757"/>
      <c r="DQ621" s="493"/>
      <c r="DR621" s="479"/>
      <c r="DS621" s="1019"/>
      <c r="DT621" s="1019"/>
      <c r="DU621" s="1019"/>
      <c r="DV621" s="1019"/>
      <c r="DW621" s="1019"/>
      <c r="DX621" s="1019">
        <v>300000000</v>
      </c>
      <c r="DY621" s="1019">
        <v>300000000</v>
      </c>
      <c r="DZ621" s="1019">
        <v>300000000</v>
      </c>
      <c r="EA621" s="1019">
        <v>300000000</v>
      </c>
      <c r="EB621" s="1019">
        <v>300000000</v>
      </c>
      <c r="EC621" s="1019">
        <v>300000000</v>
      </c>
      <c r="ED621" s="1019">
        <v>300000000</v>
      </c>
      <c r="EE621" s="1119">
        <f t="shared" si="361"/>
        <v>2100000000</v>
      </c>
      <c r="EF621" s="447"/>
      <c r="EG621" s="447"/>
      <c r="EH621" s="447"/>
      <c r="EI621" s="447"/>
      <c r="EL621" s="177"/>
      <c r="EM621" s="177"/>
      <c r="EN621" s="177"/>
    </row>
    <row r="622" spans="1:144" outlineLevel="2">
      <c r="A622" s="389"/>
      <c r="B622" s="378"/>
      <c r="D622" s="297"/>
      <c r="E622" s="403" t="s">
        <v>852</v>
      </c>
      <c r="F622" s="380"/>
      <c r="G622" s="189"/>
      <c r="H622" s="13"/>
      <c r="I622" s="185"/>
      <c r="J622" s="185"/>
      <c r="K622" s="185"/>
      <c r="L622" s="185"/>
      <c r="M622" s="185"/>
      <c r="N622" s="185"/>
      <c r="O622" s="185"/>
      <c r="P622" s="185"/>
      <c r="Q622" s="185"/>
      <c r="R622" s="185"/>
      <c r="S622" s="14"/>
      <c r="T622" s="179"/>
      <c r="U622" s="189"/>
      <c r="V622" s="13"/>
      <c r="W622" s="185"/>
      <c r="X622" s="185"/>
      <c r="Y622" s="185"/>
      <c r="Z622" s="185"/>
      <c r="AA622" s="185"/>
      <c r="AB622" s="185"/>
      <c r="AC622" s="185"/>
      <c r="AD622" s="185"/>
      <c r="AE622" s="185"/>
      <c r="AF622" s="185"/>
      <c r="AG622" s="759"/>
      <c r="AH622" s="788"/>
      <c r="AI622" s="189"/>
      <c r="AJ622" s="810"/>
      <c r="AK622" s="758"/>
      <c r="AL622" s="758"/>
      <c r="AM622" s="758"/>
      <c r="AN622" s="758"/>
      <c r="AO622" s="758"/>
      <c r="AP622" s="758"/>
      <c r="AQ622" s="518"/>
      <c r="AR622" s="813"/>
      <c r="AS622" s="518"/>
      <c r="AT622" s="518"/>
      <c r="AU622" s="758"/>
      <c r="AV622" s="758"/>
      <c r="AW622" s="758"/>
      <c r="AX622" s="518"/>
      <c r="AY622" s="788"/>
      <c r="AZ622" s="189"/>
      <c r="BA622" s="810"/>
      <c r="BB622" s="758"/>
      <c r="BC622" s="758"/>
      <c r="BD622" s="758"/>
      <c r="BE622" s="758"/>
      <c r="BF622" s="758"/>
      <c r="BG622" s="758"/>
      <c r="BH622" s="758"/>
      <c r="BI622" s="758"/>
      <c r="BJ622" s="758"/>
      <c r="BK622" s="758"/>
      <c r="BL622" s="518"/>
      <c r="BN622" s="189"/>
      <c r="BO622" s="810"/>
      <c r="BP622" s="758"/>
      <c r="BQ622" s="758"/>
      <c r="BR622" s="758"/>
      <c r="BS622" s="758"/>
      <c r="BT622" s="758"/>
      <c r="BU622" s="758"/>
      <c r="BV622" s="758"/>
      <c r="BW622" s="758"/>
      <c r="BX622" s="758"/>
      <c r="BY622" s="758"/>
      <c r="BZ622" s="496"/>
      <c r="CB622" s="189"/>
      <c r="CC622" s="810"/>
      <c r="CD622" s="758"/>
      <c r="CE622" s="758"/>
      <c r="CF622" s="758"/>
      <c r="CG622" s="758"/>
      <c r="CH622" s="758"/>
      <c r="CI622" s="758"/>
      <c r="CJ622" s="758"/>
      <c r="CK622" s="758"/>
      <c r="CL622" s="758"/>
      <c r="CM622" s="758"/>
      <c r="CN622" s="759"/>
      <c r="CO622" s="37"/>
      <c r="CP622" s="658"/>
      <c r="CQ622" s="658"/>
      <c r="CR622" s="189"/>
      <c r="CS622" s="658"/>
      <c r="CT622" s="189"/>
      <c r="CU622" s="658"/>
      <c r="CV622" s="189"/>
      <c r="CW622" s="658"/>
      <c r="CX622" s="189"/>
      <c r="CY622" s="658"/>
      <c r="CZ622" s="189"/>
      <c r="DA622" s="658"/>
      <c r="DB622" s="189"/>
      <c r="DC622" s="658"/>
      <c r="DD622" s="189"/>
      <c r="DE622" s="758"/>
      <c r="DF622" s="189"/>
      <c r="DG622" s="757"/>
      <c r="DH622" s="758"/>
      <c r="DI622" s="189"/>
      <c r="DJ622" s="757"/>
      <c r="DK622" s="758"/>
      <c r="DL622" s="189"/>
      <c r="DM622" s="757"/>
      <c r="DN622" s="758"/>
      <c r="DO622" s="189"/>
      <c r="DP622" s="757"/>
      <c r="DQ622" s="493"/>
      <c r="DR622" s="479"/>
      <c r="DS622" s="1193">
        <v>30000000</v>
      </c>
      <c r="DT622" s="1193">
        <v>30000000</v>
      </c>
      <c r="DU622" s="1193">
        <v>30000000</v>
      </c>
      <c r="DV622" s="1193">
        <v>30000000</v>
      </c>
      <c r="DW622" s="1193">
        <v>30000000</v>
      </c>
      <c r="DX622" s="1193">
        <v>30000000</v>
      </c>
      <c r="DY622" s="1193">
        <v>30000000</v>
      </c>
      <c r="DZ622" s="1193">
        <v>30000000</v>
      </c>
      <c r="EA622" s="1193">
        <v>30000000</v>
      </c>
      <c r="EB622" s="1193">
        <v>30000000</v>
      </c>
      <c r="EC622" s="1193">
        <v>30000000</v>
      </c>
      <c r="ED622" s="1193">
        <v>30000000</v>
      </c>
      <c r="EE622" s="1194">
        <f t="shared" si="361"/>
        <v>360000000</v>
      </c>
      <c r="EF622" s="447"/>
      <c r="EG622" s="447"/>
      <c r="EH622" s="447"/>
      <c r="EI622" s="447"/>
      <c r="EL622" s="177"/>
      <c r="EM622" s="177"/>
      <c r="EN622" s="177"/>
    </row>
    <row r="623" spans="1:144" outlineLevel="2">
      <c r="B623" s="378"/>
      <c r="E623" s="403"/>
      <c r="F623" s="380"/>
      <c r="G623" s="189"/>
      <c r="H623" s="1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181"/>
      <c r="U623" s="189"/>
      <c r="V623" s="13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181"/>
      <c r="AI623" s="189"/>
      <c r="AJ623" s="810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181"/>
      <c r="AZ623" s="189"/>
      <c r="BA623" s="810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N623" s="189"/>
      <c r="BO623" s="810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799"/>
      <c r="CB623" s="189"/>
      <c r="CC623" s="810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37"/>
      <c r="CP623" s="658"/>
      <c r="CQ623" s="658"/>
      <c r="CR623" s="189"/>
      <c r="CS623" s="658"/>
      <c r="CT623" s="189"/>
      <c r="CU623" s="658"/>
      <c r="CV623" s="189"/>
      <c r="CW623" s="658"/>
      <c r="CX623" s="189"/>
      <c r="CY623" s="658"/>
      <c r="CZ623" s="189"/>
      <c r="DA623" s="658"/>
      <c r="DB623" s="189"/>
      <c r="DC623" s="658"/>
      <c r="DD623" s="189"/>
      <c r="DE623" s="6"/>
      <c r="DF623" s="189"/>
      <c r="DG623" s="752"/>
      <c r="DH623" s="6"/>
      <c r="DI623" s="189"/>
      <c r="DJ623" s="752"/>
      <c r="DK623" s="6"/>
      <c r="DL623" s="189"/>
      <c r="DM623" s="752"/>
      <c r="DN623" s="6"/>
      <c r="DO623" s="189"/>
      <c r="DP623" s="752"/>
      <c r="DQ623" s="494"/>
      <c r="DR623" s="505"/>
      <c r="DS623" s="1020"/>
      <c r="DT623" s="1020"/>
      <c r="DU623" s="1020"/>
      <c r="DV623" s="1020"/>
      <c r="DW623" s="1020"/>
      <c r="DX623" s="1020"/>
      <c r="DY623" s="1020"/>
      <c r="DZ623" s="1020"/>
      <c r="EA623" s="1020"/>
      <c r="EB623" s="1020"/>
      <c r="EC623" s="1020"/>
      <c r="ED623" s="1020"/>
      <c r="EE623" s="1119">
        <f t="shared" si="361"/>
        <v>0</v>
      </c>
      <c r="EF623" s="455"/>
      <c r="EG623" s="455"/>
      <c r="EH623" s="455"/>
      <c r="EI623" s="455"/>
      <c r="EJ623" s="367" t="e">
        <v>#N/A</v>
      </c>
      <c r="EL623" s="177"/>
      <c r="EM623" s="177"/>
      <c r="EN623" s="177"/>
    </row>
    <row r="624" spans="1:144" ht="15" outlineLevel="1" thickBot="1">
      <c r="B624" s="378"/>
      <c r="E624" s="432" t="s">
        <v>853</v>
      </c>
      <c r="F624" s="380"/>
      <c r="G624" s="32">
        <f t="shared" ref="G624:S624" si="365">SUM(G449:G623)</f>
        <v>0</v>
      </c>
      <c r="H624" s="33">
        <f t="shared" si="365"/>
        <v>0</v>
      </c>
      <c r="I624" s="32">
        <f t="shared" si="365"/>
        <v>0</v>
      </c>
      <c r="J624" s="32">
        <f t="shared" si="365"/>
        <v>0</v>
      </c>
      <c r="K624" s="32">
        <f t="shared" si="365"/>
        <v>0</v>
      </c>
      <c r="L624" s="32">
        <f t="shared" si="365"/>
        <v>0</v>
      </c>
      <c r="M624" s="32">
        <f t="shared" si="365"/>
        <v>0</v>
      </c>
      <c r="N624" s="32">
        <f t="shared" si="365"/>
        <v>0</v>
      </c>
      <c r="O624" s="32">
        <f t="shared" si="365"/>
        <v>0</v>
      </c>
      <c r="P624" s="32">
        <f t="shared" si="365"/>
        <v>0</v>
      </c>
      <c r="Q624" s="32">
        <f t="shared" si="365"/>
        <v>0</v>
      </c>
      <c r="R624" s="32">
        <f t="shared" si="365"/>
        <v>0</v>
      </c>
      <c r="S624" s="32">
        <f t="shared" si="365"/>
        <v>0</v>
      </c>
      <c r="T624" s="34"/>
      <c r="U624" s="32">
        <f t="shared" ref="U624:AG624" si="366">SUM(U449:U623)</f>
        <v>0</v>
      </c>
      <c r="V624" s="33">
        <f t="shared" si="366"/>
        <v>0</v>
      </c>
      <c r="W624" s="32">
        <f t="shared" si="366"/>
        <v>0</v>
      </c>
      <c r="X624" s="32">
        <f t="shared" si="366"/>
        <v>0</v>
      </c>
      <c r="Y624" s="32">
        <f t="shared" si="366"/>
        <v>0</v>
      </c>
      <c r="Z624" s="32">
        <f t="shared" si="366"/>
        <v>0</v>
      </c>
      <c r="AA624" s="32">
        <f t="shared" si="366"/>
        <v>0</v>
      </c>
      <c r="AB624" s="32">
        <f t="shared" si="366"/>
        <v>0</v>
      </c>
      <c r="AC624" s="32">
        <f t="shared" si="366"/>
        <v>0</v>
      </c>
      <c r="AD624" s="32">
        <f t="shared" si="366"/>
        <v>0</v>
      </c>
      <c r="AE624" s="32">
        <f t="shared" si="366"/>
        <v>0</v>
      </c>
      <c r="AF624" s="32">
        <f t="shared" si="366"/>
        <v>0</v>
      </c>
      <c r="AG624" s="484">
        <f t="shared" si="366"/>
        <v>0</v>
      </c>
      <c r="AH624" s="869"/>
      <c r="AI624" s="484">
        <f t="shared" ref="AI624:AX624" si="367">SUM(AI449:AI623)</f>
        <v>457462039</v>
      </c>
      <c r="AJ624" s="870">
        <f t="shared" si="367"/>
        <v>649106160</v>
      </c>
      <c r="AK624" s="484">
        <f t="shared" si="367"/>
        <v>508798060</v>
      </c>
      <c r="AL624" s="484">
        <f t="shared" si="367"/>
        <v>1651033953</v>
      </c>
      <c r="AM624" s="484">
        <f t="shared" si="367"/>
        <v>1174526931</v>
      </c>
      <c r="AN624" s="484">
        <f t="shared" si="367"/>
        <v>1329940341</v>
      </c>
      <c r="AO624" s="484">
        <f t="shared" si="367"/>
        <v>973559916</v>
      </c>
      <c r="AP624" s="484">
        <f t="shared" si="367"/>
        <v>1228093798</v>
      </c>
      <c r="AQ624" s="484">
        <f t="shared" si="367"/>
        <v>1455286379</v>
      </c>
      <c r="AR624" s="484">
        <f t="shared" si="367"/>
        <v>1359679072</v>
      </c>
      <c r="AS624" s="484">
        <f t="shared" si="367"/>
        <v>1213121982</v>
      </c>
      <c r="AT624" s="484">
        <f t="shared" si="367"/>
        <v>1577224074</v>
      </c>
      <c r="AU624" s="484">
        <f t="shared" si="367"/>
        <v>1461450000</v>
      </c>
      <c r="AV624" s="484">
        <f t="shared" si="367"/>
        <v>1443000000</v>
      </c>
      <c r="AW624" s="484">
        <f t="shared" si="367"/>
        <v>1458000000</v>
      </c>
      <c r="AX624" s="484">
        <f t="shared" si="367"/>
        <v>13577832705</v>
      </c>
      <c r="AY624" s="869"/>
      <c r="AZ624" s="484">
        <f t="shared" ref="AZ624:BL624" si="368">SUM(AZ449:AZ623)</f>
        <v>457462039</v>
      </c>
      <c r="BA624" s="870">
        <f t="shared" si="368"/>
        <v>649106160</v>
      </c>
      <c r="BB624" s="484">
        <f t="shared" si="368"/>
        <v>508798060</v>
      </c>
      <c r="BC624" s="484">
        <f t="shared" si="368"/>
        <v>1651033953</v>
      </c>
      <c r="BD624" s="484">
        <f t="shared" si="368"/>
        <v>1174526931</v>
      </c>
      <c r="BE624" s="484">
        <f t="shared" si="368"/>
        <v>1329940341</v>
      </c>
      <c r="BF624" s="484">
        <f t="shared" si="368"/>
        <v>973559916</v>
      </c>
      <c r="BG624" s="484">
        <f t="shared" si="368"/>
        <v>1228093798</v>
      </c>
      <c r="BH624" s="484">
        <f t="shared" si="368"/>
        <v>1443000000</v>
      </c>
      <c r="BI624" s="484">
        <f t="shared" si="368"/>
        <v>1461450000</v>
      </c>
      <c r="BJ624" s="484">
        <f t="shared" si="368"/>
        <v>1443000000</v>
      </c>
      <c r="BK624" s="484">
        <f t="shared" si="368"/>
        <v>1458000000</v>
      </c>
      <c r="BL624" s="484">
        <f t="shared" si="368"/>
        <v>13777971198</v>
      </c>
      <c r="BN624" s="478">
        <f t="shared" ref="BN624:BZ624" si="369">BN602+BN575+BN448</f>
        <v>2984000000</v>
      </c>
      <c r="BO624" s="478">
        <f t="shared" si="369"/>
        <v>2980500000</v>
      </c>
      <c r="BP624" s="478">
        <f t="shared" si="369"/>
        <v>2983500000</v>
      </c>
      <c r="BQ624" s="478">
        <f t="shared" si="369"/>
        <v>2970500000</v>
      </c>
      <c r="BR624" s="478">
        <f t="shared" si="369"/>
        <v>3130500000</v>
      </c>
      <c r="BS624" s="478">
        <f t="shared" si="369"/>
        <v>3129000000</v>
      </c>
      <c r="BT624" s="478">
        <f t="shared" si="369"/>
        <v>3134000000</v>
      </c>
      <c r="BU624" s="478">
        <f t="shared" si="369"/>
        <v>3140500000</v>
      </c>
      <c r="BV624" s="478">
        <f t="shared" si="369"/>
        <v>3133500000</v>
      </c>
      <c r="BW624" s="478">
        <f t="shared" si="369"/>
        <v>3134000000</v>
      </c>
      <c r="BX624" s="478">
        <f t="shared" si="369"/>
        <v>3130500000</v>
      </c>
      <c r="BY624" s="478">
        <f t="shared" si="369"/>
        <v>3137500000</v>
      </c>
      <c r="BZ624" s="478">
        <f t="shared" si="369"/>
        <v>36988000000</v>
      </c>
      <c r="CB624" s="484">
        <f t="shared" ref="CB624:CM624" si="370">SUM(CB449:CB623)</f>
        <v>2984000000</v>
      </c>
      <c r="CC624" s="870">
        <f t="shared" si="370"/>
        <v>2980500000</v>
      </c>
      <c r="CD624" s="484">
        <f t="shared" si="370"/>
        <v>2983500000</v>
      </c>
      <c r="CE624" s="484">
        <f t="shared" si="370"/>
        <v>2970500000</v>
      </c>
      <c r="CF624" s="484">
        <f t="shared" si="370"/>
        <v>3130500000</v>
      </c>
      <c r="CG624" s="484">
        <f t="shared" si="370"/>
        <v>3129000000</v>
      </c>
      <c r="CH624" s="484">
        <f t="shared" si="370"/>
        <v>3134000000</v>
      </c>
      <c r="CI624" s="484">
        <f t="shared" si="370"/>
        <v>3140500000</v>
      </c>
      <c r="CJ624" s="484">
        <f t="shared" si="370"/>
        <v>3133500000</v>
      </c>
      <c r="CK624" s="484">
        <f t="shared" si="370"/>
        <v>3134000000</v>
      </c>
      <c r="CL624" s="484">
        <f t="shared" si="370"/>
        <v>3130500000</v>
      </c>
      <c r="CM624" s="484">
        <f t="shared" si="370"/>
        <v>3137500000</v>
      </c>
      <c r="CN624" s="484">
        <v>36988000000</v>
      </c>
      <c r="CO624" s="37"/>
      <c r="CP624" s="478">
        <f t="shared" ref="CP624:DR624" si="371">CP602+CP575+CP448</f>
        <v>1577069699</v>
      </c>
      <c r="CQ624" s="478">
        <f t="shared" si="371"/>
        <v>1749787069</v>
      </c>
      <c r="CR624" s="478">
        <f t="shared" si="371"/>
        <v>1736197000</v>
      </c>
      <c r="CS624" s="478">
        <f t="shared" si="371"/>
        <v>1734640999</v>
      </c>
      <c r="CT624" s="478">
        <f t="shared" si="371"/>
        <v>1219000000</v>
      </c>
      <c r="CU624" s="478">
        <f t="shared" si="371"/>
        <v>1546132366</v>
      </c>
      <c r="CV624" s="478">
        <f t="shared" si="371"/>
        <v>1546000000</v>
      </c>
      <c r="CW624" s="478">
        <f t="shared" si="371"/>
        <v>1711043112</v>
      </c>
      <c r="CX624" s="478">
        <f t="shared" si="371"/>
        <v>1723000000</v>
      </c>
      <c r="CY624" s="478">
        <f t="shared" si="371"/>
        <v>2914732469</v>
      </c>
      <c r="CZ624" s="478">
        <f t="shared" si="371"/>
        <v>2613000000</v>
      </c>
      <c r="DA624" s="478">
        <f t="shared" si="371"/>
        <v>2490658660</v>
      </c>
      <c r="DB624" s="478">
        <f t="shared" si="371"/>
        <v>2663000000</v>
      </c>
      <c r="DC624" s="478">
        <f t="shared" si="371"/>
        <v>2730303857</v>
      </c>
      <c r="DD624" s="478">
        <f t="shared" si="371"/>
        <v>3313000000</v>
      </c>
      <c r="DE624" s="478">
        <f t="shared" si="371"/>
        <v>0</v>
      </c>
      <c r="DF624" s="478">
        <f>DF602+DF575+DF448</f>
        <v>3863000000</v>
      </c>
      <c r="DG624" s="478">
        <f t="shared" si="371"/>
        <v>3253000000</v>
      </c>
      <c r="DH624" s="478">
        <f t="shared" si="371"/>
        <v>0</v>
      </c>
      <c r="DI624" s="478">
        <f>DI602+DI575+DI448</f>
        <v>2913000000</v>
      </c>
      <c r="DJ624" s="478">
        <f t="shared" si="371"/>
        <v>3403000000</v>
      </c>
      <c r="DK624" s="478">
        <f t="shared" si="371"/>
        <v>0</v>
      </c>
      <c r="DL624" s="478">
        <f>DL602+DL575+DL448</f>
        <v>3028000000</v>
      </c>
      <c r="DM624" s="478">
        <f>DM602+DM575+DM448</f>
        <v>3518000000</v>
      </c>
      <c r="DN624" s="478">
        <f t="shared" si="371"/>
        <v>0</v>
      </c>
      <c r="DO624" s="478">
        <f>DO602+DO575+DO448</f>
        <v>3358000000</v>
      </c>
      <c r="DP624" s="478">
        <f t="shared" si="371"/>
        <v>3548000000</v>
      </c>
      <c r="DQ624" s="478">
        <f t="shared" si="371"/>
        <v>29616368231</v>
      </c>
      <c r="DR624" s="478">
        <f t="shared" si="371"/>
        <v>30641630133</v>
      </c>
      <c r="DS624" s="1177">
        <f>DS602+DS575+DS448</f>
        <v>2375000000</v>
      </c>
      <c r="DT624" s="1177">
        <f t="shared" ref="DT624:EI624" si="372">DT602+DT575+DT448</f>
        <v>2595000000</v>
      </c>
      <c r="DU624" s="1177">
        <f t="shared" si="372"/>
        <v>2625000000</v>
      </c>
      <c r="DV624" s="1177">
        <f t="shared" si="372"/>
        <v>2645000000</v>
      </c>
      <c r="DW624" s="1177">
        <f t="shared" si="372"/>
        <v>2425000000</v>
      </c>
      <c r="DX624" s="1177">
        <f t="shared" si="372"/>
        <v>3095000000</v>
      </c>
      <c r="DY624" s="1177">
        <f t="shared" si="372"/>
        <v>3125000000</v>
      </c>
      <c r="DZ624" s="1177">
        <f t="shared" si="372"/>
        <v>3595000000</v>
      </c>
      <c r="EA624" s="1177">
        <f t="shared" si="372"/>
        <v>3225000000</v>
      </c>
      <c r="EB624" s="1177">
        <f t="shared" si="372"/>
        <v>3195000000</v>
      </c>
      <c r="EC624" s="1177">
        <f t="shared" si="372"/>
        <v>3625000000</v>
      </c>
      <c r="ED624" s="1177">
        <f t="shared" si="372"/>
        <v>3245000000</v>
      </c>
      <c r="EE624" s="1137">
        <f>EE602+EE575+EE448</f>
        <v>35770000000</v>
      </c>
      <c r="EF624" s="1021">
        <f t="shared" si="372"/>
        <v>34773979709.780334</v>
      </c>
      <c r="EG624" s="1021">
        <f t="shared" si="372"/>
        <v>46533624688.549911</v>
      </c>
      <c r="EH624" s="1021">
        <f t="shared" si="372"/>
        <v>81939650011.818085</v>
      </c>
      <c r="EI624" s="1021">
        <f t="shared" si="372"/>
        <v>84649704156.138092</v>
      </c>
      <c r="EJ624" s="367" t="e">
        <v>#N/A</v>
      </c>
      <c r="EL624" s="177"/>
      <c r="EM624" s="177"/>
      <c r="EN624" s="177"/>
    </row>
    <row r="625" spans="1:144" ht="15.5" outlineLevel="1" thickTop="1" thickBot="1">
      <c r="B625" s="378"/>
      <c r="E625" s="432"/>
      <c r="F625" s="380"/>
      <c r="G625" s="197"/>
      <c r="H625" s="113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198"/>
      <c r="U625" s="197"/>
      <c r="V625" s="113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496"/>
      <c r="AH625" s="871"/>
      <c r="AI625" s="527"/>
      <c r="AJ625" s="872"/>
      <c r="AK625" s="496"/>
      <c r="AL625" s="496"/>
      <c r="AM625" s="496"/>
      <c r="AN625" s="496"/>
      <c r="AO625" s="496"/>
      <c r="AP625" s="496"/>
      <c r="AQ625" s="496"/>
      <c r="AR625" s="496"/>
      <c r="AS625" s="496"/>
      <c r="AT625" s="496">
        <v>0</v>
      </c>
      <c r="AU625" s="496"/>
      <c r="AV625" s="496"/>
      <c r="AW625" s="496"/>
      <c r="AX625" s="496"/>
      <c r="AY625" s="871"/>
      <c r="AZ625" s="527"/>
      <c r="BA625" s="872"/>
      <c r="BB625" s="496"/>
      <c r="BC625" s="496"/>
      <c r="BD625" s="496"/>
      <c r="BE625" s="496"/>
      <c r="BF625" s="496"/>
      <c r="BG625" s="496"/>
      <c r="BH625" s="496"/>
      <c r="BI625" s="496"/>
      <c r="BJ625" s="496"/>
      <c r="BK625" s="496"/>
      <c r="BL625" s="496"/>
      <c r="BN625" s="527"/>
      <c r="BO625" s="872"/>
      <c r="BP625" s="496"/>
      <c r="BQ625" s="496"/>
      <c r="BR625" s="496"/>
      <c r="BS625" s="496"/>
      <c r="BT625" s="496"/>
      <c r="BU625" s="496"/>
      <c r="BV625" s="496"/>
      <c r="BW625" s="496"/>
      <c r="BX625" s="496"/>
      <c r="BY625" s="496"/>
      <c r="BZ625" s="496"/>
      <c r="CB625" s="527"/>
      <c r="CC625" s="872"/>
      <c r="CD625" s="496"/>
      <c r="CE625" s="496"/>
      <c r="CF625" s="496"/>
      <c r="CG625" s="496"/>
      <c r="CH625" s="496"/>
      <c r="CI625" s="496"/>
      <c r="CJ625" s="496"/>
      <c r="CK625" s="496"/>
      <c r="CL625" s="496"/>
      <c r="CM625" s="496"/>
      <c r="CN625" s="496"/>
      <c r="CO625" s="37"/>
      <c r="CP625" s="527"/>
      <c r="CQ625" s="527"/>
      <c r="CR625" s="613"/>
      <c r="CS625" s="527"/>
      <c r="CT625" s="613"/>
      <c r="CU625" s="527"/>
      <c r="CV625" s="613"/>
      <c r="CW625" s="527"/>
      <c r="CX625" s="613"/>
      <c r="CY625" s="527"/>
      <c r="CZ625" s="613"/>
      <c r="DA625" s="527"/>
      <c r="DB625" s="613"/>
      <c r="DC625" s="527"/>
      <c r="DD625" s="613"/>
      <c r="DE625" s="496"/>
      <c r="DF625" s="613"/>
      <c r="DG625" s="479"/>
      <c r="DH625" s="496"/>
      <c r="DI625" s="613"/>
      <c r="DJ625" s="479"/>
      <c r="DK625" s="496"/>
      <c r="DL625" s="613"/>
      <c r="DM625" s="479"/>
      <c r="DN625" s="496"/>
      <c r="DO625" s="613"/>
      <c r="DP625" s="479"/>
      <c r="DQ625" s="496"/>
      <c r="DR625" s="479"/>
      <c r="DS625" s="1165"/>
      <c r="DT625" s="1165"/>
      <c r="DU625" s="1165"/>
      <c r="DV625" s="1165"/>
      <c r="DW625" s="1165"/>
      <c r="DX625" s="1165"/>
      <c r="DY625" s="1165"/>
      <c r="DZ625" s="1165"/>
      <c r="EA625" s="1165"/>
      <c r="EB625" s="1165"/>
      <c r="EC625" s="1165"/>
      <c r="ED625" s="1165"/>
      <c r="EE625" s="1138"/>
      <c r="EF625" s="452"/>
      <c r="EG625" s="452"/>
      <c r="EH625" s="452"/>
      <c r="EI625" s="452"/>
      <c r="EL625" s="177"/>
      <c r="EM625" s="177"/>
      <c r="EN625" s="177"/>
    </row>
    <row r="626" spans="1:144" ht="15" outlineLevel="1" thickTop="1">
      <c r="B626" s="378"/>
      <c r="E626" s="432" t="s">
        <v>854</v>
      </c>
      <c r="F626" s="380"/>
      <c r="G626" s="189"/>
      <c r="H626" s="1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14"/>
      <c r="T626" s="179"/>
      <c r="U626" s="189"/>
      <c r="V626" s="13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759"/>
      <c r="AH626" s="788"/>
      <c r="AI626" s="189"/>
      <c r="AJ626" s="810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759"/>
      <c r="AY626" s="788"/>
      <c r="AZ626" s="189"/>
      <c r="BA626" s="810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759"/>
      <c r="BN626" s="189"/>
      <c r="BO626" s="810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496"/>
      <c r="CB626" s="189"/>
      <c r="CC626" s="810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759"/>
      <c r="CO626" s="37"/>
      <c r="CP626" s="189"/>
      <c r="CQ626" s="189"/>
      <c r="CR626" s="189"/>
      <c r="CS626" s="189"/>
      <c r="CT626" s="189"/>
      <c r="CU626" s="189"/>
      <c r="CV626" s="189"/>
      <c r="CW626" s="189"/>
      <c r="CX626" s="189"/>
      <c r="CY626" s="189"/>
      <c r="CZ626" s="189"/>
      <c r="DA626" s="189"/>
      <c r="DB626" s="189"/>
      <c r="DC626" s="189"/>
      <c r="DD626" s="189"/>
      <c r="DE626" s="6"/>
      <c r="DF626" s="189"/>
      <c r="DG626" s="752"/>
      <c r="DH626" s="6"/>
      <c r="DI626" s="189"/>
      <c r="DJ626" s="752"/>
      <c r="DK626" s="6"/>
      <c r="DL626" s="189"/>
      <c r="DM626" s="752"/>
      <c r="DN626" s="6"/>
      <c r="DO626" s="189"/>
      <c r="DP626" s="752"/>
      <c r="DQ626" s="496"/>
      <c r="DR626" s="479"/>
      <c r="DS626" s="1165"/>
      <c r="DT626" s="1165"/>
      <c r="DU626" s="1165"/>
      <c r="DV626" s="1165"/>
      <c r="DW626" s="1165"/>
      <c r="DX626" s="1165"/>
      <c r="DY626" s="1165"/>
      <c r="DZ626" s="1165"/>
      <c r="EA626" s="1165"/>
      <c r="EB626" s="1165"/>
      <c r="EC626" s="1165"/>
      <c r="ED626" s="1165"/>
      <c r="EE626" s="1139"/>
      <c r="EF626" s="460"/>
      <c r="EG626" s="460"/>
      <c r="EH626" s="460"/>
      <c r="EI626" s="460"/>
      <c r="EJ626" s="367" t="e">
        <v>#N/A</v>
      </c>
      <c r="EL626" s="177"/>
      <c r="EM626" s="177"/>
      <c r="EN626" s="177"/>
    </row>
    <row r="627" spans="1:144" outlineLevel="1">
      <c r="B627" s="378"/>
      <c r="E627" s="403"/>
      <c r="F627" s="380"/>
      <c r="G627" s="189"/>
      <c r="H627" s="1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14"/>
      <c r="T627" s="179"/>
      <c r="U627" s="189"/>
      <c r="V627" s="13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759"/>
      <c r="AH627" s="788"/>
      <c r="AI627" s="189"/>
      <c r="AJ627" s="810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759"/>
      <c r="AY627" s="788"/>
      <c r="AZ627" s="189"/>
      <c r="BA627" s="810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759"/>
      <c r="BN627" s="189"/>
      <c r="BO627" s="810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496"/>
      <c r="CB627" s="189"/>
      <c r="CC627" s="810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759"/>
      <c r="CO627" s="37"/>
      <c r="CP627" s="189"/>
      <c r="CQ627" s="189"/>
      <c r="CR627" s="189"/>
      <c r="CS627" s="189"/>
      <c r="CT627" s="189"/>
      <c r="CU627" s="189"/>
      <c r="CV627" s="189"/>
      <c r="CW627" s="189"/>
      <c r="CX627" s="189"/>
      <c r="CY627" s="189"/>
      <c r="CZ627" s="189"/>
      <c r="DA627" s="189"/>
      <c r="DB627" s="189"/>
      <c r="DC627" s="189"/>
      <c r="DD627" s="189"/>
      <c r="DE627" s="6"/>
      <c r="DF627" s="189"/>
      <c r="DG627" s="752"/>
      <c r="DH627" s="6"/>
      <c r="DI627" s="189"/>
      <c r="DJ627" s="752"/>
      <c r="DK627" s="6"/>
      <c r="DL627" s="189"/>
      <c r="DM627" s="752"/>
      <c r="DN627" s="6"/>
      <c r="DO627" s="189"/>
      <c r="DP627" s="752"/>
      <c r="DQ627" s="496"/>
      <c r="DR627" s="479"/>
      <c r="DS627" s="1165"/>
      <c r="DT627" s="1165"/>
      <c r="DU627" s="1165"/>
      <c r="DV627" s="1165"/>
      <c r="DW627" s="1165"/>
      <c r="DX627" s="1165"/>
      <c r="DY627" s="1165"/>
      <c r="DZ627" s="1165"/>
      <c r="EA627" s="1165"/>
      <c r="EB627" s="1165"/>
      <c r="EC627" s="1165"/>
      <c r="ED627" s="1165"/>
      <c r="EE627" s="451"/>
      <c r="EF627" s="451"/>
      <c r="EG627" s="451"/>
      <c r="EH627" s="451"/>
      <c r="EI627" s="451"/>
      <c r="EL627" s="177"/>
      <c r="EM627" s="177"/>
      <c r="EN627" s="177"/>
    </row>
    <row r="628" spans="1:144" outlineLevel="1">
      <c r="B628" s="402" t="s">
        <v>562</v>
      </c>
      <c r="C628" s="368"/>
      <c r="D628" s="368"/>
      <c r="E628" s="403"/>
      <c r="F628" s="380"/>
      <c r="G628" s="189"/>
      <c r="H628" s="1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14"/>
      <c r="T628" s="179"/>
      <c r="U628" s="189"/>
      <c r="V628" s="13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759"/>
      <c r="AH628" s="788"/>
      <c r="AI628" s="189"/>
      <c r="AJ628" s="810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759"/>
      <c r="AY628" s="788"/>
      <c r="AZ628" s="189"/>
      <c r="BA628" s="810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759"/>
      <c r="BN628" s="480">
        <f t="shared" ref="BN628:BZ628" si="373">SUM(BN629:BN638)</f>
        <v>114000000</v>
      </c>
      <c r="BO628" s="480">
        <f t="shared" si="373"/>
        <v>113000000</v>
      </c>
      <c r="BP628" s="480">
        <f t="shared" si="373"/>
        <v>114000000</v>
      </c>
      <c r="BQ628" s="480">
        <f t="shared" si="373"/>
        <v>163000000</v>
      </c>
      <c r="BR628" s="480">
        <f t="shared" si="373"/>
        <v>101000000</v>
      </c>
      <c r="BS628" s="480">
        <f t="shared" si="373"/>
        <v>114000000</v>
      </c>
      <c r="BT628" s="480">
        <f t="shared" si="373"/>
        <v>164000000</v>
      </c>
      <c r="BU628" s="480">
        <f t="shared" si="373"/>
        <v>133000000</v>
      </c>
      <c r="BV628" s="480">
        <f t="shared" si="373"/>
        <v>124000000</v>
      </c>
      <c r="BW628" s="480">
        <f t="shared" si="373"/>
        <v>193000000</v>
      </c>
      <c r="BX628" s="480">
        <f t="shared" si="373"/>
        <v>154000000</v>
      </c>
      <c r="BY628" s="480">
        <f t="shared" si="373"/>
        <v>93000000</v>
      </c>
      <c r="BZ628" s="480">
        <f t="shared" si="373"/>
        <v>1580000000</v>
      </c>
      <c r="CB628" s="189"/>
      <c r="CC628" s="810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759"/>
      <c r="CO628" s="37"/>
      <c r="CP628" s="480">
        <f>SUM(CP629:CP638)</f>
        <v>138299550</v>
      </c>
      <c r="CQ628" s="480">
        <f t="shared" ref="CQ628:DP628" si="374">SUM(CQ629:CQ638)</f>
        <v>193392291</v>
      </c>
      <c r="CR628" s="480">
        <f t="shared" si="374"/>
        <v>186000000</v>
      </c>
      <c r="CS628" s="480">
        <f t="shared" si="374"/>
        <v>250511921</v>
      </c>
      <c r="CT628" s="480">
        <f t="shared" si="374"/>
        <v>201000000</v>
      </c>
      <c r="CU628" s="480">
        <f>SUM(CU629:CU638)</f>
        <v>310681986</v>
      </c>
      <c r="CV628" s="480">
        <f t="shared" si="374"/>
        <v>265000000</v>
      </c>
      <c r="CW628" s="480">
        <f t="shared" si="374"/>
        <v>252223340</v>
      </c>
      <c r="CX628" s="480">
        <f t="shared" si="374"/>
        <v>359977986</v>
      </c>
      <c r="CY628" s="480">
        <f t="shared" si="374"/>
        <v>273870869</v>
      </c>
      <c r="CZ628" s="480">
        <f t="shared" si="374"/>
        <v>366797246</v>
      </c>
      <c r="DA628" s="480">
        <f t="shared" si="374"/>
        <v>375200868</v>
      </c>
      <c r="DB628" s="480">
        <f t="shared" si="374"/>
        <v>388000000</v>
      </c>
      <c r="DC628" s="480">
        <f t="shared" si="374"/>
        <v>299036669</v>
      </c>
      <c r="DD628" s="480">
        <f t="shared" si="374"/>
        <v>388000000</v>
      </c>
      <c r="DE628" s="480">
        <f t="shared" si="374"/>
        <v>0</v>
      </c>
      <c r="DF628" s="480">
        <f>SUM(DF629:DF638)</f>
        <v>0</v>
      </c>
      <c r="DG628" s="480">
        <f t="shared" si="374"/>
        <v>348000000</v>
      </c>
      <c r="DH628" s="480">
        <f t="shared" si="374"/>
        <v>0</v>
      </c>
      <c r="DI628" s="480">
        <f>SUM(DI629:DI638)</f>
        <v>0</v>
      </c>
      <c r="DJ628" s="480">
        <f t="shared" si="374"/>
        <v>348000000</v>
      </c>
      <c r="DK628" s="480">
        <f t="shared" si="374"/>
        <v>0</v>
      </c>
      <c r="DL628" s="480">
        <f>SUM(DL629:DL638)</f>
        <v>0</v>
      </c>
      <c r="DM628" s="480">
        <f>SUM(DM629:DM638)</f>
        <v>348000000</v>
      </c>
      <c r="DN628" s="480">
        <f t="shared" si="374"/>
        <v>0</v>
      </c>
      <c r="DO628" s="480">
        <f>SUM(DO629:DO638)</f>
        <v>0</v>
      </c>
      <c r="DP628" s="480">
        <f t="shared" si="374"/>
        <v>348000000</v>
      </c>
      <c r="DQ628" s="480">
        <f>SUM(DQ629:DQ641)</f>
        <v>2093217494</v>
      </c>
      <c r="DR628" s="480">
        <f>SUM(DR629:DR641)</f>
        <v>3787660980</v>
      </c>
      <c r="DS628" s="1178">
        <f>SUM(DS629:DS641)</f>
        <v>331000000</v>
      </c>
      <c r="DT628" s="1178">
        <f t="shared" ref="DT628:ED628" si="375">SUM(DT629:DT641)</f>
        <v>331000000</v>
      </c>
      <c r="DU628" s="1178">
        <f t="shared" si="375"/>
        <v>331000000</v>
      </c>
      <c r="DV628" s="1178">
        <f t="shared" si="375"/>
        <v>331000000</v>
      </c>
      <c r="DW628" s="1178">
        <f t="shared" si="375"/>
        <v>331000000</v>
      </c>
      <c r="DX628" s="1178">
        <f t="shared" si="375"/>
        <v>331000000</v>
      </c>
      <c r="DY628" s="1178">
        <f t="shared" si="375"/>
        <v>331000000</v>
      </c>
      <c r="DZ628" s="1178">
        <f t="shared" si="375"/>
        <v>381000000</v>
      </c>
      <c r="EA628" s="1178">
        <f t="shared" si="375"/>
        <v>381000000</v>
      </c>
      <c r="EB628" s="1178">
        <f t="shared" si="375"/>
        <v>381000000</v>
      </c>
      <c r="EC628" s="1178">
        <f t="shared" si="375"/>
        <v>381000000</v>
      </c>
      <c r="ED628" s="1178">
        <f t="shared" si="375"/>
        <v>381000000</v>
      </c>
      <c r="EE628" s="1140">
        <f>SUM(EE629:EE641)</f>
        <v>4222000000</v>
      </c>
      <c r="EF628" s="1022">
        <f>SUM(EF629:EF641)</f>
        <v>5126580532.8224258</v>
      </c>
      <c r="EG628" s="1022">
        <f>SUM(EG629:EG641)</f>
        <v>5782111617.4154348</v>
      </c>
      <c r="EH628" s="1022">
        <f>SUM(EH629:EH641)</f>
        <v>5992805126.4661484</v>
      </c>
      <c r="EI628" s="1022">
        <f>SUM(EI629:EI641)</f>
        <v>6473775451.3314266</v>
      </c>
      <c r="EJ628" s="367" t="e">
        <v>#N/A</v>
      </c>
      <c r="EL628" s="177"/>
      <c r="EM628" s="177"/>
      <c r="EN628" s="177"/>
    </row>
    <row r="629" spans="1:144" outlineLevel="2">
      <c r="A629" s="367" t="s">
        <v>159</v>
      </c>
      <c r="B629" s="378"/>
      <c r="C629" s="370" t="s">
        <v>688</v>
      </c>
      <c r="D629" s="370" t="s">
        <v>40</v>
      </c>
      <c r="E629" s="403" t="s">
        <v>48</v>
      </c>
      <c r="F629" s="380">
        <v>3000016576</v>
      </c>
      <c r="G629" s="6"/>
      <c r="H629" s="13"/>
      <c r="I629" s="195"/>
      <c r="J629" s="185"/>
      <c r="K629" s="185"/>
      <c r="L629" s="185"/>
      <c r="M629" s="185"/>
      <c r="N629" s="185"/>
      <c r="O629" s="7"/>
      <c r="P629" s="7"/>
      <c r="Q629" s="7"/>
      <c r="R629" s="7"/>
      <c r="S629" s="14">
        <f>SUM(G629,H629,I629,J629,K629,L629,M629,N629,O629,P629,Q629,R629)</f>
        <v>0</v>
      </c>
      <c r="T629" s="15"/>
      <c r="U629" s="6"/>
      <c r="V629" s="13"/>
      <c r="W629" s="195"/>
      <c r="X629" s="185"/>
      <c r="Y629" s="185"/>
      <c r="Z629" s="185"/>
      <c r="AA629" s="185"/>
      <c r="AB629" s="185"/>
      <c r="AC629" s="7"/>
      <c r="AD629" s="7"/>
      <c r="AE629" s="7"/>
      <c r="AF629" s="7"/>
      <c r="AG629" s="759">
        <f>SUM(U629,V629,W629,X629,Y629,Z629,AA629,AB629,AC629,AD629,AE629,AF629)</f>
        <v>0</v>
      </c>
      <c r="AH629" s="811"/>
      <c r="AI629" s="6"/>
      <c r="AJ629" s="810"/>
      <c r="AK629" s="854"/>
      <c r="AL629" s="758">
        <v>0</v>
      </c>
      <c r="AM629" s="758"/>
      <c r="AN629" s="758">
        <v>44946000</v>
      </c>
      <c r="AO629" s="758"/>
      <c r="AP629" s="758">
        <v>0</v>
      </c>
      <c r="AQ629" s="518">
        <v>0</v>
      </c>
      <c r="AR629" s="518"/>
      <c r="AS629" s="518"/>
      <c r="AT629" s="518"/>
      <c r="AU629" s="518">
        <f t="shared" ref="AU629:AW630" si="376">BI629</f>
        <v>10000000</v>
      </c>
      <c r="AV629" s="518">
        <f t="shared" si="376"/>
        <v>10000000</v>
      </c>
      <c r="AW629" s="518">
        <f t="shared" si="376"/>
        <v>10000000</v>
      </c>
      <c r="AX629" s="518">
        <f t="shared" ref="AX629:AX638" si="377">SUM(AI629,AJ629,AK629,AL629,AM629,AN629,AO629,AP629,AQ629,AR629,AS629,AT629)</f>
        <v>44946000</v>
      </c>
      <c r="AY629" s="811"/>
      <c r="AZ629" s="6"/>
      <c r="BA629" s="810"/>
      <c r="BB629" s="854"/>
      <c r="BC629" s="758">
        <v>0</v>
      </c>
      <c r="BD629" s="758"/>
      <c r="BE629" s="758">
        <v>44946000</v>
      </c>
      <c r="BF629" s="758"/>
      <c r="BG629" s="518">
        <f>AP629</f>
        <v>0</v>
      </c>
      <c r="BH629" s="758">
        <v>10000000</v>
      </c>
      <c r="BI629" s="758">
        <v>10000000</v>
      </c>
      <c r="BJ629" s="758">
        <v>10000000</v>
      </c>
      <c r="BK629" s="758">
        <v>10000000</v>
      </c>
      <c r="BL629" s="759">
        <f>SUM(AZ629,BA629,BB629,BC629,BD629,BE629,BF629,BG629,BH629,BI629,BJ629,BK629)</f>
        <v>84946000</v>
      </c>
      <c r="BN629" s="769"/>
      <c r="BO629" s="769"/>
      <c r="BP629" s="769"/>
      <c r="BQ629" s="769"/>
      <c r="BR629" s="769">
        <v>10000000</v>
      </c>
      <c r="BS629" s="769"/>
      <c r="BT629" s="769"/>
      <c r="BU629" s="769">
        <v>10000000</v>
      </c>
      <c r="BV629" s="769"/>
      <c r="BW629" s="769"/>
      <c r="BX629" s="769">
        <v>10000000</v>
      </c>
      <c r="BY629" s="769"/>
      <c r="BZ629" s="791">
        <v>30000000</v>
      </c>
      <c r="CB629" s="769"/>
      <c r="CC629" s="769"/>
      <c r="CD629" s="769"/>
      <c r="CE629" s="769"/>
      <c r="CF629" s="769">
        <v>10000000</v>
      </c>
      <c r="CG629" s="769"/>
      <c r="CH629" s="769"/>
      <c r="CI629" s="769">
        <v>10000000</v>
      </c>
      <c r="CJ629" s="769"/>
      <c r="CK629" s="769"/>
      <c r="CL629" s="769">
        <v>10000000</v>
      </c>
      <c r="CM629" s="769"/>
      <c r="CN629" s="791">
        <v>30000000</v>
      </c>
      <c r="CO629" s="37"/>
      <c r="CP629" s="660"/>
      <c r="CQ629" s="660"/>
      <c r="CR629" s="614"/>
      <c r="CS629" s="660"/>
      <c r="CT629" s="614"/>
      <c r="CU629" s="660"/>
      <c r="CV629" s="614"/>
      <c r="CW629" s="660"/>
      <c r="CX629" s="614"/>
      <c r="CY629" s="660"/>
      <c r="CZ629" s="614"/>
      <c r="DA629" s="660"/>
      <c r="DB629" s="614"/>
      <c r="DC629" s="660">
        <v>0</v>
      </c>
      <c r="DD629" s="614"/>
      <c r="DE629" s="769"/>
      <c r="DF629" s="614"/>
      <c r="DG629" s="768"/>
      <c r="DH629" s="769"/>
      <c r="DI629" s="614"/>
      <c r="DJ629" s="768"/>
      <c r="DK629" s="769"/>
      <c r="DL629" s="614"/>
      <c r="DM629" s="768"/>
      <c r="DN629" s="769"/>
      <c r="DO629" s="614"/>
      <c r="DP629" s="768"/>
      <c r="DQ629" s="493">
        <f t="shared" ref="DQ629:DQ653" si="378">SUM(CP629,CQ629,CS629,CU629,CW629,CY629,DA629,DC629,DF629,DI629,DL629,DO629)</f>
        <v>0</v>
      </c>
      <c r="DR629" s="479">
        <f t="shared" ref="DR629:DR638" si="379">SUM(CP629,CQ629,CS629,CU629,CX629,CZ629,DB629,DD629,DG629,DJ629,DM629,DP629)</f>
        <v>0</v>
      </c>
      <c r="DS629" s="1023"/>
      <c r="DT629" s="1023"/>
      <c r="DU629" s="1023"/>
      <c r="DV629" s="1023"/>
      <c r="DW629" s="1023"/>
      <c r="DX629" s="1023"/>
      <c r="DY629" s="1023"/>
      <c r="DZ629" s="1023"/>
      <c r="EA629" s="1023"/>
      <c r="EB629" s="1023"/>
      <c r="EC629" s="1023"/>
      <c r="ED629" s="1023"/>
      <c r="EE629" s="1119">
        <f t="shared" ref="EE629:EE641" si="380">SUM(DS629,DT629,DU629,DV629,DW629,DX629,DY629,DZ629,EA629,EB629,EC629,ED629)</f>
        <v>0</v>
      </c>
      <c r="EF629" s="443">
        <v>43000000</v>
      </c>
      <c r="EG629" s="443">
        <v>160000000</v>
      </c>
      <c r="EH629" s="443">
        <v>230000000</v>
      </c>
      <c r="EI629" s="443">
        <v>230000000</v>
      </c>
      <c r="EJ629" s="367">
        <v>3000016576</v>
      </c>
      <c r="EL629" s="177"/>
      <c r="EM629" s="177"/>
      <c r="EN629" s="177"/>
    </row>
    <row r="630" spans="1:144" outlineLevel="2">
      <c r="A630" s="367" t="s">
        <v>159</v>
      </c>
      <c r="B630" s="378"/>
      <c r="C630" s="370" t="s">
        <v>688</v>
      </c>
      <c r="D630" s="370" t="s">
        <v>40</v>
      </c>
      <c r="E630" s="403" t="s">
        <v>694</v>
      </c>
      <c r="F630" s="380">
        <v>3000016841</v>
      </c>
      <c r="G630" s="6"/>
      <c r="H630" s="13"/>
      <c r="I630" s="185"/>
      <c r="J630" s="185"/>
      <c r="K630" s="185"/>
      <c r="L630" s="185"/>
      <c r="M630" s="185"/>
      <c r="N630" s="185"/>
      <c r="O630" s="7"/>
      <c r="P630" s="7"/>
      <c r="Q630" s="7"/>
      <c r="R630" s="7"/>
      <c r="S630" s="14">
        <f>SUM(G630,H630,I630,J630,K630,L630,M630,N630,O630,P630,Q630,R630)</f>
        <v>0</v>
      </c>
      <c r="T630" s="15"/>
      <c r="U630" s="6"/>
      <c r="V630" s="13"/>
      <c r="W630" s="185"/>
      <c r="X630" s="185"/>
      <c r="Y630" s="185"/>
      <c r="Z630" s="185"/>
      <c r="AA630" s="185"/>
      <c r="AB630" s="185"/>
      <c r="AC630" s="7"/>
      <c r="AD630" s="7"/>
      <c r="AE630" s="7"/>
      <c r="AF630" s="7"/>
      <c r="AG630" s="759">
        <f>SUM(U630,V630,W630,X630,Y630,Z630,AA630,AB630,AC630,AD630,AE630,AF630)</f>
        <v>0</v>
      </c>
      <c r="AH630" s="811"/>
      <c r="AI630" s="6"/>
      <c r="AJ630" s="810"/>
      <c r="AK630" s="758"/>
      <c r="AL630" s="758">
        <v>0</v>
      </c>
      <c r="AM630" s="758"/>
      <c r="AN630" s="758">
        <v>0</v>
      </c>
      <c r="AO630" s="758"/>
      <c r="AP630" s="758">
        <v>114000000</v>
      </c>
      <c r="AQ630" s="518">
        <v>0</v>
      </c>
      <c r="AR630" s="518"/>
      <c r="AS630" s="518"/>
      <c r="AT630" s="518"/>
      <c r="AU630" s="518">
        <f t="shared" si="376"/>
        <v>0</v>
      </c>
      <c r="AV630" s="518">
        <f t="shared" si="376"/>
        <v>0</v>
      </c>
      <c r="AW630" s="518">
        <f t="shared" si="376"/>
        <v>0</v>
      </c>
      <c r="AX630" s="518">
        <f t="shared" si="377"/>
        <v>114000000</v>
      </c>
      <c r="AY630" s="811"/>
      <c r="AZ630" s="6"/>
      <c r="BA630" s="810"/>
      <c r="BB630" s="758"/>
      <c r="BC630" s="758">
        <v>0</v>
      </c>
      <c r="BD630" s="758"/>
      <c r="BE630" s="758">
        <v>0</v>
      </c>
      <c r="BF630" s="758"/>
      <c r="BG630" s="518">
        <f>AP630</f>
        <v>114000000</v>
      </c>
      <c r="BH630" s="758">
        <v>0</v>
      </c>
      <c r="BI630" s="758">
        <v>0</v>
      </c>
      <c r="BJ630" s="758">
        <v>0</v>
      </c>
      <c r="BK630" s="758">
        <v>0</v>
      </c>
      <c r="BL630" s="759">
        <f>SUM(AZ630,BA630,BB630,BC630,BD630,BE630,BF630,BG630,BH630,BI630,BJ630,BK630)</f>
        <v>114000000</v>
      </c>
      <c r="BN630" s="769"/>
      <c r="BO630" s="769"/>
      <c r="BP630" s="769"/>
      <c r="BQ630" s="769">
        <v>50000000</v>
      </c>
      <c r="BR630" s="769"/>
      <c r="BS630" s="769"/>
      <c r="BT630" s="769">
        <v>50000000</v>
      </c>
      <c r="BU630" s="769"/>
      <c r="BV630" s="769"/>
      <c r="BW630" s="769">
        <v>50000000</v>
      </c>
      <c r="BX630" s="769"/>
      <c r="BY630" s="769"/>
      <c r="BZ630" s="791">
        <v>150000000</v>
      </c>
      <c r="CB630" s="769"/>
      <c r="CC630" s="769"/>
      <c r="CD630" s="769"/>
      <c r="CE630" s="769">
        <v>50000000</v>
      </c>
      <c r="CF630" s="769"/>
      <c r="CG630" s="769"/>
      <c r="CH630" s="769">
        <v>50000000</v>
      </c>
      <c r="CI630" s="769"/>
      <c r="CJ630" s="769"/>
      <c r="CK630" s="769">
        <v>50000000</v>
      </c>
      <c r="CL630" s="769"/>
      <c r="CM630" s="769"/>
      <c r="CN630" s="791">
        <v>150000000</v>
      </c>
      <c r="CO630" s="37"/>
      <c r="CP630" s="660"/>
      <c r="CQ630" s="660"/>
      <c r="CR630" s="614"/>
      <c r="CS630" s="660">
        <v>28500000</v>
      </c>
      <c r="CT630" s="614">
        <v>25000000</v>
      </c>
      <c r="CU630" s="660">
        <v>117000000</v>
      </c>
      <c r="CV630" s="614">
        <v>50000000</v>
      </c>
      <c r="CW630" s="660">
        <v>28500000</v>
      </c>
      <c r="CX630" s="614">
        <v>117000000</v>
      </c>
      <c r="CY630" s="660">
        <v>63000000</v>
      </c>
      <c r="CZ630" s="614">
        <v>100000000</v>
      </c>
      <c r="DA630" s="660">
        <v>56350000</v>
      </c>
      <c r="DB630" s="614">
        <f>120000000</f>
        <v>120000000</v>
      </c>
      <c r="DC630" s="660">
        <v>25500000</v>
      </c>
      <c r="DD630" s="614">
        <f>DB630</f>
        <v>120000000</v>
      </c>
      <c r="DE630" s="769"/>
      <c r="DF630" s="614">
        <f>DE630</f>
        <v>0</v>
      </c>
      <c r="DG630" s="768">
        <v>80000000</v>
      </c>
      <c r="DH630" s="769"/>
      <c r="DI630" s="614">
        <f>DH630</f>
        <v>0</v>
      </c>
      <c r="DJ630" s="768">
        <f>DG630</f>
        <v>80000000</v>
      </c>
      <c r="DK630" s="769"/>
      <c r="DL630" s="614">
        <f>DK630</f>
        <v>0</v>
      </c>
      <c r="DM630" s="768">
        <f>DJ630</f>
        <v>80000000</v>
      </c>
      <c r="DN630" s="769"/>
      <c r="DO630" s="614">
        <f>DN630</f>
        <v>0</v>
      </c>
      <c r="DP630" s="768">
        <f>DM630</f>
        <v>80000000</v>
      </c>
      <c r="DQ630" s="493">
        <f t="shared" si="378"/>
        <v>318850000</v>
      </c>
      <c r="DR630" s="479">
        <f t="shared" si="379"/>
        <v>922500000</v>
      </c>
      <c r="DS630" s="1023">
        <v>50000000</v>
      </c>
      <c r="DT630" s="1023">
        <v>50000000</v>
      </c>
      <c r="DU630" s="1023">
        <v>50000000</v>
      </c>
      <c r="DV630" s="1023">
        <v>50000000</v>
      </c>
      <c r="DW630" s="1023">
        <v>50000000</v>
      </c>
      <c r="DX630" s="1023">
        <v>50000000</v>
      </c>
      <c r="DY630" s="1023">
        <v>50000000</v>
      </c>
      <c r="DZ630" s="1023">
        <v>50000000</v>
      </c>
      <c r="EA630" s="1023">
        <v>50000000</v>
      </c>
      <c r="EB630" s="1023">
        <v>50000000</v>
      </c>
      <c r="EC630" s="1023">
        <v>50000000</v>
      </c>
      <c r="ED630" s="1023">
        <v>50000000</v>
      </c>
      <c r="EE630" s="1119">
        <f t="shared" si="380"/>
        <v>600000000</v>
      </c>
      <c r="EF630" s="443">
        <f>EE630*1.17</f>
        <v>702000000</v>
      </c>
      <c r="EG630" s="443">
        <f>EF630*1.08</f>
        <v>758160000</v>
      </c>
      <c r="EH630" s="443">
        <v>350000000</v>
      </c>
      <c r="EI630" s="443">
        <v>350000000</v>
      </c>
      <c r="EJ630" s="367">
        <v>3000016841</v>
      </c>
      <c r="EL630" s="177"/>
      <c r="EM630" s="177"/>
      <c r="EN630" s="177"/>
    </row>
    <row r="631" spans="1:144" outlineLevel="2">
      <c r="A631" s="367" t="s">
        <v>159</v>
      </c>
      <c r="B631" s="378"/>
      <c r="C631" s="370" t="s">
        <v>688</v>
      </c>
      <c r="E631" s="379" t="s">
        <v>855</v>
      </c>
      <c r="F631" s="380"/>
      <c r="G631" s="189"/>
      <c r="H631" s="13"/>
      <c r="I631" s="185"/>
      <c r="J631" s="185"/>
      <c r="K631" s="185"/>
      <c r="L631" s="185"/>
      <c r="M631" s="185"/>
      <c r="N631" s="185"/>
      <c r="O631" s="185"/>
      <c r="P631" s="185"/>
      <c r="Q631" s="185"/>
      <c r="R631" s="185"/>
      <c r="S631" s="14"/>
      <c r="T631" s="179"/>
      <c r="U631" s="189"/>
      <c r="V631" s="13"/>
      <c r="W631" s="185"/>
      <c r="X631" s="185"/>
      <c r="Y631" s="185"/>
      <c r="Z631" s="185"/>
      <c r="AA631" s="185"/>
      <c r="AB631" s="185"/>
      <c r="AC631" s="185"/>
      <c r="AD631" s="185"/>
      <c r="AE631" s="185"/>
      <c r="AF631" s="185"/>
      <c r="AG631" s="759"/>
      <c r="AH631" s="788"/>
      <c r="AI631" s="189"/>
      <c r="AJ631" s="810"/>
      <c r="AK631" s="758"/>
      <c r="AL631" s="758"/>
      <c r="AM631" s="758"/>
      <c r="AN631" s="758"/>
      <c r="AO631" s="758"/>
      <c r="AP631" s="758"/>
      <c r="AQ631" s="518"/>
      <c r="AR631" s="518"/>
      <c r="AS631" s="518"/>
      <c r="AT631" s="518"/>
      <c r="AU631" s="758"/>
      <c r="AV631" s="758"/>
      <c r="AW631" s="758"/>
      <c r="AX631" s="518">
        <f t="shared" si="377"/>
        <v>0</v>
      </c>
      <c r="AY631" s="788"/>
      <c r="AZ631" s="189"/>
      <c r="BA631" s="810"/>
      <c r="BB631" s="758"/>
      <c r="BC631" s="758"/>
      <c r="BD631" s="758"/>
      <c r="BE631" s="758"/>
      <c r="BF631" s="758"/>
      <c r="BG631" s="758"/>
      <c r="BH631" s="758"/>
      <c r="BI631" s="758"/>
      <c r="BJ631" s="758"/>
      <c r="BK631" s="758"/>
      <c r="BL631" s="518"/>
      <c r="BN631" s="873"/>
      <c r="BO631" s="771"/>
      <c r="BP631" s="771"/>
      <c r="BQ631" s="771"/>
      <c r="BR631" s="771"/>
      <c r="BS631" s="771"/>
      <c r="BT631" s="771"/>
      <c r="BU631" s="771"/>
      <c r="BV631" s="771"/>
      <c r="BW631" s="771"/>
      <c r="BX631" s="771"/>
      <c r="BY631" s="771"/>
      <c r="BZ631" s="791">
        <v>0</v>
      </c>
      <c r="CB631" s="873"/>
      <c r="CC631" s="771"/>
      <c r="CD631" s="771"/>
      <c r="CE631" s="771"/>
      <c r="CF631" s="771"/>
      <c r="CG631" s="771"/>
      <c r="CH631" s="771"/>
      <c r="CI631" s="771"/>
      <c r="CJ631" s="771"/>
      <c r="CK631" s="771"/>
      <c r="CL631" s="771"/>
      <c r="CM631" s="771"/>
      <c r="CN631" s="791">
        <v>0</v>
      </c>
      <c r="CO631" s="37"/>
      <c r="CP631" s="661"/>
      <c r="CQ631" s="661"/>
      <c r="CR631" s="615"/>
      <c r="CS631" s="661"/>
      <c r="CT631" s="615"/>
      <c r="CU631" s="661"/>
      <c r="CV631" s="615"/>
      <c r="CW631" s="661"/>
      <c r="CX631" s="615"/>
      <c r="CY631" s="661"/>
      <c r="CZ631" s="615"/>
      <c r="DA631" s="661"/>
      <c r="DB631" s="615"/>
      <c r="DC631" s="661">
        <v>0</v>
      </c>
      <c r="DD631" s="615"/>
      <c r="DE631" s="771"/>
      <c r="DF631" s="615"/>
      <c r="DG631" s="770"/>
      <c r="DH631" s="771"/>
      <c r="DI631" s="615"/>
      <c r="DJ631" s="770"/>
      <c r="DK631" s="771"/>
      <c r="DL631" s="615"/>
      <c r="DM631" s="770"/>
      <c r="DN631" s="771"/>
      <c r="DO631" s="615"/>
      <c r="DP631" s="770"/>
      <c r="DQ631" s="493">
        <f t="shared" si="378"/>
        <v>0</v>
      </c>
      <c r="DR631" s="479">
        <f t="shared" si="379"/>
        <v>0</v>
      </c>
      <c r="DS631" s="1023"/>
      <c r="DT631" s="1023"/>
      <c r="DU631" s="1023"/>
      <c r="DV631" s="1023"/>
      <c r="DW631" s="1023"/>
      <c r="DX631" s="1023"/>
      <c r="DY631" s="1023"/>
      <c r="DZ631" s="1023"/>
      <c r="EA631" s="1023"/>
      <c r="EB631" s="1023"/>
      <c r="EC631" s="1023"/>
      <c r="ED631" s="1023"/>
      <c r="EE631" s="1119">
        <f t="shared" si="380"/>
        <v>0</v>
      </c>
      <c r="EF631" s="443">
        <v>150000000</v>
      </c>
      <c r="EG631" s="443">
        <f>EF631*1.5</f>
        <v>225000000</v>
      </c>
      <c r="EH631" s="443">
        <v>337000000</v>
      </c>
      <c r="EI631" s="443">
        <v>337000000</v>
      </c>
      <c r="EL631" s="177"/>
      <c r="EM631" s="177"/>
      <c r="EN631" s="177"/>
    </row>
    <row r="632" spans="1:144" outlineLevel="2">
      <c r="A632" s="367" t="s">
        <v>159</v>
      </c>
      <c r="B632" s="378"/>
      <c r="C632" s="370" t="s">
        <v>688</v>
      </c>
      <c r="D632" s="370" t="s">
        <v>40</v>
      </c>
      <c r="E632" s="403" t="s">
        <v>395</v>
      </c>
      <c r="F632" s="380">
        <v>8000000019</v>
      </c>
      <c r="G632" s="189"/>
      <c r="H632" s="13"/>
      <c r="I632" s="195"/>
      <c r="J632" s="185"/>
      <c r="K632" s="185"/>
      <c r="L632" s="185"/>
      <c r="M632" s="185"/>
      <c r="N632" s="185"/>
      <c r="O632" s="7"/>
      <c r="P632" s="7"/>
      <c r="Q632" s="7"/>
      <c r="R632" s="7"/>
      <c r="S632" s="14">
        <f>SUM(G632,H632,I632,J632,K632,L632,M632,N632,O632,P632,Q632,R632)</f>
        <v>0</v>
      </c>
      <c r="T632" s="179"/>
      <c r="U632" s="189"/>
      <c r="V632" s="13"/>
      <c r="W632" s="195"/>
      <c r="X632" s="185"/>
      <c r="Y632" s="185"/>
      <c r="Z632" s="185"/>
      <c r="AA632" s="185"/>
      <c r="AB632" s="185"/>
      <c r="AC632" s="7"/>
      <c r="AD632" s="7"/>
      <c r="AE632" s="7"/>
      <c r="AF632" s="7"/>
      <c r="AG632" s="759">
        <f>SUM(U632,V632,W632,X632,Y632,Z632,AA632,AB632,AC632,AD632,AE632,AF632)</f>
        <v>0</v>
      </c>
      <c r="AH632" s="788"/>
      <c r="AI632" s="189"/>
      <c r="AJ632" s="810">
        <v>52310000</v>
      </c>
      <c r="AK632" s="854"/>
      <c r="AL632" s="758">
        <v>0</v>
      </c>
      <c r="AM632" s="758"/>
      <c r="AN632" s="758">
        <v>0</v>
      </c>
      <c r="AO632" s="758"/>
      <c r="AP632" s="758">
        <v>0</v>
      </c>
      <c r="AQ632" s="518">
        <v>0</v>
      </c>
      <c r="AR632" s="518"/>
      <c r="AS632" s="518"/>
      <c r="AT632" s="518"/>
      <c r="AU632" s="518">
        <f>BI632</f>
        <v>0</v>
      </c>
      <c r="AV632" s="518">
        <f>BJ632</f>
        <v>0</v>
      </c>
      <c r="AW632" s="518">
        <f>BK632</f>
        <v>0</v>
      </c>
      <c r="AX632" s="518">
        <f t="shared" si="377"/>
        <v>52310000</v>
      </c>
      <c r="AY632" s="788"/>
      <c r="AZ632" s="189"/>
      <c r="BA632" s="810">
        <v>52310000</v>
      </c>
      <c r="BB632" s="854"/>
      <c r="BC632" s="758">
        <v>0</v>
      </c>
      <c r="BD632" s="758"/>
      <c r="BE632" s="758">
        <v>0</v>
      </c>
      <c r="BF632" s="758"/>
      <c r="BG632" s="518">
        <f>AP632</f>
        <v>0</v>
      </c>
      <c r="BH632" s="758">
        <v>0</v>
      </c>
      <c r="BI632" s="758">
        <v>0</v>
      </c>
      <c r="BJ632" s="758">
        <v>0</v>
      </c>
      <c r="BK632" s="758">
        <v>0</v>
      </c>
      <c r="BL632" s="759">
        <f>SUM(AZ632,BA632,BB632,BC632,BD632,BE632,BF632,BG632,BH632,BI632,BJ632,BK632)</f>
        <v>52310000</v>
      </c>
      <c r="BN632" s="769">
        <v>0</v>
      </c>
      <c r="BO632" s="769">
        <v>0</v>
      </c>
      <c r="BP632" s="769">
        <v>0</v>
      </c>
      <c r="BQ632" s="769">
        <v>0</v>
      </c>
      <c r="BR632" s="769">
        <v>0</v>
      </c>
      <c r="BS632" s="769">
        <v>0</v>
      </c>
      <c r="BT632" s="769">
        <v>0</v>
      </c>
      <c r="BU632" s="769">
        <v>0</v>
      </c>
      <c r="BV632" s="769">
        <v>0</v>
      </c>
      <c r="BW632" s="769">
        <v>0</v>
      </c>
      <c r="BX632" s="769">
        <v>0</v>
      </c>
      <c r="BY632" s="769">
        <v>0</v>
      </c>
      <c r="BZ632" s="791">
        <v>0</v>
      </c>
      <c r="CB632" s="769">
        <v>0</v>
      </c>
      <c r="CC632" s="769">
        <v>0</v>
      </c>
      <c r="CD632" s="769">
        <v>0</v>
      </c>
      <c r="CE632" s="769">
        <v>0</v>
      </c>
      <c r="CF632" s="769">
        <v>0</v>
      </c>
      <c r="CG632" s="769">
        <v>0</v>
      </c>
      <c r="CH632" s="769">
        <v>0</v>
      </c>
      <c r="CI632" s="769">
        <v>0</v>
      </c>
      <c r="CJ632" s="769">
        <v>0</v>
      </c>
      <c r="CK632" s="769">
        <v>0</v>
      </c>
      <c r="CL632" s="769">
        <v>0</v>
      </c>
      <c r="CM632" s="769">
        <v>0</v>
      </c>
      <c r="CN632" s="791">
        <v>0</v>
      </c>
      <c r="CO632" s="37"/>
      <c r="CP632" s="660"/>
      <c r="CQ632" s="660"/>
      <c r="CR632" s="614"/>
      <c r="CS632" s="660"/>
      <c r="CT632" s="614"/>
      <c r="CU632" s="660"/>
      <c r="CV632" s="614"/>
      <c r="CW632" s="660"/>
      <c r="CX632" s="614"/>
      <c r="CY632" s="660"/>
      <c r="CZ632" s="614"/>
      <c r="DA632" s="660"/>
      <c r="DB632" s="614"/>
      <c r="DC632" s="660">
        <v>0</v>
      </c>
      <c r="DD632" s="614"/>
      <c r="DE632" s="769"/>
      <c r="DF632" s="614"/>
      <c r="DG632" s="768"/>
      <c r="DH632" s="769"/>
      <c r="DI632" s="614"/>
      <c r="DJ632" s="768"/>
      <c r="DK632" s="769"/>
      <c r="DL632" s="614"/>
      <c r="DM632" s="768"/>
      <c r="DN632" s="769"/>
      <c r="DO632" s="614"/>
      <c r="DP632" s="768"/>
      <c r="DQ632" s="493">
        <f t="shared" si="378"/>
        <v>0</v>
      </c>
      <c r="DR632" s="479">
        <f t="shared" si="379"/>
        <v>0</v>
      </c>
      <c r="DS632" s="1023"/>
      <c r="DT632" s="1023"/>
      <c r="DU632" s="1023"/>
      <c r="DV632" s="1023"/>
      <c r="DW632" s="1023"/>
      <c r="DX632" s="1023"/>
      <c r="DY632" s="1023"/>
      <c r="DZ632" s="1023"/>
      <c r="EA632" s="1023"/>
      <c r="EB632" s="1023"/>
      <c r="EC632" s="1023"/>
      <c r="ED632" s="1023"/>
      <c r="EE632" s="1119">
        <f t="shared" si="380"/>
        <v>0</v>
      </c>
      <c r="EF632" s="443">
        <f>EE632*1.17</f>
        <v>0</v>
      </c>
      <c r="EG632" s="443">
        <f>EF632*1.08</f>
        <v>0</v>
      </c>
      <c r="EH632" s="443">
        <f>EG632*1.09</f>
        <v>0</v>
      </c>
      <c r="EI632" s="443">
        <f>EH632*1.09</f>
        <v>0</v>
      </c>
      <c r="EJ632" s="367">
        <v>8000000019</v>
      </c>
      <c r="EL632" s="177"/>
      <c r="EM632" s="177"/>
      <c r="EN632" s="177"/>
    </row>
    <row r="633" spans="1:144" outlineLevel="2">
      <c r="A633" s="367" t="s">
        <v>159</v>
      </c>
      <c r="B633" s="378"/>
      <c r="C633" s="370" t="s">
        <v>688</v>
      </c>
      <c r="D633" s="370" t="s">
        <v>40</v>
      </c>
      <c r="E633" s="403" t="s">
        <v>722</v>
      </c>
      <c r="F633" s="380"/>
      <c r="G633" s="189"/>
      <c r="H633" s="13"/>
      <c r="I633" s="195"/>
      <c r="J633" s="185"/>
      <c r="K633" s="185"/>
      <c r="L633" s="185"/>
      <c r="M633" s="185"/>
      <c r="N633" s="185"/>
      <c r="O633" s="185"/>
      <c r="P633" s="185"/>
      <c r="Q633" s="185"/>
      <c r="R633" s="185"/>
      <c r="S633" s="14"/>
      <c r="T633" s="179"/>
      <c r="U633" s="189"/>
      <c r="V633" s="13"/>
      <c r="W633" s="195"/>
      <c r="X633" s="185"/>
      <c r="Y633" s="185"/>
      <c r="Z633" s="185"/>
      <c r="AA633" s="185"/>
      <c r="AB633" s="185"/>
      <c r="AC633" s="185"/>
      <c r="AD633" s="185"/>
      <c r="AE633" s="185"/>
      <c r="AF633" s="185"/>
      <c r="AG633" s="759"/>
      <c r="AH633" s="788"/>
      <c r="AI633" s="189"/>
      <c r="AJ633" s="810"/>
      <c r="AK633" s="854"/>
      <c r="AL633" s="758"/>
      <c r="AM633" s="758"/>
      <c r="AN633" s="758"/>
      <c r="AO633" s="758"/>
      <c r="AP633" s="758"/>
      <c r="AQ633" s="518"/>
      <c r="AR633" s="518"/>
      <c r="AS633" s="518">
        <v>9293264</v>
      </c>
      <c r="AT633" s="518"/>
      <c r="AU633" s="758"/>
      <c r="AV633" s="758"/>
      <c r="AW633" s="758"/>
      <c r="AX633" s="518">
        <f t="shared" si="377"/>
        <v>9293264</v>
      </c>
      <c r="AY633" s="788"/>
      <c r="AZ633" s="189"/>
      <c r="BA633" s="810"/>
      <c r="BB633" s="854"/>
      <c r="BC633" s="758"/>
      <c r="BD633" s="758"/>
      <c r="BE633" s="758"/>
      <c r="BF633" s="758"/>
      <c r="BG633" s="758"/>
      <c r="BH633" s="758"/>
      <c r="BI633" s="758"/>
      <c r="BJ633" s="758"/>
      <c r="BK633" s="758"/>
      <c r="BL633" s="518"/>
      <c r="BN633" s="873"/>
      <c r="BO633" s="771"/>
      <c r="BP633" s="771"/>
      <c r="BQ633" s="771"/>
      <c r="BR633" s="771"/>
      <c r="BS633" s="771"/>
      <c r="BT633" s="771"/>
      <c r="BU633" s="771"/>
      <c r="BV633" s="771"/>
      <c r="BW633" s="771"/>
      <c r="BX633" s="771"/>
      <c r="BY633" s="771"/>
      <c r="BZ633" s="791">
        <v>0</v>
      </c>
      <c r="CB633" s="873"/>
      <c r="CC633" s="771"/>
      <c r="CD633" s="771"/>
      <c r="CE633" s="771"/>
      <c r="CF633" s="771"/>
      <c r="CG633" s="771"/>
      <c r="CH633" s="771"/>
      <c r="CI633" s="771"/>
      <c r="CJ633" s="771"/>
      <c r="CK633" s="771"/>
      <c r="CL633" s="771"/>
      <c r="CM633" s="771"/>
      <c r="CN633" s="791">
        <v>0</v>
      </c>
      <c r="CO633" s="37"/>
      <c r="CP633" s="661"/>
      <c r="CQ633" s="661"/>
      <c r="CR633" s="615"/>
      <c r="CS633" s="661"/>
      <c r="CT633" s="615"/>
      <c r="CU633" s="661"/>
      <c r="CV633" s="615"/>
      <c r="CW633" s="661"/>
      <c r="CX633" s="615"/>
      <c r="CY633" s="661"/>
      <c r="CZ633" s="615"/>
      <c r="DA633" s="661"/>
      <c r="DB633" s="615"/>
      <c r="DC633" s="661">
        <v>0</v>
      </c>
      <c r="DD633" s="615"/>
      <c r="DE633" s="771"/>
      <c r="DF633" s="615"/>
      <c r="DG633" s="770"/>
      <c r="DH633" s="771"/>
      <c r="DI633" s="615"/>
      <c r="DJ633" s="770"/>
      <c r="DK633" s="771"/>
      <c r="DL633" s="615"/>
      <c r="DM633" s="770"/>
      <c r="DN633" s="771"/>
      <c r="DO633" s="615"/>
      <c r="DP633" s="770"/>
      <c r="DQ633" s="493">
        <f t="shared" si="378"/>
        <v>0</v>
      </c>
      <c r="DR633" s="479">
        <f t="shared" si="379"/>
        <v>0</v>
      </c>
      <c r="DS633" s="1023"/>
      <c r="DT633" s="1023"/>
      <c r="DU633" s="1023"/>
      <c r="DV633" s="1023"/>
      <c r="DW633" s="1023"/>
      <c r="DX633" s="1023"/>
      <c r="DY633" s="1023"/>
      <c r="DZ633" s="1023"/>
      <c r="EA633" s="1023"/>
      <c r="EB633" s="1023"/>
      <c r="EC633" s="1023"/>
      <c r="ED633" s="1023"/>
      <c r="EE633" s="1119">
        <f t="shared" si="380"/>
        <v>0</v>
      </c>
      <c r="EF633" s="443"/>
      <c r="EG633" s="443"/>
      <c r="EH633" s="443"/>
      <c r="EI633" s="443"/>
      <c r="EL633" s="177"/>
      <c r="EM633" s="177"/>
      <c r="EN633" s="177"/>
    </row>
    <row r="634" spans="1:144" outlineLevel="2">
      <c r="A634" s="367" t="s">
        <v>159</v>
      </c>
      <c r="B634" s="378"/>
      <c r="C634" s="370" t="s">
        <v>688</v>
      </c>
      <c r="D634" s="370" t="s">
        <v>40</v>
      </c>
      <c r="E634" s="403" t="s">
        <v>587</v>
      </c>
      <c r="F634" s="380">
        <v>3000007370</v>
      </c>
      <c r="G634" s="186"/>
      <c r="H634" s="13"/>
      <c r="I634" s="27"/>
      <c r="J634" s="185"/>
      <c r="K634" s="185"/>
      <c r="L634" s="185"/>
      <c r="M634" s="185"/>
      <c r="N634" s="185"/>
      <c r="O634" s="7"/>
      <c r="P634" s="7"/>
      <c r="Q634" s="7"/>
      <c r="R634" s="7"/>
      <c r="S634" s="14">
        <f>SUM(G634,H634,I634,J634,K634,L634,M634,N634,O634,P634,Q634,R634)</f>
        <v>0</v>
      </c>
      <c r="T634" s="179"/>
      <c r="U634" s="186"/>
      <c r="V634" s="13"/>
      <c r="W634" s="27"/>
      <c r="X634" s="185"/>
      <c r="Y634" s="185"/>
      <c r="Z634" s="185"/>
      <c r="AA634" s="185"/>
      <c r="AB634" s="185"/>
      <c r="AC634" s="7"/>
      <c r="AD634" s="7"/>
      <c r="AE634" s="7"/>
      <c r="AF634" s="7"/>
      <c r="AG634" s="759">
        <f>SUM(U634,V634,W634,X634,Y634,Z634,AA634,AB634,AC634,AD634,AE634,AF634)</f>
        <v>0</v>
      </c>
      <c r="AH634" s="788"/>
      <c r="AI634" s="814">
        <v>9141000</v>
      </c>
      <c r="AJ634" s="810">
        <v>100134000</v>
      </c>
      <c r="AK634" s="858">
        <v>59812000</v>
      </c>
      <c r="AL634" s="758">
        <v>70166800</v>
      </c>
      <c r="AM634" s="758">
        <v>69827600</v>
      </c>
      <c r="AN634" s="758">
        <v>55891000</v>
      </c>
      <c r="AO634" s="758">
        <v>46913000</v>
      </c>
      <c r="AP634" s="758">
        <v>121438000</v>
      </c>
      <c r="AQ634" s="518">
        <v>87488000</v>
      </c>
      <c r="AR634" s="518">
        <v>122579000</v>
      </c>
      <c r="AS634" s="518">
        <v>93617000</v>
      </c>
      <c r="AT634" s="518">
        <v>153317000</v>
      </c>
      <c r="AU634" s="518">
        <f t="shared" ref="AU634:AW638" si="381">BI634</f>
        <v>80000000</v>
      </c>
      <c r="AV634" s="518">
        <f t="shared" si="381"/>
        <v>80000000</v>
      </c>
      <c r="AW634" s="518">
        <f t="shared" si="381"/>
        <v>50000000</v>
      </c>
      <c r="AX634" s="518">
        <f t="shared" si="377"/>
        <v>990324400</v>
      </c>
      <c r="AY634" s="788"/>
      <c r="AZ634" s="814">
        <v>9141000</v>
      </c>
      <c r="BA634" s="810">
        <v>100134000</v>
      </c>
      <c r="BB634" s="858">
        <v>59812000</v>
      </c>
      <c r="BC634" s="758">
        <v>70166800</v>
      </c>
      <c r="BD634" s="758">
        <v>69827600</v>
      </c>
      <c r="BE634" s="758">
        <v>55891000</v>
      </c>
      <c r="BF634" s="758">
        <v>46913000</v>
      </c>
      <c r="BG634" s="518">
        <f>AP634</f>
        <v>121438000</v>
      </c>
      <c r="BH634" s="758">
        <v>80000000</v>
      </c>
      <c r="BI634" s="758">
        <v>80000000</v>
      </c>
      <c r="BJ634" s="758">
        <v>80000000</v>
      </c>
      <c r="BK634" s="758">
        <v>50000000</v>
      </c>
      <c r="BL634" s="759">
        <f>SUM(AZ634,BA634,BB634,BC634,BD634,BE634,BF634,BG634,BH634,BI634,BJ634,BK634)</f>
        <v>823323400</v>
      </c>
      <c r="BN634" s="769">
        <v>50000000</v>
      </c>
      <c r="BO634" s="769">
        <v>50000000</v>
      </c>
      <c r="BP634" s="769">
        <v>50000000</v>
      </c>
      <c r="BQ634" s="769">
        <v>50000000</v>
      </c>
      <c r="BR634" s="769">
        <v>50000000</v>
      </c>
      <c r="BS634" s="769">
        <v>50000000</v>
      </c>
      <c r="BT634" s="769">
        <v>50000000</v>
      </c>
      <c r="BU634" s="769">
        <v>60000000</v>
      </c>
      <c r="BV634" s="769">
        <v>60000000</v>
      </c>
      <c r="BW634" s="769">
        <v>80000000</v>
      </c>
      <c r="BX634" s="769">
        <v>80000000</v>
      </c>
      <c r="BY634" s="769">
        <v>50000000</v>
      </c>
      <c r="BZ634" s="791">
        <v>680000000</v>
      </c>
      <c r="CB634" s="769">
        <v>50000000</v>
      </c>
      <c r="CC634" s="769">
        <v>50000000</v>
      </c>
      <c r="CD634" s="769">
        <v>50000000</v>
      </c>
      <c r="CE634" s="769">
        <v>50000000</v>
      </c>
      <c r="CF634" s="769">
        <v>50000000</v>
      </c>
      <c r="CG634" s="769">
        <v>50000000</v>
      </c>
      <c r="CH634" s="769">
        <v>50000000</v>
      </c>
      <c r="CI634" s="769">
        <v>60000000</v>
      </c>
      <c r="CJ634" s="769">
        <v>60000000</v>
      </c>
      <c r="CK634" s="769">
        <v>80000000</v>
      </c>
      <c r="CL634" s="769">
        <v>80000000</v>
      </c>
      <c r="CM634" s="769">
        <v>50000000</v>
      </c>
      <c r="CN634" s="791">
        <v>680000000</v>
      </c>
      <c r="CO634" s="37"/>
      <c r="CP634" s="660">
        <v>122258550</v>
      </c>
      <c r="CQ634" s="660">
        <v>148300000</v>
      </c>
      <c r="CR634" s="614">
        <v>140000000</v>
      </c>
      <c r="CS634" s="660">
        <v>159500000</v>
      </c>
      <c r="CT634" s="614">
        <f>CR634</f>
        <v>140000000</v>
      </c>
      <c r="CU634" s="660">
        <v>139932550</v>
      </c>
      <c r="CV634" s="614">
        <v>150000000</v>
      </c>
      <c r="CW634" s="660">
        <v>192148000</v>
      </c>
      <c r="CX634" s="614">
        <v>139932550</v>
      </c>
      <c r="CY634" s="660">
        <v>154464000</v>
      </c>
      <c r="CZ634" s="614">
        <v>150000000</v>
      </c>
      <c r="DA634" s="660">
        <v>272715000</v>
      </c>
      <c r="DB634" s="614">
        <f>CZ634</f>
        <v>150000000</v>
      </c>
      <c r="DC634" s="660">
        <v>204809000</v>
      </c>
      <c r="DD634" s="614">
        <f>DB634</f>
        <v>150000000</v>
      </c>
      <c r="DE634" s="772"/>
      <c r="DF634" s="614">
        <f>DE634</f>
        <v>0</v>
      </c>
      <c r="DG634" s="768">
        <f>DD634</f>
        <v>150000000</v>
      </c>
      <c r="DH634" s="772"/>
      <c r="DI634" s="614">
        <f>DH634</f>
        <v>0</v>
      </c>
      <c r="DJ634" s="768">
        <f>DG634</f>
        <v>150000000</v>
      </c>
      <c r="DK634" s="772"/>
      <c r="DL634" s="614">
        <f>DK634</f>
        <v>0</v>
      </c>
      <c r="DM634" s="768">
        <f>DJ634</f>
        <v>150000000</v>
      </c>
      <c r="DN634" s="772"/>
      <c r="DO634" s="614">
        <f>DN634</f>
        <v>0</v>
      </c>
      <c r="DP634" s="768">
        <f>DM634</f>
        <v>150000000</v>
      </c>
      <c r="DQ634" s="493">
        <f t="shared" si="378"/>
        <v>1394127100</v>
      </c>
      <c r="DR634" s="479">
        <f t="shared" si="379"/>
        <v>1759923650</v>
      </c>
      <c r="DS634" s="1023">
        <v>200000000</v>
      </c>
      <c r="DT634" s="1023">
        <v>200000000</v>
      </c>
      <c r="DU634" s="1023">
        <v>200000000</v>
      </c>
      <c r="DV634" s="1023">
        <v>200000000</v>
      </c>
      <c r="DW634" s="1023">
        <v>200000000</v>
      </c>
      <c r="DX634" s="1023">
        <v>200000000</v>
      </c>
      <c r="DY634" s="1023">
        <v>200000000</v>
      </c>
      <c r="DZ634" s="1023">
        <v>250000000</v>
      </c>
      <c r="EA634" s="1023">
        <v>250000000</v>
      </c>
      <c r="EB634" s="1023">
        <v>250000000</v>
      </c>
      <c r="EC634" s="1023">
        <v>250000000</v>
      </c>
      <c r="ED634" s="1023">
        <v>250000000</v>
      </c>
      <c r="EE634" s="1119">
        <f t="shared" si="380"/>
        <v>2650000000</v>
      </c>
      <c r="EF634" s="443">
        <f>(EE634*1.17)-6159467.17757432</f>
        <v>3094340532.8224258</v>
      </c>
      <c r="EG634" s="443">
        <f>(EF634*1.08)-19576158.0327855</f>
        <v>3322311617.4154348</v>
      </c>
      <c r="EH634" s="443">
        <f>(EG634*1.09)+147863.483324089</f>
        <v>3621467526.4661484</v>
      </c>
      <c r="EI634" s="443">
        <f>(EH634*1.09)+147863.483324089</f>
        <v>3947547467.3314261</v>
      </c>
      <c r="EJ634" s="367">
        <v>3000007370</v>
      </c>
      <c r="EL634" s="177">
        <v>1</v>
      </c>
      <c r="EM634" s="177"/>
      <c r="EN634" s="177"/>
    </row>
    <row r="635" spans="1:144" outlineLevel="2">
      <c r="A635" s="367" t="s">
        <v>159</v>
      </c>
      <c r="B635" s="378"/>
      <c r="C635" s="370" t="s">
        <v>688</v>
      </c>
      <c r="D635" s="370" t="s">
        <v>40</v>
      </c>
      <c r="E635" s="403" t="s">
        <v>856</v>
      </c>
      <c r="F635" s="380">
        <v>3000017571</v>
      </c>
      <c r="G635" s="189"/>
      <c r="H635" s="13"/>
      <c r="I635" s="27"/>
      <c r="J635" s="185"/>
      <c r="K635" s="185"/>
      <c r="L635" s="185"/>
      <c r="M635" s="185"/>
      <c r="N635" s="185"/>
      <c r="O635" s="7"/>
      <c r="P635" s="7"/>
      <c r="Q635" s="7"/>
      <c r="R635" s="7"/>
      <c r="S635" s="14">
        <f>SUM(G635,H635,I635,J635,K635,L635,M635,N635,O635,P635,Q635,R635)</f>
        <v>0</v>
      </c>
      <c r="T635" s="179"/>
      <c r="U635" s="189"/>
      <c r="V635" s="13"/>
      <c r="W635" s="27"/>
      <c r="X635" s="185"/>
      <c r="Y635" s="185"/>
      <c r="Z635" s="185"/>
      <c r="AA635" s="185"/>
      <c r="AB635" s="185"/>
      <c r="AC635" s="7"/>
      <c r="AD635" s="7"/>
      <c r="AE635" s="7"/>
      <c r="AF635" s="7"/>
      <c r="AG635" s="759">
        <f>SUM(U635,V635,W635,X635,Y635,Z635,AA635,AB635,AC635,AD635,AE635,AF635)</f>
        <v>0</v>
      </c>
      <c r="AH635" s="788"/>
      <c r="AI635" s="189"/>
      <c r="AJ635" s="810">
        <v>5670880</v>
      </c>
      <c r="AK635" s="858">
        <v>3955350</v>
      </c>
      <c r="AL635" s="758">
        <v>7417260</v>
      </c>
      <c r="AM635" s="758"/>
      <c r="AN635" s="758">
        <v>3745450</v>
      </c>
      <c r="AO635" s="758"/>
      <c r="AP635" s="758">
        <v>7240630</v>
      </c>
      <c r="AQ635" s="518">
        <v>3940100</v>
      </c>
      <c r="AR635" s="518">
        <v>3449285</v>
      </c>
      <c r="AS635" s="518"/>
      <c r="AT635" s="518"/>
      <c r="AU635" s="518">
        <f t="shared" si="381"/>
        <v>5000000</v>
      </c>
      <c r="AV635" s="518">
        <f t="shared" si="381"/>
        <v>5000000</v>
      </c>
      <c r="AW635" s="518">
        <f t="shared" si="381"/>
        <v>5000000</v>
      </c>
      <c r="AX635" s="518">
        <f t="shared" si="377"/>
        <v>35418955</v>
      </c>
      <c r="AY635" s="788"/>
      <c r="AZ635" s="189"/>
      <c r="BA635" s="810">
        <v>5670880</v>
      </c>
      <c r="BB635" s="858">
        <v>3955350</v>
      </c>
      <c r="BC635" s="758">
        <v>7417260</v>
      </c>
      <c r="BD635" s="758"/>
      <c r="BE635" s="758">
        <v>3745450</v>
      </c>
      <c r="BF635" s="758"/>
      <c r="BG635" s="518">
        <f>AP635</f>
        <v>7240630</v>
      </c>
      <c r="BH635" s="758">
        <v>5000000</v>
      </c>
      <c r="BI635" s="758">
        <v>5000000</v>
      </c>
      <c r="BJ635" s="758">
        <v>5000000</v>
      </c>
      <c r="BK635" s="758">
        <v>5000000</v>
      </c>
      <c r="BL635" s="759">
        <f>SUM(AZ635,BA635,BB635,BC635,BD635,BE635,BF635,BG635,BH635,BI635,BJ635,BK635)</f>
        <v>48029570</v>
      </c>
      <c r="BN635" s="769">
        <v>3000000</v>
      </c>
      <c r="BO635" s="769">
        <v>3000000</v>
      </c>
      <c r="BP635" s="769">
        <v>3000000</v>
      </c>
      <c r="BQ635" s="769">
        <v>3000000</v>
      </c>
      <c r="BR635" s="769">
        <v>1000000</v>
      </c>
      <c r="BS635" s="769">
        <v>3000000</v>
      </c>
      <c r="BT635" s="769">
        <v>3000000</v>
      </c>
      <c r="BU635" s="769">
        <v>3000000</v>
      </c>
      <c r="BV635" s="769">
        <v>3000000</v>
      </c>
      <c r="BW635" s="769">
        <v>3000000</v>
      </c>
      <c r="BX635" s="769">
        <v>3000000</v>
      </c>
      <c r="BY635" s="769">
        <v>3000000</v>
      </c>
      <c r="BZ635" s="791">
        <v>34000000</v>
      </c>
      <c r="CB635" s="769">
        <v>3000000</v>
      </c>
      <c r="CC635" s="769">
        <v>3000000</v>
      </c>
      <c r="CD635" s="769">
        <v>3000000</v>
      </c>
      <c r="CE635" s="769">
        <v>3000000</v>
      </c>
      <c r="CF635" s="769">
        <v>1000000</v>
      </c>
      <c r="CG635" s="769">
        <v>3000000</v>
      </c>
      <c r="CH635" s="769">
        <v>3000000</v>
      </c>
      <c r="CI635" s="769">
        <v>3000000</v>
      </c>
      <c r="CJ635" s="769">
        <v>3000000</v>
      </c>
      <c r="CK635" s="769">
        <v>3000000</v>
      </c>
      <c r="CL635" s="769">
        <v>3000000</v>
      </c>
      <c r="CM635" s="769">
        <v>3000000</v>
      </c>
      <c r="CN635" s="791">
        <v>34000000</v>
      </c>
      <c r="CO635" s="37"/>
      <c r="CP635" s="660"/>
      <c r="CQ635" s="660">
        <v>9619965</v>
      </c>
      <c r="CR635" s="614"/>
      <c r="CS635" s="660">
        <v>3332640</v>
      </c>
      <c r="CT635" s="614"/>
      <c r="CU635" s="660">
        <v>17614190</v>
      </c>
      <c r="CV635" s="614"/>
      <c r="CW635" s="660">
        <v>3819415</v>
      </c>
      <c r="CX635" s="614">
        <v>17614190</v>
      </c>
      <c r="CY635" s="660">
        <v>7473673</v>
      </c>
      <c r="CZ635" s="614">
        <v>30000000</v>
      </c>
      <c r="DA635" s="660">
        <v>3814515</v>
      </c>
      <c r="DB635" s="614">
        <f>CZ635</f>
        <v>30000000</v>
      </c>
      <c r="DC635" s="660">
        <v>3793690</v>
      </c>
      <c r="DD635" s="614">
        <f>DB635</f>
        <v>30000000</v>
      </c>
      <c r="DE635" s="769"/>
      <c r="DF635" s="614">
        <f>DE635</f>
        <v>0</v>
      </c>
      <c r="DG635" s="768">
        <f>DD635</f>
        <v>30000000</v>
      </c>
      <c r="DH635" s="769"/>
      <c r="DI635" s="614">
        <f>DH635</f>
        <v>0</v>
      </c>
      <c r="DJ635" s="768">
        <f>DG635</f>
        <v>30000000</v>
      </c>
      <c r="DK635" s="769"/>
      <c r="DL635" s="614">
        <f>DK635</f>
        <v>0</v>
      </c>
      <c r="DM635" s="768">
        <f>DJ635</f>
        <v>30000000</v>
      </c>
      <c r="DN635" s="769"/>
      <c r="DO635" s="614">
        <f>DN635</f>
        <v>0</v>
      </c>
      <c r="DP635" s="768">
        <f>DM635</f>
        <v>30000000</v>
      </c>
      <c r="DQ635" s="493">
        <f t="shared" si="378"/>
        <v>49468088</v>
      </c>
      <c r="DR635" s="479">
        <f t="shared" si="379"/>
        <v>258180985</v>
      </c>
      <c r="DS635" s="1023">
        <v>3000000</v>
      </c>
      <c r="DT635" s="1023">
        <v>3000000</v>
      </c>
      <c r="DU635" s="1023">
        <v>3000000</v>
      </c>
      <c r="DV635" s="1023">
        <v>3000000</v>
      </c>
      <c r="DW635" s="1023">
        <v>3000000</v>
      </c>
      <c r="DX635" s="1023">
        <v>3000000</v>
      </c>
      <c r="DY635" s="1023">
        <v>3000000</v>
      </c>
      <c r="DZ635" s="1023">
        <v>3000000</v>
      </c>
      <c r="EA635" s="1023">
        <v>3000000</v>
      </c>
      <c r="EB635" s="1023">
        <v>3000000</v>
      </c>
      <c r="EC635" s="1023">
        <v>3000000</v>
      </c>
      <c r="ED635" s="1023">
        <v>3000000</v>
      </c>
      <c r="EE635" s="1119">
        <f t="shared" si="380"/>
        <v>36000000</v>
      </c>
      <c r="EF635" s="443">
        <f>EE635*1.17</f>
        <v>42120000</v>
      </c>
      <c r="EG635" s="443">
        <v>50500000</v>
      </c>
      <c r="EH635" s="443">
        <f t="shared" ref="EH635:EI638" si="382">EG635*1.09</f>
        <v>55045000.000000007</v>
      </c>
      <c r="EI635" s="443">
        <f t="shared" si="382"/>
        <v>59999050.000000015</v>
      </c>
      <c r="EJ635" s="367">
        <v>3000017571</v>
      </c>
      <c r="EL635" s="177"/>
      <c r="EM635" s="177"/>
      <c r="EN635" s="177"/>
    </row>
    <row r="636" spans="1:144" outlineLevel="2">
      <c r="A636" s="367" t="s">
        <v>159</v>
      </c>
      <c r="B636" s="378"/>
      <c r="C636" s="370" t="s">
        <v>688</v>
      </c>
      <c r="D636" s="370" t="s">
        <v>40</v>
      </c>
      <c r="E636" s="403" t="s">
        <v>807</v>
      </c>
      <c r="F636" s="380">
        <v>3000016614</v>
      </c>
      <c r="G636" s="189"/>
      <c r="H636" s="13"/>
      <c r="I636" s="27"/>
      <c r="J636" s="185"/>
      <c r="K636" s="185"/>
      <c r="L636" s="185"/>
      <c r="M636" s="185"/>
      <c r="N636" s="185"/>
      <c r="O636" s="7"/>
      <c r="P636" s="7"/>
      <c r="Q636" s="7"/>
      <c r="R636" s="7"/>
      <c r="S636" s="14">
        <f>SUM(G636,H636,I636,J636,K636,L636,M636,N636,O636,P636,Q636,R636)</f>
        <v>0</v>
      </c>
      <c r="T636" s="179"/>
      <c r="U636" s="189"/>
      <c r="V636" s="13"/>
      <c r="W636" s="27"/>
      <c r="X636" s="185"/>
      <c r="Y636" s="185"/>
      <c r="Z636" s="185"/>
      <c r="AA636" s="185"/>
      <c r="AB636" s="185"/>
      <c r="AC636" s="7"/>
      <c r="AD636" s="7"/>
      <c r="AE636" s="7"/>
      <c r="AF636" s="7"/>
      <c r="AG636" s="759">
        <f>SUM(U636,V636,W636,X636,Y636,Z636,AA636,AB636,AC636,AD636,AE636,AF636)</f>
        <v>0</v>
      </c>
      <c r="AH636" s="788"/>
      <c r="AI636" s="189"/>
      <c r="AJ636" s="810">
        <v>691317</v>
      </c>
      <c r="AK636" s="858">
        <v>404316</v>
      </c>
      <c r="AL636" s="758">
        <v>783585</v>
      </c>
      <c r="AM636" s="758"/>
      <c r="AN636" s="758">
        <v>352415</v>
      </c>
      <c r="AO636" s="758"/>
      <c r="AP636" s="758">
        <v>728392</v>
      </c>
      <c r="AQ636" s="518">
        <v>367166</v>
      </c>
      <c r="AR636" s="518">
        <v>364741</v>
      </c>
      <c r="AS636" s="518"/>
      <c r="AT636" s="518"/>
      <c r="AU636" s="518">
        <f t="shared" si="381"/>
        <v>0</v>
      </c>
      <c r="AV636" s="518">
        <f t="shared" si="381"/>
        <v>0</v>
      </c>
      <c r="AW636" s="518">
        <f t="shared" si="381"/>
        <v>0</v>
      </c>
      <c r="AX636" s="518">
        <f t="shared" si="377"/>
        <v>3691932</v>
      </c>
      <c r="AY636" s="788"/>
      <c r="AZ636" s="189"/>
      <c r="BA636" s="810">
        <v>691317</v>
      </c>
      <c r="BB636" s="858">
        <v>404316</v>
      </c>
      <c r="BC636" s="758">
        <v>783585</v>
      </c>
      <c r="BD636" s="758"/>
      <c r="BE636" s="758">
        <v>352415</v>
      </c>
      <c r="BF636" s="758"/>
      <c r="BG636" s="518">
        <f>AP636</f>
        <v>728392</v>
      </c>
      <c r="BH636" s="758">
        <v>0</v>
      </c>
      <c r="BI636" s="758">
        <v>0</v>
      </c>
      <c r="BJ636" s="758">
        <v>0</v>
      </c>
      <c r="BK636" s="758">
        <v>0</v>
      </c>
      <c r="BL636" s="759">
        <f>SUM(AZ636,BA636,BB636,BC636,BD636,BE636,BF636,BG636,BH636,BI636,BJ636,BK636)</f>
        <v>2960025</v>
      </c>
      <c r="BN636" s="772">
        <v>1000000</v>
      </c>
      <c r="BO636" s="769"/>
      <c r="BP636" s="769">
        <v>1000000</v>
      </c>
      <c r="BQ636" s="769"/>
      <c r="BR636" s="769"/>
      <c r="BS636" s="769">
        <v>1000000</v>
      </c>
      <c r="BT636" s="769">
        <v>1000000</v>
      </c>
      <c r="BU636" s="769"/>
      <c r="BV636" s="769">
        <v>1000000</v>
      </c>
      <c r="BW636" s="769"/>
      <c r="BX636" s="769">
        <v>1000000</v>
      </c>
      <c r="BY636" s="769"/>
      <c r="BZ636" s="791">
        <v>6000000</v>
      </c>
      <c r="CB636" s="772">
        <v>1000000</v>
      </c>
      <c r="CC636" s="769"/>
      <c r="CD636" s="769">
        <v>1000000</v>
      </c>
      <c r="CE636" s="769"/>
      <c r="CF636" s="769"/>
      <c r="CG636" s="769">
        <v>1000000</v>
      </c>
      <c r="CH636" s="769">
        <v>1000000</v>
      </c>
      <c r="CI636" s="769"/>
      <c r="CJ636" s="769">
        <v>1000000</v>
      </c>
      <c r="CK636" s="769"/>
      <c r="CL636" s="769">
        <v>1000000</v>
      </c>
      <c r="CM636" s="769"/>
      <c r="CN636" s="791">
        <v>6000000</v>
      </c>
      <c r="CO636" s="37"/>
      <c r="CP636" s="660"/>
      <c r="CQ636" s="660">
        <v>1383326</v>
      </c>
      <c r="CR636" s="614">
        <v>6000000</v>
      </c>
      <c r="CS636" s="660">
        <v>358281</v>
      </c>
      <c r="CT636" s="614">
        <f>CR636</f>
        <v>6000000</v>
      </c>
      <c r="CU636" s="660">
        <v>1797246</v>
      </c>
      <c r="CV636" s="614">
        <v>5000000</v>
      </c>
      <c r="CW636" s="660">
        <v>353925</v>
      </c>
      <c r="CX636" s="614">
        <v>1797246</v>
      </c>
      <c r="CY636" s="660">
        <v>703196</v>
      </c>
      <c r="CZ636" s="614">
        <f>CX636</f>
        <v>1797246</v>
      </c>
      <c r="DA636" s="660">
        <v>717353</v>
      </c>
      <c r="DB636" s="614">
        <v>3000000</v>
      </c>
      <c r="DC636" s="660">
        <v>355979</v>
      </c>
      <c r="DD636" s="614">
        <f>DB636</f>
        <v>3000000</v>
      </c>
      <c r="DE636" s="769"/>
      <c r="DF636" s="614">
        <f>DE636</f>
        <v>0</v>
      </c>
      <c r="DG636" s="768">
        <f>DD636</f>
        <v>3000000</v>
      </c>
      <c r="DH636" s="769"/>
      <c r="DI636" s="614">
        <f>DH636</f>
        <v>0</v>
      </c>
      <c r="DJ636" s="768">
        <f>DG636</f>
        <v>3000000</v>
      </c>
      <c r="DK636" s="769"/>
      <c r="DL636" s="614">
        <f>DK636</f>
        <v>0</v>
      </c>
      <c r="DM636" s="768">
        <f>DJ636</f>
        <v>3000000</v>
      </c>
      <c r="DN636" s="769"/>
      <c r="DO636" s="614">
        <f>DN636</f>
        <v>0</v>
      </c>
      <c r="DP636" s="768">
        <f>DM636</f>
        <v>3000000</v>
      </c>
      <c r="DQ636" s="493">
        <f t="shared" si="378"/>
        <v>5669306</v>
      </c>
      <c r="DR636" s="479">
        <f t="shared" si="379"/>
        <v>25133345</v>
      </c>
      <c r="DS636" s="1023">
        <v>3000000</v>
      </c>
      <c r="DT636" s="1023">
        <v>3000000</v>
      </c>
      <c r="DU636" s="1023">
        <v>3000000</v>
      </c>
      <c r="DV636" s="1023">
        <v>3000000</v>
      </c>
      <c r="DW636" s="1023">
        <v>3000000</v>
      </c>
      <c r="DX636" s="1023">
        <v>3000000</v>
      </c>
      <c r="DY636" s="1023">
        <v>3000000</v>
      </c>
      <c r="DZ636" s="1023">
        <v>3000000</v>
      </c>
      <c r="EA636" s="1023">
        <v>3000000</v>
      </c>
      <c r="EB636" s="1023">
        <v>3000000</v>
      </c>
      <c r="EC636" s="1023">
        <v>3000000</v>
      </c>
      <c r="ED636" s="1023">
        <v>3000000</v>
      </c>
      <c r="EE636" s="1119">
        <f t="shared" si="380"/>
        <v>36000000</v>
      </c>
      <c r="EF636" s="443">
        <f>EE636*1.17</f>
        <v>42120000</v>
      </c>
      <c r="EG636" s="443">
        <v>8900000</v>
      </c>
      <c r="EH636" s="443">
        <f t="shared" si="382"/>
        <v>9701000</v>
      </c>
      <c r="EI636" s="443">
        <f t="shared" si="382"/>
        <v>10574090</v>
      </c>
      <c r="EJ636" s="367">
        <v>3000016614</v>
      </c>
      <c r="EL636" s="177"/>
      <c r="EM636" s="177"/>
      <c r="EN636" s="177"/>
    </row>
    <row r="637" spans="1:144" outlineLevel="2">
      <c r="A637" s="367" t="s">
        <v>159</v>
      </c>
      <c r="B637" s="378"/>
      <c r="C637" s="370" t="s">
        <v>688</v>
      </c>
      <c r="D637" s="370" t="s">
        <v>40</v>
      </c>
      <c r="E637" s="403" t="s">
        <v>83</v>
      </c>
      <c r="F637" s="380">
        <v>8000000010</v>
      </c>
      <c r="G637" s="186"/>
      <c r="H637" s="13"/>
      <c r="I637" s="185"/>
      <c r="J637" s="185"/>
      <c r="K637" s="185"/>
      <c r="L637" s="185"/>
      <c r="M637" s="185"/>
      <c r="N637" s="185"/>
      <c r="O637" s="7"/>
      <c r="P637" s="7"/>
      <c r="Q637" s="7"/>
      <c r="R637" s="7"/>
      <c r="S637" s="14">
        <f>SUM(G637,H637,I637,J637,K637,L637,M637,N637,O637,P637,Q637,R637)</f>
        <v>0</v>
      </c>
      <c r="T637" s="179"/>
      <c r="U637" s="186"/>
      <c r="V637" s="13"/>
      <c r="W637" s="185"/>
      <c r="X637" s="185"/>
      <c r="Y637" s="185"/>
      <c r="Z637" s="185"/>
      <c r="AA637" s="185"/>
      <c r="AB637" s="185"/>
      <c r="AC637" s="7"/>
      <c r="AD637" s="7"/>
      <c r="AE637" s="7"/>
      <c r="AF637" s="7"/>
      <c r="AG637" s="759">
        <f>SUM(U637,V637,W637,X637,Y637,Z637,AA637,AB637,AC637,AD637,AE637,AF637)</f>
        <v>0</v>
      </c>
      <c r="AH637" s="788"/>
      <c r="AI637" s="814">
        <v>10417000</v>
      </c>
      <c r="AJ637" s="810">
        <v>44966000</v>
      </c>
      <c r="AK637" s="758"/>
      <c r="AL637" s="758">
        <v>0</v>
      </c>
      <c r="AM637" s="758"/>
      <c r="AN637" s="758">
        <v>22350000</v>
      </c>
      <c r="AO637" s="758">
        <v>37394000</v>
      </c>
      <c r="AP637" s="758">
        <v>52626000</v>
      </c>
      <c r="AQ637" s="518">
        <v>24707000</v>
      </c>
      <c r="AR637" s="518">
        <v>34323000</v>
      </c>
      <c r="AS637" s="518">
        <v>53220000</v>
      </c>
      <c r="AT637" s="518">
        <v>31745000</v>
      </c>
      <c r="AU637" s="518">
        <f t="shared" si="381"/>
        <v>24000000</v>
      </c>
      <c r="AV637" s="518">
        <f t="shared" si="381"/>
        <v>24000000</v>
      </c>
      <c r="AW637" s="518">
        <f t="shared" si="381"/>
        <v>20000000</v>
      </c>
      <c r="AX637" s="518">
        <f t="shared" si="377"/>
        <v>311748000</v>
      </c>
      <c r="AY637" s="788"/>
      <c r="AZ637" s="814">
        <v>10417000</v>
      </c>
      <c r="BA637" s="810">
        <v>44966000</v>
      </c>
      <c r="BB637" s="758"/>
      <c r="BC637" s="758">
        <v>0</v>
      </c>
      <c r="BD637" s="758"/>
      <c r="BE637" s="758">
        <v>22350000</v>
      </c>
      <c r="BF637" s="758">
        <v>37394000</v>
      </c>
      <c r="BG637" s="518">
        <f>AP637</f>
        <v>52626000</v>
      </c>
      <c r="BH637" s="758">
        <v>24000000</v>
      </c>
      <c r="BI637" s="758">
        <v>24000000</v>
      </c>
      <c r="BJ637" s="758">
        <v>24000000</v>
      </c>
      <c r="BK637" s="758">
        <v>20000000</v>
      </c>
      <c r="BL637" s="759">
        <f>SUM(AZ637,BA637,BB637,BC637,BD637,BE637,BF637,BG637,BH637,BI637,BJ637,BK637)</f>
        <v>259753000</v>
      </c>
      <c r="BN637" s="772">
        <v>30000000</v>
      </c>
      <c r="BO637" s="769">
        <v>30000000</v>
      </c>
      <c r="BP637" s="769">
        <v>30000000</v>
      </c>
      <c r="BQ637" s="769">
        <v>30000000</v>
      </c>
      <c r="BR637" s="769">
        <v>20000000</v>
      </c>
      <c r="BS637" s="769">
        <v>30000000</v>
      </c>
      <c r="BT637" s="769">
        <v>30000000</v>
      </c>
      <c r="BU637" s="769">
        <v>30000000</v>
      </c>
      <c r="BV637" s="769">
        <v>30000000</v>
      </c>
      <c r="BW637" s="769">
        <v>30000000</v>
      </c>
      <c r="BX637" s="769">
        <v>30000000</v>
      </c>
      <c r="BY637" s="769">
        <v>30000000</v>
      </c>
      <c r="BZ637" s="791">
        <v>350000000</v>
      </c>
      <c r="CB637" s="772">
        <v>30000000</v>
      </c>
      <c r="CC637" s="769">
        <v>30000000</v>
      </c>
      <c r="CD637" s="769">
        <v>30000000</v>
      </c>
      <c r="CE637" s="769">
        <v>30000000</v>
      </c>
      <c r="CF637" s="769">
        <v>20000000</v>
      </c>
      <c r="CG637" s="769">
        <v>30000000</v>
      </c>
      <c r="CH637" s="769">
        <v>30000000</v>
      </c>
      <c r="CI637" s="769">
        <v>30000000</v>
      </c>
      <c r="CJ637" s="769">
        <v>30000000</v>
      </c>
      <c r="CK637" s="769">
        <v>30000000</v>
      </c>
      <c r="CL637" s="769">
        <v>30000000</v>
      </c>
      <c r="CM637" s="769">
        <v>30000000</v>
      </c>
      <c r="CN637" s="791">
        <v>350000000</v>
      </c>
      <c r="CO637" s="37"/>
      <c r="CP637" s="660">
        <v>14074000</v>
      </c>
      <c r="CQ637" s="660">
        <v>29905000</v>
      </c>
      <c r="CR637" s="614">
        <v>30000000</v>
      </c>
      <c r="CS637" s="660">
        <v>55508000</v>
      </c>
      <c r="CT637" s="614">
        <v>20000000</v>
      </c>
      <c r="CU637" s="660">
        <v>30704000</v>
      </c>
      <c r="CV637" s="614">
        <v>50000000</v>
      </c>
      <c r="CW637" s="660">
        <v>23372000</v>
      </c>
      <c r="CX637" s="614">
        <v>80000000</v>
      </c>
      <c r="CY637" s="660">
        <v>42641000</v>
      </c>
      <c r="CZ637" s="614">
        <f>CX637</f>
        <v>80000000</v>
      </c>
      <c r="DA637" s="660">
        <v>7189000</v>
      </c>
      <c r="DB637" s="614">
        <f>CZ637</f>
        <v>80000000</v>
      </c>
      <c r="DC637" s="660">
        <v>38610000</v>
      </c>
      <c r="DD637" s="614">
        <f>DB637</f>
        <v>80000000</v>
      </c>
      <c r="DE637" s="769"/>
      <c r="DF637" s="614">
        <f>DE637</f>
        <v>0</v>
      </c>
      <c r="DG637" s="768">
        <f>DD637</f>
        <v>80000000</v>
      </c>
      <c r="DH637" s="769"/>
      <c r="DI637" s="614">
        <f>DH637</f>
        <v>0</v>
      </c>
      <c r="DJ637" s="768">
        <f>DG637</f>
        <v>80000000</v>
      </c>
      <c r="DK637" s="769"/>
      <c r="DL637" s="614">
        <f>DK637</f>
        <v>0</v>
      </c>
      <c r="DM637" s="768">
        <f>DJ637</f>
        <v>80000000</v>
      </c>
      <c r="DN637" s="769"/>
      <c r="DO637" s="614">
        <f>DN637</f>
        <v>0</v>
      </c>
      <c r="DP637" s="768">
        <f>DM637</f>
        <v>80000000</v>
      </c>
      <c r="DQ637" s="493">
        <f t="shared" si="378"/>
        <v>242003000</v>
      </c>
      <c r="DR637" s="479">
        <f t="shared" si="379"/>
        <v>770191000</v>
      </c>
      <c r="DS637" s="1023">
        <v>70000000</v>
      </c>
      <c r="DT637" s="1023">
        <v>70000000</v>
      </c>
      <c r="DU637" s="1023">
        <v>70000000</v>
      </c>
      <c r="DV637" s="1023">
        <v>70000000</v>
      </c>
      <c r="DW637" s="1023">
        <v>70000000</v>
      </c>
      <c r="DX637" s="1023">
        <v>70000000</v>
      </c>
      <c r="DY637" s="1023">
        <v>70000000</v>
      </c>
      <c r="DZ637" s="1023">
        <v>70000000</v>
      </c>
      <c r="EA637" s="1023">
        <v>70000000</v>
      </c>
      <c r="EB637" s="1023">
        <v>70000000</v>
      </c>
      <c r="EC637" s="1023">
        <v>70000000</v>
      </c>
      <c r="ED637" s="1023">
        <v>70000000</v>
      </c>
      <c r="EE637" s="1119">
        <f t="shared" si="380"/>
        <v>840000000</v>
      </c>
      <c r="EF637" s="443">
        <f>EE637*1.17</f>
        <v>982799999.99999988</v>
      </c>
      <c r="EG637" s="443">
        <f>EF637*1.08</f>
        <v>1061424000</v>
      </c>
      <c r="EH637" s="443">
        <f t="shared" si="382"/>
        <v>1156952160</v>
      </c>
      <c r="EI637" s="443">
        <f t="shared" si="382"/>
        <v>1261077854.4000001</v>
      </c>
      <c r="EJ637" s="367">
        <v>8000000010</v>
      </c>
      <c r="EL637" s="177"/>
      <c r="EM637" s="177"/>
      <c r="EN637" s="177"/>
    </row>
    <row r="638" spans="1:144" outlineLevel="2">
      <c r="A638" s="367" t="s">
        <v>159</v>
      </c>
      <c r="B638" s="378"/>
      <c r="C638" s="370" t="s">
        <v>688</v>
      </c>
      <c r="D638" s="370" t="s">
        <v>40</v>
      </c>
      <c r="E638" s="403" t="s">
        <v>171</v>
      </c>
      <c r="F638" s="380">
        <v>3000011390</v>
      </c>
      <c r="G638" s="186"/>
      <c r="H638" s="13"/>
      <c r="I638" s="27"/>
      <c r="J638" s="185"/>
      <c r="K638" s="185"/>
      <c r="L638" s="185"/>
      <c r="M638" s="185"/>
      <c r="N638" s="185"/>
      <c r="O638" s="7"/>
      <c r="P638" s="7"/>
      <c r="Q638" s="7"/>
      <c r="R638" s="7"/>
      <c r="S638" s="14">
        <f>SUM(G638,H638,I638,J638,K638,L638,M638,N638,O638,P638,Q638,R638)</f>
        <v>0</v>
      </c>
      <c r="T638" s="179"/>
      <c r="U638" s="186"/>
      <c r="V638" s="13"/>
      <c r="W638" s="27"/>
      <c r="X638" s="185"/>
      <c r="Y638" s="185"/>
      <c r="Z638" s="185"/>
      <c r="AA638" s="185"/>
      <c r="AB638" s="185"/>
      <c r="AC638" s="7"/>
      <c r="AD638" s="7"/>
      <c r="AE638" s="7"/>
      <c r="AF638" s="7"/>
      <c r="AG638" s="759">
        <f>SUM(U638,V638,W638,X638,Y638,Z638,AA638,AB638,AC638,AD638,AE638,AF638)</f>
        <v>0</v>
      </c>
      <c r="AH638" s="788"/>
      <c r="AI638" s="814">
        <v>4239000</v>
      </c>
      <c r="AJ638" s="810">
        <v>9339000</v>
      </c>
      <c r="AK638" s="858">
        <v>31358000</v>
      </c>
      <c r="AL638" s="758">
        <v>23819000</v>
      </c>
      <c r="AM638" s="758">
        <v>20684000</v>
      </c>
      <c r="AN638" s="758">
        <v>34085000</v>
      </c>
      <c r="AO638" s="758">
        <v>6151000</v>
      </c>
      <c r="AP638" s="758">
        <v>63609000</v>
      </c>
      <c r="AQ638" s="518">
        <v>9124000</v>
      </c>
      <c r="AR638" s="518">
        <v>1967000</v>
      </c>
      <c r="AS638" s="518">
        <v>8746000</v>
      </c>
      <c r="AT638" s="518">
        <v>8814000</v>
      </c>
      <c r="AU638" s="518">
        <f t="shared" si="381"/>
        <v>35000000</v>
      </c>
      <c r="AV638" s="518">
        <f t="shared" si="381"/>
        <v>35000000</v>
      </c>
      <c r="AW638" s="518">
        <f t="shared" si="381"/>
        <v>35000000</v>
      </c>
      <c r="AX638" s="518">
        <f t="shared" si="377"/>
        <v>221935000</v>
      </c>
      <c r="AY638" s="788"/>
      <c r="AZ638" s="814">
        <v>4239000</v>
      </c>
      <c r="BA638" s="810">
        <v>9339000</v>
      </c>
      <c r="BB638" s="858">
        <v>31358000</v>
      </c>
      <c r="BC638" s="758">
        <v>23819000</v>
      </c>
      <c r="BD638" s="758">
        <v>20684000</v>
      </c>
      <c r="BE638" s="758">
        <v>34085000</v>
      </c>
      <c r="BF638" s="758">
        <v>6151000</v>
      </c>
      <c r="BG638" s="518">
        <f>AP638</f>
        <v>63609000</v>
      </c>
      <c r="BH638" s="758">
        <v>35000000</v>
      </c>
      <c r="BI638" s="758">
        <v>35000000</v>
      </c>
      <c r="BJ638" s="758">
        <v>35000000</v>
      </c>
      <c r="BK638" s="758">
        <v>35000000</v>
      </c>
      <c r="BL638" s="759">
        <f>SUM(AZ638,BA638,BB638,BC638,BD638,BE638,BF638,BG638,BH638,BI638,BJ638,BK638)</f>
        <v>333284000</v>
      </c>
      <c r="BN638" s="772">
        <v>30000000</v>
      </c>
      <c r="BO638" s="769">
        <v>30000000</v>
      </c>
      <c r="BP638" s="769">
        <v>30000000</v>
      </c>
      <c r="BQ638" s="769">
        <v>30000000</v>
      </c>
      <c r="BR638" s="769">
        <v>20000000</v>
      </c>
      <c r="BS638" s="769">
        <v>30000000</v>
      </c>
      <c r="BT638" s="769">
        <v>30000000</v>
      </c>
      <c r="BU638" s="769">
        <v>30000000</v>
      </c>
      <c r="BV638" s="769">
        <v>30000000</v>
      </c>
      <c r="BW638" s="769">
        <v>30000000</v>
      </c>
      <c r="BX638" s="769">
        <v>30000000</v>
      </c>
      <c r="BY638" s="769">
        <v>10000000</v>
      </c>
      <c r="BZ638" s="791">
        <v>330000000</v>
      </c>
      <c r="CB638" s="772">
        <v>30000000</v>
      </c>
      <c r="CC638" s="769">
        <v>30000000</v>
      </c>
      <c r="CD638" s="769">
        <v>30000000</v>
      </c>
      <c r="CE638" s="769">
        <v>30000000</v>
      </c>
      <c r="CF638" s="769">
        <v>20000000</v>
      </c>
      <c r="CG638" s="769">
        <v>30000000</v>
      </c>
      <c r="CH638" s="769">
        <v>30000000</v>
      </c>
      <c r="CI638" s="769">
        <v>30000000</v>
      </c>
      <c r="CJ638" s="769">
        <v>30000000</v>
      </c>
      <c r="CK638" s="769">
        <v>30000000</v>
      </c>
      <c r="CL638" s="769">
        <v>30000000</v>
      </c>
      <c r="CM638" s="769">
        <v>10000000</v>
      </c>
      <c r="CN638" s="791">
        <v>330000000</v>
      </c>
      <c r="CO638" s="37"/>
      <c r="CP638" s="660">
        <v>1967000</v>
      </c>
      <c r="CQ638" s="660">
        <v>4184000</v>
      </c>
      <c r="CR638" s="614">
        <v>10000000</v>
      </c>
      <c r="CS638" s="660">
        <v>3313000</v>
      </c>
      <c r="CT638" s="614">
        <v>10000000</v>
      </c>
      <c r="CU638" s="660">
        <v>3634000</v>
      </c>
      <c r="CV638" s="614">
        <v>10000000</v>
      </c>
      <c r="CW638" s="660">
        <v>4030000</v>
      </c>
      <c r="CX638" s="614">
        <v>3634000</v>
      </c>
      <c r="CY638" s="660">
        <v>5589000</v>
      </c>
      <c r="CZ638" s="614">
        <v>5000000</v>
      </c>
      <c r="DA638" s="660">
        <v>34415000</v>
      </c>
      <c r="DB638" s="614">
        <f>CZ638</f>
        <v>5000000</v>
      </c>
      <c r="DC638" s="660">
        <v>25968000</v>
      </c>
      <c r="DD638" s="614">
        <f>DB638</f>
        <v>5000000</v>
      </c>
      <c r="DE638" s="773"/>
      <c r="DF638" s="614">
        <f>DE638</f>
        <v>0</v>
      </c>
      <c r="DG638" s="768">
        <f>DD638</f>
        <v>5000000</v>
      </c>
      <c r="DH638" s="773"/>
      <c r="DI638" s="614">
        <f>DH638</f>
        <v>0</v>
      </c>
      <c r="DJ638" s="768">
        <f>DG638</f>
        <v>5000000</v>
      </c>
      <c r="DK638" s="773"/>
      <c r="DL638" s="614">
        <f>DK638</f>
        <v>0</v>
      </c>
      <c r="DM638" s="768">
        <f>DJ638</f>
        <v>5000000</v>
      </c>
      <c r="DN638" s="773"/>
      <c r="DO638" s="614">
        <f>DN638</f>
        <v>0</v>
      </c>
      <c r="DP638" s="768">
        <f>DM638</f>
        <v>5000000</v>
      </c>
      <c r="DQ638" s="493">
        <f t="shared" si="378"/>
        <v>83100000</v>
      </c>
      <c r="DR638" s="479">
        <f t="shared" si="379"/>
        <v>51732000</v>
      </c>
      <c r="DS638" s="1023">
        <v>5000000</v>
      </c>
      <c r="DT638" s="1023">
        <v>5000000</v>
      </c>
      <c r="DU638" s="1023">
        <v>5000000</v>
      </c>
      <c r="DV638" s="1023">
        <v>5000000</v>
      </c>
      <c r="DW638" s="1023">
        <v>5000000</v>
      </c>
      <c r="DX638" s="1023">
        <v>5000000</v>
      </c>
      <c r="DY638" s="1023">
        <v>5000000</v>
      </c>
      <c r="DZ638" s="1023">
        <v>5000000</v>
      </c>
      <c r="EA638" s="1023">
        <v>5000000</v>
      </c>
      <c r="EB638" s="1023">
        <v>5000000</v>
      </c>
      <c r="EC638" s="1023">
        <v>5000000</v>
      </c>
      <c r="ED638" s="1023">
        <v>5000000</v>
      </c>
      <c r="EE638" s="1119">
        <f t="shared" si="380"/>
        <v>60000000</v>
      </c>
      <c r="EF638" s="443">
        <f>EE638*1.17</f>
        <v>70200000</v>
      </c>
      <c r="EG638" s="443">
        <f>EF638*1.08</f>
        <v>75816000</v>
      </c>
      <c r="EH638" s="443">
        <f t="shared" si="382"/>
        <v>82639440</v>
      </c>
      <c r="EI638" s="443">
        <f t="shared" si="382"/>
        <v>90076989.600000009</v>
      </c>
      <c r="EJ638" s="367">
        <v>3000011390</v>
      </c>
      <c r="EL638" s="177"/>
      <c r="EM638" s="177"/>
      <c r="EN638" s="177"/>
    </row>
    <row r="639" spans="1:144" outlineLevel="2">
      <c r="A639" s="367" t="s">
        <v>159</v>
      </c>
      <c r="B639" s="378"/>
      <c r="C639" s="370" t="s">
        <v>688</v>
      </c>
      <c r="E639" s="379" t="s">
        <v>834</v>
      </c>
      <c r="F639" s="380"/>
      <c r="G639" s="189"/>
      <c r="H639" s="13"/>
      <c r="I639" s="185"/>
      <c r="J639" s="185"/>
      <c r="K639" s="185"/>
      <c r="L639" s="185"/>
      <c r="M639" s="185"/>
      <c r="N639" s="185"/>
      <c r="O639" s="185"/>
      <c r="P639" s="185"/>
      <c r="Q639" s="185"/>
      <c r="R639" s="185"/>
      <c r="S639" s="14"/>
      <c r="T639" s="179"/>
      <c r="U639" s="189"/>
      <c r="V639" s="13"/>
      <c r="W639" s="185"/>
      <c r="X639" s="185"/>
      <c r="Y639" s="185"/>
      <c r="Z639" s="185"/>
      <c r="AA639" s="185"/>
      <c r="AB639" s="185"/>
      <c r="AC639" s="185"/>
      <c r="AD639" s="185"/>
      <c r="AE639" s="185"/>
      <c r="AF639" s="185"/>
      <c r="AG639" s="759"/>
      <c r="AH639" s="788"/>
      <c r="AI639" s="189"/>
      <c r="AJ639" s="810"/>
      <c r="AK639" s="758"/>
      <c r="AL639" s="758"/>
      <c r="AM639" s="758"/>
      <c r="AN639" s="758"/>
      <c r="AO639" s="758"/>
      <c r="AP639" s="758"/>
      <c r="AQ639" s="518"/>
      <c r="AR639" s="518"/>
      <c r="AS639" s="518"/>
      <c r="AT639" s="518"/>
      <c r="AU639" s="758"/>
      <c r="AV639" s="758"/>
      <c r="AW639" s="758"/>
      <c r="AX639" s="518">
        <f>SUM(AI639,AJ639,AK639,AL639,AM639,AN639,AO639,AP639,AQ639,AR639,AS639,AT639)</f>
        <v>0</v>
      </c>
      <c r="AY639" s="788"/>
      <c r="AZ639" s="189"/>
      <c r="BA639" s="810"/>
      <c r="BB639" s="758"/>
      <c r="BC639" s="758"/>
      <c r="BD639" s="758"/>
      <c r="BE639" s="758"/>
      <c r="BF639" s="758"/>
      <c r="BG639" s="758"/>
      <c r="BH639" s="758"/>
      <c r="BI639" s="758"/>
      <c r="BJ639" s="758"/>
      <c r="BK639" s="758"/>
      <c r="BL639" s="518"/>
      <c r="BN639" s="615"/>
      <c r="BO639" s="771"/>
      <c r="BP639" s="771"/>
      <c r="BQ639" s="771"/>
      <c r="BR639" s="771"/>
      <c r="BS639" s="771"/>
      <c r="BT639" s="771"/>
      <c r="BU639" s="771"/>
      <c r="BV639" s="771"/>
      <c r="BW639" s="771"/>
      <c r="BX639" s="771"/>
      <c r="BY639" s="771"/>
      <c r="BZ639" s="791">
        <v>0</v>
      </c>
      <c r="CB639" s="615"/>
      <c r="CC639" s="771"/>
      <c r="CD639" s="771"/>
      <c r="CE639" s="771"/>
      <c r="CF639" s="771"/>
      <c r="CG639" s="771"/>
      <c r="CH639" s="771"/>
      <c r="CI639" s="771"/>
      <c r="CJ639" s="771"/>
      <c r="CK639" s="771"/>
      <c r="CL639" s="771"/>
      <c r="CM639" s="771"/>
      <c r="CN639" s="791">
        <v>0</v>
      </c>
      <c r="CO639" s="37"/>
      <c r="CP639" s="661"/>
      <c r="CQ639" s="661"/>
      <c r="CR639" s="615"/>
      <c r="CS639" s="661"/>
      <c r="CT639" s="615"/>
      <c r="CU639" s="661"/>
      <c r="CV639" s="615"/>
      <c r="CW639" s="661"/>
      <c r="CX639" s="615"/>
      <c r="CY639" s="661"/>
      <c r="CZ639" s="615"/>
      <c r="DA639" s="661"/>
      <c r="DB639" s="615"/>
      <c r="DC639" s="661">
        <v>0</v>
      </c>
      <c r="DD639" s="615"/>
      <c r="DE639" s="771"/>
      <c r="DF639" s="615"/>
      <c r="DG639" s="770"/>
      <c r="DH639" s="771"/>
      <c r="DI639" s="615"/>
      <c r="DJ639" s="770"/>
      <c r="DK639" s="771"/>
      <c r="DL639" s="615"/>
      <c r="DM639" s="770"/>
      <c r="DN639" s="771"/>
      <c r="DO639" s="615"/>
      <c r="DP639" s="770"/>
      <c r="DQ639" s="493">
        <f t="shared" si="378"/>
        <v>0</v>
      </c>
      <c r="DR639" s="479">
        <f>SUM(CR639,CT639,CV639,CX639,CZ639,DB639,DD639,DG639,DJ639,DM639,DP639)</f>
        <v>0</v>
      </c>
      <c r="DS639" s="1023"/>
      <c r="DT639" s="1023"/>
      <c r="DU639" s="1023"/>
      <c r="DV639" s="1023"/>
      <c r="DW639" s="1023"/>
      <c r="DX639" s="1023"/>
      <c r="DY639" s="1023"/>
      <c r="DZ639" s="1023"/>
      <c r="EA639" s="1023"/>
      <c r="EB639" s="1023"/>
      <c r="EC639" s="1023"/>
      <c r="ED639" s="1023"/>
      <c r="EE639" s="1119">
        <f t="shared" si="380"/>
        <v>0</v>
      </c>
      <c r="EF639" s="443">
        <f>EE639*1.25</f>
        <v>0</v>
      </c>
      <c r="EG639" s="443">
        <v>120000000</v>
      </c>
      <c r="EH639" s="443">
        <f>EG639*1.25</f>
        <v>150000000</v>
      </c>
      <c r="EI639" s="443">
        <f>EH639*1.25</f>
        <v>187500000</v>
      </c>
      <c r="EL639" s="177"/>
      <c r="EM639" s="177"/>
      <c r="EN639" s="177"/>
    </row>
    <row r="640" spans="1:144" outlineLevel="2">
      <c r="A640" s="367" t="s">
        <v>159</v>
      </c>
      <c r="B640" s="378"/>
      <c r="C640" s="370" t="s">
        <v>688</v>
      </c>
      <c r="D640" s="370" t="s">
        <v>40</v>
      </c>
      <c r="E640" s="403" t="s">
        <v>857</v>
      </c>
      <c r="F640" s="380">
        <v>3000019682</v>
      </c>
      <c r="G640" s="189"/>
      <c r="H640" s="13"/>
      <c r="I640" s="185"/>
      <c r="J640" s="185"/>
      <c r="K640" s="185"/>
      <c r="L640" s="185"/>
      <c r="M640" s="185"/>
      <c r="N640" s="185"/>
      <c r="O640" s="7"/>
      <c r="P640" s="7"/>
      <c r="Q640" s="7"/>
      <c r="R640" s="7"/>
      <c r="S640" s="14">
        <f>SUM(G640,H640,I640,J640,K640,L640,M640,N640,O640,P640,Q640,R640)</f>
        <v>0</v>
      </c>
      <c r="T640" s="179"/>
      <c r="U640" s="189"/>
      <c r="V640" s="13"/>
      <c r="W640" s="185"/>
      <c r="X640" s="185"/>
      <c r="Y640" s="185"/>
      <c r="Z640" s="185"/>
      <c r="AA640" s="185"/>
      <c r="AB640" s="185"/>
      <c r="AC640" s="7"/>
      <c r="AD640" s="7"/>
      <c r="AE640" s="7"/>
      <c r="AF640" s="7"/>
      <c r="AG640" s="759">
        <f>SUM(U640,V640,W640,X640,Y640,Z640,AA640,AB640,AC640,AD640,AE640,AF640)</f>
        <v>0</v>
      </c>
      <c r="AH640" s="788"/>
      <c r="AI640" s="189"/>
      <c r="AJ640" s="810"/>
      <c r="AK640" s="758"/>
      <c r="AL640" s="758">
        <v>1570000</v>
      </c>
      <c r="AM640" s="758"/>
      <c r="AN640" s="758">
        <v>825000</v>
      </c>
      <c r="AO640" s="758"/>
      <c r="AP640" s="758">
        <v>0</v>
      </c>
      <c r="AQ640" s="518">
        <v>0</v>
      </c>
      <c r="AR640" s="518"/>
      <c r="AS640" s="518"/>
      <c r="AT640" s="518"/>
      <c r="AU640" s="518">
        <f>BI640</f>
        <v>0</v>
      </c>
      <c r="AV640" s="518">
        <f>BJ640</f>
        <v>0</v>
      </c>
      <c r="AW640" s="518">
        <f>BK640</f>
        <v>0</v>
      </c>
      <c r="AX640" s="518">
        <f>SUM(AI640,AJ640,AK640,AL640,AM640,AN640,AO640,AP640,AQ640,AR640,AS640,AT640)</f>
        <v>2395000</v>
      </c>
      <c r="AY640" s="788"/>
      <c r="AZ640" s="189"/>
      <c r="BA640" s="810"/>
      <c r="BB640" s="758"/>
      <c r="BC640" s="758">
        <v>1570000</v>
      </c>
      <c r="BD640" s="758"/>
      <c r="BE640" s="758">
        <v>825000</v>
      </c>
      <c r="BF640" s="758"/>
      <c r="BG640" s="518">
        <f>AP640</f>
        <v>0</v>
      </c>
      <c r="BH640" s="758">
        <v>0</v>
      </c>
      <c r="BI640" s="758">
        <v>0</v>
      </c>
      <c r="BJ640" s="758">
        <v>0</v>
      </c>
      <c r="BK640" s="758">
        <v>0</v>
      </c>
      <c r="BL640" s="759">
        <f>SUM(AZ640,BA640,BB640,BC640,BD640,BE640,BF640,BG640,BH640,BI640,BJ640,BK640)</f>
        <v>2395000</v>
      </c>
      <c r="BN640" s="772">
        <v>0</v>
      </c>
      <c r="BO640" s="769">
        <v>0</v>
      </c>
      <c r="BP640" s="769">
        <v>0</v>
      </c>
      <c r="BQ640" s="769">
        <v>0</v>
      </c>
      <c r="BR640" s="769">
        <v>0</v>
      </c>
      <c r="BS640" s="769">
        <v>0</v>
      </c>
      <c r="BT640" s="769">
        <v>0</v>
      </c>
      <c r="BU640" s="769">
        <v>0</v>
      </c>
      <c r="BV640" s="769">
        <v>0</v>
      </c>
      <c r="BW640" s="769">
        <v>0</v>
      </c>
      <c r="BX640" s="769">
        <v>0</v>
      </c>
      <c r="BY640" s="769">
        <v>0</v>
      </c>
      <c r="BZ640" s="791">
        <v>0</v>
      </c>
      <c r="CB640" s="772">
        <v>0</v>
      </c>
      <c r="CC640" s="769">
        <v>0</v>
      </c>
      <c r="CD640" s="769">
        <v>0</v>
      </c>
      <c r="CE640" s="769">
        <v>0</v>
      </c>
      <c r="CF640" s="769">
        <v>0</v>
      </c>
      <c r="CG640" s="769">
        <v>0</v>
      </c>
      <c r="CH640" s="769">
        <v>0</v>
      </c>
      <c r="CI640" s="769">
        <v>0</v>
      </c>
      <c r="CJ640" s="769">
        <v>0</v>
      </c>
      <c r="CK640" s="769">
        <v>0</v>
      </c>
      <c r="CL640" s="769">
        <v>0</v>
      </c>
      <c r="CM640" s="769">
        <v>0</v>
      </c>
      <c r="CN640" s="791">
        <v>0</v>
      </c>
      <c r="CO640" s="37"/>
      <c r="CP640" s="660"/>
      <c r="CQ640" s="660"/>
      <c r="CR640" s="614"/>
      <c r="CS640" s="660"/>
      <c r="CT640" s="614"/>
      <c r="CU640" s="660"/>
      <c r="CV640" s="614"/>
      <c r="CW640" s="660"/>
      <c r="CX640" s="614"/>
      <c r="CY640" s="660"/>
      <c r="CZ640" s="614"/>
      <c r="DA640" s="660"/>
      <c r="DB640" s="614"/>
      <c r="DC640" s="660">
        <v>0</v>
      </c>
      <c r="DD640" s="614"/>
      <c r="DE640" s="769"/>
      <c r="DF640" s="614"/>
      <c r="DG640" s="768"/>
      <c r="DH640" s="769"/>
      <c r="DI640" s="614"/>
      <c r="DJ640" s="768"/>
      <c r="DK640" s="769"/>
      <c r="DL640" s="614"/>
      <c r="DM640" s="768"/>
      <c r="DN640" s="769"/>
      <c r="DO640" s="614"/>
      <c r="DP640" s="768"/>
      <c r="DQ640" s="493">
        <f t="shared" si="378"/>
        <v>0</v>
      </c>
      <c r="DR640" s="479">
        <f>SUM(CR640,CT640,CV640,CX640,CZ640,DB640,DD640,DG640,DJ640,DM640,DP640)</f>
        <v>0</v>
      </c>
      <c r="DS640" s="1023"/>
      <c r="DT640" s="1023"/>
      <c r="DU640" s="1023"/>
      <c r="DV640" s="1023"/>
      <c r="DW640" s="1023"/>
      <c r="DX640" s="1023"/>
      <c r="DY640" s="1023"/>
      <c r="DZ640" s="1023"/>
      <c r="EA640" s="1023"/>
      <c r="EB640" s="1023"/>
      <c r="EC640" s="1023"/>
      <c r="ED640" s="1023"/>
      <c r="EE640" s="1119">
        <f t="shared" si="380"/>
        <v>0</v>
      </c>
      <c r="EF640" s="443">
        <f>EE640*1.17</f>
        <v>0</v>
      </c>
      <c r="EG640" s="443">
        <f>EF640*1.08</f>
        <v>0</v>
      </c>
      <c r="EH640" s="443">
        <f>EG640*1.09</f>
        <v>0</v>
      </c>
      <c r="EI640" s="443">
        <f>EH640*1.09</f>
        <v>0</v>
      </c>
      <c r="EJ640" s="367">
        <v>3000019682</v>
      </c>
      <c r="EL640" s="177"/>
      <c r="EM640" s="177"/>
      <c r="EN640" s="177"/>
    </row>
    <row r="641" spans="1:144" outlineLevel="2">
      <c r="B641" s="378"/>
      <c r="C641" s="370" t="s">
        <v>688</v>
      </c>
      <c r="D641" s="370" t="s">
        <v>108</v>
      </c>
      <c r="E641" s="403" t="s">
        <v>174</v>
      </c>
      <c r="F641" s="380">
        <v>3000020764</v>
      </c>
      <c r="G641" s="189"/>
      <c r="H641" s="13"/>
      <c r="I641" s="185"/>
      <c r="J641" s="185"/>
      <c r="K641" s="185"/>
      <c r="L641" s="185"/>
      <c r="M641" s="185"/>
      <c r="N641" s="185"/>
      <c r="O641" s="7"/>
      <c r="P641" s="7"/>
      <c r="Q641" s="7"/>
      <c r="R641" s="7"/>
      <c r="S641" s="14"/>
      <c r="T641" s="179"/>
      <c r="U641" s="189"/>
      <c r="V641" s="13"/>
      <c r="W641" s="185"/>
      <c r="X641" s="185"/>
      <c r="Y641" s="185"/>
      <c r="Z641" s="185"/>
      <c r="AA641" s="185"/>
      <c r="AB641" s="185"/>
      <c r="AC641" s="7"/>
      <c r="AD641" s="7"/>
      <c r="AE641" s="7"/>
      <c r="AF641" s="7"/>
      <c r="AG641" s="759"/>
      <c r="AH641" s="788"/>
      <c r="AI641" s="189"/>
      <c r="AJ641" s="810"/>
      <c r="AK641" s="758"/>
      <c r="AL641" s="758"/>
      <c r="AM641" s="758"/>
      <c r="AN641" s="758"/>
      <c r="AO641" s="758"/>
      <c r="AP641" s="758"/>
      <c r="AQ641" s="518"/>
      <c r="AR641" s="518"/>
      <c r="AS641" s="518"/>
      <c r="AT641" s="518"/>
      <c r="AU641" s="518"/>
      <c r="AV641" s="518"/>
      <c r="AW641" s="518"/>
      <c r="AX641" s="518"/>
      <c r="AY641" s="788"/>
      <c r="AZ641" s="189"/>
      <c r="BA641" s="810"/>
      <c r="BB641" s="758"/>
      <c r="BC641" s="758"/>
      <c r="BD641" s="758"/>
      <c r="BE641" s="758"/>
      <c r="BF641" s="758"/>
      <c r="BG641" s="518"/>
      <c r="BH641" s="758"/>
      <c r="BI641" s="758"/>
      <c r="BJ641" s="758"/>
      <c r="BK641" s="758"/>
      <c r="BL641" s="759"/>
      <c r="BN641" s="772"/>
      <c r="BO641" s="769"/>
      <c r="BP641" s="769"/>
      <c r="BQ641" s="769"/>
      <c r="BR641" s="769"/>
      <c r="BS641" s="769"/>
      <c r="BT641" s="769"/>
      <c r="BU641" s="769"/>
      <c r="BV641" s="769"/>
      <c r="BW641" s="769"/>
      <c r="BX641" s="769"/>
      <c r="BY641" s="769"/>
      <c r="BZ641" s="791"/>
      <c r="CB641" s="772"/>
      <c r="CC641" s="769"/>
      <c r="CD641" s="769"/>
      <c r="CE641" s="769"/>
      <c r="CF641" s="769"/>
      <c r="CG641" s="769"/>
      <c r="CH641" s="769"/>
      <c r="CI641" s="769"/>
      <c r="CJ641" s="769"/>
      <c r="CK641" s="769"/>
      <c r="CL641" s="769"/>
      <c r="CM641" s="769"/>
      <c r="CN641" s="791"/>
      <c r="CO641" s="37"/>
      <c r="CP641" s="660"/>
      <c r="CQ641" s="660"/>
      <c r="CR641" s="614"/>
      <c r="CS641" s="660"/>
      <c r="CT641" s="614"/>
      <c r="CU641" s="660"/>
      <c r="CV641" s="614"/>
      <c r="CW641" s="660"/>
      <c r="CX641" s="614"/>
      <c r="CY641" s="660"/>
      <c r="CZ641" s="614"/>
      <c r="DA641" s="660"/>
      <c r="DB641" s="614"/>
      <c r="DC641" s="660">
        <v>0</v>
      </c>
      <c r="DD641" s="614"/>
      <c r="DE641" s="769"/>
      <c r="DF641" s="614"/>
      <c r="DG641" s="768"/>
      <c r="DH641" s="769"/>
      <c r="DI641" s="614"/>
      <c r="DJ641" s="768"/>
      <c r="DK641" s="769"/>
      <c r="DL641" s="614"/>
      <c r="DM641" s="768"/>
      <c r="DN641" s="769"/>
      <c r="DO641" s="614"/>
      <c r="DP641" s="768"/>
      <c r="DQ641" s="493">
        <f t="shared" si="378"/>
        <v>0</v>
      </c>
      <c r="DR641" s="479">
        <f>SUM(CR641,CT641,CV641,CX641,CZ641,DB641,DD641,DG641,DJ641,DM641,DP641)</f>
        <v>0</v>
      </c>
      <c r="DS641" s="1023"/>
      <c r="DT641" s="1023"/>
      <c r="DU641" s="1023"/>
      <c r="DV641" s="1023"/>
      <c r="DW641" s="1023"/>
      <c r="DX641" s="1023"/>
      <c r="DY641" s="1023"/>
      <c r="DZ641" s="1023"/>
      <c r="EA641" s="1023"/>
      <c r="EB641" s="1023"/>
      <c r="EC641" s="1023"/>
      <c r="ED641" s="1023"/>
      <c r="EE641" s="1119">
        <f t="shared" si="380"/>
        <v>0</v>
      </c>
      <c r="EF641" s="443"/>
      <c r="EG641" s="443"/>
      <c r="EH641" s="443"/>
      <c r="EI641" s="443"/>
      <c r="EL641" s="177"/>
      <c r="EM641" s="177"/>
      <c r="EN641" s="177"/>
    </row>
    <row r="642" spans="1:144" s="8" customFormat="1" ht="18.5" outlineLevel="2">
      <c r="A642" s="389"/>
      <c r="B642" s="429"/>
      <c r="C642" s="430"/>
      <c r="D642" s="430"/>
      <c r="E642" s="431" t="s">
        <v>474</v>
      </c>
      <c r="F642" s="390"/>
      <c r="G642" s="240"/>
      <c r="H642" s="240"/>
      <c r="I642" s="240"/>
      <c r="J642" s="240"/>
      <c r="K642" s="240"/>
      <c r="L642" s="240"/>
      <c r="M642" s="240"/>
      <c r="N642" s="240"/>
      <c r="O642" s="240"/>
      <c r="P642" s="240"/>
      <c r="Q642" s="240"/>
      <c r="R642" s="240"/>
      <c r="S642" s="49"/>
      <c r="T642" s="179"/>
      <c r="U642" s="240"/>
      <c r="V642" s="240"/>
      <c r="W642" s="240"/>
      <c r="X642" s="240"/>
      <c r="Y642" s="240"/>
      <c r="Z642" s="240"/>
      <c r="AA642" s="240"/>
      <c r="AB642" s="240"/>
      <c r="AC642" s="240"/>
      <c r="AD642" s="240"/>
      <c r="AE642" s="240"/>
      <c r="AF642" s="240"/>
      <c r="AG642" s="774"/>
      <c r="AH642" s="788"/>
      <c r="AI642" s="862"/>
      <c r="AJ642" s="863"/>
      <c r="AK642" s="774"/>
      <c r="AL642" s="774"/>
      <c r="AM642" s="774"/>
      <c r="AN642" s="774"/>
      <c r="AO642" s="774"/>
      <c r="AP642" s="774"/>
      <c r="AQ642" s="774"/>
      <c r="AR642" s="774"/>
      <c r="AS642" s="774"/>
      <c r="AT642" s="774"/>
      <c r="AU642" s="774"/>
      <c r="AV642" s="774"/>
      <c r="AW642" s="774"/>
      <c r="AX642" s="774"/>
      <c r="AY642" s="788"/>
      <c r="AZ642" s="862"/>
      <c r="BA642" s="863"/>
      <c r="BB642" s="774"/>
      <c r="BC642" s="774"/>
      <c r="BD642" s="774"/>
      <c r="BE642" s="774"/>
      <c r="BF642" s="774"/>
      <c r="BG642" s="774"/>
      <c r="BH642" s="774"/>
      <c r="BI642" s="774"/>
      <c r="BJ642" s="774"/>
      <c r="BK642" s="774"/>
      <c r="BL642" s="774"/>
      <c r="BM642" s="3"/>
      <c r="BN642" s="467">
        <f t="shared" ref="BN642:BZ642" si="383">SUM(BN643:BN648)</f>
        <v>0</v>
      </c>
      <c r="BO642" s="467">
        <f t="shared" si="383"/>
        <v>10000000</v>
      </c>
      <c r="BP642" s="467">
        <f t="shared" si="383"/>
        <v>10000000</v>
      </c>
      <c r="BQ642" s="467">
        <f t="shared" si="383"/>
        <v>10000000</v>
      </c>
      <c r="BR642" s="467">
        <f t="shared" si="383"/>
        <v>10000000</v>
      </c>
      <c r="BS642" s="467">
        <f t="shared" si="383"/>
        <v>10000000</v>
      </c>
      <c r="BT642" s="467">
        <f t="shared" si="383"/>
        <v>10000000</v>
      </c>
      <c r="BU642" s="467">
        <f t="shared" si="383"/>
        <v>10000000</v>
      </c>
      <c r="BV642" s="467">
        <f t="shared" si="383"/>
        <v>10000000</v>
      </c>
      <c r="BW642" s="467">
        <f t="shared" si="383"/>
        <v>10000000</v>
      </c>
      <c r="BX642" s="467">
        <f t="shared" si="383"/>
        <v>10000000</v>
      </c>
      <c r="BY642" s="467">
        <f t="shared" si="383"/>
        <v>10000000</v>
      </c>
      <c r="BZ642" s="467">
        <f t="shared" si="383"/>
        <v>110000000</v>
      </c>
      <c r="CA642" s="3"/>
      <c r="CB642" s="483"/>
      <c r="CC642" s="864"/>
      <c r="CD642" s="774"/>
      <c r="CE642" s="774"/>
      <c r="CF642" s="774"/>
      <c r="CG642" s="774"/>
      <c r="CH642" s="774"/>
      <c r="CI642" s="774"/>
      <c r="CJ642" s="774"/>
      <c r="CK642" s="774"/>
      <c r="CL642" s="774"/>
      <c r="CM642" s="774"/>
      <c r="CN642" s="865"/>
      <c r="CO642" s="3"/>
      <c r="CP642" s="467">
        <f>SUM(CP643:CP649)</f>
        <v>6726000</v>
      </c>
      <c r="CQ642" s="467">
        <f t="shared" ref="CQ642:EI642" si="384">SUM(CQ643:CQ649)</f>
        <v>3194325</v>
      </c>
      <c r="CR642" s="467">
        <f t="shared" si="384"/>
        <v>10000000</v>
      </c>
      <c r="CS642" s="467">
        <f t="shared" si="384"/>
        <v>40936000</v>
      </c>
      <c r="CT642" s="467">
        <f t="shared" si="384"/>
        <v>22000000</v>
      </c>
      <c r="CU642" s="467">
        <f t="shared" si="384"/>
        <v>44809000</v>
      </c>
      <c r="CV642" s="467">
        <f t="shared" si="384"/>
        <v>47000000</v>
      </c>
      <c r="CW642" s="467">
        <f t="shared" si="384"/>
        <v>28462000</v>
      </c>
      <c r="CX642" s="467">
        <f t="shared" si="384"/>
        <v>49000000</v>
      </c>
      <c r="CY642" s="467">
        <f t="shared" si="384"/>
        <v>82715000</v>
      </c>
      <c r="CZ642" s="467">
        <f t="shared" si="384"/>
        <v>75000000</v>
      </c>
      <c r="DA642" s="467">
        <f t="shared" si="384"/>
        <v>35078115</v>
      </c>
      <c r="DB642" s="467">
        <f t="shared" si="384"/>
        <v>70000000</v>
      </c>
      <c r="DC642" s="467">
        <f t="shared" si="384"/>
        <v>55883174</v>
      </c>
      <c r="DD642" s="467">
        <f t="shared" si="384"/>
        <v>70000000</v>
      </c>
      <c r="DE642" s="467">
        <f t="shared" si="384"/>
        <v>0</v>
      </c>
      <c r="DF642" s="467">
        <f>SUM(DF643:DF649)</f>
        <v>0</v>
      </c>
      <c r="DG642" s="467">
        <f t="shared" si="384"/>
        <v>70000000</v>
      </c>
      <c r="DH642" s="467">
        <f t="shared" si="384"/>
        <v>0</v>
      </c>
      <c r="DI642" s="467">
        <f>SUM(DI643:DI649)</f>
        <v>0</v>
      </c>
      <c r="DJ642" s="467">
        <f t="shared" si="384"/>
        <v>70000000</v>
      </c>
      <c r="DK642" s="467">
        <f t="shared" si="384"/>
        <v>0</v>
      </c>
      <c r="DL642" s="467">
        <f>SUM(DL643:DL649)</f>
        <v>0</v>
      </c>
      <c r="DM642" s="467">
        <f>SUM(DM643:DM649)</f>
        <v>70000000</v>
      </c>
      <c r="DN642" s="467">
        <f t="shared" si="384"/>
        <v>0</v>
      </c>
      <c r="DO642" s="467">
        <f>SUM(DO643:DO649)</f>
        <v>0</v>
      </c>
      <c r="DP642" s="467">
        <f t="shared" si="384"/>
        <v>70000000</v>
      </c>
      <c r="DQ642" s="467">
        <f>SUM(DQ643:DQ649)</f>
        <v>297803614</v>
      </c>
      <c r="DR642" s="467">
        <f>SUM(DR643:DR649)</f>
        <v>639665325</v>
      </c>
      <c r="DS642" s="444">
        <f>SUM(DS643:DS649)</f>
        <v>50000000</v>
      </c>
      <c r="DT642" s="444">
        <f t="shared" si="384"/>
        <v>50000000</v>
      </c>
      <c r="DU642" s="444">
        <f t="shared" si="384"/>
        <v>50000000</v>
      </c>
      <c r="DV642" s="444">
        <f t="shared" si="384"/>
        <v>50000000</v>
      </c>
      <c r="DW642" s="444">
        <f t="shared" si="384"/>
        <v>50000000</v>
      </c>
      <c r="DX642" s="444">
        <f t="shared" si="384"/>
        <v>50000000</v>
      </c>
      <c r="DY642" s="444">
        <f t="shared" si="384"/>
        <v>50000000</v>
      </c>
      <c r="DZ642" s="444">
        <f t="shared" si="384"/>
        <v>50000000</v>
      </c>
      <c r="EA642" s="444">
        <f t="shared" si="384"/>
        <v>50000000</v>
      </c>
      <c r="EB642" s="444">
        <f t="shared" si="384"/>
        <v>50000000</v>
      </c>
      <c r="EC642" s="444">
        <f t="shared" si="384"/>
        <v>50000000</v>
      </c>
      <c r="ED642" s="444">
        <f t="shared" si="384"/>
        <v>50000000</v>
      </c>
      <c r="EE642" s="1125">
        <f t="shared" si="384"/>
        <v>600000000</v>
      </c>
      <c r="EF642" s="444">
        <f t="shared" si="384"/>
        <v>215000000</v>
      </c>
      <c r="EG642" s="444">
        <f t="shared" si="384"/>
        <v>502400000</v>
      </c>
      <c r="EH642" s="444">
        <f t="shared" si="384"/>
        <v>783000000</v>
      </c>
      <c r="EI642" s="444">
        <f t="shared" si="384"/>
        <v>783000000</v>
      </c>
      <c r="EJ642" s="389"/>
      <c r="EK642" s="389"/>
    </row>
    <row r="643" spans="1:144" outlineLevel="2">
      <c r="A643" s="367" t="s">
        <v>159</v>
      </c>
      <c r="B643" s="378"/>
      <c r="C643" s="370" t="s">
        <v>688</v>
      </c>
      <c r="D643" s="370" t="s">
        <v>108</v>
      </c>
      <c r="E643" s="403" t="s">
        <v>858</v>
      </c>
      <c r="F643" s="380">
        <v>3000020646</v>
      </c>
      <c r="G643" s="189"/>
      <c r="H643" s="13"/>
      <c r="I643" s="195"/>
      <c r="J643" s="185"/>
      <c r="K643" s="185"/>
      <c r="L643" s="185"/>
      <c r="M643" s="185"/>
      <c r="N643" s="185"/>
      <c r="O643" s="7"/>
      <c r="P643" s="7"/>
      <c r="Q643" s="7"/>
      <c r="R643" s="7"/>
      <c r="S643" s="14"/>
      <c r="T643" s="179"/>
      <c r="U643" s="189"/>
      <c r="V643" s="13"/>
      <c r="W643" s="195"/>
      <c r="X643" s="185"/>
      <c r="Y643" s="185"/>
      <c r="Z643" s="185"/>
      <c r="AA643" s="185"/>
      <c r="AB643" s="185"/>
      <c r="AC643" s="7"/>
      <c r="AD643" s="7"/>
      <c r="AE643" s="7"/>
      <c r="AF643" s="7"/>
      <c r="AG643" s="759"/>
      <c r="AH643" s="788"/>
      <c r="AI643" s="189"/>
      <c r="AJ643" s="810"/>
      <c r="AK643" s="854"/>
      <c r="AL643" s="758"/>
      <c r="AM643" s="758"/>
      <c r="AN643" s="758"/>
      <c r="AO643" s="758"/>
      <c r="AP643" s="758"/>
      <c r="AQ643" s="518"/>
      <c r="AR643" s="518"/>
      <c r="AS643" s="518"/>
      <c r="AT643" s="518"/>
      <c r="AU643" s="518"/>
      <c r="AV643" s="518"/>
      <c r="AW643" s="518"/>
      <c r="AX643" s="518"/>
      <c r="AY643" s="788"/>
      <c r="AZ643" s="189"/>
      <c r="BA643" s="810"/>
      <c r="BB643" s="854"/>
      <c r="BC643" s="758"/>
      <c r="BD643" s="758"/>
      <c r="BE643" s="758"/>
      <c r="BF643" s="758"/>
      <c r="BG643" s="518"/>
      <c r="BH643" s="758"/>
      <c r="BI643" s="758"/>
      <c r="BJ643" s="758"/>
      <c r="BK643" s="758"/>
      <c r="BL643" s="759"/>
      <c r="BN643" s="769"/>
      <c r="BO643" s="769"/>
      <c r="BP643" s="769"/>
      <c r="BQ643" s="769"/>
      <c r="BR643" s="769"/>
      <c r="BS643" s="769"/>
      <c r="BT643" s="769"/>
      <c r="BU643" s="769"/>
      <c r="BV643" s="769"/>
      <c r="BW643" s="769"/>
      <c r="BX643" s="769"/>
      <c r="BY643" s="769"/>
      <c r="BZ643" s="791"/>
      <c r="CB643" s="769"/>
      <c r="CC643" s="769"/>
      <c r="CD643" s="769"/>
      <c r="CE643" s="769"/>
      <c r="CF643" s="769"/>
      <c r="CG643" s="769"/>
      <c r="CH643" s="769"/>
      <c r="CI643" s="769"/>
      <c r="CJ643" s="769"/>
      <c r="CK643" s="769"/>
      <c r="CL643" s="769"/>
      <c r="CM643" s="769"/>
      <c r="CN643" s="791"/>
      <c r="CO643" s="37"/>
      <c r="CP643" s="660"/>
      <c r="CQ643" s="660">
        <v>3194325</v>
      </c>
      <c r="CR643" s="614"/>
      <c r="CS643" s="660"/>
      <c r="CT643" s="614"/>
      <c r="CU643" s="660"/>
      <c r="CV643" s="614"/>
      <c r="CW643" s="660"/>
      <c r="CX643" s="614">
        <v>5000000</v>
      </c>
      <c r="CY643" s="660"/>
      <c r="CZ643" s="614">
        <f>CX643</f>
        <v>5000000</v>
      </c>
      <c r="DA643" s="660"/>
      <c r="DB643" s="614"/>
      <c r="DC643" s="660">
        <v>0</v>
      </c>
      <c r="DD643" s="614"/>
      <c r="DE643" s="769"/>
      <c r="DF643" s="614"/>
      <c r="DG643" s="768"/>
      <c r="DH643" s="769"/>
      <c r="DI643" s="614"/>
      <c r="DJ643" s="768"/>
      <c r="DK643" s="769"/>
      <c r="DL643" s="614"/>
      <c r="DM643" s="768"/>
      <c r="DN643" s="769"/>
      <c r="DO643" s="614"/>
      <c r="DP643" s="768"/>
      <c r="DQ643" s="493">
        <f t="shared" si="378"/>
        <v>3194325</v>
      </c>
      <c r="DR643" s="479">
        <f>SUM(CP643,CQ643,CS643,CU643,CX643,CZ643,DB643,DD643,DG643,DJ643,DM643,DP643)</f>
        <v>13194325</v>
      </c>
      <c r="DS643" s="1023"/>
      <c r="DT643" s="1023"/>
      <c r="DU643" s="1023"/>
      <c r="DV643" s="1023"/>
      <c r="DW643" s="1023"/>
      <c r="DX643" s="1023"/>
      <c r="DY643" s="1023"/>
      <c r="DZ643" s="1023"/>
      <c r="EA643" s="1023"/>
      <c r="EB643" s="1023"/>
      <c r="EC643" s="1023"/>
      <c r="ED643" s="1023"/>
      <c r="EE643" s="1119">
        <f t="shared" ref="EE643:EE649" si="385">SUM(DS643,DT643,DU643,DV643,DW643,DX643,DY643,DZ643,EA643,EB643,EC643,ED643)</f>
        <v>0</v>
      </c>
      <c r="EF643" s="443"/>
      <c r="EG643" s="443"/>
      <c r="EH643" s="443"/>
      <c r="EI643" s="443"/>
      <c r="EL643" s="177"/>
      <c r="EM643" s="177"/>
      <c r="EN643" s="177"/>
    </row>
    <row r="644" spans="1:144" outlineLevel="2">
      <c r="B644" s="378"/>
      <c r="C644" s="370" t="s">
        <v>688</v>
      </c>
      <c r="D644" s="370" t="s">
        <v>108</v>
      </c>
      <c r="E644" s="403" t="s">
        <v>859</v>
      </c>
      <c r="F644" s="380" t="s">
        <v>860</v>
      </c>
      <c r="G644" s="189"/>
      <c r="H644" s="13"/>
      <c r="I644" s="195"/>
      <c r="J644" s="185"/>
      <c r="K644" s="185"/>
      <c r="L644" s="185"/>
      <c r="M644" s="185"/>
      <c r="N644" s="185"/>
      <c r="O644" s="7"/>
      <c r="P644" s="7"/>
      <c r="Q644" s="7"/>
      <c r="R644" s="7"/>
      <c r="S644" s="14"/>
      <c r="T644" s="179"/>
      <c r="U644" s="189"/>
      <c r="V644" s="13"/>
      <c r="W644" s="195"/>
      <c r="X644" s="185"/>
      <c r="Y644" s="185"/>
      <c r="Z644" s="185"/>
      <c r="AA644" s="185"/>
      <c r="AB644" s="185"/>
      <c r="AC644" s="7"/>
      <c r="AD644" s="7"/>
      <c r="AE644" s="7"/>
      <c r="AF644" s="7"/>
      <c r="AG644" s="759"/>
      <c r="AH644" s="788"/>
      <c r="AI644" s="189"/>
      <c r="AJ644" s="810"/>
      <c r="AK644" s="854"/>
      <c r="AL644" s="758"/>
      <c r="AM644" s="758"/>
      <c r="AN644" s="758"/>
      <c r="AO644" s="758"/>
      <c r="AP644" s="758"/>
      <c r="AQ644" s="518"/>
      <c r="AR644" s="518"/>
      <c r="AS644" s="518"/>
      <c r="AT644" s="518"/>
      <c r="AU644" s="518"/>
      <c r="AV644" s="518"/>
      <c r="AW644" s="518"/>
      <c r="AX644" s="518"/>
      <c r="AY644" s="788"/>
      <c r="AZ644" s="189"/>
      <c r="BA644" s="810"/>
      <c r="BB644" s="854"/>
      <c r="BC644" s="758"/>
      <c r="BD644" s="758"/>
      <c r="BE644" s="758"/>
      <c r="BF644" s="758"/>
      <c r="BG644" s="518"/>
      <c r="BH644" s="758"/>
      <c r="BI644" s="758"/>
      <c r="BJ644" s="758"/>
      <c r="BK644" s="758"/>
      <c r="BL644" s="759"/>
      <c r="BN644" s="769"/>
      <c r="BO644" s="769"/>
      <c r="BP644" s="769"/>
      <c r="BQ644" s="769"/>
      <c r="BR644" s="769"/>
      <c r="BS644" s="769"/>
      <c r="BT644" s="769"/>
      <c r="BU644" s="769"/>
      <c r="BV644" s="769"/>
      <c r="BW644" s="769"/>
      <c r="BX644" s="769"/>
      <c r="BY644" s="769"/>
      <c r="BZ644" s="791"/>
      <c r="CB644" s="769"/>
      <c r="CC644" s="769"/>
      <c r="CD644" s="769"/>
      <c r="CE644" s="769"/>
      <c r="CF644" s="769"/>
      <c r="CG644" s="769"/>
      <c r="CH644" s="769"/>
      <c r="CI644" s="769"/>
      <c r="CJ644" s="769"/>
      <c r="CK644" s="769"/>
      <c r="CL644" s="769"/>
      <c r="CM644" s="769"/>
      <c r="CN644" s="791"/>
      <c r="CO644" s="37"/>
      <c r="CP644" s="660"/>
      <c r="CQ644" s="660"/>
      <c r="CR644" s="614"/>
      <c r="CS644" s="660"/>
      <c r="CT644" s="614"/>
      <c r="CU644" s="660"/>
      <c r="CV644" s="614"/>
      <c r="CW644" s="660"/>
      <c r="CX644" s="614"/>
      <c r="CY644" s="660"/>
      <c r="CZ644" s="614"/>
      <c r="DA644" s="660"/>
      <c r="DB644" s="614"/>
      <c r="DC644" s="660">
        <v>6805174</v>
      </c>
      <c r="DD644" s="614"/>
      <c r="DE644" s="769"/>
      <c r="DF644" s="614"/>
      <c r="DG644" s="768"/>
      <c r="DH644" s="769"/>
      <c r="DI644" s="614"/>
      <c r="DJ644" s="768"/>
      <c r="DK644" s="769"/>
      <c r="DL644" s="614"/>
      <c r="DM644" s="768"/>
      <c r="DN644" s="769"/>
      <c r="DO644" s="614"/>
      <c r="DP644" s="768"/>
      <c r="DQ644" s="493">
        <f t="shared" si="378"/>
        <v>6805174</v>
      </c>
      <c r="DR644" s="479"/>
      <c r="DS644" s="1023"/>
      <c r="DT644" s="1023"/>
      <c r="DU644" s="1023"/>
      <c r="DV644" s="1023"/>
      <c r="DW644" s="1023"/>
      <c r="DX644" s="1023"/>
      <c r="DY644" s="1023"/>
      <c r="DZ644" s="1023"/>
      <c r="EA644" s="1023"/>
      <c r="EB644" s="1023"/>
      <c r="EC644" s="1023"/>
      <c r="ED644" s="1023"/>
      <c r="EE644" s="1119">
        <f t="shared" si="385"/>
        <v>0</v>
      </c>
      <c r="EF644" s="443"/>
      <c r="EG644" s="443"/>
      <c r="EH644" s="443"/>
      <c r="EI644" s="443"/>
      <c r="EL644" s="177"/>
      <c r="EM644" s="177"/>
      <c r="EN644" s="177"/>
    </row>
    <row r="645" spans="1:144" outlineLevel="2">
      <c r="A645" s="367" t="s">
        <v>159</v>
      </c>
      <c r="B645" s="378"/>
      <c r="C645" s="370" t="s">
        <v>688</v>
      </c>
      <c r="D645" s="370" t="s">
        <v>108</v>
      </c>
      <c r="E645" s="383" t="s">
        <v>114</v>
      </c>
      <c r="F645" s="380">
        <v>3000019518</v>
      </c>
      <c r="G645" s="189"/>
      <c r="H645" s="13"/>
      <c r="I645" s="185"/>
      <c r="J645" s="185"/>
      <c r="K645" s="185"/>
      <c r="L645" s="185"/>
      <c r="M645" s="185"/>
      <c r="N645" s="185"/>
      <c r="O645" s="185"/>
      <c r="P645" s="185"/>
      <c r="Q645" s="185"/>
      <c r="R645" s="185"/>
      <c r="S645" s="14">
        <f>SUM(G645,H645,I645,J645,K645,L645,M645,N645,O645,P645,Q645,R645)</f>
        <v>0</v>
      </c>
      <c r="T645" s="179"/>
      <c r="U645" s="189"/>
      <c r="V645" s="13"/>
      <c r="W645" s="185"/>
      <c r="X645" s="185"/>
      <c r="Y645" s="185"/>
      <c r="Z645" s="185"/>
      <c r="AA645" s="185"/>
      <c r="AB645" s="185"/>
      <c r="AC645" s="185"/>
      <c r="AD645" s="185"/>
      <c r="AE645" s="185"/>
      <c r="AF645" s="185"/>
      <c r="AG645" s="759">
        <f>SUM(U645,V645,W645,X645,Y645,Z645,AA645,AB645,AC645,AD645,AE645,AF645)</f>
        <v>0</v>
      </c>
      <c r="AH645" s="788"/>
      <c r="AI645" s="189"/>
      <c r="AJ645" s="810"/>
      <c r="AK645" s="758"/>
      <c r="AL645" s="758">
        <v>0</v>
      </c>
      <c r="AM645" s="758"/>
      <c r="AN645" s="758"/>
      <c r="AO645" s="758"/>
      <c r="AP645" s="758"/>
      <c r="AQ645" s="518">
        <v>0</v>
      </c>
      <c r="AR645" s="518"/>
      <c r="AS645" s="518"/>
      <c r="AT645" s="518"/>
      <c r="AU645" s="758"/>
      <c r="AV645" s="758"/>
      <c r="AW645" s="758"/>
      <c r="AX645" s="518">
        <f>SUM(AI645,AJ645,AK645,AL645,AM645,AN645,AO645,AP645,AQ645,AR645,AS645,AT645)</f>
        <v>0</v>
      </c>
      <c r="AY645" s="788"/>
      <c r="AZ645" s="189"/>
      <c r="BA645" s="810"/>
      <c r="BB645" s="758"/>
      <c r="BC645" s="758">
        <v>0</v>
      </c>
      <c r="BD645" s="758"/>
      <c r="BE645" s="758"/>
      <c r="BF645" s="758"/>
      <c r="BG645" s="758"/>
      <c r="BH645" s="758"/>
      <c r="BI645" s="758"/>
      <c r="BJ645" s="758"/>
      <c r="BK645" s="758"/>
      <c r="BL645" s="518">
        <f>SUM(AZ645,BA645,BB645,BC645,BD645,BE645,BF645,BG645,BH645,BI645,BJ645,BK645)</f>
        <v>0</v>
      </c>
      <c r="BN645" s="873"/>
      <c r="BO645" s="769">
        <v>10000000</v>
      </c>
      <c r="BP645" s="769">
        <v>10000000</v>
      </c>
      <c r="BQ645" s="769">
        <v>10000000</v>
      </c>
      <c r="BR645" s="769">
        <v>10000000</v>
      </c>
      <c r="BS645" s="769">
        <v>10000000</v>
      </c>
      <c r="BT645" s="769">
        <v>10000000</v>
      </c>
      <c r="BU645" s="769">
        <v>10000000</v>
      </c>
      <c r="BV645" s="769">
        <v>10000000</v>
      </c>
      <c r="BW645" s="769">
        <v>10000000</v>
      </c>
      <c r="BX645" s="769">
        <v>10000000</v>
      </c>
      <c r="BY645" s="769">
        <v>10000000</v>
      </c>
      <c r="BZ645" s="791">
        <v>110000000</v>
      </c>
      <c r="CB645" s="873"/>
      <c r="CC645" s="769">
        <v>10000000</v>
      </c>
      <c r="CD645" s="769">
        <v>10000000</v>
      </c>
      <c r="CE645" s="769">
        <v>10000000</v>
      </c>
      <c r="CF645" s="769">
        <v>10000000</v>
      </c>
      <c r="CG645" s="769">
        <v>10000000</v>
      </c>
      <c r="CH645" s="769">
        <v>10000000</v>
      </c>
      <c r="CI645" s="769">
        <v>10000000</v>
      </c>
      <c r="CJ645" s="769">
        <v>10000000</v>
      </c>
      <c r="CK645" s="769">
        <v>10000000</v>
      </c>
      <c r="CL645" s="769">
        <v>10000000</v>
      </c>
      <c r="CM645" s="769">
        <v>10000000</v>
      </c>
      <c r="CN645" s="791">
        <v>110000000</v>
      </c>
      <c r="CO645" s="37"/>
      <c r="CP645" s="662">
        <v>6726000</v>
      </c>
      <c r="CQ645" s="662"/>
      <c r="CR645" s="616">
        <v>10000000</v>
      </c>
      <c r="CS645" s="662">
        <v>40936000</v>
      </c>
      <c r="CT645" s="616">
        <f>CR645</f>
        <v>10000000</v>
      </c>
      <c r="CU645" s="662">
        <v>44809000</v>
      </c>
      <c r="CV645" s="616">
        <v>20000000</v>
      </c>
      <c r="CW645" s="662">
        <v>28462000</v>
      </c>
      <c r="CX645" s="616">
        <v>44000000</v>
      </c>
      <c r="CY645" s="662">
        <v>76325000</v>
      </c>
      <c r="CZ645" s="616">
        <v>50000000</v>
      </c>
      <c r="DA645" s="662">
        <v>17905000</v>
      </c>
      <c r="DB645" s="616">
        <f>CZ645</f>
        <v>50000000</v>
      </c>
      <c r="DC645" s="662">
        <v>49078000</v>
      </c>
      <c r="DD645" s="616">
        <f>DB645</f>
        <v>50000000</v>
      </c>
      <c r="DE645" s="769"/>
      <c r="DF645" s="616">
        <f>DE645</f>
        <v>0</v>
      </c>
      <c r="DG645" s="768">
        <f>DD645</f>
        <v>50000000</v>
      </c>
      <c r="DH645" s="769"/>
      <c r="DI645" s="616">
        <f>DH645</f>
        <v>0</v>
      </c>
      <c r="DJ645" s="768">
        <f>DG645</f>
        <v>50000000</v>
      </c>
      <c r="DK645" s="769"/>
      <c r="DL645" s="616">
        <f>DK645</f>
        <v>0</v>
      </c>
      <c r="DM645" s="768">
        <f>DJ645</f>
        <v>50000000</v>
      </c>
      <c r="DN645" s="769"/>
      <c r="DO645" s="616">
        <f>DN645</f>
        <v>0</v>
      </c>
      <c r="DP645" s="768">
        <f>DM645</f>
        <v>50000000</v>
      </c>
      <c r="DQ645" s="493">
        <f t="shared" si="378"/>
        <v>264241000</v>
      </c>
      <c r="DR645" s="479">
        <f>SUM(CP645,CQ645,CS645,CU645,CX645,CZ645,DB645,DD645,DG645,DJ645,DM645,DP645)</f>
        <v>486471000</v>
      </c>
      <c r="DS645" s="1023">
        <v>50000000</v>
      </c>
      <c r="DT645" s="1023">
        <v>50000000</v>
      </c>
      <c r="DU645" s="1023">
        <v>50000000</v>
      </c>
      <c r="DV645" s="1023">
        <v>50000000</v>
      </c>
      <c r="DW645" s="1023">
        <v>50000000</v>
      </c>
      <c r="DX645" s="1023">
        <v>50000000</v>
      </c>
      <c r="DY645" s="1023">
        <v>50000000</v>
      </c>
      <c r="DZ645" s="1023">
        <v>50000000</v>
      </c>
      <c r="EA645" s="1023">
        <v>50000000</v>
      </c>
      <c r="EB645" s="1023">
        <v>50000000</v>
      </c>
      <c r="EC645" s="1023">
        <v>50000000</v>
      </c>
      <c r="ED645" s="1023">
        <v>50000000</v>
      </c>
      <c r="EE645" s="1119">
        <f t="shared" si="385"/>
        <v>600000000</v>
      </c>
      <c r="EF645" s="443">
        <v>155000000</v>
      </c>
      <c r="EG645" s="443">
        <f>EF645*1.08</f>
        <v>167400000</v>
      </c>
      <c r="EH645" s="443">
        <v>183000000</v>
      </c>
      <c r="EI645" s="443">
        <v>183000000</v>
      </c>
      <c r="EJ645" s="367">
        <v>3000019518</v>
      </c>
      <c r="EL645" s="177"/>
      <c r="EM645" s="177"/>
      <c r="EN645" s="177"/>
    </row>
    <row r="646" spans="1:144" outlineLevel="2">
      <c r="A646" s="367" t="s">
        <v>159</v>
      </c>
      <c r="B646" s="378"/>
      <c r="C646" s="370" t="s">
        <v>688</v>
      </c>
      <c r="D646" s="370" t="s">
        <v>108</v>
      </c>
      <c r="E646" s="379" t="s">
        <v>494</v>
      </c>
      <c r="F646" s="380"/>
      <c r="G646" s="189"/>
      <c r="H646" s="13"/>
      <c r="I646" s="185"/>
      <c r="J646" s="185"/>
      <c r="K646" s="185"/>
      <c r="L646" s="185"/>
      <c r="M646" s="185"/>
      <c r="N646" s="185"/>
      <c r="O646" s="185"/>
      <c r="P646" s="185"/>
      <c r="Q646" s="185"/>
      <c r="R646" s="185"/>
      <c r="S646" s="14"/>
      <c r="T646" s="179"/>
      <c r="U646" s="189"/>
      <c r="V646" s="13"/>
      <c r="W646" s="185"/>
      <c r="X646" s="185"/>
      <c r="Y646" s="185"/>
      <c r="Z646" s="185"/>
      <c r="AA646" s="185"/>
      <c r="AB646" s="185"/>
      <c r="AC646" s="185"/>
      <c r="AD646" s="185"/>
      <c r="AE646" s="185"/>
      <c r="AF646" s="185"/>
      <c r="AG646" s="759"/>
      <c r="AH646" s="788"/>
      <c r="AI646" s="189"/>
      <c r="AJ646" s="810"/>
      <c r="AK646" s="758"/>
      <c r="AL646" s="758"/>
      <c r="AM646" s="758"/>
      <c r="AN646" s="758"/>
      <c r="AO646" s="758"/>
      <c r="AP646" s="758"/>
      <c r="AQ646" s="518"/>
      <c r="AR646" s="518"/>
      <c r="AS646" s="518"/>
      <c r="AT646" s="518"/>
      <c r="AU646" s="758"/>
      <c r="AV646" s="758"/>
      <c r="AW646" s="758"/>
      <c r="AX646" s="518">
        <f>SUM(AI646,AJ646,AK646,AL646,AM646,AN646,AO646,AP646,AQ646,AR646,AS646,AT646)</f>
        <v>0</v>
      </c>
      <c r="AY646" s="788"/>
      <c r="AZ646" s="189"/>
      <c r="BA646" s="810"/>
      <c r="BB646" s="758"/>
      <c r="BC646" s="758"/>
      <c r="BD646" s="758"/>
      <c r="BE646" s="758"/>
      <c r="BF646" s="758"/>
      <c r="BG646" s="758"/>
      <c r="BH646" s="758"/>
      <c r="BI646" s="758"/>
      <c r="BJ646" s="758"/>
      <c r="BK646" s="758"/>
      <c r="BL646" s="518"/>
      <c r="BN646" s="873"/>
      <c r="BO646" s="771"/>
      <c r="BP646" s="771"/>
      <c r="BQ646" s="771"/>
      <c r="BR646" s="771"/>
      <c r="BS646" s="771"/>
      <c r="BT646" s="771"/>
      <c r="BU646" s="771"/>
      <c r="BV646" s="771"/>
      <c r="BW646" s="771"/>
      <c r="BX646" s="771"/>
      <c r="BY646" s="771"/>
      <c r="BZ646" s="791">
        <v>0</v>
      </c>
      <c r="CB646" s="873"/>
      <c r="CC646" s="771"/>
      <c r="CD646" s="771"/>
      <c r="CE646" s="771"/>
      <c r="CF646" s="771"/>
      <c r="CG646" s="771"/>
      <c r="CH646" s="771"/>
      <c r="CI646" s="771"/>
      <c r="CJ646" s="771"/>
      <c r="CK646" s="771"/>
      <c r="CL646" s="771"/>
      <c r="CM646" s="771"/>
      <c r="CN646" s="791">
        <v>0</v>
      </c>
      <c r="CO646" s="37"/>
      <c r="CP646" s="661"/>
      <c r="CQ646" s="661"/>
      <c r="CR646" s="615"/>
      <c r="CS646" s="661"/>
      <c r="CT646" s="615"/>
      <c r="CU646" s="661"/>
      <c r="CV646" s="615">
        <v>15000000</v>
      </c>
      <c r="CW646" s="661" t="s">
        <v>861</v>
      </c>
      <c r="CX646" s="615"/>
      <c r="CY646" s="661"/>
      <c r="CZ646" s="615">
        <v>15000000</v>
      </c>
      <c r="DA646" s="661"/>
      <c r="DB646" s="615">
        <f>CZ646</f>
        <v>15000000</v>
      </c>
      <c r="DC646" s="661">
        <v>0</v>
      </c>
      <c r="DD646" s="615">
        <f>DB646</f>
        <v>15000000</v>
      </c>
      <c r="DE646" s="771"/>
      <c r="DF646" s="615">
        <f>DE646</f>
        <v>0</v>
      </c>
      <c r="DG646" s="770">
        <f>DD646</f>
        <v>15000000</v>
      </c>
      <c r="DH646" s="771"/>
      <c r="DI646" s="615">
        <f>DH646</f>
        <v>0</v>
      </c>
      <c r="DJ646" s="770">
        <f>DG646</f>
        <v>15000000</v>
      </c>
      <c r="DK646" s="771"/>
      <c r="DL646" s="615">
        <f>DK646</f>
        <v>0</v>
      </c>
      <c r="DM646" s="770">
        <f>DJ646</f>
        <v>15000000</v>
      </c>
      <c r="DN646" s="771"/>
      <c r="DO646" s="615">
        <f>DN646</f>
        <v>0</v>
      </c>
      <c r="DP646" s="770">
        <f>DM646</f>
        <v>15000000</v>
      </c>
      <c r="DQ646" s="493">
        <f t="shared" si="378"/>
        <v>0</v>
      </c>
      <c r="DR646" s="479">
        <f>SUM(CP646,CQ646,CS646,CU646,CX646,CZ646,DB646,DD646,DG646,DJ646,DM646,DP646)</f>
        <v>105000000</v>
      </c>
      <c r="DS646" s="1023"/>
      <c r="DT646" s="1023"/>
      <c r="DU646" s="1023"/>
      <c r="DV646" s="1023"/>
      <c r="DW646" s="1023"/>
      <c r="DX646" s="1023"/>
      <c r="DY646" s="1023"/>
      <c r="DZ646" s="1023"/>
      <c r="EA646" s="1023"/>
      <c r="EB646" s="1023"/>
      <c r="EC646" s="1023"/>
      <c r="ED646" s="1023"/>
      <c r="EE646" s="1119">
        <f t="shared" si="385"/>
        <v>0</v>
      </c>
      <c r="EF646" s="443">
        <v>60000000</v>
      </c>
      <c r="EG646" s="443">
        <v>95000000</v>
      </c>
      <c r="EH646" s="443">
        <v>120000000</v>
      </c>
      <c r="EI646" s="443">
        <v>120000000</v>
      </c>
      <c r="EL646" s="177"/>
      <c r="EM646" s="177"/>
      <c r="EN646" s="177"/>
    </row>
    <row r="647" spans="1:144" outlineLevel="2">
      <c r="B647" s="378"/>
      <c r="C647" s="370" t="s">
        <v>688</v>
      </c>
      <c r="D647" s="370" t="s">
        <v>108</v>
      </c>
      <c r="E647" s="388" t="s">
        <v>862</v>
      </c>
      <c r="F647" s="380" t="s">
        <v>863</v>
      </c>
      <c r="G647" s="189"/>
      <c r="H647" s="13"/>
      <c r="I647" s="185"/>
      <c r="J647" s="185"/>
      <c r="K647" s="185"/>
      <c r="L647" s="185"/>
      <c r="M647" s="185"/>
      <c r="N647" s="185"/>
      <c r="O647" s="185"/>
      <c r="P647" s="185"/>
      <c r="Q647" s="185"/>
      <c r="R647" s="185"/>
      <c r="S647" s="14"/>
      <c r="T647" s="179"/>
      <c r="U647" s="189"/>
      <c r="V647" s="13"/>
      <c r="W647" s="185"/>
      <c r="X647" s="185"/>
      <c r="Y647" s="185"/>
      <c r="Z647" s="185"/>
      <c r="AA647" s="185"/>
      <c r="AB647" s="185"/>
      <c r="AC647" s="185"/>
      <c r="AD647" s="185"/>
      <c r="AE647" s="185"/>
      <c r="AF647" s="185"/>
      <c r="AG647" s="759"/>
      <c r="AH647" s="788"/>
      <c r="AI647" s="189"/>
      <c r="AJ647" s="810"/>
      <c r="AK647" s="758"/>
      <c r="AL647" s="758"/>
      <c r="AM647" s="758"/>
      <c r="AN647" s="758"/>
      <c r="AO647" s="758"/>
      <c r="AP647" s="758"/>
      <c r="AQ647" s="518"/>
      <c r="AR647" s="518"/>
      <c r="AS647" s="518"/>
      <c r="AT647" s="518"/>
      <c r="AU647" s="758"/>
      <c r="AV647" s="758"/>
      <c r="AW647" s="758"/>
      <c r="AX647" s="518"/>
      <c r="AY647" s="788"/>
      <c r="AZ647" s="189"/>
      <c r="BA647" s="810"/>
      <c r="BB647" s="758"/>
      <c r="BC647" s="758"/>
      <c r="BD647" s="758"/>
      <c r="BE647" s="758"/>
      <c r="BF647" s="758"/>
      <c r="BG647" s="758"/>
      <c r="BH647" s="758"/>
      <c r="BI647" s="758"/>
      <c r="BJ647" s="758"/>
      <c r="BK647" s="758"/>
      <c r="BL647" s="518"/>
      <c r="BN647" s="615"/>
      <c r="BO647" s="771"/>
      <c r="BP647" s="771"/>
      <c r="BQ647" s="771"/>
      <c r="BR647" s="771"/>
      <c r="BS647" s="771"/>
      <c r="BT647" s="771"/>
      <c r="BU647" s="771"/>
      <c r="BV647" s="771"/>
      <c r="BW647" s="771"/>
      <c r="BX647" s="771"/>
      <c r="BY647" s="771"/>
      <c r="BZ647" s="791"/>
      <c r="CB647" s="615"/>
      <c r="CC647" s="771"/>
      <c r="CD647" s="771"/>
      <c r="CE647" s="771"/>
      <c r="CF647" s="771"/>
      <c r="CG647" s="771"/>
      <c r="CH647" s="771"/>
      <c r="CI647" s="771"/>
      <c r="CJ647" s="771"/>
      <c r="CK647" s="771"/>
      <c r="CL647" s="771"/>
      <c r="CM647" s="771"/>
      <c r="CN647" s="791"/>
      <c r="CO647" s="37"/>
      <c r="CP647" s="661"/>
      <c r="CQ647" s="661"/>
      <c r="CR647" s="615"/>
      <c r="CS647" s="661"/>
      <c r="CT647" s="615"/>
      <c r="CU647" s="661"/>
      <c r="CV647" s="615"/>
      <c r="CW647" s="661"/>
      <c r="CX647" s="615"/>
      <c r="CY647" s="661"/>
      <c r="CZ647" s="615"/>
      <c r="DA647" s="661">
        <v>3248115</v>
      </c>
      <c r="DB647" s="615"/>
      <c r="DC647" s="661">
        <v>0</v>
      </c>
      <c r="DD647" s="615"/>
      <c r="DE647" s="771"/>
      <c r="DF647" s="615"/>
      <c r="DG647" s="770"/>
      <c r="DH647" s="771"/>
      <c r="DI647" s="615"/>
      <c r="DJ647" s="770"/>
      <c r="DK647" s="771"/>
      <c r="DL647" s="615"/>
      <c r="DM647" s="770"/>
      <c r="DN647" s="771"/>
      <c r="DO647" s="615"/>
      <c r="DP647" s="770"/>
      <c r="DQ647" s="493">
        <f t="shared" si="378"/>
        <v>3248115</v>
      </c>
      <c r="DR647" s="479"/>
      <c r="DS647" s="1023"/>
      <c r="DT647" s="1023"/>
      <c r="DU647" s="1023"/>
      <c r="DV647" s="1023"/>
      <c r="DW647" s="1023"/>
      <c r="DX647" s="1023"/>
      <c r="DY647" s="1023"/>
      <c r="DZ647" s="1023"/>
      <c r="EA647" s="1023"/>
      <c r="EB647" s="1023"/>
      <c r="EC647" s="1023"/>
      <c r="ED647" s="1023"/>
      <c r="EE647" s="1119">
        <f t="shared" si="385"/>
        <v>0</v>
      </c>
      <c r="EF647" s="443"/>
      <c r="EG647" s="443"/>
      <c r="EH647" s="443"/>
      <c r="EI647" s="443"/>
      <c r="EL647" s="177"/>
      <c r="EM647" s="177"/>
      <c r="EN647" s="177"/>
    </row>
    <row r="648" spans="1:144" outlineLevel="2">
      <c r="A648" s="367" t="s">
        <v>159</v>
      </c>
      <c r="B648" s="378"/>
      <c r="C648" s="370" t="s">
        <v>688</v>
      </c>
      <c r="D648" s="370" t="s">
        <v>108</v>
      </c>
      <c r="E648" s="379" t="s">
        <v>168</v>
      </c>
      <c r="F648" s="380"/>
      <c r="G648" s="189"/>
      <c r="H648" s="13"/>
      <c r="I648" s="185"/>
      <c r="J648" s="185"/>
      <c r="K648" s="185"/>
      <c r="L648" s="185"/>
      <c r="M648" s="185"/>
      <c r="N648" s="185"/>
      <c r="O648" s="185"/>
      <c r="P648" s="185"/>
      <c r="Q648" s="185"/>
      <c r="R648" s="185"/>
      <c r="S648" s="14"/>
      <c r="T648" s="179"/>
      <c r="U648" s="189"/>
      <c r="V648" s="13"/>
      <c r="W648" s="185"/>
      <c r="X648" s="185"/>
      <c r="Y648" s="185"/>
      <c r="Z648" s="185"/>
      <c r="AA648" s="185"/>
      <c r="AB648" s="185"/>
      <c r="AC648" s="185"/>
      <c r="AD648" s="185"/>
      <c r="AE648" s="185"/>
      <c r="AF648" s="185"/>
      <c r="AG648" s="759"/>
      <c r="AH648" s="788"/>
      <c r="AI648" s="189"/>
      <c r="AJ648" s="810"/>
      <c r="AK648" s="758"/>
      <c r="AL648" s="758"/>
      <c r="AM648" s="758"/>
      <c r="AN648" s="758"/>
      <c r="AO648" s="758"/>
      <c r="AP648" s="758"/>
      <c r="AQ648" s="518"/>
      <c r="AR648" s="518"/>
      <c r="AS648" s="518"/>
      <c r="AT648" s="518"/>
      <c r="AU648" s="758"/>
      <c r="AV648" s="758"/>
      <c r="AW648" s="758"/>
      <c r="AX648" s="518">
        <f>SUM(AI648,AJ648,AK648,AL648,AM648,AN648,AO648,AP648,AQ648,AR648,AS648,AT648)</f>
        <v>0</v>
      </c>
      <c r="AY648" s="788"/>
      <c r="AZ648" s="189"/>
      <c r="BA648" s="810"/>
      <c r="BB648" s="758"/>
      <c r="BC648" s="758"/>
      <c r="BD648" s="758"/>
      <c r="BE648" s="758"/>
      <c r="BF648" s="758"/>
      <c r="BG648" s="758"/>
      <c r="BH648" s="758"/>
      <c r="BI648" s="758"/>
      <c r="BJ648" s="758"/>
      <c r="BK648" s="758"/>
      <c r="BL648" s="518"/>
      <c r="BN648" s="615"/>
      <c r="BO648" s="771"/>
      <c r="BP648" s="771"/>
      <c r="BQ648" s="771"/>
      <c r="BR648" s="771"/>
      <c r="BS648" s="771"/>
      <c r="BT648" s="771"/>
      <c r="BU648" s="771"/>
      <c r="BV648" s="771"/>
      <c r="BW648" s="771"/>
      <c r="BX648" s="771"/>
      <c r="BY648" s="771"/>
      <c r="BZ648" s="791">
        <v>0</v>
      </c>
      <c r="CB648" s="615"/>
      <c r="CC648" s="771"/>
      <c r="CD648" s="771"/>
      <c r="CE648" s="771"/>
      <c r="CF648" s="771"/>
      <c r="CG648" s="771"/>
      <c r="CH648" s="771"/>
      <c r="CI648" s="771"/>
      <c r="CJ648" s="771"/>
      <c r="CK648" s="771"/>
      <c r="CL648" s="771"/>
      <c r="CM648" s="771"/>
      <c r="CN648" s="791">
        <v>0</v>
      </c>
      <c r="CO648" s="37"/>
      <c r="CP648" s="661"/>
      <c r="CQ648" s="661"/>
      <c r="CR648" s="615"/>
      <c r="CS648" s="661"/>
      <c r="CT648" s="615">
        <v>12000000</v>
      </c>
      <c r="CU648" s="661"/>
      <c r="CV648" s="615">
        <f>CT648</f>
        <v>12000000</v>
      </c>
      <c r="CW648" s="661"/>
      <c r="CX648" s="615">
        <v>0</v>
      </c>
      <c r="CY648" s="661"/>
      <c r="CZ648" s="615">
        <v>5000000</v>
      </c>
      <c r="DA648" s="661"/>
      <c r="DB648" s="615">
        <f>CZ648</f>
        <v>5000000</v>
      </c>
      <c r="DC648" s="661">
        <v>0</v>
      </c>
      <c r="DD648" s="615">
        <f>DB648</f>
        <v>5000000</v>
      </c>
      <c r="DE648" s="771"/>
      <c r="DF648" s="615">
        <f>DE648</f>
        <v>0</v>
      </c>
      <c r="DG648" s="770">
        <f>DD648</f>
        <v>5000000</v>
      </c>
      <c r="DH648" s="771"/>
      <c r="DI648" s="615">
        <f>DH648</f>
        <v>0</v>
      </c>
      <c r="DJ648" s="770">
        <f>DG648</f>
        <v>5000000</v>
      </c>
      <c r="DK648" s="771"/>
      <c r="DL648" s="615">
        <f>DK648</f>
        <v>0</v>
      </c>
      <c r="DM648" s="770">
        <f>DJ648</f>
        <v>5000000</v>
      </c>
      <c r="DN648" s="771"/>
      <c r="DO648" s="615">
        <f>DN648</f>
        <v>0</v>
      </c>
      <c r="DP648" s="770">
        <f>DM648</f>
        <v>5000000</v>
      </c>
      <c r="DQ648" s="493">
        <f t="shared" si="378"/>
        <v>0</v>
      </c>
      <c r="DR648" s="479">
        <f>SUM(CP648,CQ648,CS648,CU648,CX648,CZ648,DB648,DD648,DG648,DJ648,DM648,DP648)</f>
        <v>35000000</v>
      </c>
      <c r="DS648" s="1023"/>
      <c r="DT648" s="1023"/>
      <c r="DU648" s="1023"/>
      <c r="DV648" s="1023"/>
      <c r="DW648" s="1023"/>
      <c r="DX648" s="1023"/>
      <c r="DY648" s="1023"/>
      <c r="DZ648" s="1023"/>
      <c r="EA648" s="1023"/>
      <c r="EB648" s="1023"/>
      <c r="EC648" s="1023"/>
      <c r="ED648" s="1023"/>
      <c r="EE648" s="1119">
        <f t="shared" si="385"/>
        <v>0</v>
      </c>
      <c r="EF648" s="443"/>
      <c r="EG648" s="443">
        <v>240000000</v>
      </c>
      <c r="EH648" s="443">
        <v>480000000</v>
      </c>
      <c r="EI648" s="443">
        <v>480000000</v>
      </c>
      <c r="EL648" s="177"/>
      <c r="EM648" s="177"/>
      <c r="EN648" s="177"/>
    </row>
    <row r="649" spans="1:144" outlineLevel="2">
      <c r="B649" s="378"/>
      <c r="C649" s="370" t="s">
        <v>688</v>
      </c>
      <c r="D649" s="370" t="s">
        <v>108</v>
      </c>
      <c r="E649" s="388" t="s">
        <v>864</v>
      </c>
      <c r="F649" s="380" t="s">
        <v>865</v>
      </c>
      <c r="G649" s="189"/>
      <c r="H649" s="267"/>
      <c r="I649" s="196"/>
      <c r="J649" s="196"/>
      <c r="K649" s="196"/>
      <c r="L649" s="196"/>
      <c r="M649" s="196"/>
      <c r="N649" s="196"/>
      <c r="O649" s="196"/>
      <c r="P649" s="196"/>
      <c r="Q649" s="196"/>
      <c r="R649" s="196"/>
      <c r="S649" s="14"/>
      <c r="T649" s="179"/>
      <c r="U649" s="189"/>
      <c r="V649" s="267"/>
      <c r="W649" s="196"/>
      <c r="X649" s="196"/>
      <c r="Y649" s="196"/>
      <c r="Z649" s="196"/>
      <c r="AA649" s="196"/>
      <c r="AB649" s="196"/>
      <c r="AC649" s="196"/>
      <c r="AD649" s="196"/>
      <c r="AE649" s="196"/>
      <c r="AF649" s="196"/>
      <c r="AG649" s="759"/>
      <c r="AH649" s="788"/>
      <c r="AI649" s="189"/>
      <c r="AJ649" s="824"/>
      <c r="AK649" s="758"/>
      <c r="AL649" s="758"/>
      <c r="AM649" s="758"/>
      <c r="AN649" s="758"/>
      <c r="AO649" s="758"/>
      <c r="AP649" s="758"/>
      <c r="AQ649" s="518"/>
      <c r="AR649" s="518"/>
      <c r="AS649" s="518"/>
      <c r="AT649" s="518"/>
      <c r="AU649" s="758"/>
      <c r="AV649" s="758"/>
      <c r="AW649" s="758"/>
      <c r="AX649" s="518"/>
      <c r="AY649" s="788"/>
      <c r="AZ649" s="189"/>
      <c r="BA649" s="824"/>
      <c r="BB649" s="758"/>
      <c r="BC649" s="758"/>
      <c r="BD649" s="758"/>
      <c r="BE649" s="758"/>
      <c r="BF649" s="758"/>
      <c r="BG649" s="758"/>
      <c r="BH649" s="758"/>
      <c r="BI649" s="758"/>
      <c r="BJ649" s="758"/>
      <c r="BK649" s="758"/>
      <c r="BL649" s="518"/>
      <c r="BN649" s="615"/>
      <c r="BO649" s="771"/>
      <c r="BP649" s="771"/>
      <c r="BQ649" s="771"/>
      <c r="BR649" s="771"/>
      <c r="BS649" s="771"/>
      <c r="BT649" s="771"/>
      <c r="BU649" s="771"/>
      <c r="BV649" s="771"/>
      <c r="BW649" s="771"/>
      <c r="BX649" s="771"/>
      <c r="BY649" s="771"/>
      <c r="BZ649" s="791"/>
      <c r="CB649" s="615"/>
      <c r="CC649" s="771"/>
      <c r="CD649" s="771"/>
      <c r="CE649" s="771"/>
      <c r="CF649" s="771"/>
      <c r="CG649" s="771"/>
      <c r="CH649" s="771"/>
      <c r="CI649" s="771"/>
      <c r="CJ649" s="771"/>
      <c r="CK649" s="771"/>
      <c r="CL649" s="771"/>
      <c r="CM649" s="771"/>
      <c r="CN649" s="791"/>
      <c r="CP649" s="661"/>
      <c r="CQ649" s="661"/>
      <c r="CR649" s="615"/>
      <c r="CS649" s="661"/>
      <c r="CT649" s="615"/>
      <c r="CU649" s="661"/>
      <c r="CV649" s="615"/>
      <c r="CW649" s="661"/>
      <c r="CX649" s="615"/>
      <c r="CY649" s="661">
        <v>6390000</v>
      </c>
      <c r="CZ649" s="615"/>
      <c r="DA649" s="661">
        <v>13925000</v>
      </c>
      <c r="DB649" s="615"/>
      <c r="DC649" s="661">
        <v>0</v>
      </c>
      <c r="DD649" s="615"/>
      <c r="DE649" s="771"/>
      <c r="DF649" s="615"/>
      <c r="DG649" s="770"/>
      <c r="DH649" s="771"/>
      <c r="DI649" s="615"/>
      <c r="DJ649" s="770"/>
      <c r="DK649" s="771"/>
      <c r="DL649" s="615"/>
      <c r="DM649" s="770"/>
      <c r="DN649" s="771"/>
      <c r="DO649" s="615"/>
      <c r="DP649" s="770"/>
      <c r="DQ649" s="493">
        <f t="shared" si="378"/>
        <v>20315000</v>
      </c>
      <c r="DR649" s="479"/>
      <c r="DS649" s="1023"/>
      <c r="DT649" s="1023"/>
      <c r="DU649" s="1023"/>
      <c r="DV649" s="1023"/>
      <c r="DW649" s="1023"/>
      <c r="DX649" s="1023"/>
      <c r="DY649" s="1023"/>
      <c r="DZ649" s="1023"/>
      <c r="EA649" s="1023"/>
      <c r="EB649" s="1023"/>
      <c r="EC649" s="1023"/>
      <c r="ED649" s="1023"/>
      <c r="EE649" s="1119">
        <f t="shared" si="385"/>
        <v>0</v>
      </c>
      <c r="EF649" s="443"/>
      <c r="EG649" s="443"/>
      <c r="EH649" s="443"/>
      <c r="EI649" s="443"/>
      <c r="EL649" s="177"/>
      <c r="EM649" s="177"/>
      <c r="EN649" s="177"/>
    </row>
    <row r="650" spans="1:144" s="241" customFormat="1" ht="18.5" outlineLevel="2">
      <c r="A650" s="413"/>
      <c r="B650" s="414"/>
      <c r="C650" s="415"/>
      <c r="D650" s="415"/>
      <c r="E650" s="416" t="s">
        <v>531</v>
      </c>
      <c r="F650" s="417"/>
      <c r="G650" s="242"/>
      <c r="H650" s="242"/>
      <c r="I650" s="242"/>
      <c r="J650" s="242"/>
      <c r="K650" s="242"/>
      <c r="L650" s="242"/>
      <c r="M650" s="242"/>
      <c r="N650" s="242"/>
      <c r="O650" s="242"/>
      <c r="P650" s="242"/>
      <c r="Q650" s="242"/>
      <c r="R650" s="242"/>
      <c r="S650" s="243"/>
      <c r="T650" s="244"/>
      <c r="U650" s="242"/>
      <c r="V650" s="242"/>
      <c r="W650" s="242"/>
      <c r="X650" s="242"/>
      <c r="Y650" s="242"/>
      <c r="Z650" s="242"/>
      <c r="AA650" s="242"/>
      <c r="AB650" s="242"/>
      <c r="AC650" s="242"/>
      <c r="AD650" s="242"/>
      <c r="AE650" s="242"/>
      <c r="AF650" s="242"/>
      <c r="AG650" s="844"/>
      <c r="AH650" s="788"/>
      <c r="AI650" s="845"/>
      <c r="AJ650" s="846"/>
      <c r="AK650" s="844"/>
      <c r="AL650" s="844"/>
      <c r="AM650" s="844"/>
      <c r="AN650" s="844"/>
      <c r="AO650" s="844"/>
      <c r="AP650" s="844"/>
      <c r="AQ650" s="844"/>
      <c r="AR650" s="844"/>
      <c r="AS650" s="844"/>
      <c r="AT650" s="844"/>
      <c r="AU650" s="844"/>
      <c r="AV650" s="844"/>
      <c r="AW650" s="844"/>
      <c r="AX650" s="844"/>
      <c r="AY650" s="788"/>
      <c r="AZ650" s="845"/>
      <c r="BA650" s="846"/>
      <c r="BB650" s="844"/>
      <c r="BC650" s="844"/>
      <c r="BD650" s="844"/>
      <c r="BE650" s="844"/>
      <c r="BF650" s="844"/>
      <c r="BG650" s="844"/>
      <c r="BH650" s="844"/>
      <c r="BI650" s="844"/>
      <c r="BJ650" s="844"/>
      <c r="BK650" s="844"/>
      <c r="BL650" s="844"/>
      <c r="BM650" s="3"/>
      <c r="BN650" s="468">
        <f t="shared" ref="BN650:BZ650" si="386">SUM(BN651:BN653)</f>
        <v>20000000</v>
      </c>
      <c r="BO650" s="468">
        <f t="shared" si="386"/>
        <v>23000000</v>
      </c>
      <c r="BP650" s="468">
        <f t="shared" si="386"/>
        <v>23000000</v>
      </c>
      <c r="BQ650" s="468">
        <f t="shared" si="386"/>
        <v>23000000</v>
      </c>
      <c r="BR650" s="468">
        <f t="shared" si="386"/>
        <v>34187000</v>
      </c>
      <c r="BS650" s="468">
        <f t="shared" si="386"/>
        <v>34187000</v>
      </c>
      <c r="BT650" s="468">
        <f t="shared" si="386"/>
        <v>34187000</v>
      </c>
      <c r="BU650" s="468">
        <f t="shared" si="386"/>
        <v>44187000</v>
      </c>
      <c r="BV650" s="468">
        <f t="shared" si="386"/>
        <v>44187000</v>
      </c>
      <c r="BW650" s="468">
        <f t="shared" si="386"/>
        <v>44187000</v>
      </c>
      <c r="BX650" s="468">
        <f t="shared" si="386"/>
        <v>44187000</v>
      </c>
      <c r="BY650" s="468">
        <f t="shared" si="386"/>
        <v>44187000</v>
      </c>
      <c r="BZ650" s="468">
        <f t="shared" si="386"/>
        <v>412496000</v>
      </c>
      <c r="CA650" s="3"/>
      <c r="CB650" s="866"/>
      <c r="CC650" s="867"/>
      <c r="CD650" s="844"/>
      <c r="CE650" s="844"/>
      <c r="CF650" s="844"/>
      <c r="CG650" s="844"/>
      <c r="CH650" s="844"/>
      <c r="CI650" s="844"/>
      <c r="CJ650" s="844"/>
      <c r="CK650" s="844"/>
      <c r="CL650" s="844"/>
      <c r="CM650" s="844"/>
      <c r="CN650" s="868"/>
      <c r="CO650" s="3"/>
      <c r="CP650" s="468">
        <f>SUM(CP651:CP653)</f>
        <v>0</v>
      </c>
      <c r="CQ650" s="468">
        <f t="shared" ref="CQ650:EH650" si="387">SUM(CQ651:CQ653)</f>
        <v>0</v>
      </c>
      <c r="CR650" s="468">
        <f t="shared" si="387"/>
        <v>0</v>
      </c>
      <c r="CS650" s="468">
        <f t="shared" si="387"/>
        <v>0</v>
      </c>
      <c r="CT650" s="468">
        <f t="shared" si="387"/>
        <v>0</v>
      </c>
      <c r="CU650" s="468">
        <f t="shared" si="387"/>
        <v>0</v>
      </c>
      <c r="CV650" s="468">
        <f t="shared" si="387"/>
        <v>0</v>
      </c>
      <c r="CW650" s="468">
        <f t="shared" si="387"/>
        <v>0</v>
      </c>
      <c r="CX650" s="468">
        <f t="shared" si="387"/>
        <v>0</v>
      </c>
      <c r="CY650" s="468">
        <f t="shared" si="387"/>
        <v>0</v>
      </c>
      <c r="CZ650" s="468">
        <f t="shared" si="387"/>
        <v>0</v>
      </c>
      <c r="DA650" s="468">
        <f t="shared" si="387"/>
        <v>0</v>
      </c>
      <c r="DB650" s="468">
        <f t="shared" si="387"/>
        <v>0</v>
      </c>
      <c r="DC650" s="468">
        <f t="shared" si="387"/>
        <v>0</v>
      </c>
      <c r="DD650" s="468">
        <f t="shared" si="387"/>
        <v>0</v>
      </c>
      <c r="DE650" s="468">
        <f t="shared" si="387"/>
        <v>0</v>
      </c>
      <c r="DF650" s="468">
        <f>SUM(DF651:DF653)</f>
        <v>0</v>
      </c>
      <c r="DG650" s="468">
        <f t="shared" si="387"/>
        <v>0</v>
      </c>
      <c r="DH650" s="468">
        <f t="shared" si="387"/>
        <v>0</v>
      </c>
      <c r="DI650" s="468">
        <f>SUM(DI651:DI653)</f>
        <v>0</v>
      </c>
      <c r="DJ650" s="468">
        <f t="shared" si="387"/>
        <v>0</v>
      </c>
      <c r="DK650" s="468">
        <f t="shared" si="387"/>
        <v>0</v>
      </c>
      <c r="DL650" s="468">
        <f>SUM(DL651:DL653)</f>
        <v>0</v>
      </c>
      <c r="DM650" s="468">
        <f>SUM(DM651:DM653)</f>
        <v>0</v>
      </c>
      <c r="DN650" s="468">
        <f t="shared" si="387"/>
        <v>0</v>
      </c>
      <c r="DO650" s="468">
        <f>SUM(DO651:DO653)</f>
        <v>0</v>
      </c>
      <c r="DP650" s="468">
        <f t="shared" si="387"/>
        <v>0</v>
      </c>
      <c r="DQ650" s="468">
        <f>SUM(DQ651:DQ653)</f>
        <v>0</v>
      </c>
      <c r="DR650" s="468">
        <f t="shared" si="387"/>
        <v>0</v>
      </c>
      <c r="DS650" s="445"/>
      <c r="DT650" s="445"/>
      <c r="DU650" s="445"/>
      <c r="DV650" s="445"/>
      <c r="DW650" s="445"/>
      <c r="DX650" s="445"/>
      <c r="DY650" s="445"/>
      <c r="DZ650" s="445"/>
      <c r="EA650" s="445"/>
      <c r="EB650" s="445"/>
      <c r="EC650" s="445"/>
      <c r="ED650" s="445"/>
      <c r="EE650" s="1120">
        <f t="shared" si="387"/>
        <v>0</v>
      </c>
      <c r="EF650" s="445">
        <f t="shared" si="387"/>
        <v>532140000</v>
      </c>
      <c r="EG650" s="445">
        <f t="shared" si="387"/>
        <v>629000000</v>
      </c>
      <c r="EH650" s="445">
        <f t="shared" si="387"/>
        <v>749000000</v>
      </c>
      <c r="EI650" s="445">
        <f>SUM(EI651:EI653)</f>
        <v>749000000</v>
      </c>
      <c r="EJ650" s="413"/>
      <c r="EK650" s="413"/>
    </row>
    <row r="651" spans="1:144" outlineLevel="2">
      <c r="A651" s="367" t="s">
        <v>159</v>
      </c>
      <c r="B651" s="378"/>
      <c r="C651" s="370" t="s">
        <v>688</v>
      </c>
      <c r="D651" s="297" t="s">
        <v>121</v>
      </c>
      <c r="E651" s="383" t="s">
        <v>243</v>
      </c>
      <c r="F651" s="380">
        <v>3000019640</v>
      </c>
      <c r="G651" s="6"/>
      <c r="H651" s="13"/>
      <c r="I651" s="195"/>
      <c r="J651" s="185"/>
      <c r="K651" s="185"/>
      <c r="L651" s="185"/>
      <c r="M651" s="185"/>
      <c r="N651" s="185"/>
      <c r="O651" s="185"/>
      <c r="P651" s="185"/>
      <c r="Q651" s="185"/>
      <c r="R651" s="185"/>
      <c r="S651" s="14"/>
      <c r="T651" s="15"/>
      <c r="U651" s="6"/>
      <c r="V651" s="13"/>
      <c r="W651" s="195"/>
      <c r="X651" s="185"/>
      <c r="Y651" s="185"/>
      <c r="Z651" s="185"/>
      <c r="AA651" s="185"/>
      <c r="AB651" s="185"/>
      <c r="AC651" s="185"/>
      <c r="AD651" s="185"/>
      <c r="AE651" s="185"/>
      <c r="AF651" s="185"/>
      <c r="AG651" s="759"/>
      <c r="AH651" s="811"/>
      <c r="AI651" s="6"/>
      <c r="AJ651" s="810"/>
      <c r="AK651" s="854"/>
      <c r="AL651" s="758"/>
      <c r="AM651" s="758"/>
      <c r="AN651" s="758"/>
      <c r="AO651" s="758"/>
      <c r="AP651" s="758"/>
      <c r="AQ651" s="518">
        <v>0</v>
      </c>
      <c r="AR651" s="518"/>
      <c r="AS651" s="518"/>
      <c r="AT651" s="518"/>
      <c r="AU651" s="758"/>
      <c r="AV651" s="758"/>
      <c r="AW651" s="758"/>
      <c r="AX651" s="518">
        <f>SUM(AI651,AJ651,AK651,AL651,AM651,AN651,AO651,AP651,AQ651,AR651,AS651,AT651)</f>
        <v>0</v>
      </c>
      <c r="AY651" s="811"/>
      <c r="AZ651" s="6"/>
      <c r="BA651" s="810"/>
      <c r="BB651" s="854"/>
      <c r="BC651" s="758"/>
      <c r="BD651" s="758"/>
      <c r="BE651" s="758"/>
      <c r="BF651" s="758"/>
      <c r="BG651" s="758"/>
      <c r="BH651" s="758"/>
      <c r="BI651" s="758"/>
      <c r="BJ651" s="758"/>
      <c r="BK651" s="758"/>
      <c r="BL651" s="518">
        <f>SUM(AZ651,BA651,BB651,BC651,BD651,BE651,BF651,BG651,BH651,BI651,BJ651,BK651)</f>
        <v>0</v>
      </c>
      <c r="BN651" s="873"/>
      <c r="BO651" s="771">
        <v>3000000</v>
      </c>
      <c r="BP651" s="771">
        <v>3000000</v>
      </c>
      <c r="BQ651" s="771">
        <v>3000000</v>
      </c>
      <c r="BR651" s="771">
        <v>3000000</v>
      </c>
      <c r="BS651" s="771">
        <v>3000000</v>
      </c>
      <c r="BT651" s="771">
        <v>3000000</v>
      </c>
      <c r="BU651" s="771">
        <v>3000000</v>
      </c>
      <c r="BV651" s="771">
        <v>3000000</v>
      </c>
      <c r="BW651" s="771">
        <v>3000000</v>
      </c>
      <c r="BX651" s="771">
        <v>3000000</v>
      </c>
      <c r="BY651" s="771">
        <v>3000000</v>
      </c>
      <c r="BZ651" s="791">
        <v>33000000</v>
      </c>
      <c r="CB651" s="873"/>
      <c r="CC651" s="771">
        <v>3000000</v>
      </c>
      <c r="CD651" s="771">
        <v>3000000</v>
      </c>
      <c r="CE651" s="771">
        <v>3000000</v>
      </c>
      <c r="CF651" s="771">
        <v>3000000</v>
      </c>
      <c r="CG651" s="771">
        <v>3000000</v>
      </c>
      <c r="CH651" s="771">
        <v>3000000</v>
      </c>
      <c r="CI651" s="771">
        <v>3000000</v>
      </c>
      <c r="CJ651" s="771">
        <v>3000000</v>
      </c>
      <c r="CK651" s="771">
        <v>3000000</v>
      </c>
      <c r="CL651" s="771">
        <v>3000000</v>
      </c>
      <c r="CM651" s="771">
        <v>3000000</v>
      </c>
      <c r="CN651" s="791">
        <v>33000000</v>
      </c>
      <c r="CO651" s="37"/>
      <c r="CP651" s="661"/>
      <c r="CQ651" s="661"/>
      <c r="CR651" s="615"/>
      <c r="CS651" s="661"/>
      <c r="CT651" s="615"/>
      <c r="CU651" s="661"/>
      <c r="CV651" s="615"/>
      <c r="CW651" s="661"/>
      <c r="CX651" s="615"/>
      <c r="CY651" s="661"/>
      <c r="CZ651" s="615"/>
      <c r="DA651" s="661"/>
      <c r="DB651" s="615"/>
      <c r="DC651" s="661">
        <v>0</v>
      </c>
      <c r="DD651" s="615"/>
      <c r="DE651" s="771"/>
      <c r="DF651" s="615"/>
      <c r="DG651" s="770"/>
      <c r="DH651" s="771"/>
      <c r="DI651" s="615"/>
      <c r="DJ651" s="770"/>
      <c r="DK651" s="771"/>
      <c r="DL651" s="615"/>
      <c r="DM651" s="770"/>
      <c r="DN651" s="771"/>
      <c r="DO651" s="615"/>
      <c r="DP651" s="770"/>
      <c r="DQ651" s="493">
        <f t="shared" si="378"/>
        <v>0</v>
      </c>
      <c r="DR651" s="479">
        <f>SUM(CP651,CQ651,CS651,CU651,CX651,CZ651,DB651,DD651,DG651,DJ651,DM651,DP651)</f>
        <v>0</v>
      </c>
      <c r="DS651" s="1023"/>
      <c r="DT651" s="1023"/>
      <c r="DU651" s="1023"/>
      <c r="DV651" s="1023"/>
      <c r="DW651" s="1023"/>
      <c r="DX651" s="1023"/>
      <c r="DY651" s="1023"/>
      <c r="DZ651" s="1023"/>
      <c r="EA651" s="1023"/>
      <c r="EB651" s="1023"/>
      <c r="EC651" s="1023"/>
      <c r="ED651" s="1023"/>
      <c r="EE651" s="1119">
        <f>SUM(DS651,DT651,DU651,DV651,DW651,DX651,DY651,DZ651,EA651,EB651,EC651,ED651)</f>
        <v>0</v>
      </c>
      <c r="EF651" s="443">
        <f>EE651*1.17</f>
        <v>0</v>
      </c>
      <c r="EG651" s="443">
        <v>52000000</v>
      </c>
      <c r="EH651" s="443">
        <v>57000000</v>
      </c>
      <c r="EI651" s="443">
        <v>57000000</v>
      </c>
      <c r="EJ651" s="367">
        <v>3000019640</v>
      </c>
      <c r="EL651" s="177"/>
      <c r="EM651" s="177"/>
      <c r="EN651" s="177"/>
    </row>
    <row r="652" spans="1:144" outlineLevel="2">
      <c r="A652" s="367" t="s">
        <v>159</v>
      </c>
      <c r="B652" s="378"/>
      <c r="C652" s="370" t="s">
        <v>688</v>
      </c>
      <c r="D652" s="297" t="s">
        <v>121</v>
      </c>
      <c r="E652" s="379" t="s">
        <v>866</v>
      </c>
      <c r="F652" s="380">
        <v>3000009257</v>
      </c>
      <c r="G652" s="189"/>
      <c r="H652" s="13"/>
      <c r="I652" s="185"/>
      <c r="J652" s="185"/>
      <c r="K652" s="185"/>
      <c r="L652" s="185"/>
      <c r="M652" s="185"/>
      <c r="N652" s="185"/>
      <c r="O652" s="7"/>
      <c r="P652" s="7"/>
      <c r="Q652" s="7"/>
      <c r="R652" s="7"/>
      <c r="S652" s="14">
        <f>SUM(G652,H652,I652,J652,K652,L652,M652,N652,O652,P652,Q652,R652)</f>
        <v>0</v>
      </c>
      <c r="T652" s="179"/>
      <c r="U652" s="189"/>
      <c r="V652" s="13"/>
      <c r="W652" s="185"/>
      <c r="X652" s="185"/>
      <c r="Y652" s="185"/>
      <c r="Z652" s="185"/>
      <c r="AA652" s="185"/>
      <c r="AB652" s="185"/>
      <c r="AC652" s="7"/>
      <c r="AD652" s="7"/>
      <c r="AE652" s="7"/>
      <c r="AF652" s="7"/>
      <c r="AG652" s="759">
        <f>SUM(U652,V652,W652,X652,Y652,Z652,AA652,AB652,AC652,AD652,AE652,AF652)</f>
        <v>0</v>
      </c>
      <c r="AH652" s="788"/>
      <c r="AI652" s="189"/>
      <c r="AJ652" s="810"/>
      <c r="AK652" s="758"/>
      <c r="AL652" s="758">
        <v>0</v>
      </c>
      <c r="AM652" s="758"/>
      <c r="AN652" s="758"/>
      <c r="AO652" s="758"/>
      <c r="AP652" s="758"/>
      <c r="AQ652" s="518">
        <v>0</v>
      </c>
      <c r="AR652" s="518"/>
      <c r="AS652" s="518"/>
      <c r="AT652" s="518"/>
      <c r="AU652" s="518">
        <f>BI652</f>
        <v>0</v>
      </c>
      <c r="AV652" s="518">
        <f>BJ652</f>
        <v>0</v>
      </c>
      <c r="AW652" s="518">
        <f>BK652</f>
        <v>0</v>
      </c>
      <c r="AX652" s="518">
        <f>SUM(AI652,AJ652,AK652,AL652,AM652,AN652,AO652,AP652,AQ652,AR652,AS652,AT652)</f>
        <v>0</v>
      </c>
      <c r="AY652" s="788"/>
      <c r="AZ652" s="189"/>
      <c r="BA652" s="810"/>
      <c r="BB652" s="758"/>
      <c r="BC652" s="758">
        <v>0</v>
      </c>
      <c r="BD652" s="758"/>
      <c r="BE652" s="758"/>
      <c r="BF652" s="758"/>
      <c r="BG652" s="518">
        <f>AP652</f>
        <v>0</v>
      </c>
      <c r="BH652" s="758">
        <v>0</v>
      </c>
      <c r="BI652" s="758">
        <v>0</v>
      </c>
      <c r="BJ652" s="758">
        <v>0</v>
      </c>
      <c r="BK652" s="758">
        <v>0</v>
      </c>
      <c r="BL652" s="759">
        <f>SUM(AZ652,BA652,BB652,BC652,BD652,BE652,BF652,BG652,BH652,BI652,BJ652,BK652)</f>
        <v>0</v>
      </c>
      <c r="BN652" s="772">
        <v>20000000</v>
      </c>
      <c r="BO652" s="769">
        <v>20000000</v>
      </c>
      <c r="BP652" s="769">
        <v>20000000</v>
      </c>
      <c r="BQ652" s="769">
        <v>20000000</v>
      </c>
      <c r="BR652" s="769">
        <v>20000000</v>
      </c>
      <c r="BS652" s="769">
        <v>20000000</v>
      </c>
      <c r="BT652" s="769">
        <v>20000000</v>
      </c>
      <c r="BU652" s="769">
        <v>30000000</v>
      </c>
      <c r="BV652" s="769">
        <v>30000000</v>
      </c>
      <c r="BW652" s="769">
        <v>30000000</v>
      </c>
      <c r="BX652" s="769">
        <v>30000000</v>
      </c>
      <c r="BY652" s="769">
        <v>30000000</v>
      </c>
      <c r="BZ652" s="791">
        <v>290000000</v>
      </c>
      <c r="CB652" s="772">
        <v>20000000</v>
      </c>
      <c r="CC652" s="769">
        <v>20000000</v>
      </c>
      <c r="CD652" s="769">
        <v>20000000</v>
      </c>
      <c r="CE652" s="769">
        <v>20000000</v>
      </c>
      <c r="CF652" s="769">
        <v>20000000</v>
      </c>
      <c r="CG652" s="769">
        <v>20000000</v>
      </c>
      <c r="CH652" s="769">
        <v>20000000</v>
      </c>
      <c r="CI652" s="769">
        <v>30000000</v>
      </c>
      <c r="CJ652" s="769">
        <v>30000000</v>
      </c>
      <c r="CK652" s="769">
        <v>30000000</v>
      </c>
      <c r="CL652" s="769">
        <v>30000000</v>
      </c>
      <c r="CM652" s="769">
        <v>30000000</v>
      </c>
      <c r="CN652" s="791">
        <v>290000000</v>
      </c>
      <c r="CO652" s="37"/>
      <c r="CP652" s="660"/>
      <c r="CQ652" s="660"/>
      <c r="CR652" s="614"/>
      <c r="CS652" s="660"/>
      <c r="CT652" s="614"/>
      <c r="CU652" s="660"/>
      <c r="CV652" s="614"/>
      <c r="CW652" s="660"/>
      <c r="CX652" s="614"/>
      <c r="CY652" s="660"/>
      <c r="CZ652" s="614"/>
      <c r="DA652" s="660"/>
      <c r="DB652" s="614"/>
      <c r="DC652" s="660">
        <v>0</v>
      </c>
      <c r="DD652" s="614"/>
      <c r="DE652" s="769"/>
      <c r="DF652" s="614"/>
      <c r="DG652" s="768"/>
      <c r="DH652" s="769"/>
      <c r="DI652" s="614"/>
      <c r="DJ652" s="768"/>
      <c r="DK652" s="769"/>
      <c r="DL652" s="614"/>
      <c r="DM652" s="768"/>
      <c r="DN652" s="769"/>
      <c r="DO652" s="614"/>
      <c r="DP652" s="768"/>
      <c r="DQ652" s="493">
        <f t="shared" si="378"/>
        <v>0</v>
      </c>
      <c r="DR652" s="479">
        <f>SUM(CP652,CQ652,CS652,CU652,CX652,CZ652,DB652,DD652,DG652,DJ652,DM652,DP652)</f>
        <v>0</v>
      </c>
      <c r="DS652" s="1023"/>
      <c r="DT652" s="1023"/>
      <c r="DU652" s="1023"/>
      <c r="DV652" s="1023"/>
      <c r="DW652" s="1023"/>
      <c r="DX652" s="1023"/>
      <c r="DY652" s="1023"/>
      <c r="DZ652" s="1023"/>
      <c r="EA652" s="1023"/>
      <c r="EB652" s="1023"/>
      <c r="EC652" s="1023"/>
      <c r="ED652" s="1023"/>
      <c r="EE652" s="1119">
        <f>SUM(DS652,DT652,DU652,DV652,DW652,DX652,DY652,DZ652,EA652,EB652,EC652,ED652)</f>
        <v>0</v>
      </c>
      <c r="EF652" s="443">
        <v>407140000</v>
      </c>
      <c r="EG652" s="443">
        <v>441000000</v>
      </c>
      <c r="EH652" s="443">
        <v>545000000</v>
      </c>
      <c r="EI652" s="443">
        <v>545000000</v>
      </c>
      <c r="EJ652" s="367">
        <v>3000009257</v>
      </c>
      <c r="EL652" s="177"/>
      <c r="EM652" s="177"/>
      <c r="EN652" s="177"/>
    </row>
    <row r="653" spans="1:144" outlineLevel="2">
      <c r="A653" s="367" t="s">
        <v>159</v>
      </c>
      <c r="B653" s="378"/>
      <c r="C653" s="370" t="s">
        <v>688</v>
      </c>
      <c r="D653" s="297" t="s">
        <v>121</v>
      </c>
      <c r="E653" s="383" t="s">
        <v>176</v>
      </c>
      <c r="F653" s="380">
        <v>3000006166</v>
      </c>
      <c r="G653" s="189"/>
      <c r="H653" s="13"/>
      <c r="I653" s="185"/>
      <c r="J653" s="185"/>
      <c r="K653" s="185"/>
      <c r="L653" s="185"/>
      <c r="M653" s="185"/>
      <c r="N653" s="185"/>
      <c r="O653" s="185"/>
      <c r="P653" s="185"/>
      <c r="Q653" s="185"/>
      <c r="R653" s="185"/>
      <c r="S653" s="14"/>
      <c r="T653" s="179"/>
      <c r="U653" s="189"/>
      <c r="V653" s="13"/>
      <c r="W653" s="185"/>
      <c r="X653" s="185"/>
      <c r="Y653" s="185"/>
      <c r="Z653" s="185"/>
      <c r="AA653" s="185"/>
      <c r="AB653" s="185"/>
      <c r="AC653" s="185"/>
      <c r="AD653" s="185"/>
      <c r="AE653" s="185"/>
      <c r="AF653" s="185"/>
      <c r="AG653" s="759"/>
      <c r="AH653" s="788"/>
      <c r="AI653" s="189"/>
      <c r="AJ653" s="810"/>
      <c r="AK653" s="758"/>
      <c r="AL653" s="758"/>
      <c r="AM653" s="758"/>
      <c r="AN653" s="758"/>
      <c r="AO653" s="758"/>
      <c r="AP653" s="758"/>
      <c r="AQ653" s="518"/>
      <c r="AR653" s="518"/>
      <c r="AS653" s="518"/>
      <c r="AT653" s="518"/>
      <c r="AU653" s="758"/>
      <c r="AV653" s="758"/>
      <c r="AW653" s="758"/>
      <c r="AX653" s="518">
        <f>SUM(AI653,AJ653,AK653,AL653,AM653,AN653,AO653,AP653,AQ653,AR653,AS653,AT653)</f>
        <v>0</v>
      </c>
      <c r="AY653" s="788"/>
      <c r="AZ653" s="189"/>
      <c r="BA653" s="810"/>
      <c r="BB653" s="758"/>
      <c r="BC653" s="758"/>
      <c r="BD653" s="758"/>
      <c r="BE653" s="758"/>
      <c r="BF653" s="758"/>
      <c r="BG653" s="758"/>
      <c r="BH653" s="758"/>
      <c r="BI653" s="758"/>
      <c r="BJ653" s="758"/>
      <c r="BK653" s="758"/>
      <c r="BL653" s="518"/>
      <c r="BN653" s="615">
        <v>0</v>
      </c>
      <c r="BO653" s="771">
        <v>0</v>
      </c>
      <c r="BP653" s="771">
        <v>0</v>
      </c>
      <c r="BQ653" s="771"/>
      <c r="BR653" s="771">
        <v>11187000</v>
      </c>
      <c r="BS653" s="771">
        <v>11187000</v>
      </c>
      <c r="BT653" s="771">
        <v>11187000</v>
      </c>
      <c r="BU653" s="771">
        <v>11187000</v>
      </c>
      <c r="BV653" s="771">
        <v>11187000</v>
      </c>
      <c r="BW653" s="771">
        <v>11187000</v>
      </c>
      <c r="BX653" s="771">
        <v>11187000</v>
      </c>
      <c r="BY653" s="771">
        <v>11187000</v>
      </c>
      <c r="BZ653" s="791">
        <v>89496000</v>
      </c>
      <c r="CB653" s="615">
        <v>0</v>
      </c>
      <c r="CC653" s="771">
        <v>0</v>
      </c>
      <c r="CD653" s="771">
        <v>0</v>
      </c>
      <c r="CE653" s="771"/>
      <c r="CF653" s="771">
        <v>11187000</v>
      </c>
      <c r="CG653" s="771">
        <v>11187000</v>
      </c>
      <c r="CH653" s="771">
        <v>11187000</v>
      </c>
      <c r="CI653" s="771">
        <v>11187000</v>
      </c>
      <c r="CJ653" s="771">
        <v>11187000</v>
      </c>
      <c r="CK653" s="771">
        <v>11187000</v>
      </c>
      <c r="CL653" s="771">
        <v>11187000</v>
      </c>
      <c r="CM653" s="771">
        <v>11187000</v>
      </c>
      <c r="CN653" s="791">
        <v>89496000</v>
      </c>
      <c r="CO653" s="37"/>
      <c r="CP653" s="661"/>
      <c r="CQ653" s="661"/>
      <c r="CR653" s="615"/>
      <c r="CS653" s="661"/>
      <c r="CT653" s="615"/>
      <c r="CU653" s="661"/>
      <c r="CV653" s="615"/>
      <c r="CW653" s="661"/>
      <c r="CX653" s="615"/>
      <c r="CY653" s="661"/>
      <c r="CZ653" s="615"/>
      <c r="DA653" s="661"/>
      <c r="DB653" s="615"/>
      <c r="DC653" s="661">
        <v>0</v>
      </c>
      <c r="DD653" s="615"/>
      <c r="DE653" s="771"/>
      <c r="DF653" s="615"/>
      <c r="DG653" s="770"/>
      <c r="DH653" s="771"/>
      <c r="DI653" s="615"/>
      <c r="DJ653" s="770"/>
      <c r="DK653" s="771"/>
      <c r="DL653" s="615"/>
      <c r="DM653" s="770"/>
      <c r="DN653" s="771"/>
      <c r="DO653" s="615"/>
      <c r="DP653" s="770"/>
      <c r="DQ653" s="493">
        <f t="shared" si="378"/>
        <v>0</v>
      </c>
      <c r="DR653" s="479">
        <f>SUM(CP653,CQ653,CS653,CU653,CX653,CZ653,DB653,DD653,DG653,DJ653,DM653,DP653)</f>
        <v>0</v>
      </c>
      <c r="DS653" s="1023"/>
      <c r="DT653" s="1023"/>
      <c r="DU653" s="1023"/>
      <c r="DV653" s="1023"/>
      <c r="DW653" s="1023"/>
      <c r="DX653" s="1023"/>
      <c r="DY653" s="1023"/>
      <c r="DZ653" s="1023"/>
      <c r="EA653" s="1023"/>
      <c r="EB653" s="1023"/>
      <c r="EC653" s="1023"/>
      <c r="ED653" s="1023"/>
      <c r="EE653" s="1119">
        <f>SUM(DS653,DT653,DU653,DV653,DW653,DX653,DY653,DZ653,EA653,EB653,EC653,ED653)</f>
        <v>0</v>
      </c>
      <c r="EF653" s="443">
        <v>125000000</v>
      </c>
      <c r="EG653" s="443">
        <v>136000000</v>
      </c>
      <c r="EH653" s="443">
        <v>147000000</v>
      </c>
      <c r="EI653" s="443">
        <v>147000000</v>
      </c>
      <c r="EJ653" s="367">
        <v>3000006166</v>
      </c>
      <c r="EL653" s="177"/>
      <c r="EM653" s="177"/>
      <c r="EN653" s="177"/>
    </row>
    <row r="654" spans="1:144" outlineLevel="2">
      <c r="B654" s="378"/>
      <c r="E654" s="403"/>
      <c r="F654" s="380"/>
      <c r="G654" s="189"/>
      <c r="H654" s="1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14"/>
      <c r="T654" s="179"/>
      <c r="U654" s="189"/>
      <c r="V654" s="13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759"/>
      <c r="AH654" s="788"/>
      <c r="AI654" s="189"/>
      <c r="AJ654" s="810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759"/>
      <c r="AY654" s="788"/>
      <c r="AZ654" s="189"/>
      <c r="BA654" s="810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759"/>
      <c r="BN654" s="189"/>
      <c r="BO654" s="810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496"/>
      <c r="CB654" s="189"/>
      <c r="CC654" s="810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759"/>
      <c r="CO654" s="37"/>
      <c r="CP654" s="658"/>
      <c r="CQ654" s="658"/>
      <c r="CR654" s="189"/>
      <c r="CS654" s="658"/>
      <c r="CT654" s="189"/>
      <c r="CU654" s="658"/>
      <c r="CV654" s="189"/>
      <c r="CW654" s="658"/>
      <c r="CX654" s="189"/>
      <c r="CY654" s="658"/>
      <c r="CZ654" s="189"/>
      <c r="DA654" s="658"/>
      <c r="DB654" s="189"/>
      <c r="DC654" s="658"/>
      <c r="DD654" s="189"/>
      <c r="DE654" s="6"/>
      <c r="DF654" s="189"/>
      <c r="DG654" s="752"/>
      <c r="DH654" s="6"/>
      <c r="DI654" s="189"/>
      <c r="DJ654" s="752"/>
      <c r="DK654" s="6"/>
      <c r="DL654" s="189"/>
      <c r="DM654" s="752"/>
      <c r="DN654" s="6"/>
      <c r="DO654" s="189"/>
      <c r="DP654" s="752"/>
      <c r="DQ654" s="496"/>
      <c r="DR654" s="479"/>
      <c r="DS654" s="1020"/>
      <c r="DT654" s="1020"/>
      <c r="DU654" s="1020"/>
      <c r="DV654" s="1020"/>
      <c r="DW654" s="1020"/>
      <c r="DX654" s="1020"/>
      <c r="DY654" s="1020"/>
      <c r="DZ654" s="1020"/>
      <c r="EA654" s="1020"/>
      <c r="EB654" s="1020"/>
      <c r="EC654" s="1020"/>
      <c r="ED654" s="1020"/>
      <c r="EE654" s="1119">
        <f>SUM(DS654,DT654,DU654,DV654,DW654,DX654,DY654,DZ654,EA654,EB654,EC654,ED654)</f>
        <v>0</v>
      </c>
      <c r="EF654" s="447"/>
      <c r="EG654" s="447"/>
      <c r="EH654" s="447"/>
      <c r="EI654" s="447"/>
      <c r="EJ654" s="367" t="e">
        <v>#N/A</v>
      </c>
      <c r="EL654" s="177"/>
      <c r="EM654" s="177"/>
      <c r="EN654" s="177"/>
    </row>
    <row r="655" spans="1:144" ht="15" outlineLevel="1" thickBot="1">
      <c r="B655" s="378"/>
      <c r="E655" s="432" t="s">
        <v>867</v>
      </c>
      <c r="F655" s="380"/>
      <c r="G655" s="35">
        <f t="shared" ref="G655:S655" si="388">SUM(G629:G654)</f>
        <v>0</v>
      </c>
      <c r="H655" s="33">
        <f t="shared" si="388"/>
        <v>0</v>
      </c>
      <c r="I655" s="35">
        <f t="shared" si="388"/>
        <v>0</v>
      </c>
      <c r="J655" s="35">
        <f t="shared" si="388"/>
        <v>0</v>
      </c>
      <c r="K655" s="35">
        <f t="shared" si="388"/>
        <v>0</v>
      </c>
      <c r="L655" s="35">
        <f t="shared" si="388"/>
        <v>0</v>
      </c>
      <c r="M655" s="35">
        <f t="shared" si="388"/>
        <v>0</v>
      </c>
      <c r="N655" s="35">
        <f t="shared" si="388"/>
        <v>0</v>
      </c>
      <c r="O655" s="35">
        <f t="shared" si="388"/>
        <v>0</v>
      </c>
      <c r="P655" s="35">
        <f t="shared" si="388"/>
        <v>0</v>
      </c>
      <c r="Q655" s="35">
        <f t="shared" si="388"/>
        <v>0</v>
      </c>
      <c r="R655" s="35">
        <f t="shared" si="388"/>
        <v>0</v>
      </c>
      <c r="S655" s="35">
        <f t="shared" si="388"/>
        <v>0</v>
      </c>
      <c r="T655" s="36"/>
      <c r="U655" s="35">
        <f t="shared" ref="U655:AG655" si="389">SUM(U629:U654)</f>
        <v>0</v>
      </c>
      <c r="V655" s="33">
        <f t="shared" si="389"/>
        <v>0</v>
      </c>
      <c r="W655" s="35">
        <f t="shared" si="389"/>
        <v>0</v>
      </c>
      <c r="X655" s="35">
        <f t="shared" si="389"/>
        <v>0</v>
      </c>
      <c r="Y655" s="35">
        <f t="shared" si="389"/>
        <v>0</v>
      </c>
      <c r="Z655" s="35">
        <f t="shared" si="389"/>
        <v>0</v>
      </c>
      <c r="AA655" s="35">
        <f t="shared" si="389"/>
        <v>0</v>
      </c>
      <c r="AB655" s="35">
        <f t="shared" si="389"/>
        <v>0</v>
      </c>
      <c r="AC655" s="35">
        <f t="shared" si="389"/>
        <v>0</v>
      </c>
      <c r="AD655" s="35">
        <f t="shared" si="389"/>
        <v>0</v>
      </c>
      <c r="AE655" s="35">
        <f t="shared" si="389"/>
        <v>0</v>
      </c>
      <c r="AF655" s="35">
        <f t="shared" si="389"/>
        <v>0</v>
      </c>
      <c r="AG655" s="35">
        <f t="shared" si="389"/>
        <v>0</v>
      </c>
      <c r="AH655" s="36"/>
      <c r="AI655" s="35">
        <f t="shared" ref="AI655:AX655" si="390">SUM(AI629:AI654)</f>
        <v>23797000</v>
      </c>
      <c r="AJ655" s="870">
        <f t="shared" si="390"/>
        <v>213111197</v>
      </c>
      <c r="AK655" s="35">
        <f t="shared" si="390"/>
        <v>95529666</v>
      </c>
      <c r="AL655" s="35">
        <f t="shared" si="390"/>
        <v>103756645</v>
      </c>
      <c r="AM655" s="35">
        <f t="shared" si="390"/>
        <v>90511600</v>
      </c>
      <c r="AN655" s="35">
        <f t="shared" si="390"/>
        <v>162194865</v>
      </c>
      <c r="AO655" s="35">
        <f t="shared" si="390"/>
        <v>90458000</v>
      </c>
      <c r="AP655" s="35">
        <f t="shared" si="390"/>
        <v>359642022</v>
      </c>
      <c r="AQ655" s="35">
        <f t="shared" si="390"/>
        <v>125626266</v>
      </c>
      <c r="AR655" s="35">
        <f t="shared" si="390"/>
        <v>162683026</v>
      </c>
      <c r="AS655" s="35">
        <f t="shared" si="390"/>
        <v>164876264</v>
      </c>
      <c r="AT655" s="35">
        <f t="shared" si="390"/>
        <v>193876000</v>
      </c>
      <c r="AU655" s="35">
        <f t="shared" si="390"/>
        <v>154000000</v>
      </c>
      <c r="AV655" s="35">
        <f t="shared" si="390"/>
        <v>154000000</v>
      </c>
      <c r="AW655" s="35">
        <f t="shared" si="390"/>
        <v>120000000</v>
      </c>
      <c r="AX655" s="35">
        <f t="shared" si="390"/>
        <v>1786062551</v>
      </c>
      <c r="AY655" s="36"/>
      <c r="AZ655" s="35">
        <f t="shared" ref="AZ655:BL655" si="391">SUM(AZ629:AZ654)</f>
        <v>23797000</v>
      </c>
      <c r="BA655" s="870">
        <f t="shared" si="391"/>
        <v>213111197</v>
      </c>
      <c r="BB655" s="35">
        <f t="shared" si="391"/>
        <v>95529666</v>
      </c>
      <c r="BC655" s="35">
        <f t="shared" si="391"/>
        <v>103756645</v>
      </c>
      <c r="BD655" s="35">
        <f t="shared" si="391"/>
        <v>90511600</v>
      </c>
      <c r="BE655" s="35">
        <f t="shared" si="391"/>
        <v>162194865</v>
      </c>
      <c r="BF655" s="35">
        <f t="shared" si="391"/>
        <v>90458000</v>
      </c>
      <c r="BG655" s="35">
        <f t="shared" si="391"/>
        <v>359642022</v>
      </c>
      <c r="BH655" s="35">
        <f t="shared" si="391"/>
        <v>154000000</v>
      </c>
      <c r="BI655" s="35">
        <f t="shared" si="391"/>
        <v>154000000</v>
      </c>
      <c r="BJ655" s="35">
        <f t="shared" si="391"/>
        <v>154000000</v>
      </c>
      <c r="BK655" s="35">
        <f t="shared" si="391"/>
        <v>120000000</v>
      </c>
      <c r="BL655" s="35">
        <f t="shared" si="391"/>
        <v>1721000995</v>
      </c>
      <c r="BN655" s="481">
        <f t="shared" ref="BN655:BZ655" si="392">BN628+BN642+BN650</f>
        <v>134000000</v>
      </c>
      <c r="BO655" s="481">
        <f t="shared" si="392"/>
        <v>146000000</v>
      </c>
      <c r="BP655" s="481">
        <f t="shared" si="392"/>
        <v>147000000</v>
      </c>
      <c r="BQ655" s="481">
        <f t="shared" si="392"/>
        <v>196000000</v>
      </c>
      <c r="BR655" s="481">
        <f t="shared" si="392"/>
        <v>145187000</v>
      </c>
      <c r="BS655" s="481">
        <f t="shared" si="392"/>
        <v>158187000</v>
      </c>
      <c r="BT655" s="481">
        <f t="shared" si="392"/>
        <v>208187000</v>
      </c>
      <c r="BU655" s="481">
        <f t="shared" si="392"/>
        <v>187187000</v>
      </c>
      <c r="BV655" s="481">
        <f t="shared" si="392"/>
        <v>178187000</v>
      </c>
      <c r="BW655" s="481">
        <f t="shared" si="392"/>
        <v>247187000</v>
      </c>
      <c r="BX655" s="481">
        <f t="shared" si="392"/>
        <v>208187000</v>
      </c>
      <c r="BY655" s="481">
        <f t="shared" si="392"/>
        <v>147187000</v>
      </c>
      <c r="BZ655" s="481">
        <f t="shared" si="392"/>
        <v>2102496000</v>
      </c>
      <c r="CB655" s="35">
        <f t="shared" ref="CB655:CM655" si="393">SUM(CB629:CB654)</f>
        <v>134000000</v>
      </c>
      <c r="CC655" s="870">
        <f t="shared" si="393"/>
        <v>146000000</v>
      </c>
      <c r="CD655" s="35">
        <f t="shared" si="393"/>
        <v>147000000</v>
      </c>
      <c r="CE655" s="35">
        <f t="shared" si="393"/>
        <v>196000000</v>
      </c>
      <c r="CF655" s="35">
        <f t="shared" si="393"/>
        <v>145187000</v>
      </c>
      <c r="CG655" s="35">
        <f t="shared" si="393"/>
        <v>158187000</v>
      </c>
      <c r="CH655" s="35">
        <f t="shared" si="393"/>
        <v>208187000</v>
      </c>
      <c r="CI655" s="35">
        <f t="shared" si="393"/>
        <v>187187000</v>
      </c>
      <c r="CJ655" s="35">
        <f t="shared" si="393"/>
        <v>178187000</v>
      </c>
      <c r="CK655" s="35">
        <f t="shared" si="393"/>
        <v>247187000</v>
      </c>
      <c r="CL655" s="35">
        <f t="shared" si="393"/>
        <v>208187000</v>
      </c>
      <c r="CM655" s="35">
        <f t="shared" si="393"/>
        <v>147187000</v>
      </c>
      <c r="CN655" s="35">
        <v>2102496000</v>
      </c>
      <c r="CO655" s="37"/>
      <c r="CP655" s="481">
        <f>CP628+CP642+CP650</f>
        <v>145025550</v>
      </c>
      <c r="CQ655" s="481">
        <f t="shared" ref="CQ655:DR655" si="394">CQ628+CQ642+CQ650</f>
        <v>196586616</v>
      </c>
      <c r="CR655" s="481">
        <f t="shared" si="394"/>
        <v>196000000</v>
      </c>
      <c r="CS655" s="481">
        <f t="shared" si="394"/>
        <v>291447921</v>
      </c>
      <c r="CT655" s="481">
        <f t="shared" si="394"/>
        <v>223000000</v>
      </c>
      <c r="CU655" s="481">
        <f t="shared" si="394"/>
        <v>355490986</v>
      </c>
      <c r="CV655" s="481">
        <f t="shared" si="394"/>
        <v>312000000</v>
      </c>
      <c r="CW655" s="481">
        <f t="shared" si="394"/>
        <v>280685340</v>
      </c>
      <c r="CX655" s="481">
        <f t="shared" si="394"/>
        <v>408977986</v>
      </c>
      <c r="CY655" s="481">
        <f t="shared" si="394"/>
        <v>356585869</v>
      </c>
      <c r="CZ655" s="481">
        <f t="shared" si="394"/>
        <v>441797246</v>
      </c>
      <c r="DA655" s="481">
        <f t="shared" si="394"/>
        <v>410278983</v>
      </c>
      <c r="DB655" s="481">
        <f t="shared" si="394"/>
        <v>458000000</v>
      </c>
      <c r="DC655" s="481">
        <f t="shared" si="394"/>
        <v>354919843</v>
      </c>
      <c r="DD655" s="481">
        <f t="shared" si="394"/>
        <v>458000000</v>
      </c>
      <c r="DE655" s="481">
        <f t="shared" si="394"/>
        <v>0</v>
      </c>
      <c r="DF655" s="481">
        <f>DF628+DF642+DF650</f>
        <v>0</v>
      </c>
      <c r="DG655" s="481">
        <f t="shared" si="394"/>
        <v>418000000</v>
      </c>
      <c r="DH655" s="481">
        <f t="shared" si="394"/>
        <v>0</v>
      </c>
      <c r="DI655" s="481">
        <f>DI628+DI642+DI650</f>
        <v>0</v>
      </c>
      <c r="DJ655" s="481">
        <f t="shared" si="394"/>
        <v>418000000</v>
      </c>
      <c r="DK655" s="481">
        <f t="shared" si="394"/>
        <v>0</v>
      </c>
      <c r="DL655" s="481">
        <f>DL628+DL642+DL650</f>
        <v>0</v>
      </c>
      <c r="DM655" s="481">
        <f>DM628+DM642+DM650</f>
        <v>418000000</v>
      </c>
      <c r="DN655" s="481">
        <f t="shared" si="394"/>
        <v>0</v>
      </c>
      <c r="DO655" s="481">
        <f>DO628+DO642+DO650</f>
        <v>0</v>
      </c>
      <c r="DP655" s="481">
        <f t="shared" si="394"/>
        <v>418000000</v>
      </c>
      <c r="DQ655" s="481">
        <f t="shared" si="394"/>
        <v>2391021108</v>
      </c>
      <c r="DR655" s="481">
        <f t="shared" si="394"/>
        <v>4427326305</v>
      </c>
      <c r="DS655" s="1177">
        <f t="shared" ref="DS655:EI655" si="395">DS628+DS642+DS650</f>
        <v>381000000</v>
      </c>
      <c r="DT655" s="1177">
        <f t="shared" si="395"/>
        <v>381000000</v>
      </c>
      <c r="DU655" s="1177">
        <f t="shared" si="395"/>
        <v>381000000</v>
      </c>
      <c r="DV655" s="1177">
        <f t="shared" si="395"/>
        <v>381000000</v>
      </c>
      <c r="DW655" s="1177">
        <f t="shared" si="395"/>
        <v>381000000</v>
      </c>
      <c r="DX655" s="1177">
        <f t="shared" si="395"/>
        <v>381000000</v>
      </c>
      <c r="DY655" s="1177">
        <f t="shared" si="395"/>
        <v>381000000</v>
      </c>
      <c r="DZ655" s="1177">
        <f t="shared" si="395"/>
        <v>431000000</v>
      </c>
      <c r="EA655" s="1177">
        <f t="shared" si="395"/>
        <v>431000000</v>
      </c>
      <c r="EB655" s="1177">
        <f t="shared" si="395"/>
        <v>431000000</v>
      </c>
      <c r="EC655" s="1177">
        <f t="shared" si="395"/>
        <v>431000000</v>
      </c>
      <c r="ED655" s="1177">
        <f t="shared" si="395"/>
        <v>431000000</v>
      </c>
      <c r="EE655" s="1141">
        <f t="shared" si="395"/>
        <v>4822000000</v>
      </c>
      <c r="EF655" s="1024">
        <f t="shared" si="395"/>
        <v>5873720532.8224258</v>
      </c>
      <c r="EG655" s="1024">
        <f t="shared" si="395"/>
        <v>6913511617.4154348</v>
      </c>
      <c r="EH655" s="1024">
        <f t="shared" si="395"/>
        <v>7524805126.4661484</v>
      </c>
      <c r="EI655" s="1024">
        <f t="shared" si="395"/>
        <v>8005775451.3314266</v>
      </c>
      <c r="EJ655" s="367" t="e">
        <v>#N/A</v>
      </c>
      <c r="EL655" s="177"/>
      <c r="EM655" s="177"/>
      <c r="EN655" s="177"/>
    </row>
    <row r="656" spans="1:144" ht="15.5" outlineLevel="1" thickTop="1" thickBot="1">
      <c r="B656" s="378"/>
      <c r="E656" s="403"/>
      <c r="F656" s="380"/>
      <c r="G656" s="189"/>
      <c r="H656" s="1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14"/>
      <c r="T656" s="179"/>
      <c r="U656" s="189"/>
      <c r="V656" s="13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759"/>
      <c r="AH656" s="788"/>
      <c r="AI656" s="189"/>
      <c r="AJ656" s="810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759"/>
      <c r="AY656" s="788"/>
      <c r="AZ656" s="189"/>
      <c r="BA656" s="810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759"/>
      <c r="BN656" s="189"/>
      <c r="BO656" s="810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496"/>
      <c r="CB656" s="189"/>
      <c r="CC656" s="810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759"/>
      <c r="CO656" s="37"/>
      <c r="CP656" s="189"/>
      <c r="CQ656" s="189"/>
      <c r="CR656" s="189"/>
      <c r="CS656" s="189"/>
      <c r="CT656" s="189"/>
      <c r="CU656" s="189"/>
      <c r="CV656" s="189"/>
      <c r="CW656" s="189"/>
      <c r="CX656" s="189"/>
      <c r="CY656" s="189"/>
      <c r="CZ656" s="189"/>
      <c r="DA656" s="189"/>
      <c r="DB656" s="189"/>
      <c r="DC656" s="189"/>
      <c r="DD656" s="189"/>
      <c r="DE656" s="6"/>
      <c r="DF656" s="189"/>
      <c r="DG656" s="752"/>
      <c r="DH656" s="6"/>
      <c r="DI656" s="189"/>
      <c r="DJ656" s="752"/>
      <c r="DK656" s="6"/>
      <c r="DL656" s="189"/>
      <c r="DM656" s="752"/>
      <c r="DN656" s="6"/>
      <c r="DO656" s="189"/>
      <c r="DP656" s="752"/>
      <c r="DQ656" s="496"/>
      <c r="DR656" s="479"/>
      <c r="DS656" s="1165"/>
      <c r="DT656" s="1165"/>
      <c r="DU656" s="1165"/>
      <c r="DV656" s="1165"/>
      <c r="DW656" s="1165"/>
      <c r="DX656" s="1165"/>
      <c r="DY656" s="1165"/>
      <c r="DZ656" s="1165"/>
      <c r="EA656" s="1165"/>
      <c r="EB656" s="1165"/>
      <c r="EC656" s="1165"/>
      <c r="ED656" s="1165"/>
      <c r="EE656" s="1142"/>
      <c r="EF656" s="461"/>
      <c r="EG656" s="461"/>
      <c r="EH656" s="461"/>
      <c r="EI656" s="461"/>
      <c r="EJ656" s="367" t="e">
        <v>#N/A</v>
      </c>
      <c r="EL656" s="177"/>
      <c r="EM656" s="177"/>
      <c r="EN656" s="177"/>
    </row>
    <row r="657" spans="1:144" ht="15" outlineLevel="1" thickTop="1">
      <c r="B657" s="378"/>
      <c r="E657" s="432" t="s">
        <v>868</v>
      </c>
      <c r="F657" s="380"/>
      <c r="G657" s="189"/>
      <c r="H657" s="1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14"/>
      <c r="T657" s="179"/>
      <c r="U657" s="189"/>
      <c r="V657" s="13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759"/>
      <c r="AH657" s="788"/>
      <c r="AI657" s="189"/>
      <c r="AJ657" s="810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759"/>
      <c r="AY657" s="788"/>
      <c r="AZ657" s="189"/>
      <c r="BA657" s="810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759"/>
      <c r="BN657" s="189"/>
      <c r="BO657" s="810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496"/>
      <c r="CB657" s="189"/>
      <c r="CC657" s="810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759"/>
      <c r="CO657" s="37"/>
      <c r="CP657" s="189"/>
      <c r="CQ657" s="189"/>
      <c r="CR657" s="189"/>
      <c r="CS657" s="189"/>
      <c r="CT657" s="189"/>
      <c r="CU657" s="189"/>
      <c r="CV657" s="189"/>
      <c r="CW657" s="189"/>
      <c r="CX657" s="189"/>
      <c r="CY657" s="189"/>
      <c r="CZ657" s="189"/>
      <c r="DA657" s="189"/>
      <c r="DB657" s="189"/>
      <c r="DC657" s="189"/>
      <c r="DD657" s="189"/>
      <c r="DE657" s="6"/>
      <c r="DF657" s="189"/>
      <c r="DG657" s="752"/>
      <c r="DH657" s="6"/>
      <c r="DI657" s="189"/>
      <c r="DJ657" s="752"/>
      <c r="DK657" s="6"/>
      <c r="DL657" s="189"/>
      <c r="DM657" s="752"/>
      <c r="DN657" s="6"/>
      <c r="DO657" s="189"/>
      <c r="DP657" s="752"/>
      <c r="DQ657" s="496"/>
      <c r="DR657" s="479"/>
      <c r="DS657" s="1165"/>
      <c r="DT657" s="1165"/>
      <c r="DU657" s="1165"/>
      <c r="DV657" s="1165"/>
      <c r="DW657" s="1165"/>
      <c r="DX657" s="1165"/>
      <c r="DY657" s="1165"/>
      <c r="DZ657" s="1165"/>
      <c r="EA657" s="1165"/>
      <c r="EB657" s="1165"/>
      <c r="EC657" s="1165"/>
      <c r="ED657" s="1165"/>
      <c r="EE657" s="1139"/>
      <c r="EF657" s="460"/>
      <c r="EG657" s="460"/>
      <c r="EH657" s="460"/>
      <c r="EI657" s="460"/>
      <c r="EL657" s="177"/>
      <c r="EM657" s="177"/>
      <c r="EN657" s="177"/>
    </row>
    <row r="658" spans="1:144" outlineLevel="1">
      <c r="B658" s="378"/>
      <c r="E658" s="403"/>
      <c r="F658" s="380"/>
      <c r="G658" s="189"/>
      <c r="H658" s="1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14"/>
      <c r="T658" s="179"/>
      <c r="U658" s="189"/>
      <c r="V658" s="13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759"/>
      <c r="AH658" s="788"/>
      <c r="AI658" s="189"/>
      <c r="AJ658" s="810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759"/>
      <c r="AY658" s="788"/>
      <c r="AZ658" s="189"/>
      <c r="BA658" s="810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759"/>
      <c r="BN658" s="189"/>
      <c r="BO658" s="810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496"/>
      <c r="CB658" s="189"/>
      <c r="CC658" s="810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759"/>
      <c r="CO658" s="37"/>
      <c r="CP658" s="189"/>
      <c r="CQ658" s="189"/>
      <c r="CR658" s="189"/>
      <c r="CS658" s="189"/>
      <c r="CT658" s="189"/>
      <c r="CU658" s="189"/>
      <c r="CV658" s="189"/>
      <c r="CW658" s="189"/>
      <c r="CX658" s="189"/>
      <c r="CY658" s="189"/>
      <c r="CZ658" s="189"/>
      <c r="DA658" s="189"/>
      <c r="DB658" s="189"/>
      <c r="DC658" s="189"/>
      <c r="DD658" s="189"/>
      <c r="DE658" s="6"/>
      <c r="DF658" s="189"/>
      <c r="DG658" s="752"/>
      <c r="DH658" s="6"/>
      <c r="DI658" s="189"/>
      <c r="DJ658" s="752"/>
      <c r="DK658" s="6"/>
      <c r="DL658" s="189"/>
      <c r="DM658" s="752"/>
      <c r="DN658" s="6"/>
      <c r="DO658" s="189"/>
      <c r="DP658" s="752"/>
      <c r="DQ658" s="496"/>
      <c r="DR658" s="479"/>
      <c r="DS658" s="1165"/>
      <c r="DT658" s="1165"/>
      <c r="DU658" s="1165"/>
      <c r="DV658" s="1165"/>
      <c r="DW658" s="1165"/>
      <c r="DX658" s="1165"/>
      <c r="DY658" s="1165"/>
      <c r="DZ658" s="1165"/>
      <c r="EA658" s="1165"/>
      <c r="EB658" s="1165"/>
      <c r="EC658" s="1165"/>
      <c r="ED658" s="1165"/>
      <c r="EE658" s="1143"/>
      <c r="EF658" s="447"/>
      <c r="EG658" s="447"/>
      <c r="EH658" s="447"/>
      <c r="EI658" s="447"/>
      <c r="EL658" s="177"/>
      <c r="EM658" s="177"/>
      <c r="EN658" s="177"/>
    </row>
    <row r="659" spans="1:144" outlineLevel="1">
      <c r="B659" s="402" t="s">
        <v>594</v>
      </c>
      <c r="C659" s="368"/>
      <c r="D659" s="368"/>
      <c r="E659" s="403"/>
      <c r="F659" s="380"/>
      <c r="G659" s="189"/>
      <c r="H659" s="1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14"/>
      <c r="T659" s="179"/>
      <c r="U659" s="189"/>
      <c r="V659" s="13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759"/>
      <c r="AH659" s="788"/>
      <c r="AI659" s="189"/>
      <c r="AJ659" s="810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759"/>
      <c r="AY659" s="788"/>
      <c r="AZ659" s="189"/>
      <c r="BA659" s="810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759"/>
      <c r="BN659" s="480">
        <f t="shared" ref="BN659:BZ659" si="396">SUM(BN666:BN723)</f>
        <v>1815000000</v>
      </c>
      <c r="BO659" s="480">
        <f t="shared" si="396"/>
        <v>1795000000</v>
      </c>
      <c r="BP659" s="480">
        <f t="shared" si="396"/>
        <v>1815000000</v>
      </c>
      <c r="BQ659" s="480">
        <f t="shared" si="396"/>
        <v>1827500000</v>
      </c>
      <c r="BR659" s="480">
        <f t="shared" si="396"/>
        <v>1774000000</v>
      </c>
      <c r="BS659" s="480">
        <f t="shared" si="396"/>
        <v>1915000000</v>
      </c>
      <c r="BT659" s="480">
        <f t="shared" si="396"/>
        <v>1940000000</v>
      </c>
      <c r="BU659" s="480">
        <f t="shared" si="396"/>
        <v>1930000000</v>
      </c>
      <c r="BV659" s="480">
        <f t="shared" si="396"/>
        <v>1937500000</v>
      </c>
      <c r="BW659" s="480">
        <f t="shared" si="396"/>
        <v>1922500000</v>
      </c>
      <c r="BX659" s="480">
        <f t="shared" si="396"/>
        <v>1942500000</v>
      </c>
      <c r="BY659" s="480">
        <f t="shared" si="396"/>
        <v>1942500000</v>
      </c>
      <c r="BZ659" s="480">
        <f t="shared" si="396"/>
        <v>22556500000</v>
      </c>
      <c r="CB659" s="189"/>
      <c r="CC659" s="810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759"/>
      <c r="CO659" s="37"/>
      <c r="CP659" s="480">
        <f t="shared" ref="CP659:DP659" si="397">SUM(CP666:CP723)</f>
        <v>1265924780</v>
      </c>
      <c r="CQ659" s="480">
        <f t="shared" si="397"/>
        <v>1196721000</v>
      </c>
      <c r="CR659" s="480">
        <f t="shared" si="397"/>
        <v>1386000000</v>
      </c>
      <c r="CS659" s="480">
        <f t="shared" si="397"/>
        <v>1436633834</v>
      </c>
      <c r="CT659" s="480">
        <f t="shared" si="397"/>
        <v>1274000000</v>
      </c>
      <c r="CU659" s="480">
        <f t="shared" si="397"/>
        <v>473933793</v>
      </c>
      <c r="CV659" s="480">
        <f t="shared" si="397"/>
        <v>1609000000</v>
      </c>
      <c r="CW659" s="480">
        <f t="shared" si="397"/>
        <v>1557331665</v>
      </c>
      <c r="CX659" s="480">
        <f t="shared" si="397"/>
        <v>3063000000</v>
      </c>
      <c r="CY659" s="480">
        <f t="shared" si="397"/>
        <v>2411547876</v>
      </c>
      <c r="CZ659" s="480">
        <f t="shared" si="397"/>
        <v>3150176000</v>
      </c>
      <c r="DA659" s="480">
        <f t="shared" si="397"/>
        <v>2654860383</v>
      </c>
      <c r="DB659" s="480">
        <f t="shared" si="397"/>
        <v>1485996000</v>
      </c>
      <c r="DC659" s="480">
        <f t="shared" si="397"/>
        <v>5976722752</v>
      </c>
      <c r="DD659" s="480">
        <f t="shared" si="397"/>
        <v>1745298000</v>
      </c>
      <c r="DE659" s="480">
        <f t="shared" si="397"/>
        <v>0</v>
      </c>
      <c r="DF659" s="480">
        <f>SUM(DF666:DF723)</f>
        <v>1274694000</v>
      </c>
      <c r="DG659" s="482">
        <f t="shared" si="397"/>
        <v>1274694000</v>
      </c>
      <c r="DH659" s="480">
        <f t="shared" si="397"/>
        <v>0</v>
      </c>
      <c r="DI659" s="480">
        <f>SUM(DI666:DI723)</f>
        <v>1268304000</v>
      </c>
      <c r="DJ659" s="482">
        <f t="shared" si="397"/>
        <v>1268304000</v>
      </c>
      <c r="DK659" s="480">
        <f t="shared" si="397"/>
        <v>0</v>
      </c>
      <c r="DL659" s="480">
        <f>SUM(DL666:DL723)</f>
        <v>795700000</v>
      </c>
      <c r="DM659" s="482">
        <f>SUM(DM666:DM723)</f>
        <v>795700000</v>
      </c>
      <c r="DN659" s="480">
        <f t="shared" si="397"/>
        <v>0</v>
      </c>
      <c r="DO659" s="480">
        <f>SUM(DO666:DO723)</f>
        <v>722700000</v>
      </c>
      <c r="DP659" s="482">
        <f t="shared" si="397"/>
        <v>722700000</v>
      </c>
      <c r="DQ659" s="496">
        <f>SUM(DQ660:DQ724)</f>
        <v>21036536883</v>
      </c>
      <c r="DR659" s="482">
        <f>SUM(DR660:DR724)</f>
        <v>17879081407</v>
      </c>
      <c r="DS659" s="1179">
        <f>SUM(DS660:DS724)</f>
        <v>1874916667</v>
      </c>
      <c r="DT659" s="1179">
        <f t="shared" ref="DT659:ED659" si="398">SUM(DT660:DT724)</f>
        <v>1801916667</v>
      </c>
      <c r="DU659" s="1179">
        <f t="shared" si="398"/>
        <v>1876916667</v>
      </c>
      <c r="DV659" s="1179">
        <f t="shared" si="398"/>
        <v>1856916667</v>
      </c>
      <c r="DW659" s="1179">
        <f t="shared" si="398"/>
        <v>1809916667</v>
      </c>
      <c r="DX659" s="1179">
        <f t="shared" si="398"/>
        <v>1794916667</v>
      </c>
      <c r="DY659" s="1179">
        <f t="shared" si="398"/>
        <v>1809916667</v>
      </c>
      <c r="DZ659" s="1179">
        <f t="shared" si="398"/>
        <v>1779916667</v>
      </c>
      <c r="EA659" s="1179">
        <f t="shared" si="398"/>
        <v>1794916667</v>
      </c>
      <c r="EB659" s="1179">
        <f t="shared" si="398"/>
        <v>1981916667</v>
      </c>
      <c r="EC659" s="1179">
        <f t="shared" si="398"/>
        <v>2031916667</v>
      </c>
      <c r="ED659" s="1179">
        <f t="shared" si="398"/>
        <v>2031916667</v>
      </c>
      <c r="EE659" s="1144">
        <f>SUM(EE660:EE724)</f>
        <v>22446000004</v>
      </c>
      <c r="EF659" s="1025">
        <f>SUM(EF660:EF724)</f>
        <v>27927627929.596859</v>
      </c>
      <c r="EG659" s="1025">
        <f>SUM(EG660:EG724)</f>
        <v>38915175172.245834</v>
      </c>
      <c r="EH659" s="1025">
        <f>SUM(EH660:EH724)</f>
        <v>45732008823.737442</v>
      </c>
      <c r="EI659" s="1025">
        <f>SUM(EI660:EI724)</f>
        <v>48839676475.617447</v>
      </c>
      <c r="EJ659" s="367" t="e">
        <v>#N/A</v>
      </c>
      <c r="EL659" s="177"/>
      <c r="EM659" s="177"/>
      <c r="EN659" s="177"/>
    </row>
    <row r="660" spans="1:144" outlineLevel="2">
      <c r="A660" s="433" t="s">
        <v>196</v>
      </c>
      <c r="B660" s="378"/>
      <c r="C660" s="370" t="s">
        <v>688</v>
      </c>
      <c r="E660" s="383" t="s">
        <v>869</v>
      </c>
      <c r="F660" s="380"/>
      <c r="G660" s="185"/>
      <c r="H660" s="30"/>
      <c r="I660" s="195"/>
      <c r="J660" s="185"/>
      <c r="K660" s="185"/>
      <c r="L660" s="185"/>
      <c r="M660" s="185"/>
      <c r="N660" s="185"/>
      <c r="O660" s="7"/>
      <c r="P660" s="7"/>
      <c r="Q660" s="7"/>
      <c r="R660" s="7"/>
      <c r="S660" s="14"/>
      <c r="T660" s="15"/>
      <c r="U660" s="185"/>
      <c r="V660" s="30"/>
      <c r="W660" s="195"/>
      <c r="X660" s="185"/>
      <c r="Y660" s="185"/>
      <c r="Z660" s="185"/>
      <c r="AA660" s="185"/>
      <c r="AB660" s="185"/>
      <c r="AC660" s="7"/>
      <c r="AD660" s="7"/>
      <c r="AE660" s="7"/>
      <c r="AF660" s="7"/>
      <c r="AG660" s="759"/>
      <c r="AH660" s="811"/>
      <c r="AI660" s="758"/>
      <c r="AJ660" s="859"/>
      <c r="AK660" s="854"/>
      <c r="AL660" s="758"/>
      <c r="AM660" s="758"/>
      <c r="AN660" s="758"/>
      <c r="AO660" s="758"/>
      <c r="AP660" s="758"/>
      <c r="AQ660" s="518"/>
      <c r="AR660" s="518"/>
      <c r="AS660" s="518"/>
      <c r="AT660" s="518"/>
      <c r="AU660" s="518"/>
      <c r="AV660" s="518"/>
      <c r="AW660" s="518"/>
      <c r="AX660" s="518">
        <f>SUM(AI660,AJ660,AK660,AL660,AM660,AN660,AO660,AP660,AQ660,AR660,AS660,AT660)</f>
        <v>0</v>
      </c>
      <c r="AY660" s="811"/>
      <c r="AZ660" s="758"/>
      <c r="BA660" s="859"/>
      <c r="BB660" s="854"/>
      <c r="BC660" s="758"/>
      <c r="BD660" s="758"/>
      <c r="BE660" s="758"/>
      <c r="BF660" s="758"/>
      <c r="BG660" s="518"/>
      <c r="BH660" s="758"/>
      <c r="BI660" s="758"/>
      <c r="BJ660" s="758"/>
      <c r="BK660" s="758"/>
      <c r="BL660" s="759"/>
      <c r="BN660" s="758"/>
      <c r="BO660" s="758"/>
      <c r="BP660" s="758"/>
      <c r="BQ660" s="758"/>
      <c r="BR660" s="758"/>
      <c r="BS660" s="758"/>
      <c r="BT660" s="758"/>
      <c r="BU660" s="758"/>
      <c r="BV660" s="758"/>
      <c r="BW660" s="758"/>
      <c r="BX660" s="758"/>
      <c r="BY660" s="758"/>
      <c r="BZ660" s="791">
        <v>0</v>
      </c>
      <c r="CB660" s="758"/>
      <c r="CC660" s="758"/>
      <c r="CD660" s="758"/>
      <c r="CE660" s="758"/>
      <c r="CF660" s="758"/>
      <c r="CG660" s="758"/>
      <c r="CH660" s="758"/>
      <c r="CI660" s="758"/>
      <c r="CJ660" s="758"/>
      <c r="CK660" s="758"/>
      <c r="CL660" s="758"/>
      <c r="CM660" s="758"/>
      <c r="CN660" s="791">
        <v>0</v>
      </c>
      <c r="CO660" s="37"/>
      <c r="CP660" s="657"/>
      <c r="CQ660" s="657"/>
      <c r="CR660" s="528"/>
      <c r="CS660" s="657"/>
      <c r="CT660" s="528"/>
      <c r="CU660" s="657"/>
      <c r="CV660" s="528"/>
      <c r="CW660" s="657"/>
      <c r="CX660" s="528"/>
      <c r="CY660" s="657"/>
      <c r="CZ660" s="528"/>
      <c r="DA660" s="657"/>
      <c r="DB660" s="528"/>
      <c r="DC660" s="657">
        <v>0</v>
      </c>
      <c r="DD660" s="528"/>
      <c r="DE660" s="758"/>
      <c r="DF660" s="528"/>
      <c r="DG660" s="757"/>
      <c r="DH660" s="758"/>
      <c r="DI660" s="528"/>
      <c r="DJ660" s="757"/>
      <c r="DK660" s="758"/>
      <c r="DL660" s="528"/>
      <c r="DM660" s="757"/>
      <c r="DN660" s="758"/>
      <c r="DO660" s="528"/>
      <c r="DP660" s="757"/>
      <c r="DQ660" s="493">
        <f>SUM(CP660,CQ660,CS660,CU660,CW660,CY660,DA660,DC660,DF660,DI660,DL660,DO660)</f>
        <v>0</v>
      </c>
      <c r="DR660" s="479">
        <f t="shared" ref="DR660:DR665" si="399">SUM(CR660,CT660,CV660,CX660,CZ660,DB660,DD660,DG660,DJ660,DM660,DP660)</f>
        <v>0</v>
      </c>
      <c r="DS660" s="1020"/>
      <c r="DT660" s="1020"/>
      <c r="DU660" s="1020"/>
      <c r="DV660" s="1020"/>
      <c r="DW660" s="1020"/>
      <c r="DX660" s="1020"/>
      <c r="DY660" s="1020"/>
      <c r="DZ660" s="1020"/>
      <c r="EA660" s="1020"/>
      <c r="EB660" s="1020"/>
      <c r="EC660" s="1020"/>
      <c r="ED660" s="1020"/>
      <c r="EE660" s="1119">
        <f t="shared" ref="EE660:EE723" si="400">SUM(DS660,DT660,DU660,DV660,DW660,DX660,DY660,DZ660,EA660,EB660,EC660,ED660)</f>
        <v>0</v>
      </c>
      <c r="EF660" s="443">
        <v>12000000</v>
      </c>
      <c r="EG660" s="443">
        <v>510000000</v>
      </c>
      <c r="EH660" s="443">
        <v>700000000</v>
      </c>
      <c r="EI660" s="443">
        <v>700000000</v>
      </c>
      <c r="EL660" s="177"/>
      <c r="EM660" s="177"/>
      <c r="EN660" s="177"/>
    </row>
    <row r="661" spans="1:144" outlineLevel="2">
      <c r="B661" s="378"/>
      <c r="C661" s="370" t="s">
        <v>688</v>
      </c>
      <c r="E661" s="383" t="s">
        <v>596</v>
      </c>
      <c r="F661" s="380">
        <v>3000019596</v>
      </c>
      <c r="G661" s="196"/>
      <c r="H661" s="31"/>
      <c r="I661" s="195"/>
      <c r="J661" s="185"/>
      <c r="K661" s="185"/>
      <c r="L661" s="185"/>
      <c r="M661" s="185"/>
      <c r="N661" s="185"/>
      <c r="O661" s="7"/>
      <c r="P661" s="7"/>
      <c r="Q661" s="7"/>
      <c r="R661" s="7"/>
      <c r="S661" s="14"/>
      <c r="T661" s="179"/>
      <c r="U661" s="196"/>
      <c r="V661" s="31"/>
      <c r="W661" s="195"/>
      <c r="X661" s="185"/>
      <c r="Y661" s="185"/>
      <c r="Z661" s="185"/>
      <c r="AA661" s="185"/>
      <c r="AB661" s="185"/>
      <c r="AC661" s="7"/>
      <c r="AD661" s="7"/>
      <c r="AE661" s="7"/>
      <c r="AF661" s="7"/>
      <c r="AG661" s="759"/>
      <c r="AH661" s="811"/>
      <c r="AI661" s="485"/>
      <c r="AJ661" s="874"/>
      <c r="AK661" s="854"/>
      <c r="AL661" s="758"/>
      <c r="AM661" s="758"/>
      <c r="AN661" s="758"/>
      <c r="AO661" s="758"/>
      <c r="AP661" s="758"/>
      <c r="AQ661" s="518"/>
      <c r="AR661" s="518"/>
      <c r="AS661" s="518"/>
      <c r="AT661" s="518"/>
      <c r="AU661" s="518"/>
      <c r="AV661" s="518"/>
      <c r="AW661" s="518"/>
      <c r="AX661" s="518">
        <f>SUM(AI661,AJ661,AK661,AL661,AM661,AN661,AO661,AP661,AQ661,AR661,AS661,AT661)</f>
        <v>0</v>
      </c>
      <c r="AY661" s="811"/>
      <c r="AZ661" s="485"/>
      <c r="BA661" s="874"/>
      <c r="BB661" s="854"/>
      <c r="BC661" s="758"/>
      <c r="BD661" s="758"/>
      <c r="BE661" s="758"/>
      <c r="BF661" s="758"/>
      <c r="BG661" s="518"/>
      <c r="BH661" s="758"/>
      <c r="BI661" s="758"/>
      <c r="BJ661" s="758"/>
      <c r="BK661" s="758"/>
      <c r="BL661" s="759"/>
      <c r="BN661" s="758">
        <v>0</v>
      </c>
      <c r="BO661" s="758">
        <v>0</v>
      </c>
      <c r="BP661" s="758">
        <v>0</v>
      </c>
      <c r="BQ661" s="758">
        <v>0</v>
      </c>
      <c r="BR661" s="758">
        <v>0</v>
      </c>
      <c r="BS661" s="758">
        <v>0</v>
      </c>
      <c r="BT661" s="758">
        <v>0</v>
      </c>
      <c r="BU661" s="758">
        <v>0</v>
      </c>
      <c r="BV661" s="758">
        <v>0</v>
      </c>
      <c r="BW661" s="758">
        <v>0</v>
      </c>
      <c r="BX661" s="758">
        <v>0</v>
      </c>
      <c r="BY661" s="758">
        <v>0</v>
      </c>
      <c r="BZ661" s="791">
        <v>0</v>
      </c>
      <c r="CB661" s="758">
        <v>0</v>
      </c>
      <c r="CC661" s="758">
        <v>0</v>
      </c>
      <c r="CD661" s="758">
        <v>0</v>
      </c>
      <c r="CE661" s="758">
        <v>0</v>
      </c>
      <c r="CF661" s="758">
        <v>0</v>
      </c>
      <c r="CG661" s="758">
        <v>0</v>
      </c>
      <c r="CH661" s="758">
        <v>0</v>
      </c>
      <c r="CI661" s="758">
        <v>0</v>
      </c>
      <c r="CJ661" s="758">
        <v>0</v>
      </c>
      <c r="CK661" s="758">
        <v>0</v>
      </c>
      <c r="CL661" s="758">
        <v>0</v>
      </c>
      <c r="CM661" s="758">
        <v>0</v>
      </c>
      <c r="CN661" s="791">
        <v>0</v>
      </c>
      <c r="CP661" s="653"/>
      <c r="CQ661" s="653"/>
      <c r="CR661" s="524"/>
      <c r="CS661" s="653"/>
      <c r="CT661" s="524"/>
      <c r="CU661" s="653"/>
      <c r="CV661" s="524"/>
      <c r="CW661" s="653"/>
      <c r="CX661" s="524"/>
      <c r="CY661" s="653"/>
      <c r="CZ661" s="524"/>
      <c r="DA661" s="653"/>
      <c r="DB661" s="524"/>
      <c r="DC661" s="653">
        <v>0</v>
      </c>
      <c r="DD661" s="524"/>
      <c r="DE661" s="758"/>
      <c r="DF661" s="524"/>
      <c r="DG661" s="757"/>
      <c r="DH661" s="758"/>
      <c r="DI661" s="524"/>
      <c r="DJ661" s="757"/>
      <c r="DK661" s="758"/>
      <c r="DL661" s="524"/>
      <c r="DM661" s="757"/>
      <c r="DN661" s="758"/>
      <c r="DO661" s="524"/>
      <c r="DP661" s="757"/>
      <c r="DQ661" s="493">
        <f t="shared" ref="DQ661:DQ722" si="401">SUM(CP661,CQ661,CS661,CU661,CW661,CY661,DA661,DC661,DF661,DI661,DL661,DO661)</f>
        <v>0</v>
      </c>
      <c r="DR661" s="479">
        <f t="shared" si="399"/>
        <v>0</v>
      </c>
      <c r="DS661" s="1019"/>
      <c r="DT661" s="1019"/>
      <c r="DU661" s="1019"/>
      <c r="DV661" s="1019"/>
      <c r="DW661" s="1019"/>
      <c r="DX661" s="1019"/>
      <c r="DY661" s="1019"/>
      <c r="DZ661" s="1019"/>
      <c r="EA661" s="1019"/>
      <c r="EB661" s="1019"/>
      <c r="EC661" s="1019"/>
      <c r="ED661" s="1019"/>
      <c r="EE661" s="1119">
        <f t="shared" si="400"/>
        <v>0</v>
      </c>
      <c r="EF661" s="443">
        <f>EE661*1.17</f>
        <v>0</v>
      </c>
      <c r="EG661" s="443">
        <f>EF661*1.08</f>
        <v>0</v>
      </c>
      <c r="EH661" s="443">
        <f>EG661*1.09</f>
        <v>0</v>
      </c>
      <c r="EI661" s="443">
        <f>EH661*1.09</f>
        <v>0</v>
      </c>
      <c r="EJ661" s="367">
        <v>3000019596</v>
      </c>
      <c r="EL661" s="177"/>
      <c r="EM661" s="177"/>
      <c r="EN661" s="177"/>
    </row>
    <row r="662" spans="1:144" outlineLevel="2">
      <c r="B662" s="378"/>
      <c r="C662" s="370" t="s">
        <v>688</v>
      </c>
      <c r="E662" s="383" t="s">
        <v>455</v>
      </c>
      <c r="F662" s="380">
        <v>3000000215</v>
      </c>
      <c r="G662" s="196"/>
      <c r="H662" s="30"/>
      <c r="I662" s="195"/>
      <c r="J662" s="185"/>
      <c r="K662" s="185"/>
      <c r="L662" s="185"/>
      <c r="M662" s="185"/>
      <c r="N662" s="185"/>
      <c r="O662" s="7"/>
      <c r="P662" s="7"/>
      <c r="Q662" s="7"/>
      <c r="R662" s="7"/>
      <c r="S662" s="14"/>
      <c r="T662" s="179"/>
      <c r="U662" s="196"/>
      <c r="V662" s="30"/>
      <c r="W662" s="195"/>
      <c r="X662" s="185"/>
      <c r="Y662" s="185"/>
      <c r="Z662" s="185"/>
      <c r="AA662" s="185"/>
      <c r="AB662" s="185"/>
      <c r="AC662" s="7"/>
      <c r="AD662" s="7"/>
      <c r="AE662" s="7"/>
      <c r="AF662" s="7"/>
      <c r="AG662" s="759"/>
      <c r="AH662" s="811"/>
      <c r="AI662" s="485"/>
      <c r="AJ662" s="859"/>
      <c r="AK662" s="854"/>
      <c r="AL662" s="758"/>
      <c r="AM662" s="758"/>
      <c r="AN662" s="758"/>
      <c r="AO662" s="758"/>
      <c r="AP662" s="758"/>
      <c r="AQ662" s="518"/>
      <c r="AR662" s="518"/>
      <c r="AS662" s="518"/>
      <c r="AT662" s="518"/>
      <c r="AU662" s="518"/>
      <c r="AV662" s="518"/>
      <c r="AW662" s="518"/>
      <c r="AX662" s="518">
        <f>SUM(AI662,AJ662,AK662,AL662,AM662,AN662,AO662,AP662,AQ662,AR662,AS662,AT662)</f>
        <v>0</v>
      </c>
      <c r="AY662" s="811"/>
      <c r="AZ662" s="485"/>
      <c r="BA662" s="859"/>
      <c r="BB662" s="854"/>
      <c r="BC662" s="758"/>
      <c r="BD662" s="758"/>
      <c r="BE662" s="758"/>
      <c r="BF662" s="758"/>
      <c r="BG662" s="518"/>
      <c r="BH662" s="758"/>
      <c r="BI662" s="758"/>
      <c r="BJ662" s="758"/>
      <c r="BK662" s="758"/>
      <c r="BL662" s="759"/>
      <c r="BN662" s="758">
        <v>0</v>
      </c>
      <c r="BO662" s="758">
        <v>0</v>
      </c>
      <c r="BP662" s="758">
        <v>0</v>
      </c>
      <c r="BQ662" s="758">
        <v>0</v>
      </c>
      <c r="BR662" s="758">
        <v>0</v>
      </c>
      <c r="BS662" s="758">
        <v>0</v>
      </c>
      <c r="BT662" s="758">
        <v>0</v>
      </c>
      <c r="BU662" s="758">
        <v>0</v>
      </c>
      <c r="BV662" s="758">
        <v>0</v>
      </c>
      <c r="BW662" s="758">
        <v>0</v>
      </c>
      <c r="BX662" s="758">
        <v>0</v>
      </c>
      <c r="BY662" s="758">
        <v>0</v>
      </c>
      <c r="BZ662" s="791">
        <v>0</v>
      </c>
      <c r="CB662" s="758">
        <v>0</v>
      </c>
      <c r="CC662" s="758">
        <v>0</v>
      </c>
      <c r="CD662" s="758">
        <v>0</v>
      </c>
      <c r="CE662" s="758">
        <v>0</v>
      </c>
      <c r="CF662" s="758">
        <v>0</v>
      </c>
      <c r="CG662" s="758">
        <v>0</v>
      </c>
      <c r="CH662" s="758">
        <v>0</v>
      </c>
      <c r="CI662" s="758">
        <v>0</v>
      </c>
      <c r="CJ662" s="758">
        <v>0</v>
      </c>
      <c r="CK662" s="758">
        <v>0</v>
      </c>
      <c r="CL662" s="758">
        <v>0</v>
      </c>
      <c r="CM662" s="758">
        <v>0</v>
      </c>
      <c r="CN662" s="791">
        <v>0</v>
      </c>
      <c r="CP662" s="653"/>
      <c r="CQ662" s="653"/>
      <c r="CR662" s="524"/>
      <c r="CS662" s="653"/>
      <c r="CT662" s="524"/>
      <c r="CU662" s="653"/>
      <c r="CV662" s="524"/>
      <c r="CW662" s="653"/>
      <c r="CX662" s="524"/>
      <c r="CY662" s="653"/>
      <c r="CZ662" s="524"/>
      <c r="DA662" s="653"/>
      <c r="DB662" s="524"/>
      <c r="DC662" s="653">
        <v>0</v>
      </c>
      <c r="DD662" s="524"/>
      <c r="DE662" s="758"/>
      <c r="DF662" s="524"/>
      <c r="DG662" s="757"/>
      <c r="DH662" s="758"/>
      <c r="DI662" s="524"/>
      <c r="DJ662" s="757"/>
      <c r="DK662" s="758"/>
      <c r="DL662" s="524"/>
      <c r="DM662" s="757"/>
      <c r="DN662" s="758"/>
      <c r="DO662" s="524"/>
      <c r="DP662" s="757"/>
      <c r="DQ662" s="493">
        <f t="shared" si="401"/>
        <v>0</v>
      </c>
      <c r="DR662" s="479">
        <f t="shared" si="399"/>
        <v>0</v>
      </c>
      <c r="DS662" s="1019">
        <v>50000000</v>
      </c>
      <c r="DT662" s="1019">
        <v>50000000</v>
      </c>
      <c r="DU662" s="1019">
        <v>75000000</v>
      </c>
      <c r="DV662" s="1019">
        <v>75000000</v>
      </c>
      <c r="DW662" s="1019">
        <v>50000000</v>
      </c>
      <c r="DX662" s="1019">
        <v>50000000</v>
      </c>
      <c r="DY662" s="1019">
        <v>50000000</v>
      </c>
      <c r="DZ662" s="1019">
        <v>50000000</v>
      </c>
      <c r="EA662" s="1019">
        <v>50000000</v>
      </c>
      <c r="EB662" s="1019">
        <v>50000000</v>
      </c>
      <c r="EC662" s="1019">
        <v>75000000</v>
      </c>
      <c r="ED662" s="1019">
        <v>75000000</v>
      </c>
      <c r="EE662" s="1119">
        <f t="shared" si="400"/>
        <v>700000000</v>
      </c>
      <c r="EF662" s="443">
        <f>EE662*1.25</f>
        <v>875000000</v>
      </c>
      <c r="EG662" s="443">
        <v>188000000</v>
      </c>
      <c r="EH662" s="443">
        <f>EG662*1.25</f>
        <v>235000000</v>
      </c>
      <c r="EI662" s="443">
        <f>EH662*1.25</f>
        <v>293750000</v>
      </c>
      <c r="EJ662" s="367">
        <v>3000000215</v>
      </c>
      <c r="EL662" s="177"/>
      <c r="EM662" s="177"/>
      <c r="EN662" s="177"/>
    </row>
    <row r="663" spans="1:144" outlineLevel="2">
      <c r="B663" s="378"/>
      <c r="C663" s="370" t="s">
        <v>688</v>
      </c>
      <c r="E663" s="383" t="s">
        <v>44</v>
      </c>
      <c r="F663" s="380">
        <v>3000014429</v>
      </c>
      <c r="G663" s="185"/>
      <c r="H663" s="31"/>
      <c r="I663" s="195"/>
      <c r="J663" s="185"/>
      <c r="K663" s="185"/>
      <c r="L663" s="185"/>
      <c r="M663" s="185"/>
      <c r="N663" s="185"/>
      <c r="O663" s="7"/>
      <c r="P663" s="7"/>
      <c r="Q663" s="7"/>
      <c r="R663" s="7"/>
      <c r="S663" s="14"/>
      <c r="T663" s="15"/>
      <c r="U663" s="185"/>
      <c r="V663" s="31"/>
      <c r="W663" s="195"/>
      <c r="X663" s="185"/>
      <c r="Y663" s="185"/>
      <c r="Z663" s="185"/>
      <c r="AA663" s="185"/>
      <c r="AB663" s="185"/>
      <c r="AC663" s="7"/>
      <c r="AD663" s="7"/>
      <c r="AE663" s="7"/>
      <c r="AF663" s="7"/>
      <c r="AG663" s="759"/>
      <c r="AH663" s="811"/>
      <c r="AI663" s="758"/>
      <c r="AJ663" s="874"/>
      <c r="AK663" s="854"/>
      <c r="AL663" s="758"/>
      <c r="AM663" s="758"/>
      <c r="AN663" s="758"/>
      <c r="AO663" s="758"/>
      <c r="AP663" s="758"/>
      <c r="AQ663" s="518"/>
      <c r="AR663" s="518"/>
      <c r="AS663" s="518"/>
      <c r="AT663" s="518"/>
      <c r="AU663" s="518"/>
      <c r="AV663" s="518"/>
      <c r="AW663" s="518"/>
      <c r="AX663" s="518">
        <f>SUM(AI663,AJ663,AK663,AL663,AM663,AN663,AO663,AP663,AQ663,AR663,AS663,AT663)</f>
        <v>0</v>
      </c>
      <c r="AY663" s="811"/>
      <c r="AZ663" s="758"/>
      <c r="BA663" s="874"/>
      <c r="BB663" s="854"/>
      <c r="BC663" s="758"/>
      <c r="BD663" s="758"/>
      <c r="BE663" s="758"/>
      <c r="BF663" s="758"/>
      <c r="BG663" s="518"/>
      <c r="BH663" s="758"/>
      <c r="BI663" s="758"/>
      <c r="BJ663" s="758"/>
      <c r="BK663" s="758"/>
      <c r="BL663" s="759"/>
      <c r="BN663" s="758">
        <v>0</v>
      </c>
      <c r="BO663" s="758">
        <v>0</v>
      </c>
      <c r="BP663" s="758">
        <v>0</v>
      </c>
      <c r="BQ663" s="758">
        <v>0</v>
      </c>
      <c r="BR663" s="758">
        <v>0</v>
      </c>
      <c r="BS663" s="758">
        <v>0</v>
      </c>
      <c r="BT663" s="758">
        <v>0</v>
      </c>
      <c r="BU663" s="758">
        <v>0</v>
      </c>
      <c r="BV663" s="758">
        <v>0</v>
      </c>
      <c r="BW663" s="758">
        <v>0</v>
      </c>
      <c r="BX663" s="758">
        <v>0</v>
      </c>
      <c r="BY663" s="758">
        <v>0</v>
      </c>
      <c r="BZ663" s="791">
        <v>0</v>
      </c>
      <c r="CB663" s="758">
        <v>0</v>
      </c>
      <c r="CC663" s="758">
        <v>0</v>
      </c>
      <c r="CD663" s="758">
        <v>0</v>
      </c>
      <c r="CE663" s="758">
        <v>0</v>
      </c>
      <c r="CF663" s="758">
        <v>0</v>
      </c>
      <c r="CG663" s="758">
        <v>0</v>
      </c>
      <c r="CH663" s="758">
        <v>0</v>
      </c>
      <c r="CI663" s="758">
        <v>0</v>
      </c>
      <c r="CJ663" s="758">
        <v>0</v>
      </c>
      <c r="CK663" s="758">
        <v>0</v>
      </c>
      <c r="CL663" s="758">
        <v>0</v>
      </c>
      <c r="CM663" s="758">
        <v>0</v>
      </c>
      <c r="CN663" s="791">
        <v>0</v>
      </c>
      <c r="CP663" s="653"/>
      <c r="CQ663" s="653"/>
      <c r="CR663" s="524"/>
      <c r="CS663" s="653"/>
      <c r="CT663" s="524"/>
      <c r="CU663" s="653"/>
      <c r="CV663" s="524"/>
      <c r="CW663" s="653"/>
      <c r="CX663" s="524"/>
      <c r="CY663" s="653"/>
      <c r="CZ663" s="524"/>
      <c r="DA663" s="653"/>
      <c r="DB663" s="524"/>
      <c r="DC663" s="653">
        <v>0</v>
      </c>
      <c r="DD663" s="524"/>
      <c r="DE663" s="758"/>
      <c r="DF663" s="524"/>
      <c r="DG663" s="757"/>
      <c r="DH663" s="758"/>
      <c r="DI663" s="524"/>
      <c r="DJ663" s="757"/>
      <c r="DK663" s="758"/>
      <c r="DL663" s="524"/>
      <c r="DM663" s="757"/>
      <c r="DN663" s="758"/>
      <c r="DO663" s="524"/>
      <c r="DP663" s="757"/>
      <c r="DQ663" s="493">
        <f t="shared" si="401"/>
        <v>0</v>
      </c>
      <c r="DR663" s="479">
        <f t="shared" si="399"/>
        <v>0</v>
      </c>
      <c r="DS663" s="1019"/>
      <c r="DT663" s="1019"/>
      <c r="DU663" s="1019"/>
      <c r="DV663" s="1019"/>
      <c r="DW663" s="1019"/>
      <c r="DX663" s="1019"/>
      <c r="DY663" s="1019"/>
      <c r="DZ663" s="1019"/>
      <c r="EA663" s="1019"/>
      <c r="EB663" s="1019"/>
      <c r="EC663" s="1019"/>
      <c r="ED663" s="1019"/>
      <c r="EE663" s="1119">
        <f t="shared" si="400"/>
        <v>0</v>
      </c>
      <c r="EF663" s="443">
        <f>EE663*1.17</f>
        <v>0</v>
      </c>
      <c r="EG663" s="443">
        <f>EF663*1.08</f>
        <v>0</v>
      </c>
      <c r="EH663" s="443">
        <f>EG663*1.09</f>
        <v>0</v>
      </c>
      <c r="EI663" s="443">
        <f>EH663*1.09</f>
        <v>0</v>
      </c>
      <c r="EJ663" s="367">
        <v>3000014429</v>
      </c>
      <c r="EL663" s="177"/>
      <c r="EM663" s="177"/>
      <c r="EN663" s="177"/>
    </row>
    <row r="664" spans="1:144" outlineLevel="2">
      <c r="B664" s="378"/>
      <c r="C664" s="370" t="s">
        <v>688</v>
      </c>
      <c r="D664" s="370" t="s">
        <v>108</v>
      </c>
      <c r="E664" s="383" t="s">
        <v>870</v>
      </c>
      <c r="F664" s="380">
        <v>3211010000</v>
      </c>
      <c r="G664" s="196"/>
      <c r="H664" s="31"/>
      <c r="I664" s="195"/>
      <c r="J664" s="185"/>
      <c r="K664" s="185"/>
      <c r="L664" s="185"/>
      <c r="M664" s="185"/>
      <c r="N664" s="185"/>
      <c r="O664" s="7"/>
      <c r="P664" s="7"/>
      <c r="Q664" s="7"/>
      <c r="R664" s="7"/>
      <c r="S664" s="14"/>
      <c r="T664" s="179"/>
      <c r="U664" s="196"/>
      <c r="V664" s="31"/>
      <c r="W664" s="195"/>
      <c r="X664" s="185"/>
      <c r="Y664" s="185"/>
      <c r="Z664" s="185"/>
      <c r="AA664" s="185"/>
      <c r="AB664" s="185"/>
      <c r="AC664" s="7"/>
      <c r="AD664" s="7"/>
      <c r="AE664" s="7"/>
      <c r="AF664" s="7"/>
      <c r="AG664" s="759"/>
      <c r="AH664" s="811"/>
      <c r="AI664" s="485"/>
      <c r="AJ664" s="874"/>
      <c r="AK664" s="854"/>
      <c r="AL664" s="758"/>
      <c r="AM664" s="758"/>
      <c r="AN664" s="758"/>
      <c r="AO664" s="758"/>
      <c r="AP664" s="758"/>
      <c r="AQ664" s="518"/>
      <c r="AR664" s="518"/>
      <c r="AS664" s="518"/>
      <c r="AT664" s="518"/>
      <c r="AU664" s="518"/>
      <c r="AV664" s="518"/>
      <c r="AW664" s="518"/>
      <c r="AX664" s="518"/>
      <c r="AY664" s="811"/>
      <c r="AZ664" s="485"/>
      <c r="BA664" s="874"/>
      <c r="BB664" s="854"/>
      <c r="BC664" s="758"/>
      <c r="BD664" s="758"/>
      <c r="BE664" s="758"/>
      <c r="BF664" s="758"/>
      <c r="BG664" s="518"/>
      <c r="BH664" s="758"/>
      <c r="BI664" s="758"/>
      <c r="BJ664" s="758"/>
      <c r="BK664" s="758"/>
      <c r="BL664" s="759"/>
      <c r="BN664" s="758"/>
      <c r="BO664" s="758"/>
      <c r="BP664" s="758"/>
      <c r="BQ664" s="758"/>
      <c r="BR664" s="758"/>
      <c r="BS664" s="758"/>
      <c r="BT664" s="758"/>
      <c r="BU664" s="758"/>
      <c r="BV664" s="758"/>
      <c r="BW664" s="758"/>
      <c r="BX664" s="758"/>
      <c r="BY664" s="758"/>
      <c r="BZ664" s="791"/>
      <c r="CB664" s="758"/>
      <c r="CC664" s="758"/>
      <c r="CD664" s="758"/>
      <c r="CE664" s="758"/>
      <c r="CF664" s="758"/>
      <c r="CG664" s="758"/>
      <c r="CH664" s="758"/>
      <c r="CI664" s="758"/>
      <c r="CJ664" s="758"/>
      <c r="CK664" s="758"/>
      <c r="CL664" s="758"/>
      <c r="CM664" s="758"/>
      <c r="CN664" s="791"/>
      <c r="CP664" s="653"/>
      <c r="CQ664" s="653"/>
      <c r="CR664" s="524"/>
      <c r="CS664" s="653"/>
      <c r="CT664" s="524"/>
      <c r="CU664" s="653">
        <v>1462800</v>
      </c>
      <c r="CV664" s="524"/>
      <c r="CW664" s="653"/>
      <c r="CX664" s="524"/>
      <c r="CY664" s="653"/>
      <c r="CZ664" s="524"/>
      <c r="DA664" s="653"/>
      <c r="DB664" s="524"/>
      <c r="DC664" s="653">
        <v>0</v>
      </c>
      <c r="DD664" s="524"/>
      <c r="DE664" s="758"/>
      <c r="DF664" s="524"/>
      <c r="DG664" s="757"/>
      <c r="DH664" s="758"/>
      <c r="DI664" s="524"/>
      <c r="DJ664" s="757"/>
      <c r="DK664" s="758"/>
      <c r="DL664" s="524"/>
      <c r="DM664" s="757"/>
      <c r="DN664" s="758"/>
      <c r="DO664" s="524"/>
      <c r="DP664" s="757"/>
      <c r="DQ664" s="493">
        <f t="shared" si="401"/>
        <v>1462800</v>
      </c>
      <c r="DR664" s="479">
        <f t="shared" si="399"/>
        <v>0</v>
      </c>
      <c r="DS664" s="1019"/>
      <c r="DT664" s="1019"/>
      <c r="DU664" s="1019"/>
      <c r="DV664" s="1019"/>
      <c r="DW664" s="1019"/>
      <c r="DX664" s="1019"/>
      <c r="DY664" s="1019"/>
      <c r="DZ664" s="1019"/>
      <c r="EA664" s="1019"/>
      <c r="EB664" s="1019"/>
      <c r="EC664" s="1019"/>
      <c r="ED664" s="1019"/>
      <c r="EE664" s="1119">
        <f t="shared" si="400"/>
        <v>0</v>
      </c>
      <c r="EF664" s="443"/>
      <c r="EG664" s="443"/>
      <c r="EH664" s="443"/>
      <c r="EI664" s="443"/>
      <c r="EL664" s="177"/>
      <c r="EM664" s="177"/>
      <c r="EN664" s="177"/>
    </row>
    <row r="665" spans="1:144" outlineLevel="2">
      <c r="A665" s="433" t="s">
        <v>276</v>
      </c>
      <c r="B665" s="378"/>
      <c r="C665" s="370" t="s">
        <v>688</v>
      </c>
      <c r="E665" s="383" t="s">
        <v>871</v>
      </c>
      <c r="F665" s="380"/>
      <c r="G665" s="196"/>
      <c r="H665" s="31"/>
      <c r="I665" s="195"/>
      <c r="J665" s="185"/>
      <c r="K665" s="185"/>
      <c r="L665" s="185"/>
      <c r="M665" s="185"/>
      <c r="N665" s="185"/>
      <c r="O665" s="7"/>
      <c r="P665" s="7"/>
      <c r="Q665" s="7"/>
      <c r="R665" s="7"/>
      <c r="S665" s="14"/>
      <c r="T665" s="179"/>
      <c r="U665" s="196"/>
      <c r="V665" s="31"/>
      <c r="W665" s="195"/>
      <c r="X665" s="185"/>
      <c r="Y665" s="185"/>
      <c r="Z665" s="185"/>
      <c r="AA665" s="185"/>
      <c r="AB665" s="185"/>
      <c r="AC665" s="7"/>
      <c r="AD665" s="7"/>
      <c r="AE665" s="7"/>
      <c r="AF665" s="7"/>
      <c r="AG665" s="759"/>
      <c r="AH665" s="811"/>
      <c r="AI665" s="485"/>
      <c r="AJ665" s="874"/>
      <c r="AK665" s="854"/>
      <c r="AL665" s="758"/>
      <c r="AM665" s="758"/>
      <c r="AN665" s="758"/>
      <c r="AO665" s="758"/>
      <c r="AP665" s="758"/>
      <c r="AQ665" s="518"/>
      <c r="AR665" s="518"/>
      <c r="AS665" s="518"/>
      <c r="AT665" s="518"/>
      <c r="AU665" s="518"/>
      <c r="AV665" s="518"/>
      <c r="AW665" s="518"/>
      <c r="AX665" s="518">
        <f t="shared" ref="AX665:AX671" si="402">SUM(AI665,AJ665,AK665,AL665,AM665,AN665,AO665,AP665,AQ665,AR665,AS665,AT665)</f>
        <v>0</v>
      </c>
      <c r="AY665" s="811"/>
      <c r="AZ665" s="485"/>
      <c r="BA665" s="874"/>
      <c r="BB665" s="854"/>
      <c r="BC665" s="758"/>
      <c r="BD665" s="758"/>
      <c r="BE665" s="758"/>
      <c r="BF665" s="758"/>
      <c r="BG665" s="518"/>
      <c r="BH665" s="758"/>
      <c r="BI665" s="758"/>
      <c r="BJ665" s="758"/>
      <c r="BK665" s="758"/>
      <c r="BL665" s="759"/>
      <c r="BN665" s="758"/>
      <c r="BO665" s="758"/>
      <c r="BP665" s="758"/>
      <c r="BQ665" s="758"/>
      <c r="BR665" s="758"/>
      <c r="BS665" s="758"/>
      <c r="BT665" s="758"/>
      <c r="BU665" s="758"/>
      <c r="BV665" s="758"/>
      <c r="BW665" s="758"/>
      <c r="BX665" s="758"/>
      <c r="BY665" s="758"/>
      <c r="BZ665" s="791">
        <v>0</v>
      </c>
      <c r="CB665" s="758"/>
      <c r="CC665" s="758"/>
      <c r="CD665" s="758"/>
      <c r="CE665" s="758"/>
      <c r="CF665" s="758"/>
      <c r="CG665" s="758"/>
      <c r="CH665" s="758"/>
      <c r="CI665" s="758"/>
      <c r="CJ665" s="758"/>
      <c r="CK665" s="758"/>
      <c r="CL665" s="758"/>
      <c r="CM665" s="758"/>
      <c r="CN665" s="791">
        <v>0</v>
      </c>
      <c r="CP665" s="653"/>
      <c r="CQ665" s="653"/>
      <c r="CR665" s="524"/>
      <c r="CS665" s="653"/>
      <c r="CT665" s="524"/>
      <c r="CU665" s="653"/>
      <c r="CV665" s="524"/>
      <c r="CW665" s="653"/>
      <c r="CX665" s="524"/>
      <c r="CY665" s="653"/>
      <c r="CZ665" s="524"/>
      <c r="DA665" s="653"/>
      <c r="DB665" s="524"/>
      <c r="DC665" s="653">
        <v>0</v>
      </c>
      <c r="DD665" s="524"/>
      <c r="DE665" s="758"/>
      <c r="DF665" s="524"/>
      <c r="DG665" s="757"/>
      <c r="DH665" s="758"/>
      <c r="DI665" s="524"/>
      <c r="DJ665" s="757"/>
      <c r="DK665" s="758"/>
      <c r="DL665" s="524"/>
      <c r="DM665" s="757"/>
      <c r="DN665" s="758"/>
      <c r="DO665" s="524"/>
      <c r="DP665" s="757"/>
      <c r="DQ665" s="493">
        <f t="shared" si="401"/>
        <v>0</v>
      </c>
      <c r="DR665" s="479">
        <f t="shared" si="399"/>
        <v>0</v>
      </c>
      <c r="DS665" s="1019">
        <v>100000000</v>
      </c>
      <c r="DT665" s="1019"/>
      <c r="DU665" s="1019"/>
      <c r="DV665" s="1019"/>
      <c r="DW665" s="1019"/>
      <c r="DX665" s="1019"/>
      <c r="DY665" s="1019"/>
      <c r="DZ665" s="1019"/>
      <c r="EA665" s="1019"/>
      <c r="EB665" s="1019"/>
      <c r="EC665" s="1019"/>
      <c r="ED665" s="1019"/>
      <c r="EE665" s="1119">
        <f t="shared" si="400"/>
        <v>100000000</v>
      </c>
      <c r="EF665" s="443">
        <v>240000000</v>
      </c>
      <c r="EG665" s="443">
        <v>1000000000</v>
      </c>
      <c r="EH665" s="443">
        <f>EG665*1.5</f>
        <v>1500000000</v>
      </c>
      <c r="EI665" s="443">
        <f>EH665*1.5</f>
        <v>2250000000</v>
      </c>
      <c r="EL665" s="177"/>
      <c r="EM665" s="177"/>
      <c r="EN665" s="177"/>
    </row>
    <row r="666" spans="1:144" outlineLevel="2">
      <c r="A666" s="367" t="s">
        <v>196</v>
      </c>
      <c r="B666" s="378"/>
      <c r="C666" s="370" t="s">
        <v>688</v>
      </c>
      <c r="D666" s="370" t="s">
        <v>40</v>
      </c>
      <c r="E666" s="383" t="s">
        <v>623</v>
      </c>
      <c r="F666" s="380">
        <v>3000000615</v>
      </c>
      <c r="G666" s="16"/>
      <c r="H666" s="31"/>
      <c r="I666" s="29"/>
      <c r="J666" s="185"/>
      <c r="K666" s="185"/>
      <c r="L666" s="185"/>
      <c r="M666" s="185"/>
      <c r="N666" s="185"/>
      <c r="O666" s="7"/>
      <c r="P666" s="7"/>
      <c r="Q666" s="7"/>
      <c r="R666" s="7"/>
      <c r="S666" s="14">
        <f>SUM(G666,H666,I666,J666,K666,L666,M666,N666,O666,P666,Q666,R666)</f>
        <v>0</v>
      </c>
      <c r="T666" s="15"/>
      <c r="U666" s="16"/>
      <c r="V666" s="31"/>
      <c r="W666" s="29"/>
      <c r="X666" s="185"/>
      <c r="Y666" s="185"/>
      <c r="Z666" s="185"/>
      <c r="AA666" s="185"/>
      <c r="AB666" s="185"/>
      <c r="AC666" s="7"/>
      <c r="AD666" s="7"/>
      <c r="AE666" s="7"/>
      <c r="AF666" s="7"/>
      <c r="AG666" s="759">
        <f>SUM(U666,V666,W666,X666,Y666,Z666,AA666,AB666,AC666,AD666,AE666,AF666)</f>
        <v>0</v>
      </c>
      <c r="AH666" s="811">
        <v>3000000615</v>
      </c>
      <c r="AI666" s="812">
        <v>3140400</v>
      </c>
      <c r="AJ666" s="874">
        <v>19028400</v>
      </c>
      <c r="AK666" s="875">
        <v>8172000</v>
      </c>
      <c r="AL666" s="758">
        <v>23242400</v>
      </c>
      <c r="AM666" s="758">
        <v>2895600</v>
      </c>
      <c r="AN666" s="758">
        <v>0</v>
      </c>
      <c r="AO666" s="758">
        <v>2895600</v>
      </c>
      <c r="AP666" s="758">
        <v>2895600</v>
      </c>
      <c r="AQ666" s="518">
        <v>2100000</v>
      </c>
      <c r="AR666" s="813">
        <v>2895600</v>
      </c>
      <c r="AS666" s="813">
        <v>24728300</v>
      </c>
      <c r="AT666" s="813">
        <v>14734400</v>
      </c>
      <c r="AU666" s="518">
        <f>BI666</f>
        <v>8000000</v>
      </c>
      <c r="AV666" s="518">
        <f>BJ666</f>
        <v>8000000</v>
      </c>
      <c r="AW666" s="518">
        <f>BK666</f>
        <v>8000000</v>
      </c>
      <c r="AX666" s="518">
        <f t="shared" si="402"/>
        <v>106728300</v>
      </c>
      <c r="AY666" s="811" t="e">
        <v>#N/A</v>
      </c>
      <c r="AZ666" s="812">
        <v>3140400</v>
      </c>
      <c r="BA666" s="874">
        <v>19028400</v>
      </c>
      <c r="BB666" s="875">
        <v>8172000</v>
      </c>
      <c r="BC666" s="758">
        <v>23242400</v>
      </c>
      <c r="BD666" s="758">
        <v>2895600</v>
      </c>
      <c r="BE666" s="758">
        <v>0</v>
      </c>
      <c r="BF666" s="758">
        <v>2895600</v>
      </c>
      <c r="BG666" s="518">
        <f>AP666</f>
        <v>2895600</v>
      </c>
      <c r="BH666" s="758">
        <v>8000000</v>
      </c>
      <c r="BI666" s="758">
        <v>8000000</v>
      </c>
      <c r="BJ666" s="758">
        <v>8000000</v>
      </c>
      <c r="BK666" s="758">
        <v>8000000</v>
      </c>
      <c r="BL666" s="759">
        <f>SUM(AZ666,BA666,BB666,BC666,BD666,BE666,BF666,BG666,BH666,BI666,BJ666,BK666)</f>
        <v>94270000</v>
      </c>
      <c r="BN666" s="758">
        <v>10000000</v>
      </c>
      <c r="BO666" s="758">
        <v>10000000</v>
      </c>
      <c r="BP666" s="758">
        <v>10000000</v>
      </c>
      <c r="BQ666" s="758">
        <v>10000000</v>
      </c>
      <c r="BR666" s="758">
        <v>8000000</v>
      </c>
      <c r="BS666" s="758">
        <v>10000000</v>
      </c>
      <c r="BT666" s="758">
        <v>10000000</v>
      </c>
      <c r="BU666" s="758">
        <v>10000000</v>
      </c>
      <c r="BV666" s="758">
        <v>10000000</v>
      </c>
      <c r="BW666" s="758">
        <v>10000000</v>
      </c>
      <c r="BX666" s="758">
        <v>10000000</v>
      </c>
      <c r="BY666" s="758">
        <v>10000000</v>
      </c>
      <c r="BZ666" s="791">
        <v>118000000</v>
      </c>
      <c r="CB666" s="758">
        <v>10000000</v>
      </c>
      <c r="CC666" s="758">
        <v>10000000</v>
      </c>
      <c r="CD666" s="758">
        <v>10000000</v>
      </c>
      <c r="CE666" s="758">
        <v>10000000</v>
      </c>
      <c r="CF666" s="758">
        <v>8000000</v>
      </c>
      <c r="CG666" s="758">
        <v>10000000</v>
      </c>
      <c r="CH666" s="758">
        <v>10000000</v>
      </c>
      <c r="CI666" s="758">
        <v>10000000</v>
      </c>
      <c r="CJ666" s="758">
        <v>10000000</v>
      </c>
      <c r="CK666" s="758">
        <v>10000000</v>
      </c>
      <c r="CL666" s="758">
        <v>10000000</v>
      </c>
      <c r="CM666" s="758">
        <v>10000000</v>
      </c>
      <c r="CN666" s="791">
        <v>118000000</v>
      </c>
      <c r="CP666" s="653">
        <v>19269800</v>
      </c>
      <c r="CQ666" s="653">
        <v>19523600</v>
      </c>
      <c r="CR666" s="524">
        <v>20000000</v>
      </c>
      <c r="CS666" s="653">
        <v>27642631</v>
      </c>
      <c r="CT666" s="524">
        <v>20000000</v>
      </c>
      <c r="CU666" s="653">
        <v>37817600</v>
      </c>
      <c r="CV666" s="524">
        <v>30000000</v>
      </c>
      <c r="CW666" s="653">
        <v>11387600</v>
      </c>
      <c r="CX666" s="524">
        <v>20000000</v>
      </c>
      <c r="CY666" s="653">
        <v>6016000</v>
      </c>
      <c r="CZ666" s="524">
        <v>20000000</v>
      </c>
      <c r="DA666" s="653">
        <v>15946820</v>
      </c>
      <c r="DB666" s="524">
        <v>20000000</v>
      </c>
      <c r="DC666" s="653">
        <v>3559248</v>
      </c>
      <c r="DD666" s="524">
        <v>20000000</v>
      </c>
      <c r="DE666" s="758"/>
      <c r="DF666" s="524">
        <v>20000000</v>
      </c>
      <c r="DG666" s="757">
        <v>20000000</v>
      </c>
      <c r="DH666" s="758"/>
      <c r="DI666" s="524">
        <v>20000000</v>
      </c>
      <c r="DJ666" s="757">
        <v>20000000</v>
      </c>
      <c r="DK666" s="758"/>
      <c r="DL666" s="524">
        <v>20000000</v>
      </c>
      <c r="DM666" s="757">
        <v>20000000</v>
      </c>
      <c r="DN666" s="758"/>
      <c r="DO666" s="524">
        <v>20000000</v>
      </c>
      <c r="DP666" s="757">
        <v>20000000</v>
      </c>
      <c r="DQ666" s="493">
        <f t="shared" si="401"/>
        <v>221163299</v>
      </c>
      <c r="DR666" s="479">
        <f t="shared" ref="DR666:DR697" si="403">SUM(CP666,CQ666,CS666,CU666,CX666,CZ666,DB666,DD666,DG666,DJ666,DM666,DP666)</f>
        <v>264253631</v>
      </c>
      <c r="DS666" s="1019">
        <v>15000000</v>
      </c>
      <c r="DT666" s="1019">
        <v>30000000</v>
      </c>
      <c r="DU666" s="1019">
        <v>30000000</v>
      </c>
      <c r="DV666" s="1019">
        <v>30000000</v>
      </c>
      <c r="DW666" s="1019">
        <v>15000000</v>
      </c>
      <c r="DX666" s="1019">
        <v>15000000</v>
      </c>
      <c r="DY666" s="1019">
        <v>15000000</v>
      </c>
      <c r="DZ666" s="1019">
        <v>15000000</v>
      </c>
      <c r="EA666" s="1019">
        <v>15000000</v>
      </c>
      <c r="EB666" s="1019">
        <v>30000000</v>
      </c>
      <c r="EC666" s="1019">
        <v>30000000</v>
      </c>
      <c r="ED666" s="1019">
        <v>30000000</v>
      </c>
      <c r="EE666" s="1119">
        <f t="shared" si="400"/>
        <v>270000000</v>
      </c>
      <c r="EF666" s="443">
        <f>EE666*1.17</f>
        <v>315900000</v>
      </c>
      <c r="EG666" s="443">
        <f>EF666*1.08</f>
        <v>341172000</v>
      </c>
      <c r="EH666" s="443">
        <f>EG666*1.09</f>
        <v>371877480</v>
      </c>
      <c r="EI666" s="443">
        <f>EH666*1.09</f>
        <v>405346453.20000005</v>
      </c>
      <c r="EJ666" s="367">
        <v>3000000615</v>
      </c>
      <c r="EL666" s="177"/>
      <c r="EM666" s="177"/>
      <c r="EN666" s="177"/>
    </row>
    <row r="667" spans="1:144" outlineLevel="2">
      <c r="B667" s="378"/>
      <c r="C667" s="370" t="s">
        <v>688</v>
      </c>
      <c r="E667" s="383" t="s">
        <v>872</v>
      </c>
      <c r="F667" s="380">
        <v>3000016749</v>
      </c>
      <c r="G667" s="185"/>
      <c r="H667" s="30"/>
      <c r="I667" s="195"/>
      <c r="J667" s="185"/>
      <c r="K667" s="185"/>
      <c r="L667" s="185"/>
      <c r="M667" s="185"/>
      <c r="N667" s="185"/>
      <c r="O667" s="7"/>
      <c r="P667" s="7"/>
      <c r="Q667" s="7"/>
      <c r="R667" s="7"/>
      <c r="S667" s="14"/>
      <c r="T667" s="15"/>
      <c r="U667" s="185"/>
      <c r="V667" s="30"/>
      <c r="W667" s="195"/>
      <c r="X667" s="185"/>
      <c r="Y667" s="185"/>
      <c r="Z667" s="185"/>
      <c r="AA667" s="185"/>
      <c r="AB667" s="185"/>
      <c r="AC667" s="7"/>
      <c r="AD667" s="7"/>
      <c r="AE667" s="7"/>
      <c r="AF667" s="7"/>
      <c r="AG667" s="759"/>
      <c r="AH667" s="811"/>
      <c r="AI667" s="758"/>
      <c r="AJ667" s="859"/>
      <c r="AK667" s="854"/>
      <c r="AL667" s="758"/>
      <c r="AM667" s="758"/>
      <c r="AN667" s="758"/>
      <c r="AO667" s="758"/>
      <c r="AP667" s="758"/>
      <c r="AQ667" s="518"/>
      <c r="AR667" s="518"/>
      <c r="AS667" s="518"/>
      <c r="AT667" s="518"/>
      <c r="AU667" s="518"/>
      <c r="AV667" s="518"/>
      <c r="AW667" s="518"/>
      <c r="AX667" s="518">
        <f t="shared" si="402"/>
        <v>0</v>
      </c>
      <c r="AY667" s="811"/>
      <c r="AZ667" s="758"/>
      <c r="BA667" s="859"/>
      <c r="BB667" s="854"/>
      <c r="BC667" s="758"/>
      <c r="BD667" s="758"/>
      <c r="BE667" s="758"/>
      <c r="BF667" s="758"/>
      <c r="BG667" s="518"/>
      <c r="BH667" s="758"/>
      <c r="BI667" s="758"/>
      <c r="BJ667" s="758"/>
      <c r="BK667" s="758"/>
      <c r="BL667" s="759"/>
      <c r="BN667" s="758">
        <v>0</v>
      </c>
      <c r="BO667" s="758">
        <v>0</v>
      </c>
      <c r="BP667" s="758">
        <v>0</v>
      </c>
      <c r="BQ667" s="758">
        <v>0</v>
      </c>
      <c r="BR667" s="758">
        <v>0</v>
      </c>
      <c r="BS667" s="758">
        <v>0</v>
      </c>
      <c r="BT667" s="758">
        <v>0</v>
      </c>
      <c r="BU667" s="758">
        <v>0</v>
      </c>
      <c r="BV667" s="758">
        <v>0</v>
      </c>
      <c r="BW667" s="758">
        <v>0</v>
      </c>
      <c r="BX667" s="758">
        <v>0</v>
      </c>
      <c r="BY667" s="758">
        <v>0</v>
      </c>
      <c r="BZ667" s="791">
        <v>0</v>
      </c>
      <c r="CB667" s="758">
        <v>0</v>
      </c>
      <c r="CC667" s="758">
        <v>0</v>
      </c>
      <c r="CD667" s="758">
        <v>0</v>
      </c>
      <c r="CE667" s="758">
        <v>0</v>
      </c>
      <c r="CF667" s="758">
        <v>0</v>
      </c>
      <c r="CG667" s="758">
        <v>0</v>
      </c>
      <c r="CH667" s="758">
        <v>0</v>
      </c>
      <c r="CI667" s="758">
        <v>0</v>
      </c>
      <c r="CJ667" s="758">
        <v>0</v>
      </c>
      <c r="CK667" s="758">
        <v>0</v>
      </c>
      <c r="CL667" s="758">
        <v>0</v>
      </c>
      <c r="CM667" s="758">
        <v>0</v>
      </c>
      <c r="CN667" s="791">
        <v>0</v>
      </c>
      <c r="CP667" s="653"/>
      <c r="CQ667" s="653"/>
      <c r="CR667" s="524"/>
      <c r="CS667" s="653"/>
      <c r="CT667" s="524"/>
      <c r="CU667" s="653"/>
      <c r="CV667" s="524"/>
      <c r="CW667" s="653"/>
      <c r="CX667" s="524"/>
      <c r="CY667" s="653"/>
      <c r="CZ667" s="524"/>
      <c r="DA667" s="653"/>
      <c r="DB667" s="524"/>
      <c r="DC667" s="653">
        <v>0</v>
      </c>
      <c r="DD667" s="524"/>
      <c r="DE667" s="758"/>
      <c r="DF667" s="524"/>
      <c r="DG667" s="757"/>
      <c r="DH667" s="758"/>
      <c r="DI667" s="524"/>
      <c r="DJ667" s="757"/>
      <c r="DK667" s="758"/>
      <c r="DL667" s="524"/>
      <c r="DM667" s="757"/>
      <c r="DN667" s="758"/>
      <c r="DO667" s="524"/>
      <c r="DP667" s="757"/>
      <c r="DQ667" s="493">
        <f t="shared" si="401"/>
        <v>0</v>
      </c>
      <c r="DR667" s="479">
        <f t="shared" si="403"/>
        <v>0</v>
      </c>
      <c r="DS667" s="1019"/>
      <c r="DT667" s="1019"/>
      <c r="DU667" s="1019"/>
      <c r="DV667" s="1019"/>
      <c r="DW667" s="1019"/>
      <c r="DX667" s="1019"/>
      <c r="DY667" s="1019"/>
      <c r="DZ667" s="1019"/>
      <c r="EA667" s="1019"/>
      <c r="EB667" s="1019"/>
      <c r="EC667" s="1019"/>
      <c r="ED667" s="1019"/>
      <c r="EE667" s="1119">
        <f t="shared" si="400"/>
        <v>0</v>
      </c>
      <c r="EF667" s="443">
        <f>EE667*1.17</f>
        <v>0</v>
      </c>
      <c r="EG667" s="443">
        <f>EF667*1.08</f>
        <v>0</v>
      </c>
      <c r="EH667" s="443">
        <f>EG667*1.09</f>
        <v>0</v>
      </c>
      <c r="EI667" s="443">
        <f>EH667*1.09</f>
        <v>0</v>
      </c>
      <c r="EJ667" s="367">
        <v>3000016749</v>
      </c>
      <c r="EL667" s="177"/>
      <c r="EM667" s="177"/>
      <c r="EN667" s="177"/>
    </row>
    <row r="668" spans="1:144" outlineLevel="2">
      <c r="A668" s="367" t="s">
        <v>194</v>
      </c>
      <c r="B668" s="378"/>
      <c r="C668" s="370" t="s">
        <v>688</v>
      </c>
      <c r="D668" s="370" t="s">
        <v>40</v>
      </c>
      <c r="E668" s="383" t="s">
        <v>243</v>
      </c>
      <c r="F668" s="380">
        <v>3000019640</v>
      </c>
      <c r="G668" s="196"/>
      <c r="H668" s="30"/>
      <c r="I668" s="185"/>
      <c r="J668" s="185"/>
      <c r="K668" s="185"/>
      <c r="L668" s="185"/>
      <c r="M668" s="185"/>
      <c r="N668" s="185"/>
      <c r="O668" s="7"/>
      <c r="P668" s="7"/>
      <c r="Q668" s="7"/>
      <c r="R668" s="7"/>
      <c r="S668" s="14">
        <f>SUM(G668,H668,I668,J668,K668,L668,M668,N668,O668,P668,Q668,R668)</f>
        <v>0</v>
      </c>
      <c r="T668" s="179"/>
      <c r="U668" s="196"/>
      <c r="V668" s="30"/>
      <c r="W668" s="185"/>
      <c r="X668" s="185"/>
      <c r="Y668" s="185"/>
      <c r="Z668" s="185"/>
      <c r="AA668" s="185"/>
      <c r="AB668" s="185"/>
      <c r="AC668" s="7"/>
      <c r="AD668" s="7"/>
      <c r="AE668" s="7"/>
      <c r="AF668" s="7"/>
      <c r="AG668" s="759">
        <f>SUM(U668,V668,W668,X668,Y668,Z668,AA668,AB668,AC668,AD668,AE668,AF668)</f>
        <v>0</v>
      </c>
      <c r="AH668" s="811">
        <v>3000019640</v>
      </c>
      <c r="AI668" s="485"/>
      <c r="AJ668" s="859"/>
      <c r="AK668" s="758"/>
      <c r="AL668" s="758"/>
      <c r="AM668" s="758"/>
      <c r="AN668" s="758"/>
      <c r="AO668" s="758"/>
      <c r="AP668" s="758">
        <v>2200000</v>
      </c>
      <c r="AQ668" s="518">
        <v>0</v>
      </c>
      <c r="AR668" s="813">
        <v>1806000</v>
      </c>
      <c r="AS668" s="813">
        <v>4928200</v>
      </c>
      <c r="AT668" s="813">
        <v>5336200</v>
      </c>
      <c r="AU668" s="518">
        <f t="shared" ref="AU668:AW671" si="404">BI668</f>
        <v>5000000</v>
      </c>
      <c r="AV668" s="518">
        <f t="shared" si="404"/>
        <v>5000000</v>
      </c>
      <c r="AW668" s="518">
        <f t="shared" si="404"/>
        <v>5000000</v>
      </c>
      <c r="AX668" s="518">
        <f t="shared" si="402"/>
        <v>14270400</v>
      </c>
      <c r="AY668" s="811" t="e">
        <v>#N/A</v>
      </c>
      <c r="AZ668" s="485"/>
      <c r="BA668" s="859"/>
      <c r="BB668" s="758"/>
      <c r="BC668" s="758"/>
      <c r="BD668" s="758"/>
      <c r="BE668" s="758"/>
      <c r="BF668" s="758"/>
      <c r="BG668" s="518">
        <f>AP668</f>
        <v>2200000</v>
      </c>
      <c r="BH668" s="758">
        <v>2000000</v>
      </c>
      <c r="BI668" s="758">
        <v>5000000</v>
      </c>
      <c r="BJ668" s="758">
        <v>5000000</v>
      </c>
      <c r="BK668" s="758">
        <v>5000000</v>
      </c>
      <c r="BL668" s="759">
        <f>SUM(AZ668,BA668,BB668,BC668,BD668,BE668,BF668,BG668,BH668,BI668,BJ668,BK668)</f>
        <v>19200000</v>
      </c>
      <c r="BN668" s="758">
        <v>2000000</v>
      </c>
      <c r="BO668" s="758">
        <v>2000000</v>
      </c>
      <c r="BP668" s="758">
        <v>2000000</v>
      </c>
      <c r="BQ668" s="758">
        <v>2000000</v>
      </c>
      <c r="BR668" s="758">
        <v>2000000</v>
      </c>
      <c r="BS668" s="758">
        <v>2000000</v>
      </c>
      <c r="BT668" s="758">
        <v>2000000</v>
      </c>
      <c r="BU668" s="758">
        <v>2000000</v>
      </c>
      <c r="BV668" s="758">
        <v>2000000</v>
      </c>
      <c r="BW668" s="758">
        <v>2000000</v>
      </c>
      <c r="BX668" s="758">
        <v>2000000</v>
      </c>
      <c r="BY668" s="758">
        <v>2000000</v>
      </c>
      <c r="BZ668" s="791">
        <v>24000000</v>
      </c>
      <c r="CB668" s="758">
        <v>2000000</v>
      </c>
      <c r="CC668" s="758">
        <v>2000000</v>
      </c>
      <c r="CD668" s="758">
        <v>2000000</v>
      </c>
      <c r="CE668" s="758">
        <v>2000000</v>
      </c>
      <c r="CF668" s="758">
        <v>2000000</v>
      </c>
      <c r="CG668" s="758">
        <v>2000000</v>
      </c>
      <c r="CH668" s="758">
        <v>2000000</v>
      </c>
      <c r="CI668" s="758">
        <v>2000000</v>
      </c>
      <c r="CJ668" s="758">
        <v>2000000</v>
      </c>
      <c r="CK668" s="758">
        <v>2000000</v>
      </c>
      <c r="CL668" s="758">
        <v>2000000</v>
      </c>
      <c r="CM668" s="758">
        <v>2000000</v>
      </c>
      <c r="CN668" s="791">
        <v>24000000</v>
      </c>
      <c r="CP668" s="653">
        <v>3678200</v>
      </c>
      <c r="CQ668" s="653">
        <v>1650000</v>
      </c>
      <c r="CR668" s="524">
        <v>4000000</v>
      </c>
      <c r="CS668" s="653">
        <v>1350000</v>
      </c>
      <c r="CT668" s="524">
        <v>4000000</v>
      </c>
      <c r="CU668" s="653">
        <v>4145600</v>
      </c>
      <c r="CV668" s="524">
        <v>4000000</v>
      </c>
      <c r="CW668" s="653">
        <v>5630800</v>
      </c>
      <c r="CX668" s="524">
        <v>4000000</v>
      </c>
      <c r="CY668" s="653">
        <v>4067800</v>
      </c>
      <c r="CZ668" s="524">
        <v>4000000</v>
      </c>
      <c r="DA668" s="653"/>
      <c r="DB668" s="524">
        <v>4000000</v>
      </c>
      <c r="DC668" s="653">
        <v>3845600</v>
      </c>
      <c r="DD668" s="524">
        <v>4000000</v>
      </c>
      <c r="DE668" s="758"/>
      <c r="DF668" s="524">
        <v>4000000</v>
      </c>
      <c r="DG668" s="757">
        <v>4000000</v>
      </c>
      <c r="DH668" s="758"/>
      <c r="DI668" s="524">
        <v>4000000</v>
      </c>
      <c r="DJ668" s="757">
        <v>4000000</v>
      </c>
      <c r="DK668" s="758"/>
      <c r="DL668" s="524">
        <v>4000000</v>
      </c>
      <c r="DM668" s="757">
        <v>4000000</v>
      </c>
      <c r="DN668" s="758"/>
      <c r="DO668" s="524">
        <v>4000000</v>
      </c>
      <c r="DP668" s="757">
        <v>4000000</v>
      </c>
      <c r="DQ668" s="493">
        <f t="shared" si="401"/>
        <v>40368000</v>
      </c>
      <c r="DR668" s="479">
        <f t="shared" si="403"/>
        <v>42823800</v>
      </c>
      <c r="DS668" s="1019">
        <v>4000000</v>
      </c>
      <c r="DT668" s="1019">
        <v>4000000</v>
      </c>
      <c r="DU668" s="1019">
        <v>4000000</v>
      </c>
      <c r="DV668" s="1019">
        <v>4000000</v>
      </c>
      <c r="DW668" s="1019">
        <v>4000000</v>
      </c>
      <c r="DX668" s="1019">
        <v>4000000</v>
      </c>
      <c r="DY668" s="1019">
        <v>4000000</v>
      </c>
      <c r="DZ668" s="1019">
        <v>4000000</v>
      </c>
      <c r="EA668" s="1019">
        <v>4000000</v>
      </c>
      <c r="EB668" s="1019">
        <v>4000000</v>
      </c>
      <c r="EC668" s="1019">
        <v>4000000</v>
      </c>
      <c r="ED668" s="1019">
        <v>4000000</v>
      </c>
      <c r="EE668" s="1119">
        <f t="shared" si="400"/>
        <v>48000000</v>
      </c>
      <c r="EF668" s="443">
        <v>34000000</v>
      </c>
      <c r="EG668" s="443">
        <v>37000000</v>
      </c>
      <c r="EH668" s="443">
        <v>41000000</v>
      </c>
      <c r="EI668" s="443">
        <v>41000000</v>
      </c>
      <c r="EJ668" s="367">
        <v>3000019640</v>
      </c>
      <c r="EL668" s="177"/>
      <c r="EM668" s="177"/>
      <c r="EN668" s="177"/>
    </row>
    <row r="669" spans="1:144" outlineLevel="2">
      <c r="A669" s="367" t="s">
        <v>196</v>
      </c>
      <c r="B669" s="378"/>
      <c r="C669" s="370" t="s">
        <v>688</v>
      </c>
      <c r="D669" s="370" t="s">
        <v>40</v>
      </c>
      <c r="E669" s="383" t="s">
        <v>479</v>
      </c>
      <c r="F669" s="380">
        <v>3000000758</v>
      </c>
      <c r="G669" s="185"/>
      <c r="H669" s="31"/>
      <c r="I669" s="195"/>
      <c r="J669" s="185"/>
      <c r="K669" s="185"/>
      <c r="L669" s="185"/>
      <c r="M669" s="185"/>
      <c r="N669" s="185"/>
      <c r="O669" s="7"/>
      <c r="P669" s="7"/>
      <c r="Q669" s="7"/>
      <c r="R669" s="7"/>
      <c r="S669" s="14">
        <f>SUM(G669,H669,I669,J669,K669,L669,M669,N669,O669,P669,Q669,R669)</f>
        <v>0</v>
      </c>
      <c r="T669" s="15"/>
      <c r="U669" s="185"/>
      <c r="V669" s="31"/>
      <c r="W669" s="195"/>
      <c r="X669" s="185"/>
      <c r="Y669" s="185"/>
      <c r="Z669" s="185"/>
      <c r="AA669" s="185"/>
      <c r="AB669" s="185"/>
      <c r="AC669" s="7"/>
      <c r="AD669" s="7"/>
      <c r="AE669" s="7"/>
      <c r="AF669" s="7"/>
      <c r="AG669" s="759">
        <f>SUM(U669,V669,W669,X669,Y669,Z669,AA669,AB669,AC669,AD669,AE669,AF669)</f>
        <v>0</v>
      </c>
      <c r="AH669" s="811" t="e">
        <v>#N/A</v>
      </c>
      <c r="AI669" s="758"/>
      <c r="AJ669" s="874"/>
      <c r="AK669" s="854"/>
      <c r="AL669" s="758"/>
      <c r="AM669" s="758"/>
      <c r="AN669" s="758"/>
      <c r="AO669" s="758"/>
      <c r="AP669" s="758"/>
      <c r="AQ669" s="518">
        <v>0</v>
      </c>
      <c r="AR669" s="6"/>
      <c r="AS669" s="813">
        <v>32800000</v>
      </c>
      <c r="AT669" s="813">
        <v>15500000</v>
      </c>
      <c r="AU669" s="518">
        <f t="shared" si="404"/>
        <v>0</v>
      </c>
      <c r="AV669" s="518">
        <f t="shared" si="404"/>
        <v>0</v>
      </c>
      <c r="AW669" s="518">
        <f t="shared" si="404"/>
        <v>0</v>
      </c>
      <c r="AX669" s="518">
        <f t="shared" si="402"/>
        <v>48300000</v>
      </c>
      <c r="AY669" s="811">
        <v>0</v>
      </c>
      <c r="AZ669" s="758"/>
      <c r="BA669" s="874"/>
      <c r="BB669" s="854"/>
      <c r="BC669" s="758"/>
      <c r="BD669" s="758"/>
      <c r="BE669" s="758"/>
      <c r="BF669" s="758"/>
      <c r="BG669" s="518">
        <f>AP669</f>
        <v>0</v>
      </c>
      <c r="BH669" s="758">
        <v>0</v>
      </c>
      <c r="BI669" s="758">
        <v>0</v>
      </c>
      <c r="BJ669" s="758">
        <v>0</v>
      </c>
      <c r="BK669" s="758">
        <v>0</v>
      </c>
      <c r="BL669" s="759">
        <f>SUM(AZ669,BA669,BB669,BC669,BD669,BE669,BF669,BG669,BH669,BI669,BJ669,BK669)</f>
        <v>0</v>
      </c>
      <c r="BN669" s="758">
        <v>10000000</v>
      </c>
      <c r="BO669" s="758">
        <v>10000000</v>
      </c>
      <c r="BP669" s="758">
        <v>10000000</v>
      </c>
      <c r="BQ669" s="758">
        <v>10000000</v>
      </c>
      <c r="BR669" s="758">
        <v>10000000</v>
      </c>
      <c r="BS669" s="758">
        <v>10000000</v>
      </c>
      <c r="BT669" s="758">
        <v>10000000</v>
      </c>
      <c r="BU669" s="758">
        <v>10000000</v>
      </c>
      <c r="BV669" s="758">
        <v>10000000</v>
      </c>
      <c r="BW669" s="758">
        <v>10000000</v>
      </c>
      <c r="BX669" s="758">
        <v>10000000</v>
      </c>
      <c r="BY669" s="758">
        <v>10000000</v>
      </c>
      <c r="BZ669" s="791">
        <v>120000000</v>
      </c>
      <c r="CB669" s="758">
        <v>10000000</v>
      </c>
      <c r="CC669" s="758">
        <v>10000000</v>
      </c>
      <c r="CD669" s="758">
        <v>10000000</v>
      </c>
      <c r="CE669" s="758">
        <v>10000000</v>
      </c>
      <c r="CF669" s="758">
        <v>10000000</v>
      </c>
      <c r="CG669" s="758">
        <v>10000000</v>
      </c>
      <c r="CH669" s="758">
        <v>10000000</v>
      </c>
      <c r="CI669" s="758">
        <v>10000000</v>
      </c>
      <c r="CJ669" s="758">
        <v>10000000</v>
      </c>
      <c r="CK669" s="758">
        <v>10000000</v>
      </c>
      <c r="CL669" s="758">
        <v>10000000</v>
      </c>
      <c r="CM669" s="758">
        <v>10000000</v>
      </c>
      <c r="CN669" s="791">
        <v>120000000</v>
      </c>
      <c r="CO669" s="37"/>
      <c r="CP669" s="657">
        <v>15500000</v>
      </c>
      <c r="CQ669" s="657"/>
      <c r="CR669" s="528">
        <v>15000000</v>
      </c>
      <c r="CS669" s="657"/>
      <c r="CT669" s="528">
        <v>15000000</v>
      </c>
      <c r="CU669" s="657"/>
      <c r="CV669" s="528">
        <v>15000000</v>
      </c>
      <c r="CW669" s="657"/>
      <c r="CX669" s="528">
        <v>15000000</v>
      </c>
      <c r="CY669" s="657"/>
      <c r="CZ669" s="528">
        <v>15000000</v>
      </c>
      <c r="DA669" s="657"/>
      <c r="DB669" s="528">
        <v>15000000</v>
      </c>
      <c r="DC669" s="657">
        <v>0</v>
      </c>
      <c r="DD669" s="528">
        <v>15000000</v>
      </c>
      <c r="DE669" s="758"/>
      <c r="DF669" s="528">
        <v>15000000</v>
      </c>
      <c r="DG669" s="757">
        <v>15000000</v>
      </c>
      <c r="DH669" s="758"/>
      <c r="DI669" s="528">
        <v>15000000</v>
      </c>
      <c r="DJ669" s="757">
        <v>15000000</v>
      </c>
      <c r="DK669" s="758"/>
      <c r="DL669" s="528">
        <v>15000000</v>
      </c>
      <c r="DM669" s="757">
        <v>15000000</v>
      </c>
      <c r="DN669" s="758"/>
      <c r="DO669" s="528">
        <v>15000000</v>
      </c>
      <c r="DP669" s="757">
        <v>15000000</v>
      </c>
      <c r="DQ669" s="493">
        <f t="shared" si="401"/>
        <v>75500000</v>
      </c>
      <c r="DR669" s="479">
        <f t="shared" si="403"/>
        <v>135500000</v>
      </c>
      <c r="DS669" s="1020">
        <v>15000000</v>
      </c>
      <c r="DT669" s="1020">
        <v>15000000</v>
      </c>
      <c r="DU669" s="1020">
        <v>15000000</v>
      </c>
      <c r="DV669" s="1020">
        <v>15000000</v>
      </c>
      <c r="DW669" s="1020">
        <v>15000000</v>
      </c>
      <c r="DX669" s="1020">
        <v>15000000</v>
      </c>
      <c r="DY669" s="1020">
        <v>15000000</v>
      </c>
      <c r="DZ669" s="1020">
        <v>15000000</v>
      </c>
      <c r="EA669" s="1020">
        <v>15000000</v>
      </c>
      <c r="EB669" s="1020">
        <v>15000000</v>
      </c>
      <c r="EC669" s="1020">
        <v>15000000</v>
      </c>
      <c r="ED669" s="1020">
        <v>15000000</v>
      </c>
      <c r="EE669" s="1119">
        <f t="shared" si="400"/>
        <v>180000000</v>
      </c>
      <c r="EF669" s="443">
        <v>168000000</v>
      </c>
      <c r="EG669" s="443">
        <v>180000000</v>
      </c>
      <c r="EH669" s="443">
        <v>199000000</v>
      </c>
      <c r="EI669" s="443">
        <v>199000000</v>
      </c>
      <c r="EJ669" s="367">
        <v>3000000758</v>
      </c>
      <c r="EL669" s="177"/>
      <c r="EM669" s="177"/>
      <c r="EN669" s="177"/>
    </row>
    <row r="670" spans="1:144" outlineLevel="2">
      <c r="A670" s="433" t="s">
        <v>196</v>
      </c>
      <c r="B670" s="378"/>
      <c r="C670" s="370" t="s">
        <v>688</v>
      </c>
      <c r="D670" s="370" t="s">
        <v>40</v>
      </c>
      <c r="E670" s="383" t="s">
        <v>163</v>
      </c>
      <c r="F670" s="380">
        <v>3000018197</v>
      </c>
      <c r="G670" s="196"/>
      <c r="H670" s="31"/>
      <c r="I670" s="195"/>
      <c r="J670" s="185"/>
      <c r="K670" s="185"/>
      <c r="L670" s="185"/>
      <c r="M670" s="185"/>
      <c r="N670" s="185"/>
      <c r="O670" s="7"/>
      <c r="P670" s="7"/>
      <c r="Q670" s="7"/>
      <c r="R670" s="7"/>
      <c r="S670" s="14">
        <f>SUM(G670,H670,I670,J670,K670,L670,M670,N670,O670,P670,Q670,R670)</f>
        <v>0</v>
      </c>
      <c r="T670" s="179"/>
      <c r="U670" s="196"/>
      <c r="V670" s="31"/>
      <c r="W670" s="195"/>
      <c r="X670" s="185"/>
      <c r="Y670" s="185"/>
      <c r="Z670" s="185"/>
      <c r="AA670" s="185"/>
      <c r="AB670" s="185"/>
      <c r="AC670" s="7"/>
      <c r="AD670" s="7"/>
      <c r="AE670" s="7"/>
      <c r="AF670" s="7"/>
      <c r="AG670" s="759">
        <f>SUM(U670,V670,W670,X670,Y670,Z670,AA670,AB670,AC670,AD670,AE670,AF670)</f>
        <v>0</v>
      </c>
      <c r="AH670" s="811">
        <v>3000018197</v>
      </c>
      <c r="AI670" s="485"/>
      <c r="AJ670" s="874"/>
      <c r="AK670" s="854"/>
      <c r="AL670" s="758"/>
      <c r="AM670" s="758"/>
      <c r="AN670" s="758"/>
      <c r="AO670" s="758"/>
      <c r="AP670" s="758">
        <v>1850000</v>
      </c>
      <c r="AQ670" s="518">
        <v>0</v>
      </c>
      <c r="AR670" s="518"/>
      <c r="AS670" s="518"/>
      <c r="AT670" s="518"/>
      <c r="AU670" s="518">
        <f t="shared" si="404"/>
        <v>0</v>
      </c>
      <c r="AV670" s="518">
        <f t="shared" si="404"/>
        <v>0</v>
      </c>
      <c r="AW670" s="518">
        <f t="shared" si="404"/>
        <v>0</v>
      </c>
      <c r="AX670" s="518">
        <f t="shared" si="402"/>
        <v>1850000</v>
      </c>
      <c r="AY670" s="811">
        <v>0</v>
      </c>
      <c r="AZ670" s="485"/>
      <c r="BA670" s="874"/>
      <c r="BB670" s="854"/>
      <c r="BC670" s="758"/>
      <c r="BD670" s="758"/>
      <c r="BE670" s="758"/>
      <c r="BF670" s="758"/>
      <c r="BG670" s="518">
        <f>AP670</f>
        <v>1850000</v>
      </c>
      <c r="BH670" s="758">
        <v>0</v>
      </c>
      <c r="BI670" s="758">
        <v>0</v>
      </c>
      <c r="BJ670" s="758">
        <v>0</v>
      </c>
      <c r="BK670" s="758">
        <v>0</v>
      </c>
      <c r="BL670" s="759">
        <f>SUM(AZ670,BA670,BB670,BC670,BD670,BE670,BF670,BG670,BH670,BI670,BJ670,BK670)</f>
        <v>1850000</v>
      </c>
      <c r="BN670" s="758">
        <v>2000000</v>
      </c>
      <c r="BO670" s="758">
        <v>2000000</v>
      </c>
      <c r="BP670" s="758">
        <v>2000000</v>
      </c>
      <c r="BQ670" s="758">
        <v>2000000</v>
      </c>
      <c r="BR670" s="758">
        <v>2000000</v>
      </c>
      <c r="BS670" s="758">
        <v>2000000</v>
      </c>
      <c r="BT670" s="758">
        <v>2000000</v>
      </c>
      <c r="BU670" s="758">
        <v>2000000</v>
      </c>
      <c r="BV670" s="758">
        <v>2000000</v>
      </c>
      <c r="BW670" s="758">
        <v>2000000</v>
      </c>
      <c r="BX670" s="758">
        <v>2000000</v>
      </c>
      <c r="BY670" s="758">
        <v>2000000</v>
      </c>
      <c r="BZ670" s="791">
        <v>24000000</v>
      </c>
      <c r="CB670" s="758">
        <v>2000000</v>
      </c>
      <c r="CC670" s="758">
        <v>2000000</v>
      </c>
      <c r="CD670" s="758">
        <v>2000000</v>
      </c>
      <c r="CE670" s="758">
        <v>2000000</v>
      </c>
      <c r="CF670" s="758">
        <v>2000000</v>
      </c>
      <c r="CG670" s="758">
        <v>2000000</v>
      </c>
      <c r="CH670" s="758">
        <v>2000000</v>
      </c>
      <c r="CI670" s="758">
        <v>2000000</v>
      </c>
      <c r="CJ670" s="758">
        <v>2000000</v>
      </c>
      <c r="CK670" s="758">
        <v>2000000</v>
      </c>
      <c r="CL670" s="758">
        <v>2000000</v>
      </c>
      <c r="CM670" s="758">
        <v>2000000</v>
      </c>
      <c r="CN670" s="791">
        <v>24000000</v>
      </c>
      <c r="CO670" s="37"/>
      <c r="CP670" s="657"/>
      <c r="CQ670" s="657"/>
      <c r="CR670" s="528"/>
      <c r="CS670" s="657"/>
      <c r="CT670" s="528"/>
      <c r="CU670" s="657"/>
      <c r="CV670" s="528"/>
      <c r="CW670" s="657"/>
      <c r="CX670" s="528"/>
      <c r="CY670" s="657"/>
      <c r="CZ670" s="528"/>
      <c r="DA670" s="657"/>
      <c r="DB670" s="528"/>
      <c r="DC670" s="657">
        <v>0</v>
      </c>
      <c r="DD670" s="528"/>
      <c r="DE670" s="758"/>
      <c r="DF670" s="528"/>
      <c r="DG670" s="757"/>
      <c r="DH670" s="758"/>
      <c r="DI670" s="528"/>
      <c r="DJ670" s="757"/>
      <c r="DK670" s="758"/>
      <c r="DL670" s="528"/>
      <c r="DM670" s="757"/>
      <c r="DN670" s="758"/>
      <c r="DO670" s="528"/>
      <c r="DP670" s="757"/>
      <c r="DQ670" s="493">
        <f t="shared" si="401"/>
        <v>0</v>
      </c>
      <c r="DR670" s="479">
        <f t="shared" si="403"/>
        <v>0</v>
      </c>
      <c r="DS670" s="1020"/>
      <c r="DT670" s="1020"/>
      <c r="DU670" s="1020"/>
      <c r="DV670" s="1020"/>
      <c r="DW670" s="1020"/>
      <c r="DX670" s="1020"/>
      <c r="DY670" s="1020"/>
      <c r="DZ670" s="1020"/>
      <c r="EA670" s="1020"/>
      <c r="EB670" s="1020"/>
      <c r="EC670" s="1020"/>
      <c r="ED670" s="1020"/>
      <c r="EE670" s="1119">
        <f t="shared" si="400"/>
        <v>0</v>
      </c>
      <c r="EF670" s="443">
        <v>34000000</v>
      </c>
      <c r="EG670" s="443">
        <v>37000000</v>
      </c>
      <c r="EH670" s="443">
        <v>42000000</v>
      </c>
      <c r="EI670" s="443">
        <v>42000000</v>
      </c>
      <c r="EJ670" s="367">
        <v>3000018197</v>
      </c>
      <c r="EL670" s="177"/>
      <c r="EM670" s="177"/>
      <c r="EN670" s="177"/>
    </row>
    <row r="671" spans="1:144" outlineLevel="2">
      <c r="A671" s="367" t="s">
        <v>196</v>
      </c>
      <c r="B671" s="378"/>
      <c r="C671" s="370" t="s">
        <v>688</v>
      </c>
      <c r="D671" s="370" t="s">
        <v>40</v>
      </c>
      <c r="E671" s="383" t="s">
        <v>873</v>
      </c>
      <c r="F671" s="380">
        <v>3000007995</v>
      </c>
      <c r="G671" s="196"/>
      <c r="H671" s="30"/>
      <c r="I671" s="185"/>
      <c r="J671" s="185"/>
      <c r="K671" s="185"/>
      <c r="L671" s="185"/>
      <c r="M671" s="185"/>
      <c r="N671" s="185"/>
      <c r="O671" s="7"/>
      <c r="P671" s="7"/>
      <c r="Q671" s="7"/>
      <c r="R671" s="7"/>
      <c r="S671" s="14">
        <f>SUM(G671,H671,I671,J671,K671,L671,M671,N671,O671,P671,Q671,R671)</f>
        <v>0</v>
      </c>
      <c r="T671" s="179"/>
      <c r="U671" s="196"/>
      <c r="V671" s="30"/>
      <c r="W671" s="185"/>
      <c r="X671" s="185"/>
      <c r="Y671" s="185"/>
      <c r="Z671" s="185"/>
      <c r="AA671" s="185"/>
      <c r="AB671" s="185"/>
      <c r="AC671" s="7"/>
      <c r="AD671" s="7"/>
      <c r="AE671" s="7"/>
      <c r="AF671" s="7"/>
      <c r="AG671" s="759">
        <f>SUM(U671,V671,W671,X671,Y671,Z671,AA671,AB671,AC671,AD671,AE671,AF671)</f>
        <v>0</v>
      </c>
      <c r="AH671" s="811">
        <v>3000007995</v>
      </c>
      <c r="AI671" s="485"/>
      <c r="AJ671" s="859"/>
      <c r="AK671" s="758"/>
      <c r="AL671" s="758"/>
      <c r="AM671" s="758"/>
      <c r="AN671" s="758"/>
      <c r="AO671" s="758"/>
      <c r="AP671" s="758">
        <v>894000</v>
      </c>
      <c r="AQ671" s="518">
        <v>0</v>
      </c>
      <c r="AR671" s="518"/>
      <c r="AS671" s="518"/>
      <c r="AT671" s="518"/>
      <c r="AU671" s="518">
        <f t="shared" si="404"/>
        <v>0</v>
      </c>
      <c r="AV671" s="518">
        <f t="shared" si="404"/>
        <v>0</v>
      </c>
      <c r="AW671" s="518">
        <f t="shared" si="404"/>
        <v>0</v>
      </c>
      <c r="AX671" s="518">
        <f t="shared" si="402"/>
        <v>894000</v>
      </c>
      <c r="AY671" s="811">
        <v>0</v>
      </c>
      <c r="AZ671" s="485"/>
      <c r="BA671" s="859"/>
      <c r="BB671" s="758"/>
      <c r="BC671" s="758"/>
      <c r="BD671" s="758"/>
      <c r="BE671" s="758"/>
      <c r="BF671" s="758"/>
      <c r="BG671" s="518">
        <f>AP671</f>
        <v>894000</v>
      </c>
      <c r="BH671" s="758">
        <v>0</v>
      </c>
      <c r="BI671" s="758">
        <v>0</v>
      </c>
      <c r="BJ671" s="758">
        <v>0</v>
      </c>
      <c r="BK671" s="758">
        <v>0</v>
      </c>
      <c r="BL671" s="759">
        <f>SUM(AZ671,BA671,BB671,BC671,BD671,BE671,BF671,BG671,BH671,BI671,BJ671,BK671)</f>
        <v>894000</v>
      </c>
      <c r="BN671" s="758">
        <v>0</v>
      </c>
      <c r="BO671" s="758">
        <v>0</v>
      </c>
      <c r="BP671" s="758">
        <v>0</v>
      </c>
      <c r="BQ671" s="758">
        <v>0</v>
      </c>
      <c r="BR671" s="758">
        <v>0</v>
      </c>
      <c r="BS671" s="758">
        <v>0</v>
      </c>
      <c r="BT671" s="758">
        <v>0</v>
      </c>
      <c r="BU671" s="758">
        <v>0</v>
      </c>
      <c r="BV671" s="758">
        <v>0</v>
      </c>
      <c r="BW671" s="758">
        <v>0</v>
      </c>
      <c r="BX671" s="758">
        <v>0</v>
      </c>
      <c r="BY671" s="758">
        <v>0</v>
      </c>
      <c r="BZ671" s="791">
        <v>0</v>
      </c>
      <c r="CB671" s="758">
        <v>0</v>
      </c>
      <c r="CC671" s="758">
        <v>0</v>
      </c>
      <c r="CD671" s="758">
        <v>0</v>
      </c>
      <c r="CE671" s="758">
        <v>0</v>
      </c>
      <c r="CF671" s="758">
        <v>0</v>
      </c>
      <c r="CG671" s="758">
        <v>0</v>
      </c>
      <c r="CH671" s="758">
        <v>0</v>
      </c>
      <c r="CI671" s="758">
        <v>0</v>
      </c>
      <c r="CJ671" s="758">
        <v>0</v>
      </c>
      <c r="CK671" s="758">
        <v>0</v>
      </c>
      <c r="CL671" s="758">
        <v>0</v>
      </c>
      <c r="CM671" s="758">
        <v>0</v>
      </c>
      <c r="CN671" s="791">
        <v>0</v>
      </c>
      <c r="CO671" s="37"/>
      <c r="CP671" s="657"/>
      <c r="CQ671" s="657"/>
      <c r="CR671" s="528"/>
      <c r="CS671" s="657"/>
      <c r="CT671" s="528"/>
      <c r="CU671" s="657"/>
      <c r="CV671" s="528"/>
      <c r="CW671" s="657"/>
      <c r="CX671" s="528"/>
      <c r="CY671" s="657"/>
      <c r="CZ671" s="528"/>
      <c r="DA671" s="657"/>
      <c r="DB671" s="528"/>
      <c r="DC671" s="657">
        <v>0</v>
      </c>
      <c r="DD671" s="528"/>
      <c r="DE671" s="758"/>
      <c r="DF671" s="528"/>
      <c r="DG671" s="757"/>
      <c r="DH671" s="758"/>
      <c r="DI671" s="528"/>
      <c r="DJ671" s="757"/>
      <c r="DK671" s="758"/>
      <c r="DL671" s="528"/>
      <c r="DM671" s="757"/>
      <c r="DN671" s="758"/>
      <c r="DO671" s="528"/>
      <c r="DP671" s="757"/>
      <c r="DQ671" s="493">
        <f t="shared" si="401"/>
        <v>0</v>
      </c>
      <c r="DR671" s="479">
        <f t="shared" si="403"/>
        <v>0</v>
      </c>
      <c r="DS671" s="1020"/>
      <c r="DT671" s="1020"/>
      <c r="DU671" s="1020"/>
      <c r="DV671" s="1020"/>
      <c r="DW671" s="1020"/>
      <c r="DX671" s="1020"/>
      <c r="DY671" s="1020"/>
      <c r="DZ671" s="1020"/>
      <c r="EA671" s="1020"/>
      <c r="EB671" s="1020"/>
      <c r="EC671" s="1020"/>
      <c r="ED671" s="1020"/>
      <c r="EE671" s="1119">
        <f t="shared" si="400"/>
        <v>0</v>
      </c>
      <c r="EF671" s="443">
        <f>EE671*1.17</f>
        <v>0</v>
      </c>
      <c r="EG671" s="443">
        <f>EF671*1.08</f>
        <v>0</v>
      </c>
      <c r="EH671" s="443">
        <f>EG671*1.09</f>
        <v>0</v>
      </c>
      <c r="EI671" s="443">
        <f>EH671*1.09</f>
        <v>0</v>
      </c>
      <c r="EJ671" s="367">
        <v>3000007995</v>
      </c>
      <c r="EL671" s="177"/>
      <c r="EM671" s="177"/>
      <c r="EN671" s="177"/>
    </row>
    <row r="672" spans="1:144" outlineLevel="2">
      <c r="A672" s="433"/>
      <c r="B672" s="378"/>
      <c r="C672" s="370" t="s">
        <v>688</v>
      </c>
      <c r="D672" s="370" t="s">
        <v>108</v>
      </c>
      <c r="E672" s="383" t="s">
        <v>874</v>
      </c>
      <c r="F672" s="380">
        <v>3000007943</v>
      </c>
      <c r="G672" s="196"/>
      <c r="H672" s="31"/>
      <c r="I672" s="195"/>
      <c r="J672" s="185"/>
      <c r="K672" s="185"/>
      <c r="L672" s="185"/>
      <c r="M672" s="185"/>
      <c r="N672" s="185"/>
      <c r="O672" s="7"/>
      <c r="P672" s="7"/>
      <c r="Q672" s="7"/>
      <c r="R672" s="7"/>
      <c r="S672" s="14"/>
      <c r="T672" s="179"/>
      <c r="U672" s="196"/>
      <c r="V672" s="31"/>
      <c r="W672" s="195"/>
      <c r="X672" s="185"/>
      <c r="Y672" s="185"/>
      <c r="Z672" s="185"/>
      <c r="AA672" s="185"/>
      <c r="AB672" s="185"/>
      <c r="AC672" s="7"/>
      <c r="AD672" s="7"/>
      <c r="AE672" s="7"/>
      <c r="AF672" s="7"/>
      <c r="AG672" s="759"/>
      <c r="AH672" s="811"/>
      <c r="AI672" s="485"/>
      <c r="AJ672" s="874"/>
      <c r="AK672" s="854"/>
      <c r="AL672" s="758"/>
      <c r="AM672" s="758"/>
      <c r="AN672" s="758"/>
      <c r="AO672" s="758"/>
      <c r="AP672" s="758"/>
      <c r="AQ672" s="518"/>
      <c r="AR672" s="518"/>
      <c r="AS672" s="518"/>
      <c r="AT672" s="518"/>
      <c r="AU672" s="518"/>
      <c r="AV672" s="518"/>
      <c r="AW672" s="518"/>
      <c r="AX672" s="518"/>
      <c r="AY672" s="811"/>
      <c r="AZ672" s="485"/>
      <c r="BA672" s="874"/>
      <c r="BB672" s="854"/>
      <c r="BC672" s="758"/>
      <c r="BD672" s="758"/>
      <c r="BE672" s="758"/>
      <c r="BF672" s="758"/>
      <c r="BG672" s="518"/>
      <c r="BH672" s="758"/>
      <c r="BI672" s="758"/>
      <c r="BJ672" s="758"/>
      <c r="BK672" s="758"/>
      <c r="BL672" s="759"/>
      <c r="BN672" s="758"/>
      <c r="BO672" s="758"/>
      <c r="BP672" s="758"/>
      <c r="BQ672" s="758"/>
      <c r="BR672" s="758"/>
      <c r="BS672" s="758"/>
      <c r="BT672" s="758"/>
      <c r="BU672" s="758"/>
      <c r="BV672" s="758"/>
      <c r="BW672" s="758"/>
      <c r="BX672" s="758"/>
      <c r="BY672" s="758"/>
      <c r="BZ672" s="791"/>
      <c r="CB672" s="758"/>
      <c r="CC672" s="758"/>
      <c r="CD672" s="758"/>
      <c r="CE672" s="758"/>
      <c r="CF672" s="758"/>
      <c r="CG672" s="758"/>
      <c r="CH672" s="758"/>
      <c r="CI672" s="758"/>
      <c r="CJ672" s="758"/>
      <c r="CK672" s="758"/>
      <c r="CL672" s="758"/>
      <c r="CM672" s="758"/>
      <c r="CN672" s="791"/>
      <c r="CO672" s="37"/>
      <c r="CP672" s="657"/>
      <c r="CQ672" s="657"/>
      <c r="CR672" s="528"/>
      <c r="CS672" s="657">
        <v>2800800</v>
      </c>
      <c r="CT672" s="528"/>
      <c r="CU672" s="657">
        <v>1650000</v>
      </c>
      <c r="CV672" s="528"/>
      <c r="CW672" s="657">
        <v>3045600</v>
      </c>
      <c r="CX672" s="528"/>
      <c r="CY672" s="657">
        <v>2250000</v>
      </c>
      <c r="CZ672" s="528"/>
      <c r="DA672" s="657"/>
      <c r="DB672" s="528"/>
      <c r="DC672" s="657">
        <v>0</v>
      </c>
      <c r="DD672" s="528"/>
      <c r="DE672" s="758"/>
      <c r="DF672" s="528"/>
      <c r="DG672" s="757"/>
      <c r="DH672" s="758"/>
      <c r="DI672" s="528"/>
      <c r="DJ672" s="757"/>
      <c r="DK672" s="758"/>
      <c r="DL672" s="528"/>
      <c r="DM672" s="757"/>
      <c r="DN672" s="758"/>
      <c r="DO672" s="528"/>
      <c r="DP672" s="757"/>
      <c r="DQ672" s="493">
        <f t="shared" si="401"/>
        <v>9746400</v>
      </c>
      <c r="DR672" s="479">
        <f t="shared" si="403"/>
        <v>4450800</v>
      </c>
      <c r="DS672" s="1020"/>
      <c r="DT672" s="1020"/>
      <c r="DU672" s="1020"/>
      <c r="DV672" s="1020"/>
      <c r="DW672" s="1020"/>
      <c r="DX672" s="1020"/>
      <c r="DY672" s="1020"/>
      <c r="DZ672" s="1020"/>
      <c r="EA672" s="1020"/>
      <c r="EB672" s="1020"/>
      <c r="EC672" s="1020"/>
      <c r="ED672" s="1020"/>
      <c r="EE672" s="1119">
        <f t="shared" si="400"/>
        <v>0</v>
      </c>
      <c r="EF672" s="443"/>
      <c r="EG672" s="443"/>
      <c r="EH672" s="443"/>
      <c r="EI672" s="443"/>
      <c r="EL672" s="177"/>
      <c r="EM672" s="177"/>
      <c r="EN672" s="177"/>
    </row>
    <row r="673" spans="1:144" outlineLevel="2">
      <c r="A673" s="367" t="s">
        <v>194</v>
      </c>
      <c r="B673" s="378"/>
      <c r="C673" s="370" t="s">
        <v>688</v>
      </c>
      <c r="D673" s="370" t="s">
        <v>40</v>
      </c>
      <c r="E673" s="383" t="s">
        <v>395</v>
      </c>
      <c r="F673" s="380">
        <v>8000000019</v>
      </c>
      <c r="G673" s="186"/>
      <c r="H673" s="31"/>
      <c r="I673" s="27"/>
      <c r="J673" s="185"/>
      <c r="K673" s="185"/>
      <c r="L673" s="185"/>
      <c r="M673" s="185"/>
      <c r="N673" s="185"/>
      <c r="O673" s="7"/>
      <c r="P673" s="7"/>
      <c r="Q673" s="7"/>
      <c r="R673" s="7"/>
      <c r="S673" s="14">
        <f>SUM(G673,H673,I673,J673,K673,L673,M673,N673,O673,P673,Q673,R673)</f>
        <v>0</v>
      </c>
      <c r="T673" s="179"/>
      <c r="U673" s="186"/>
      <c r="V673" s="31"/>
      <c r="W673" s="27"/>
      <c r="X673" s="185"/>
      <c r="Y673" s="185"/>
      <c r="Z673" s="185"/>
      <c r="AA673" s="185"/>
      <c r="AB673" s="185"/>
      <c r="AC673" s="7"/>
      <c r="AD673" s="7"/>
      <c r="AE673" s="7"/>
      <c r="AF673" s="7"/>
      <c r="AG673" s="759">
        <f>SUM(U673,V673,W673,X673,Y673,Z673,AA673,AB673,AC673,AD673,AE673,AF673)</f>
        <v>0</v>
      </c>
      <c r="AH673" s="811">
        <v>8000000019</v>
      </c>
      <c r="AI673" s="814">
        <v>108525000</v>
      </c>
      <c r="AJ673" s="874">
        <v>25625000</v>
      </c>
      <c r="AK673" s="858">
        <v>39800000</v>
      </c>
      <c r="AL673" s="758">
        <v>74550000</v>
      </c>
      <c r="AM673" s="758">
        <v>407080000</v>
      </c>
      <c r="AN673" s="758">
        <v>162650000</v>
      </c>
      <c r="AO673" s="758">
        <v>181748000</v>
      </c>
      <c r="AP673" s="758">
        <v>85843000</v>
      </c>
      <c r="AQ673" s="518">
        <v>136197500</v>
      </c>
      <c r="AR673" s="813">
        <v>67225000</v>
      </c>
      <c r="AS673" s="813">
        <v>60575000</v>
      </c>
      <c r="AT673" s="813">
        <v>76325000</v>
      </c>
      <c r="AU673" s="518">
        <f t="shared" ref="AU673:AW675" si="405">BI673</f>
        <v>140000000</v>
      </c>
      <c r="AV673" s="518">
        <f t="shared" si="405"/>
        <v>140000000</v>
      </c>
      <c r="AW673" s="518">
        <f t="shared" si="405"/>
        <v>140000000</v>
      </c>
      <c r="AX673" s="518">
        <f t="shared" ref="AX673:AX689" si="406">SUM(AI673,AJ673,AK673,AL673,AM673,AN673,AO673,AP673,AQ673,AR673,AS673,AT673)</f>
        <v>1426143500</v>
      </c>
      <c r="AY673" s="811" t="e">
        <v>#N/A</v>
      </c>
      <c r="AZ673" s="814">
        <v>108525000</v>
      </c>
      <c r="BA673" s="874">
        <v>25625000</v>
      </c>
      <c r="BB673" s="858">
        <v>39800000</v>
      </c>
      <c r="BC673" s="758">
        <v>74550000</v>
      </c>
      <c r="BD673" s="758">
        <v>407080000</v>
      </c>
      <c r="BE673" s="758">
        <v>162650000</v>
      </c>
      <c r="BF673" s="758">
        <v>181748000</v>
      </c>
      <c r="BG673" s="518">
        <f>AP673</f>
        <v>85843000</v>
      </c>
      <c r="BH673" s="758">
        <v>140000000</v>
      </c>
      <c r="BI673" s="758">
        <v>140000000</v>
      </c>
      <c r="BJ673" s="758">
        <v>140000000</v>
      </c>
      <c r="BK673" s="758">
        <v>140000000</v>
      </c>
      <c r="BL673" s="759">
        <f>SUM(AZ673,BA673,BB673,BC673,BD673,BE673,BF673,BG673,BH673,BI673,BJ673,BK673)</f>
        <v>1645821000</v>
      </c>
      <c r="BN673" s="758">
        <v>140000000</v>
      </c>
      <c r="BO673" s="758">
        <v>140000000</v>
      </c>
      <c r="BP673" s="758">
        <v>140000000</v>
      </c>
      <c r="BQ673" s="758">
        <v>140000000</v>
      </c>
      <c r="BR673" s="758">
        <v>100000000</v>
      </c>
      <c r="BS673" s="758">
        <v>140000000</v>
      </c>
      <c r="BT673" s="758">
        <v>140000000</v>
      </c>
      <c r="BU673" s="758">
        <v>140000000</v>
      </c>
      <c r="BV673" s="758">
        <v>140000000</v>
      </c>
      <c r="BW673" s="758">
        <v>140000000</v>
      </c>
      <c r="BX673" s="758">
        <v>140000000</v>
      </c>
      <c r="BY673" s="758">
        <v>140000000</v>
      </c>
      <c r="BZ673" s="791">
        <v>1640000000</v>
      </c>
      <c r="CB673" s="758">
        <v>140000000</v>
      </c>
      <c r="CC673" s="758">
        <v>140000000</v>
      </c>
      <c r="CD673" s="758">
        <v>140000000</v>
      </c>
      <c r="CE673" s="758">
        <v>140000000</v>
      </c>
      <c r="CF673" s="758">
        <v>100000000</v>
      </c>
      <c r="CG673" s="758">
        <v>140000000</v>
      </c>
      <c r="CH673" s="758">
        <v>140000000</v>
      </c>
      <c r="CI673" s="758">
        <v>140000000</v>
      </c>
      <c r="CJ673" s="758">
        <v>140000000</v>
      </c>
      <c r="CK673" s="758">
        <v>140000000</v>
      </c>
      <c r="CL673" s="758">
        <v>140000000</v>
      </c>
      <c r="CM673" s="758">
        <v>140000000</v>
      </c>
      <c r="CN673" s="791">
        <v>1640000000</v>
      </c>
      <c r="CO673" s="37"/>
      <c r="CP673" s="657">
        <v>23575000</v>
      </c>
      <c r="CQ673" s="657"/>
      <c r="CR673" s="528"/>
      <c r="CS673" s="657"/>
      <c r="CT673" s="528">
        <v>0</v>
      </c>
      <c r="CU673" s="657"/>
      <c r="CV673" s="528"/>
      <c r="CW673" s="657"/>
      <c r="CX673" s="528"/>
      <c r="CY673" s="657">
        <v>25909400</v>
      </c>
      <c r="CZ673" s="528"/>
      <c r="DA673" s="657"/>
      <c r="DB673" s="528"/>
      <c r="DC673" s="657">
        <v>0</v>
      </c>
      <c r="DD673" s="528"/>
      <c r="DE673" s="758"/>
      <c r="DF673" s="528"/>
      <c r="DG673" s="757"/>
      <c r="DH673" s="758"/>
      <c r="DI673" s="528"/>
      <c r="DJ673" s="757"/>
      <c r="DK673" s="758"/>
      <c r="DL673" s="528"/>
      <c r="DM673" s="757"/>
      <c r="DN673" s="758"/>
      <c r="DO673" s="528"/>
      <c r="DP673" s="757"/>
      <c r="DQ673" s="493">
        <f t="shared" si="401"/>
        <v>49484400</v>
      </c>
      <c r="DR673" s="479">
        <f t="shared" si="403"/>
        <v>23575000</v>
      </c>
      <c r="DS673" s="1020"/>
      <c r="DT673" s="1020"/>
      <c r="DU673" s="1020"/>
      <c r="DV673" s="1020"/>
      <c r="DW673" s="1020"/>
      <c r="DX673" s="1020"/>
      <c r="DY673" s="1020"/>
      <c r="DZ673" s="1020"/>
      <c r="EA673" s="1020"/>
      <c r="EB673" s="1020"/>
      <c r="EC673" s="1020"/>
      <c r="ED673" s="1020"/>
      <c r="EE673" s="1119">
        <f t="shared" si="400"/>
        <v>0</v>
      </c>
      <c r="EF673" s="443">
        <f>EE673*1.17</f>
        <v>0</v>
      </c>
      <c r="EG673" s="443">
        <f>EF673*1.08</f>
        <v>0</v>
      </c>
      <c r="EH673" s="443">
        <f t="shared" ref="EH673:EI675" si="407">EG673*1.09</f>
        <v>0</v>
      </c>
      <c r="EI673" s="443">
        <f t="shared" si="407"/>
        <v>0</v>
      </c>
      <c r="EJ673" s="367">
        <v>8000000019</v>
      </c>
      <c r="EL673" s="177"/>
      <c r="EM673" s="177"/>
      <c r="EN673" s="177"/>
    </row>
    <row r="674" spans="1:144" outlineLevel="2">
      <c r="A674" s="367" t="s">
        <v>196</v>
      </c>
      <c r="B674" s="378"/>
      <c r="C674" s="370" t="s">
        <v>688</v>
      </c>
      <c r="D674" s="370" t="s">
        <v>40</v>
      </c>
      <c r="E674" s="383" t="s">
        <v>66</v>
      </c>
      <c r="F674" s="380">
        <v>8000000015</v>
      </c>
      <c r="G674" s="196"/>
      <c r="H674" s="31"/>
      <c r="I674" s="29"/>
      <c r="J674" s="185"/>
      <c r="K674" s="185"/>
      <c r="L674" s="185"/>
      <c r="M674" s="185"/>
      <c r="N674" s="185"/>
      <c r="O674" s="7"/>
      <c r="P674" s="7"/>
      <c r="Q674" s="7"/>
      <c r="R674" s="7"/>
      <c r="S674" s="14">
        <f>SUM(G674,H674,I674,J674,K674,L674,M674,N674,O674,P674,Q674,R674)</f>
        <v>0</v>
      </c>
      <c r="T674" s="179"/>
      <c r="U674" s="196"/>
      <c r="V674" s="31"/>
      <c r="W674" s="29"/>
      <c r="X674" s="185"/>
      <c r="Y674" s="185"/>
      <c r="Z674" s="185"/>
      <c r="AA674" s="185"/>
      <c r="AB674" s="185"/>
      <c r="AC674" s="7"/>
      <c r="AD674" s="7"/>
      <c r="AE674" s="7"/>
      <c r="AF674" s="7"/>
      <c r="AG674" s="759">
        <f>SUM(U674,V674,W674,X674,Y674,Z674,AA674,AB674,AC674,AD674,AE674,AF674)</f>
        <v>0</v>
      </c>
      <c r="AH674" s="811">
        <v>8000000015</v>
      </c>
      <c r="AI674" s="485"/>
      <c r="AJ674" s="874">
        <v>89823500</v>
      </c>
      <c r="AK674" s="875">
        <v>35795063</v>
      </c>
      <c r="AL674" s="758">
        <v>0</v>
      </c>
      <c r="AM674" s="758">
        <v>11230000</v>
      </c>
      <c r="AN674" s="758">
        <v>4246200</v>
      </c>
      <c r="AO674" s="758">
        <v>15334860</v>
      </c>
      <c r="AP674" s="758">
        <v>5512400</v>
      </c>
      <c r="AQ674" s="518">
        <v>14385800</v>
      </c>
      <c r="AR674" s="813">
        <v>1910800</v>
      </c>
      <c r="AS674" s="813">
        <v>6246800</v>
      </c>
      <c r="AT674" s="813">
        <v>1666000</v>
      </c>
      <c r="AU674" s="518">
        <f t="shared" si="405"/>
        <v>15000000</v>
      </c>
      <c r="AV674" s="518">
        <f t="shared" si="405"/>
        <v>15000000</v>
      </c>
      <c r="AW674" s="518">
        <f t="shared" si="405"/>
        <v>15000000</v>
      </c>
      <c r="AX674" s="518">
        <f t="shared" si="406"/>
        <v>186151423</v>
      </c>
      <c r="AY674" s="811" t="e">
        <v>#N/A</v>
      </c>
      <c r="AZ674" s="485"/>
      <c r="BA674" s="874">
        <v>89823500</v>
      </c>
      <c r="BB674" s="875">
        <v>35795063</v>
      </c>
      <c r="BC674" s="758">
        <v>0</v>
      </c>
      <c r="BD674" s="758">
        <v>11230000</v>
      </c>
      <c r="BE674" s="758">
        <v>4246200</v>
      </c>
      <c r="BF674" s="758">
        <v>15334860</v>
      </c>
      <c r="BG674" s="518">
        <f>AP674</f>
        <v>5512400</v>
      </c>
      <c r="BH674" s="758">
        <v>15000000</v>
      </c>
      <c r="BI674" s="758">
        <v>15000000</v>
      </c>
      <c r="BJ674" s="758">
        <v>15000000</v>
      </c>
      <c r="BK674" s="758">
        <v>15000000</v>
      </c>
      <c r="BL674" s="759">
        <f>SUM(AZ674,BA674,BB674,BC674,BD674,BE674,BF674,BG674,BH674,BI674,BJ674,BK674)</f>
        <v>221942023</v>
      </c>
      <c r="BN674" s="758">
        <v>15000000</v>
      </c>
      <c r="BO674" s="758">
        <v>15000000</v>
      </c>
      <c r="BP674" s="758">
        <v>15000000</v>
      </c>
      <c r="BQ674" s="758">
        <v>15000000</v>
      </c>
      <c r="BR674" s="758">
        <v>10000000</v>
      </c>
      <c r="BS674" s="758">
        <v>15000000</v>
      </c>
      <c r="BT674" s="758">
        <v>15000000</v>
      </c>
      <c r="BU674" s="758">
        <v>15000000</v>
      </c>
      <c r="BV674" s="758">
        <v>15000000</v>
      </c>
      <c r="BW674" s="758">
        <v>15000000</v>
      </c>
      <c r="BX674" s="758">
        <v>15000000</v>
      </c>
      <c r="BY674" s="758">
        <v>15000000</v>
      </c>
      <c r="BZ674" s="791">
        <v>175000000</v>
      </c>
      <c r="CB674" s="758">
        <v>15000000</v>
      </c>
      <c r="CC674" s="758">
        <v>15000000</v>
      </c>
      <c r="CD674" s="758">
        <v>15000000</v>
      </c>
      <c r="CE674" s="758">
        <v>15000000</v>
      </c>
      <c r="CF674" s="758">
        <v>10000000</v>
      </c>
      <c r="CG674" s="758">
        <v>15000000</v>
      </c>
      <c r="CH674" s="758">
        <v>15000000</v>
      </c>
      <c r="CI674" s="758">
        <v>15000000</v>
      </c>
      <c r="CJ674" s="758">
        <v>15000000</v>
      </c>
      <c r="CK674" s="758">
        <v>15000000</v>
      </c>
      <c r="CL674" s="758">
        <v>15000000</v>
      </c>
      <c r="CM674" s="758">
        <v>15000000</v>
      </c>
      <c r="CN674" s="791">
        <v>175000000</v>
      </c>
      <c r="CO674" s="37"/>
      <c r="CP674" s="657">
        <v>34911600</v>
      </c>
      <c r="CQ674" s="657">
        <v>6350000</v>
      </c>
      <c r="CR674" s="528">
        <v>300000000</v>
      </c>
      <c r="CS674" s="657">
        <v>220705888</v>
      </c>
      <c r="CT674" s="528">
        <v>30000000</v>
      </c>
      <c r="CU674" s="657">
        <v>12475000</v>
      </c>
      <c r="CV674" s="528">
        <v>30000000</v>
      </c>
      <c r="CW674" s="657"/>
      <c r="CX674" s="528">
        <v>25000000</v>
      </c>
      <c r="CY674" s="657">
        <v>12538400</v>
      </c>
      <c r="CZ674" s="528">
        <v>30000000</v>
      </c>
      <c r="DA674" s="657"/>
      <c r="DB674" s="528">
        <v>25000000</v>
      </c>
      <c r="DC674" s="657">
        <v>57167200</v>
      </c>
      <c r="DD674" s="528">
        <v>25000000</v>
      </c>
      <c r="DE674" s="758"/>
      <c r="DF674" s="528">
        <v>25000000</v>
      </c>
      <c r="DG674" s="757">
        <v>25000000</v>
      </c>
      <c r="DH674" s="758"/>
      <c r="DI674" s="528">
        <v>25000000</v>
      </c>
      <c r="DJ674" s="757">
        <v>25000000</v>
      </c>
      <c r="DK674" s="758"/>
      <c r="DL674" s="528">
        <v>25000000</v>
      </c>
      <c r="DM674" s="757">
        <v>25000000</v>
      </c>
      <c r="DN674" s="758"/>
      <c r="DO674" s="528">
        <v>25000000</v>
      </c>
      <c r="DP674" s="757">
        <v>25000000</v>
      </c>
      <c r="DQ674" s="493">
        <f t="shared" si="401"/>
        <v>444148088</v>
      </c>
      <c r="DR674" s="479">
        <f t="shared" si="403"/>
        <v>479442488</v>
      </c>
      <c r="DS674" s="1020">
        <v>50000000</v>
      </c>
      <c r="DT674" s="1020">
        <v>50000000</v>
      </c>
      <c r="DU674" s="1020">
        <v>25000000</v>
      </c>
      <c r="DV674" s="1020">
        <v>25000000</v>
      </c>
      <c r="DW674" s="1020">
        <v>25000000</v>
      </c>
      <c r="DX674" s="1020">
        <v>25000000</v>
      </c>
      <c r="DY674" s="1020">
        <v>25000000</v>
      </c>
      <c r="DZ674" s="1020">
        <v>25000000</v>
      </c>
      <c r="EA674" s="1020">
        <v>25000000</v>
      </c>
      <c r="EB674" s="1020">
        <v>50000000</v>
      </c>
      <c r="EC674" s="1020">
        <v>50000000</v>
      </c>
      <c r="ED674" s="1020">
        <v>50000000</v>
      </c>
      <c r="EE674" s="1119">
        <f t="shared" si="400"/>
        <v>425000000</v>
      </c>
      <c r="EF674" s="443">
        <f>EE674*1.17</f>
        <v>497249999.99999994</v>
      </c>
      <c r="EG674" s="443">
        <f>EF674*1.08</f>
        <v>537030000</v>
      </c>
      <c r="EH674" s="443">
        <f t="shared" si="407"/>
        <v>585362700</v>
      </c>
      <c r="EI674" s="443">
        <f t="shared" si="407"/>
        <v>638045343</v>
      </c>
      <c r="EJ674" s="367">
        <v>8000000015</v>
      </c>
      <c r="EL674" s="177"/>
      <c r="EM674" s="177"/>
      <c r="EN674" s="177"/>
    </row>
    <row r="675" spans="1:144" outlineLevel="2">
      <c r="A675" s="367" t="s">
        <v>194</v>
      </c>
      <c r="B675" s="378"/>
      <c r="C675" s="370" t="s">
        <v>688</v>
      </c>
      <c r="D675" s="370" t="s">
        <v>40</v>
      </c>
      <c r="E675" s="383" t="s">
        <v>489</v>
      </c>
      <c r="F675" s="380">
        <v>3000019899</v>
      </c>
      <c r="G675" s="196"/>
      <c r="H675" s="31"/>
      <c r="I675" s="185"/>
      <c r="J675" s="185"/>
      <c r="K675" s="185"/>
      <c r="L675" s="185"/>
      <c r="M675" s="185"/>
      <c r="N675" s="185"/>
      <c r="O675" s="7"/>
      <c r="P675" s="7"/>
      <c r="Q675" s="7"/>
      <c r="R675" s="7"/>
      <c r="S675" s="14">
        <f>SUM(G675,H675,I675,J675,K675,L675,M675,N675,O675,P675,Q675,R675)</f>
        <v>0</v>
      </c>
      <c r="T675" s="179"/>
      <c r="U675" s="196"/>
      <c r="V675" s="31"/>
      <c r="W675" s="185"/>
      <c r="X675" s="185"/>
      <c r="Y675" s="185"/>
      <c r="Z675" s="185"/>
      <c r="AA675" s="185"/>
      <c r="AB675" s="185"/>
      <c r="AC675" s="7"/>
      <c r="AD675" s="7"/>
      <c r="AE675" s="7"/>
      <c r="AF675" s="7"/>
      <c r="AG675" s="759">
        <f>SUM(U675,V675,W675,X675,Y675,Z675,AA675,AB675,AC675,AD675,AE675,AF675)</f>
        <v>0</v>
      </c>
      <c r="AH675" s="811">
        <v>3000019899</v>
      </c>
      <c r="AI675" s="485"/>
      <c r="AJ675" s="874"/>
      <c r="AK675" s="758"/>
      <c r="AL675" s="758"/>
      <c r="AM675" s="758"/>
      <c r="AN675" s="758"/>
      <c r="AO675" s="758">
        <v>4513000</v>
      </c>
      <c r="AP675" s="758">
        <v>10328000</v>
      </c>
      <c r="AQ675" s="518">
        <v>13630000</v>
      </c>
      <c r="AR675" s="813">
        <v>15270000</v>
      </c>
      <c r="AS675" s="813">
        <v>36951600</v>
      </c>
      <c r="AT675" s="813">
        <v>2663600</v>
      </c>
      <c r="AU675" s="518">
        <f t="shared" si="405"/>
        <v>5000000</v>
      </c>
      <c r="AV675" s="518">
        <f t="shared" si="405"/>
        <v>5000000</v>
      </c>
      <c r="AW675" s="518">
        <f t="shared" si="405"/>
        <v>5000000</v>
      </c>
      <c r="AX675" s="518">
        <f t="shared" si="406"/>
        <v>83356200</v>
      </c>
      <c r="AY675" s="811" t="e">
        <v>#N/A</v>
      </c>
      <c r="AZ675" s="485"/>
      <c r="BA675" s="874"/>
      <c r="BB675" s="758"/>
      <c r="BC675" s="758"/>
      <c r="BD675" s="758"/>
      <c r="BE675" s="758"/>
      <c r="BF675" s="758">
        <v>4513000</v>
      </c>
      <c r="BG675" s="518">
        <f>AP675</f>
        <v>10328000</v>
      </c>
      <c r="BH675" s="758">
        <v>5000000</v>
      </c>
      <c r="BI675" s="758">
        <v>5000000</v>
      </c>
      <c r="BJ675" s="758">
        <v>5000000</v>
      </c>
      <c r="BK675" s="758">
        <v>5000000</v>
      </c>
      <c r="BL675" s="759">
        <f>SUM(AZ675,BA675,BB675,BC675,BD675,BE675,BF675,BG675,BH675,BI675,BJ675,BK675)</f>
        <v>34841000</v>
      </c>
      <c r="BN675" s="758">
        <v>10000000</v>
      </c>
      <c r="BO675" s="758">
        <v>10000000</v>
      </c>
      <c r="BP675" s="758">
        <v>10000000</v>
      </c>
      <c r="BQ675" s="758">
        <v>10000000</v>
      </c>
      <c r="BR675" s="758">
        <v>7000000</v>
      </c>
      <c r="BS675" s="758">
        <v>10000000</v>
      </c>
      <c r="BT675" s="758">
        <v>10000000</v>
      </c>
      <c r="BU675" s="758">
        <v>10000000</v>
      </c>
      <c r="BV675" s="758">
        <v>10000000</v>
      </c>
      <c r="BW675" s="758">
        <v>10000000</v>
      </c>
      <c r="BX675" s="758">
        <v>10000000</v>
      </c>
      <c r="BY675" s="758">
        <v>10000000</v>
      </c>
      <c r="BZ675" s="791">
        <v>117000000</v>
      </c>
      <c r="CB675" s="758">
        <v>10000000</v>
      </c>
      <c r="CC675" s="758">
        <v>10000000</v>
      </c>
      <c r="CD675" s="758">
        <v>10000000</v>
      </c>
      <c r="CE675" s="758">
        <v>10000000</v>
      </c>
      <c r="CF675" s="758">
        <v>7000000</v>
      </c>
      <c r="CG675" s="758">
        <v>10000000</v>
      </c>
      <c r="CH675" s="758">
        <v>10000000</v>
      </c>
      <c r="CI675" s="758">
        <v>10000000</v>
      </c>
      <c r="CJ675" s="758">
        <v>10000000</v>
      </c>
      <c r="CK675" s="758">
        <v>10000000</v>
      </c>
      <c r="CL675" s="758">
        <v>10000000</v>
      </c>
      <c r="CM675" s="758">
        <v>10000000</v>
      </c>
      <c r="CN675" s="791">
        <v>117000000</v>
      </c>
      <c r="CO675" s="37"/>
      <c r="CP675" s="657">
        <v>68262000</v>
      </c>
      <c r="CQ675" s="657">
        <v>23165800</v>
      </c>
      <c r="CR675" s="528"/>
      <c r="CS675" s="657">
        <v>57340400</v>
      </c>
      <c r="CT675" s="528">
        <v>70000000</v>
      </c>
      <c r="CU675" s="657">
        <v>18562600</v>
      </c>
      <c r="CV675" s="528">
        <v>70000000</v>
      </c>
      <c r="CW675" s="657">
        <v>30949600</v>
      </c>
      <c r="CX675" s="528">
        <v>70000000</v>
      </c>
      <c r="CY675" s="657"/>
      <c r="CZ675" s="528">
        <v>70000000</v>
      </c>
      <c r="DA675" s="657">
        <v>15377000</v>
      </c>
      <c r="DB675" s="528">
        <v>70000000</v>
      </c>
      <c r="DC675" s="657">
        <v>117840000</v>
      </c>
      <c r="DD675" s="528">
        <v>70000000</v>
      </c>
      <c r="DE675" s="758"/>
      <c r="DF675" s="528">
        <v>70000000</v>
      </c>
      <c r="DG675" s="757">
        <v>70000000</v>
      </c>
      <c r="DH675" s="758"/>
      <c r="DI675" s="528">
        <v>70000000</v>
      </c>
      <c r="DJ675" s="757">
        <v>70000000</v>
      </c>
      <c r="DK675" s="758"/>
      <c r="DL675" s="528">
        <v>70000000</v>
      </c>
      <c r="DM675" s="757">
        <v>70000000</v>
      </c>
      <c r="DN675" s="758"/>
      <c r="DO675" s="528">
        <v>70000000</v>
      </c>
      <c r="DP675" s="757">
        <v>70000000</v>
      </c>
      <c r="DQ675" s="493">
        <f t="shared" si="401"/>
        <v>611497400</v>
      </c>
      <c r="DR675" s="479">
        <f t="shared" si="403"/>
        <v>727330800</v>
      </c>
      <c r="DS675" s="1020">
        <v>75000000</v>
      </c>
      <c r="DT675" s="1020">
        <v>75000000</v>
      </c>
      <c r="DU675" s="1020">
        <v>75000000</v>
      </c>
      <c r="DV675" s="1020">
        <v>75000000</v>
      </c>
      <c r="DW675" s="1020">
        <v>75000000</v>
      </c>
      <c r="DX675" s="1020">
        <v>75000000</v>
      </c>
      <c r="DY675" s="1020">
        <v>75000000</v>
      </c>
      <c r="DZ675" s="1020">
        <v>75000000</v>
      </c>
      <c r="EA675" s="1020">
        <v>75000000</v>
      </c>
      <c r="EB675" s="1020">
        <v>75000000</v>
      </c>
      <c r="EC675" s="1020">
        <v>75000000</v>
      </c>
      <c r="ED675" s="1020">
        <v>75000000</v>
      </c>
      <c r="EE675" s="1119">
        <f t="shared" si="400"/>
        <v>900000000</v>
      </c>
      <c r="EF675" s="443">
        <f>EE675*1.17</f>
        <v>1052999999.9999999</v>
      </c>
      <c r="EG675" s="443">
        <f>EF675*1.08</f>
        <v>1137240000</v>
      </c>
      <c r="EH675" s="443">
        <f t="shared" si="407"/>
        <v>1239591600</v>
      </c>
      <c r="EI675" s="443">
        <f t="shared" si="407"/>
        <v>1351154844</v>
      </c>
      <c r="EJ675" s="367">
        <v>3000019899</v>
      </c>
      <c r="EL675" s="177"/>
      <c r="EM675" s="177"/>
      <c r="EN675" s="177"/>
    </row>
    <row r="676" spans="1:144" outlineLevel="2">
      <c r="A676" s="433" t="s">
        <v>194</v>
      </c>
      <c r="B676" s="378"/>
      <c r="C676" s="370" t="s">
        <v>688</v>
      </c>
      <c r="E676" s="383" t="s">
        <v>875</v>
      </c>
      <c r="F676" s="380"/>
      <c r="G676" s="196"/>
      <c r="H676" s="31"/>
      <c r="I676" s="185"/>
      <c r="J676" s="185"/>
      <c r="K676" s="185"/>
      <c r="L676" s="185"/>
      <c r="M676" s="185"/>
      <c r="N676" s="185"/>
      <c r="O676" s="7"/>
      <c r="P676" s="7"/>
      <c r="Q676" s="7"/>
      <c r="R676" s="7"/>
      <c r="S676" s="14"/>
      <c r="T676" s="179"/>
      <c r="U676" s="196"/>
      <c r="V676" s="31"/>
      <c r="W676" s="185"/>
      <c r="X676" s="185"/>
      <c r="Y676" s="185"/>
      <c r="Z676" s="185"/>
      <c r="AA676" s="185"/>
      <c r="AB676" s="185"/>
      <c r="AC676" s="7"/>
      <c r="AD676" s="7"/>
      <c r="AE676" s="7"/>
      <c r="AF676" s="7"/>
      <c r="AG676" s="759"/>
      <c r="AH676" s="811"/>
      <c r="AI676" s="485"/>
      <c r="AJ676" s="874"/>
      <c r="AK676" s="758"/>
      <c r="AL676" s="758"/>
      <c r="AM676" s="758"/>
      <c r="AN676" s="758"/>
      <c r="AO676" s="758"/>
      <c r="AP676" s="758"/>
      <c r="AQ676" s="518"/>
      <c r="AR676" s="518"/>
      <c r="AS676" s="518"/>
      <c r="AT676" s="518"/>
      <c r="AU676" s="518"/>
      <c r="AV676" s="518"/>
      <c r="AW676" s="518"/>
      <c r="AX676" s="518">
        <f t="shared" si="406"/>
        <v>0</v>
      </c>
      <c r="AY676" s="811"/>
      <c r="AZ676" s="485"/>
      <c r="BA676" s="874"/>
      <c r="BB676" s="758"/>
      <c r="BC676" s="758"/>
      <c r="BD676" s="758"/>
      <c r="BE676" s="758"/>
      <c r="BF676" s="758"/>
      <c r="BG676" s="518"/>
      <c r="BH676" s="758"/>
      <c r="BI676" s="758"/>
      <c r="BJ676" s="758"/>
      <c r="BK676" s="758"/>
      <c r="BL676" s="759"/>
      <c r="BN676" s="758"/>
      <c r="BO676" s="758"/>
      <c r="BP676" s="758"/>
      <c r="BQ676" s="758"/>
      <c r="BR676" s="758"/>
      <c r="BS676" s="758"/>
      <c r="BT676" s="758"/>
      <c r="BU676" s="758"/>
      <c r="BV676" s="758"/>
      <c r="BW676" s="758"/>
      <c r="BX676" s="758"/>
      <c r="BY676" s="758"/>
      <c r="BZ676" s="791">
        <v>0</v>
      </c>
      <c r="CB676" s="758"/>
      <c r="CC676" s="758"/>
      <c r="CD676" s="758"/>
      <c r="CE676" s="758"/>
      <c r="CF676" s="758"/>
      <c r="CG676" s="758"/>
      <c r="CH676" s="758"/>
      <c r="CI676" s="758"/>
      <c r="CJ676" s="758"/>
      <c r="CK676" s="758"/>
      <c r="CL676" s="758"/>
      <c r="CM676" s="758"/>
      <c r="CN676" s="791">
        <v>0</v>
      </c>
      <c r="CO676" s="37"/>
      <c r="CP676" s="657"/>
      <c r="CQ676" s="657"/>
      <c r="CR676" s="528"/>
      <c r="CS676" s="657"/>
      <c r="CT676" s="528"/>
      <c r="CU676" s="657"/>
      <c r="CV676" s="528"/>
      <c r="CW676" s="657"/>
      <c r="CX676" s="528"/>
      <c r="CY676" s="657"/>
      <c r="CZ676" s="528"/>
      <c r="DA676" s="657"/>
      <c r="DB676" s="528"/>
      <c r="DC676" s="657">
        <v>0</v>
      </c>
      <c r="DD676" s="528"/>
      <c r="DE676" s="758"/>
      <c r="DF676" s="528"/>
      <c r="DG676" s="757"/>
      <c r="DH676" s="758"/>
      <c r="DI676" s="528"/>
      <c r="DJ676" s="757"/>
      <c r="DK676" s="758"/>
      <c r="DL676" s="528"/>
      <c r="DM676" s="757"/>
      <c r="DN676" s="758"/>
      <c r="DO676" s="528"/>
      <c r="DP676" s="757"/>
      <c r="DQ676" s="493">
        <f t="shared" si="401"/>
        <v>0</v>
      </c>
      <c r="DR676" s="479">
        <f t="shared" si="403"/>
        <v>0</v>
      </c>
      <c r="DS676" s="1020"/>
      <c r="DT676" s="1020"/>
      <c r="DU676" s="1020"/>
      <c r="DV676" s="1020"/>
      <c r="DW676" s="1020"/>
      <c r="DX676" s="1020"/>
      <c r="DY676" s="1020"/>
      <c r="DZ676" s="1020"/>
      <c r="EA676" s="1020"/>
      <c r="EB676" s="1020"/>
      <c r="EC676" s="1020"/>
      <c r="ED676" s="1020"/>
      <c r="EE676" s="1119">
        <f t="shared" si="400"/>
        <v>0</v>
      </c>
      <c r="EF676" s="443">
        <v>240000000</v>
      </c>
      <c r="EG676" s="443">
        <v>510000000</v>
      </c>
      <c r="EH676" s="443">
        <v>1200000000</v>
      </c>
      <c r="EI676" s="443">
        <v>1200000000</v>
      </c>
      <c r="EL676" s="177"/>
      <c r="EM676" s="177"/>
      <c r="EN676" s="177"/>
    </row>
    <row r="677" spans="1:144" outlineLevel="2">
      <c r="A677" s="367" t="s">
        <v>196</v>
      </c>
      <c r="B677" s="378"/>
      <c r="C677" s="370" t="s">
        <v>688</v>
      </c>
      <c r="D677" s="370" t="s">
        <v>40</v>
      </c>
      <c r="E677" s="383" t="s">
        <v>876</v>
      </c>
      <c r="F677" s="380"/>
      <c r="G677" s="196"/>
      <c r="H677" s="31"/>
      <c r="I677" s="185"/>
      <c r="J677" s="185"/>
      <c r="K677" s="185"/>
      <c r="L677" s="185"/>
      <c r="M677" s="185"/>
      <c r="N677" s="185"/>
      <c r="O677" s="7"/>
      <c r="P677" s="7"/>
      <c r="Q677" s="7"/>
      <c r="R677" s="7"/>
      <c r="S677" s="14"/>
      <c r="T677" s="179"/>
      <c r="U677" s="196"/>
      <c r="V677" s="31"/>
      <c r="W677" s="185"/>
      <c r="X677" s="185"/>
      <c r="Y677" s="185"/>
      <c r="Z677" s="185"/>
      <c r="AA677" s="185"/>
      <c r="AB677" s="185"/>
      <c r="AC677" s="7"/>
      <c r="AD677" s="7"/>
      <c r="AE677" s="7"/>
      <c r="AF677" s="7"/>
      <c r="AG677" s="759"/>
      <c r="AH677" s="811"/>
      <c r="AI677" s="485"/>
      <c r="AJ677" s="874"/>
      <c r="AK677" s="758"/>
      <c r="AL677" s="758"/>
      <c r="AM677" s="758"/>
      <c r="AN677" s="758"/>
      <c r="AO677" s="758"/>
      <c r="AP677" s="758"/>
      <c r="AQ677" s="518"/>
      <c r="AR677" s="6"/>
      <c r="AS677" s="813"/>
      <c r="AT677" s="813">
        <v>1413000</v>
      </c>
      <c r="AU677" s="518"/>
      <c r="AV677" s="518"/>
      <c r="AW677" s="518"/>
      <c r="AX677" s="518">
        <f t="shared" si="406"/>
        <v>1413000</v>
      </c>
      <c r="AY677" s="811"/>
      <c r="AZ677" s="485"/>
      <c r="BA677" s="874"/>
      <c r="BB677" s="758"/>
      <c r="BC677" s="758"/>
      <c r="BD677" s="758"/>
      <c r="BE677" s="758"/>
      <c r="BF677" s="758"/>
      <c r="BG677" s="518"/>
      <c r="BH677" s="758"/>
      <c r="BI677" s="758"/>
      <c r="BJ677" s="758"/>
      <c r="BK677" s="758"/>
      <c r="BL677" s="759"/>
      <c r="BN677" s="758"/>
      <c r="BO677" s="758"/>
      <c r="BP677" s="758"/>
      <c r="BQ677" s="758"/>
      <c r="BR677" s="758"/>
      <c r="BS677" s="758"/>
      <c r="BT677" s="758"/>
      <c r="BU677" s="758"/>
      <c r="BV677" s="758"/>
      <c r="BW677" s="758"/>
      <c r="BX677" s="758"/>
      <c r="BY677" s="758"/>
      <c r="BZ677" s="791">
        <v>0</v>
      </c>
      <c r="CB677" s="758"/>
      <c r="CC677" s="758"/>
      <c r="CD677" s="758"/>
      <c r="CE677" s="758"/>
      <c r="CF677" s="758"/>
      <c r="CG677" s="758"/>
      <c r="CH677" s="758"/>
      <c r="CI677" s="758"/>
      <c r="CJ677" s="758"/>
      <c r="CK677" s="758"/>
      <c r="CL677" s="758"/>
      <c r="CM677" s="758"/>
      <c r="CN677" s="791">
        <v>0</v>
      </c>
      <c r="CO677" s="37"/>
      <c r="CP677" s="657"/>
      <c r="CQ677" s="657"/>
      <c r="CR677" s="528"/>
      <c r="CS677" s="657"/>
      <c r="CT677" s="528"/>
      <c r="CU677" s="657"/>
      <c r="CV677" s="528"/>
      <c r="CW677" s="657"/>
      <c r="CX677" s="528"/>
      <c r="CY677" s="657"/>
      <c r="CZ677" s="528"/>
      <c r="DA677" s="657"/>
      <c r="DB677" s="528"/>
      <c r="DC677" s="657">
        <v>0</v>
      </c>
      <c r="DD677" s="528"/>
      <c r="DE677" s="758"/>
      <c r="DF677" s="528"/>
      <c r="DG677" s="757"/>
      <c r="DH677" s="758"/>
      <c r="DI677" s="528"/>
      <c r="DJ677" s="757"/>
      <c r="DK677" s="758"/>
      <c r="DL677" s="528"/>
      <c r="DM677" s="757"/>
      <c r="DN677" s="758"/>
      <c r="DO677" s="528"/>
      <c r="DP677" s="757"/>
      <c r="DQ677" s="493">
        <f t="shared" si="401"/>
        <v>0</v>
      </c>
      <c r="DR677" s="479">
        <f t="shared" si="403"/>
        <v>0</v>
      </c>
      <c r="DS677" s="1020"/>
      <c r="DT677" s="1020"/>
      <c r="DU677" s="1020"/>
      <c r="DV677" s="1020"/>
      <c r="DW677" s="1020"/>
      <c r="DX677" s="1020"/>
      <c r="DY677" s="1020"/>
      <c r="DZ677" s="1020"/>
      <c r="EA677" s="1020"/>
      <c r="EB677" s="1020"/>
      <c r="EC677" s="1020"/>
      <c r="ED677" s="1020"/>
      <c r="EE677" s="1119">
        <f t="shared" si="400"/>
        <v>0</v>
      </c>
      <c r="EF677" s="443"/>
      <c r="EG677" s="443"/>
      <c r="EH677" s="443"/>
      <c r="EI677" s="443"/>
      <c r="EL677" s="177"/>
      <c r="EM677" s="177"/>
      <c r="EN677" s="177"/>
    </row>
    <row r="678" spans="1:144" outlineLevel="2">
      <c r="B678" s="378"/>
      <c r="C678" s="370" t="s">
        <v>688</v>
      </c>
      <c r="E678" s="383" t="s">
        <v>601</v>
      </c>
      <c r="F678" s="380">
        <v>3000019715</v>
      </c>
      <c r="G678" s="196"/>
      <c r="H678" s="31"/>
      <c r="I678" s="185"/>
      <c r="J678" s="185"/>
      <c r="K678" s="185"/>
      <c r="L678" s="185"/>
      <c r="M678" s="185"/>
      <c r="N678" s="185"/>
      <c r="O678" s="7"/>
      <c r="P678" s="7"/>
      <c r="Q678" s="7"/>
      <c r="R678" s="7"/>
      <c r="S678" s="14"/>
      <c r="T678" s="179"/>
      <c r="U678" s="196"/>
      <c r="V678" s="31"/>
      <c r="W678" s="185"/>
      <c r="X678" s="185"/>
      <c r="Y678" s="185"/>
      <c r="Z678" s="185"/>
      <c r="AA678" s="185"/>
      <c r="AB678" s="185"/>
      <c r="AC678" s="7"/>
      <c r="AD678" s="7"/>
      <c r="AE678" s="7"/>
      <c r="AF678" s="7"/>
      <c r="AG678" s="759"/>
      <c r="AH678" s="811"/>
      <c r="AI678" s="485"/>
      <c r="AJ678" s="874"/>
      <c r="AK678" s="758"/>
      <c r="AL678" s="758"/>
      <c r="AM678" s="758"/>
      <c r="AN678" s="758"/>
      <c r="AO678" s="758"/>
      <c r="AP678" s="758"/>
      <c r="AQ678" s="518"/>
      <c r="AR678" s="518"/>
      <c r="AS678" s="518"/>
      <c r="AT678" s="518"/>
      <c r="AU678" s="518"/>
      <c r="AV678" s="518"/>
      <c r="AW678" s="518"/>
      <c r="AX678" s="518">
        <f t="shared" si="406"/>
        <v>0</v>
      </c>
      <c r="AY678" s="811"/>
      <c r="AZ678" s="485"/>
      <c r="BA678" s="874"/>
      <c r="BB678" s="758"/>
      <c r="BC678" s="758"/>
      <c r="BD678" s="758"/>
      <c r="BE678" s="758"/>
      <c r="BF678" s="758"/>
      <c r="BG678" s="518"/>
      <c r="BH678" s="758"/>
      <c r="BI678" s="758"/>
      <c r="BJ678" s="758"/>
      <c r="BK678" s="758"/>
      <c r="BL678" s="759"/>
      <c r="BN678" s="758">
        <v>0</v>
      </c>
      <c r="BO678" s="758">
        <v>0</v>
      </c>
      <c r="BP678" s="758">
        <v>0</v>
      </c>
      <c r="BQ678" s="758">
        <v>0</v>
      </c>
      <c r="BR678" s="758">
        <v>0</v>
      </c>
      <c r="BS678" s="758">
        <v>0</v>
      </c>
      <c r="BT678" s="758">
        <v>0</v>
      </c>
      <c r="BU678" s="758">
        <v>0</v>
      </c>
      <c r="BV678" s="758">
        <v>0</v>
      </c>
      <c r="BW678" s="758">
        <v>0</v>
      </c>
      <c r="BX678" s="758">
        <v>0</v>
      </c>
      <c r="BY678" s="758">
        <v>0</v>
      </c>
      <c r="BZ678" s="791">
        <v>0</v>
      </c>
      <c r="CB678" s="758">
        <v>0</v>
      </c>
      <c r="CC678" s="758">
        <v>0</v>
      </c>
      <c r="CD678" s="758">
        <v>0</v>
      </c>
      <c r="CE678" s="758">
        <v>0</v>
      </c>
      <c r="CF678" s="758">
        <v>0</v>
      </c>
      <c r="CG678" s="758">
        <v>0</v>
      </c>
      <c r="CH678" s="758">
        <v>0</v>
      </c>
      <c r="CI678" s="758">
        <v>0</v>
      </c>
      <c r="CJ678" s="758">
        <v>0</v>
      </c>
      <c r="CK678" s="758">
        <v>0</v>
      </c>
      <c r="CL678" s="758">
        <v>0</v>
      </c>
      <c r="CM678" s="758">
        <v>0</v>
      </c>
      <c r="CN678" s="791">
        <v>0</v>
      </c>
      <c r="CO678" s="37"/>
      <c r="CP678" s="657"/>
      <c r="CQ678" s="657"/>
      <c r="CR678" s="528"/>
      <c r="CS678" s="657"/>
      <c r="CT678" s="528"/>
      <c r="CU678" s="657"/>
      <c r="CV678" s="528"/>
      <c r="CW678" s="657"/>
      <c r="CX678" s="528"/>
      <c r="CY678" s="657"/>
      <c r="CZ678" s="528"/>
      <c r="DA678" s="657"/>
      <c r="DB678" s="528"/>
      <c r="DC678" s="657">
        <v>0</v>
      </c>
      <c r="DD678" s="528"/>
      <c r="DE678" s="758"/>
      <c r="DF678" s="528"/>
      <c r="DG678" s="757"/>
      <c r="DH678" s="758"/>
      <c r="DI678" s="528"/>
      <c r="DJ678" s="757"/>
      <c r="DK678" s="758"/>
      <c r="DL678" s="528"/>
      <c r="DM678" s="757"/>
      <c r="DN678" s="758"/>
      <c r="DO678" s="528"/>
      <c r="DP678" s="757"/>
      <c r="DQ678" s="493">
        <f t="shared" si="401"/>
        <v>0</v>
      </c>
      <c r="DR678" s="479">
        <f t="shared" si="403"/>
        <v>0</v>
      </c>
      <c r="DS678" s="1020"/>
      <c r="DT678" s="1020"/>
      <c r="DU678" s="1020"/>
      <c r="DV678" s="1020"/>
      <c r="DW678" s="1020"/>
      <c r="DX678" s="1020"/>
      <c r="DY678" s="1020"/>
      <c r="DZ678" s="1020"/>
      <c r="EA678" s="1020"/>
      <c r="EB678" s="1020"/>
      <c r="EC678" s="1020"/>
      <c r="ED678" s="1020"/>
      <c r="EE678" s="1119">
        <f t="shared" si="400"/>
        <v>0</v>
      </c>
      <c r="EF678" s="443">
        <f t="shared" ref="EF678:EF686" si="408">EE678*1.17</f>
        <v>0</v>
      </c>
      <c r="EG678" s="443">
        <f t="shared" ref="EG678:EG686" si="409">EF678*1.08</f>
        <v>0</v>
      </c>
      <c r="EH678" s="443">
        <f t="shared" ref="EH678:EI686" si="410">EG678*1.09</f>
        <v>0</v>
      </c>
      <c r="EI678" s="443">
        <f t="shared" si="410"/>
        <v>0</v>
      </c>
      <c r="EJ678" s="367">
        <v>3000019715</v>
      </c>
      <c r="EL678" s="177"/>
      <c r="EM678" s="177"/>
      <c r="EN678" s="177"/>
    </row>
    <row r="679" spans="1:144" outlineLevel="2">
      <c r="A679" s="367" t="s">
        <v>196</v>
      </c>
      <c r="B679" s="378"/>
      <c r="C679" s="370" t="s">
        <v>688</v>
      </c>
      <c r="D679" s="370" t="s">
        <v>40</v>
      </c>
      <c r="E679" s="383" t="s">
        <v>645</v>
      </c>
      <c r="F679" s="380">
        <v>3000001937</v>
      </c>
      <c r="G679" s="196"/>
      <c r="H679" s="31"/>
      <c r="I679" s="185"/>
      <c r="J679" s="185"/>
      <c r="K679" s="185"/>
      <c r="L679" s="185"/>
      <c r="M679" s="185"/>
      <c r="N679" s="185"/>
      <c r="O679" s="7"/>
      <c r="P679" s="7"/>
      <c r="Q679" s="7"/>
      <c r="R679" s="7"/>
      <c r="S679" s="14">
        <f t="shared" ref="S679:S687" si="411">SUM(G679,H679,I679,J679,K679,L679,M679,N679,O679,P679,Q679,R679)</f>
        <v>0</v>
      </c>
      <c r="T679" s="179"/>
      <c r="U679" s="196"/>
      <c r="V679" s="31"/>
      <c r="W679" s="185"/>
      <c r="X679" s="185"/>
      <c r="Y679" s="185"/>
      <c r="Z679" s="185"/>
      <c r="AA679" s="185"/>
      <c r="AB679" s="185"/>
      <c r="AC679" s="7"/>
      <c r="AD679" s="7"/>
      <c r="AE679" s="7"/>
      <c r="AF679" s="7"/>
      <c r="AG679" s="759">
        <f t="shared" ref="AG679:AG687" si="412">SUM(U679,V679,W679,X679,Y679,Z679,AA679,AB679,AC679,AD679,AE679,AF679)</f>
        <v>0</v>
      </c>
      <c r="AH679" s="811">
        <v>3000001937</v>
      </c>
      <c r="AI679" s="485"/>
      <c r="AJ679" s="874"/>
      <c r="AK679" s="758"/>
      <c r="AL679" s="758"/>
      <c r="AM679" s="758"/>
      <c r="AN679" s="758"/>
      <c r="AO679" s="758">
        <v>11231600</v>
      </c>
      <c r="AP679" s="758">
        <v>5322800</v>
      </c>
      <c r="AQ679" s="518">
        <v>8677200</v>
      </c>
      <c r="AR679" s="813">
        <v>4200000</v>
      </c>
      <c r="AS679" s="813">
        <v>7000000</v>
      </c>
      <c r="AT679" s="813">
        <v>14000000</v>
      </c>
      <c r="AU679" s="518">
        <f t="shared" ref="AU679:AU687" si="413">BI679</f>
        <v>10000000</v>
      </c>
      <c r="AV679" s="518">
        <f t="shared" ref="AV679:AV687" si="414">BJ679</f>
        <v>10000000</v>
      </c>
      <c r="AW679" s="518">
        <f t="shared" ref="AW679:AW687" si="415">BK679</f>
        <v>10000000</v>
      </c>
      <c r="AX679" s="518">
        <f t="shared" si="406"/>
        <v>50431600</v>
      </c>
      <c r="AY679" s="811" t="e">
        <v>#N/A</v>
      </c>
      <c r="AZ679" s="485"/>
      <c r="BA679" s="874"/>
      <c r="BB679" s="758"/>
      <c r="BC679" s="758"/>
      <c r="BD679" s="758"/>
      <c r="BE679" s="758"/>
      <c r="BF679" s="758">
        <v>11231600</v>
      </c>
      <c r="BG679" s="518">
        <f t="shared" ref="BG679:BG687" si="416">AP679</f>
        <v>5322800</v>
      </c>
      <c r="BH679" s="758">
        <v>10000000</v>
      </c>
      <c r="BI679" s="758">
        <v>10000000</v>
      </c>
      <c r="BJ679" s="758">
        <v>10000000</v>
      </c>
      <c r="BK679" s="758">
        <v>10000000</v>
      </c>
      <c r="BL679" s="759">
        <f t="shared" ref="BL679:BL687" si="417">SUM(AZ679,BA679,BB679,BC679,BD679,BE679,BF679,BG679,BH679,BI679,BJ679,BK679)</f>
        <v>56554400</v>
      </c>
      <c r="BN679" s="758">
        <v>15000000</v>
      </c>
      <c r="BO679" s="758">
        <v>15000000</v>
      </c>
      <c r="BP679" s="758">
        <v>15000000</v>
      </c>
      <c r="BQ679" s="758">
        <v>15000000</v>
      </c>
      <c r="BR679" s="758">
        <v>15000000</v>
      </c>
      <c r="BS679" s="758">
        <v>15000000</v>
      </c>
      <c r="BT679" s="758">
        <v>15000000</v>
      </c>
      <c r="BU679" s="758">
        <v>15000000</v>
      </c>
      <c r="BV679" s="758">
        <v>15000000</v>
      </c>
      <c r="BW679" s="758">
        <v>20000000</v>
      </c>
      <c r="BX679" s="758">
        <v>20000000</v>
      </c>
      <c r="BY679" s="758">
        <v>20000000</v>
      </c>
      <c r="BZ679" s="791">
        <v>195000000</v>
      </c>
      <c r="CB679" s="758">
        <v>15000000</v>
      </c>
      <c r="CC679" s="758">
        <v>15000000</v>
      </c>
      <c r="CD679" s="758">
        <v>15000000</v>
      </c>
      <c r="CE679" s="758">
        <v>15000000</v>
      </c>
      <c r="CF679" s="758">
        <v>15000000</v>
      </c>
      <c r="CG679" s="758">
        <v>15000000</v>
      </c>
      <c r="CH679" s="758">
        <v>15000000</v>
      </c>
      <c r="CI679" s="758">
        <v>15000000</v>
      </c>
      <c r="CJ679" s="758">
        <v>15000000</v>
      </c>
      <c r="CK679" s="758">
        <v>20000000</v>
      </c>
      <c r="CL679" s="758">
        <v>20000000</v>
      </c>
      <c r="CM679" s="758">
        <v>20000000</v>
      </c>
      <c r="CN679" s="791">
        <v>195000000</v>
      </c>
      <c r="CO679" s="37"/>
      <c r="CP679" s="657">
        <v>11585200</v>
      </c>
      <c r="CQ679" s="657">
        <v>16800000</v>
      </c>
      <c r="CR679" s="528">
        <v>15000000</v>
      </c>
      <c r="CS679" s="657">
        <v>7000000</v>
      </c>
      <c r="CT679" s="528">
        <v>15000000</v>
      </c>
      <c r="CU679" s="657">
        <v>7000000</v>
      </c>
      <c r="CV679" s="528">
        <v>30000000</v>
      </c>
      <c r="CW679" s="657"/>
      <c r="CX679" s="528">
        <v>20000000</v>
      </c>
      <c r="CY679" s="657">
        <v>5600000</v>
      </c>
      <c r="CZ679" s="528">
        <v>0</v>
      </c>
      <c r="DA679" s="657">
        <v>1400000</v>
      </c>
      <c r="DB679" s="528" t="s">
        <v>615</v>
      </c>
      <c r="DC679" s="657">
        <v>0</v>
      </c>
      <c r="DD679" s="528" t="s">
        <v>615</v>
      </c>
      <c r="DE679" s="758"/>
      <c r="DF679" s="528" t="s">
        <v>615</v>
      </c>
      <c r="DG679" s="757" t="s">
        <v>615</v>
      </c>
      <c r="DH679" s="758"/>
      <c r="DI679" s="528" t="s">
        <v>615</v>
      </c>
      <c r="DJ679" s="757" t="s">
        <v>615</v>
      </c>
      <c r="DK679" s="758"/>
      <c r="DL679" s="528" t="s">
        <v>615</v>
      </c>
      <c r="DM679" s="757" t="s">
        <v>615</v>
      </c>
      <c r="DN679" s="758"/>
      <c r="DO679" s="528" t="s">
        <v>615</v>
      </c>
      <c r="DP679" s="757" t="s">
        <v>615</v>
      </c>
      <c r="DQ679" s="493">
        <f t="shared" si="401"/>
        <v>49385200</v>
      </c>
      <c r="DR679" s="479">
        <f t="shared" si="403"/>
        <v>62385200</v>
      </c>
      <c r="DS679" s="1020"/>
      <c r="DT679" s="1020"/>
      <c r="DU679" s="1020"/>
      <c r="DV679" s="1020"/>
      <c r="DW679" s="1020"/>
      <c r="DX679" s="1020"/>
      <c r="DY679" s="1020"/>
      <c r="DZ679" s="1020"/>
      <c r="EA679" s="1020"/>
      <c r="EB679" s="1020"/>
      <c r="EC679" s="1020"/>
      <c r="ED679" s="1020"/>
      <c r="EE679" s="1119">
        <f t="shared" si="400"/>
        <v>0</v>
      </c>
      <c r="EF679" s="443">
        <f t="shared" si="408"/>
        <v>0</v>
      </c>
      <c r="EG679" s="443">
        <f t="shared" si="409"/>
        <v>0</v>
      </c>
      <c r="EH679" s="443">
        <f t="shared" si="410"/>
        <v>0</v>
      </c>
      <c r="EI679" s="443">
        <f t="shared" si="410"/>
        <v>0</v>
      </c>
      <c r="EJ679" s="367">
        <v>3000001937</v>
      </c>
      <c r="EL679" s="177"/>
      <c r="EM679" s="177"/>
      <c r="EN679" s="177"/>
    </row>
    <row r="680" spans="1:144" outlineLevel="2">
      <c r="A680" s="367" t="s">
        <v>194</v>
      </c>
      <c r="B680" s="378"/>
      <c r="C680" s="370" t="s">
        <v>688</v>
      </c>
      <c r="D680" s="370" t="s">
        <v>40</v>
      </c>
      <c r="E680" s="383" t="s">
        <v>114</v>
      </c>
      <c r="F680" s="380">
        <v>3000019518</v>
      </c>
      <c r="G680" s="196"/>
      <c r="H680" s="31"/>
      <c r="I680" s="185"/>
      <c r="J680" s="185"/>
      <c r="K680" s="185"/>
      <c r="L680" s="185"/>
      <c r="M680" s="185"/>
      <c r="N680" s="185"/>
      <c r="O680" s="7"/>
      <c r="P680" s="7"/>
      <c r="Q680" s="7"/>
      <c r="R680" s="7"/>
      <c r="S680" s="14">
        <f t="shared" si="411"/>
        <v>0</v>
      </c>
      <c r="T680" s="179"/>
      <c r="U680" s="196"/>
      <c r="V680" s="31"/>
      <c r="W680" s="185"/>
      <c r="X680" s="185"/>
      <c r="Y680" s="185"/>
      <c r="Z680" s="185"/>
      <c r="AA680" s="185"/>
      <c r="AB680" s="185"/>
      <c r="AC680" s="7"/>
      <c r="AD680" s="7"/>
      <c r="AE680" s="7"/>
      <c r="AF680" s="7"/>
      <c r="AG680" s="759">
        <f t="shared" si="412"/>
        <v>0</v>
      </c>
      <c r="AH680" s="811">
        <v>3000019518</v>
      </c>
      <c r="AI680" s="485"/>
      <c r="AJ680" s="874"/>
      <c r="AK680" s="758"/>
      <c r="AL680" s="758"/>
      <c r="AM680" s="758">
        <v>6810400</v>
      </c>
      <c r="AN680" s="758">
        <v>17342400</v>
      </c>
      <c r="AO680" s="758">
        <v>34098800</v>
      </c>
      <c r="AP680" s="758">
        <v>79347950</v>
      </c>
      <c r="AQ680" s="518">
        <v>118618800</v>
      </c>
      <c r="AR680" s="813">
        <v>128550250</v>
      </c>
      <c r="AS680" s="813">
        <v>115024350</v>
      </c>
      <c r="AT680" s="813">
        <v>62901050</v>
      </c>
      <c r="AU680" s="518">
        <f t="shared" si="413"/>
        <v>35000000</v>
      </c>
      <c r="AV680" s="518">
        <f t="shared" si="414"/>
        <v>35000000</v>
      </c>
      <c r="AW680" s="518">
        <f t="shared" si="415"/>
        <v>35000000</v>
      </c>
      <c r="AX680" s="518">
        <f t="shared" si="406"/>
        <v>562694000</v>
      </c>
      <c r="AY680" s="811" t="e">
        <v>#N/A</v>
      </c>
      <c r="AZ680" s="485"/>
      <c r="BA680" s="874"/>
      <c r="BB680" s="758"/>
      <c r="BC680" s="758"/>
      <c r="BD680" s="758">
        <v>6810400</v>
      </c>
      <c r="BE680" s="758">
        <v>17342400</v>
      </c>
      <c r="BF680" s="758">
        <v>34098800</v>
      </c>
      <c r="BG680" s="518">
        <f t="shared" si="416"/>
        <v>79347950</v>
      </c>
      <c r="BH680" s="758">
        <v>35000000</v>
      </c>
      <c r="BI680" s="758">
        <v>35000000</v>
      </c>
      <c r="BJ680" s="758">
        <v>35000000</v>
      </c>
      <c r="BK680" s="758">
        <v>35000000</v>
      </c>
      <c r="BL680" s="759">
        <f t="shared" si="417"/>
        <v>277599550</v>
      </c>
      <c r="BN680" s="758">
        <v>35000000</v>
      </c>
      <c r="BO680" s="758">
        <v>35000000</v>
      </c>
      <c r="BP680" s="758">
        <v>35000000</v>
      </c>
      <c r="BQ680" s="758">
        <v>35000000</v>
      </c>
      <c r="BR680" s="758">
        <v>20000000</v>
      </c>
      <c r="BS680" s="758">
        <v>35000000</v>
      </c>
      <c r="BT680" s="758">
        <v>35000000</v>
      </c>
      <c r="BU680" s="758">
        <v>35000000</v>
      </c>
      <c r="BV680" s="758">
        <v>35000000</v>
      </c>
      <c r="BW680" s="758">
        <v>35000000</v>
      </c>
      <c r="BX680" s="758">
        <v>35000000</v>
      </c>
      <c r="BY680" s="758">
        <v>35000000</v>
      </c>
      <c r="BZ680" s="791">
        <v>405000000</v>
      </c>
      <c r="CB680" s="758">
        <v>35000000</v>
      </c>
      <c r="CC680" s="758">
        <v>35000000</v>
      </c>
      <c r="CD680" s="758">
        <v>35000000</v>
      </c>
      <c r="CE680" s="758">
        <v>35000000</v>
      </c>
      <c r="CF680" s="758">
        <v>20000000</v>
      </c>
      <c r="CG680" s="758">
        <v>35000000</v>
      </c>
      <c r="CH680" s="758">
        <v>35000000</v>
      </c>
      <c r="CI680" s="758">
        <v>35000000</v>
      </c>
      <c r="CJ680" s="758">
        <v>35000000</v>
      </c>
      <c r="CK680" s="758">
        <v>35000000</v>
      </c>
      <c r="CL680" s="758">
        <v>35000000</v>
      </c>
      <c r="CM680" s="758">
        <v>35000000</v>
      </c>
      <c r="CN680" s="791">
        <v>405000000</v>
      </c>
      <c r="CO680" s="37"/>
      <c r="CP680" s="657">
        <v>115601600</v>
      </c>
      <c r="CQ680" s="657">
        <v>145117150</v>
      </c>
      <c r="CR680" s="528">
        <v>115000000</v>
      </c>
      <c r="CS680" s="657">
        <v>130034950</v>
      </c>
      <c r="CT680" s="528">
        <v>116000000</v>
      </c>
      <c r="CU680" s="657">
        <v>152275600</v>
      </c>
      <c r="CV680" s="528">
        <v>120000000</v>
      </c>
      <c r="CW680" s="657">
        <v>98798900</v>
      </c>
      <c r="CX680" s="528">
        <v>120000000</v>
      </c>
      <c r="CY680" s="657">
        <v>111841150</v>
      </c>
      <c r="CZ680" s="528">
        <v>120000000</v>
      </c>
      <c r="DA680" s="657">
        <v>47658700</v>
      </c>
      <c r="DB680" s="528">
        <v>120000000</v>
      </c>
      <c r="DC680" s="657">
        <v>89211050</v>
      </c>
      <c r="DD680" s="528">
        <v>120000000</v>
      </c>
      <c r="DE680" s="758"/>
      <c r="DF680" s="528">
        <v>120000000</v>
      </c>
      <c r="DG680" s="757">
        <v>120000000</v>
      </c>
      <c r="DH680" s="758"/>
      <c r="DI680" s="528">
        <v>120000000</v>
      </c>
      <c r="DJ680" s="757">
        <v>120000000</v>
      </c>
      <c r="DK680" s="758"/>
      <c r="DL680" s="528">
        <v>120000000</v>
      </c>
      <c r="DM680" s="757">
        <v>120000000</v>
      </c>
      <c r="DN680" s="758"/>
      <c r="DO680" s="528">
        <v>120000000</v>
      </c>
      <c r="DP680" s="757">
        <v>120000000</v>
      </c>
      <c r="DQ680" s="493">
        <f t="shared" si="401"/>
        <v>1370539100</v>
      </c>
      <c r="DR680" s="479">
        <f t="shared" si="403"/>
        <v>1503029300</v>
      </c>
      <c r="DS680" s="1020">
        <v>150000000</v>
      </c>
      <c r="DT680" s="1020">
        <v>200000000</v>
      </c>
      <c r="DU680" s="1020">
        <v>250000000</v>
      </c>
      <c r="DV680" s="1020">
        <v>250000000</v>
      </c>
      <c r="DW680" s="1020">
        <v>250000000</v>
      </c>
      <c r="DX680" s="1020">
        <v>250000000</v>
      </c>
      <c r="DY680" s="1020">
        <v>250000000</v>
      </c>
      <c r="DZ680" s="1020">
        <v>250000000</v>
      </c>
      <c r="EA680" s="1020">
        <v>250000000</v>
      </c>
      <c r="EB680" s="1020">
        <v>250000000</v>
      </c>
      <c r="EC680" s="1020">
        <v>250000000</v>
      </c>
      <c r="ED680" s="1020">
        <v>250000000</v>
      </c>
      <c r="EE680" s="1119">
        <f t="shared" si="400"/>
        <v>2850000000</v>
      </c>
      <c r="EF680" s="443">
        <f t="shared" si="408"/>
        <v>3334500000</v>
      </c>
      <c r="EG680" s="443">
        <f t="shared" si="409"/>
        <v>3601260000</v>
      </c>
      <c r="EH680" s="443">
        <f t="shared" si="410"/>
        <v>3925373400.0000005</v>
      </c>
      <c r="EI680" s="443">
        <f t="shared" si="410"/>
        <v>4278657006.000001</v>
      </c>
      <c r="EJ680" s="367">
        <v>3000019518</v>
      </c>
      <c r="EL680" s="177"/>
      <c r="EM680" s="177"/>
      <c r="EN680" s="177"/>
    </row>
    <row r="681" spans="1:144" outlineLevel="2">
      <c r="A681" s="367" t="s">
        <v>196</v>
      </c>
      <c r="B681" s="378"/>
      <c r="C681" s="370" t="s">
        <v>688</v>
      </c>
      <c r="D681" s="370" t="s">
        <v>40</v>
      </c>
      <c r="E681" s="383" t="s">
        <v>725</v>
      </c>
      <c r="F681" s="380">
        <v>3000007275</v>
      </c>
      <c r="G681" s="196"/>
      <c r="H681" s="31"/>
      <c r="I681" s="185"/>
      <c r="J681" s="185"/>
      <c r="K681" s="185"/>
      <c r="L681" s="185"/>
      <c r="M681" s="185"/>
      <c r="N681" s="185"/>
      <c r="O681" s="7"/>
      <c r="P681" s="7"/>
      <c r="Q681" s="7"/>
      <c r="R681" s="7"/>
      <c r="S681" s="14">
        <f t="shared" si="411"/>
        <v>0</v>
      </c>
      <c r="T681" s="179"/>
      <c r="U681" s="196"/>
      <c r="V681" s="31"/>
      <c r="W681" s="185"/>
      <c r="X681" s="185"/>
      <c r="Y681" s="185"/>
      <c r="Z681" s="185"/>
      <c r="AA681" s="185"/>
      <c r="AB681" s="185"/>
      <c r="AC681" s="7"/>
      <c r="AD681" s="7"/>
      <c r="AE681" s="7"/>
      <c r="AF681" s="7"/>
      <c r="AG681" s="759">
        <f t="shared" si="412"/>
        <v>0</v>
      </c>
      <c r="AH681" s="811">
        <v>3000007275</v>
      </c>
      <c r="AI681" s="485"/>
      <c r="AJ681" s="874"/>
      <c r="AK681" s="758"/>
      <c r="AL681" s="758"/>
      <c r="AM681" s="758"/>
      <c r="AN681" s="758"/>
      <c r="AO681" s="758"/>
      <c r="AP681" s="758">
        <v>7089353</v>
      </c>
      <c r="AQ681" s="518">
        <v>0</v>
      </c>
      <c r="AR681" s="518"/>
      <c r="AS681" s="518"/>
      <c r="AT681" s="518"/>
      <c r="AU681" s="518">
        <f t="shared" si="413"/>
        <v>0</v>
      </c>
      <c r="AV681" s="518">
        <f t="shared" si="414"/>
        <v>0</v>
      </c>
      <c r="AW681" s="518">
        <f t="shared" si="415"/>
        <v>0</v>
      </c>
      <c r="AX681" s="518">
        <f t="shared" si="406"/>
        <v>7089353</v>
      </c>
      <c r="AY681" s="811">
        <v>0</v>
      </c>
      <c r="AZ681" s="485"/>
      <c r="BA681" s="874"/>
      <c r="BB681" s="758"/>
      <c r="BC681" s="758"/>
      <c r="BD681" s="758"/>
      <c r="BE681" s="758"/>
      <c r="BF681" s="758"/>
      <c r="BG681" s="518">
        <f t="shared" si="416"/>
        <v>7089353</v>
      </c>
      <c r="BH681" s="758">
        <v>0</v>
      </c>
      <c r="BI681" s="758">
        <v>0</v>
      </c>
      <c r="BJ681" s="758">
        <v>0</v>
      </c>
      <c r="BK681" s="758">
        <v>0</v>
      </c>
      <c r="BL681" s="759">
        <f t="shared" si="417"/>
        <v>7089353</v>
      </c>
      <c r="BN681" s="758">
        <v>0</v>
      </c>
      <c r="BO681" s="758">
        <v>0</v>
      </c>
      <c r="BP681" s="758">
        <v>0</v>
      </c>
      <c r="BQ681" s="758">
        <v>0</v>
      </c>
      <c r="BR681" s="758">
        <v>0</v>
      </c>
      <c r="BS681" s="758">
        <v>0</v>
      </c>
      <c r="BT681" s="758">
        <v>0</v>
      </c>
      <c r="BU681" s="758">
        <v>0</v>
      </c>
      <c r="BV681" s="758">
        <v>0</v>
      </c>
      <c r="BW681" s="758">
        <v>0</v>
      </c>
      <c r="BX681" s="758">
        <v>0</v>
      </c>
      <c r="BY681" s="758">
        <v>0</v>
      </c>
      <c r="BZ681" s="791">
        <v>0</v>
      </c>
      <c r="CB681" s="758">
        <v>0</v>
      </c>
      <c r="CC681" s="758">
        <v>0</v>
      </c>
      <c r="CD681" s="758">
        <v>0</v>
      </c>
      <c r="CE681" s="758">
        <v>0</v>
      </c>
      <c r="CF681" s="758">
        <v>0</v>
      </c>
      <c r="CG681" s="758">
        <v>0</v>
      </c>
      <c r="CH681" s="758">
        <v>0</v>
      </c>
      <c r="CI681" s="758">
        <v>0</v>
      </c>
      <c r="CJ681" s="758">
        <v>0</v>
      </c>
      <c r="CK681" s="758">
        <v>0</v>
      </c>
      <c r="CL681" s="758">
        <v>0</v>
      </c>
      <c r="CM681" s="758">
        <v>0</v>
      </c>
      <c r="CN681" s="791">
        <v>0</v>
      </c>
      <c r="CO681" s="37"/>
      <c r="CP681" s="657"/>
      <c r="CQ681" s="657"/>
      <c r="CR681" s="528"/>
      <c r="CS681" s="657"/>
      <c r="CT681" s="528"/>
      <c r="CU681" s="657">
        <v>527838</v>
      </c>
      <c r="CV681" s="528"/>
      <c r="CW681" s="657">
        <v>2596974</v>
      </c>
      <c r="CX681" s="528"/>
      <c r="CY681" s="657"/>
      <c r="CZ681" s="528"/>
      <c r="DA681" s="657"/>
      <c r="DB681" s="528"/>
      <c r="DC681" s="657">
        <v>522783</v>
      </c>
      <c r="DD681" s="528"/>
      <c r="DE681" s="758"/>
      <c r="DF681" s="528"/>
      <c r="DG681" s="757"/>
      <c r="DH681" s="758"/>
      <c r="DI681" s="528"/>
      <c r="DJ681" s="757"/>
      <c r="DK681" s="758"/>
      <c r="DL681" s="528"/>
      <c r="DM681" s="757"/>
      <c r="DN681" s="758"/>
      <c r="DO681" s="528"/>
      <c r="DP681" s="757"/>
      <c r="DQ681" s="493">
        <f t="shared" si="401"/>
        <v>3647595</v>
      </c>
      <c r="DR681" s="479">
        <f t="shared" si="403"/>
        <v>527838</v>
      </c>
      <c r="DS681" s="1020"/>
      <c r="DT681" s="1020"/>
      <c r="DU681" s="1020"/>
      <c r="DV681" s="1020"/>
      <c r="DW681" s="1020"/>
      <c r="DX681" s="1020"/>
      <c r="DY681" s="1020"/>
      <c r="DZ681" s="1020"/>
      <c r="EA681" s="1020"/>
      <c r="EB681" s="1020"/>
      <c r="EC681" s="1020"/>
      <c r="ED681" s="1020"/>
      <c r="EE681" s="1119">
        <f t="shared" si="400"/>
        <v>0</v>
      </c>
      <c r="EF681" s="443">
        <f t="shared" si="408"/>
        <v>0</v>
      </c>
      <c r="EG681" s="443">
        <f t="shared" si="409"/>
        <v>0</v>
      </c>
      <c r="EH681" s="443">
        <f t="shared" si="410"/>
        <v>0</v>
      </c>
      <c r="EI681" s="443">
        <f t="shared" si="410"/>
        <v>0</v>
      </c>
      <c r="EJ681" s="367">
        <v>3000007275</v>
      </c>
      <c r="EL681" s="177"/>
      <c r="EM681" s="177"/>
      <c r="EN681" s="177"/>
    </row>
    <row r="682" spans="1:144" outlineLevel="2">
      <c r="A682" s="367" t="s">
        <v>196</v>
      </c>
      <c r="B682" s="378"/>
      <c r="C682" s="370" t="s">
        <v>688</v>
      </c>
      <c r="D682" s="370" t="s">
        <v>40</v>
      </c>
      <c r="E682" s="383" t="s">
        <v>726</v>
      </c>
      <c r="F682" s="380">
        <v>3000002009</v>
      </c>
      <c r="G682" s="196"/>
      <c r="H682" s="31"/>
      <c r="I682" s="185"/>
      <c r="J682" s="185"/>
      <c r="K682" s="185"/>
      <c r="L682" s="185"/>
      <c r="M682" s="185"/>
      <c r="N682" s="185"/>
      <c r="O682" s="7"/>
      <c r="P682" s="7"/>
      <c r="Q682" s="7"/>
      <c r="R682" s="7"/>
      <c r="S682" s="14">
        <f t="shared" si="411"/>
        <v>0</v>
      </c>
      <c r="T682" s="179"/>
      <c r="U682" s="196"/>
      <c r="V682" s="31"/>
      <c r="W682" s="185"/>
      <c r="X682" s="185"/>
      <c r="Y682" s="185"/>
      <c r="Z682" s="185"/>
      <c r="AA682" s="185"/>
      <c r="AB682" s="185"/>
      <c r="AC682" s="7"/>
      <c r="AD682" s="7"/>
      <c r="AE682" s="7"/>
      <c r="AF682" s="7"/>
      <c r="AG682" s="759">
        <f t="shared" si="412"/>
        <v>0</v>
      </c>
      <c r="AH682" s="811">
        <v>3000002009</v>
      </c>
      <c r="AI682" s="485"/>
      <c r="AJ682" s="874"/>
      <c r="AK682" s="758"/>
      <c r="AL682" s="758"/>
      <c r="AM682" s="758"/>
      <c r="AN682" s="758"/>
      <c r="AO682" s="758"/>
      <c r="AP682" s="758">
        <v>1100000</v>
      </c>
      <c r="AQ682" s="518">
        <v>400000</v>
      </c>
      <c r="AR682" s="518"/>
      <c r="AS682" s="518"/>
      <c r="AT682" s="518"/>
      <c r="AU682" s="518">
        <f t="shared" si="413"/>
        <v>0</v>
      </c>
      <c r="AV682" s="518">
        <f t="shared" si="414"/>
        <v>0</v>
      </c>
      <c r="AW682" s="518">
        <f t="shared" si="415"/>
        <v>0</v>
      </c>
      <c r="AX682" s="518">
        <f t="shared" si="406"/>
        <v>1500000</v>
      </c>
      <c r="AY682" s="811">
        <v>0</v>
      </c>
      <c r="AZ682" s="485"/>
      <c r="BA682" s="874"/>
      <c r="BB682" s="758"/>
      <c r="BC682" s="758"/>
      <c r="BD682" s="758"/>
      <c r="BE682" s="758"/>
      <c r="BF682" s="758"/>
      <c r="BG682" s="518">
        <f t="shared" si="416"/>
        <v>1100000</v>
      </c>
      <c r="BH682" s="758">
        <v>0</v>
      </c>
      <c r="BI682" s="758">
        <v>0</v>
      </c>
      <c r="BJ682" s="758">
        <v>0</v>
      </c>
      <c r="BK682" s="758">
        <v>0</v>
      </c>
      <c r="BL682" s="759">
        <f t="shared" si="417"/>
        <v>1100000</v>
      </c>
      <c r="BN682" s="758">
        <v>0</v>
      </c>
      <c r="BO682" s="758">
        <v>0</v>
      </c>
      <c r="BP682" s="758">
        <v>0</v>
      </c>
      <c r="BQ682" s="758">
        <v>0</v>
      </c>
      <c r="BR682" s="758">
        <v>0</v>
      </c>
      <c r="BS682" s="758">
        <v>0</v>
      </c>
      <c r="BT682" s="758">
        <v>0</v>
      </c>
      <c r="BU682" s="758">
        <v>0</v>
      </c>
      <c r="BV682" s="758">
        <v>0</v>
      </c>
      <c r="BW682" s="758">
        <v>0</v>
      </c>
      <c r="BX682" s="758">
        <v>0</v>
      </c>
      <c r="BY682" s="758">
        <v>0</v>
      </c>
      <c r="BZ682" s="791">
        <v>0</v>
      </c>
      <c r="CB682" s="758">
        <v>0</v>
      </c>
      <c r="CC682" s="758">
        <v>0</v>
      </c>
      <c r="CD682" s="758">
        <v>0</v>
      </c>
      <c r="CE682" s="758">
        <v>0</v>
      </c>
      <c r="CF682" s="758">
        <v>0</v>
      </c>
      <c r="CG682" s="758">
        <v>0</v>
      </c>
      <c r="CH682" s="758">
        <v>0</v>
      </c>
      <c r="CI682" s="758">
        <v>0</v>
      </c>
      <c r="CJ682" s="758">
        <v>0</v>
      </c>
      <c r="CK682" s="758">
        <v>0</v>
      </c>
      <c r="CL682" s="758">
        <v>0</v>
      </c>
      <c r="CM682" s="758">
        <v>0</v>
      </c>
      <c r="CN682" s="791">
        <v>0</v>
      </c>
      <c r="CO682" s="37"/>
      <c r="CP682" s="657"/>
      <c r="CQ682" s="657"/>
      <c r="CR682" s="528"/>
      <c r="CS682" s="657"/>
      <c r="CT682" s="528"/>
      <c r="CU682" s="657"/>
      <c r="CV682" s="528"/>
      <c r="CW682" s="657"/>
      <c r="CX682" s="528"/>
      <c r="CY682" s="657"/>
      <c r="CZ682" s="528"/>
      <c r="DA682" s="657"/>
      <c r="DB682" s="528"/>
      <c r="DC682" s="657">
        <v>0</v>
      </c>
      <c r="DD682" s="528"/>
      <c r="DE682" s="758"/>
      <c r="DF682" s="528"/>
      <c r="DG682" s="757"/>
      <c r="DH682" s="758"/>
      <c r="DI682" s="528"/>
      <c r="DJ682" s="757"/>
      <c r="DK682" s="758"/>
      <c r="DL682" s="528"/>
      <c r="DM682" s="757"/>
      <c r="DN682" s="758"/>
      <c r="DO682" s="528"/>
      <c r="DP682" s="757"/>
      <c r="DQ682" s="493">
        <f t="shared" si="401"/>
        <v>0</v>
      </c>
      <c r="DR682" s="479">
        <f t="shared" si="403"/>
        <v>0</v>
      </c>
      <c r="DS682" s="1020"/>
      <c r="DT682" s="1020"/>
      <c r="DU682" s="1020"/>
      <c r="DV682" s="1020"/>
      <c r="DW682" s="1020"/>
      <c r="DX682" s="1020"/>
      <c r="DY682" s="1020"/>
      <c r="DZ682" s="1020"/>
      <c r="EA682" s="1020"/>
      <c r="EB682" s="1020"/>
      <c r="EC682" s="1020"/>
      <c r="ED682" s="1020"/>
      <c r="EE682" s="1119">
        <f t="shared" si="400"/>
        <v>0</v>
      </c>
      <c r="EF682" s="443">
        <f t="shared" si="408"/>
        <v>0</v>
      </c>
      <c r="EG682" s="443">
        <f t="shared" si="409"/>
        <v>0</v>
      </c>
      <c r="EH682" s="443">
        <f t="shared" si="410"/>
        <v>0</v>
      </c>
      <c r="EI682" s="443">
        <f t="shared" si="410"/>
        <v>0</v>
      </c>
      <c r="EJ682" s="367">
        <v>3000002009</v>
      </c>
      <c r="EL682" s="177"/>
      <c r="EM682" s="177"/>
      <c r="EN682" s="177"/>
    </row>
    <row r="683" spans="1:144" outlineLevel="2">
      <c r="A683" s="367" t="s">
        <v>194</v>
      </c>
      <c r="B683" s="378"/>
      <c r="C683" s="370" t="s">
        <v>688</v>
      </c>
      <c r="D683" s="370" t="s">
        <v>40</v>
      </c>
      <c r="E683" s="383" t="s">
        <v>135</v>
      </c>
      <c r="F683" s="380">
        <v>3000011390</v>
      </c>
      <c r="G683" s="186"/>
      <c r="H683" s="31"/>
      <c r="I683" s="27"/>
      <c r="J683" s="185"/>
      <c r="K683" s="185"/>
      <c r="L683" s="185"/>
      <c r="M683" s="185"/>
      <c r="N683" s="185"/>
      <c r="O683" s="7"/>
      <c r="P683" s="7"/>
      <c r="Q683" s="7"/>
      <c r="R683" s="7"/>
      <c r="S683" s="14">
        <f t="shared" si="411"/>
        <v>0</v>
      </c>
      <c r="T683" s="179"/>
      <c r="U683" s="186"/>
      <c r="V683" s="31"/>
      <c r="W683" s="27"/>
      <c r="X683" s="185"/>
      <c r="Y683" s="185"/>
      <c r="Z683" s="185"/>
      <c r="AA683" s="185"/>
      <c r="AB683" s="185"/>
      <c r="AC683" s="7"/>
      <c r="AD683" s="7"/>
      <c r="AE683" s="7"/>
      <c r="AF683" s="7"/>
      <c r="AG683" s="759">
        <f t="shared" si="412"/>
        <v>0</v>
      </c>
      <c r="AH683" s="811">
        <v>3000011390</v>
      </c>
      <c r="AI683" s="814">
        <v>32159950</v>
      </c>
      <c r="AJ683" s="874">
        <v>27618250</v>
      </c>
      <c r="AK683" s="858">
        <v>19194950</v>
      </c>
      <c r="AL683" s="758">
        <v>24523650</v>
      </c>
      <c r="AM683" s="758">
        <v>23550450</v>
      </c>
      <c r="AN683" s="758">
        <v>40643650</v>
      </c>
      <c r="AO683" s="758">
        <v>4644800</v>
      </c>
      <c r="AP683" s="758">
        <v>7704300</v>
      </c>
      <c r="AQ683" s="518">
        <v>40723200</v>
      </c>
      <c r="AR683" s="813">
        <v>18641750</v>
      </c>
      <c r="AS683" s="813">
        <v>5760250</v>
      </c>
      <c r="AT683" s="813">
        <v>5413000</v>
      </c>
      <c r="AU683" s="518">
        <f t="shared" si="413"/>
        <v>25000000</v>
      </c>
      <c r="AV683" s="518">
        <f t="shared" si="414"/>
        <v>25000000</v>
      </c>
      <c r="AW683" s="518">
        <f t="shared" si="415"/>
        <v>25000000</v>
      </c>
      <c r="AX683" s="518">
        <f t="shared" si="406"/>
        <v>250578200</v>
      </c>
      <c r="AY683" s="811" t="e">
        <v>#N/A</v>
      </c>
      <c r="AZ683" s="814">
        <v>32159950</v>
      </c>
      <c r="BA683" s="874">
        <v>27618250</v>
      </c>
      <c r="BB683" s="858">
        <v>19194950</v>
      </c>
      <c r="BC683" s="758">
        <v>24523650</v>
      </c>
      <c r="BD683" s="758">
        <v>23550450</v>
      </c>
      <c r="BE683" s="758">
        <v>40643650</v>
      </c>
      <c r="BF683" s="758">
        <v>4644800</v>
      </c>
      <c r="BG683" s="518">
        <f t="shared" si="416"/>
        <v>7704300</v>
      </c>
      <c r="BH683" s="758">
        <v>25000000</v>
      </c>
      <c r="BI683" s="758">
        <v>25000000</v>
      </c>
      <c r="BJ683" s="758">
        <v>25000000</v>
      </c>
      <c r="BK683" s="758">
        <v>25000000</v>
      </c>
      <c r="BL683" s="759">
        <f t="shared" si="417"/>
        <v>280040000</v>
      </c>
      <c r="BN683" s="758">
        <v>25000000</v>
      </c>
      <c r="BO683" s="758">
        <v>25000000</v>
      </c>
      <c r="BP683" s="758">
        <v>25000000</v>
      </c>
      <c r="BQ683" s="758">
        <v>25000000</v>
      </c>
      <c r="BR683" s="758">
        <v>15000000</v>
      </c>
      <c r="BS683" s="758">
        <v>25000000</v>
      </c>
      <c r="BT683" s="758">
        <v>25000000</v>
      </c>
      <c r="BU683" s="758">
        <v>25000000</v>
      </c>
      <c r="BV683" s="758">
        <v>25000000</v>
      </c>
      <c r="BW683" s="758">
        <v>25000000</v>
      </c>
      <c r="BX683" s="758">
        <v>25000000</v>
      </c>
      <c r="BY683" s="758">
        <v>25000000</v>
      </c>
      <c r="BZ683" s="791">
        <v>290000000</v>
      </c>
      <c r="CB683" s="758">
        <v>25000000</v>
      </c>
      <c r="CC683" s="758">
        <v>25000000</v>
      </c>
      <c r="CD683" s="758">
        <v>25000000</v>
      </c>
      <c r="CE683" s="758">
        <v>25000000</v>
      </c>
      <c r="CF683" s="758">
        <v>15000000</v>
      </c>
      <c r="CG683" s="758">
        <v>25000000</v>
      </c>
      <c r="CH683" s="758">
        <v>25000000</v>
      </c>
      <c r="CI683" s="758">
        <v>25000000</v>
      </c>
      <c r="CJ683" s="758">
        <v>25000000</v>
      </c>
      <c r="CK683" s="758">
        <v>25000000</v>
      </c>
      <c r="CL683" s="758">
        <v>25000000</v>
      </c>
      <c r="CM683" s="758">
        <v>25000000</v>
      </c>
      <c r="CN683" s="791">
        <v>290000000</v>
      </c>
      <c r="CO683" s="37"/>
      <c r="CP683" s="657">
        <v>22615800</v>
      </c>
      <c r="CQ683" s="657"/>
      <c r="CR683" s="528">
        <v>20000000</v>
      </c>
      <c r="CS683" s="657">
        <v>25055000</v>
      </c>
      <c r="CT683" s="528">
        <v>23000000</v>
      </c>
      <c r="CU683" s="657"/>
      <c r="CV683" s="528">
        <v>25000000</v>
      </c>
      <c r="CW683" s="657"/>
      <c r="CX683" s="528">
        <v>25000000</v>
      </c>
      <c r="CY683" s="657"/>
      <c r="CZ683" s="528">
        <v>25000000</v>
      </c>
      <c r="DA683" s="657"/>
      <c r="DB683" s="528">
        <v>25000000</v>
      </c>
      <c r="DC683" s="657">
        <v>0</v>
      </c>
      <c r="DD683" s="528">
        <v>25000000</v>
      </c>
      <c r="DE683" s="528"/>
      <c r="DF683" s="528">
        <v>25000000</v>
      </c>
      <c r="DG683" s="757">
        <v>25000000</v>
      </c>
      <c r="DH683" s="528"/>
      <c r="DI683" s="528">
        <v>25000000</v>
      </c>
      <c r="DJ683" s="757">
        <v>25000000</v>
      </c>
      <c r="DK683" s="528"/>
      <c r="DL683" s="528">
        <v>25000000</v>
      </c>
      <c r="DM683" s="757">
        <v>25000000</v>
      </c>
      <c r="DN683" s="528"/>
      <c r="DO683" s="528">
        <v>25000000</v>
      </c>
      <c r="DP683" s="757">
        <v>25000000</v>
      </c>
      <c r="DQ683" s="493">
        <f t="shared" si="401"/>
        <v>147670800</v>
      </c>
      <c r="DR683" s="479">
        <f t="shared" si="403"/>
        <v>247670800</v>
      </c>
      <c r="DS683" s="1020"/>
      <c r="DT683" s="1020"/>
      <c r="DU683" s="1020"/>
      <c r="DV683" s="1020"/>
      <c r="DW683" s="1020"/>
      <c r="DX683" s="1020"/>
      <c r="DY683" s="1020"/>
      <c r="DZ683" s="1020"/>
      <c r="EA683" s="1020"/>
      <c r="EB683" s="1020"/>
      <c r="EC683" s="1020"/>
      <c r="ED683" s="1020"/>
      <c r="EE683" s="1119">
        <f t="shared" si="400"/>
        <v>0</v>
      </c>
      <c r="EF683" s="443">
        <f t="shared" si="408"/>
        <v>0</v>
      </c>
      <c r="EG683" s="443">
        <f t="shared" si="409"/>
        <v>0</v>
      </c>
      <c r="EH683" s="443">
        <f t="shared" si="410"/>
        <v>0</v>
      </c>
      <c r="EI683" s="443">
        <f t="shared" si="410"/>
        <v>0</v>
      </c>
      <c r="EJ683" s="367">
        <v>3000011390</v>
      </c>
      <c r="EL683" s="177"/>
      <c r="EM683" s="177"/>
      <c r="EN683" s="177"/>
    </row>
    <row r="684" spans="1:144" outlineLevel="2">
      <c r="A684" s="367" t="s">
        <v>196</v>
      </c>
      <c r="B684" s="378"/>
      <c r="C684" s="370" t="s">
        <v>688</v>
      </c>
      <c r="D684" s="370" t="s">
        <v>40</v>
      </c>
      <c r="E684" s="383" t="s">
        <v>669</v>
      </c>
      <c r="F684" s="380">
        <v>3000002495</v>
      </c>
      <c r="G684" s="196"/>
      <c r="H684" s="31"/>
      <c r="I684" s="185"/>
      <c r="J684" s="185"/>
      <c r="K684" s="185"/>
      <c r="L684" s="185"/>
      <c r="M684" s="185"/>
      <c r="N684" s="185"/>
      <c r="O684" s="7"/>
      <c r="P684" s="7"/>
      <c r="Q684" s="7"/>
      <c r="R684" s="7"/>
      <c r="S684" s="14">
        <f t="shared" si="411"/>
        <v>0</v>
      </c>
      <c r="T684" s="179"/>
      <c r="U684" s="196"/>
      <c r="V684" s="31"/>
      <c r="W684" s="185"/>
      <c r="X684" s="185"/>
      <c r="Y684" s="185"/>
      <c r="Z684" s="185"/>
      <c r="AA684" s="185"/>
      <c r="AB684" s="185"/>
      <c r="AC684" s="7"/>
      <c r="AD684" s="7"/>
      <c r="AE684" s="7"/>
      <c r="AF684" s="7"/>
      <c r="AG684" s="759">
        <f t="shared" si="412"/>
        <v>0</v>
      </c>
      <c r="AH684" s="811">
        <v>3000002495</v>
      </c>
      <c r="AI684" s="485"/>
      <c r="AJ684" s="874"/>
      <c r="AK684" s="758"/>
      <c r="AL684" s="758"/>
      <c r="AM684" s="758"/>
      <c r="AN684" s="758"/>
      <c r="AO684" s="758">
        <v>7980400</v>
      </c>
      <c r="AP684" s="758">
        <v>0</v>
      </c>
      <c r="AQ684" s="518">
        <v>2674000</v>
      </c>
      <c r="AR684" s="813">
        <v>2485800</v>
      </c>
      <c r="AS684" s="813">
        <v>5249800</v>
      </c>
      <c r="AT684" s="813">
        <v>0</v>
      </c>
      <c r="AU684" s="518">
        <f t="shared" si="413"/>
        <v>5000000</v>
      </c>
      <c r="AV684" s="518">
        <f t="shared" si="414"/>
        <v>5000000</v>
      </c>
      <c r="AW684" s="518">
        <f t="shared" si="415"/>
        <v>5000000</v>
      </c>
      <c r="AX684" s="518">
        <f t="shared" si="406"/>
        <v>18390000</v>
      </c>
      <c r="AY684" s="811" t="e">
        <v>#N/A</v>
      </c>
      <c r="AZ684" s="485"/>
      <c r="BA684" s="874"/>
      <c r="BB684" s="758"/>
      <c r="BC684" s="758"/>
      <c r="BD684" s="758"/>
      <c r="BE684" s="758"/>
      <c r="BF684" s="758">
        <v>7980400</v>
      </c>
      <c r="BG684" s="518">
        <f t="shared" si="416"/>
        <v>0</v>
      </c>
      <c r="BH684" s="758">
        <v>5000000</v>
      </c>
      <c r="BI684" s="758">
        <v>5000000</v>
      </c>
      <c r="BJ684" s="758">
        <v>5000000</v>
      </c>
      <c r="BK684" s="758">
        <v>5000000</v>
      </c>
      <c r="BL684" s="759">
        <f t="shared" si="417"/>
        <v>27980400</v>
      </c>
      <c r="BN684" s="758">
        <v>5000000</v>
      </c>
      <c r="BO684" s="758">
        <v>5000000</v>
      </c>
      <c r="BP684" s="758">
        <v>5000000</v>
      </c>
      <c r="BQ684" s="758">
        <v>7500000</v>
      </c>
      <c r="BR684" s="758">
        <v>7500000</v>
      </c>
      <c r="BS684" s="758">
        <v>7500000</v>
      </c>
      <c r="BT684" s="758">
        <v>7500000</v>
      </c>
      <c r="BU684" s="758">
        <v>7500000</v>
      </c>
      <c r="BV684" s="758">
        <v>5000000</v>
      </c>
      <c r="BW684" s="758">
        <v>5000000</v>
      </c>
      <c r="BX684" s="758">
        <v>5000000</v>
      </c>
      <c r="BY684" s="758">
        <v>5000000</v>
      </c>
      <c r="BZ684" s="791">
        <v>72500000</v>
      </c>
      <c r="CB684" s="758">
        <v>5000000</v>
      </c>
      <c r="CC684" s="758">
        <v>5000000</v>
      </c>
      <c r="CD684" s="758">
        <v>5000000</v>
      </c>
      <c r="CE684" s="758">
        <v>7500000</v>
      </c>
      <c r="CF684" s="758">
        <v>7500000</v>
      </c>
      <c r="CG684" s="758">
        <v>7500000</v>
      </c>
      <c r="CH684" s="758">
        <v>7500000</v>
      </c>
      <c r="CI684" s="758">
        <v>7500000</v>
      </c>
      <c r="CJ684" s="758">
        <v>5000000</v>
      </c>
      <c r="CK684" s="758">
        <v>5000000</v>
      </c>
      <c r="CL684" s="758">
        <v>5000000</v>
      </c>
      <c r="CM684" s="758">
        <v>5000000</v>
      </c>
      <c r="CN684" s="791">
        <v>72500000</v>
      </c>
      <c r="CO684" s="37"/>
      <c r="CP684" s="657">
        <v>3653200</v>
      </c>
      <c r="CQ684" s="657">
        <v>2531000</v>
      </c>
      <c r="CR684" s="528">
        <v>5000000</v>
      </c>
      <c r="CS684" s="657"/>
      <c r="CT684" s="528">
        <v>10000000</v>
      </c>
      <c r="CU684" s="657">
        <v>5213200</v>
      </c>
      <c r="CV684" s="528">
        <v>15000000</v>
      </c>
      <c r="CW684" s="657">
        <v>2311000</v>
      </c>
      <c r="CX684" s="528">
        <v>10000000</v>
      </c>
      <c r="CY684" s="657">
        <v>32997200</v>
      </c>
      <c r="CZ684" s="528">
        <v>15000000</v>
      </c>
      <c r="DA684" s="657">
        <v>2156000</v>
      </c>
      <c r="DB684" s="528">
        <v>15000000</v>
      </c>
      <c r="DC684" s="657">
        <v>5376200</v>
      </c>
      <c r="DD684" s="528">
        <v>15000000</v>
      </c>
      <c r="DE684" s="758"/>
      <c r="DF684" s="528">
        <v>15000000</v>
      </c>
      <c r="DG684" s="757">
        <v>15000000</v>
      </c>
      <c r="DH684" s="758"/>
      <c r="DI684" s="528">
        <v>15000000</v>
      </c>
      <c r="DJ684" s="757">
        <v>15000000</v>
      </c>
      <c r="DK684" s="758"/>
      <c r="DL684" s="528">
        <v>15000000</v>
      </c>
      <c r="DM684" s="757">
        <v>15000000</v>
      </c>
      <c r="DN684" s="758"/>
      <c r="DO684" s="528">
        <v>15000000</v>
      </c>
      <c r="DP684" s="757">
        <v>15000000</v>
      </c>
      <c r="DQ684" s="493">
        <f t="shared" si="401"/>
        <v>114237800</v>
      </c>
      <c r="DR684" s="479">
        <f t="shared" si="403"/>
        <v>126397400</v>
      </c>
      <c r="DS684" s="1020">
        <v>8000000</v>
      </c>
      <c r="DT684" s="1020">
        <v>20000000</v>
      </c>
      <c r="DU684" s="1020">
        <v>20000000</v>
      </c>
      <c r="DV684" s="1020">
        <v>30000000</v>
      </c>
      <c r="DW684" s="1020">
        <v>8000000</v>
      </c>
      <c r="DX684" s="1020">
        <v>8000000</v>
      </c>
      <c r="DY684" s="1020">
        <v>8000000</v>
      </c>
      <c r="DZ684" s="1020">
        <v>8000000</v>
      </c>
      <c r="EA684" s="1020">
        <v>8000000</v>
      </c>
      <c r="EB684" s="1020">
        <v>20000000</v>
      </c>
      <c r="EC684" s="1020">
        <v>20000000</v>
      </c>
      <c r="ED684" s="1020">
        <v>20000000</v>
      </c>
      <c r="EE684" s="1119">
        <f t="shared" si="400"/>
        <v>178000000</v>
      </c>
      <c r="EF684" s="443">
        <f t="shared" si="408"/>
        <v>208260000</v>
      </c>
      <c r="EG684" s="443">
        <f t="shared" si="409"/>
        <v>224920800</v>
      </c>
      <c r="EH684" s="443">
        <f t="shared" si="410"/>
        <v>245163672.00000003</v>
      </c>
      <c r="EI684" s="443">
        <f t="shared" si="410"/>
        <v>267228402.48000005</v>
      </c>
      <c r="EJ684" s="367">
        <v>3000002495</v>
      </c>
      <c r="EL684" s="177"/>
      <c r="EM684" s="177"/>
      <c r="EN684" s="177"/>
    </row>
    <row r="685" spans="1:144" outlineLevel="2">
      <c r="A685" s="367" t="s">
        <v>196</v>
      </c>
      <c r="B685" s="378"/>
      <c r="C685" s="370" t="s">
        <v>688</v>
      </c>
      <c r="D685" s="370" t="s">
        <v>40</v>
      </c>
      <c r="E685" s="383" t="s">
        <v>877</v>
      </c>
      <c r="F685" s="380">
        <v>3000002496</v>
      </c>
      <c r="G685" s="196"/>
      <c r="H685" s="26"/>
      <c r="I685" s="185"/>
      <c r="J685" s="185"/>
      <c r="K685" s="185"/>
      <c r="L685" s="185"/>
      <c r="M685" s="185"/>
      <c r="N685" s="185"/>
      <c r="O685" s="7"/>
      <c r="P685" s="7"/>
      <c r="Q685" s="7"/>
      <c r="R685" s="7"/>
      <c r="S685" s="14">
        <f t="shared" si="411"/>
        <v>0</v>
      </c>
      <c r="T685" s="179"/>
      <c r="U685" s="196"/>
      <c r="V685" s="26"/>
      <c r="W685" s="185"/>
      <c r="X685" s="185"/>
      <c r="Y685" s="185"/>
      <c r="Z685" s="185"/>
      <c r="AA685" s="185"/>
      <c r="AB685" s="185"/>
      <c r="AC685" s="7"/>
      <c r="AD685" s="7"/>
      <c r="AE685" s="7"/>
      <c r="AF685" s="7"/>
      <c r="AG685" s="759">
        <f t="shared" si="412"/>
        <v>0</v>
      </c>
      <c r="AH685" s="811">
        <v>3000002496</v>
      </c>
      <c r="AI685" s="485"/>
      <c r="AJ685" s="824"/>
      <c r="AK685" s="758"/>
      <c r="AL685" s="758">
        <v>1491000</v>
      </c>
      <c r="AM685" s="758">
        <v>4053600</v>
      </c>
      <c r="AN685" s="758">
        <v>-100000</v>
      </c>
      <c r="AO685" s="758">
        <v>1400000</v>
      </c>
      <c r="AP685" s="758">
        <v>1400000</v>
      </c>
      <c r="AQ685" s="518">
        <v>2832000</v>
      </c>
      <c r="AR685" s="813">
        <v>1400000</v>
      </c>
      <c r="AS685" s="813">
        <v>2800000</v>
      </c>
      <c r="AT685" s="813">
        <v>1400000</v>
      </c>
      <c r="AU685" s="518">
        <f t="shared" si="413"/>
        <v>2000000</v>
      </c>
      <c r="AV685" s="518">
        <f t="shared" si="414"/>
        <v>2000000</v>
      </c>
      <c r="AW685" s="518">
        <f t="shared" si="415"/>
        <v>2000000</v>
      </c>
      <c r="AX685" s="518">
        <f t="shared" si="406"/>
        <v>16676600</v>
      </c>
      <c r="AY685" s="811" t="e">
        <v>#N/A</v>
      </c>
      <c r="AZ685" s="485"/>
      <c r="BA685" s="824"/>
      <c r="BB685" s="758"/>
      <c r="BC685" s="758">
        <v>1491000</v>
      </c>
      <c r="BD685" s="758">
        <v>4053600</v>
      </c>
      <c r="BE685" s="758">
        <v>-100000</v>
      </c>
      <c r="BF685" s="758">
        <v>1400000</v>
      </c>
      <c r="BG685" s="518">
        <f t="shared" si="416"/>
        <v>1400000</v>
      </c>
      <c r="BH685" s="758">
        <v>2000000</v>
      </c>
      <c r="BI685" s="758">
        <v>2000000</v>
      </c>
      <c r="BJ685" s="758">
        <v>2000000</v>
      </c>
      <c r="BK685" s="758">
        <v>2000000</v>
      </c>
      <c r="BL685" s="759">
        <f t="shared" si="417"/>
        <v>16244600</v>
      </c>
      <c r="BN685" s="758">
        <v>2000000</v>
      </c>
      <c r="BO685" s="758">
        <v>2000000</v>
      </c>
      <c r="BP685" s="758">
        <v>2000000</v>
      </c>
      <c r="BQ685" s="758">
        <v>2000000</v>
      </c>
      <c r="BR685" s="758">
        <v>2000000</v>
      </c>
      <c r="BS685" s="758">
        <v>2000000</v>
      </c>
      <c r="BT685" s="758">
        <v>2000000</v>
      </c>
      <c r="BU685" s="758">
        <v>2000000</v>
      </c>
      <c r="BV685" s="758">
        <v>2000000</v>
      </c>
      <c r="BW685" s="758">
        <v>2000000</v>
      </c>
      <c r="BX685" s="758">
        <v>2000000</v>
      </c>
      <c r="BY685" s="758">
        <v>2000000</v>
      </c>
      <c r="BZ685" s="791">
        <v>24000000</v>
      </c>
      <c r="CB685" s="758">
        <v>2000000</v>
      </c>
      <c r="CC685" s="758">
        <v>2000000</v>
      </c>
      <c r="CD685" s="758">
        <v>2000000</v>
      </c>
      <c r="CE685" s="758">
        <v>2000000</v>
      </c>
      <c r="CF685" s="758">
        <v>2000000</v>
      </c>
      <c r="CG685" s="758">
        <v>2000000</v>
      </c>
      <c r="CH685" s="758">
        <v>2000000</v>
      </c>
      <c r="CI685" s="758">
        <v>2000000</v>
      </c>
      <c r="CJ685" s="758">
        <v>2000000</v>
      </c>
      <c r="CK685" s="758">
        <v>2000000</v>
      </c>
      <c r="CL685" s="758">
        <v>2000000</v>
      </c>
      <c r="CM685" s="758">
        <v>2000000</v>
      </c>
      <c r="CN685" s="791">
        <v>24000000</v>
      </c>
      <c r="CO685" s="37"/>
      <c r="CP685" s="657">
        <v>9441450</v>
      </c>
      <c r="CQ685" s="657"/>
      <c r="CR685" s="528">
        <v>9000000</v>
      </c>
      <c r="CS685" s="657"/>
      <c r="CT685" s="528">
        <v>10000000</v>
      </c>
      <c r="CU685" s="657">
        <v>1400000</v>
      </c>
      <c r="CV685" s="528">
        <v>10000000</v>
      </c>
      <c r="CW685" s="657"/>
      <c r="CX685" s="528">
        <v>10000000</v>
      </c>
      <c r="CY685" s="657">
        <v>2800000</v>
      </c>
      <c r="CZ685" s="528">
        <v>10000000</v>
      </c>
      <c r="DA685" s="657">
        <v>2340400</v>
      </c>
      <c r="DB685" s="528">
        <v>10000000</v>
      </c>
      <c r="DC685" s="657">
        <v>3200000</v>
      </c>
      <c r="DD685" s="528">
        <v>10000000</v>
      </c>
      <c r="DE685" s="758"/>
      <c r="DF685" s="528">
        <v>10000000</v>
      </c>
      <c r="DG685" s="757">
        <v>10000000</v>
      </c>
      <c r="DH685" s="758"/>
      <c r="DI685" s="528">
        <v>10000000</v>
      </c>
      <c r="DJ685" s="757">
        <v>10000000</v>
      </c>
      <c r="DK685" s="758"/>
      <c r="DL685" s="528">
        <v>10000000</v>
      </c>
      <c r="DM685" s="757">
        <v>10000000</v>
      </c>
      <c r="DN685" s="758"/>
      <c r="DO685" s="528">
        <v>10000000</v>
      </c>
      <c r="DP685" s="757">
        <v>10000000</v>
      </c>
      <c r="DQ685" s="493">
        <f t="shared" si="401"/>
        <v>59181850</v>
      </c>
      <c r="DR685" s="479">
        <f t="shared" si="403"/>
        <v>90841450</v>
      </c>
      <c r="DS685" s="1020">
        <v>10000000</v>
      </c>
      <c r="DT685" s="1020">
        <v>10000000</v>
      </c>
      <c r="DU685" s="1020">
        <v>10000000</v>
      </c>
      <c r="DV685" s="1020">
        <v>10000000</v>
      </c>
      <c r="DW685" s="1020">
        <v>10000000</v>
      </c>
      <c r="DX685" s="1020">
        <v>10000000</v>
      </c>
      <c r="DY685" s="1020">
        <v>10000000</v>
      </c>
      <c r="DZ685" s="1020">
        <v>10000000</v>
      </c>
      <c r="EA685" s="1020">
        <v>10000000</v>
      </c>
      <c r="EB685" s="1020">
        <v>10000000</v>
      </c>
      <c r="EC685" s="1020">
        <v>10000000</v>
      </c>
      <c r="ED685" s="1020">
        <v>10000000</v>
      </c>
      <c r="EE685" s="1119">
        <f t="shared" si="400"/>
        <v>120000000</v>
      </c>
      <c r="EF685" s="443">
        <f t="shared" si="408"/>
        <v>140400000</v>
      </c>
      <c r="EG685" s="443">
        <f t="shared" si="409"/>
        <v>151632000</v>
      </c>
      <c r="EH685" s="443">
        <f t="shared" si="410"/>
        <v>165278880</v>
      </c>
      <c r="EI685" s="443">
        <f t="shared" si="410"/>
        <v>180153979.20000002</v>
      </c>
      <c r="EJ685" s="367">
        <v>3000002496</v>
      </c>
      <c r="EL685" s="177"/>
      <c r="EM685" s="177"/>
      <c r="EN685" s="177"/>
    </row>
    <row r="686" spans="1:144" outlineLevel="2">
      <c r="A686" s="367" t="s">
        <v>196</v>
      </c>
      <c r="B686" s="378"/>
      <c r="C686" s="370" t="s">
        <v>688</v>
      </c>
      <c r="D686" s="370" t="s">
        <v>40</v>
      </c>
      <c r="E686" s="383" t="s">
        <v>878</v>
      </c>
      <c r="F686" s="380">
        <v>3000019189</v>
      </c>
      <c r="G686" s="196"/>
      <c r="H686" s="31"/>
      <c r="I686" s="27"/>
      <c r="J686" s="185"/>
      <c r="K686" s="185"/>
      <c r="L686" s="185"/>
      <c r="M686" s="185"/>
      <c r="N686" s="185"/>
      <c r="O686" s="7"/>
      <c r="P686" s="7"/>
      <c r="Q686" s="7"/>
      <c r="R686" s="7"/>
      <c r="S686" s="14">
        <f t="shared" si="411"/>
        <v>0</v>
      </c>
      <c r="T686" s="179"/>
      <c r="U686" s="196"/>
      <c r="V686" s="31"/>
      <c r="W686" s="27"/>
      <c r="X686" s="185"/>
      <c r="Y686" s="185"/>
      <c r="Z686" s="185"/>
      <c r="AA686" s="185"/>
      <c r="AB686" s="185"/>
      <c r="AC686" s="7"/>
      <c r="AD686" s="7"/>
      <c r="AE686" s="7"/>
      <c r="AF686" s="7"/>
      <c r="AG686" s="759">
        <f t="shared" si="412"/>
        <v>0</v>
      </c>
      <c r="AH686" s="811">
        <v>3000019189</v>
      </c>
      <c r="AI686" s="485"/>
      <c r="AJ686" s="874"/>
      <c r="AK686" s="858">
        <v>1394712</v>
      </c>
      <c r="AL686" s="758">
        <v>-107262</v>
      </c>
      <c r="AM686" s="758">
        <v>0</v>
      </c>
      <c r="AN686" s="758">
        <v>0</v>
      </c>
      <c r="AO686" s="758">
        <v>0</v>
      </c>
      <c r="AP686" s="758">
        <v>0</v>
      </c>
      <c r="AQ686" s="518">
        <v>0</v>
      </c>
      <c r="AR686" s="518"/>
      <c r="AS686" s="518"/>
      <c r="AT686" s="518"/>
      <c r="AU686" s="518">
        <f t="shared" si="413"/>
        <v>0</v>
      </c>
      <c r="AV686" s="518">
        <f t="shared" si="414"/>
        <v>0</v>
      </c>
      <c r="AW686" s="518">
        <f t="shared" si="415"/>
        <v>0</v>
      </c>
      <c r="AX686" s="518">
        <f t="shared" si="406"/>
        <v>1287450</v>
      </c>
      <c r="AY686" s="811">
        <v>0</v>
      </c>
      <c r="AZ686" s="485"/>
      <c r="BA686" s="874"/>
      <c r="BB686" s="858">
        <v>1394712</v>
      </c>
      <c r="BC686" s="758">
        <v>-107262</v>
      </c>
      <c r="BD686" s="758">
        <v>0</v>
      </c>
      <c r="BE686" s="758">
        <v>0</v>
      </c>
      <c r="BF686" s="758">
        <v>0</v>
      </c>
      <c r="BG686" s="518">
        <f t="shared" si="416"/>
        <v>0</v>
      </c>
      <c r="BH686" s="758">
        <v>0</v>
      </c>
      <c r="BI686" s="758">
        <v>0</v>
      </c>
      <c r="BJ686" s="758">
        <v>0</v>
      </c>
      <c r="BK686" s="758">
        <v>0</v>
      </c>
      <c r="BL686" s="759">
        <f t="shared" si="417"/>
        <v>1287450</v>
      </c>
      <c r="BN686" s="758">
        <v>0</v>
      </c>
      <c r="BO686" s="758">
        <v>0</v>
      </c>
      <c r="BP686" s="758">
        <v>0</v>
      </c>
      <c r="BQ686" s="758">
        <v>0</v>
      </c>
      <c r="BR686" s="758">
        <v>0</v>
      </c>
      <c r="BS686" s="758">
        <v>0</v>
      </c>
      <c r="BT686" s="758">
        <v>0</v>
      </c>
      <c r="BU686" s="758">
        <v>0</v>
      </c>
      <c r="BV686" s="758">
        <v>0</v>
      </c>
      <c r="BW686" s="758">
        <v>0</v>
      </c>
      <c r="BX686" s="758">
        <v>0</v>
      </c>
      <c r="BY686" s="758">
        <v>0</v>
      </c>
      <c r="BZ686" s="791">
        <v>0</v>
      </c>
      <c r="CB686" s="758">
        <v>0</v>
      </c>
      <c r="CC686" s="758">
        <v>0</v>
      </c>
      <c r="CD686" s="758">
        <v>0</v>
      </c>
      <c r="CE686" s="758">
        <v>0</v>
      </c>
      <c r="CF686" s="758">
        <v>0</v>
      </c>
      <c r="CG686" s="758">
        <v>0</v>
      </c>
      <c r="CH686" s="758">
        <v>0</v>
      </c>
      <c r="CI686" s="758">
        <v>0</v>
      </c>
      <c r="CJ686" s="758">
        <v>0</v>
      </c>
      <c r="CK686" s="758">
        <v>0</v>
      </c>
      <c r="CL686" s="758">
        <v>0</v>
      </c>
      <c r="CM686" s="758">
        <v>0</v>
      </c>
      <c r="CN686" s="791">
        <v>0</v>
      </c>
      <c r="CO686" s="37"/>
      <c r="CP686" s="657"/>
      <c r="CQ686" s="657"/>
      <c r="CR686" s="528"/>
      <c r="CS686" s="657"/>
      <c r="CT686" s="528"/>
      <c r="CU686" s="657"/>
      <c r="CV686" s="528"/>
      <c r="CW686" s="657"/>
      <c r="CX686" s="528"/>
      <c r="CY686" s="657"/>
      <c r="CZ686" s="528"/>
      <c r="DA686" s="657"/>
      <c r="DB686" s="528"/>
      <c r="DC686" s="657">
        <v>0</v>
      </c>
      <c r="DD686" s="528"/>
      <c r="DE686" s="758"/>
      <c r="DF686" s="528"/>
      <c r="DG686" s="757"/>
      <c r="DH686" s="758"/>
      <c r="DI686" s="528"/>
      <c r="DJ686" s="757"/>
      <c r="DK686" s="758"/>
      <c r="DL686" s="528"/>
      <c r="DM686" s="757"/>
      <c r="DN686" s="758"/>
      <c r="DO686" s="528"/>
      <c r="DP686" s="757"/>
      <c r="DQ686" s="493">
        <f t="shared" si="401"/>
        <v>0</v>
      </c>
      <c r="DR686" s="479">
        <f t="shared" si="403"/>
        <v>0</v>
      </c>
      <c r="DS686" s="1020"/>
      <c r="DT686" s="1020"/>
      <c r="DU686" s="1020"/>
      <c r="DV686" s="1020"/>
      <c r="DW686" s="1020"/>
      <c r="DX686" s="1020"/>
      <c r="DY686" s="1020"/>
      <c r="DZ686" s="1020"/>
      <c r="EA686" s="1020"/>
      <c r="EB686" s="1020"/>
      <c r="EC686" s="1020"/>
      <c r="ED686" s="1020"/>
      <c r="EE686" s="1119">
        <f t="shared" si="400"/>
        <v>0</v>
      </c>
      <c r="EF686" s="443">
        <f t="shared" si="408"/>
        <v>0</v>
      </c>
      <c r="EG686" s="443">
        <f t="shared" si="409"/>
        <v>0</v>
      </c>
      <c r="EH686" s="443">
        <f t="shared" si="410"/>
        <v>0</v>
      </c>
      <c r="EI686" s="443">
        <f t="shared" si="410"/>
        <v>0</v>
      </c>
      <c r="EJ686" s="367">
        <v>3000019189</v>
      </c>
      <c r="EL686" s="177"/>
      <c r="EM686" s="177"/>
      <c r="EN686" s="177"/>
    </row>
    <row r="687" spans="1:144" outlineLevel="2">
      <c r="A687" s="367" t="s">
        <v>194</v>
      </c>
      <c r="B687" s="378"/>
      <c r="C687" s="370" t="s">
        <v>688</v>
      </c>
      <c r="D687" s="370" t="s">
        <v>40</v>
      </c>
      <c r="E687" s="383" t="s">
        <v>361</v>
      </c>
      <c r="F687" s="380">
        <v>3000002599</v>
      </c>
      <c r="G687" s="196"/>
      <c r="H687" s="31"/>
      <c r="I687" s="185"/>
      <c r="J687" s="185"/>
      <c r="K687" s="185"/>
      <c r="L687" s="185"/>
      <c r="M687" s="185"/>
      <c r="N687" s="185"/>
      <c r="O687" s="7"/>
      <c r="P687" s="7"/>
      <c r="Q687" s="7"/>
      <c r="R687" s="7"/>
      <c r="S687" s="14">
        <f t="shared" si="411"/>
        <v>0</v>
      </c>
      <c r="T687" s="179"/>
      <c r="U687" s="196"/>
      <c r="V687" s="31"/>
      <c r="W687" s="185"/>
      <c r="X687" s="185"/>
      <c r="Y687" s="185"/>
      <c r="Z687" s="185"/>
      <c r="AA687" s="185"/>
      <c r="AB687" s="185"/>
      <c r="AC687" s="7"/>
      <c r="AD687" s="7"/>
      <c r="AE687" s="7"/>
      <c r="AF687" s="7"/>
      <c r="AG687" s="759">
        <f t="shared" si="412"/>
        <v>0</v>
      </c>
      <c r="AH687" s="811" t="e">
        <v>#N/A</v>
      </c>
      <c r="AI687" s="485"/>
      <c r="AJ687" s="874"/>
      <c r="AK687" s="758"/>
      <c r="AL687" s="758"/>
      <c r="AM687" s="758"/>
      <c r="AN687" s="758"/>
      <c r="AO687" s="758"/>
      <c r="AP687" s="758">
        <v>0</v>
      </c>
      <c r="AQ687" s="518">
        <v>0</v>
      </c>
      <c r="AR687" s="6"/>
      <c r="AS687" s="813">
        <v>0</v>
      </c>
      <c r="AT687" s="813">
        <v>5020000</v>
      </c>
      <c r="AU687" s="518">
        <f t="shared" si="413"/>
        <v>0</v>
      </c>
      <c r="AV687" s="518">
        <f t="shared" si="414"/>
        <v>0</v>
      </c>
      <c r="AW687" s="518">
        <f t="shared" si="415"/>
        <v>0</v>
      </c>
      <c r="AX687" s="518">
        <f t="shared" si="406"/>
        <v>5020000</v>
      </c>
      <c r="AY687" s="811">
        <v>0</v>
      </c>
      <c r="AZ687" s="485"/>
      <c r="BA687" s="874"/>
      <c r="BB687" s="758"/>
      <c r="BC687" s="758"/>
      <c r="BD687" s="758"/>
      <c r="BE687" s="758"/>
      <c r="BF687" s="758"/>
      <c r="BG687" s="518">
        <f t="shared" si="416"/>
        <v>0</v>
      </c>
      <c r="BH687" s="758">
        <v>0</v>
      </c>
      <c r="BI687" s="758">
        <v>0</v>
      </c>
      <c r="BJ687" s="758">
        <v>0</v>
      </c>
      <c r="BK687" s="758">
        <v>0</v>
      </c>
      <c r="BL687" s="759">
        <f t="shared" si="417"/>
        <v>0</v>
      </c>
      <c r="BN687" s="758">
        <v>40000000</v>
      </c>
      <c r="BO687" s="758">
        <v>40000000</v>
      </c>
      <c r="BP687" s="758">
        <v>40000000</v>
      </c>
      <c r="BQ687" s="758">
        <v>40000000</v>
      </c>
      <c r="BR687" s="758">
        <v>40000000</v>
      </c>
      <c r="BS687" s="758">
        <v>40000000</v>
      </c>
      <c r="BT687" s="758">
        <v>40000000</v>
      </c>
      <c r="BU687" s="758">
        <v>40000000</v>
      </c>
      <c r="BV687" s="758">
        <v>40000000</v>
      </c>
      <c r="BW687" s="758">
        <v>40000000</v>
      </c>
      <c r="BX687" s="758">
        <v>40000000</v>
      </c>
      <c r="BY687" s="758">
        <v>40000000</v>
      </c>
      <c r="BZ687" s="791">
        <v>480000000</v>
      </c>
      <c r="CB687" s="758">
        <v>40000000</v>
      </c>
      <c r="CC687" s="758">
        <v>40000000</v>
      </c>
      <c r="CD687" s="758">
        <v>40000000</v>
      </c>
      <c r="CE687" s="758">
        <v>40000000</v>
      </c>
      <c r="CF687" s="758">
        <v>40000000</v>
      </c>
      <c r="CG687" s="758">
        <v>40000000</v>
      </c>
      <c r="CH687" s="758">
        <v>40000000</v>
      </c>
      <c r="CI687" s="758">
        <v>40000000</v>
      </c>
      <c r="CJ687" s="758">
        <v>40000000</v>
      </c>
      <c r="CK687" s="758">
        <v>40000000</v>
      </c>
      <c r="CL687" s="758">
        <v>40000000</v>
      </c>
      <c r="CM687" s="758">
        <v>40000000</v>
      </c>
      <c r="CN687" s="791">
        <v>480000000</v>
      </c>
      <c r="CO687" s="37"/>
      <c r="CP687" s="657">
        <v>28240000</v>
      </c>
      <c r="CQ687" s="657">
        <v>21400000</v>
      </c>
      <c r="CR687" s="528">
        <v>30000000</v>
      </c>
      <c r="CS687" s="657">
        <v>19905000</v>
      </c>
      <c r="CT687" s="528">
        <v>30000000</v>
      </c>
      <c r="CU687" s="657">
        <v>17640000</v>
      </c>
      <c r="CV687" s="528">
        <v>30000000</v>
      </c>
      <c r="CW687" s="657">
        <v>12600000</v>
      </c>
      <c r="CX687" s="528">
        <v>30000000</v>
      </c>
      <c r="CY687" s="657">
        <v>13130000</v>
      </c>
      <c r="CZ687" s="528">
        <v>30000000</v>
      </c>
      <c r="DA687" s="657">
        <v>7302500</v>
      </c>
      <c r="DB687" s="528">
        <v>30000000</v>
      </c>
      <c r="DC687" s="657">
        <v>36580000</v>
      </c>
      <c r="DD687" s="528">
        <v>30000000</v>
      </c>
      <c r="DE687" s="758"/>
      <c r="DF687" s="528">
        <v>30000000</v>
      </c>
      <c r="DG687" s="757">
        <v>30000000</v>
      </c>
      <c r="DH687" s="758"/>
      <c r="DI687" s="528">
        <v>30000000</v>
      </c>
      <c r="DJ687" s="757">
        <v>30000000</v>
      </c>
      <c r="DK687" s="758"/>
      <c r="DL687" s="528">
        <v>30000000</v>
      </c>
      <c r="DM687" s="757">
        <v>30000000</v>
      </c>
      <c r="DN687" s="758"/>
      <c r="DO687" s="528">
        <v>30000000</v>
      </c>
      <c r="DP687" s="757">
        <v>30000000</v>
      </c>
      <c r="DQ687" s="493">
        <f t="shared" si="401"/>
        <v>276797500</v>
      </c>
      <c r="DR687" s="479">
        <f t="shared" si="403"/>
        <v>327185000</v>
      </c>
      <c r="DS687" s="1020">
        <v>15000000</v>
      </c>
      <c r="DT687" s="1020">
        <v>15000000</v>
      </c>
      <c r="DU687" s="1020">
        <v>30000000</v>
      </c>
      <c r="DV687" s="1020">
        <v>15000000</v>
      </c>
      <c r="DW687" s="1020">
        <v>30000000</v>
      </c>
      <c r="DX687" s="1020">
        <v>30000000</v>
      </c>
      <c r="DY687" s="1020">
        <v>30000000</v>
      </c>
      <c r="DZ687" s="1020">
        <v>15000000</v>
      </c>
      <c r="EA687" s="1020">
        <v>15000000</v>
      </c>
      <c r="EB687" s="1020">
        <v>15000000</v>
      </c>
      <c r="EC687" s="1020">
        <v>15000000</v>
      </c>
      <c r="ED687" s="1020">
        <v>15000000</v>
      </c>
      <c r="EE687" s="1119">
        <f t="shared" si="400"/>
        <v>240000000</v>
      </c>
      <c r="EF687" s="443">
        <v>674000000</v>
      </c>
      <c r="EG687" s="443">
        <v>726000000</v>
      </c>
      <c r="EH687" s="443">
        <v>794000000</v>
      </c>
      <c r="EI687" s="443">
        <v>794000000</v>
      </c>
      <c r="EJ687" s="367">
        <v>3000002599</v>
      </c>
      <c r="EL687" s="177"/>
      <c r="EM687" s="177"/>
      <c r="EN687" s="177"/>
    </row>
    <row r="688" spans="1:144" outlineLevel="2">
      <c r="A688" s="433" t="s">
        <v>276</v>
      </c>
      <c r="B688" s="378"/>
      <c r="C688" s="370" t="s">
        <v>688</v>
      </c>
      <c r="E688" s="383" t="s">
        <v>879</v>
      </c>
      <c r="F688" s="380"/>
      <c r="G688" s="196"/>
      <c r="H688" s="31"/>
      <c r="I688" s="185"/>
      <c r="J688" s="185"/>
      <c r="K688" s="185"/>
      <c r="L688" s="185"/>
      <c r="M688" s="185"/>
      <c r="N688" s="185"/>
      <c r="O688" s="7"/>
      <c r="P688" s="7"/>
      <c r="Q688" s="7"/>
      <c r="R688" s="7"/>
      <c r="S688" s="14"/>
      <c r="T688" s="179"/>
      <c r="U688" s="196"/>
      <c r="V688" s="31"/>
      <c r="W688" s="185"/>
      <c r="X688" s="185"/>
      <c r="Y688" s="185"/>
      <c r="Z688" s="185"/>
      <c r="AA688" s="185"/>
      <c r="AB688" s="185"/>
      <c r="AC688" s="7"/>
      <c r="AD688" s="7"/>
      <c r="AE688" s="7"/>
      <c r="AF688" s="7"/>
      <c r="AG688" s="759"/>
      <c r="AH688" s="811"/>
      <c r="AI688" s="485"/>
      <c r="AJ688" s="874"/>
      <c r="AK688" s="758"/>
      <c r="AL688" s="758"/>
      <c r="AM688" s="758"/>
      <c r="AN688" s="758"/>
      <c r="AO688" s="758"/>
      <c r="AP688" s="758"/>
      <c r="AQ688" s="518"/>
      <c r="AR688" s="518"/>
      <c r="AS688" s="518"/>
      <c r="AT688" s="518"/>
      <c r="AU688" s="518"/>
      <c r="AV688" s="518"/>
      <c r="AW688" s="518"/>
      <c r="AX688" s="518">
        <f t="shared" si="406"/>
        <v>0</v>
      </c>
      <c r="AY688" s="811"/>
      <c r="AZ688" s="485"/>
      <c r="BA688" s="874"/>
      <c r="BB688" s="758"/>
      <c r="BC688" s="758"/>
      <c r="BD688" s="758"/>
      <c r="BE688" s="758"/>
      <c r="BF688" s="758"/>
      <c r="BG688" s="518"/>
      <c r="BH688" s="758"/>
      <c r="BI688" s="758"/>
      <c r="BJ688" s="758"/>
      <c r="BK688" s="758"/>
      <c r="BL688" s="759"/>
      <c r="BN688" s="758"/>
      <c r="BO688" s="758"/>
      <c r="BP688" s="758"/>
      <c r="BQ688" s="758"/>
      <c r="BR688" s="758"/>
      <c r="BS688" s="758"/>
      <c r="BT688" s="758"/>
      <c r="BU688" s="758"/>
      <c r="BV688" s="758"/>
      <c r="BW688" s="758"/>
      <c r="BX688" s="758"/>
      <c r="BY688" s="758"/>
      <c r="BZ688" s="791">
        <v>0</v>
      </c>
      <c r="CB688" s="758"/>
      <c r="CC688" s="758"/>
      <c r="CD688" s="758"/>
      <c r="CE688" s="758"/>
      <c r="CF688" s="758"/>
      <c r="CG688" s="758"/>
      <c r="CH688" s="758"/>
      <c r="CI688" s="758"/>
      <c r="CJ688" s="758"/>
      <c r="CK688" s="758"/>
      <c r="CL688" s="758"/>
      <c r="CM688" s="758"/>
      <c r="CN688" s="791">
        <v>0</v>
      </c>
      <c r="CO688" s="37"/>
      <c r="CP688" s="657"/>
      <c r="CQ688" s="657"/>
      <c r="CR688" s="528"/>
      <c r="CS688" s="657"/>
      <c r="CT688" s="528"/>
      <c r="CU688" s="657"/>
      <c r="CV688" s="528"/>
      <c r="CW688" s="657"/>
      <c r="CX688" s="528"/>
      <c r="CY688" s="657"/>
      <c r="CZ688" s="528"/>
      <c r="DA688" s="657"/>
      <c r="DB688" s="528"/>
      <c r="DC688" s="657">
        <v>0</v>
      </c>
      <c r="DD688" s="528"/>
      <c r="DE688" s="758"/>
      <c r="DF688" s="528"/>
      <c r="DG688" s="757"/>
      <c r="DH688" s="758"/>
      <c r="DI688" s="528"/>
      <c r="DJ688" s="757"/>
      <c r="DK688" s="758"/>
      <c r="DL688" s="528"/>
      <c r="DM688" s="757"/>
      <c r="DN688" s="758"/>
      <c r="DO688" s="528"/>
      <c r="DP688" s="757"/>
      <c r="DQ688" s="493">
        <f t="shared" si="401"/>
        <v>0</v>
      </c>
      <c r="DR688" s="479">
        <f t="shared" si="403"/>
        <v>0</v>
      </c>
      <c r="DS688" s="1020"/>
      <c r="DT688" s="1020"/>
      <c r="DU688" s="1020"/>
      <c r="DV688" s="1020"/>
      <c r="DW688" s="1020"/>
      <c r="DX688" s="1020"/>
      <c r="DY688" s="1020"/>
      <c r="DZ688" s="1020"/>
      <c r="EA688" s="1020"/>
      <c r="EB688" s="1020"/>
      <c r="EC688" s="1020"/>
      <c r="ED688" s="1020"/>
      <c r="EE688" s="1119">
        <f t="shared" si="400"/>
        <v>0</v>
      </c>
      <c r="EF688" s="443">
        <v>240000000</v>
      </c>
      <c r="EG688" s="443">
        <v>600000000</v>
      </c>
      <c r="EH688" s="443">
        <f>EG688*1.5</f>
        <v>900000000</v>
      </c>
      <c r="EI688" s="443">
        <f>EH688*1.5</f>
        <v>1350000000</v>
      </c>
      <c r="EL688" s="177"/>
      <c r="EM688" s="177"/>
      <c r="EN688" s="177"/>
    </row>
    <row r="689" spans="1:144" outlineLevel="2">
      <c r="A689" s="367" t="s">
        <v>196</v>
      </c>
      <c r="B689" s="378"/>
      <c r="C689" s="370" t="s">
        <v>688</v>
      </c>
      <c r="D689" s="370" t="s">
        <v>40</v>
      </c>
      <c r="E689" s="383" t="s">
        <v>880</v>
      </c>
      <c r="F689" s="380">
        <v>3000003083</v>
      </c>
      <c r="G689" s="196"/>
      <c r="H689" s="31"/>
      <c r="I689" s="185"/>
      <c r="J689" s="185"/>
      <c r="K689" s="185"/>
      <c r="L689" s="185"/>
      <c r="M689" s="185"/>
      <c r="N689" s="185"/>
      <c r="O689" s="7"/>
      <c r="P689" s="7"/>
      <c r="Q689" s="7"/>
      <c r="R689" s="7"/>
      <c r="S689" s="14">
        <f>SUM(G689,H689,I689,J689,K689,L689,M689,N689,O689,P689,Q689,R689)</f>
        <v>0</v>
      </c>
      <c r="T689" s="179"/>
      <c r="U689" s="196"/>
      <c r="V689" s="31"/>
      <c r="W689" s="185"/>
      <c r="X689" s="185"/>
      <c r="Y689" s="185"/>
      <c r="Z689" s="185"/>
      <c r="AA689" s="185"/>
      <c r="AB689" s="185"/>
      <c r="AC689" s="7"/>
      <c r="AD689" s="7"/>
      <c r="AE689" s="7"/>
      <c r="AF689" s="7"/>
      <c r="AG689" s="759">
        <f>SUM(U689,V689,W689,X689,Y689,Z689,AA689,AB689,AC689,AD689,AE689,AF689)</f>
        <v>0</v>
      </c>
      <c r="AH689" s="811">
        <v>3000003083</v>
      </c>
      <c r="AI689" s="485"/>
      <c r="AJ689" s="874"/>
      <c r="AK689" s="758">
        <v>5794000</v>
      </c>
      <c r="AL689" s="758">
        <v>0</v>
      </c>
      <c r="AM689" s="758">
        <v>0</v>
      </c>
      <c r="AN689" s="758">
        <v>0</v>
      </c>
      <c r="AO689" s="758">
        <v>0</v>
      </c>
      <c r="AP689" s="758">
        <v>0</v>
      </c>
      <c r="AQ689" s="518">
        <v>0</v>
      </c>
      <c r="AR689" s="518"/>
      <c r="AS689" s="518"/>
      <c r="AT689" s="518"/>
      <c r="AU689" s="518">
        <f>BI689</f>
        <v>0</v>
      </c>
      <c r="AV689" s="518">
        <f>BJ689</f>
        <v>0</v>
      </c>
      <c r="AW689" s="518">
        <f>BK689</f>
        <v>0</v>
      </c>
      <c r="AX689" s="518">
        <f t="shared" si="406"/>
        <v>5794000</v>
      </c>
      <c r="AY689" s="811">
        <v>0</v>
      </c>
      <c r="AZ689" s="485"/>
      <c r="BA689" s="874"/>
      <c r="BB689" s="758">
        <v>5794000</v>
      </c>
      <c r="BC689" s="758">
        <v>0</v>
      </c>
      <c r="BD689" s="758">
        <v>0</v>
      </c>
      <c r="BE689" s="758">
        <v>0</v>
      </c>
      <c r="BF689" s="758">
        <v>0</v>
      </c>
      <c r="BG689" s="518">
        <f>AP689</f>
        <v>0</v>
      </c>
      <c r="BH689" s="758">
        <v>0</v>
      </c>
      <c r="BI689" s="758">
        <v>0</v>
      </c>
      <c r="BJ689" s="758">
        <v>0</v>
      </c>
      <c r="BK689" s="758">
        <v>0</v>
      </c>
      <c r="BL689" s="759">
        <f>SUM(AZ689,BA689,BB689,BC689,BD689,BE689,BF689,BG689,BH689,BI689,BJ689,BK689)</f>
        <v>5794000</v>
      </c>
      <c r="BN689" s="758">
        <v>0</v>
      </c>
      <c r="BO689" s="758">
        <v>0</v>
      </c>
      <c r="BP689" s="758">
        <v>0</v>
      </c>
      <c r="BQ689" s="758">
        <v>0</v>
      </c>
      <c r="BR689" s="758">
        <v>0</v>
      </c>
      <c r="BS689" s="758">
        <v>0</v>
      </c>
      <c r="BT689" s="758">
        <v>0</v>
      </c>
      <c r="BU689" s="758">
        <v>0</v>
      </c>
      <c r="BV689" s="758">
        <v>0</v>
      </c>
      <c r="BW689" s="758">
        <v>0</v>
      </c>
      <c r="BX689" s="758">
        <v>0</v>
      </c>
      <c r="BY689" s="758">
        <v>0</v>
      </c>
      <c r="BZ689" s="791">
        <v>0</v>
      </c>
      <c r="CB689" s="758">
        <v>0</v>
      </c>
      <c r="CC689" s="758">
        <v>0</v>
      </c>
      <c r="CD689" s="758">
        <v>0</v>
      </c>
      <c r="CE689" s="758">
        <v>0</v>
      </c>
      <c r="CF689" s="758">
        <v>0</v>
      </c>
      <c r="CG689" s="758">
        <v>0</v>
      </c>
      <c r="CH689" s="758">
        <v>0</v>
      </c>
      <c r="CI689" s="758">
        <v>0</v>
      </c>
      <c r="CJ689" s="758">
        <v>0</v>
      </c>
      <c r="CK689" s="758">
        <v>0</v>
      </c>
      <c r="CL689" s="758">
        <v>0</v>
      </c>
      <c r="CM689" s="758">
        <v>0</v>
      </c>
      <c r="CN689" s="791">
        <v>0</v>
      </c>
      <c r="CO689" s="37"/>
      <c r="CP689" s="657"/>
      <c r="CQ689" s="657"/>
      <c r="CR689" s="528"/>
      <c r="CS689" s="657"/>
      <c r="CT689" s="528"/>
      <c r="CU689" s="657"/>
      <c r="CV689" s="528"/>
      <c r="CW689" s="657"/>
      <c r="CX689" s="528"/>
      <c r="CY689" s="657"/>
      <c r="CZ689" s="528"/>
      <c r="DA689" s="657"/>
      <c r="DB689" s="528"/>
      <c r="DC689" s="657">
        <v>0</v>
      </c>
      <c r="DD689" s="528"/>
      <c r="DE689" s="758"/>
      <c r="DF689" s="528"/>
      <c r="DG689" s="757"/>
      <c r="DH689" s="758"/>
      <c r="DI689" s="528"/>
      <c r="DJ689" s="757"/>
      <c r="DK689" s="758"/>
      <c r="DL689" s="528"/>
      <c r="DM689" s="757"/>
      <c r="DN689" s="758"/>
      <c r="DO689" s="528"/>
      <c r="DP689" s="757"/>
      <c r="DQ689" s="493">
        <f t="shared" si="401"/>
        <v>0</v>
      </c>
      <c r="DR689" s="479">
        <f t="shared" si="403"/>
        <v>0</v>
      </c>
      <c r="DS689" s="1020"/>
      <c r="DT689" s="1020"/>
      <c r="DU689" s="1020"/>
      <c r="DV689" s="1020"/>
      <c r="DW689" s="1020"/>
      <c r="DX689" s="1020"/>
      <c r="DY689" s="1020"/>
      <c r="DZ689" s="1020"/>
      <c r="EA689" s="1020"/>
      <c r="EB689" s="1020"/>
      <c r="EC689" s="1020"/>
      <c r="ED689" s="1020"/>
      <c r="EE689" s="1119">
        <f t="shared" si="400"/>
        <v>0</v>
      </c>
      <c r="EF689" s="443">
        <f>EE689*1.17</f>
        <v>0</v>
      </c>
      <c r="EG689" s="443">
        <f>EF689*1.08</f>
        <v>0</v>
      </c>
      <c r="EH689" s="443">
        <f>EG689*1.09</f>
        <v>0</v>
      </c>
      <c r="EI689" s="443">
        <f>EH689*1.09</f>
        <v>0</v>
      </c>
      <c r="EJ689" s="367">
        <v>3000003083</v>
      </c>
      <c r="EL689" s="177"/>
      <c r="EM689" s="177"/>
      <c r="EN689" s="177"/>
    </row>
    <row r="690" spans="1:144" outlineLevel="2">
      <c r="B690" s="378"/>
      <c r="C690" s="370" t="s">
        <v>688</v>
      </c>
      <c r="D690" s="370" t="s">
        <v>108</v>
      </c>
      <c r="E690" s="383" t="s">
        <v>881</v>
      </c>
      <c r="F690" s="380">
        <v>3000020687</v>
      </c>
      <c r="G690" s="196"/>
      <c r="H690" s="31"/>
      <c r="I690" s="185"/>
      <c r="J690" s="185"/>
      <c r="K690" s="185"/>
      <c r="L690" s="185"/>
      <c r="M690" s="185"/>
      <c r="N690" s="185"/>
      <c r="O690" s="7"/>
      <c r="P690" s="7"/>
      <c r="Q690" s="7"/>
      <c r="R690" s="7"/>
      <c r="S690" s="14"/>
      <c r="T690" s="179"/>
      <c r="U690" s="196"/>
      <c r="V690" s="31"/>
      <c r="W690" s="185"/>
      <c r="X690" s="185"/>
      <c r="Y690" s="185"/>
      <c r="Z690" s="185"/>
      <c r="AA690" s="185"/>
      <c r="AB690" s="185"/>
      <c r="AC690" s="7"/>
      <c r="AD690" s="7"/>
      <c r="AE690" s="7"/>
      <c r="AF690" s="7"/>
      <c r="AG690" s="759"/>
      <c r="AH690" s="811"/>
      <c r="AI690" s="485"/>
      <c r="AJ690" s="874"/>
      <c r="AK690" s="758"/>
      <c r="AL690" s="758"/>
      <c r="AM690" s="758"/>
      <c r="AN690" s="758"/>
      <c r="AO690" s="758"/>
      <c r="AP690" s="758"/>
      <c r="AQ690" s="518"/>
      <c r="AR690" s="518"/>
      <c r="AS690" s="518"/>
      <c r="AT690" s="518"/>
      <c r="AU690" s="518"/>
      <c r="AV690" s="518"/>
      <c r="AW690" s="518"/>
      <c r="AX690" s="518"/>
      <c r="AY690" s="811"/>
      <c r="AZ690" s="485"/>
      <c r="BA690" s="874"/>
      <c r="BB690" s="758"/>
      <c r="BC690" s="758"/>
      <c r="BD690" s="758"/>
      <c r="BE690" s="758"/>
      <c r="BF690" s="758"/>
      <c r="BG690" s="518"/>
      <c r="BH690" s="758"/>
      <c r="BI690" s="758"/>
      <c r="BJ690" s="758"/>
      <c r="BK690" s="758"/>
      <c r="BL690" s="759"/>
      <c r="BN690" s="758"/>
      <c r="BO690" s="758"/>
      <c r="BP690" s="758"/>
      <c r="BQ690" s="758"/>
      <c r="BR690" s="758"/>
      <c r="BS690" s="758"/>
      <c r="BT690" s="758"/>
      <c r="BU690" s="758"/>
      <c r="BV690" s="758"/>
      <c r="BW690" s="758"/>
      <c r="BX690" s="758"/>
      <c r="BY690" s="758"/>
      <c r="BZ690" s="791"/>
      <c r="CB690" s="758"/>
      <c r="CC690" s="758"/>
      <c r="CD690" s="758"/>
      <c r="CE690" s="758"/>
      <c r="CF690" s="758"/>
      <c r="CG690" s="758"/>
      <c r="CH690" s="758"/>
      <c r="CI690" s="758"/>
      <c r="CJ690" s="758"/>
      <c r="CK690" s="758"/>
      <c r="CL690" s="758"/>
      <c r="CM690" s="758"/>
      <c r="CN690" s="791"/>
      <c r="CO690" s="37"/>
      <c r="CP690" s="657"/>
      <c r="CQ690" s="657"/>
      <c r="CR690" s="528"/>
      <c r="CS690" s="657">
        <v>1650000</v>
      </c>
      <c r="CT690" s="528"/>
      <c r="CU690" s="657"/>
      <c r="CV690" s="528"/>
      <c r="CW690" s="657"/>
      <c r="CX690" s="528"/>
      <c r="CY690" s="657"/>
      <c r="CZ690" s="528"/>
      <c r="DA690" s="657"/>
      <c r="DB690" s="528"/>
      <c r="DC690" s="657">
        <v>14049400</v>
      </c>
      <c r="DD690" s="528"/>
      <c r="DE690" s="758"/>
      <c r="DF690" s="528"/>
      <c r="DG690" s="757"/>
      <c r="DH690" s="758"/>
      <c r="DI690" s="528"/>
      <c r="DJ690" s="757"/>
      <c r="DK690" s="758"/>
      <c r="DL690" s="528"/>
      <c r="DM690" s="757"/>
      <c r="DN690" s="758"/>
      <c r="DO690" s="528"/>
      <c r="DP690" s="757"/>
      <c r="DQ690" s="493">
        <f t="shared" si="401"/>
        <v>15699400</v>
      </c>
      <c r="DR690" s="479">
        <f t="shared" si="403"/>
        <v>1650000</v>
      </c>
      <c r="DS690" s="1020"/>
      <c r="DT690" s="1020"/>
      <c r="DU690" s="1020"/>
      <c r="DV690" s="1020"/>
      <c r="DW690" s="1020"/>
      <c r="DX690" s="1020"/>
      <c r="DY690" s="1020"/>
      <c r="DZ690" s="1020"/>
      <c r="EA690" s="1020"/>
      <c r="EB690" s="1020"/>
      <c r="EC690" s="1020"/>
      <c r="ED690" s="1020"/>
      <c r="EE690" s="1119">
        <f t="shared" si="400"/>
        <v>0</v>
      </c>
      <c r="EF690" s="443"/>
      <c r="EG690" s="443"/>
      <c r="EH690" s="443"/>
      <c r="EI690" s="443"/>
      <c r="EL690" s="177"/>
      <c r="EM690" s="177"/>
      <c r="EN690" s="177"/>
    </row>
    <row r="691" spans="1:144" outlineLevel="2">
      <c r="A691" s="367" t="s">
        <v>194</v>
      </c>
      <c r="B691" s="378"/>
      <c r="C691" s="370" t="s">
        <v>688</v>
      </c>
      <c r="D691" s="370" t="s">
        <v>40</v>
      </c>
      <c r="E691" s="383" t="s">
        <v>83</v>
      </c>
      <c r="F691" s="380">
        <v>8000000010</v>
      </c>
      <c r="G691" s="196"/>
      <c r="H691" s="26"/>
      <c r="I691" s="27"/>
      <c r="J691" s="185"/>
      <c r="K691" s="185"/>
      <c r="L691" s="185"/>
      <c r="M691" s="185"/>
      <c r="N691" s="185"/>
      <c r="O691" s="7"/>
      <c r="P691" s="7"/>
      <c r="Q691" s="7"/>
      <c r="R691" s="7"/>
      <c r="S691" s="14">
        <f>SUM(G691,H691,I691,J691,K691,L691,M691,N691,O691,P691,Q691,R691)</f>
        <v>0</v>
      </c>
      <c r="T691" s="179"/>
      <c r="U691" s="196"/>
      <c r="V691" s="26"/>
      <c r="W691" s="27"/>
      <c r="X691" s="185"/>
      <c r="Y691" s="185"/>
      <c r="Z691" s="185"/>
      <c r="AA691" s="185"/>
      <c r="AB691" s="185"/>
      <c r="AC691" s="7"/>
      <c r="AD691" s="7"/>
      <c r="AE691" s="7"/>
      <c r="AF691" s="7"/>
      <c r="AG691" s="759">
        <f>SUM(U691,V691,W691,X691,Y691,Z691,AA691,AB691,AC691,AD691,AE691,AF691)</f>
        <v>0</v>
      </c>
      <c r="AH691" s="811">
        <v>8000000010</v>
      </c>
      <c r="AI691" s="485"/>
      <c r="AJ691" s="824"/>
      <c r="AK691" s="858">
        <v>10761200</v>
      </c>
      <c r="AL691" s="758">
        <v>43766600</v>
      </c>
      <c r="AM691" s="758">
        <v>182954000</v>
      </c>
      <c r="AN691" s="758">
        <v>149603800</v>
      </c>
      <c r="AO691" s="758">
        <v>66820400</v>
      </c>
      <c r="AP691" s="758">
        <v>29246000</v>
      </c>
      <c r="AQ691" s="518">
        <v>65595800</v>
      </c>
      <c r="AR691" s="813">
        <v>99232250</v>
      </c>
      <c r="AS691" s="813">
        <v>45276400</v>
      </c>
      <c r="AT691" s="813">
        <v>61816200</v>
      </c>
      <c r="AU691" s="518">
        <f>BI691</f>
        <v>100000000</v>
      </c>
      <c r="AV691" s="518">
        <f>BJ691</f>
        <v>100000000</v>
      </c>
      <c r="AW691" s="518">
        <f>BK691</f>
        <v>100000000</v>
      </c>
      <c r="AX691" s="518">
        <f t="shared" ref="AX691:AX724" si="418">SUM(AI691,AJ691,AK691,AL691,AM691,AN691,AO691,AP691,AQ691,AR691,AS691,AT691)</f>
        <v>755072650</v>
      </c>
      <c r="AY691" s="811" t="e">
        <v>#N/A</v>
      </c>
      <c r="AZ691" s="485"/>
      <c r="BA691" s="824"/>
      <c r="BB691" s="858">
        <v>10761200</v>
      </c>
      <c r="BC691" s="758">
        <v>43766600</v>
      </c>
      <c r="BD691" s="758">
        <v>182954000</v>
      </c>
      <c r="BE691" s="758">
        <v>149603800</v>
      </c>
      <c r="BF691" s="758">
        <v>66820400</v>
      </c>
      <c r="BG691" s="518">
        <f>AP691</f>
        <v>29246000</v>
      </c>
      <c r="BH691" s="758">
        <v>100000000</v>
      </c>
      <c r="BI691" s="758">
        <v>100000000</v>
      </c>
      <c r="BJ691" s="758">
        <v>100000000</v>
      </c>
      <c r="BK691" s="758">
        <v>100000000</v>
      </c>
      <c r="BL691" s="759">
        <f>SUM(AZ691,BA691,BB691,BC691,BD691,BE691,BF691,BG691,BH691,BI691,BJ691,BK691)</f>
        <v>883152000</v>
      </c>
      <c r="BN691" s="758">
        <v>120000000</v>
      </c>
      <c r="BO691" s="758">
        <v>120000000</v>
      </c>
      <c r="BP691" s="758">
        <v>120000000</v>
      </c>
      <c r="BQ691" s="758">
        <v>120000000</v>
      </c>
      <c r="BR691" s="758">
        <v>100000000</v>
      </c>
      <c r="BS691" s="758">
        <v>120000000</v>
      </c>
      <c r="BT691" s="758">
        <v>120000000</v>
      </c>
      <c r="BU691" s="758">
        <v>120000000</v>
      </c>
      <c r="BV691" s="758">
        <v>120000000</v>
      </c>
      <c r="BW691" s="758">
        <v>120000000</v>
      </c>
      <c r="BX691" s="758">
        <v>120000000</v>
      </c>
      <c r="BY691" s="758">
        <v>120000000</v>
      </c>
      <c r="BZ691" s="791">
        <v>1420000000</v>
      </c>
      <c r="CB691" s="758">
        <v>120000000</v>
      </c>
      <c r="CC691" s="758">
        <v>120000000</v>
      </c>
      <c r="CD691" s="758">
        <v>120000000</v>
      </c>
      <c r="CE691" s="758">
        <v>120000000</v>
      </c>
      <c r="CF691" s="758">
        <v>100000000</v>
      </c>
      <c r="CG691" s="758">
        <v>120000000</v>
      </c>
      <c r="CH691" s="758">
        <v>120000000</v>
      </c>
      <c r="CI691" s="758">
        <v>120000000</v>
      </c>
      <c r="CJ691" s="758">
        <v>120000000</v>
      </c>
      <c r="CK691" s="758">
        <v>120000000</v>
      </c>
      <c r="CL691" s="758">
        <v>120000000</v>
      </c>
      <c r="CM691" s="758">
        <v>120000000</v>
      </c>
      <c r="CN691" s="791">
        <v>1420000000</v>
      </c>
      <c r="CO691" s="37"/>
      <c r="CP691" s="657">
        <v>67776200</v>
      </c>
      <c r="CQ691" s="657">
        <v>51680800</v>
      </c>
      <c r="CR691" s="528">
        <v>75000000</v>
      </c>
      <c r="CS691" s="657">
        <v>284145525</v>
      </c>
      <c r="CT691" s="528">
        <v>75000000</v>
      </c>
      <c r="CU691" s="657">
        <v>157334625</v>
      </c>
      <c r="CV691" s="528">
        <v>75000000</v>
      </c>
      <c r="CW691" s="657">
        <v>59960800</v>
      </c>
      <c r="CX691" s="528">
        <v>150000000</v>
      </c>
      <c r="CY691" s="657">
        <v>46607200</v>
      </c>
      <c r="CZ691" s="528">
        <v>200000000</v>
      </c>
      <c r="DA691" s="657">
        <v>35073000</v>
      </c>
      <c r="DB691" s="528">
        <v>200000000</v>
      </c>
      <c r="DC691" s="657">
        <v>32028400</v>
      </c>
      <c r="DD691" s="528">
        <v>200000000</v>
      </c>
      <c r="DE691" s="758"/>
      <c r="DF691" s="528">
        <v>200000000</v>
      </c>
      <c r="DG691" s="757">
        <v>200000000</v>
      </c>
      <c r="DH691" s="758"/>
      <c r="DI691" s="528">
        <v>200000000</v>
      </c>
      <c r="DJ691" s="757">
        <v>200000000</v>
      </c>
      <c r="DK691" s="758"/>
      <c r="DL691" s="528">
        <v>200000000</v>
      </c>
      <c r="DM691" s="757">
        <v>200000000</v>
      </c>
      <c r="DN691" s="758"/>
      <c r="DO691" s="528">
        <v>200000000</v>
      </c>
      <c r="DP691" s="757">
        <v>200000000</v>
      </c>
      <c r="DQ691" s="493">
        <f t="shared" si="401"/>
        <v>1534606550</v>
      </c>
      <c r="DR691" s="479">
        <f t="shared" si="403"/>
        <v>2110937150</v>
      </c>
      <c r="DS691" s="1020">
        <v>200000000</v>
      </c>
      <c r="DT691" s="1020">
        <v>200000000</v>
      </c>
      <c r="DU691" s="1020">
        <v>200000000</v>
      </c>
      <c r="DV691" s="1020">
        <v>200000000</v>
      </c>
      <c r="DW691" s="1020">
        <v>200000000</v>
      </c>
      <c r="DX691" s="1020">
        <v>200000000</v>
      </c>
      <c r="DY691" s="1020">
        <v>200000000</v>
      </c>
      <c r="DZ691" s="1020">
        <v>200000000</v>
      </c>
      <c r="EA691" s="1020">
        <v>200000000</v>
      </c>
      <c r="EB691" s="1020">
        <v>200000000</v>
      </c>
      <c r="EC691" s="1020">
        <v>200000000</v>
      </c>
      <c r="ED691" s="1020">
        <v>200000000</v>
      </c>
      <c r="EE691" s="1119">
        <f t="shared" si="400"/>
        <v>2400000000</v>
      </c>
      <c r="EF691" s="443">
        <f>EE691*1.17</f>
        <v>2808000000</v>
      </c>
      <c r="EG691" s="443">
        <f>EF691*1.08</f>
        <v>3032640000</v>
      </c>
      <c r="EH691" s="443">
        <f>EG691*1.09</f>
        <v>3305577600.0000005</v>
      </c>
      <c r="EI691" s="443">
        <f>EH691*1.09</f>
        <v>3603079584.000001</v>
      </c>
      <c r="EJ691" s="367">
        <v>8000000010</v>
      </c>
      <c r="EL691" s="177"/>
      <c r="EM691" s="177"/>
      <c r="EN691" s="177"/>
    </row>
    <row r="692" spans="1:144" outlineLevel="2">
      <c r="B692" s="378"/>
      <c r="C692" s="370" t="s">
        <v>688</v>
      </c>
      <c r="E692" s="383" t="s">
        <v>628</v>
      </c>
      <c r="F692" s="380">
        <v>8000000038</v>
      </c>
      <c r="G692" s="196"/>
      <c r="H692" s="31"/>
      <c r="I692" s="185"/>
      <c r="J692" s="185"/>
      <c r="K692" s="185"/>
      <c r="L692" s="185"/>
      <c r="M692" s="185"/>
      <c r="N692" s="185"/>
      <c r="O692" s="7"/>
      <c r="P692" s="7"/>
      <c r="Q692" s="7"/>
      <c r="R692" s="7"/>
      <c r="S692" s="14"/>
      <c r="T692" s="179"/>
      <c r="U692" s="196"/>
      <c r="V692" s="31"/>
      <c r="W692" s="185"/>
      <c r="X692" s="185"/>
      <c r="Y692" s="185"/>
      <c r="Z692" s="185"/>
      <c r="AA692" s="185"/>
      <c r="AB692" s="185"/>
      <c r="AC692" s="7"/>
      <c r="AD692" s="7"/>
      <c r="AE692" s="7"/>
      <c r="AF692" s="7"/>
      <c r="AG692" s="759"/>
      <c r="AH692" s="811"/>
      <c r="AI692" s="485"/>
      <c r="AJ692" s="874"/>
      <c r="AK692" s="758"/>
      <c r="AL692" s="758"/>
      <c r="AM692" s="758"/>
      <c r="AN692" s="758"/>
      <c r="AO692" s="758"/>
      <c r="AP692" s="758"/>
      <c r="AQ692" s="518"/>
      <c r="AR692" s="518"/>
      <c r="AS692" s="518"/>
      <c r="AT692" s="518"/>
      <c r="AU692" s="518"/>
      <c r="AV692" s="518"/>
      <c r="AW692" s="518"/>
      <c r="AX692" s="518">
        <f t="shared" si="418"/>
        <v>0</v>
      </c>
      <c r="AY692" s="811"/>
      <c r="AZ692" s="485"/>
      <c r="BA692" s="874"/>
      <c r="BB692" s="758"/>
      <c r="BC692" s="758"/>
      <c r="BD692" s="758"/>
      <c r="BE692" s="758"/>
      <c r="BF692" s="758"/>
      <c r="BG692" s="518"/>
      <c r="BH692" s="758"/>
      <c r="BI692" s="758"/>
      <c r="BJ692" s="758"/>
      <c r="BK692" s="758"/>
      <c r="BL692" s="759"/>
      <c r="BN692" s="758">
        <v>0</v>
      </c>
      <c r="BO692" s="758">
        <v>0</v>
      </c>
      <c r="BP692" s="758">
        <v>0</v>
      </c>
      <c r="BQ692" s="758">
        <v>0</v>
      </c>
      <c r="BR692" s="758">
        <v>0</v>
      </c>
      <c r="BS692" s="758">
        <v>0</v>
      </c>
      <c r="BT692" s="758">
        <v>0</v>
      </c>
      <c r="BU692" s="758">
        <v>0</v>
      </c>
      <c r="BV692" s="758">
        <v>0</v>
      </c>
      <c r="BW692" s="758">
        <v>0</v>
      </c>
      <c r="BX692" s="758">
        <v>0</v>
      </c>
      <c r="BY692" s="758">
        <v>0</v>
      </c>
      <c r="BZ692" s="791">
        <v>0</v>
      </c>
      <c r="CB692" s="758">
        <v>0</v>
      </c>
      <c r="CC692" s="758">
        <v>0</v>
      </c>
      <c r="CD692" s="758">
        <v>0</v>
      </c>
      <c r="CE692" s="758">
        <v>0</v>
      </c>
      <c r="CF692" s="758">
        <v>0</v>
      </c>
      <c r="CG692" s="758">
        <v>0</v>
      </c>
      <c r="CH692" s="758">
        <v>0</v>
      </c>
      <c r="CI692" s="758">
        <v>0</v>
      </c>
      <c r="CJ692" s="758">
        <v>0</v>
      </c>
      <c r="CK692" s="758">
        <v>0</v>
      </c>
      <c r="CL692" s="758">
        <v>0</v>
      </c>
      <c r="CM692" s="758">
        <v>0</v>
      </c>
      <c r="CN692" s="791">
        <v>0</v>
      </c>
      <c r="CO692" s="37"/>
      <c r="CP692" s="657"/>
      <c r="CQ692" s="657"/>
      <c r="CR692" s="528"/>
      <c r="CS692" s="657"/>
      <c r="CT692" s="528"/>
      <c r="CU692" s="657"/>
      <c r="CV692" s="528"/>
      <c r="CW692" s="657"/>
      <c r="CX692" s="528"/>
      <c r="CY692" s="657"/>
      <c r="CZ692" s="528"/>
      <c r="DA692" s="657"/>
      <c r="DB692" s="528"/>
      <c r="DC692" s="657">
        <v>0</v>
      </c>
      <c r="DD692" s="528"/>
      <c r="DE692" s="758"/>
      <c r="DF692" s="528"/>
      <c r="DG692" s="757"/>
      <c r="DH692" s="758"/>
      <c r="DI692" s="528"/>
      <c r="DJ692" s="757"/>
      <c r="DK692" s="758"/>
      <c r="DL692" s="528"/>
      <c r="DM692" s="757"/>
      <c r="DN692" s="758"/>
      <c r="DO692" s="528"/>
      <c r="DP692" s="757"/>
      <c r="DQ692" s="493">
        <f t="shared" si="401"/>
        <v>0</v>
      </c>
      <c r="DR692" s="479">
        <f t="shared" si="403"/>
        <v>0</v>
      </c>
      <c r="DS692" s="1020"/>
      <c r="DT692" s="1020"/>
      <c r="DU692" s="1020"/>
      <c r="DV692" s="1020"/>
      <c r="DW692" s="1020"/>
      <c r="DX692" s="1020"/>
      <c r="DY692" s="1020"/>
      <c r="DZ692" s="1020"/>
      <c r="EA692" s="1020"/>
      <c r="EB692" s="1020"/>
      <c r="EC692" s="1020"/>
      <c r="ED692" s="1020"/>
      <c r="EE692" s="1119">
        <f t="shared" si="400"/>
        <v>0</v>
      </c>
      <c r="EF692" s="443">
        <f>EE692*1.17</f>
        <v>0</v>
      </c>
      <c r="EG692" s="443">
        <f>EF692*1.08</f>
        <v>0</v>
      </c>
      <c r="EH692" s="443">
        <f>EG692*1.09</f>
        <v>0</v>
      </c>
      <c r="EI692" s="443">
        <f>EH692*1.09</f>
        <v>0</v>
      </c>
      <c r="EJ692" s="367">
        <v>8000000038</v>
      </c>
      <c r="EL692" s="177"/>
      <c r="EM692" s="177"/>
      <c r="EN692" s="177"/>
    </row>
    <row r="693" spans="1:144" outlineLevel="2">
      <c r="A693" s="367" t="s">
        <v>194</v>
      </c>
      <c r="B693" s="378"/>
      <c r="C693" s="370" t="s">
        <v>688</v>
      </c>
      <c r="D693" s="370" t="s">
        <v>40</v>
      </c>
      <c r="E693" s="383" t="s">
        <v>411</v>
      </c>
      <c r="F693" s="380">
        <v>8000000017</v>
      </c>
      <c r="G693" s="196"/>
      <c r="H693" s="31"/>
      <c r="I693" s="185"/>
      <c r="J693" s="185"/>
      <c r="K693" s="185"/>
      <c r="L693" s="185"/>
      <c r="M693" s="185"/>
      <c r="N693" s="185"/>
      <c r="O693" s="7"/>
      <c r="P693" s="7"/>
      <c r="Q693" s="7"/>
      <c r="R693" s="7"/>
      <c r="S693" s="14">
        <f>SUM(G693,H693,I693,J693,K693,L693,M693,N693,O693,P693,Q693,R693)</f>
        <v>0</v>
      </c>
      <c r="T693" s="179"/>
      <c r="U693" s="196"/>
      <c r="V693" s="31"/>
      <c r="W693" s="185"/>
      <c r="X693" s="185"/>
      <c r="Y693" s="185"/>
      <c r="Z693" s="185"/>
      <c r="AA693" s="185"/>
      <c r="AB693" s="185"/>
      <c r="AC693" s="7"/>
      <c r="AD693" s="7"/>
      <c r="AE693" s="7"/>
      <c r="AF693" s="7"/>
      <c r="AG693" s="759">
        <f>SUM(U693,V693,W693,X693,Y693,Z693,AA693,AB693,AC693,AD693,AE693,AF693)</f>
        <v>0</v>
      </c>
      <c r="AH693" s="811" t="e">
        <v>#N/A</v>
      </c>
      <c r="AI693" s="485"/>
      <c r="AJ693" s="874"/>
      <c r="AK693" s="758"/>
      <c r="AL693" s="758"/>
      <c r="AM693" s="758"/>
      <c r="AN693" s="758"/>
      <c r="AO693" s="758"/>
      <c r="AP693" s="758"/>
      <c r="AQ693" s="518">
        <v>33050000</v>
      </c>
      <c r="AR693" s="813">
        <v>0</v>
      </c>
      <c r="AS693" s="813">
        <v>35090000</v>
      </c>
      <c r="AT693" s="813">
        <v>35554400</v>
      </c>
      <c r="AU693" s="518">
        <f>BI693</f>
        <v>0</v>
      </c>
      <c r="AV693" s="518">
        <f>BJ693</f>
        <v>0</v>
      </c>
      <c r="AW693" s="518">
        <f>BK693</f>
        <v>0</v>
      </c>
      <c r="AX693" s="518">
        <f t="shared" si="418"/>
        <v>103694400</v>
      </c>
      <c r="AY693" s="811">
        <v>0</v>
      </c>
      <c r="AZ693" s="485"/>
      <c r="BA693" s="874"/>
      <c r="BB693" s="758"/>
      <c r="BC693" s="758"/>
      <c r="BD693" s="758"/>
      <c r="BE693" s="758"/>
      <c r="BF693" s="758"/>
      <c r="BG693" s="518">
        <f>AP693</f>
        <v>0</v>
      </c>
      <c r="BH693" s="758">
        <v>0</v>
      </c>
      <c r="BI693" s="758">
        <v>0</v>
      </c>
      <c r="BJ693" s="758">
        <v>0</v>
      </c>
      <c r="BK693" s="758">
        <v>0</v>
      </c>
      <c r="BL693" s="759">
        <f>SUM(AZ693,BA693,BB693,BC693,BD693,BE693,BF693,BG693,BH693,BI693,BJ693,BK693)</f>
        <v>0</v>
      </c>
      <c r="BN693" s="758">
        <v>25000000</v>
      </c>
      <c r="BO693" s="758">
        <v>25000000</v>
      </c>
      <c r="BP693" s="758">
        <v>25000000</v>
      </c>
      <c r="BQ693" s="758">
        <v>25000000</v>
      </c>
      <c r="BR693" s="758">
        <v>25000000</v>
      </c>
      <c r="BS693" s="758">
        <v>25000000</v>
      </c>
      <c r="BT693" s="758">
        <v>25000000</v>
      </c>
      <c r="BU693" s="758">
        <v>25000000</v>
      </c>
      <c r="BV693" s="758">
        <v>25000000</v>
      </c>
      <c r="BW693" s="758">
        <v>25000000</v>
      </c>
      <c r="BX693" s="758">
        <v>25000000</v>
      </c>
      <c r="BY693" s="758">
        <v>25000000</v>
      </c>
      <c r="BZ693" s="791">
        <v>300000000</v>
      </c>
      <c r="CB693" s="758">
        <v>25000000</v>
      </c>
      <c r="CC693" s="758">
        <v>25000000</v>
      </c>
      <c r="CD693" s="758">
        <v>25000000</v>
      </c>
      <c r="CE693" s="758">
        <v>25000000</v>
      </c>
      <c r="CF693" s="758">
        <v>25000000</v>
      </c>
      <c r="CG693" s="758">
        <v>25000000</v>
      </c>
      <c r="CH693" s="758">
        <v>25000000</v>
      </c>
      <c r="CI693" s="758">
        <v>25000000</v>
      </c>
      <c r="CJ693" s="758">
        <v>25000000</v>
      </c>
      <c r="CK693" s="758">
        <v>25000000</v>
      </c>
      <c r="CL693" s="758">
        <v>25000000</v>
      </c>
      <c r="CM693" s="758">
        <v>25000000</v>
      </c>
      <c r="CN693" s="791">
        <v>300000000</v>
      </c>
      <c r="CO693" s="37"/>
      <c r="CP693" s="657">
        <v>45196800</v>
      </c>
      <c r="CQ693" s="657">
        <v>36840000</v>
      </c>
      <c r="CR693" s="528"/>
      <c r="CS693" s="657"/>
      <c r="CT693" s="528">
        <v>45000000</v>
      </c>
      <c r="CU693" s="657"/>
      <c r="CV693" s="528">
        <v>45000000</v>
      </c>
      <c r="CW693" s="657">
        <v>150255600</v>
      </c>
      <c r="CX693" s="528">
        <v>45000000</v>
      </c>
      <c r="CY693" s="657"/>
      <c r="CZ693" s="528">
        <v>0</v>
      </c>
      <c r="DA693" s="657"/>
      <c r="DB693" s="528">
        <v>22000000</v>
      </c>
      <c r="DC693" s="657">
        <v>75953600</v>
      </c>
      <c r="DD693" s="528">
        <v>45000000</v>
      </c>
      <c r="DE693" s="528"/>
      <c r="DF693" s="528">
        <v>22000000</v>
      </c>
      <c r="DG693" s="757">
        <v>22000000</v>
      </c>
      <c r="DH693" s="528"/>
      <c r="DI693" s="528">
        <v>45000000</v>
      </c>
      <c r="DJ693" s="757">
        <v>45000000</v>
      </c>
      <c r="DK693" s="528"/>
      <c r="DL693" s="528">
        <v>45000000</v>
      </c>
      <c r="DM693" s="757">
        <v>45000000</v>
      </c>
      <c r="DN693" s="528"/>
      <c r="DO693" s="528">
        <v>22000000</v>
      </c>
      <c r="DP693" s="757">
        <v>22000000</v>
      </c>
      <c r="DQ693" s="493">
        <f t="shared" si="401"/>
        <v>442246000</v>
      </c>
      <c r="DR693" s="479">
        <f t="shared" si="403"/>
        <v>328036800</v>
      </c>
      <c r="DS693" s="1020">
        <v>40000000</v>
      </c>
      <c r="DT693" s="1020">
        <v>40000000</v>
      </c>
      <c r="DU693" s="1020">
        <v>40000000</v>
      </c>
      <c r="DV693" s="1020">
        <v>40000000</v>
      </c>
      <c r="DW693" s="1020">
        <v>40000000</v>
      </c>
      <c r="DX693" s="1020">
        <v>40000000</v>
      </c>
      <c r="DY693" s="1020">
        <v>40000000</v>
      </c>
      <c r="DZ693" s="1020">
        <v>40000000</v>
      </c>
      <c r="EA693" s="1020">
        <v>40000000</v>
      </c>
      <c r="EB693" s="1020">
        <v>40000000</v>
      </c>
      <c r="EC693" s="1020">
        <v>40000000</v>
      </c>
      <c r="ED693" s="1020">
        <v>40000000</v>
      </c>
      <c r="EE693" s="1119">
        <f t="shared" si="400"/>
        <v>480000000</v>
      </c>
      <c r="EF693" s="443">
        <v>590000000</v>
      </c>
      <c r="EG693" s="443">
        <v>638000000</v>
      </c>
      <c r="EH693" s="443">
        <v>1000000000</v>
      </c>
      <c r="EI693" s="443">
        <v>1000000000</v>
      </c>
      <c r="EJ693" s="367">
        <v>8000000017</v>
      </c>
      <c r="EL693" s="177"/>
      <c r="EM693" s="177"/>
      <c r="EN693" s="177"/>
    </row>
    <row r="694" spans="1:144" outlineLevel="2">
      <c r="A694" s="433" t="s">
        <v>196</v>
      </c>
      <c r="B694" s="378"/>
      <c r="C694" s="370" t="s">
        <v>688</v>
      </c>
      <c r="E694" s="383" t="s">
        <v>834</v>
      </c>
      <c r="F694" s="380"/>
      <c r="G694" s="196"/>
      <c r="H694" s="31"/>
      <c r="I694" s="185"/>
      <c r="J694" s="185"/>
      <c r="K694" s="185"/>
      <c r="L694" s="185"/>
      <c r="M694" s="185"/>
      <c r="N694" s="185"/>
      <c r="O694" s="7"/>
      <c r="P694" s="7"/>
      <c r="Q694" s="7"/>
      <c r="R694" s="7"/>
      <c r="S694" s="14"/>
      <c r="T694" s="179"/>
      <c r="U694" s="196"/>
      <c r="V694" s="31"/>
      <c r="W694" s="185"/>
      <c r="X694" s="185"/>
      <c r="Y694" s="185"/>
      <c r="Z694" s="185"/>
      <c r="AA694" s="185"/>
      <c r="AB694" s="185"/>
      <c r="AC694" s="7"/>
      <c r="AD694" s="7"/>
      <c r="AE694" s="7"/>
      <c r="AF694" s="7"/>
      <c r="AG694" s="759"/>
      <c r="AH694" s="811"/>
      <c r="AI694" s="485"/>
      <c r="AJ694" s="874"/>
      <c r="AK694" s="758"/>
      <c r="AL694" s="758"/>
      <c r="AM694" s="758"/>
      <c r="AN694" s="758"/>
      <c r="AO694" s="758"/>
      <c r="AP694" s="758"/>
      <c r="AQ694" s="518"/>
      <c r="AR694" s="518"/>
      <c r="AS694" s="518"/>
      <c r="AT694" s="518"/>
      <c r="AU694" s="518"/>
      <c r="AV694" s="518"/>
      <c r="AW694" s="518"/>
      <c r="AX694" s="518">
        <f t="shared" si="418"/>
        <v>0</v>
      </c>
      <c r="AY694" s="811"/>
      <c r="AZ694" s="485"/>
      <c r="BA694" s="874"/>
      <c r="BB694" s="758"/>
      <c r="BC694" s="758"/>
      <c r="BD694" s="758"/>
      <c r="BE694" s="758"/>
      <c r="BF694" s="758"/>
      <c r="BG694" s="518"/>
      <c r="BH694" s="758"/>
      <c r="BI694" s="758"/>
      <c r="BJ694" s="758"/>
      <c r="BK694" s="758"/>
      <c r="BL694" s="759"/>
      <c r="BN694" s="758"/>
      <c r="BO694" s="758"/>
      <c r="BP694" s="758"/>
      <c r="BQ694" s="758"/>
      <c r="BR694" s="758"/>
      <c r="BS694" s="758"/>
      <c r="BT694" s="758"/>
      <c r="BU694" s="758"/>
      <c r="BV694" s="758"/>
      <c r="BW694" s="758"/>
      <c r="BX694" s="758"/>
      <c r="BY694" s="758"/>
      <c r="BZ694" s="791">
        <v>0</v>
      </c>
      <c r="CB694" s="758"/>
      <c r="CC694" s="758"/>
      <c r="CD694" s="758"/>
      <c r="CE694" s="758"/>
      <c r="CF694" s="758"/>
      <c r="CG694" s="758"/>
      <c r="CH694" s="758"/>
      <c r="CI694" s="758"/>
      <c r="CJ694" s="758"/>
      <c r="CK694" s="758"/>
      <c r="CL694" s="758"/>
      <c r="CM694" s="758"/>
      <c r="CN694" s="791">
        <v>0</v>
      </c>
      <c r="CO694" s="37"/>
      <c r="CP694" s="657"/>
      <c r="CQ694" s="657"/>
      <c r="CR694" s="528"/>
      <c r="CS694" s="657"/>
      <c r="CT694" s="528"/>
      <c r="CU694" s="657"/>
      <c r="CV694" s="528"/>
      <c r="CW694" s="657"/>
      <c r="CX694" s="528"/>
      <c r="CY694" s="657"/>
      <c r="CZ694" s="528"/>
      <c r="DA694" s="657"/>
      <c r="DB694" s="528"/>
      <c r="DC694" s="657">
        <v>0</v>
      </c>
      <c r="DD694" s="528"/>
      <c r="DE694" s="758"/>
      <c r="DF694" s="528"/>
      <c r="DG694" s="757"/>
      <c r="DH694" s="758"/>
      <c r="DI694" s="528"/>
      <c r="DJ694" s="757"/>
      <c r="DK694" s="758"/>
      <c r="DL694" s="528"/>
      <c r="DM694" s="757"/>
      <c r="DN694" s="758"/>
      <c r="DO694" s="528"/>
      <c r="DP694" s="757"/>
      <c r="DQ694" s="493">
        <f t="shared" si="401"/>
        <v>0</v>
      </c>
      <c r="DR694" s="479">
        <f t="shared" si="403"/>
        <v>0</v>
      </c>
      <c r="DS694" s="1020"/>
      <c r="DT694" s="1020"/>
      <c r="DU694" s="1020"/>
      <c r="DV694" s="1020"/>
      <c r="DW694" s="1020"/>
      <c r="DX694" s="1020"/>
      <c r="DY694" s="1020"/>
      <c r="DZ694" s="1020"/>
      <c r="EA694" s="1020"/>
      <c r="EB694" s="1020"/>
      <c r="EC694" s="1020"/>
      <c r="ED694" s="1020"/>
      <c r="EE694" s="1119">
        <f t="shared" si="400"/>
        <v>0</v>
      </c>
      <c r="EF694" s="443">
        <v>300000000</v>
      </c>
      <c r="EG694" s="443">
        <v>1000000000</v>
      </c>
      <c r="EH694" s="443">
        <v>1500000000</v>
      </c>
      <c r="EI694" s="443">
        <v>1500000000</v>
      </c>
      <c r="EL694" s="177"/>
      <c r="EM694" s="177"/>
      <c r="EN694" s="177"/>
    </row>
    <row r="695" spans="1:144" outlineLevel="2">
      <c r="A695" s="367" t="s">
        <v>196</v>
      </c>
      <c r="B695" s="378"/>
      <c r="C695" s="370" t="s">
        <v>688</v>
      </c>
      <c r="D695" s="370" t="s">
        <v>40</v>
      </c>
      <c r="E695" s="383" t="s">
        <v>607</v>
      </c>
      <c r="F695" s="380">
        <v>3000017469</v>
      </c>
      <c r="G695" s="186"/>
      <c r="H695" s="26"/>
      <c r="I695" s="27"/>
      <c r="J695" s="185"/>
      <c r="K695" s="185"/>
      <c r="L695" s="185"/>
      <c r="M695" s="185"/>
      <c r="N695" s="185"/>
      <c r="O695" s="7"/>
      <c r="P695" s="7"/>
      <c r="Q695" s="7"/>
      <c r="R695" s="7"/>
      <c r="S695" s="14">
        <f>SUM(G695,H695,I695,J695,K695,L695,M695,N695,O695,P695,Q695,R695)</f>
        <v>0</v>
      </c>
      <c r="T695" s="179"/>
      <c r="U695" s="186"/>
      <c r="V695" s="26"/>
      <c r="W695" s="27"/>
      <c r="X695" s="185"/>
      <c r="Y695" s="185"/>
      <c r="Z695" s="185"/>
      <c r="AA695" s="185"/>
      <c r="AB695" s="185"/>
      <c r="AC695" s="7"/>
      <c r="AD695" s="7"/>
      <c r="AE695" s="7"/>
      <c r="AF695" s="7"/>
      <c r="AG695" s="759">
        <f>SUM(U695,V695,W695,X695,Y695,Z695,AA695,AB695,AC695,AD695,AE695,AF695)</f>
        <v>0</v>
      </c>
      <c r="AH695" s="811">
        <v>3000017469</v>
      </c>
      <c r="AI695" s="814">
        <v>6082300</v>
      </c>
      <c r="AJ695" s="824"/>
      <c r="AK695" s="858">
        <v>7469172</v>
      </c>
      <c r="AL695" s="758">
        <v>18821730</v>
      </c>
      <c r="AM695" s="758">
        <v>7150000</v>
      </c>
      <c r="AN695" s="758">
        <v>319172</v>
      </c>
      <c r="AO695" s="758">
        <v>7469172</v>
      </c>
      <c r="AP695" s="758">
        <v>1650000</v>
      </c>
      <c r="AQ695" s="518">
        <v>18995302</v>
      </c>
      <c r="AR695" s="518"/>
      <c r="AS695" s="518"/>
      <c r="AT695" s="518"/>
      <c r="AU695" s="518">
        <f t="shared" ref="AU695:AW698" si="419">BI695</f>
        <v>7000000</v>
      </c>
      <c r="AV695" s="518">
        <f t="shared" si="419"/>
        <v>7000000</v>
      </c>
      <c r="AW695" s="518">
        <f t="shared" si="419"/>
        <v>7000000</v>
      </c>
      <c r="AX695" s="518">
        <f t="shared" si="418"/>
        <v>67956848</v>
      </c>
      <c r="AY695" s="811" t="e">
        <v>#N/A</v>
      </c>
      <c r="AZ695" s="814">
        <v>6082300</v>
      </c>
      <c r="BA695" s="824"/>
      <c r="BB695" s="858">
        <v>7469172</v>
      </c>
      <c r="BC695" s="758">
        <v>18821730</v>
      </c>
      <c r="BD695" s="758">
        <v>7150000</v>
      </c>
      <c r="BE695" s="758">
        <v>319172</v>
      </c>
      <c r="BF695" s="758">
        <v>7469172</v>
      </c>
      <c r="BG695" s="518">
        <f>AP695</f>
        <v>1650000</v>
      </c>
      <c r="BH695" s="758">
        <v>7000000</v>
      </c>
      <c r="BI695" s="758">
        <v>7000000</v>
      </c>
      <c r="BJ695" s="758">
        <v>7000000</v>
      </c>
      <c r="BK695" s="758">
        <v>7000000</v>
      </c>
      <c r="BL695" s="759">
        <f>SUM(AZ695,BA695,BB695,BC695,BD695,BE695,BF695,BG695,BH695,BI695,BJ695,BK695)</f>
        <v>76961546</v>
      </c>
      <c r="BN695" s="758">
        <v>10000000</v>
      </c>
      <c r="BO695" s="758">
        <v>10000000</v>
      </c>
      <c r="BP695" s="758">
        <v>10000000</v>
      </c>
      <c r="BQ695" s="758">
        <v>10000000</v>
      </c>
      <c r="BR695" s="758">
        <v>7000000</v>
      </c>
      <c r="BS695" s="758">
        <v>10000000</v>
      </c>
      <c r="BT695" s="758">
        <v>10000000</v>
      </c>
      <c r="BU695" s="758">
        <v>10000000</v>
      </c>
      <c r="BV695" s="758">
        <v>10000000</v>
      </c>
      <c r="BW695" s="758">
        <v>10000000</v>
      </c>
      <c r="BX695" s="758">
        <v>10000000</v>
      </c>
      <c r="BY695" s="758">
        <v>10000000</v>
      </c>
      <c r="BZ695" s="791">
        <v>117000000</v>
      </c>
      <c r="CB695" s="758">
        <v>10000000</v>
      </c>
      <c r="CC695" s="758">
        <v>10000000</v>
      </c>
      <c r="CD695" s="758">
        <v>10000000</v>
      </c>
      <c r="CE695" s="758">
        <v>10000000</v>
      </c>
      <c r="CF695" s="758">
        <v>7000000</v>
      </c>
      <c r="CG695" s="758">
        <v>10000000</v>
      </c>
      <c r="CH695" s="758">
        <v>10000000</v>
      </c>
      <c r="CI695" s="758">
        <v>10000000</v>
      </c>
      <c r="CJ695" s="758">
        <v>10000000</v>
      </c>
      <c r="CK695" s="758">
        <v>10000000</v>
      </c>
      <c r="CL695" s="758">
        <v>10000000</v>
      </c>
      <c r="CM695" s="758">
        <v>10000000</v>
      </c>
      <c r="CN695" s="791">
        <v>117000000</v>
      </c>
      <c r="CO695" s="37"/>
      <c r="CP695" s="657">
        <v>14826130</v>
      </c>
      <c r="CQ695" s="657"/>
      <c r="CR695" s="528">
        <v>15000000</v>
      </c>
      <c r="CS695" s="657"/>
      <c r="CT695" s="528">
        <v>15000000</v>
      </c>
      <c r="CU695" s="657">
        <v>14826130</v>
      </c>
      <c r="CV695" s="528">
        <v>15000000</v>
      </c>
      <c r="CW695" s="657"/>
      <c r="CX695" s="528">
        <v>15000000</v>
      </c>
      <c r="CY695" s="657"/>
      <c r="CZ695" s="528">
        <v>15000000</v>
      </c>
      <c r="DA695" s="657"/>
      <c r="DB695" s="528">
        <v>15000000</v>
      </c>
      <c r="DC695" s="657">
        <v>0</v>
      </c>
      <c r="DD695" s="528">
        <v>15000000</v>
      </c>
      <c r="DE695" s="758"/>
      <c r="DF695" s="528">
        <v>15000000</v>
      </c>
      <c r="DG695" s="757">
        <v>15000000</v>
      </c>
      <c r="DH695" s="758"/>
      <c r="DI695" s="528">
        <v>15000000</v>
      </c>
      <c r="DJ695" s="757">
        <v>15000000</v>
      </c>
      <c r="DK695" s="758"/>
      <c r="DL695" s="528">
        <v>15000000</v>
      </c>
      <c r="DM695" s="757">
        <v>15000000</v>
      </c>
      <c r="DN695" s="758"/>
      <c r="DO695" s="528">
        <v>15000000</v>
      </c>
      <c r="DP695" s="757">
        <v>15000000</v>
      </c>
      <c r="DQ695" s="493">
        <f t="shared" si="401"/>
        <v>89652260</v>
      </c>
      <c r="DR695" s="479">
        <f t="shared" si="403"/>
        <v>149652260</v>
      </c>
      <c r="DS695" s="1020">
        <v>15000000</v>
      </c>
      <c r="DT695" s="1020">
        <v>15000000</v>
      </c>
      <c r="DU695" s="1020">
        <v>20000000</v>
      </c>
      <c r="DV695" s="1020"/>
      <c r="DW695" s="1020">
        <v>15000000</v>
      </c>
      <c r="DX695" s="1020"/>
      <c r="DY695" s="1020">
        <v>15000000</v>
      </c>
      <c r="DZ695" s="1020"/>
      <c r="EA695" s="1020">
        <v>15000000</v>
      </c>
      <c r="EB695" s="1020"/>
      <c r="EC695" s="1020">
        <v>20000000</v>
      </c>
      <c r="ED695" s="1020">
        <v>20000000</v>
      </c>
      <c r="EE695" s="1119">
        <f t="shared" si="400"/>
        <v>135000000</v>
      </c>
      <c r="EF695" s="443">
        <f t="shared" ref="EF695:EF700" si="420">EE695*1.17</f>
        <v>157950000</v>
      </c>
      <c r="EG695" s="443">
        <f t="shared" ref="EG695:EG700" si="421">EF695*1.08</f>
        <v>170586000</v>
      </c>
      <c r="EH695" s="443">
        <f t="shared" ref="EH695:EI700" si="422">EG695*1.09</f>
        <v>185938740</v>
      </c>
      <c r="EI695" s="443">
        <f t="shared" si="422"/>
        <v>202673226.60000002</v>
      </c>
      <c r="EJ695" s="367">
        <v>3000017469</v>
      </c>
      <c r="EL695" s="177"/>
      <c r="EM695" s="177"/>
      <c r="EN695" s="177"/>
    </row>
    <row r="696" spans="1:144" outlineLevel="2">
      <c r="A696" s="367" t="s">
        <v>194</v>
      </c>
      <c r="B696" s="378"/>
      <c r="C696" s="370" t="s">
        <v>688</v>
      </c>
      <c r="D696" s="370" t="s">
        <v>40</v>
      </c>
      <c r="E696" s="383" t="s">
        <v>882</v>
      </c>
      <c r="F696" s="380">
        <v>3000003696</v>
      </c>
      <c r="G696" s="196"/>
      <c r="H696" s="31"/>
      <c r="I696" s="27"/>
      <c r="J696" s="185"/>
      <c r="K696" s="185"/>
      <c r="L696" s="185"/>
      <c r="M696" s="185"/>
      <c r="N696" s="185"/>
      <c r="O696" s="7"/>
      <c r="P696" s="7"/>
      <c r="Q696" s="7"/>
      <c r="R696" s="7"/>
      <c r="S696" s="14">
        <f>SUM(G696,H696,I696,J696,K696,L696,M696,N696,O696,P696,Q696,R696)</f>
        <v>0</v>
      </c>
      <c r="T696" s="179"/>
      <c r="U696" s="196"/>
      <c r="V696" s="31"/>
      <c r="W696" s="27"/>
      <c r="X696" s="185"/>
      <c r="Y696" s="185"/>
      <c r="Z696" s="185"/>
      <c r="AA696" s="185"/>
      <c r="AB696" s="185"/>
      <c r="AC696" s="7"/>
      <c r="AD696" s="7"/>
      <c r="AE696" s="7"/>
      <c r="AF696" s="7"/>
      <c r="AG696" s="759">
        <f>SUM(U696,V696,W696,X696,Y696,Z696,AA696,AB696,AC696,AD696,AE696,AF696)</f>
        <v>0</v>
      </c>
      <c r="AH696" s="811">
        <v>3000003696</v>
      </c>
      <c r="AI696" s="485"/>
      <c r="AJ696" s="874">
        <v>61525000</v>
      </c>
      <c r="AK696" s="858">
        <v>51415000</v>
      </c>
      <c r="AL696" s="758">
        <v>33290000</v>
      </c>
      <c r="AM696" s="758">
        <v>40435000</v>
      </c>
      <c r="AN696" s="758">
        <v>22682500</v>
      </c>
      <c r="AO696" s="758">
        <v>139699000</v>
      </c>
      <c r="AP696" s="758">
        <v>37995000</v>
      </c>
      <c r="AQ696" s="518">
        <v>0</v>
      </c>
      <c r="AR696" s="518"/>
      <c r="AS696" s="518"/>
      <c r="AT696" s="518"/>
      <c r="AU696" s="518">
        <f t="shared" si="419"/>
        <v>70000000</v>
      </c>
      <c r="AV696" s="518">
        <f t="shared" si="419"/>
        <v>70000000</v>
      </c>
      <c r="AW696" s="518">
        <f t="shared" si="419"/>
        <v>70000000</v>
      </c>
      <c r="AX696" s="518">
        <f t="shared" si="418"/>
        <v>387041500</v>
      </c>
      <c r="AY696" s="811" t="e">
        <v>#N/A</v>
      </c>
      <c r="AZ696" s="485"/>
      <c r="BA696" s="874">
        <v>61525000</v>
      </c>
      <c r="BB696" s="858">
        <v>51415000</v>
      </c>
      <c r="BC696" s="758">
        <v>33290000</v>
      </c>
      <c r="BD696" s="758">
        <v>40435000</v>
      </c>
      <c r="BE696" s="758">
        <v>22682500</v>
      </c>
      <c r="BF696" s="758">
        <v>139699000</v>
      </c>
      <c r="BG696" s="518">
        <f>AP696</f>
        <v>37995000</v>
      </c>
      <c r="BH696" s="758">
        <v>70000000</v>
      </c>
      <c r="BI696" s="758">
        <v>70000000</v>
      </c>
      <c r="BJ696" s="758">
        <v>70000000</v>
      </c>
      <c r="BK696" s="758">
        <v>70000000</v>
      </c>
      <c r="BL696" s="759">
        <f>SUM(AZ696,BA696,BB696,BC696,BD696,BE696,BF696,BG696,BH696,BI696,BJ696,BK696)</f>
        <v>667041500</v>
      </c>
      <c r="BN696" s="758">
        <v>60000000</v>
      </c>
      <c r="BO696" s="758">
        <v>60000000</v>
      </c>
      <c r="BP696" s="758">
        <v>60000000</v>
      </c>
      <c r="BQ696" s="758">
        <v>60000000</v>
      </c>
      <c r="BR696" s="758">
        <v>60000000</v>
      </c>
      <c r="BS696" s="758">
        <v>60000000</v>
      </c>
      <c r="BT696" s="758">
        <v>60000000</v>
      </c>
      <c r="BU696" s="758">
        <v>60000000</v>
      </c>
      <c r="BV696" s="758">
        <v>60000000</v>
      </c>
      <c r="BW696" s="758">
        <v>60000000</v>
      </c>
      <c r="BX696" s="758">
        <v>60000000</v>
      </c>
      <c r="BY696" s="758">
        <v>60000000</v>
      </c>
      <c r="BZ696" s="791">
        <v>720000000</v>
      </c>
      <c r="CB696" s="758">
        <v>60000000</v>
      </c>
      <c r="CC696" s="758">
        <v>60000000</v>
      </c>
      <c r="CD696" s="758">
        <v>60000000</v>
      </c>
      <c r="CE696" s="758">
        <v>60000000</v>
      </c>
      <c r="CF696" s="758">
        <v>60000000</v>
      </c>
      <c r="CG696" s="758">
        <v>60000000</v>
      </c>
      <c r="CH696" s="758">
        <v>60000000</v>
      </c>
      <c r="CI696" s="758">
        <v>60000000</v>
      </c>
      <c r="CJ696" s="758">
        <v>60000000</v>
      </c>
      <c r="CK696" s="758">
        <v>60000000</v>
      </c>
      <c r="CL696" s="758">
        <v>60000000</v>
      </c>
      <c r="CM696" s="758">
        <v>60000000</v>
      </c>
      <c r="CN696" s="791">
        <v>720000000</v>
      </c>
      <c r="CO696" s="37"/>
      <c r="CP696" s="657"/>
      <c r="CQ696" s="657"/>
      <c r="CR696" s="528"/>
      <c r="CS696" s="657"/>
      <c r="CT696" s="528"/>
      <c r="CU696" s="657"/>
      <c r="CV696" s="528"/>
      <c r="CW696" s="657"/>
      <c r="CX696" s="528"/>
      <c r="CY696" s="657"/>
      <c r="CZ696" s="528"/>
      <c r="DA696" s="657"/>
      <c r="DB696" s="528"/>
      <c r="DC696" s="657">
        <v>0</v>
      </c>
      <c r="DD696" s="528"/>
      <c r="DE696" s="758"/>
      <c r="DF696" s="528"/>
      <c r="DG696" s="757"/>
      <c r="DH696" s="758"/>
      <c r="DI696" s="528"/>
      <c r="DJ696" s="757"/>
      <c r="DK696" s="758"/>
      <c r="DL696" s="528"/>
      <c r="DM696" s="757"/>
      <c r="DN696" s="758"/>
      <c r="DO696" s="528"/>
      <c r="DP696" s="757"/>
      <c r="DQ696" s="493">
        <f t="shared" si="401"/>
        <v>0</v>
      </c>
      <c r="DR696" s="479">
        <f t="shared" si="403"/>
        <v>0</v>
      </c>
      <c r="DS696" s="1020"/>
      <c r="DT696" s="1020"/>
      <c r="DU696" s="1020"/>
      <c r="DV696" s="1020"/>
      <c r="DW696" s="1020"/>
      <c r="DX696" s="1020"/>
      <c r="DY696" s="1020"/>
      <c r="DZ696" s="1020"/>
      <c r="EA696" s="1020"/>
      <c r="EB696" s="1020"/>
      <c r="EC696" s="1020"/>
      <c r="ED696" s="1020"/>
      <c r="EE696" s="1119">
        <f t="shared" si="400"/>
        <v>0</v>
      </c>
      <c r="EF696" s="443">
        <f t="shared" si="420"/>
        <v>0</v>
      </c>
      <c r="EG696" s="443">
        <f t="shared" si="421"/>
        <v>0</v>
      </c>
      <c r="EH696" s="443">
        <f t="shared" si="422"/>
        <v>0</v>
      </c>
      <c r="EI696" s="443">
        <f t="shared" si="422"/>
        <v>0</v>
      </c>
      <c r="EJ696" s="367">
        <v>3000003696</v>
      </c>
      <c r="EL696" s="177"/>
      <c r="EM696" s="177"/>
      <c r="EN696" s="177"/>
    </row>
    <row r="697" spans="1:144" outlineLevel="2">
      <c r="A697" s="367" t="s">
        <v>196</v>
      </c>
      <c r="B697" s="378"/>
      <c r="C697" s="370" t="s">
        <v>688</v>
      </c>
      <c r="D697" s="370" t="s">
        <v>40</v>
      </c>
      <c r="E697" s="383" t="s">
        <v>883</v>
      </c>
      <c r="F697" s="380">
        <v>3000019418</v>
      </c>
      <c r="G697" s="196"/>
      <c r="H697" s="31"/>
      <c r="I697" s="185"/>
      <c r="J697" s="185"/>
      <c r="K697" s="185"/>
      <c r="L697" s="185"/>
      <c r="M697" s="185"/>
      <c r="N697" s="185"/>
      <c r="O697" s="7"/>
      <c r="P697" s="7"/>
      <c r="Q697" s="7"/>
      <c r="R697" s="7"/>
      <c r="S697" s="14">
        <f>SUM(G697,H697,I697,J697,K697,L697,M697,N697,O697,P697,Q697,R697)</f>
        <v>0</v>
      </c>
      <c r="T697" s="179"/>
      <c r="U697" s="196"/>
      <c r="V697" s="31"/>
      <c r="W697" s="185"/>
      <c r="X697" s="185"/>
      <c r="Y697" s="185"/>
      <c r="Z697" s="185"/>
      <c r="AA697" s="185"/>
      <c r="AB697" s="185"/>
      <c r="AC697" s="7"/>
      <c r="AD697" s="7"/>
      <c r="AE697" s="7"/>
      <c r="AF697" s="7"/>
      <c r="AG697" s="759">
        <f>SUM(U697,V697,W697,X697,Y697,Z697,AA697,AB697,AC697,AD697,AE697,AF697)</f>
        <v>0</v>
      </c>
      <c r="AH697" s="811">
        <v>3000019418</v>
      </c>
      <c r="AI697" s="485"/>
      <c r="AJ697" s="874">
        <v>6068100</v>
      </c>
      <c r="AK697" s="758"/>
      <c r="AL697" s="758">
        <v>0</v>
      </c>
      <c r="AM697" s="758">
        <v>0</v>
      </c>
      <c r="AN697" s="758">
        <v>0</v>
      </c>
      <c r="AO697" s="758">
        <v>0</v>
      </c>
      <c r="AP697" s="758">
        <v>0</v>
      </c>
      <c r="AQ697" s="518">
        <v>0</v>
      </c>
      <c r="AR697" s="518"/>
      <c r="AS697" s="518"/>
      <c r="AT697" s="518"/>
      <c r="AU697" s="518">
        <f t="shared" si="419"/>
        <v>0</v>
      </c>
      <c r="AV697" s="518">
        <f t="shared" si="419"/>
        <v>0</v>
      </c>
      <c r="AW697" s="518">
        <f t="shared" si="419"/>
        <v>0</v>
      </c>
      <c r="AX697" s="518">
        <f t="shared" si="418"/>
        <v>6068100</v>
      </c>
      <c r="AY697" s="811">
        <v>0</v>
      </c>
      <c r="AZ697" s="485"/>
      <c r="BA697" s="874">
        <v>6068100</v>
      </c>
      <c r="BB697" s="758"/>
      <c r="BC697" s="758">
        <v>0</v>
      </c>
      <c r="BD697" s="758">
        <v>0</v>
      </c>
      <c r="BE697" s="758">
        <v>0</v>
      </c>
      <c r="BF697" s="758">
        <v>0</v>
      </c>
      <c r="BG697" s="518">
        <f>AP697</f>
        <v>0</v>
      </c>
      <c r="BH697" s="758">
        <v>0</v>
      </c>
      <c r="BI697" s="758">
        <v>0</v>
      </c>
      <c r="BJ697" s="758">
        <v>0</v>
      </c>
      <c r="BK697" s="758">
        <v>0</v>
      </c>
      <c r="BL697" s="759">
        <f>SUM(AZ697,BA697,BB697,BC697,BD697,BE697,BF697,BG697,BH697,BI697,BJ697,BK697)</f>
        <v>6068100</v>
      </c>
      <c r="BN697" s="758">
        <v>0</v>
      </c>
      <c r="BO697" s="758">
        <v>0</v>
      </c>
      <c r="BP697" s="758">
        <v>0</v>
      </c>
      <c r="BQ697" s="758">
        <v>0</v>
      </c>
      <c r="BR697" s="758">
        <v>0</v>
      </c>
      <c r="BS697" s="758">
        <v>0</v>
      </c>
      <c r="BT697" s="758">
        <v>0</v>
      </c>
      <c r="BU697" s="758">
        <v>0</v>
      </c>
      <c r="BV697" s="758">
        <v>0</v>
      </c>
      <c r="BW697" s="758">
        <v>0</v>
      </c>
      <c r="BX697" s="758">
        <v>0</v>
      </c>
      <c r="BY697" s="758">
        <v>0</v>
      </c>
      <c r="BZ697" s="791">
        <v>0</v>
      </c>
      <c r="CB697" s="758">
        <v>0</v>
      </c>
      <c r="CC697" s="758">
        <v>0</v>
      </c>
      <c r="CD697" s="758">
        <v>0</v>
      </c>
      <c r="CE697" s="758">
        <v>0</v>
      </c>
      <c r="CF697" s="758">
        <v>0</v>
      </c>
      <c r="CG697" s="758">
        <v>0</v>
      </c>
      <c r="CH697" s="758">
        <v>0</v>
      </c>
      <c r="CI697" s="758">
        <v>0</v>
      </c>
      <c r="CJ697" s="758">
        <v>0</v>
      </c>
      <c r="CK697" s="758">
        <v>0</v>
      </c>
      <c r="CL697" s="758">
        <v>0</v>
      </c>
      <c r="CM697" s="758">
        <v>0</v>
      </c>
      <c r="CN697" s="791">
        <v>0</v>
      </c>
      <c r="CO697" s="37"/>
      <c r="CP697" s="657"/>
      <c r="CQ697" s="657"/>
      <c r="CR697" s="528"/>
      <c r="CS697" s="657"/>
      <c r="CT697" s="528">
        <v>0</v>
      </c>
      <c r="CU697" s="657"/>
      <c r="CV697" s="528"/>
      <c r="CW697" s="657"/>
      <c r="CX697" s="528"/>
      <c r="CY697" s="657"/>
      <c r="CZ697" s="528"/>
      <c r="DA697" s="657"/>
      <c r="DB697" s="528"/>
      <c r="DC697" s="657">
        <v>0</v>
      </c>
      <c r="DD697" s="528"/>
      <c r="DE697" s="758"/>
      <c r="DF697" s="528"/>
      <c r="DG697" s="757"/>
      <c r="DH697" s="758"/>
      <c r="DI697" s="528"/>
      <c r="DJ697" s="757"/>
      <c r="DK697" s="758"/>
      <c r="DL697" s="528"/>
      <c r="DM697" s="757"/>
      <c r="DN697" s="758"/>
      <c r="DO697" s="528"/>
      <c r="DP697" s="757"/>
      <c r="DQ697" s="493">
        <f t="shared" si="401"/>
        <v>0</v>
      </c>
      <c r="DR697" s="479">
        <f t="shared" si="403"/>
        <v>0</v>
      </c>
      <c r="DS697" s="1020"/>
      <c r="DT697" s="1020"/>
      <c r="DU697" s="1020"/>
      <c r="DV697" s="1020"/>
      <c r="DW697" s="1020"/>
      <c r="DX697" s="1020"/>
      <c r="DY697" s="1020"/>
      <c r="DZ697" s="1020"/>
      <c r="EA697" s="1020"/>
      <c r="EB697" s="1020"/>
      <c r="EC697" s="1020"/>
      <c r="ED697" s="1020"/>
      <c r="EE697" s="1119">
        <f t="shared" si="400"/>
        <v>0</v>
      </c>
      <c r="EF697" s="443">
        <f t="shared" si="420"/>
        <v>0</v>
      </c>
      <c r="EG697" s="443">
        <f t="shared" si="421"/>
        <v>0</v>
      </c>
      <c r="EH697" s="443">
        <f t="shared" si="422"/>
        <v>0</v>
      </c>
      <c r="EI697" s="443">
        <f t="shared" si="422"/>
        <v>0</v>
      </c>
      <c r="EJ697" s="367">
        <v>3000019418</v>
      </c>
      <c r="EL697" s="177"/>
      <c r="EM697" s="177"/>
      <c r="EN697" s="177"/>
    </row>
    <row r="698" spans="1:144" outlineLevel="2">
      <c r="A698" s="367" t="s">
        <v>196</v>
      </c>
      <c r="B698" s="378"/>
      <c r="C698" s="370" t="s">
        <v>688</v>
      </c>
      <c r="D698" s="370" t="s">
        <v>40</v>
      </c>
      <c r="E698" s="383" t="s">
        <v>609</v>
      </c>
      <c r="F698" s="380">
        <v>3000003865</v>
      </c>
      <c r="G698" s="196"/>
      <c r="H698" s="31"/>
      <c r="I698" s="185"/>
      <c r="J698" s="185"/>
      <c r="K698" s="185"/>
      <c r="L698" s="185"/>
      <c r="M698" s="185"/>
      <c r="N698" s="185"/>
      <c r="O698" s="7"/>
      <c r="P698" s="7"/>
      <c r="Q698" s="7"/>
      <c r="R698" s="7"/>
      <c r="S698" s="14">
        <f>SUM(G698,H698,I698,J698,K698,L698,M698,N698,O698,P698,Q698,R698)</f>
        <v>0</v>
      </c>
      <c r="T698" s="179"/>
      <c r="U698" s="196"/>
      <c r="V698" s="31"/>
      <c r="W698" s="185"/>
      <c r="X698" s="185"/>
      <c r="Y698" s="185"/>
      <c r="Z698" s="185"/>
      <c r="AA698" s="185"/>
      <c r="AB698" s="185"/>
      <c r="AC698" s="7"/>
      <c r="AD698" s="7"/>
      <c r="AE698" s="7"/>
      <c r="AF698" s="7"/>
      <c r="AG698" s="759">
        <f>SUM(U698,V698,W698,X698,Y698,Z698,AA698,AB698,AC698,AD698,AE698,AF698)</f>
        <v>0</v>
      </c>
      <c r="AH698" s="811">
        <v>3000003865</v>
      </c>
      <c r="AI698" s="485"/>
      <c r="AJ698" s="874"/>
      <c r="AK698" s="758"/>
      <c r="AL698" s="758"/>
      <c r="AM698" s="758"/>
      <c r="AN698" s="758">
        <v>8925000</v>
      </c>
      <c r="AO698" s="758">
        <v>2000000</v>
      </c>
      <c r="AP698" s="758">
        <v>0</v>
      </c>
      <c r="AQ698" s="518">
        <v>0</v>
      </c>
      <c r="AR698" s="518"/>
      <c r="AS698" s="518"/>
      <c r="AT698" s="518"/>
      <c r="AU698" s="518">
        <f t="shared" si="419"/>
        <v>8000000</v>
      </c>
      <c r="AV698" s="518">
        <f t="shared" si="419"/>
        <v>8000000</v>
      </c>
      <c r="AW698" s="518">
        <f t="shared" si="419"/>
        <v>8000000</v>
      </c>
      <c r="AX698" s="518">
        <f t="shared" si="418"/>
        <v>10925000</v>
      </c>
      <c r="AY698" s="811" t="e">
        <v>#N/A</v>
      </c>
      <c r="AZ698" s="485"/>
      <c r="BA698" s="874"/>
      <c r="BB698" s="758"/>
      <c r="BC698" s="758"/>
      <c r="BD698" s="758"/>
      <c r="BE698" s="758">
        <v>8925000</v>
      </c>
      <c r="BF698" s="758">
        <v>2000000</v>
      </c>
      <c r="BG698" s="518">
        <f>AP698</f>
        <v>0</v>
      </c>
      <c r="BH698" s="758">
        <v>8000000</v>
      </c>
      <c r="BI698" s="758">
        <v>8000000</v>
      </c>
      <c r="BJ698" s="758">
        <v>8000000</v>
      </c>
      <c r="BK698" s="758">
        <v>8000000</v>
      </c>
      <c r="BL698" s="759">
        <f>SUM(AZ698,BA698,BB698,BC698,BD698,BE698,BF698,BG698,BH698,BI698,BJ698,BK698)</f>
        <v>42925000</v>
      </c>
      <c r="BN698" s="758">
        <v>10000000</v>
      </c>
      <c r="BO698" s="758">
        <v>10000000</v>
      </c>
      <c r="BP698" s="758">
        <v>10000000</v>
      </c>
      <c r="BQ698" s="758">
        <v>10000000</v>
      </c>
      <c r="BR698" s="758">
        <v>7000000</v>
      </c>
      <c r="BS698" s="758">
        <v>10000000</v>
      </c>
      <c r="BT698" s="758">
        <v>15000000</v>
      </c>
      <c r="BU698" s="758">
        <v>15000000</v>
      </c>
      <c r="BV698" s="758">
        <v>15000000</v>
      </c>
      <c r="BW698" s="758">
        <v>15000000</v>
      </c>
      <c r="BX698" s="758">
        <v>15000000</v>
      </c>
      <c r="BY698" s="758">
        <v>15000000</v>
      </c>
      <c r="BZ698" s="791">
        <v>147000000</v>
      </c>
      <c r="CB698" s="758">
        <v>10000000</v>
      </c>
      <c r="CC698" s="758">
        <v>10000000</v>
      </c>
      <c r="CD698" s="758">
        <v>10000000</v>
      </c>
      <c r="CE698" s="758">
        <v>10000000</v>
      </c>
      <c r="CF698" s="758">
        <v>7000000</v>
      </c>
      <c r="CG698" s="758">
        <v>10000000</v>
      </c>
      <c r="CH698" s="758">
        <v>15000000</v>
      </c>
      <c r="CI698" s="758">
        <v>15000000</v>
      </c>
      <c r="CJ698" s="758">
        <v>15000000</v>
      </c>
      <c r="CK698" s="758">
        <v>15000000</v>
      </c>
      <c r="CL698" s="758">
        <v>15000000</v>
      </c>
      <c r="CM698" s="758">
        <v>15000000</v>
      </c>
      <c r="CN698" s="791">
        <v>147000000</v>
      </c>
      <c r="CO698" s="37"/>
      <c r="CP698" s="657"/>
      <c r="CQ698" s="657"/>
      <c r="CR698" s="528"/>
      <c r="CS698" s="657"/>
      <c r="CT698" s="528"/>
      <c r="CU698" s="657"/>
      <c r="CV698" s="528"/>
      <c r="CW698" s="657"/>
      <c r="CX698" s="528"/>
      <c r="CY698" s="657"/>
      <c r="CZ698" s="528"/>
      <c r="DA698" s="657"/>
      <c r="DB698" s="528"/>
      <c r="DC698" s="657">
        <v>0</v>
      </c>
      <c r="DD698" s="528"/>
      <c r="DE698" s="758"/>
      <c r="DF698" s="528"/>
      <c r="DG698" s="757"/>
      <c r="DH698" s="758"/>
      <c r="DI698" s="528"/>
      <c r="DJ698" s="757"/>
      <c r="DK698" s="758"/>
      <c r="DL698" s="528"/>
      <c r="DM698" s="757"/>
      <c r="DN698" s="758"/>
      <c r="DO698" s="528"/>
      <c r="DP698" s="757"/>
      <c r="DQ698" s="493">
        <f t="shared" si="401"/>
        <v>0</v>
      </c>
      <c r="DR698" s="479">
        <f t="shared" ref="DR698:DR723" si="423">SUM(CP698,CQ698,CS698,CU698,CX698,CZ698,DB698,DD698,DG698,DJ698,DM698,DP698)</f>
        <v>0</v>
      </c>
      <c r="DS698" s="1020"/>
      <c r="DT698" s="1020"/>
      <c r="DU698" s="1020"/>
      <c r="DV698" s="1020"/>
      <c r="DW698" s="1020"/>
      <c r="DX698" s="1020"/>
      <c r="DY698" s="1020"/>
      <c r="DZ698" s="1020"/>
      <c r="EA698" s="1020"/>
      <c r="EB698" s="1020"/>
      <c r="EC698" s="1020"/>
      <c r="ED698" s="1020"/>
      <c r="EE698" s="1119">
        <f t="shared" si="400"/>
        <v>0</v>
      </c>
      <c r="EF698" s="443">
        <f t="shared" si="420"/>
        <v>0</v>
      </c>
      <c r="EG698" s="443">
        <f t="shared" si="421"/>
        <v>0</v>
      </c>
      <c r="EH698" s="443">
        <f t="shared" si="422"/>
        <v>0</v>
      </c>
      <c r="EI698" s="443">
        <f t="shared" si="422"/>
        <v>0</v>
      </c>
      <c r="EJ698" s="367">
        <v>3000003865</v>
      </c>
      <c r="EL698" s="177"/>
      <c r="EM698" s="177"/>
      <c r="EN698" s="177"/>
    </row>
    <row r="699" spans="1:144" outlineLevel="2">
      <c r="B699" s="378"/>
      <c r="C699" s="370" t="s">
        <v>688</v>
      </c>
      <c r="E699" s="383" t="s">
        <v>87</v>
      </c>
      <c r="F699" s="380">
        <v>3000007550</v>
      </c>
      <c r="G699" s="196"/>
      <c r="H699" s="31"/>
      <c r="I699" s="185"/>
      <c r="J699" s="185"/>
      <c r="K699" s="185"/>
      <c r="L699" s="185"/>
      <c r="M699" s="185"/>
      <c r="N699" s="185"/>
      <c r="O699" s="7"/>
      <c r="P699" s="7"/>
      <c r="Q699" s="7"/>
      <c r="R699" s="7"/>
      <c r="S699" s="14"/>
      <c r="T699" s="179"/>
      <c r="U699" s="196"/>
      <c r="V699" s="31"/>
      <c r="W699" s="185"/>
      <c r="X699" s="185"/>
      <c r="Y699" s="185"/>
      <c r="Z699" s="185"/>
      <c r="AA699" s="185"/>
      <c r="AB699" s="185"/>
      <c r="AC699" s="7"/>
      <c r="AD699" s="7"/>
      <c r="AE699" s="7"/>
      <c r="AF699" s="7"/>
      <c r="AG699" s="759"/>
      <c r="AH699" s="811"/>
      <c r="AI699" s="485"/>
      <c r="AJ699" s="874"/>
      <c r="AK699" s="758"/>
      <c r="AL699" s="758"/>
      <c r="AM699" s="758"/>
      <c r="AN699" s="758"/>
      <c r="AO699" s="758"/>
      <c r="AP699" s="758"/>
      <c r="AQ699" s="518"/>
      <c r="AR699" s="518"/>
      <c r="AS699" s="518"/>
      <c r="AT699" s="518"/>
      <c r="AU699" s="518"/>
      <c r="AV699" s="518"/>
      <c r="AW699" s="518"/>
      <c r="AX699" s="518">
        <f t="shared" si="418"/>
        <v>0</v>
      </c>
      <c r="AY699" s="811"/>
      <c r="AZ699" s="485"/>
      <c r="BA699" s="874"/>
      <c r="BB699" s="758"/>
      <c r="BC699" s="758"/>
      <c r="BD699" s="758"/>
      <c r="BE699" s="758"/>
      <c r="BF699" s="758"/>
      <c r="BG699" s="518"/>
      <c r="BH699" s="758"/>
      <c r="BI699" s="758"/>
      <c r="BJ699" s="758"/>
      <c r="BK699" s="758"/>
      <c r="BL699" s="759"/>
      <c r="BN699" s="758">
        <v>0</v>
      </c>
      <c r="BO699" s="758">
        <v>0</v>
      </c>
      <c r="BP699" s="758">
        <v>0</v>
      </c>
      <c r="BQ699" s="758">
        <v>0</v>
      </c>
      <c r="BR699" s="758">
        <v>0</v>
      </c>
      <c r="BS699" s="758">
        <v>0</v>
      </c>
      <c r="BT699" s="758">
        <v>0</v>
      </c>
      <c r="BU699" s="758">
        <v>0</v>
      </c>
      <c r="BV699" s="758">
        <v>0</v>
      </c>
      <c r="BW699" s="758">
        <v>0</v>
      </c>
      <c r="BX699" s="758">
        <v>0</v>
      </c>
      <c r="BY699" s="758">
        <v>0</v>
      </c>
      <c r="BZ699" s="791">
        <v>0</v>
      </c>
      <c r="CB699" s="758">
        <v>0</v>
      </c>
      <c r="CC699" s="758">
        <v>0</v>
      </c>
      <c r="CD699" s="758">
        <v>0</v>
      </c>
      <c r="CE699" s="758">
        <v>0</v>
      </c>
      <c r="CF699" s="758">
        <v>0</v>
      </c>
      <c r="CG699" s="758">
        <v>0</v>
      </c>
      <c r="CH699" s="758">
        <v>0</v>
      </c>
      <c r="CI699" s="758">
        <v>0</v>
      </c>
      <c r="CJ699" s="758">
        <v>0</v>
      </c>
      <c r="CK699" s="758">
        <v>0</v>
      </c>
      <c r="CL699" s="758">
        <v>0</v>
      </c>
      <c r="CM699" s="758">
        <v>0</v>
      </c>
      <c r="CN699" s="791">
        <v>0</v>
      </c>
      <c r="CO699" s="37"/>
      <c r="CP699" s="657"/>
      <c r="CQ699" s="657"/>
      <c r="CR699" s="528"/>
      <c r="CS699" s="657"/>
      <c r="CT699" s="528"/>
      <c r="CU699" s="657"/>
      <c r="CV699" s="528"/>
      <c r="CW699" s="657"/>
      <c r="CX699" s="528"/>
      <c r="CY699" s="657"/>
      <c r="CZ699" s="528"/>
      <c r="DA699" s="657"/>
      <c r="DB699" s="528"/>
      <c r="DC699" s="657">
        <v>0</v>
      </c>
      <c r="DD699" s="528"/>
      <c r="DE699" s="758"/>
      <c r="DF699" s="528"/>
      <c r="DG699" s="757"/>
      <c r="DH699" s="758"/>
      <c r="DI699" s="528"/>
      <c r="DJ699" s="757"/>
      <c r="DK699" s="758"/>
      <c r="DL699" s="528"/>
      <c r="DM699" s="757"/>
      <c r="DN699" s="758"/>
      <c r="DO699" s="528"/>
      <c r="DP699" s="757"/>
      <c r="DQ699" s="493">
        <f t="shared" si="401"/>
        <v>0</v>
      </c>
      <c r="DR699" s="479">
        <f t="shared" si="423"/>
        <v>0</v>
      </c>
      <c r="DS699" s="1020"/>
      <c r="DT699" s="1020"/>
      <c r="DU699" s="1020"/>
      <c r="DV699" s="1020"/>
      <c r="DW699" s="1020"/>
      <c r="DX699" s="1020"/>
      <c r="DY699" s="1020"/>
      <c r="DZ699" s="1020"/>
      <c r="EA699" s="1020"/>
      <c r="EB699" s="1020"/>
      <c r="EC699" s="1020"/>
      <c r="ED699" s="1020"/>
      <c r="EE699" s="1119">
        <f t="shared" si="400"/>
        <v>0</v>
      </c>
      <c r="EF699" s="443">
        <f t="shared" si="420"/>
        <v>0</v>
      </c>
      <c r="EG699" s="443">
        <f t="shared" si="421"/>
        <v>0</v>
      </c>
      <c r="EH699" s="443">
        <f t="shared" si="422"/>
        <v>0</v>
      </c>
      <c r="EI699" s="443">
        <f t="shared" si="422"/>
        <v>0</v>
      </c>
      <c r="EJ699" s="367">
        <v>3000007550</v>
      </c>
      <c r="EL699" s="177"/>
      <c r="EM699" s="177"/>
      <c r="EN699" s="177"/>
    </row>
    <row r="700" spans="1:144" outlineLevel="2">
      <c r="B700" s="378"/>
      <c r="C700" s="370" t="s">
        <v>688</v>
      </c>
      <c r="E700" s="383" t="s">
        <v>612</v>
      </c>
      <c r="F700" s="380">
        <v>3000004138</v>
      </c>
      <c r="G700" s="196"/>
      <c r="H700" s="31"/>
      <c r="I700" s="185"/>
      <c r="J700" s="185"/>
      <c r="K700" s="185"/>
      <c r="L700" s="185"/>
      <c r="M700" s="185"/>
      <c r="N700" s="185"/>
      <c r="O700" s="7"/>
      <c r="P700" s="7"/>
      <c r="Q700" s="7"/>
      <c r="R700" s="7"/>
      <c r="S700" s="14"/>
      <c r="T700" s="179"/>
      <c r="U700" s="196"/>
      <c r="V700" s="31"/>
      <c r="W700" s="185"/>
      <c r="X700" s="185"/>
      <c r="Y700" s="185"/>
      <c r="Z700" s="185"/>
      <c r="AA700" s="185"/>
      <c r="AB700" s="185"/>
      <c r="AC700" s="7"/>
      <c r="AD700" s="7"/>
      <c r="AE700" s="7"/>
      <c r="AF700" s="7"/>
      <c r="AG700" s="759"/>
      <c r="AH700" s="811"/>
      <c r="AI700" s="485"/>
      <c r="AJ700" s="874"/>
      <c r="AK700" s="758"/>
      <c r="AL700" s="758"/>
      <c r="AM700" s="758"/>
      <c r="AN700" s="758"/>
      <c r="AO700" s="758"/>
      <c r="AP700" s="758"/>
      <c r="AQ700" s="518"/>
      <c r="AR700" s="518"/>
      <c r="AS700" s="518"/>
      <c r="AT700" s="518"/>
      <c r="AU700" s="518"/>
      <c r="AV700" s="518"/>
      <c r="AW700" s="518"/>
      <c r="AX700" s="518">
        <f t="shared" si="418"/>
        <v>0</v>
      </c>
      <c r="AY700" s="811"/>
      <c r="AZ700" s="485"/>
      <c r="BA700" s="874"/>
      <c r="BB700" s="758"/>
      <c r="BC700" s="758"/>
      <c r="BD700" s="758"/>
      <c r="BE700" s="758"/>
      <c r="BF700" s="758"/>
      <c r="BG700" s="518"/>
      <c r="BH700" s="758"/>
      <c r="BI700" s="758"/>
      <c r="BJ700" s="758"/>
      <c r="BK700" s="758"/>
      <c r="BL700" s="759"/>
      <c r="BN700" s="758">
        <v>0</v>
      </c>
      <c r="BO700" s="758">
        <v>0</v>
      </c>
      <c r="BP700" s="758">
        <v>0</v>
      </c>
      <c r="BQ700" s="758">
        <v>0</v>
      </c>
      <c r="BR700" s="758">
        <v>0</v>
      </c>
      <c r="BS700" s="758">
        <v>0</v>
      </c>
      <c r="BT700" s="758">
        <v>0</v>
      </c>
      <c r="BU700" s="758">
        <v>0</v>
      </c>
      <c r="BV700" s="758">
        <v>0</v>
      </c>
      <c r="BW700" s="758">
        <v>0</v>
      </c>
      <c r="BX700" s="758">
        <v>0</v>
      </c>
      <c r="BY700" s="758">
        <v>0</v>
      </c>
      <c r="BZ700" s="791">
        <v>0</v>
      </c>
      <c r="CB700" s="758">
        <v>0</v>
      </c>
      <c r="CC700" s="758">
        <v>0</v>
      </c>
      <c r="CD700" s="758">
        <v>0</v>
      </c>
      <c r="CE700" s="758">
        <v>0</v>
      </c>
      <c r="CF700" s="758">
        <v>0</v>
      </c>
      <c r="CG700" s="758">
        <v>0</v>
      </c>
      <c r="CH700" s="758">
        <v>0</v>
      </c>
      <c r="CI700" s="758">
        <v>0</v>
      </c>
      <c r="CJ700" s="758">
        <v>0</v>
      </c>
      <c r="CK700" s="758">
        <v>0</v>
      </c>
      <c r="CL700" s="758">
        <v>0</v>
      </c>
      <c r="CM700" s="758">
        <v>0</v>
      </c>
      <c r="CN700" s="791">
        <v>0</v>
      </c>
      <c r="CO700" s="37"/>
      <c r="CP700" s="657"/>
      <c r="CQ700" s="657"/>
      <c r="CR700" s="528"/>
      <c r="CS700" s="657"/>
      <c r="CT700" s="528"/>
      <c r="CU700" s="657"/>
      <c r="CV700" s="528"/>
      <c r="CW700" s="657"/>
      <c r="CX700" s="528"/>
      <c r="CY700" s="657"/>
      <c r="CZ700" s="528"/>
      <c r="DA700" s="657"/>
      <c r="DB700" s="528"/>
      <c r="DC700" s="657">
        <v>0</v>
      </c>
      <c r="DD700" s="528"/>
      <c r="DE700" s="758"/>
      <c r="DF700" s="528"/>
      <c r="DG700" s="757"/>
      <c r="DH700" s="758"/>
      <c r="DI700" s="528"/>
      <c r="DJ700" s="757"/>
      <c r="DK700" s="758"/>
      <c r="DL700" s="528"/>
      <c r="DM700" s="757"/>
      <c r="DN700" s="758"/>
      <c r="DO700" s="528"/>
      <c r="DP700" s="757"/>
      <c r="DQ700" s="493">
        <f t="shared" si="401"/>
        <v>0</v>
      </c>
      <c r="DR700" s="479">
        <f t="shared" si="423"/>
        <v>0</v>
      </c>
      <c r="DS700" s="1020"/>
      <c r="DT700" s="1020"/>
      <c r="DU700" s="1020"/>
      <c r="DV700" s="1020"/>
      <c r="DW700" s="1020"/>
      <c r="DX700" s="1020"/>
      <c r="DY700" s="1020"/>
      <c r="DZ700" s="1020"/>
      <c r="EA700" s="1020"/>
      <c r="EB700" s="1020"/>
      <c r="EC700" s="1020"/>
      <c r="ED700" s="1020"/>
      <c r="EE700" s="1119">
        <f t="shared" si="400"/>
        <v>0</v>
      </c>
      <c r="EF700" s="443">
        <f t="shared" si="420"/>
        <v>0</v>
      </c>
      <c r="EG700" s="443">
        <f t="shared" si="421"/>
        <v>0</v>
      </c>
      <c r="EH700" s="443">
        <f t="shared" si="422"/>
        <v>0</v>
      </c>
      <c r="EI700" s="443">
        <f t="shared" si="422"/>
        <v>0</v>
      </c>
      <c r="EJ700" s="367">
        <v>3000004138</v>
      </c>
      <c r="EL700" s="177"/>
      <c r="EM700" s="177"/>
      <c r="EN700" s="177"/>
    </row>
    <row r="701" spans="1:144" outlineLevel="2">
      <c r="B701" s="378"/>
      <c r="C701" s="370" t="s">
        <v>688</v>
      </c>
      <c r="D701" s="370" t="s">
        <v>108</v>
      </c>
      <c r="E701" s="383" t="s">
        <v>758</v>
      </c>
      <c r="F701" s="380">
        <v>3211010000</v>
      </c>
      <c r="G701" s="196"/>
      <c r="H701" s="31"/>
      <c r="I701" s="185"/>
      <c r="J701" s="185"/>
      <c r="K701" s="185"/>
      <c r="L701" s="185"/>
      <c r="M701" s="185"/>
      <c r="N701" s="185"/>
      <c r="O701" s="7"/>
      <c r="P701" s="7"/>
      <c r="Q701" s="7"/>
      <c r="R701" s="7"/>
      <c r="S701" s="14"/>
      <c r="T701" s="179"/>
      <c r="U701" s="196"/>
      <c r="V701" s="31"/>
      <c r="W701" s="185"/>
      <c r="X701" s="185"/>
      <c r="Y701" s="185"/>
      <c r="Z701" s="185"/>
      <c r="AA701" s="185"/>
      <c r="AB701" s="185"/>
      <c r="AC701" s="7"/>
      <c r="AD701" s="7"/>
      <c r="AE701" s="7"/>
      <c r="AF701" s="7"/>
      <c r="AG701" s="759"/>
      <c r="AH701" s="811"/>
      <c r="AI701" s="485"/>
      <c r="AJ701" s="874"/>
      <c r="AK701" s="758"/>
      <c r="AL701" s="758"/>
      <c r="AM701" s="758"/>
      <c r="AN701" s="758"/>
      <c r="AO701" s="758"/>
      <c r="AP701" s="758"/>
      <c r="AQ701" s="518"/>
      <c r="AR701" s="518"/>
      <c r="AS701" s="518"/>
      <c r="AT701" s="518"/>
      <c r="AU701" s="518"/>
      <c r="AV701" s="518"/>
      <c r="AW701" s="518"/>
      <c r="AX701" s="518">
        <f t="shared" si="418"/>
        <v>0</v>
      </c>
      <c r="AY701" s="811"/>
      <c r="AZ701" s="485"/>
      <c r="BA701" s="874"/>
      <c r="BB701" s="758"/>
      <c r="BC701" s="758"/>
      <c r="BD701" s="758"/>
      <c r="BE701" s="758"/>
      <c r="BF701" s="758"/>
      <c r="BG701" s="518"/>
      <c r="BH701" s="758"/>
      <c r="BI701" s="758"/>
      <c r="BJ701" s="758"/>
      <c r="BK701" s="758"/>
      <c r="BL701" s="759"/>
      <c r="BN701" s="758"/>
      <c r="BO701" s="758"/>
      <c r="BP701" s="758"/>
      <c r="BQ701" s="758"/>
      <c r="BR701" s="758"/>
      <c r="BS701" s="758"/>
      <c r="BT701" s="758"/>
      <c r="BU701" s="758"/>
      <c r="BV701" s="758"/>
      <c r="BW701" s="758"/>
      <c r="BX701" s="758"/>
      <c r="BY701" s="758"/>
      <c r="BZ701" s="791"/>
      <c r="CB701" s="758"/>
      <c r="CC701" s="758"/>
      <c r="CD701" s="758"/>
      <c r="CE701" s="758"/>
      <c r="CF701" s="758"/>
      <c r="CG701" s="758"/>
      <c r="CH701" s="758"/>
      <c r="CI701" s="758"/>
      <c r="CJ701" s="758"/>
      <c r="CK701" s="758"/>
      <c r="CL701" s="758"/>
      <c r="CM701" s="758"/>
      <c r="CN701" s="791"/>
      <c r="CO701" s="37"/>
      <c r="CP701" s="657"/>
      <c r="CQ701" s="657"/>
      <c r="CR701" s="528"/>
      <c r="CS701" s="657"/>
      <c r="CT701" s="528"/>
      <c r="CU701" s="657">
        <v>4306500</v>
      </c>
      <c r="CV701" s="528"/>
      <c r="CW701" s="657"/>
      <c r="CX701" s="528"/>
      <c r="CY701" s="657"/>
      <c r="CZ701" s="528"/>
      <c r="DA701" s="657"/>
      <c r="DB701" s="528"/>
      <c r="DC701" s="657">
        <v>0</v>
      </c>
      <c r="DD701" s="528"/>
      <c r="DE701" s="758"/>
      <c r="DF701" s="528"/>
      <c r="DG701" s="757"/>
      <c r="DH701" s="758"/>
      <c r="DI701" s="528"/>
      <c r="DJ701" s="757"/>
      <c r="DK701" s="758"/>
      <c r="DL701" s="528"/>
      <c r="DM701" s="757"/>
      <c r="DN701" s="758"/>
      <c r="DO701" s="528"/>
      <c r="DP701" s="757"/>
      <c r="DQ701" s="493">
        <f t="shared" si="401"/>
        <v>4306500</v>
      </c>
      <c r="DR701" s="479">
        <f t="shared" si="423"/>
        <v>4306500</v>
      </c>
      <c r="DS701" s="1020"/>
      <c r="DT701" s="1020"/>
      <c r="DU701" s="1020"/>
      <c r="DV701" s="1020"/>
      <c r="DW701" s="1020"/>
      <c r="DX701" s="1020"/>
      <c r="DY701" s="1020"/>
      <c r="DZ701" s="1020"/>
      <c r="EA701" s="1020"/>
      <c r="EB701" s="1020"/>
      <c r="EC701" s="1020"/>
      <c r="ED701" s="1020"/>
      <c r="EE701" s="1119">
        <f t="shared" si="400"/>
        <v>0</v>
      </c>
      <c r="EF701" s="443"/>
      <c r="EG701" s="443"/>
      <c r="EH701" s="443"/>
      <c r="EI701" s="443"/>
      <c r="EL701" s="177"/>
      <c r="EM701" s="177"/>
      <c r="EN701" s="177"/>
    </row>
    <row r="702" spans="1:144" outlineLevel="2">
      <c r="B702" s="378"/>
      <c r="C702" s="370" t="s">
        <v>688</v>
      </c>
      <c r="E702" s="383" t="s">
        <v>434</v>
      </c>
      <c r="F702" s="380">
        <v>3000014770</v>
      </c>
      <c r="G702" s="196"/>
      <c r="H702" s="31"/>
      <c r="I702" s="185"/>
      <c r="J702" s="185"/>
      <c r="K702" s="185"/>
      <c r="L702" s="185"/>
      <c r="M702" s="185"/>
      <c r="N702" s="185"/>
      <c r="O702" s="7"/>
      <c r="P702" s="7"/>
      <c r="Q702" s="7"/>
      <c r="R702" s="7"/>
      <c r="S702" s="14"/>
      <c r="T702" s="179"/>
      <c r="U702" s="196"/>
      <c r="V702" s="31"/>
      <c r="W702" s="185"/>
      <c r="X702" s="185"/>
      <c r="Y702" s="185"/>
      <c r="Z702" s="185"/>
      <c r="AA702" s="185"/>
      <c r="AB702" s="185"/>
      <c r="AC702" s="7"/>
      <c r="AD702" s="7"/>
      <c r="AE702" s="7"/>
      <c r="AF702" s="7"/>
      <c r="AG702" s="759"/>
      <c r="AH702" s="811"/>
      <c r="AI702" s="485"/>
      <c r="AJ702" s="874"/>
      <c r="AK702" s="758"/>
      <c r="AL702" s="758"/>
      <c r="AM702" s="758"/>
      <c r="AN702" s="758"/>
      <c r="AO702" s="758"/>
      <c r="AP702" s="758"/>
      <c r="AQ702" s="518"/>
      <c r="AR702" s="518"/>
      <c r="AS702" s="518"/>
      <c r="AT702" s="518"/>
      <c r="AU702" s="518"/>
      <c r="AV702" s="518"/>
      <c r="AW702" s="518"/>
      <c r="AX702" s="518">
        <f t="shared" si="418"/>
        <v>0</v>
      </c>
      <c r="AY702" s="811"/>
      <c r="AZ702" s="485"/>
      <c r="BA702" s="874"/>
      <c r="BB702" s="758"/>
      <c r="BC702" s="758"/>
      <c r="BD702" s="758"/>
      <c r="BE702" s="758"/>
      <c r="BF702" s="758"/>
      <c r="BG702" s="518"/>
      <c r="BH702" s="758"/>
      <c r="BI702" s="758"/>
      <c r="BJ702" s="758"/>
      <c r="BK702" s="758"/>
      <c r="BL702" s="759"/>
      <c r="BN702" s="758">
        <v>0</v>
      </c>
      <c r="BO702" s="758">
        <v>0</v>
      </c>
      <c r="BP702" s="758">
        <v>0</v>
      </c>
      <c r="BQ702" s="758">
        <v>0</v>
      </c>
      <c r="BR702" s="758">
        <v>0</v>
      </c>
      <c r="BS702" s="758">
        <v>0</v>
      </c>
      <c r="BT702" s="758">
        <v>0</v>
      </c>
      <c r="BU702" s="758">
        <v>0</v>
      </c>
      <c r="BV702" s="758">
        <v>0</v>
      </c>
      <c r="BW702" s="758">
        <v>0</v>
      </c>
      <c r="BX702" s="758">
        <v>0</v>
      </c>
      <c r="BY702" s="758">
        <v>0</v>
      </c>
      <c r="BZ702" s="791">
        <v>0</v>
      </c>
      <c r="CB702" s="758">
        <v>0</v>
      </c>
      <c r="CC702" s="758">
        <v>0</v>
      </c>
      <c r="CD702" s="758">
        <v>0</v>
      </c>
      <c r="CE702" s="758">
        <v>0</v>
      </c>
      <c r="CF702" s="758">
        <v>0</v>
      </c>
      <c r="CG702" s="758">
        <v>0</v>
      </c>
      <c r="CH702" s="758">
        <v>0</v>
      </c>
      <c r="CI702" s="758">
        <v>0</v>
      </c>
      <c r="CJ702" s="758">
        <v>0</v>
      </c>
      <c r="CK702" s="758">
        <v>0</v>
      </c>
      <c r="CL702" s="758">
        <v>0</v>
      </c>
      <c r="CM702" s="758">
        <v>0</v>
      </c>
      <c r="CN702" s="791">
        <v>0</v>
      </c>
      <c r="CO702" s="37"/>
      <c r="CP702" s="657"/>
      <c r="CQ702" s="657"/>
      <c r="CR702" s="528"/>
      <c r="CS702" s="657"/>
      <c r="CT702" s="528"/>
      <c r="CU702" s="657"/>
      <c r="CV702" s="528"/>
      <c r="CW702" s="657"/>
      <c r="CX702" s="528"/>
      <c r="CY702" s="657"/>
      <c r="CZ702" s="528"/>
      <c r="DA702" s="657"/>
      <c r="DB702" s="528"/>
      <c r="DC702" s="657">
        <v>0</v>
      </c>
      <c r="DD702" s="528"/>
      <c r="DE702" s="758"/>
      <c r="DF702" s="528"/>
      <c r="DG702" s="757"/>
      <c r="DH702" s="758"/>
      <c r="DI702" s="528"/>
      <c r="DJ702" s="757"/>
      <c r="DK702" s="758"/>
      <c r="DL702" s="528"/>
      <c r="DM702" s="757"/>
      <c r="DN702" s="758"/>
      <c r="DO702" s="528"/>
      <c r="DP702" s="757"/>
      <c r="DQ702" s="493">
        <f t="shared" si="401"/>
        <v>0</v>
      </c>
      <c r="DR702" s="479">
        <f t="shared" si="423"/>
        <v>0</v>
      </c>
      <c r="DS702" s="1020"/>
      <c r="DT702" s="1020"/>
      <c r="DU702" s="1020"/>
      <c r="DV702" s="1020"/>
      <c r="DW702" s="1020"/>
      <c r="DX702" s="1020"/>
      <c r="DY702" s="1020"/>
      <c r="DZ702" s="1020"/>
      <c r="EA702" s="1020"/>
      <c r="EB702" s="1020"/>
      <c r="EC702" s="1020"/>
      <c r="ED702" s="1020"/>
      <c r="EE702" s="1119">
        <f t="shared" si="400"/>
        <v>0</v>
      </c>
      <c r="EF702" s="443">
        <f>EE702*1.17</f>
        <v>0</v>
      </c>
      <c r="EG702" s="443">
        <f>EF702*1.08</f>
        <v>0</v>
      </c>
      <c r="EH702" s="443">
        <f>EG702*1.09</f>
        <v>0</v>
      </c>
      <c r="EI702" s="443">
        <f>EH702*1.09</f>
        <v>0</v>
      </c>
      <c r="EJ702" s="367">
        <v>3000014770</v>
      </c>
      <c r="EL702" s="177"/>
      <c r="EM702" s="177"/>
      <c r="EN702" s="177"/>
    </row>
    <row r="703" spans="1:144" outlineLevel="2">
      <c r="A703" s="367" t="s">
        <v>194</v>
      </c>
      <c r="B703" s="378"/>
      <c r="C703" s="370" t="s">
        <v>688</v>
      </c>
      <c r="D703" s="370" t="s">
        <v>40</v>
      </c>
      <c r="E703" s="383" t="s">
        <v>614</v>
      </c>
      <c r="F703" s="380">
        <v>3000004648</v>
      </c>
      <c r="G703" s="196"/>
      <c r="H703" s="31"/>
      <c r="I703" s="185"/>
      <c r="J703" s="185"/>
      <c r="K703" s="185"/>
      <c r="L703" s="185"/>
      <c r="M703" s="185"/>
      <c r="N703" s="185"/>
      <c r="O703" s="7"/>
      <c r="P703" s="7"/>
      <c r="Q703" s="7"/>
      <c r="R703" s="7"/>
      <c r="S703" s="14"/>
      <c r="T703" s="179"/>
      <c r="U703" s="196"/>
      <c r="V703" s="31"/>
      <c r="W703" s="185"/>
      <c r="X703" s="185"/>
      <c r="Y703" s="185"/>
      <c r="Z703" s="185"/>
      <c r="AA703" s="185"/>
      <c r="AB703" s="185"/>
      <c r="AC703" s="7"/>
      <c r="AD703" s="7"/>
      <c r="AE703" s="7"/>
      <c r="AF703" s="7"/>
      <c r="AG703" s="759"/>
      <c r="AH703" s="811"/>
      <c r="AI703" s="485"/>
      <c r="AJ703" s="874"/>
      <c r="AK703" s="758"/>
      <c r="AL703" s="758"/>
      <c r="AM703" s="758"/>
      <c r="AN703" s="758"/>
      <c r="AO703" s="758"/>
      <c r="AP703" s="758"/>
      <c r="AQ703" s="518"/>
      <c r="AR703" s="6"/>
      <c r="AS703" s="813">
        <v>0</v>
      </c>
      <c r="AT703" s="813">
        <v>13426250</v>
      </c>
      <c r="AU703" s="518"/>
      <c r="AV703" s="518"/>
      <c r="AW703" s="518"/>
      <c r="AX703" s="518">
        <f t="shared" si="418"/>
        <v>13426250</v>
      </c>
      <c r="AY703" s="811"/>
      <c r="AZ703" s="485"/>
      <c r="BA703" s="874"/>
      <c r="BB703" s="758"/>
      <c r="BC703" s="758"/>
      <c r="BD703" s="758"/>
      <c r="BE703" s="758"/>
      <c r="BF703" s="758"/>
      <c r="BG703" s="518"/>
      <c r="BH703" s="758"/>
      <c r="BI703" s="758"/>
      <c r="BJ703" s="758"/>
      <c r="BK703" s="758"/>
      <c r="BL703" s="759"/>
      <c r="BN703" s="758"/>
      <c r="BO703" s="758"/>
      <c r="BP703" s="758"/>
      <c r="BQ703" s="758"/>
      <c r="BR703" s="758"/>
      <c r="BS703" s="758"/>
      <c r="BT703" s="758"/>
      <c r="BU703" s="758"/>
      <c r="BV703" s="758"/>
      <c r="BW703" s="758"/>
      <c r="BX703" s="758"/>
      <c r="BY703" s="758"/>
      <c r="BZ703" s="791">
        <v>0</v>
      </c>
      <c r="CB703" s="758"/>
      <c r="CC703" s="758"/>
      <c r="CD703" s="758"/>
      <c r="CE703" s="758"/>
      <c r="CF703" s="758"/>
      <c r="CG703" s="758"/>
      <c r="CH703" s="758"/>
      <c r="CI703" s="758"/>
      <c r="CJ703" s="758"/>
      <c r="CK703" s="758"/>
      <c r="CL703" s="758"/>
      <c r="CM703" s="758"/>
      <c r="CN703" s="791">
        <v>0</v>
      </c>
      <c r="CO703" s="37"/>
      <c r="CP703" s="657">
        <v>14023800</v>
      </c>
      <c r="CQ703" s="657"/>
      <c r="CR703" s="528"/>
      <c r="CS703" s="657">
        <v>10068000</v>
      </c>
      <c r="CT703" s="528"/>
      <c r="CU703" s="657"/>
      <c r="CV703" s="528"/>
      <c r="CW703" s="657">
        <v>7463000</v>
      </c>
      <c r="CX703" s="528"/>
      <c r="CY703" s="657"/>
      <c r="CZ703" s="528"/>
      <c r="DA703" s="657">
        <v>14710000</v>
      </c>
      <c r="DB703" s="528"/>
      <c r="DC703" s="657">
        <v>0</v>
      </c>
      <c r="DD703" s="528"/>
      <c r="DE703" s="758"/>
      <c r="DF703" s="528"/>
      <c r="DG703" s="757"/>
      <c r="DH703" s="758"/>
      <c r="DI703" s="528"/>
      <c r="DJ703" s="757"/>
      <c r="DK703" s="758"/>
      <c r="DL703" s="528"/>
      <c r="DM703" s="757"/>
      <c r="DN703" s="758"/>
      <c r="DO703" s="528"/>
      <c r="DP703" s="757"/>
      <c r="DQ703" s="493">
        <f t="shared" si="401"/>
        <v>46264800</v>
      </c>
      <c r="DR703" s="479">
        <f t="shared" si="423"/>
        <v>24091800</v>
      </c>
      <c r="DS703" s="1020">
        <v>15000000</v>
      </c>
      <c r="DT703" s="1020">
        <v>15000000</v>
      </c>
      <c r="DU703" s="1020">
        <v>15000000</v>
      </c>
      <c r="DV703" s="1020">
        <v>15000000</v>
      </c>
      <c r="DW703" s="1020">
        <v>15000000</v>
      </c>
      <c r="DX703" s="1020">
        <v>15000000</v>
      </c>
      <c r="DY703" s="1020">
        <v>15000000</v>
      </c>
      <c r="DZ703" s="1020">
        <v>15000000</v>
      </c>
      <c r="EA703" s="1020">
        <v>15000000</v>
      </c>
      <c r="EB703" s="1020">
        <v>15000000</v>
      </c>
      <c r="EC703" s="1020">
        <v>15000000</v>
      </c>
      <c r="ED703" s="1020">
        <v>15000000</v>
      </c>
      <c r="EE703" s="1119">
        <f t="shared" si="400"/>
        <v>180000000</v>
      </c>
      <c r="EF703" s="443"/>
      <c r="EG703" s="443"/>
      <c r="EH703" s="443"/>
      <c r="EI703" s="443"/>
      <c r="EL703" s="177"/>
      <c r="EM703" s="177"/>
      <c r="EN703" s="177"/>
    </row>
    <row r="704" spans="1:144" outlineLevel="2">
      <c r="A704" s="367" t="s">
        <v>276</v>
      </c>
      <c r="B704" s="378"/>
      <c r="C704" s="370" t="s">
        <v>688</v>
      </c>
      <c r="D704" s="370" t="s">
        <v>40</v>
      </c>
      <c r="E704" s="383" t="s">
        <v>274</v>
      </c>
      <c r="F704" s="380">
        <v>3000011817</v>
      </c>
      <c r="G704" s="186"/>
      <c r="H704" s="26"/>
      <c r="I704" s="27"/>
      <c r="J704" s="185"/>
      <c r="K704" s="185"/>
      <c r="L704" s="185"/>
      <c r="M704" s="185"/>
      <c r="N704" s="185"/>
      <c r="O704" s="7"/>
      <c r="P704" s="7"/>
      <c r="Q704" s="7"/>
      <c r="R704" s="7"/>
      <c r="S704" s="14">
        <f>SUM(G704,H704,I704,J704,K704,L704,M704,N704,O704,P704,Q704,R704)</f>
        <v>0</v>
      </c>
      <c r="T704" s="179"/>
      <c r="U704" s="186"/>
      <c r="V704" s="26"/>
      <c r="W704" s="27"/>
      <c r="X704" s="185"/>
      <c r="Y704" s="185"/>
      <c r="Z704" s="185"/>
      <c r="AA704" s="185"/>
      <c r="AB704" s="185"/>
      <c r="AC704" s="7"/>
      <c r="AD704" s="7"/>
      <c r="AE704" s="7"/>
      <c r="AF704" s="7"/>
      <c r="AG704" s="759">
        <f>SUM(U704,V704,W704,X704,Y704,Z704,AA704,AB704,AC704,AD704,AE704,AF704)</f>
        <v>0</v>
      </c>
      <c r="AH704" s="811">
        <v>3000011817</v>
      </c>
      <c r="AI704" s="814">
        <v>76251600</v>
      </c>
      <c r="AJ704" s="824">
        <v>290849850</v>
      </c>
      <c r="AK704" s="858">
        <v>204623900</v>
      </c>
      <c r="AL704" s="758">
        <v>0</v>
      </c>
      <c r="AM704" s="758">
        <v>0</v>
      </c>
      <c r="AN704" s="758">
        <v>0</v>
      </c>
      <c r="AO704" s="758">
        <v>20000000</v>
      </c>
      <c r="AP704" s="758">
        <v>0</v>
      </c>
      <c r="AQ704" s="518">
        <v>0</v>
      </c>
      <c r="AR704" s="518"/>
      <c r="AS704" s="518"/>
      <c r="AT704" s="518"/>
      <c r="AU704" s="518">
        <f>BI704</f>
        <v>140000000</v>
      </c>
      <c r="AV704" s="518">
        <f>BJ704</f>
        <v>140000000</v>
      </c>
      <c r="AW704" s="518">
        <f>BK704</f>
        <v>140000000</v>
      </c>
      <c r="AX704" s="518">
        <f t="shared" si="418"/>
        <v>591725350</v>
      </c>
      <c r="AY704" s="811" t="e">
        <v>#N/A</v>
      </c>
      <c r="AZ704" s="814">
        <v>76251600</v>
      </c>
      <c r="BA704" s="824">
        <v>290849850</v>
      </c>
      <c r="BB704" s="858">
        <v>204623900</v>
      </c>
      <c r="BC704" s="758">
        <v>0</v>
      </c>
      <c r="BD704" s="758">
        <v>0</v>
      </c>
      <c r="BE704" s="758">
        <v>0</v>
      </c>
      <c r="BF704" s="758">
        <v>20000000</v>
      </c>
      <c r="BG704" s="518">
        <f>AP704</f>
        <v>0</v>
      </c>
      <c r="BH704" s="758">
        <v>140000000</v>
      </c>
      <c r="BI704" s="758">
        <v>140000000</v>
      </c>
      <c r="BJ704" s="758">
        <v>140000000</v>
      </c>
      <c r="BK704" s="758">
        <v>140000000</v>
      </c>
      <c r="BL704" s="759">
        <f>SUM(AZ704,BA704,BB704,BC704,BD704,BE704,BF704,BG704,BH704,BI704,BJ704,BK704)</f>
        <v>1151725350</v>
      </c>
      <c r="BN704" s="758">
        <v>20000000</v>
      </c>
      <c r="BO704" s="758">
        <v>20000000</v>
      </c>
      <c r="BP704" s="758">
        <v>20000000</v>
      </c>
      <c r="BQ704" s="758">
        <v>50000000</v>
      </c>
      <c r="BR704" s="758">
        <v>100000000</v>
      </c>
      <c r="BS704" s="758">
        <v>140000000</v>
      </c>
      <c r="BT704" s="758">
        <v>140000000</v>
      </c>
      <c r="BU704" s="758">
        <v>150000000</v>
      </c>
      <c r="BV704" s="758">
        <v>140000000</v>
      </c>
      <c r="BW704" s="758">
        <v>140000000</v>
      </c>
      <c r="BX704" s="758">
        <v>140000000</v>
      </c>
      <c r="BY704" s="758">
        <v>140000000</v>
      </c>
      <c r="BZ704" s="791">
        <v>1200000000</v>
      </c>
      <c r="CB704" s="758">
        <v>20000000</v>
      </c>
      <c r="CC704" s="758">
        <v>20000000</v>
      </c>
      <c r="CD704" s="758">
        <v>20000000</v>
      </c>
      <c r="CE704" s="758">
        <v>50000000</v>
      </c>
      <c r="CF704" s="758">
        <v>100000000</v>
      </c>
      <c r="CG704" s="758">
        <v>140000000</v>
      </c>
      <c r="CH704" s="758">
        <v>140000000</v>
      </c>
      <c r="CI704" s="758">
        <v>150000000</v>
      </c>
      <c r="CJ704" s="758">
        <v>140000000</v>
      </c>
      <c r="CK704" s="758">
        <v>140000000</v>
      </c>
      <c r="CL704" s="758">
        <v>140000000</v>
      </c>
      <c r="CM704" s="758">
        <v>140000000</v>
      </c>
      <c r="CN704" s="791">
        <v>1200000000</v>
      </c>
      <c r="CO704" s="37"/>
      <c r="CP704" s="657"/>
      <c r="CQ704" s="657">
        <v>130646250</v>
      </c>
      <c r="CR704" s="528"/>
      <c r="CS704" s="657">
        <v>8468500</v>
      </c>
      <c r="CT704" s="528">
        <v>14000000</v>
      </c>
      <c r="CU704" s="657"/>
      <c r="CV704" s="528"/>
      <c r="CW704" s="657">
        <v>186930000</v>
      </c>
      <c r="CX704" s="528">
        <v>45000000</v>
      </c>
      <c r="CY704" s="657">
        <v>83626375</v>
      </c>
      <c r="CZ704" s="528">
        <v>50000000</v>
      </c>
      <c r="DA704" s="657">
        <v>35585600</v>
      </c>
      <c r="DB704" s="528">
        <v>25000000</v>
      </c>
      <c r="DC704" s="657">
        <v>440289527</v>
      </c>
      <c r="DD704" s="528">
        <v>25000000</v>
      </c>
      <c r="DE704" s="758"/>
      <c r="DF704" s="528">
        <v>50000000</v>
      </c>
      <c r="DG704" s="757">
        <v>50000000</v>
      </c>
      <c r="DH704" s="758"/>
      <c r="DI704" s="528">
        <v>100000000</v>
      </c>
      <c r="DJ704" s="757">
        <v>100000000</v>
      </c>
      <c r="DK704" s="758"/>
      <c r="DL704" s="528">
        <v>100000000</v>
      </c>
      <c r="DM704" s="757">
        <v>100000000</v>
      </c>
      <c r="DN704" s="758"/>
      <c r="DO704" s="528">
        <v>50000000</v>
      </c>
      <c r="DP704" s="757">
        <v>50000000</v>
      </c>
      <c r="DQ704" s="493">
        <f t="shared" si="401"/>
        <v>1185546252</v>
      </c>
      <c r="DR704" s="479">
        <f t="shared" si="423"/>
        <v>584114750</v>
      </c>
      <c r="DS704" s="1020">
        <v>100000000</v>
      </c>
      <c r="DT704" s="1020">
        <v>50000000</v>
      </c>
      <c r="DU704" s="1020">
        <v>50000000</v>
      </c>
      <c r="DV704" s="1020">
        <v>50000000</v>
      </c>
      <c r="DW704" s="1020">
        <v>50000000</v>
      </c>
      <c r="DX704" s="1020">
        <v>50000000</v>
      </c>
      <c r="DY704" s="1020">
        <v>50000000</v>
      </c>
      <c r="DZ704" s="1020">
        <v>50000000</v>
      </c>
      <c r="EA704" s="1020">
        <v>50000000</v>
      </c>
      <c r="EB704" s="1020">
        <v>200000000</v>
      </c>
      <c r="EC704" s="1020">
        <v>200000000</v>
      </c>
      <c r="ED704" s="1020">
        <v>200000000</v>
      </c>
      <c r="EE704" s="1119">
        <f t="shared" si="400"/>
        <v>1100000000</v>
      </c>
      <c r="EF704" s="443">
        <f>EE704*1.17</f>
        <v>1287000000</v>
      </c>
      <c r="EG704" s="443">
        <f>EF704*1.08</f>
        <v>1389960000</v>
      </c>
      <c r="EH704" s="443">
        <f>EG704*1.09</f>
        <v>1515056400</v>
      </c>
      <c r="EI704" s="443">
        <f>EH704*1.09</f>
        <v>1651411476.0000002</v>
      </c>
      <c r="EJ704" s="367">
        <v>3000011817</v>
      </c>
      <c r="EL704" s="177"/>
      <c r="EM704" s="177"/>
      <c r="EN704" s="177"/>
    </row>
    <row r="705" spans="1:144" outlineLevel="2">
      <c r="A705" s="367" t="s">
        <v>194</v>
      </c>
      <c r="B705" s="378"/>
      <c r="C705" s="370" t="s">
        <v>688</v>
      </c>
      <c r="D705" s="370" t="s">
        <v>40</v>
      </c>
      <c r="E705" s="383" t="s">
        <v>884</v>
      </c>
      <c r="F705" s="380">
        <v>3000012218</v>
      </c>
      <c r="G705" s="196"/>
      <c r="H705" s="31"/>
      <c r="I705" s="185"/>
      <c r="J705" s="185"/>
      <c r="K705" s="185"/>
      <c r="L705" s="185"/>
      <c r="M705" s="185"/>
      <c r="N705" s="185"/>
      <c r="O705" s="7"/>
      <c r="P705" s="7"/>
      <c r="Q705" s="7"/>
      <c r="R705" s="7"/>
      <c r="S705" s="14"/>
      <c r="T705" s="179"/>
      <c r="U705" s="196"/>
      <c r="V705" s="31"/>
      <c r="W705" s="185"/>
      <c r="X705" s="185"/>
      <c r="Y705" s="185"/>
      <c r="Z705" s="185"/>
      <c r="AA705" s="185"/>
      <c r="AB705" s="185"/>
      <c r="AC705" s="7"/>
      <c r="AD705" s="7"/>
      <c r="AE705" s="7"/>
      <c r="AF705" s="7"/>
      <c r="AG705" s="759"/>
      <c r="AH705" s="811"/>
      <c r="AI705" s="485"/>
      <c r="AJ705" s="874"/>
      <c r="AK705" s="758"/>
      <c r="AL705" s="758"/>
      <c r="AM705" s="758"/>
      <c r="AN705" s="758"/>
      <c r="AO705" s="758"/>
      <c r="AP705" s="758"/>
      <c r="AQ705" s="518"/>
      <c r="AR705" s="6"/>
      <c r="AS705" s="813"/>
      <c r="AT705" s="813">
        <v>3344588</v>
      </c>
      <c r="AU705" s="518"/>
      <c r="AV705" s="518"/>
      <c r="AW705" s="518"/>
      <c r="AX705" s="518">
        <f t="shared" si="418"/>
        <v>3344588</v>
      </c>
      <c r="AY705" s="811"/>
      <c r="AZ705" s="485"/>
      <c r="BA705" s="874"/>
      <c r="BB705" s="758"/>
      <c r="BC705" s="758"/>
      <c r="BD705" s="758"/>
      <c r="BE705" s="758"/>
      <c r="BF705" s="758"/>
      <c r="BG705" s="518"/>
      <c r="BH705" s="758"/>
      <c r="BI705" s="758"/>
      <c r="BJ705" s="758"/>
      <c r="BK705" s="758"/>
      <c r="BL705" s="759"/>
      <c r="BN705" s="758"/>
      <c r="BO705" s="758"/>
      <c r="BP705" s="758"/>
      <c r="BQ705" s="758"/>
      <c r="BR705" s="758"/>
      <c r="BS705" s="758"/>
      <c r="BT705" s="758"/>
      <c r="BU705" s="758"/>
      <c r="BV705" s="758"/>
      <c r="BW705" s="758"/>
      <c r="BX705" s="758"/>
      <c r="BY705" s="758"/>
      <c r="BZ705" s="791">
        <v>0</v>
      </c>
      <c r="CB705" s="758"/>
      <c r="CC705" s="758"/>
      <c r="CD705" s="758"/>
      <c r="CE705" s="758"/>
      <c r="CF705" s="758"/>
      <c r="CG705" s="758"/>
      <c r="CH705" s="758"/>
      <c r="CI705" s="758"/>
      <c r="CJ705" s="758"/>
      <c r="CK705" s="758"/>
      <c r="CL705" s="758"/>
      <c r="CM705" s="758"/>
      <c r="CN705" s="791">
        <v>0</v>
      </c>
      <c r="CO705" s="37"/>
      <c r="CP705" s="657">
        <v>4895000</v>
      </c>
      <c r="CQ705" s="657"/>
      <c r="CR705" s="528">
        <v>5000000</v>
      </c>
      <c r="CS705" s="657"/>
      <c r="CT705" s="528">
        <v>5000000</v>
      </c>
      <c r="CU705" s="657"/>
      <c r="CV705" s="528" t="s">
        <v>615</v>
      </c>
      <c r="CW705" s="657"/>
      <c r="CX705" s="528" t="s">
        <v>615</v>
      </c>
      <c r="CY705" s="657"/>
      <c r="CZ705" s="528" t="s">
        <v>615</v>
      </c>
      <c r="DA705" s="657"/>
      <c r="DB705" s="528"/>
      <c r="DC705" s="657">
        <v>0</v>
      </c>
      <c r="DD705" s="528"/>
      <c r="DE705" s="759"/>
      <c r="DF705" s="528"/>
      <c r="DG705" s="757"/>
      <c r="DH705" s="759"/>
      <c r="DI705" s="528"/>
      <c r="DJ705" s="757"/>
      <c r="DK705" s="759"/>
      <c r="DL705" s="528"/>
      <c r="DM705" s="757"/>
      <c r="DN705" s="759"/>
      <c r="DO705" s="528"/>
      <c r="DP705" s="757"/>
      <c r="DQ705" s="493">
        <f t="shared" si="401"/>
        <v>4895000</v>
      </c>
      <c r="DR705" s="479">
        <f t="shared" si="423"/>
        <v>4895000</v>
      </c>
      <c r="DS705" s="1020"/>
      <c r="DT705" s="1020"/>
      <c r="DU705" s="1020"/>
      <c r="DV705" s="1020"/>
      <c r="DW705" s="1020"/>
      <c r="DX705" s="1020"/>
      <c r="DY705" s="1020"/>
      <c r="DZ705" s="1020"/>
      <c r="EA705" s="1020"/>
      <c r="EB705" s="1020"/>
      <c r="EC705" s="1020"/>
      <c r="ED705" s="1020"/>
      <c r="EE705" s="1119">
        <f t="shared" si="400"/>
        <v>0</v>
      </c>
      <c r="EF705" s="443"/>
      <c r="EG705" s="443"/>
      <c r="EH705" s="443"/>
      <c r="EI705" s="443"/>
      <c r="EL705" s="177"/>
      <c r="EM705" s="177"/>
      <c r="EN705" s="177"/>
    </row>
    <row r="706" spans="1:144" outlineLevel="2">
      <c r="A706" s="367" t="s">
        <v>194</v>
      </c>
      <c r="B706" s="378"/>
      <c r="C706" s="370" t="s">
        <v>688</v>
      </c>
      <c r="D706" s="370" t="s">
        <v>40</v>
      </c>
      <c r="E706" s="383" t="s">
        <v>885</v>
      </c>
      <c r="F706" s="380">
        <v>3000020060</v>
      </c>
      <c r="G706" s="196"/>
      <c r="H706" s="31"/>
      <c r="I706" s="185"/>
      <c r="J706" s="185"/>
      <c r="K706" s="185"/>
      <c r="L706" s="185"/>
      <c r="M706" s="185"/>
      <c r="N706" s="185"/>
      <c r="O706" s="7"/>
      <c r="P706" s="7"/>
      <c r="Q706" s="7"/>
      <c r="R706" s="7"/>
      <c r="S706" s="14">
        <f>SUM(G706,H706,I706,J706,K706,L706,M706,N706,O706,P706,Q706,R706)</f>
        <v>0</v>
      </c>
      <c r="T706" s="179"/>
      <c r="U706" s="196"/>
      <c r="V706" s="31"/>
      <c r="W706" s="185"/>
      <c r="X706" s="185"/>
      <c r="Y706" s="185"/>
      <c r="Z706" s="185"/>
      <c r="AA706" s="185"/>
      <c r="AB706" s="185"/>
      <c r="AC706" s="7"/>
      <c r="AD706" s="7"/>
      <c r="AE706" s="7"/>
      <c r="AF706" s="7"/>
      <c r="AG706" s="759">
        <f>SUM(U706,V706,W706,X706,Y706,Z706,AA706,AB706,AC706,AD706,AE706,AF706)</f>
        <v>0</v>
      </c>
      <c r="AH706" s="788" t="e">
        <v>#N/A</v>
      </c>
      <c r="AI706" s="485"/>
      <c r="AJ706" s="874"/>
      <c r="AK706" s="758"/>
      <c r="AL706" s="758"/>
      <c r="AM706" s="758"/>
      <c r="AN706" s="758"/>
      <c r="AO706" s="758"/>
      <c r="AP706" s="758"/>
      <c r="AQ706" s="518">
        <v>10224000</v>
      </c>
      <c r="AR706" s="518"/>
      <c r="AS706" s="518"/>
      <c r="AT706" s="518"/>
      <c r="AU706" s="518">
        <f t="shared" ref="AU706:AW709" si="424">BI706</f>
        <v>10000000</v>
      </c>
      <c r="AV706" s="518">
        <f t="shared" si="424"/>
        <v>10000000</v>
      </c>
      <c r="AW706" s="518">
        <f t="shared" si="424"/>
        <v>10000000</v>
      </c>
      <c r="AX706" s="518">
        <f t="shared" si="418"/>
        <v>10224000</v>
      </c>
      <c r="AY706" s="788" t="e">
        <v>#N/A</v>
      </c>
      <c r="AZ706" s="485"/>
      <c r="BA706" s="874"/>
      <c r="BB706" s="758"/>
      <c r="BC706" s="758"/>
      <c r="BD706" s="758"/>
      <c r="BE706" s="758"/>
      <c r="BF706" s="758"/>
      <c r="BG706" s="518">
        <f>AP706</f>
        <v>0</v>
      </c>
      <c r="BH706" s="758">
        <v>10000000</v>
      </c>
      <c r="BI706" s="758">
        <v>10000000</v>
      </c>
      <c r="BJ706" s="758">
        <v>10000000</v>
      </c>
      <c r="BK706" s="758">
        <v>10000000</v>
      </c>
      <c r="BL706" s="759">
        <f>SUM(AZ706,BA706,BB706,BC706,BD706,BE706,BF706,BG706,BH706,BI706,BJ706,BK706)</f>
        <v>40000000</v>
      </c>
      <c r="BN706" s="758">
        <v>5000000</v>
      </c>
      <c r="BO706" s="758">
        <v>5000000</v>
      </c>
      <c r="BP706" s="758">
        <v>5000000</v>
      </c>
      <c r="BQ706" s="758">
        <v>5000000</v>
      </c>
      <c r="BR706" s="758">
        <v>5000000</v>
      </c>
      <c r="BS706" s="758">
        <v>5000000</v>
      </c>
      <c r="BT706" s="758">
        <v>5000000</v>
      </c>
      <c r="BU706" s="758">
        <v>5000000</v>
      </c>
      <c r="BV706" s="758">
        <v>5000000</v>
      </c>
      <c r="BW706" s="758">
        <v>5000000</v>
      </c>
      <c r="BX706" s="758">
        <v>5000000</v>
      </c>
      <c r="BY706" s="758">
        <v>5000000</v>
      </c>
      <c r="BZ706" s="791">
        <v>60000000</v>
      </c>
      <c r="CB706" s="758">
        <v>5000000</v>
      </c>
      <c r="CC706" s="758">
        <v>5000000</v>
      </c>
      <c r="CD706" s="758">
        <v>5000000</v>
      </c>
      <c r="CE706" s="758">
        <v>5000000</v>
      </c>
      <c r="CF706" s="758">
        <v>5000000</v>
      </c>
      <c r="CG706" s="758">
        <v>5000000</v>
      </c>
      <c r="CH706" s="758">
        <v>5000000</v>
      </c>
      <c r="CI706" s="758">
        <v>5000000</v>
      </c>
      <c r="CJ706" s="758">
        <v>5000000</v>
      </c>
      <c r="CK706" s="758">
        <v>5000000</v>
      </c>
      <c r="CL706" s="758">
        <v>5000000</v>
      </c>
      <c r="CM706" s="758">
        <v>5000000</v>
      </c>
      <c r="CN706" s="791">
        <v>60000000</v>
      </c>
      <c r="CO706" s="37"/>
      <c r="CP706" s="657"/>
      <c r="CQ706" s="657"/>
      <c r="CR706" s="528"/>
      <c r="CS706" s="657"/>
      <c r="CT706" s="528"/>
      <c r="CU706" s="657"/>
      <c r="CV706" s="528"/>
      <c r="CW706" s="657"/>
      <c r="CX706" s="528"/>
      <c r="CY706" s="657"/>
      <c r="CZ706" s="528"/>
      <c r="DA706" s="657"/>
      <c r="DB706" s="528"/>
      <c r="DC706" s="657">
        <v>0</v>
      </c>
      <c r="DD706" s="528"/>
      <c r="DE706" s="758"/>
      <c r="DF706" s="528"/>
      <c r="DG706" s="757"/>
      <c r="DH706" s="758"/>
      <c r="DI706" s="528"/>
      <c r="DJ706" s="757"/>
      <c r="DK706" s="758"/>
      <c r="DL706" s="528"/>
      <c r="DM706" s="757"/>
      <c r="DN706" s="758"/>
      <c r="DO706" s="528"/>
      <c r="DP706" s="757"/>
      <c r="DQ706" s="493">
        <f t="shared" si="401"/>
        <v>0</v>
      </c>
      <c r="DR706" s="479">
        <f t="shared" si="423"/>
        <v>0</v>
      </c>
      <c r="DS706" s="1020"/>
      <c r="DT706" s="1020"/>
      <c r="DU706" s="1020"/>
      <c r="DV706" s="1020"/>
      <c r="DW706" s="1020"/>
      <c r="DX706" s="1020"/>
      <c r="DY706" s="1020"/>
      <c r="DZ706" s="1020"/>
      <c r="EA706" s="1020"/>
      <c r="EB706" s="1020"/>
      <c r="EC706" s="1020"/>
      <c r="ED706" s="1020"/>
      <c r="EE706" s="1119">
        <f t="shared" si="400"/>
        <v>0</v>
      </c>
      <c r="EF706" s="443">
        <v>85000000</v>
      </c>
      <c r="EG706" s="443">
        <v>90000000</v>
      </c>
      <c r="EH706" s="443">
        <v>100000000</v>
      </c>
      <c r="EI706" s="443">
        <v>100000000</v>
      </c>
      <c r="EJ706" s="367">
        <v>3000020060</v>
      </c>
      <c r="EL706" s="177"/>
      <c r="EM706" s="177"/>
      <c r="EN706" s="177"/>
    </row>
    <row r="707" spans="1:144" outlineLevel="2">
      <c r="A707" s="367" t="s">
        <v>194</v>
      </c>
      <c r="B707" s="378"/>
      <c r="C707" s="370" t="s">
        <v>688</v>
      </c>
      <c r="D707" s="370" t="s">
        <v>40</v>
      </c>
      <c r="E707" s="383" t="s">
        <v>203</v>
      </c>
      <c r="F707" s="380">
        <v>3000007677</v>
      </c>
      <c r="G707" s="196"/>
      <c r="H707" s="31"/>
      <c r="I707" s="27"/>
      <c r="J707" s="185"/>
      <c r="K707" s="185"/>
      <c r="L707" s="185"/>
      <c r="M707" s="185"/>
      <c r="N707" s="185"/>
      <c r="O707" s="7"/>
      <c r="P707" s="7"/>
      <c r="Q707" s="7"/>
      <c r="R707" s="7"/>
      <c r="S707" s="14">
        <f>SUM(G707,H707,I707,J707,K707,L707,M707,N707,O707,P707,Q707,R707)</f>
        <v>0</v>
      </c>
      <c r="T707" s="179"/>
      <c r="U707" s="196"/>
      <c r="V707" s="31"/>
      <c r="W707" s="27"/>
      <c r="X707" s="185"/>
      <c r="Y707" s="185"/>
      <c r="Z707" s="185"/>
      <c r="AA707" s="185"/>
      <c r="AB707" s="185"/>
      <c r="AC707" s="7"/>
      <c r="AD707" s="7"/>
      <c r="AE707" s="7"/>
      <c r="AF707" s="7"/>
      <c r="AG707" s="759">
        <f>SUM(U707,V707,W707,X707,Y707,Z707,AA707,AB707,AC707,AD707,AE707,AF707)</f>
        <v>0</v>
      </c>
      <c r="AH707" s="788">
        <v>3000007677</v>
      </c>
      <c r="AI707" s="485"/>
      <c r="AJ707" s="874">
        <v>26868400</v>
      </c>
      <c r="AK707" s="858">
        <v>18686400</v>
      </c>
      <c r="AL707" s="758">
        <v>8777600</v>
      </c>
      <c r="AM707" s="758">
        <v>21318400</v>
      </c>
      <c r="AN707" s="758">
        <v>20400000</v>
      </c>
      <c r="AO707" s="758">
        <v>29947200</v>
      </c>
      <c r="AP707" s="758">
        <v>6038400</v>
      </c>
      <c r="AQ707" s="518">
        <v>24561600</v>
      </c>
      <c r="AR707" s="813">
        <v>24072000</v>
      </c>
      <c r="AS707" s="813">
        <v>20644800</v>
      </c>
      <c r="AT707" s="813">
        <v>16728000</v>
      </c>
      <c r="AU707" s="518">
        <f t="shared" si="424"/>
        <v>20000000</v>
      </c>
      <c r="AV707" s="518">
        <f t="shared" si="424"/>
        <v>20000000</v>
      </c>
      <c r="AW707" s="518">
        <f t="shared" si="424"/>
        <v>20000000</v>
      </c>
      <c r="AX707" s="518">
        <f t="shared" si="418"/>
        <v>218042800</v>
      </c>
      <c r="AY707" s="788" t="e">
        <v>#N/A</v>
      </c>
      <c r="AZ707" s="485"/>
      <c r="BA707" s="874">
        <v>26868400</v>
      </c>
      <c r="BB707" s="858">
        <v>18686400</v>
      </c>
      <c r="BC707" s="758">
        <v>8777600</v>
      </c>
      <c r="BD707" s="758">
        <v>21318400</v>
      </c>
      <c r="BE707" s="758">
        <v>20400000</v>
      </c>
      <c r="BF707" s="758">
        <v>29947200</v>
      </c>
      <c r="BG707" s="518">
        <f>AP707</f>
        <v>6038400</v>
      </c>
      <c r="BH707" s="758">
        <v>20000000</v>
      </c>
      <c r="BI707" s="758">
        <v>20000000</v>
      </c>
      <c r="BJ707" s="758">
        <v>20000000</v>
      </c>
      <c r="BK707" s="758">
        <v>20000000</v>
      </c>
      <c r="BL707" s="759">
        <f>SUM(AZ707,BA707,BB707,BC707,BD707,BE707,BF707,BG707,BH707,BI707,BJ707,BK707)</f>
        <v>212036400</v>
      </c>
      <c r="BN707" s="758">
        <v>30000000</v>
      </c>
      <c r="BO707" s="758">
        <v>30000000</v>
      </c>
      <c r="BP707" s="758">
        <v>30000000</v>
      </c>
      <c r="BQ707" s="758">
        <v>30000000</v>
      </c>
      <c r="BR707" s="758">
        <v>20000000</v>
      </c>
      <c r="BS707" s="758">
        <v>30000000</v>
      </c>
      <c r="BT707" s="758">
        <v>30000000</v>
      </c>
      <c r="BU707" s="758">
        <v>30000000</v>
      </c>
      <c r="BV707" s="758">
        <v>30000000</v>
      </c>
      <c r="BW707" s="758">
        <v>30000000</v>
      </c>
      <c r="BX707" s="758">
        <v>30000000</v>
      </c>
      <c r="BY707" s="758">
        <v>30000000</v>
      </c>
      <c r="BZ707" s="791">
        <v>350000000</v>
      </c>
      <c r="CB707" s="758">
        <v>30000000</v>
      </c>
      <c r="CC707" s="758">
        <v>30000000</v>
      </c>
      <c r="CD707" s="758">
        <v>30000000</v>
      </c>
      <c r="CE707" s="758">
        <v>30000000</v>
      </c>
      <c r="CF707" s="758">
        <v>20000000</v>
      </c>
      <c r="CG707" s="758">
        <v>30000000</v>
      </c>
      <c r="CH707" s="758">
        <v>30000000</v>
      </c>
      <c r="CI707" s="758">
        <v>30000000</v>
      </c>
      <c r="CJ707" s="758">
        <v>30000000</v>
      </c>
      <c r="CK707" s="758">
        <v>30000000</v>
      </c>
      <c r="CL707" s="758">
        <v>30000000</v>
      </c>
      <c r="CM707" s="758">
        <v>30000000</v>
      </c>
      <c r="CN707" s="791">
        <v>350000000</v>
      </c>
      <c r="CO707" s="37"/>
      <c r="CP707" s="657">
        <v>19176000</v>
      </c>
      <c r="CQ707" s="657">
        <v>18686400</v>
      </c>
      <c r="CR707" s="528">
        <v>20000000</v>
      </c>
      <c r="CS707" s="657">
        <v>10036800</v>
      </c>
      <c r="CT707" s="528">
        <v>20000000</v>
      </c>
      <c r="CU707" s="657">
        <v>6854400</v>
      </c>
      <c r="CV707" s="528">
        <v>20000000</v>
      </c>
      <c r="CW707" s="657">
        <v>16728000</v>
      </c>
      <c r="CX707" s="528">
        <v>20000000</v>
      </c>
      <c r="CY707" s="657">
        <v>30681600</v>
      </c>
      <c r="CZ707" s="528">
        <v>20000000</v>
      </c>
      <c r="DA707" s="657">
        <v>9873600</v>
      </c>
      <c r="DB707" s="528">
        <v>20000000</v>
      </c>
      <c r="DC707" s="657">
        <v>0</v>
      </c>
      <c r="DD707" s="528">
        <v>20000000</v>
      </c>
      <c r="DE707" s="758"/>
      <c r="DF707" s="528">
        <v>20000000</v>
      </c>
      <c r="DG707" s="757">
        <v>20000000</v>
      </c>
      <c r="DH707" s="758"/>
      <c r="DI707" s="528">
        <v>20000000</v>
      </c>
      <c r="DJ707" s="757">
        <v>20000000</v>
      </c>
      <c r="DK707" s="758"/>
      <c r="DL707" s="528">
        <v>20000000</v>
      </c>
      <c r="DM707" s="757">
        <v>20000000</v>
      </c>
      <c r="DN707" s="758"/>
      <c r="DO707" s="528">
        <v>20000000</v>
      </c>
      <c r="DP707" s="757">
        <v>20000000</v>
      </c>
      <c r="DQ707" s="493">
        <f t="shared" si="401"/>
        <v>192036800</v>
      </c>
      <c r="DR707" s="479">
        <f t="shared" si="423"/>
        <v>214753600</v>
      </c>
      <c r="DS707" s="1020">
        <v>20000000</v>
      </c>
      <c r="DT707" s="1020">
        <v>20000000</v>
      </c>
      <c r="DU707" s="1020">
        <v>20000000</v>
      </c>
      <c r="DV707" s="1020">
        <v>20000000</v>
      </c>
      <c r="DW707" s="1020">
        <v>20000000</v>
      </c>
      <c r="DX707" s="1020">
        <v>20000000</v>
      </c>
      <c r="DY707" s="1020">
        <v>20000000</v>
      </c>
      <c r="DZ707" s="1020">
        <v>20000000</v>
      </c>
      <c r="EA707" s="1020">
        <v>20000000</v>
      </c>
      <c r="EB707" s="1020">
        <v>20000000</v>
      </c>
      <c r="EC707" s="1020">
        <v>20000000</v>
      </c>
      <c r="ED707" s="1020">
        <v>20000000</v>
      </c>
      <c r="EE707" s="1119">
        <f t="shared" si="400"/>
        <v>240000000</v>
      </c>
      <c r="EF707" s="443">
        <f>EE707*1.17</f>
        <v>280800000</v>
      </c>
      <c r="EG707" s="443">
        <f>EF707*1.08</f>
        <v>303264000</v>
      </c>
      <c r="EH707" s="443">
        <f t="shared" ref="EH707:EI710" si="425">EG707*1.09</f>
        <v>330557760</v>
      </c>
      <c r="EI707" s="443">
        <f t="shared" si="425"/>
        <v>360307958.40000004</v>
      </c>
      <c r="EJ707" s="367">
        <v>3000007677</v>
      </c>
      <c r="EL707" s="177"/>
      <c r="EM707" s="177"/>
      <c r="EN707" s="177"/>
    </row>
    <row r="708" spans="1:144" outlineLevel="2">
      <c r="A708" s="367" t="s">
        <v>196</v>
      </c>
      <c r="B708" s="378"/>
      <c r="C708" s="370" t="s">
        <v>688</v>
      </c>
      <c r="D708" s="370" t="s">
        <v>40</v>
      </c>
      <c r="E708" s="383" t="s">
        <v>100</v>
      </c>
      <c r="F708" s="380">
        <v>3000015283</v>
      </c>
      <c r="G708" s="186"/>
      <c r="H708" s="31"/>
      <c r="I708" s="27"/>
      <c r="J708" s="185"/>
      <c r="K708" s="185"/>
      <c r="L708" s="185"/>
      <c r="M708" s="185"/>
      <c r="N708" s="185"/>
      <c r="O708" s="7"/>
      <c r="P708" s="7"/>
      <c r="Q708" s="7"/>
      <c r="R708" s="7"/>
      <c r="S708" s="14">
        <f>SUM(G708,H708,I708,J708,K708,L708,M708,N708,O708,P708,Q708,R708)</f>
        <v>0</v>
      </c>
      <c r="T708" s="179"/>
      <c r="U708" s="186"/>
      <c r="V708" s="31"/>
      <c r="W708" s="27"/>
      <c r="X708" s="185"/>
      <c r="Y708" s="185"/>
      <c r="Z708" s="185"/>
      <c r="AA708" s="185"/>
      <c r="AB708" s="185"/>
      <c r="AC708" s="7"/>
      <c r="AD708" s="7"/>
      <c r="AE708" s="7"/>
      <c r="AF708" s="7"/>
      <c r="AG708" s="759">
        <f>SUM(U708,V708,W708,X708,Y708,Z708,AA708,AB708,AC708,AD708,AE708,AF708)</f>
        <v>0</v>
      </c>
      <c r="AH708" s="788">
        <v>3000015283</v>
      </c>
      <c r="AI708" s="814">
        <v>3085200</v>
      </c>
      <c r="AJ708" s="874">
        <v>2595600</v>
      </c>
      <c r="AK708" s="858">
        <v>3213200</v>
      </c>
      <c r="AL708" s="758">
        <v>0</v>
      </c>
      <c r="AM708" s="758">
        <v>2269200</v>
      </c>
      <c r="AN708" s="758">
        <v>0</v>
      </c>
      <c r="AO708" s="758">
        <v>0</v>
      </c>
      <c r="AP708" s="758">
        <v>0</v>
      </c>
      <c r="AQ708" s="518">
        <v>0</v>
      </c>
      <c r="AR708" s="518"/>
      <c r="AS708" s="518"/>
      <c r="AT708" s="518"/>
      <c r="AU708" s="518">
        <f t="shared" si="424"/>
        <v>3000000</v>
      </c>
      <c r="AV708" s="518">
        <f t="shared" si="424"/>
        <v>3000000</v>
      </c>
      <c r="AW708" s="518">
        <f t="shared" si="424"/>
        <v>3000000</v>
      </c>
      <c r="AX708" s="518">
        <f t="shared" si="418"/>
        <v>11163200</v>
      </c>
      <c r="AY708" s="788" t="e">
        <v>#N/A</v>
      </c>
      <c r="AZ708" s="814">
        <v>3085200</v>
      </c>
      <c r="BA708" s="874">
        <v>2595600</v>
      </c>
      <c r="BB708" s="858">
        <v>3213200</v>
      </c>
      <c r="BC708" s="758">
        <v>0</v>
      </c>
      <c r="BD708" s="758">
        <v>2269200</v>
      </c>
      <c r="BE708" s="758">
        <v>0</v>
      </c>
      <c r="BF708" s="758">
        <v>0</v>
      </c>
      <c r="BG708" s="518">
        <f>AP708</f>
        <v>0</v>
      </c>
      <c r="BH708" s="758">
        <v>3000000</v>
      </c>
      <c r="BI708" s="758">
        <v>3000000</v>
      </c>
      <c r="BJ708" s="758">
        <v>3000000</v>
      </c>
      <c r="BK708" s="758">
        <v>3000000</v>
      </c>
      <c r="BL708" s="759">
        <f>SUM(AZ708,BA708,BB708,BC708,BD708,BE708,BF708,BG708,BH708,BI708,BJ708,BK708)</f>
        <v>23163200</v>
      </c>
      <c r="BN708" s="485">
        <v>5000000</v>
      </c>
      <c r="BO708" s="758">
        <v>5000000</v>
      </c>
      <c r="BP708" s="758">
        <v>5000000</v>
      </c>
      <c r="BQ708" s="758">
        <v>5000000</v>
      </c>
      <c r="BR708" s="758">
        <v>5000000</v>
      </c>
      <c r="BS708" s="758">
        <v>5000000</v>
      </c>
      <c r="BT708" s="758">
        <v>5000000</v>
      </c>
      <c r="BU708" s="758">
        <v>5000000</v>
      </c>
      <c r="BV708" s="758">
        <v>5000000</v>
      </c>
      <c r="BW708" s="758">
        <v>5000000</v>
      </c>
      <c r="BX708" s="758">
        <v>5000000</v>
      </c>
      <c r="BY708" s="758">
        <v>5000000</v>
      </c>
      <c r="BZ708" s="791">
        <v>60000000</v>
      </c>
      <c r="CB708" s="485">
        <v>5000000</v>
      </c>
      <c r="CC708" s="758">
        <v>5000000</v>
      </c>
      <c r="CD708" s="758">
        <v>5000000</v>
      </c>
      <c r="CE708" s="758">
        <v>5000000</v>
      </c>
      <c r="CF708" s="758">
        <v>5000000</v>
      </c>
      <c r="CG708" s="758">
        <v>5000000</v>
      </c>
      <c r="CH708" s="758">
        <v>5000000</v>
      </c>
      <c r="CI708" s="758">
        <v>5000000</v>
      </c>
      <c r="CJ708" s="758">
        <v>5000000</v>
      </c>
      <c r="CK708" s="758">
        <v>5000000</v>
      </c>
      <c r="CL708" s="758">
        <v>5000000</v>
      </c>
      <c r="CM708" s="758">
        <v>5000000</v>
      </c>
      <c r="CN708" s="791">
        <v>60000000</v>
      </c>
      <c r="CO708" s="37"/>
      <c r="CP708" s="657"/>
      <c r="CQ708" s="657">
        <v>2269200</v>
      </c>
      <c r="CR708" s="528"/>
      <c r="CS708" s="657">
        <v>2106000</v>
      </c>
      <c r="CT708" s="528"/>
      <c r="CU708" s="657"/>
      <c r="CV708" s="528"/>
      <c r="CW708" s="657"/>
      <c r="CX708" s="528"/>
      <c r="CY708" s="657"/>
      <c r="CZ708" s="528"/>
      <c r="DA708" s="657"/>
      <c r="DB708" s="528"/>
      <c r="DC708" s="657">
        <v>0</v>
      </c>
      <c r="DD708" s="528"/>
      <c r="DE708" s="758"/>
      <c r="DF708" s="528"/>
      <c r="DG708" s="757"/>
      <c r="DH708" s="758"/>
      <c r="DI708" s="528"/>
      <c r="DJ708" s="757"/>
      <c r="DK708" s="758"/>
      <c r="DL708" s="528"/>
      <c r="DM708" s="757"/>
      <c r="DN708" s="758"/>
      <c r="DO708" s="528"/>
      <c r="DP708" s="757"/>
      <c r="DQ708" s="493">
        <f t="shared" si="401"/>
        <v>4375200</v>
      </c>
      <c r="DR708" s="479">
        <f t="shared" si="423"/>
        <v>4375200</v>
      </c>
      <c r="DS708" s="1020"/>
      <c r="DT708" s="1020"/>
      <c r="DU708" s="1020"/>
      <c r="DV708" s="1020"/>
      <c r="DW708" s="1020"/>
      <c r="DX708" s="1020"/>
      <c r="DY708" s="1020"/>
      <c r="DZ708" s="1020"/>
      <c r="EA708" s="1020"/>
      <c r="EB708" s="1020"/>
      <c r="EC708" s="1020"/>
      <c r="ED708" s="1020"/>
      <c r="EE708" s="1119">
        <f t="shared" si="400"/>
        <v>0</v>
      </c>
      <c r="EF708" s="443">
        <f>EE708*1.17</f>
        <v>0</v>
      </c>
      <c r="EG708" s="443">
        <f>EF708*1.08</f>
        <v>0</v>
      </c>
      <c r="EH708" s="443">
        <f t="shared" si="425"/>
        <v>0</v>
      </c>
      <c r="EI708" s="443">
        <f t="shared" si="425"/>
        <v>0</v>
      </c>
      <c r="EJ708" s="367">
        <v>3000015283</v>
      </c>
      <c r="EL708" s="177"/>
      <c r="EM708" s="177"/>
      <c r="EN708" s="177"/>
    </row>
    <row r="709" spans="1:144" outlineLevel="2">
      <c r="A709" s="367" t="s">
        <v>196</v>
      </c>
      <c r="B709" s="378"/>
      <c r="C709" s="370" t="s">
        <v>688</v>
      </c>
      <c r="D709" s="370" t="s">
        <v>40</v>
      </c>
      <c r="E709" s="383" t="s">
        <v>886</v>
      </c>
      <c r="F709" s="380">
        <v>3000019690</v>
      </c>
      <c r="G709" s="196"/>
      <c r="H709" s="31"/>
      <c r="I709" s="185"/>
      <c r="J709" s="185"/>
      <c r="K709" s="185"/>
      <c r="L709" s="185"/>
      <c r="M709" s="185"/>
      <c r="N709" s="185"/>
      <c r="O709" s="7"/>
      <c r="P709" s="7"/>
      <c r="Q709" s="7"/>
      <c r="R709" s="7"/>
      <c r="S709" s="14">
        <f>SUM(G709,H709,I709,J709,K709,L709,M709,N709,O709,P709,Q709,R709)</f>
        <v>0</v>
      </c>
      <c r="T709" s="179"/>
      <c r="U709" s="196"/>
      <c r="V709" s="31"/>
      <c r="W709" s="185"/>
      <c r="X709" s="185"/>
      <c r="Y709" s="185"/>
      <c r="Z709" s="185"/>
      <c r="AA709" s="185"/>
      <c r="AB709" s="185"/>
      <c r="AC709" s="7"/>
      <c r="AD709" s="7"/>
      <c r="AE709" s="7"/>
      <c r="AF709" s="7"/>
      <c r="AG709" s="759">
        <f>SUM(U709,V709,W709,X709,Y709,Z709,AA709,AB709,AC709,AD709,AE709,AF709)</f>
        <v>0</v>
      </c>
      <c r="AH709" s="788">
        <v>3000019690</v>
      </c>
      <c r="AI709" s="485"/>
      <c r="AJ709" s="874"/>
      <c r="AK709" s="758"/>
      <c r="AL709" s="758"/>
      <c r="AM709" s="758"/>
      <c r="AN709" s="758">
        <v>5295000</v>
      </c>
      <c r="AO709" s="758">
        <v>0</v>
      </c>
      <c r="AP709" s="758">
        <v>0</v>
      </c>
      <c r="AQ709" s="518">
        <v>0</v>
      </c>
      <c r="AR709" s="518"/>
      <c r="AS709" s="518"/>
      <c r="AT709" s="518"/>
      <c r="AU709" s="518">
        <f t="shared" si="424"/>
        <v>0</v>
      </c>
      <c r="AV709" s="518">
        <f t="shared" si="424"/>
        <v>0</v>
      </c>
      <c r="AW709" s="518">
        <f t="shared" si="424"/>
        <v>0</v>
      </c>
      <c r="AX709" s="518">
        <f t="shared" si="418"/>
        <v>5295000</v>
      </c>
      <c r="AY709" s="788">
        <v>0</v>
      </c>
      <c r="AZ709" s="485"/>
      <c r="BA709" s="874"/>
      <c r="BB709" s="758"/>
      <c r="BC709" s="758"/>
      <c r="BD709" s="758"/>
      <c r="BE709" s="758">
        <v>5295000</v>
      </c>
      <c r="BF709" s="758">
        <v>0</v>
      </c>
      <c r="BG709" s="518">
        <f>AP709</f>
        <v>0</v>
      </c>
      <c r="BH709" s="758">
        <v>0</v>
      </c>
      <c r="BI709" s="758">
        <v>0</v>
      </c>
      <c r="BJ709" s="758">
        <v>0</v>
      </c>
      <c r="BK709" s="758">
        <v>0</v>
      </c>
      <c r="BL709" s="759">
        <f>SUM(AZ709,BA709,BB709,BC709,BD709,BE709,BF709,BG709,BH709,BI709,BJ709,BK709)</f>
        <v>5295000</v>
      </c>
      <c r="BN709" s="485">
        <v>0</v>
      </c>
      <c r="BO709" s="758">
        <v>0</v>
      </c>
      <c r="BP709" s="758">
        <v>0</v>
      </c>
      <c r="BQ709" s="758">
        <v>0</v>
      </c>
      <c r="BR709" s="758">
        <v>0</v>
      </c>
      <c r="BS709" s="758">
        <v>0</v>
      </c>
      <c r="BT709" s="758">
        <v>0</v>
      </c>
      <c r="BU709" s="758">
        <v>0</v>
      </c>
      <c r="BV709" s="758">
        <v>0</v>
      </c>
      <c r="BW709" s="758">
        <v>0</v>
      </c>
      <c r="BX709" s="758">
        <v>0</v>
      </c>
      <c r="BY709" s="758">
        <v>0</v>
      </c>
      <c r="BZ709" s="791">
        <v>0</v>
      </c>
      <c r="CB709" s="485">
        <v>0</v>
      </c>
      <c r="CC709" s="758">
        <v>0</v>
      </c>
      <c r="CD709" s="758">
        <v>0</v>
      </c>
      <c r="CE709" s="758">
        <v>0</v>
      </c>
      <c r="CF709" s="758">
        <v>0</v>
      </c>
      <c r="CG709" s="758">
        <v>0</v>
      </c>
      <c r="CH709" s="758">
        <v>0</v>
      </c>
      <c r="CI709" s="758">
        <v>0</v>
      </c>
      <c r="CJ709" s="758">
        <v>0</v>
      </c>
      <c r="CK709" s="758">
        <v>0</v>
      </c>
      <c r="CL709" s="758">
        <v>0</v>
      </c>
      <c r="CM709" s="758">
        <v>0</v>
      </c>
      <c r="CN709" s="791">
        <v>0</v>
      </c>
      <c r="CO709" s="37"/>
      <c r="CP709" s="657"/>
      <c r="CQ709" s="657"/>
      <c r="CR709" s="528"/>
      <c r="CS709" s="657"/>
      <c r="CT709" s="528"/>
      <c r="CU709" s="657"/>
      <c r="CV709" s="528"/>
      <c r="CW709" s="657"/>
      <c r="CX709" s="528"/>
      <c r="CY709" s="657"/>
      <c r="CZ709" s="528"/>
      <c r="DA709" s="657"/>
      <c r="DB709" s="528"/>
      <c r="DC709" s="657">
        <v>0</v>
      </c>
      <c r="DD709" s="528"/>
      <c r="DE709" s="758"/>
      <c r="DF709" s="528"/>
      <c r="DG709" s="757"/>
      <c r="DH709" s="758"/>
      <c r="DI709" s="528"/>
      <c r="DJ709" s="757"/>
      <c r="DK709" s="758"/>
      <c r="DL709" s="528"/>
      <c r="DM709" s="757"/>
      <c r="DN709" s="758"/>
      <c r="DO709" s="528"/>
      <c r="DP709" s="757"/>
      <c r="DQ709" s="493">
        <f t="shared" si="401"/>
        <v>0</v>
      </c>
      <c r="DR709" s="479">
        <f t="shared" si="423"/>
        <v>0</v>
      </c>
      <c r="DS709" s="1020"/>
      <c r="DT709" s="1020"/>
      <c r="DU709" s="1020"/>
      <c r="DV709" s="1020"/>
      <c r="DW709" s="1020"/>
      <c r="DX709" s="1020"/>
      <c r="DY709" s="1020"/>
      <c r="DZ709" s="1020"/>
      <c r="EA709" s="1020"/>
      <c r="EB709" s="1020"/>
      <c r="EC709" s="1020"/>
      <c r="ED709" s="1020"/>
      <c r="EE709" s="1119">
        <f t="shared" si="400"/>
        <v>0</v>
      </c>
      <c r="EF709" s="443">
        <f>EE709*1.17</f>
        <v>0</v>
      </c>
      <c r="EG709" s="443">
        <f>EF709*1.08</f>
        <v>0</v>
      </c>
      <c r="EH709" s="443">
        <f t="shared" si="425"/>
        <v>0</v>
      </c>
      <c r="EI709" s="443">
        <f t="shared" si="425"/>
        <v>0</v>
      </c>
      <c r="EJ709" s="367">
        <v>3000019690</v>
      </c>
      <c r="EL709" s="177"/>
      <c r="EM709" s="177"/>
      <c r="EN709" s="177"/>
    </row>
    <row r="710" spans="1:144" outlineLevel="2">
      <c r="B710" s="378"/>
      <c r="C710" s="370" t="s">
        <v>688</v>
      </c>
      <c r="E710" s="383" t="s">
        <v>446</v>
      </c>
      <c r="F710" s="380">
        <v>3000005216</v>
      </c>
      <c r="G710" s="196"/>
      <c r="H710" s="31"/>
      <c r="I710" s="185"/>
      <c r="J710" s="185"/>
      <c r="K710" s="185"/>
      <c r="L710" s="185"/>
      <c r="M710" s="185"/>
      <c r="N710" s="185"/>
      <c r="O710" s="7"/>
      <c r="P710" s="7"/>
      <c r="Q710" s="7"/>
      <c r="R710" s="7"/>
      <c r="S710" s="14"/>
      <c r="T710" s="179"/>
      <c r="U710" s="196"/>
      <c r="V710" s="31"/>
      <c r="W710" s="185"/>
      <c r="X710" s="185"/>
      <c r="Y710" s="185"/>
      <c r="Z710" s="185"/>
      <c r="AA710" s="185"/>
      <c r="AB710" s="185"/>
      <c r="AC710" s="7"/>
      <c r="AD710" s="7"/>
      <c r="AE710" s="7"/>
      <c r="AF710" s="7"/>
      <c r="AG710" s="759"/>
      <c r="AH710" s="788"/>
      <c r="AI710" s="485"/>
      <c r="AJ710" s="874"/>
      <c r="AK710" s="758"/>
      <c r="AL710" s="758"/>
      <c r="AM710" s="758"/>
      <c r="AN710" s="758"/>
      <c r="AO710" s="758"/>
      <c r="AP710" s="758"/>
      <c r="AQ710" s="518"/>
      <c r="AR710" s="518"/>
      <c r="AS710" s="518"/>
      <c r="AT710" s="518"/>
      <c r="AU710" s="518"/>
      <c r="AV710" s="518"/>
      <c r="AW710" s="518"/>
      <c r="AX710" s="518">
        <f t="shared" si="418"/>
        <v>0</v>
      </c>
      <c r="AY710" s="788"/>
      <c r="AZ710" s="485"/>
      <c r="BA710" s="874"/>
      <c r="BB710" s="758"/>
      <c r="BC710" s="758"/>
      <c r="BD710" s="758"/>
      <c r="BE710" s="758"/>
      <c r="BF710" s="758"/>
      <c r="BG710" s="518"/>
      <c r="BH710" s="758"/>
      <c r="BI710" s="758"/>
      <c r="BJ710" s="758"/>
      <c r="BK710" s="758"/>
      <c r="BL710" s="759"/>
      <c r="BN710" s="485">
        <v>0</v>
      </c>
      <c r="BO710" s="758">
        <v>0</v>
      </c>
      <c r="BP710" s="758">
        <v>0</v>
      </c>
      <c r="BQ710" s="758">
        <v>0</v>
      </c>
      <c r="BR710" s="758">
        <v>0</v>
      </c>
      <c r="BS710" s="758">
        <v>0</v>
      </c>
      <c r="BT710" s="758">
        <v>0</v>
      </c>
      <c r="BU710" s="758">
        <v>0</v>
      </c>
      <c r="BV710" s="758">
        <v>0</v>
      </c>
      <c r="BW710" s="758">
        <v>0</v>
      </c>
      <c r="BX710" s="758">
        <v>0</v>
      </c>
      <c r="BY710" s="758">
        <v>0</v>
      </c>
      <c r="BZ710" s="791">
        <v>0</v>
      </c>
      <c r="CB710" s="485">
        <v>0</v>
      </c>
      <c r="CC710" s="758">
        <v>0</v>
      </c>
      <c r="CD710" s="758">
        <v>0</v>
      </c>
      <c r="CE710" s="758">
        <v>0</v>
      </c>
      <c r="CF710" s="758">
        <v>0</v>
      </c>
      <c r="CG710" s="758">
        <v>0</v>
      </c>
      <c r="CH710" s="758">
        <v>0</v>
      </c>
      <c r="CI710" s="758">
        <v>0</v>
      </c>
      <c r="CJ710" s="758">
        <v>0</v>
      </c>
      <c r="CK710" s="758">
        <v>0</v>
      </c>
      <c r="CL710" s="758">
        <v>0</v>
      </c>
      <c r="CM710" s="758">
        <v>0</v>
      </c>
      <c r="CN710" s="791">
        <v>0</v>
      </c>
      <c r="CO710" s="37"/>
      <c r="CP710" s="657"/>
      <c r="CQ710" s="657"/>
      <c r="CR710" s="528"/>
      <c r="CS710" s="657"/>
      <c r="CT710" s="528"/>
      <c r="CU710" s="657"/>
      <c r="CV710" s="528"/>
      <c r="CW710" s="657"/>
      <c r="CX710" s="528"/>
      <c r="CY710" s="657"/>
      <c r="CZ710" s="528"/>
      <c r="DA710" s="657"/>
      <c r="DB710" s="528"/>
      <c r="DC710" s="657">
        <v>0</v>
      </c>
      <c r="DD710" s="528"/>
      <c r="DE710" s="758"/>
      <c r="DF710" s="528"/>
      <c r="DG710" s="757"/>
      <c r="DH710" s="758"/>
      <c r="DI710" s="528"/>
      <c r="DJ710" s="757"/>
      <c r="DK710" s="758"/>
      <c r="DL710" s="528"/>
      <c r="DM710" s="757"/>
      <c r="DN710" s="758"/>
      <c r="DO710" s="528"/>
      <c r="DP710" s="757"/>
      <c r="DQ710" s="493">
        <f t="shared" si="401"/>
        <v>0</v>
      </c>
      <c r="DR710" s="479">
        <f t="shared" si="423"/>
        <v>0</v>
      </c>
      <c r="DS710" s="1020"/>
      <c r="DT710" s="1020"/>
      <c r="DU710" s="1020"/>
      <c r="DV710" s="1020"/>
      <c r="DW710" s="1020"/>
      <c r="DX710" s="1020"/>
      <c r="DY710" s="1020"/>
      <c r="DZ710" s="1020"/>
      <c r="EA710" s="1020"/>
      <c r="EB710" s="1020"/>
      <c r="EC710" s="1020"/>
      <c r="ED710" s="1020"/>
      <c r="EE710" s="1119">
        <f t="shared" si="400"/>
        <v>0</v>
      </c>
      <c r="EF710" s="443">
        <f>EE710*1.17</f>
        <v>0</v>
      </c>
      <c r="EG710" s="443">
        <f>EF710*1.08</f>
        <v>0</v>
      </c>
      <c r="EH710" s="443">
        <f t="shared" si="425"/>
        <v>0</v>
      </c>
      <c r="EI710" s="443">
        <f t="shared" si="425"/>
        <v>0</v>
      </c>
      <c r="EJ710" s="367">
        <v>3000005216</v>
      </c>
      <c r="EL710" s="177"/>
      <c r="EM710" s="177"/>
      <c r="EN710" s="177"/>
    </row>
    <row r="711" spans="1:144" outlineLevel="2">
      <c r="A711" s="433" t="s">
        <v>276</v>
      </c>
      <c r="B711" s="378"/>
      <c r="C711" s="370" t="s">
        <v>688</v>
      </c>
      <c r="E711" s="383" t="s">
        <v>887</v>
      </c>
      <c r="F711" s="380"/>
      <c r="G711" s="196"/>
      <c r="H711" s="31"/>
      <c r="I711" s="185"/>
      <c r="J711" s="185"/>
      <c r="K711" s="185"/>
      <c r="L711" s="185"/>
      <c r="M711" s="185"/>
      <c r="N711" s="185"/>
      <c r="O711" s="7"/>
      <c r="P711" s="7"/>
      <c r="Q711" s="7"/>
      <c r="R711" s="7"/>
      <c r="S711" s="14"/>
      <c r="T711" s="179"/>
      <c r="U711" s="196"/>
      <c r="V711" s="31"/>
      <c r="W711" s="185"/>
      <c r="X711" s="185"/>
      <c r="Y711" s="185"/>
      <c r="Z711" s="185"/>
      <c r="AA711" s="185"/>
      <c r="AB711" s="185"/>
      <c r="AC711" s="7"/>
      <c r="AD711" s="7"/>
      <c r="AE711" s="7"/>
      <c r="AF711" s="7"/>
      <c r="AG711" s="759"/>
      <c r="AH711" s="788"/>
      <c r="AI711" s="485"/>
      <c r="AJ711" s="874"/>
      <c r="AK711" s="758"/>
      <c r="AL711" s="758"/>
      <c r="AM711" s="758"/>
      <c r="AN711" s="758"/>
      <c r="AO711" s="758"/>
      <c r="AP711" s="758"/>
      <c r="AQ711" s="518"/>
      <c r="AR711" s="518"/>
      <c r="AS711" s="518"/>
      <c r="AT711" s="518"/>
      <c r="AU711" s="518"/>
      <c r="AV711" s="518"/>
      <c r="AW711" s="518"/>
      <c r="AX711" s="518">
        <f t="shared" si="418"/>
        <v>0</v>
      </c>
      <c r="AY711" s="788"/>
      <c r="AZ711" s="485"/>
      <c r="BA711" s="874"/>
      <c r="BB711" s="758"/>
      <c r="BC711" s="758"/>
      <c r="BD711" s="758"/>
      <c r="BE711" s="758"/>
      <c r="BF711" s="758"/>
      <c r="BG711" s="518"/>
      <c r="BH711" s="758"/>
      <c r="BI711" s="758"/>
      <c r="BJ711" s="758"/>
      <c r="BK711" s="758"/>
      <c r="BL711" s="759"/>
      <c r="BN711" s="485"/>
      <c r="BO711" s="758"/>
      <c r="BP711" s="758"/>
      <c r="BQ711" s="758"/>
      <c r="BR711" s="758"/>
      <c r="BS711" s="758"/>
      <c r="BT711" s="758"/>
      <c r="BU711" s="758"/>
      <c r="BV711" s="758"/>
      <c r="BW711" s="758"/>
      <c r="BX711" s="758"/>
      <c r="BY711" s="758"/>
      <c r="BZ711" s="791">
        <v>0</v>
      </c>
      <c r="CB711" s="485"/>
      <c r="CC711" s="758"/>
      <c r="CD711" s="758"/>
      <c r="CE711" s="758"/>
      <c r="CF711" s="758"/>
      <c r="CG711" s="758"/>
      <c r="CH711" s="758"/>
      <c r="CI711" s="758"/>
      <c r="CJ711" s="758"/>
      <c r="CK711" s="758"/>
      <c r="CL711" s="758"/>
      <c r="CM711" s="758"/>
      <c r="CN711" s="791">
        <v>0</v>
      </c>
      <c r="CO711" s="37"/>
      <c r="CP711" s="657"/>
      <c r="CQ711" s="657"/>
      <c r="CR711" s="528"/>
      <c r="CS711" s="657"/>
      <c r="CT711" s="528"/>
      <c r="CU711" s="657"/>
      <c r="CV711" s="528"/>
      <c r="CW711" s="657"/>
      <c r="CX711" s="528"/>
      <c r="CY711" s="657"/>
      <c r="CZ711" s="528"/>
      <c r="DA711" s="657"/>
      <c r="DB711" s="528"/>
      <c r="DC711" s="657">
        <v>0</v>
      </c>
      <c r="DD711" s="528"/>
      <c r="DE711" s="758"/>
      <c r="DF711" s="528"/>
      <c r="DG711" s="757"/>
      <c r="DH711" s="758"/>
      <c r="DI711" s="528"/>
      <c r="DJ711" s="757"/>
      <c r="DK711" s="758"/>
      <c r="DL711" s="528"/>
      <c r="DM711" s="757"/>
      <c r="DN711" s="758"/>
      <c r="DO711" s="528"/>
      <c r="DP711" s="757"/>
      <c r="DQ711" s="493">
        <f t="shared" si="401"/>
        <v>0</v>
      </c>
      <c r="DR711" s="479">
        <f t="shared" si="423"/>
        <v>0</v>
      </c>
      <c r="DS711" s="1020"/>
      <c r="DT711" s="1020"/>
      <c r="DU711" s="1020"/>
      <c r="DV711" s="1020"/>
      <c r="DW711" s="1020"/>
      <c r="DX711" s="1020"/>
      <c r="DY711" s="1020"/>
      <c r="DZ711" s="1020"/>
      <c r="EA711" s="1020"/>
      <c r="EB711" s="1020"/>
      <c r="EC711" s="1020"/>
      <c r="ED711" s="1020"/>
      <c r="EE711" s="1119">
        <f t="shared" si="400"/>
        <v>0</v>
      </c>
      <c r="EF711" s="443">
        <v>240000000</v>
      </c>
      <c r="EG711" s="443">
        <v>1000000000</v>
      </c>
      <c r="EH711" s="443">
        <f>EG711*1.5</f>
        <v>1500000000</v>
      </c>
      <c r="EI711" s="443">
        <f>EH711*1.5</f>
        <v>2250000000</v>
      </c>
      <c r="EL711" s="177"/>
      <c r="EM711" s="177"/>
      <c r="EN711" s="177"/>
    </row>
    <row r="712" spans="1:144" outlineLevel="2">
      <c r="A712" s="367" t="s">
        <v>194</v>
      </c>
      <c r="B712" s="378"/>
      <c r="C712" s="370" t="s">
        <v>688</v>
      </c>
      <c r="D712" s="370" t="s">
        <v>40</v>
      </c>
      <c r="E712" s="383" t="s">
        <v>888</v>
      </c>
      <c r="F712" s="380">
        <v>3000005420</v>
      </c>
      <c r="G712" s="196"/>
      <c r="H712" s="31"/>
      <c r="I712" s="185"/>
      <c r="J712" s="185"/>
      <c r="K712" s="185"/>
      <c r="L712" s="185"/>
      <c r="M712" s="185"/>
      <c r="N712" s="185"/>
      <c r="O712" s="7"/>
      <c r="P712" s="7"/>
      <c r="Q712" s="7"/>
      <c r="R712" s="7"/>
      <c r="S712" s="14">
        <f>SUM(G712,H712,I712,J712,K712,L712,M712,N712,O712,P712,Q712,R712)</f>
        <v>0</v>
      </c>
      <c r="T712" s="179"/>
      <c r="U712" s="196"/>
      <c r="V712" s="31"/>
      <c r="W712" s="185"/>
      <c r="X712" s="185"/>
      <c r="Y712" s="185"/>
      <c r="Z712" s="185"/>
      <c r="AA712" s="185"/>
      <c r="AB712" s="185"/>
      <c r="AC712" s="7"/>
      <c r="AD712" s="7"/>
      <c r="AE712" s="7"/>
      <c r="AF712" s="7"/>
      <c r="AG712" s="759">
        <f>SUM(U712,V712,W712,X712,Y712,Z712,AA712,AB712,AC712,AD712,AE712,AF712)</f>
        <v>0</v>
      </c>
      <c r="AH712" s="788">
        <v>3000005420</v>
      </c>
      <c r="AI712" s="485"/>
      <c r="AJ712" s="874"/>
      <c r="AK712" s="758"/>
      <c r="AL712" s="758"/>
      <c r="AM712" s="758"/>
      <c r="AN712" s="758"/>
      <c r="AO712" s="758">
        <v>38250000</v>
      </c>
      <c r="AP712" s="758">
        <v>0</v>
      </c>
      <c r="AQ712" s="518">
        <v>114750000</v>
      </c>
      <c r="AR712" s="813">
        <v>0</v>
      </c>
      <c r="AS712" s="813">
        <v>0</v>
      </c>
      <c r="AT712" s="813">
        <v>76500000</v>
      </c>
      <c r="AU712" s="518">
        <f t="shared" ref="AU712:AW713" si="426">BI712</f>
        <v>0</v>
      </c>
      <c r="AV712" s="518">
        <f t="shared" si="426"/>
        <v>0</v>
      </c>
      <c r="AW712" s="518">
        <f t="shared" si="426"/>
        <v>0</v>
      </c>
      <c r="AX712" s="518">
        <f t="shared" si="418"/>
        <v>229500000</v>
      </c>
      <c r="AY712" s="788">
        <v>0</v>
      </c>
      <c r="AZ712" s="485"/>
      <c r="BA712" s="874"/>
      <c r="BB712" s="758"/>
      <c r="BC712" s="758"/>
      <c r="BD712" s="758"/>
      <c r="BE712" s="758"/>
      <c r="BF712" s="758">
        <v>38250000</v>
      </c>
      <c r="BG712" s="518">
        <f>AP712</f>
        <v>0</v>
      </c>
      <c r="BH712" s="758">
        <v>0</v>
      </c>
      <c r="BI712" s="758">
        <v>0</v>
      </c>
      <c r="BJ712" s="758">
        <v>0</v>
      </c>
      <c r="BK712" s="758">
        <v>0</v>
      </c>
      <c r="BL712" s="759">
        <f>SUM(AZ712,BA712,BB712,BC712,BD712,BE712,BF712,BG712,BH712,BI712,BJ712,BK712)</f>
        <v>38250000</v>
      </c>
      <c r="BN712" s="485">
        <v>0</v>
      </c>
      <c r="BO712" s="758">
        <v>0</v>
      </c>
      <c r="BP712" s="758">
        <v>0</v>
      </c>
      <c r="BQ712" s="758">
        <v>0</v>
      </c>
      <c r="BR712" s="758">
        <v>0</v>
      </c>
      <c r="BS712" s="758">
        <v>0</v>
      </c>
      <c r="BT712" s="758">
        <v>0</v>
      </c>
      <c r="BU712" s="758">
        <v>0</v>
      </c>
      <c r="BV712" s="758">
        <v>0</v>
      </c>
      <c r="BW712" s="758">
        <v>0</v>
      </c>
      <c r="BX712" s="758">
        <v>0</v>
      </c>
      <c r="BY712" s="758">
        <v>0</v>
      </c>
      <c r="BZ712" s="791">
        <v>0</v>
      </c>
      <c r="CB712" s="485">
        <v>0</v>
      </c>
      <c r="CC712" s="758">
        <v>0</v>
      </c>
      <c r="CD712" s="758">
        <v>0</v>
      </c>
      <c r="CE712" s="758">
        <v>0</v>
      </c>
      <c r="CF712" s="758">
        <v>0</v>
      </c>
      <c r="CG712" s="758">
        <v>0</v>
      </c>
      <c r="CH712" s="758">
        <v>0</v>
      </c>
      <c r="CI712" s="758">
        <v>0</v>
      </c>
      <c r="CJ712" s="758">
        <v>0</v>
      </c>
      <c r="CK712" s="758">
        <v>0</v>
      </c>
      <c r="CL712" s="758">
        <v>0</v>
      </c>
      <c r="CM712" s="758">
        <v>0</v>
      </c>
      <c r="CN712" s="791">
        <v>0</v>
      </c>
      <c r="CO712" s="37"/>
      <c r="CP712" s="657"/>
      <c r="CQ712" s="657"/>
      <c r="CR712" s="528"/>
      <c r="CS712" s="657"/>
      <c r="CT712" s="528"/>
      <c r="CU712" s="657"/>
      <c r="CV712" s="528"/>
      <c r="CW712" s="657"/>
      <c r="CX712" s="528"/>
      <c r="CY712" s="657"/>
      <c r="CZ712" s="528"/>
      <c r="DA712" s="657"/>
      <c r="DB712" s="528"/>
      <c r="DC712" s="657">
        <v>0</v>
      </c>
      <c r="DD712" s="528"/>
      <c r="DE712" s="758"/>
      <c r="DF712" s="528"/>
      <c r="DG712" s="757"/>
      <c r="DH712" s="758"/>
      <c r="DI712" s="528"/>
      <c r="DJ712" s="757"/>
      <c r="DK712" s="758"/>
      <c r="DL712" s="528"/>
      <c r="DM712" s="757"/>
      <c r="DN712" s="758"/>
      <c r="DO712" s="528"/>
      <c r="DP712" s="757"/>
      <c r="DQ712" s="493">
        <f t="shared" si="401"/>
        <v>0</v>
      </c>
      <c r="DR712" s="479">
        <f t="shared" si="423"/>
        <v>0</v>
      </c>
      <c r="DS712" s="1020"/>
      <c r="DT712" s="1020"/>
      <c r="DU712" s="1020"/>
      <c r="DV712" s="1020"/>
      <c r="DW712" s="1020"/>
      <c r="DX712" s="1020"/>
      <c r="DY712" s="1020"/>
      <c r="DZ712" s="1020"/>
      <c r="EA712" s="1020"/>
      <c r="EB712" s="1020"/>
      <c r="EC712" s="1020"/>
      <c r="ED712" s="1020"/>
      <c r="EE712" s="1119">
        <f t="shared" si="400"/>
        <v>0</v>
      </c>
      <c r="EF712" s="443">
        <f>EE712*1.17</f>
        <v>0</v>
      </c>
      <c r="EG712" s="443">
        <f>EF712*1.08</f>
        <v>0</v>
      </c>
      <c r="EH712" s="443">
        <f>EG712*1.09</f>
        <v>0</v>
      </c>
      <c r="EI712" s="443">
        <f>EH712*1.09</f>
        <v>0</v>
      </c>
      <c r="EJ712" s="367">
        <v>3000005420</v>
      </c>
      <c r="EL712" s="177"/>
      <c r="EM712" s="177"/>
      <c r="EN712" s="177"/>
    </row>
    <row r="713" spans="1:144" outlineLevel="2">
      <c r="A713" s="433" t="s">
        <v>196</v>
      </c>
      <c r="B713" s="378"/>
      <c r="C713" s="370" t="s">
        <v>688</v>
      </c>
      <c r="D713" s="370" t="s">
        <v>40</v>
      </c>
      <c r="E713" s="383" t="s">
        <v>103</v>
      </c>
      <c r="F713" s="380">
        <v>3000009257</v>
      </c>
      <c r="G713" s="196"/>
      <c r="H713" s="31"/>
      <c r="I713" s="185"/>
      <c r="J713" s="185"/>
      <c r="K713" s="185"/>
      <c r="L713" s="185"/>
      <c r="M713" s="185"/>
      <c r="N713" s="185"/>
      <c r="O713" s="7"/>
      <c r="P713" s="7"/>
      <c r="Q713" s="7"/>
      <c r="R713" s="7"/>
      <c r="S713" s="14">
        <f>SUM(G713,H713,I713,J713,K713,L713,M713,N713,O713,P713,Q713,R713)</f>
        <v>0</v>
      </c>
      <c r="T713" s="179"/>
      <c r="U713" s="196"/>
      <c r="V713" s="31"/>
      <c r="W713" s="185"/>
      <c r="X713" s="185"/>
      <c r="Y713" s="185"/>
      <c r="Z713" s="185"/>
      <c r="AA713" s="185"/>
      <c r="AB713" s="185"/>
      <c r="AC713" s="7"/>
      <c r="AD713" s="7"/>
      <c r="AE713" s="7"/>
      <c r="AF713" s="7"/>
      <c r="AG713" s="759">
        <f>SUM(U713,V713,W713,X713,Y713,Z713,AA713,AB713,AC713,AD713,AE713,AF713)</f>
        <v>0</v>
      </c>
      <c r="AH713" s="788" t="e">
        <v>#N/A</v>
      </c>
      <c r="AI713" s="485"/>
      <c r="AJ713" s="874"/>
      <c r="AK713" s="758"/>
      <c r="AL713" s="758"/>
      <c r="AM713" s="758"/>
      <c r="AN713" s="758"/>
      <c r="AO713" s="758"/>
      <c r="AP713" s="758">
        <v>0</v>
      </c>
      <c r="AQ713" s="518">
        <v>0</v>
      </c>
      <c r="AR713" s="518"/>
      <c r="AS713" s="518"/>
      <c r="AT713" s="518"/>
      <c r="AU713" s="518">
        <f t="shared" si="426"/>
        <v>0</v>
      </c>
      <c r="AV713" s="518">
        <f t="shared" si="426"/>
        <v>0</v>
      </c>
      <c r="AW713" s="518">
        <f t="shared" si="426"/>
        <v>0</v>
      </c>
      <c r="AX713" s="518">
        <f t="shared" si="418"/>
        <v>0</v>
      </c>
      <c r="AY713" s="788">
        <v>0</v>
      </c>
      <c r="AZ713" s="485"/>
      <c r="BA713" s="874"/>
      <c r="BB713" s="758"/>
      <c r="BC713" s="758"/>
      <c r="BD713" s="758"/>
      <c r="BE713" s="758"/>
      <c r="BF713" s="758"/>
      <c r="BG713" s="518">
        <f>AP713</f>
        <v>0</v>
      </c>
      <c r="BH713" s="758">
        <v>0</v>
      </c>
      <c r="BI713" s="758">
        <v>0</v>
      </c>
      <c r="BJ713" s="758">
        <v>0</v>
      </c>
      <c r="BK713" s="758">
        <v>0</v>
      </c>
      <c r="BL713" s="759">
        <f>SUM(AZ713,BA713,BB713,BC713,BD713,BE713,BF713,BG713,BH713,BI713,BJ713,BK713)</f>
        <v>0</v>
      </c>
      <c r="BN713" s="485">
        <v>1150000000</v>
      </c>
      <c r="BO713" s="758">
        <v>1150000000</v>
      </c>
      <c r="BP713" s="758">
        <v>1150000000</v>
      </c>
      <c r="BQ713" s="758">
        <v>1150000000</v>
      </c>
      <c r="BR713" s="758">
        <v>1150000000</v>
      </c>
      <c r="BS713" s="758">
        <v>1150000000</v>
      </c>
      <c r="BT713" s="758">
        <v>1150000000</v>
      </c>
      <c r="BU713" s="758">
        <v>1150000000</v>
      </c>
      <c r="BV713" s="758">
        <v>1150000000</v>
      </c>
      <c r="BW713" s="758">
        <v>1150000000</v>
      </c>
      <c r="BX713" s="758">
        <v>1150000000</v>
      </c>
      <c r="BY713" s="758">
        <v>1150000000</v>
      </c>
      <c r="BZ713" s="791">
        <v>13800000000</v>
      </c>
      <c r="CB713" s="485">
        <v>1150000000</v>
      </c>
      <c r="CC713" s="758">
        <v>1150000000</v>
      </c>
      <c r="CD713" s="758">
        <v>1150000000</v>
      </c>
      <c r="CE713" s="758">
        <v>1150000000</v>
      </c>
      <c r="CF713" s="758">
        <v>1150000000</v>
      </c>
      <c r="CG713" s="758">
        <v>1150000000</v>
      </c>
      <c r="CH713" s="758">
        <v>1150000000</v>
      </c>
      <c r="CI713" s="758">
        <v>1150000000</v>
      </c>
      <c r="CJ713" s="758">
        <v>1150000000</v>
      </c>
      <c r="CK713" s="758">
        <v>1150000000</v>
      </c>
      <c r="CL713" s="758">
        <v>1150000000</v>
      </c>
      <c r="CM713" s="758">
        <v>1150000000</v>
      </c>
      <c r="CN713" s="791">
        <v>13800000000</v>
      </c>
      <c r="CO713" s="37"/>
      <c r="CP713" s="657">
        <v>714011980</v>
      </c>
      <c r="CQ713" s="657">
        <v>703770600</v>
      </c>
      <c r="CR713" s="528">
        <v>700000000</v>
      </c>
      <c r="CS713" s="657">
        <v>627074340</v>
      </c>
      <c r="CT713" s="528">
        <v>714000000</v>
      </c>
      <c r="CU713" s="657">
        <v>23278100</v>
      </c>
      <c r="CV713" s="528">
        <v>1000000000</v>
      </c>
      <c r="CW713" s="657">
        <v>952895791</v>
      </c>
      <c r="CX713" s="528">
        <v>2399000000</v>
      </c>
      <c r="CY713" s="657">
        <v>2028179600</v>
      </c>
      <c r="CZ713" s="528">
        <v>2488176000</v>
      </c>
      <c r="DA713" s="657">
        <v>2448936763</v>
      </c>
      <c r="DB713" s="528">
        <v>834996000</v>
      </c>
      <c r="DC713" s="657">
        <v>5095499744</v>
      </c>
      <c r="DD713" s="528">
        <v>1071298000</v>
      </c>
      <c r="DE713" s="759"/>
      <c r="DF713" s="528">
        <v>598694000</v>
      </c>
      <c r="DG713" s="757">
        <v>598694000</v>
      </c>
      <c r="DH713" s="759"/>
      <c r="DI713" s="528">
        <v>519304000</v>
      </c>
      <c r="DJ713" s="757">
        <v>519304000</v>
      </c>
      <c r="DK713" s="759"/>
      <c r="DL713" s="528">
        <v>46700000</v>
      </c>
      <c r="DM713" s="757">
        <v>46700000</v>
      </c>
      <c r="DN713" s="759"/>
      <c r="DO713" s="528">
        <v>46700000</v>
      </c>
      <c r="DP713" s="757">
        <v>46700000</v>
      </c>
      <c r="DQ713" s="493">
        <f t="shared" si="401"/>
        <v>13805044918</v>
      </c>
      <c r="DR713" s="479">
        <f t="shared" si="423"/>
        <v>10073003020</v>
      </c>
      <c r="DS713" s="1020">
        <v>972916667</v>
      </c>
      <c r="DT713" s="1020">
        <v>972916667</v>
      </c>
      <c r="DU713" s="1020">
        <v>972916667</v>
      </c>
      <c r="DV713" s="1020">
        <v>972916667</v>
      </c>
      <c r="DW713" s="1020">
        <v>972916667</v>
      </c>
      <c r="DX713" s="1020">
        <v>972916667</v>
      </c>
      <c r="DY713" s="1020">
        <v>972916667</v>
      </c>
      <c r="DZ713" s="1020">
        <v>972916667</v>
      </c>
      <c r="EA713" s="1020">
        <v>972916667</v>
      </c>
      <c r="EB713" s="1020">
        <v>972916667</v>
      </c>
      <c r="EC713" s="1020">
        <v>972916667</v>
      </c>
      <c r="ED713" s="1020">
        <v>972916667</v>
      </c>
      <c r="EE713" s="1119">
        <f t="shared" si="400"/>
        <v>11675000004</v>
      </c>
      <c r="EF713" s="453">
        <f>(EE713*1.17)-75432075.0831385</f>
        <v>13584317929.596859</v>
      </c>
      <c r="EG713" s="453">
        <f>20926000000-238839627.754161</f>
        <v>20687160372.245838</v>
      </c>
      <c r="EH713" s="453">
        <f>22809000000+1812691.73744119</f>
        <v>22810812691.737442</v>
      </c>
      <c r="EI713" s="453">
        <f>22809000000+1812691.73744119</f>
        <v>22810812691.737442</v>
      </c>
      <c r="EJ713" s="367">
        <v>3000009257</v>
      </c>
      <c r="EL713" s="177">
        <v>1</v>
      </c>
      <c r="EM713" s="177"/>
      <c r="EN713" s="177"/>
    </row>
    <row r="714" spans="1:144" outlineLevel="2">
      <c r="A714" s="367" t="s">
        <v>196</v>
      </c>
      <c r="B714" s="378"/>
      <c r="C714" s="370" t="s">
        <v>688</v>
      </c>
      <c r="D714" s="370" t="s">
        <v>40</v>
      </c>
      <c r="E714" s="383" t="s">
        <v>889</v>
      </c>
      <c r="F714" s="380">
        <v>3000011074</v>
      </c>
      <c r="G714" s="196"/>
      <c r="H714" s="31"/>
      <c r="I714" s="185"/>
      <c r="J714" s="185"/>
      <c r="K714" s="185"/>
      <c r="L714" s="185"/>
      <c r="M714" s="185"/>
      <c r="N714" s="185"/>
      <c r="O714" s="7"/>
      <c r="P714" s="7"/>
      <c r="Q714" s="7"/>
      <c r="R714" s="7"/>
      <c r="S714" s="14"/>
      <c r="T714" s="179"/>
      <c r="U714" s="196"/>
      <c r="V714" s="31"/>
      <c r="W714" s="185"/>
      <c r="X714" s="185"/>
      <c r="Y714" s="185"/>
      <c r="Z714" s="185"/>
      <c r="AA714" s="185"/>
      <c r="AB714" s="185"/>
      <c r="AC714" s="7"/>
      <c r="AD714" s="7"/>
      <c r="AE714" s="7"/>
      <c r="AF714" s="7"/>
      <c r="AG714" s="759"/>
      <c r="AH714" s="788"/>
      <c r="AI714" s="485"/>
      <c r="AJ714" s="874"/>
      <c r="AK714" s="758"/>
      <c r="AL714" s="758"/>
      <c r="AM714" s="758"/>
      <c r="AN714" s="758"/>
      <c r="AO714" s="758"/>
      <c r="AP714" s="758"/>
      <c r="AQ714" s="518"/>
      <c r="AR714" s="6"/>
      <c r="AS714" s="813"/>
      <c r="AT714" s="813">
        <v>800000</v>
      </c>
      <c r="AU714" s="518"/>
      <c r="AV714" s="518"/>
      <c r="AW714" s="518"/>
      <c r="AX714" s="518">
        <f t="shared" si="418"/>
        <v>800000</v>
      </c>
      <c r="AY714" s="788"/>
      <c r="AZ714" s="485"/>
      <c r="BA714" s="874"/>
      <c r="BB714" s="758"/>
      <c r="BC714" s="758"/>
      <c r="BD714" s="758"/>
      <c r="BE714" s="758"/>
      <c r="BF714" s="758"/>
      <c r="BG714" s="518"/>
      <c r="BH714" s="758"/>
      <c r="BI714" s="758"/>
      <c r="BJ714" s="758"/>
      <c r="BK714" s="758"/>
      <c r="BL714" s="759"/>
      <c r="BN714" s="485"/>
      <c r="BO714" s="758"/>
      <c r="BP714" s="758"/>
      <c r="BQ714" s="758"/>
      <c r="BR714" s="758"/>
      <c r="BS714" s="758"/>
      <c r="BT714" s="758"/>
      <c r="BU714" s="758"/>
      <c r="BV714" s="758"/>
      <c r="BW714" s="758"/>
      <c r="BX714" s="758"/>
      <c r="BY714" s="758"/>
      <c r="BZ714" s="791">
        <v>0</v>
      </c>
      <c r="CB714" s="485"/>
      <c r="CC714" s="758"/>
      <c r="CD714" s="758"/>
      <c r="CE714" s="758"/>
      <c r="CF714" s="758"/>
      <c r="CG714" s="758"/>
      <c r="CH714" s="758"/>
      <c r="CI714" s="758"/>
      <c r="CJ714" s="758"/>
      <c r="CK714" s="758"/>
      <c r="CL714" s="758"/>
      <c r="CM714" s="758"/>
      <c r="CN714" s="791">
        <v>0</v>
      </c>
      <c r="CO714" s="37"/>
      <c r="CP714" s="657">
        <v>18348820</v>
      </c>
      <c r="CQ714" s="657"/>
      <c r="CR714" s="528">
        <v>18000000</v>
      </c>
      <c r="CS714" s="657"/>
      <c r="CT714" s="528">
        <v>18000000</v>
      </c>
      <c r="CU714" s="657"/>
      <c r="CV714" s="528">
        <v>20000000</v>
      </c>
      <c r="CW714" s="657"/>
      <c r="CX714" s="528">
        <v>15000000</v>
      </c>
      <c r="CY714" s="657"/>
      <c r="CZ714" s="528">
        <v>18000000</v>
      </c>
      <c r="DA714" s="657"/>
      <c r="DB714" s="528">
        <v>15000000</v>
      </c>
      <c r="DC714" s="657">
        <v>0</v>
      </c>
      <c r="DD714" s="528">
        <v>15000000</v>
      </c>
      <c r="DE714" s="758"/>
      <c r="DF714" s="528">
        <v>15000000</v>
      </c>
      <c r="DG714" s="757">
        <v>15000000</v>
      </c>
      <c r="DH714" s="758"/>
      <c r="DI714" s="528">
        <v>15000000</v>
      </c>
      <c r="DJ714" s="757">
        <v>15000000</v>
      </c>
      <c r="DK714" s="758"/>
      <c r="DL714" s="528">
        <v>15000000</v>
      </c>
      <c r="DM714" s="757">
        <v>15000000</v>
      </c>
      <c r="DN714" s="758"/>
      <c r="DO714" s="528">
        <v>15000000</v>
      </c>
      <c r="DP714" s="757">
        <v>15000000</v>
      </c>
      <c r="DQ714" s="493">
        <f t="shared" si="401"/>
        <v>78348820</v>
      </c>
      <c r="DR714" s="479">
        <f t="shared" si="423"/>
        <v>141348820</v>
      </c>
      <c r="DS714" s="1020"/>
      <c r="DT714" s="1020"/>
      <c r="DU714" s="1020"/>
      <c r="DV714" s="1020"/>
      <c r="DW714" s="1020"/>
      <c r="DX714" s="1020"/>
      <c r="DY714" s="1020"/>
      <c r="DZ714" s="1020"/>
      <c r="EA714" s="1020"/>
      <c r="EB714" s="1020"/>
      <c r="EC714" s="1020"/>
      <c r="ED714" s="1020"/>
      <c r="EE714" s="1119">
        <f t="shared" si="400"/>
        <v>0</v>
      </c>
      <c r="EF714" s="443"/>
      <c r="EG714" s="443"/>
      <c r="EH714" s="443"/>
      <c r="EI714" s="443"/>
      <c r="EL714" s="177"/>
      <c r="EM714" s="177"/>
      <c r="EN714" s="177"/>
    </row>
    <row r="715" spans="1:144" outlineLevel="2">
      <c r="A715" s="367" t="s">
        <v>196</v>
      </c>
      <c r="B715" s="378"/>
      <c r="C715" s="370" t="s">
        <v>688</v>
      </c>
      <c r="D715" s="370" t="s">
        <v>40</v>
      </c>
      <c r="E715" s="383" t="s">
        <v>890</v>
      </c>
      <c r="F715" s="380">
        <v>3000019649</v>
      </c>
      <c r="G715" s="196"/>
      <c r="H715" s="31"/>
      <c r="I715" s="185"/>
      <c r="J715" s="185"/>
      <c r="K715" s="185"/>
      <c r="L715" s="185"/>
      <c r="M715" s="185"/>
      <c r="N715" s="185"/>
      <c r="O715" s="7"/>
      <c r="P715" s="7"/>
      <c r="Q715" s="7"/>
      <c r="R715" s="7"/>
      <c r="S715" s="14">
        <f>SUM(G715,H715,I715,J715,K715,L715,M715,N715,O715,P715,Q715,R715)</f>
        <v>0</v>
      </c>
      <c r="T715" s="179"/>
      <c r="U715" s="196"/>
      <c r="V715" s="31"/>
      <c r="W715" s="185"/>
      <c r="X715" s="185"/>
      <c r="Y715" s="185"/>
      <c r="Z715" s="185"/>
      <c r="AA715" s="185"/>
      <c r="AB715" s="185"/>
      <c r="AC715" s="7"/>
      <c r="AD715" s="7"/>
      <c r="AE715" s="7"/>
      <c r="AF715" s="7"/>
      <c r="AG715" s="759">
        <f>SUM(U715,V715,W715,X715,Y715,Z715,AA715,AB715,AC715,AD715,AE715,AF715)</f>
        <v>0</v>
      </c>
      <c r="AH715" s="788">
        <v>3000019649</v>
      </c>
      <c r="AI715" s="485"/>
      <c r="AJ715" s="874"/>
      <c r="AK715" s="758"/>
      <c r="AL715" s="758">
        <v>1467990</v>
      </c>
      <c r="AM715" s="758">
        <v>0</v>
      </c>
      <c r="AN715" s="758">
        <v>1290240</v>
      </c>
      <c r="AO715" s="758">
        <v>0</v>
      </c>
      <c r="AP715" s="758">
        <v>0</v>
      </c>
      <c r="AQ715" s="518">
        <v>0</v>
      </c>
      <c r="AR715" s="518"/>
      <c r="AS715" s="518"/>
      <c r="AT715" s="518"/>
      <c r="AU715" s="518">
        <f t="shared" ref="AU715:AW718" si="427">BI715</f>
        <v>0</v>
      </c>
      <c r="AV715" s="518">
        <f t="shared" si="427"/>
        <v>0</v>
      </c>
      <c r="AW715" s="518">
        <f t="shared" si="427"/>
        <v>0</v>
      </c>
      <c r="AX715" s="518">
        <f t="shared" si="418"/>
        <v>2758230</v>
      </c>
      <c r="AY715" s="788">
        <v>0</v>
      </c>
      <c r="AZ715" s="485"/>
      <c r="BA715" s="874"/>
      <c r="BB715" s="758"/>
      <c r="BC715" s="758">
        <v>1467990</v>
      </c>
      <c r="BD715" s="758">
        <v>0</v>
      </c>
      <c r="BE715" s="758">
        <v>1290240</v>
      </c>
      <c r="BF715" s="758">
        <v>0</v>
      </c>
      <c r="BG715" s="518">
        <f>AP715</f>
        <v>0</v>
      </c>
      <c r="BH715" s="758">
        <v>0</v>
      </c>
      <c r="BI715" s="758">
        <v>0</v>
      </c>
      <c r="BJ715" s="758">
        <v>0</v>
      </c>
      <c r="BK715" s="758">
        <v>0</v>
      </c>
      <c r="BL715" s="759">
        <f>SUM(AZ715,BA715,BB715,BC715,BD715,BE715,BF715,BG715,BH715,BI715,BJ715,BK715)</f>
        <v>2758230</v>
      </c>
      <c r="BN715" s="485">
        <v>0</v>
      </c>
      <c r="BO715" s="758">
        <v>0</v>
      </c>
      <c r="BP715" s="758">
        <v>0</v>
      </c>
      <c r="BQ715" s="758">
        <v>0</v>
      </c>
      <c r="BR715" s="758">
        <v>0</v>
      </c>
      <c r="BS715" s="758">
        <v>0</v>
      </c>
      <c r="BT715" s="758">
        <v>0</v>
      </c>
      <c r="BU715" s="758">
        <v>0</v>
      </c>
      <c r="BV715" s="758">
        <v>0</v>
      </c>
      <c r="BW715" s="758">
        <v>0</v>
      </c>
      <c r="BX715" s="758">
        <v>0</v>
      </c>
      <c r="BY715" s="758">
        <v>0</v>
      </c>
      <c r="BZ715" s="791">
        <v>0</v>
      </c>
      <c r="CB715" s="485">
        <v>0</v>
      </c>
      <c r="CC715" s="758">
        <v>0</v>
      </c>
      <c r="CD715" s="758">
        <v>0</v>
      </c>
      <c r="CE715" s="758">
        <v>0</v>
      </c>
      <c r="CF715" s="758">
        <v>0</v>
      </c>
      <c r="CG715" s="758">
        <v>0</v>
      </c>
      <c r="CH715" s="758">
        <v>0</v>
      </c>
      <c r="CI715" s="758">
        <v>0</v>
      </c>
      <c r="CJ715" s="758">
        <v>0</v>
      </c>
      <c r="CK715" s="758">
        <v>0</v>
      </c>
      <c r="CL715" s="758">
        <v>0</v>
      </c>
      <c r="CM715" s="758">
        <v>0</v>
      </c>
      <c r="CN715" s="791">
        <v>0</v>
      </c>
      <c r="CO715" s="37"/>
      <c r="CP715" s="657"/>
      <c r="CQ715" s="657"/>
      <c r="CR715" s="528"/>
      <c r="CS715" s="657"/>
      <c r="CT715" s="528"/>
      <c r="CU715" s="657"/>
      <c r="CV715" s="528"/>
      <c r="CW715" s="657"/>
      <c r="CX715" s="528"/>
      <c r="CY715" s="657"/>
      <c r="CZ715" s="528"/>
      <c r="DA715" s="657"/>
      <c r="DB715" s="528"/>
      <c r="DC715" s="657">
        <v>0</v>
      </c>
      <c r="DD715" s="528"/>
      <c r="DE715" s="758"/>
      <c r="DF715" s="528"/>
      <c r="DG715" s="757"/>
      <c r="DH715" s="758"/>
      <c r="DI715" s="528"/>
      <c r="DJ715" s="757"/>
      <c r="DK715" s="758"/>
      <c r="DL715" s="528"/>
      <c r="DM715" s="757"/>
      <c r="DN715" s="758"/>
      <c r="DO715" s="528"/>
      <c r="DP715" s="757"/>
      <c r="DQ715" s="493">
        <f t="shared" si="401"/>
        <v>0</v>
      </c>
      <c r="DR715" s="479">
        <f t="shared" si="423"/>
        <v>0</v>
      </c>
      <c r="DS715" s="1020"/>
      <c r="DT715" s="1020"/>
      <c r="DU715" s="1020"/>
      <c r="DV715" s="1020"/>
      <c r="DW715" s="1020"/>
      <c r="DX715" s="1020"/>
      <c r="DY715" s="1020"/>
      <c r="DZ715" s="1020"/>
      <c r="EA715" s="1020"/>
      <c r="EB715" s="1020"/>
      <c r="EC715" s="1020"/>
      <c r="ED715" s="1020"/>
      <c r="EE715" s="1119">
        <f t="shared" si="400"/>
        <v>0</v>
      </c>
      <c r="EF715" s="443">
        <f>EE715*1.17</f>
        <v>0</v>
      </c>
      <c r="EG715" s="443">
        <f>EF715*1.08</f>
        <v>0</v>
      </c>
      <c r="EH715" s="443">
        <f t="shared" ref="EH715:EI718" si="428">EG715*1.09</f>
        <v>0</v>
      </c>
      <c r="EI715" s="443">
        <f t="shared" si="428"/>
        <v>0</v>
      </c>
      <c r="EJ715" s="367">
        <v>3000019649</v>
      </c>
      <c r="EL715" s="177"/>
      <c r="EM715" s="177"/>
      <c r="EN715" s="177"/>
    </row>
    <row r="716" spans="1:144" outlineLevel="2">
      <c r="A716" s="367" t="s">
        <v>196</v>
      </c>
      <c r="B716" s="378"/>
      <c r="C716" s="370" t="s">
        <v>688</v>
      </c>
      <c r="D716" s="370" t="s">
        <v>40</v>
      </c>
      <c r="E716" s="383" t="s">
        <v>891</v>
      </c>
      <c r="F716" s="380">
        <v>3000006009</v>
      </c>
      <c r="G716" s="196"/>
      <c r="H716" s="31"/>
      <c r="I716" s="185"/>
      <c r="J716" s="185"/>
      <c r="K716" s="185"/>
      <c r="L716" s="185"/>
      <c r="M716" s="185"/>
      <c r="N716" s="185"/>
      <c r="O716" s="7"/>
      <c r="P716" s="7"/>
      <c r="Q716" s="7"/>
      <c r="R716" s="7"/>
      <c r="S716" s="14">
        <f>SUM(G716,H716,I716,J716,K716,L716,M716,N716,O716,P716,Q716,R716)</f>
        <v>0</v>
      </c>
      <c r="T716" s="179"/>
      <c r="U716" s="196"/>
      <c r="V716" s="31"/>
      <c r="W716" s="185"/>
      <c r="X716" s="185"/>
      <c r="Y716" s="185"/>
      <c r="Z716" s="185"/>
      <c r="AA716" s="185"/>
      <c r="AB716" s="185"/>
      <c r="AC716" s="7"/>
      <c r="AD716" s="7"/>
      <c r="AE716" s="7"/>
      <c r="AF716" s="7"/>
      <c r="AG716" s="759">
        <f>SUM(U716,V716,W716,X716,Y716,Z716,AA716,AB716,AC716,AD716,AE716,AF716)</f>
        <v>0</v>
      </c>
      <c r="AH716" s="788">
        <v>3000006009</v>
      </c>
      <c r="AI716" s="485"/>
      <c r="AJ716" s="874"/>
      <c r="AK716" s="758"/>
      <c r="AL716" s="758">
        <v>1484550</v>
      </c>
      <c r="AM716" s="758">
        <v>0</v>
      </c>
      <c r="AN716" s="758">
        <v>0</v>
      </c>
      <c r="AO716" s="758">
        <v>0</v>
      </c>
      <c r="AP716" s="758">
        <v>0</v>
      </c>
      <c r="AQ716" s="518">
        <v>0</v>
      </c>
      <c r="AR716" s="518"/>
      <c r="AS716" s="518"/>
      <c r="AT716" s="518"/>
      <c r="AU716" s="518">
        <f t="shared" si="427"/>
        <v>0</v>
      </c>
      <c r="AV716" s="518">
        <f t="shared" si="427"/>
        <v>0</v>
      </c>
      <c r="AW716" s="518">
        <f t="shared" si="427"/>
        <v>0</v>
      </c>
      <c r="AX716" s="518">
        <f t="shared" si="418"/>
        <v>1484550</v>
      </c>
      <c r="AY716" s="788">
        <v>0</v>
      </c>
      <c r="AZ716" s="485"/>
      <c r="BA716" s="874"/>
      <c r="BB716" s="758"/>
      <c r="BC716" s="758">
        <v>1484550</v>
      </c>
      <c r="BD716" s="758">
        <v>0</v>
      </c>
      <c r="BE716" s="758">
        <v>0</v>
      </c>
      <c r="BF716" s="758">
        <v>0</v>
      </c>
      <c r="BG716" s="518">
        <f>AP716</f>
        <v>0</v>
      </c>
      <c r="BH716" s="758">
        <v>0</v>
      </c>
      <c r="BI716" s="758">
        <v>0</v>
      </c>
      <c r="BJ716" s="758">
        <v>0</v>
      </c>
      <c r="BK716" s="758">
        <v>0</v>
      </c>
      <c r="BL716" s="759">
        <f>SUM(AZ716,BA716,BB716,BC716,BD716,BE716,BF716,BG716,BH716,BI716,BJ716,BK716)</f>
        <v>1484550</v>
      </c>
      <c r="BN716" s="485">
        <v>0</v>
      </c>
      <c r="BO716" s="758">
        <v>0</v>
      </c>
      <c r="BP716" s="758">
        <v>0</v>
      </c>
      <c r="BQ716" s="758">
        <v>0</v>
      </c>
      <c r="BR716" s="758">
        <v>0</v>
      </c>
      <c r="BS716" s="758">
        <v>0</v>
      </c>
      <c r="BT716" s="758">
        <v>0</v>
      </c>
      <c r="BU716" s="758">
        <v>0</v>
      </c>
      <c r="BV716" s="758">
        <v>0</v>
      </c>
      <c r="BW716" s="758">
        <v>0</v>
      </c>
      <c r="BX716" s="758">
        <v>0</v>
      </c>
      <c r="BY716" s="758">
        <v>0</v>
      </c>
      <c r="BZ716" s="791">
        <v>0</v>
      </c>
      <c r="CB716" s="485">
        <v>0</v>
      </c>
      <c r="CC716" s="758">
        <v>0</v>
      </c>
      <c r="CD716" s="758">
        <v>0</v>
      </c>
      <c r="CE716" s="758">
        <v>0</v>
      </c>
      <c r="CF716" s="758">
        <v>0</v>
      </c>
      <c r="CG716" s="758">
        <v>0</v>
      </c>
      <c r="CH716" s="758">
        <v>0</v>
      </c>
      <c r="CI716" s="758">
        <v>0</v>
      </c>
      <c r="CJ716" s="758">
        <v>0</v>
      </c>
      <c r="CK716" s="758">
        <v>0</v>
      </c>
      <c r="CL716" s="758">
        <v>0</v>
      </c>
      <c r="CM716" s="758">
        <v>0</v>
      </c>
      <c r="CN716" s="791">
        <v>0</v>
      </c>
      <c r="CO716" s="37"/>
      <c r="CP716" s="657"/>
      <c r="CQ716" s="657"/>
      <c r="CR716" s="528"/>
      <c r="CS716" s="657"/>
      <c r="CT716" s="528"/>
      <c r="CU716" s="657"/>
      <c r="CV716" s="528"/>
      <c r="CW716" s="657"/>
      <c r="CX716" s="528"/>
      <c r="CY716" s="657"/>
      <c r="CZ716" s="528"/>
      <c r="DA716" s="657"/>
      <c r="DB716" s="528"/>
      <c r="DC716" s="657">
        <v>0</v>
      </c>
      <c r="DD716" s="528"/>
      <c r="DE716" s="758"/>
      <c r="DF716" s="528"/>
      <c r="DG716" s="757"/>
      <c r="DH716" s="758"/>
      <c r="DI716" s="528"/>
      <c r="DJ716" s="757"/>
      <c r="DK716" s="758"/>
      <c r="DL716" s="528"/>
      <c r="DM716" s="757"/>
      <c r="DN716" s="758"/>
      <c r="DO716" s="528"/>
      <c r="DP716" s="757"/>
      <c r="DQ716" s="493">
        <f t="shared" si="401"/>
        <v>0</v>
      </c>
      <c r="DR716" s="479">
        <f t="shared" si="423"/>
        <v>0</v>
      </c>
      <c r="DS716" s="1020"/>
      <c r="DT716" s="1020"/>
      <c r="DU716" s="1020"/>
      <c r="DV716" s="1020"/>
      <c r="DW716" s="1020"/>
      <c r="DX716" s="1020"/>
      <c r="DY716" s="1020"/>
      <c r="DZ716" s="1020"/>
      <c r="EA716" s="1020"/>
      <c r="EB716" s="1020"/>
      <c r="EC716" s="1020"/>
      <c r="ED716" s="1020"/>
      <c r="EE716" s="1119">
        <f t="shared" si="400"/>
        <v>0</v>
      </c>
      <c r="EF716" s="443">
        <f>EE716*1.17</f>
        <v>0</v>
      </c>
      <c r="EG716" s="443">
        <f>EF716*1.08</f>
        <v>0</v>
      </c>
      <c r="EH716" s="443">
        <f t="shared" si="428"/>
        <v>0</v>
      </c>
      <c r="EI716" s="443">
        <f t="shared" si="428"/>
        <v>0</v>
      </c>
      <c r="EJ716" s="367">
        <v>3000006009</v>
      </c>
      <c r="EL716" s="177"/>
      <c r="EM716" s="177"/>
      <c r="EN716" s="177"/>
    </row>
    <row r="717" spans="1:144" outlineLevel="2">
      <c r="A717" s="367" t="s">
        <v>196</v>
      </c>
      <c r="B717" s="378"/>
      <c r="C717" s="370" t="s">
        <v>688</v>
      </c>
      <c r="D717" s="370" t="s">
        <v>40</v>
      </c>
      <c r="E717" s="383" t="s">
        <v>892</v>
      </c>
      <c r="F717" s="380">
        <v>3000019914</v>
      </c>
      <c r="G717" s="196"/>
      <c r="H717" s="31"/>
      <c r="I717" s="185"/>
      <c r="J717" s="185"/>
      <c r="K717" s="185"/>
      <c r="L717" s="185"/>
      <c r="M717" s="185"/>
      <c r="N717" s="185"/>
      <c r="O717" s="7"/>
      <c r="P717" s="7"/>
      <c r="Q717" s="7"/>
      <c r="R717" s="7"/>
      <c r="S717" s="14">
        <f>SUM(G717,H717,I717,J717,K717,L717,M717,N717,O717,P717,Q717,R717)</f>
        <v>0</v>
      </c>
      <c r="T717" s="179"/>
      <c r="U717" s="196"/>
      <c r="V717" s="31"/>
      <c r="W717" s="185"/>
      <c r="X717" s="185"/>
      <c r="Y717" s="185"/>
      <c r="Z717" s="185"/>
      <c r="AA717" s="185"/>
      <c r="AB717" s="185"/>
      <c r="AC717" s="7"/>
      <c r="AD717" s="7"/>
      <c r="AE717" s="7"/>
      <c r="AF717" s="7"/>
      <c r="AG717" s="759">
        <f>SUM(U717,V717,W717,X717,Y717,Z717,AA717,AB717,AC717,AD717,AE717,AF717)</f>
        <v>0</v>
      </c>
      <c r="AH717" s="788">
        <v>3000019914</v>
      </c>
      <c r="AI717" s="485"/>
      <c r="AJ717" s="874"/>
      <c r="AK717" s="758"/>
      <c r="AL717" s="758"/>
      <c r="AM717" s="758"/>
      <c r="AN717" s="758"/>
      <c r="AO717" s="758">
        <v>500000</v>
      </c>
      <c r="AP717" s="758">
        <v>500000</v>
      </c>
      <c r="AQ717" s="518">
        <v>0</v>
      </c>
      <c r="AR717" s="813">
        <v>500000</v>
      </c>
      <c r="AS717" s="813">
        <v>0</v>
      </c>
      <c r="AT717" s="813">
        <v>0</v>
      </c>
      <c r="AU717" s="518">
        <f t="shared" si="427"/>
        <v>2000000</v>
      </c>
      <c r="AV717" s="518">
        <f t="shared" si="427"/>
        <v>2000000</v>
      </c>
      <c r="AW717" s="518">
        <f t="shared" si="427"/>
        <v>2000000</v>
      </c>
      <c r="AX717" s="518">
        <f t="shared" si="418"/>
        <v>1500000</v>
      </c>
      <c r="AY717" s="788" t="e">
        <v>#N/A</v>
      </c>
      <c r="AZ717" s="485"/>
      <c r="BA717" s="874"/>
      <c r="BB717" s="758"/>
      <c r="BC717" s="758"/>
      <c r="BD717" s="758"/>
      <c r="BE717" s="758"/>
      <c r="BF717" s="758">
        <v>500000</v>
      </c>
      <c r="BG717" s="518">
        <f>AP717</f>
        <v>500000</v>
      </c>
      <c r="BH717" s="758">
        <v>2000000</v>
      </c>
      <c r="BI717" s="758">
        <v>2000000</v>
      </c>
      <c r="BJ717" s="758">
        <v>2000000</v>
      </c>
      <c r="BK717" s="758">
        <v>2000000</v>
      </c>
      <c r="BL717" s="759">
        <f>SUM(AZ717,BA717,BB717,BC717,BD717,BE717,BF717,BG717,BH717,BI717,BJ717,BK717)</f>
        <v>9000000</v>
      </c>
      <c r="BN717" s="485">
        <v>1500000</v>
      </c>
      <c r="BO717" s="758">
        <v>1500000</v>
      </c>
      <c r="BP717" s="758">
        <v>1500000</v>
      </c>
      <c r="BQ717" s="758">
        <v>1500000</v>
      </c>
      <c r="BR717" s="758">
        <v>1500000</v>
      </c>
      <c r="BS717" s="758">
        <v>1500000</v>
      </c>
      <c r="BT717" s="758">
        <v>1500000</v>
      </c>
      <c r="BU717" s="758">
        <v>1500000</v>
      </c>
      <c r="BV717" s="758">
        <v>1500000</v>
      </c>
      <c r="BW717" s="758">
        <v>1500000</v>
      </c>
      <c r="BX717" s="758">
        <v>1500000</v>
      </c>
      <c r="BY717" s="758">
        <v>1500000</v>
      </c>
      <c r="BZ717" s="791">
        <v>18000000</v>
      </c>
      <c r="CB717" s="485">
        <v>1500000</v>
      </c>
      <c r="CC717" s="758">
        <v>1500000</v>
      </c>
      <c r="CD717" s="758">
        <v>1500000</v>
      </c>
      <c r="CE717" s="758">
        <v>1500000</v>
      </c>
      <c r="CF717" s="758">
        <v>1500000</v>
      </c>
      <c r="CG717" s="758">
        <v>1500000</v>
      </c>
      <c r="CH717" s="758">
        <v>1500000</v>
      </c>
      <c r="CI717" s="758">
        <v>1500000</v>
      </c>
      <c r="CJ717" s="758">
        <v>1500000</v>
      </c>
      <c r="CK717" s="758">
        <v>1500000</v>
      </c>
      <c r="CL717" s="758">
        <v>1500000</v>
      </c>
      <c r="CM717" s="758">
        <v>1500000</v>
      </c>
      <c r="CN717" s="791">
        <v>18000000</v>
      </c>
      <c r="CO717" s="37"/>
      <c r="CP717" s="657"/>
      <c r="CQ717" s="657"/>
      <c r="CR717" s="528"/>
      <c r="CS717" s="657"/>
      <c r="CT717" s="528"/>
      <c r="CU717" s="657"/>
      <c r="CV717" s="528"/>
      <c r="CW717" s="657"/>
      <c r="CX717" s="528"/>
      <c r="CY717" s="657"/>
      <c r="CZ717" s="528"/>
      <c r="DA717" s="657"/>
      <c r="DB717" s="528"/>
      <c r="DC717" s="657">
        <v>0</v>
      </c>
      <c r="DD717" s="528"/>
      <c r="DE717" s="758"/>
      <c r="DF717" s="528"/>
      <c r="DG717" s="757"/>
      <c r="DH717" s="758"/>
      <c r="DI717" s="528"/>
      <c r="DJ717" s="757"/>
      <c r="DK717" s="758"/>
      <c r="DL717" s="528"/>
      <c r="DM717" s="757"/>
      <c r="DN717" s="758"/>
      <c r="DO717" s="528"/>
      <c r="DP717" s="757"/>
      <c r="DQ717" s="493">
        <f t="shared" si="401"/>
        <v>0</v>
      </c>
      <c r="DR717" s="479">
        <f t="shared" si="423"/>
        <v>0</v>
      </c>
      <c r="DS717" s="1020"/>
      <c r="DT717" s="1020"/>
      <c r="DU717" s="1020"/>
      <c r="DV717" s="1020"/>
      <c r="DW717" s="1020"/>
      <c r="DX717" s="1020"/>
      <c r="DY717" s="1020"/>
      <c r="DZ717" s="1020"/>
      <c r="EA717" s="1020"/>
      <c r="EB717" s="1020"/>
      <c r="EC717" s="1020"/>
      <c r="ED717" s="1020"/>
      <c r="EE717" s="1119">
        <f t="shared" si="400"/>
        <v>0</v>
      </c>
      <c r="EF717" s="443">
        <v>25000000</v>
      </c>
      <c r="EG717" s="443">
        <v>28000000</v>
      </c>
      <c r="EH717" s="443">
        <f t="shared" si="428"/>
        <v>30520000.000000004</v>
      </c>
      <c r="EI717" s="443">
        <f t="shared" si="428"/>
        <v>33266800.000000007</v>
      </c>
      <c r="EJ717" s="367">
        <v>3000019914</v>
      </c>
      <c r="EL717" s="177"/>
      <c r="EM717" s="177"/>
      <c r="EN717" s="177"/>
    </row>
    <row r="718" spans="1:144" outlineLevel="2">
      <c r="A718" s="367" t="s">
        <v>196</v>
      </c>
      <c r="B718" s="378"/>
      <c r="C718" s="370" t="s">
        <v>688</v>
      </c>
      <c r="D718" s="370" t="s">
        <v>40</v>
      </c>
      <c r="E718" s="383" t="s">
        <v>893</v>
      </c>
      <c r="F718" s="380">
        <v>3000007827</v>
      </c>
      <c r="G718" s="196"/>
      <c r="H718" s="26"/>
      <c r="I718" s="27"/>
      <c r="J718" s="185"/>
      <c r="K718" s="185"/>
      <c r="L718" s="185"/>
      <c r="M718" s="185"/>
      <c r="N718" s="185"/>
      <c r="O718" s="7"/>
      <c r="P718" s="7"/>
      <c r="Q718" s="7"/>
      <c r="R718" s="7"/>
      <c r="S718" s="14">
        <f>SUM(G718,H718,I718,J718,K718,L718,M718,N718,O718,P718,Q718,R718)</f>
        <v>0</v>
      </c>
      <c r="T718" s="179"/>
      <c r="U718" s="196"/>
      <c r="V718" s="26"/>
      <c r="W718" s="27"/>
      <c r="X718" s="185"/>
      <c r="Y718" s="185"/>
      <c r="Z718" s="185"/>
      <c r="AA718" s="185"/>
      <c r="AB718" s="185"/>
      <c r="AC718" s="7"/>
      <c r="AD718" s="7"/>
      <c r="AE718" s="7"/>
      <c r="AF718" s="7"/>
      <c r="AG718" s="759">
        <f>SUM(U718,V718,W718,X718,Y718,Z718,AA718,AB718,AC718,AD718,AE718,AF718)</f>
        <v>0</v>
      </c>
      <c r="AH718" s="788">
        <v>3000007827</v>
      </c>
      <c r="AI718" s="485"/>
      <c r="AJ718" s="824"/>
      <c r="AK718" s="858">
        <v>6611200</v>
      </c>
      <c r="AL718" s="758">
        <v>9385600</v>
      </c>
      <c r="AM718" s="758">
        <v>0</v>
      </c>
      <c r="AN718" s="758">
        <v>0</v>
      </c>
      <c r="AO718" s="758">
        <v>0</v>
      </c>
      <c r="AP718" s="758">
        <v>0</v>
      </c>
      <c r="AQ718" s="518">
        <v>1509900</v>
      </c>
      <c r="AR718" s="518"/>
      <c r="AS718" s="518"/>
      <c r="AT718" s="518"/>
      <c r="AU718" s="518">
        <f t="shared" si="427"/>
        <v>10000000</v>
      </c>
      <c r="AV718" s="518">
        <f t="shared" si="427"/>
        <v>10000000</v>
      </c>
      <c r="AW718" s="518">
        <f t="shared" si="427"/>
        <v>10000000</v>
      </c>
      <c r="AX718" s="518">
        <f t="shared" si="418"/>
        <v>17506700</v>
      </c>
      <c r="AY718" s="788" t="e">
        <v>#N/A</v>
      </c>
      <c r="AZ718" s="485"/>
      <c r="BA718" s="824"/>
      <c r="BB718" s="858">
        <v>6611200</v>
      </c>
      <c r="BC718" s="758">
        <v>9385600</v>
      </c>
      <c r="BD718" s="758">
        <v>0</v>
      </c>
      <c r="BE718" s="758">
        <v>0</v>
      </c>
      <c r="BF718" s="758">
        <v>0</v>
      </c>
      <c r="BG718" s="518">
        <f>AP718</f>
        <v>0</v>
      </c>
      <c r="BH718" s="758">
        <v>10000000</v>
      </c>
      <c r="BI718" s="758">
        <v>10000000</v>
      </c>
      <c r="BJ718" s="758">
        <v>10000000</v>
      </c>
      <c r="BK718" s="758">
        <v>10000000</v>
      </c>
      <c r="BL718" s="759">
        <f>SUM(AZ718,BA718,BB718,BC718,BD718,BE718,BF718,BG718,BH718,BI718,BJ718,BK718)</f>
        <v>55996800</v>
      </c>
      <c r="BN718" s="485">
        <v>0</v>
      </c>
      <c r="BO718" s="758">
        <v>0</v>
      </c>
      <c r="BP718" s="758">
        <v>0</v>
      </c>
      <c r="BQ718" s="758">
        <v>0</v>
      </c>
      <c r="BR718" s="758">
        <v>0</v>
      </c>
      <c r="BS718" s="758">
        <v>0</v>
      </c>
      <c r="BT718" s="758">
        <v>0</v>
      </c>
      <c r="BU718" s="758">
        <v>0</v>
      </c>
      <c r="BV718" s="758">
        <v>0</v>
      </c>
      <c r="BW718" s="758">
        <v>0</v>
      </c>
      <c r="BX718" s="758">
        <v>0</v>
      </c>
      <c r="BY718" s="758">
        <v>0</v>
      </c>
      <c r="BZ718" s="791">
        <v>0</v>
      </c>
      <c r="CB718" s="485">
        <v>0</v>
      </c>
      <c r="CC718" s="758">
        <v>0</v>
      </c>
      <c r="CD718" s="758">
        <v>0</v>
      </c>
      <c r="CE718" s="758">
        <v>0</v>
      </c>
      <c r="CF718" s="758">
        <v>0</v>
      </c>
      <c r="CG718" s="758">
        <v>0</v>
      </c>
      <c r="CH718" s="758">
        <v>0</v>
      </c>
      <c r="CI718" s="758">
        <v>0</v>
      </c>
      <c r="CJ718" s="758">
        <v>0</v>
      </c>
      <c r="CK718" s="758">
        <v>0</v>
      </c>
      <c r="CL718" s="758">
        <v>0</v>
      </c>
      <c r="CM718" s="758">
        <v>0</v>
      </c>
      <c r="CN718" s="791">
        <v>0</v>
      </c>
      <c r="CO718" s="37"/>
      <c r="CP718" s="657">
        <v>5361200</v>
      </c>
      <c r="CQ718" s="657">
        <v>6145200</v>
      </c>
      <c r="CR718" s="528">
        <v>5000000</v>
      </c>
      <c r="CS718" s="657"/>
      <c r="CT718" s="528">
        <v>5000000</v>
      </c>
      <c r="CU718" s="657">
        <v>7111600</v>
      </c>
      <c r="CV718" s="528">
        <v>5000000</v>
      </c>
      <c r="CW718" s="657">
        <v>12718000</v>
      </c>
      <c r="CX718" s="528">
        <v>5000000</v>
      </c>
      <c r="CY718" s="657">
        <v>3703151</v>
      </c>
      <c r="CZ718" s="528">
        <v>5000000</v>
      </c>
      <c r="DA718" s="657"/>
      <c r="DB718" s="528">
        <v>5000000</v>
      </c>
      <c r="DC718" s="657">
        <v>0</v>
      </c>
      <c r="DD718" s="528">
        <v>5000000</v>
      </c>
      <c r="DE718" s="758"/>
      <c r="DF718" s="528">
        <v>5000000</v>
      </c>
      <c r="DG718" s="757">
        <v>5000000</v>
      </c>
      <c r="DH718" s="758"/>
      <c r="DI718" s="528">
        <v>5000000</v>
      </c>
      <c r="DJ718" s="757">
        <v>5000000</v>
      </c>
      <c r="DK718" s="758"/>
      <c r="DL718" s="528">
        <v>5000000</v>
      </c>
      <c r="DM718" s="757">
        <v>5000000</v>
      </c>
      <c r="DN718" s="758"/>
      <c r="DO718" s="528">
        <v>5000000</v>
      </c>
      <c r="DP718" s="757">
        <v>5000000</v>
      </c>
      <c r="DQ718" s="493">
        <f t="shared" si="401"/>
        <v>55039151</v>
      </c>
      <c r="DR718" s="479">
        <f t="shared" si="423"/>
        <v>58618000</v>
      </c>
      <c r="DS718" s="1020">
        <v>5000000</v>
      </c>
      <c r="DT718" s="1020">
        <v>5000000</v>
      </c>
      <c r="DU718" s="1020">
        <v>5000000</v>
      </c>
      <c r="DV718" s="1020">
        <v>5000000</v>
      </c>
      <c r="DW718" s="1020">
        <v>5000000</v>
      </c>
      <c r="DX718" s="1020">
        <v>5000000</v>
      </c>
      <c r="DY718" s="1020">
        <v>5000000</v>
      </c>
      <c r="DZ718" s="1020">
        <v>5000000</v>
      </c>
      <c r="EA718" s="1020">
        <v>5000000</v>
      </c>
      <c r="EB718" s="1020">
        <v>5000000</v>
      </c>
      <c r="EC718" s="1020">
        <v>5000000</v>
      </c>
      <c r="ED718" s="1020">
        <v>5000000</v>
      </c>
      <c r="EE718" s="1119">
        <f t="shared" si="400"/>
        <v>60000000</v>
      </c>
      <c r="EF718" s="443">
        <f>EE718*1.17</f>
        <v>70200000</v>
      </c>
      <c r="EG718" s="443">
        <f>EF718*1.08</f>
        <v>75816000</v>
      </c>
      <c r="EH718" s="443">
        <f t="shared" si="428"/>
        <v>82639440</v>
      </c>
      <c r="EI718" s="443">
        <f t="shared" si="428"/>
        <v>90076989.600000009</v>
      </c>
      <c r="EJ718" s="367">
        <v>3000007827</v>
      </c>
      <c r="EL718" s="177"/>
      <c r="EM718" s="177"/>
      <c r="EN718" s="177"/>
    </row>
    <row r="719" spans="1:144" outlineLevel="2">
      <c r="A719" s="433" t="s">
        <v>196</v>
      </c>
      <c r="B719" s="378"/>
      <c r="C719" s="370" t="s">
        <v>688</v>
      </c>
      <c r="E719" s="383" t="s">
        <v>894</v>
      </c>
      <c r="F719" s="380">
        <v>3000009294</v>
      </c>
      <c r="G719" s="196"/>
      <c r="H719" s="31"/>
      <c r="I719" s="185"/>
      <c r="J719" s="185"/>
      <c r="K719" s="185"/>
      <c r="L719" s="185"/>
      <c r="M719" s="185"/>
      <c r="N719" s="185"/>
      <c r="O719" s="7"/>
      <c r="P719" s="7"/>
      <c r="Q719" s="7"/>
      <c r="R719" s="7"/>
      <c r="S719" s="14"/>
      <c r="T719" s="179"/>
      <c r="U719" s="196"/>
      <c r="V719" s="31"/>
      <c r="W719" s="185"/>
      <c r="X719" s="185"/>
      <c r="Y719" s="185"/>
      <c r="Z719" s="185"/>
      <c r="AA719" s="185"/>
      <c r="AB719" s="185"/>
      <c r="AC719" s="7"/>
      <c r="AD719" s="7"/>
      <c r="AE719" s="7"/>
      <c r="AF719" s="7"/>
      <c r="AG719" s="759"/>
      <c r="AH719" s="788"/>
      <c r="AI719" s="485"/>
      <c r="AJ719" s="874"/>
      <c r="AK719" s="758"/>
      <c r="AL719" s="758"/>
      <c r="AM719" s="758"/>
      <c r="AN719" s="758"/>
      <c r="AO719" s="758"/>
      <c r="AP719" s="758"/>
      <c r="AQ719" s="518"/>
      <c r="AR719" s="518"/>
      <c r="AS719" s="518"/>
      <c r="AT719" s="518"/>
      <c r="AU719" s="518"/>
      <c r="AV719" s="518"/>
      <c r="AW719" s="518"/>
      <c r="AX719" s="518">
        <f t="shared" si="418"/>
        <v>0</v>
      </c>
      <c r="AY719" s="788"/>
      <c r="AZ719" s="485"/>
      <c r="BA719" s="874"/>
      <c r="BB719" s="758"/>
      <c r="BC719" s="758"/>
      <c r="BD719" s="758"/>
      <c r="BE719" s="758"/>
      <c r="BF719" s="758"/>
      <c r="BG719" s="518"/>
      <c r="BH719" s="758"/>
      <c r="BI719" s="758"/>
      <c r="BJ719" s="758"/>
      <c r="BK719" s="758"/>
      <c r="BL719" s="759"/>
      <c r="BN719" s="485"/>
      <c r="BO719" s="758"/>
      <c r="BP719" s="758"/>
      <c r="BQ719" s="758"/>
      <c r="BR719" s="758"/>
      <c r="BS719" s="758"/>
      <c r="BT719" s="758"/>
      <c r="BU719" s="758"/>
      <c r="BV719" s="758"/>
      <c r="BW719" s="758"/>
      <c r="BX719" s="758"/>
      <c r="BY719" s="758"/>
      <c r="BZ719" s="791">
        <v>0</v>
      </c>
      <c r="CB719" s="485"/>
      <c r="CC719" s="758"/>
      <c r="CD719" s="758"/>
      <c r="CE719" s="758"/>
      <c r="CF719" s="758"/>
      <c r="CG719" s="758"/>
      <c r="CH719" s="758"/>
      <c r="CI719" s="758"/>
      <c r="CJ719" s="758"/>
      <c r="CK719" s="758"/>
      <c r="CL719" s="758"/>
      <c r="CM719" s="758"/>
      <c r="CN719" s="791">
        <v>0</v>
      </c>
      <c r="CO719" s="37"/>
      <c r="CP719" s="657"/>
      <c r="CQ719" s="657"/>
      <c r="CR719" s="528"/>
      <c r="CS719" s="657"/>
      <c r="CT719" s="528"/>
      <c r="CU719" s="657"/>
      <c r="CV719" s="528"/>
      <c r="CW719" s="657"/>
      <c r="CX719" s="528"/>
      <c r="CY719" s="657"/>
      <c r="CZ719" s="528"/>
      <c r="DA719" s="657"/>
      <c r="DB719" s="528"/>
      <c r="DC719" s="657">
        <v>0</v>
      </c>
      <c r="DD719" s="528"/>
      <c r="DE719" s="758"/>
      <c r="DF719" s="528"/>
      <c r="DG719" s="757"/>
      <c r="DH719" s="758"/>
      <c r="DI719" s="528"/>
      <c r="DJ719" s="757"/>
      <c r="DK719" s="758"/>
      <c r="DL719" s="528"/>
      <c r="DM719" s="757"/>
      <c r="DN719" s="758"/>
      <c r="DO719" s="528"/>
      <c r="DP719" s="757"/>
      <c r="DQ719" s="493">
        <f t="shared" si="401"/>
        <v>0</v>
      </c>
      <c r="DR719" s="479">
        <f t="shared" si="423"/>
        <v>0</v>
      </c>
      <c r="DS719" s="1020"/>
      <c r="DT719" s="1020"/>
      <c r="DU719" s="1020"/>
      <c r="DV719" s="1020"/>
      <c r="DW719" s="1020"/>
      <c r="DX719" s="1020"/>
      <c r="DY719" s="1020"/>
      <c r="DZ719" s="1020"/>
      <c r="EA719" s="1020"/>
      <c r="EB719" s="1020"/>
      <c r="EC719" s="1020"/>
      <c r="ED719" s="1020"/>
      <c r="EE719" s="1119">
        <f t="shared" si="400"/>
        <v>0</v>
      </c>
      <c r="EF719" s="443">
        <v>240000000</v>
      </c>
      <c r="EG719" s="443">
        <v>510000000</v>
      </c>
      <c r="EH719" s="443">
        <v>1000000000</v>
      </c>
      <c r="EI719" s="443">
        <v>1000000000</v>
      </c>
      <c r="EL719" s="177"/>
      <c r="EM719" s="177"/>
      <c r="EN719" s="177"/>
    </row>
    <row r="720" spans="1:144" outlineLevel="2">
      <c r="A720" s="367" t="s">
        <v>196</v>
      </c>
      <c r="B720" s="378"/>
      <c r="C720" s="370" t="s">
        <v>688</v>
      </c>
      <c r="D720" s="370" t="s">
        <v>40</v>
      </c>
      <c r="E720" s="383" t="s">
        <v>895</v>
      </c>
      <c r="F720" s="380">
        <v>3000010657</v>
      </c>
      <c r="G720" s="196"/>
      <c r="H720" s="31"/>
      <c r="I720" s="185"/>
      <c r="J720" s="185"/>
      <c r="K720" s="185"/>
      <c r="L720" s="185"/>
      <c r="M720" s="185"/>
      <c r="N720" s="185"/>
      <c r="O720" s="7"/>
      <c r="P720" s="7"/>
      <c r="Q720" s="7"/>
      <c r="R720" s="7"/>
      <c r="S720" s="14">
        <f>SUM(G720,H720,I720,J720,K720,L720,M720,N720,O720,P720,Q720,R720)</f>
        <v>0</v>
      </c>
      <c r="T720" s="179"/>
      <c r="U720" s="196"/>
      <c r="V720" s="31"/>
      <c r="W720" s="185"/>
      <c r="X720" s="185"/>
      <c r="Y720" s="185"/>
      <c r="Z720" s="185"/>
      <c r="AA720" s="185"/>
      <c r="AB720" s="185"/>
      <c r="AC720" s="7"/>
      <c r="AD720" s="7"/>
      <c r="AE720" s="7"/>
      <c r="AF720" s="7"/>
      <c r="AG720" s="759">
        <f>SUM(U720,V720,W720,X720,Y720,Z720,AA720,AB720,AC720,AD720,AE720,AF720)</f>
        <v>0</v>
      </c>
      <c r="AH720" s="788">
        <v>3000010657</v>
      </c>
      <c r="AI720" s="485"/>
      <c r="AJ720" s="874"/>
      <c r="AK720" s="758"/>
      <c r="AL720" s="758"/>
      <c r="AM720" s="758"/>
      <c r="AN720" s="758"/>
      <c r="AO720" s="758"/>
      <c r="AP720" s="758">
        <v>15100000</v>
      </c>
      <c r="AQ720" s="518">
        <v>0</v>
      </c>
      <c r="AR720" s="518"/>
      <c r="AS720" s="518"/>
      <c r="AT720" s="518"/>
      <c r="AU720" s="518">
        <f t="shared" ref="AU720:AW724" si="429">BI720</f>
        <v>0</v>
      </c>
      <c r="AV720" s="518">
        <f t="shared" si="429"/>
        <v>0</v>
      </c>
      <c r="AW720" s="518">
        <f t="shared" si="429"/>
        <v>0</v>
      </c>
      <c r="AX720" s="518">
        <f t="shared" si="418"/>
        <v>15100000</v>
      </c>
      <c r="AY720" s="788">
        <v>0</v>
      </c>
      <c r="AZ720" s="485"/>
      <c r="BA720" s="874"/>
      <c r="BB720" s="758"/>
      <c r="BC720" s="758"/>
      <c r="BD720" s="758"/>
      <c r="BE720" s="758"/>
      <c r="BF720" s="758"/>
      <c r="BG720" s="518">
        <f>AP720</f>
        <v>15100000</v>
      </c>
      <c r="BH720" s="758">
        <v>0</v>
      </c>
      <c r="BI720" s="758">
        <v>0</v>
      </c>
      <c r="BJ720" s="758">
        <v>0</v>
      </c>
      <c r="BK720" s="758">
        <v>0</v>
      </c>
      <c r="BL720" s="759">
        <f>SUM(AZ720,BA720,BB720,BC720,BD720,BE720,BF720,BG720,BH720,BI720,BJ720,BK720)</f>
        <v>15100000</v>
      </c>
      <c r="BN720" s="485">
        <v>0</v>
      </c>
      <c r="BO720" s="758">
        <v>0</v>
      </c>
      <c r="BP720" s="758">
        <v>0</v>
      </c>
      <c r="BQ720" s="758">
        <v>0</v>
      </c>
      <c r="BR720" s="758">
        <v>0</v>
      </c>
      <c r="BS720" s="758">
        <v>0</v>
      </c>
      <c r="BT720" s="758">
        <v>0</v>
      </c>
      <c r="BU720" s="758">
        <v>0</v>
      </c>
      <c r="BV720" s="758">
        <v>0</v>
      </c>
      <c r="BW720" s="758">
        <v>0</v>
      </c>
      <c r="BX720" s="758">
        <v>0</v>
      </c>
      <c r="BY720" s="758">
        <v>0</v>
      </c>
      <c r="BZ720" s="791">
        <v>0</v>
      </c>
      <c r="CB720" s="485">
        <v>0</v>
      </c>
      <c r="CC720" s="758">
        <v>0</v>
      </c>
      <c r="CD720" s="758">
        <v>0</v>
      </c>
      <c r="CE720" s="758">
        <v>0</v>
      </c>
      <c r="CF720" s="758">
        <v>0</v>
      </c>
      <c r="CG720" s="758">
        <v>0</v>
      </c>
      <c r="CH720" s="758">
        <v>0</v>
      </c>
      <c r="CI720" s="758">
        <v>0</v>
      </c>
      <c r="CJ720" s="758">
        <v>0</v>
      </c>
      <c r="CK720" s="758">
        <v>0</v>
      </c>
      <c r="CL720" s="758">
        <v>0</v>
      </c>
      <c r="CM720" s="758">
        <v>0</v>
      </c>
      <c r="CN720" s="791">
        <v>0</v>
      </c>
      <c r="CO720" s="37"/>
      <c r="CP720" s="657"/>
      <c r="CQ720" s="657"/>
      <c r="CR720" s="528"/>
      <c r="CS720" s="657"/>
      <c r="CT720" s="528"/>
      <c r="CU720" s="657"/>
      <c r="CV720" s="528"/>
      <c r="CW720" s="657"/>
      <c r="CX720" s="528"/>
      <c r="CY720" s="657"/>
      <c r="CZ720" s="528"/>
      <c r="DA720" s="657"/>
      <c r="DB720" s="528"/>
      <c r="DC720" s="657">
        <v>0</v>
      </c>
      <c r="DD720" s="528"/>
      <c r="DE720" s="758"/>
      <c r="DF720" s="528"/>
      <c r="DG720" s="757"/>
      <c r="DH720" s="758"/>
      <c r="DI720" s="528"/>
      <c r="DJ720" s="757"/>
      <c r="DK720" s="758"/>
      <c r="DL720" s="528"/>
      <c r="DM720" s="757"/>
      <c r="DN720" s="758"/>
      <c r="DO720" s="528"/>
      <c r="DP720" s="757"/>
      <c r="DQ720" s="493">
        <f t="shared" si="401"/>
        <v>0</v>
      </c>
      <c r="DR720" s="479">
        <f t="shared" si="423"/>
        <v>0</v>
      </c>
      <c r="DS720" s="1020"/>
      <c r="DT720" s="1020"/>
      <c r="DU720" s="1020"/>
      <c r="DV720" s="1020"/>
      <c r="DW720" s="1020"/>
      <c r="DX720" s="1020"/>
      <c r="DY720" s="1020"/>
      <c r="DZ720" s="1020"/>
      <c r="EA720" s="1020"/>
      <c r="EB720" s="1020"/>
      <c r="EC720" s="1020"/>
      <c r="ED720" s="1020"/>
      <c r="EE720" s="1119">
        <f t="shared" si="400"/>
        <v>0</v>
      </c>
      <c r="EF720" s="443">
        <f>EE720*1.17</f>
        <v>0</v>
      </c>
      <c r="EG720" s="443">
        <f>EF720*1.08</f>
        <v>0</v>
      </c>
      <c r="EH720" s="443">
        <f t="shared" ref="EH720:EI724" si="430">EG720*1.09</f>
        <v>0</v>
      </c>
      <c r="EI720" s="443">
        <f t="shared" si="430"/>
        <v>0</v>
      </c>
      <c r="EJ720" s="367">
        <v>3000010657</v>
      </c>
      <c r="EL720" s="177"/>
      <c r="EM720" s="177"/>
      <c r="EN720" s="177"/>
    </row>
    <row r="721" spans="1:144" outlineLevel="2">
      <c r="A721" s="367" t="s">
        <v>196</v>
      </c>
      <c r="B721" s="378"/>
      <c r="C721" s="370" t="s">
        <v>688</v>
      </c>
      <c r="D721" s="370" t="s">
        <v>40</v>
      </c>
      <c r="E721" s="383" t="s">
        <v>896</v>
      </c>
      <c r="F721" s="380">
        <v>3000016892</v>
      </c>
      <c r="G721" s="196"/>
      <c r="H721" s="31"/>
      <c r="I721" s="27"/>
      <c r="J721" s="185"/>
      <c r="K721" s="185"/>
      <c r="L721" s="185"/>
      <c r="M721" s="185"/>
      <c r="N721" s="185"/>
      <c r="O721" s="7"/>
      <c r="P721" s="7"/>
      <c r="Q721" s="7"/>
      <c r="R721" s="7"/>
      <c r="S721" s="14">
        <f>SUM(G721,H721,I721,J721,K721,L721,M721,N721,O721,P721,Q721,R721)</f>
        <v>0</v>
      </c>
      <c r="T721" s="179"/>
      <c r="U721" s="196"/>
      <c r="V721" s="31"/>
      <c r="W721" s="27"/>
      <c r="X721" s="185"/>
      <c r="Y721" s="185"/>
      <c r="Z721" s="185"/>
      <c r="AA721" s="185"/>
      <c r="AB721" s="185"/>
      <c r="AC721" s="7"/>
      <c r="AD721" s="7"/>
      <c r="AE721" s="7"/>
      <c r="AF721" s="7"/>
      <c r="AG721" s="759">
        <f>SUM(U721,V721,W721,X721,Y721,Z721,AA721,AB721,AC721,AD721,AE721,AF721)</f>
        <v>0</v>
      </c>
      <c r="AH721" s="788">
        <v>3000016892</v>
      </c>
      <c r="AI721" s="485"/>
      <c r="AJ721" s="874">
        <v>16919400</v>
      </c>
      <c r="AK721" s="858">
        <v>120281200</v>
      </c>
      <c r="AL721" s="758">
        <v>0</v>
      </c>
      <c r="AM721" s="758">
        <v>35850000</v>
      </c>
      <c r="AN721" s="758">
        <v>9000000</v>
      </c>
      <c r="AO721" s="758">
        <v>47800000</v>
      </c>
      <c r="AP721" s="758">
        <v>20800000</v>
      </c>
      <c r="AQ721" s="518">
        <v>58650000</v>
      </c>
      <c r="AR721" s="813">
        <v>17050000</v>
      </c>
      <c r="AS721" s="813">
        <v>2500000</v>
      </c>
      <c r="AT721" s="813">
        <v>17800000</v>
      </c>
      <c r="AU721" s="518">
        <f t="shared" si="429"/>
        <v>40000000</v>
      </c>
      <c r="AV721" s="518">
        <f t="shared" si="429"/>
        <v>40000000</v>
      </c>
      <c r="AW721" s="518">
        <f t="shared" si="429"/>
        <v>40000000</v>
      </c>
      <c r="AX721" s="518">
        <f t="shared" si="418"/>
        <v>346650600</v>
      </c>
      <c r="AY721" s="788" t="e">
        <v>#N/A</v>
      </c>
      <c r="AZ721" s="485"/>
      <c r="BA721" s="874">
        <v>16919400</v>
      </c>
      <c r="BB721" s="858">
        <v>120281200</v>
      </c>
      <c r="BC721" s="758">
        <v>0</v>
      </c>
      <c r="BD721" s="758">
        <v>35850000</v>
      </c>
      <c r="BE721" s="758">
        <v>9000000</v>
      </c>
      <c r="BF721" s="758">
        <v>47800000</v>
      </c>
      <c r="BG721" s="518">
        <f>AP721</f>
        <v>20800000</v>
      </c>
      <c r="BH721" s="758">
        <v>40000000</v>
      </c>
      <c r="BI721" s="758">
        <v>40000000</v>
      </c>
      <c r="BJ721" s="758">
        <v>40000000</v>
      </c>
      <c r="BK721" s="758">
        <v>40000000</v>
      </c>
      <c r="BL721" s="759">
        <f>SUM(AZ721,BA721,BB721,BC721,BD721,BE721,BF721,BG721,BH721,BI721,BJ721,BK721)</f>
        <v>410650600</v>
      </c>
      <c r="BN721" s="485">
        <v>40000000</v>
      </c>
      <c r="BO721" s="758">
        <v>40000000</v>
      </c>
      <c r="BP721" s="758">
        <v>40000000</v>
      </c>
      <c r="BQ721" s="758">
        <v>40000000</v>
      </c>
      <c r="BR721" s="758">
        <v>40000000</v>
      </c>
      <c r="BS721" s="758">
        <v>40000000</v>
      </c>
      <c r="BT721" s="758">
        <v>40000000</v>
      </c>
      <c r="BU721" s="758">
        <v>40000000</v>
      </c>
      <c r="BV721" s="758">
        <v>40000000</v>
      </c>
      <c r="BW721" s="758">
        <v>40000000</v>
      </c>
      <c r="BX721" s="758">
        <v>40000000</v>
      </c>
      <c r="BY721" s="758">
        <v>40000000</v>
      </c>
      <c r="BZ721" s="791">
        <v>480000000</v>
      </c>
      <c r="CB721" s="485">
        <v>40000000</v>
      </c>
      <c r="CC721" s="758">
        <v>40000000</v>
      </c>
      <c r="CD721" s="758">
        <v>40000000</v>
      </c>
      <c r="CE721" s="758">
        <v>40000000</v>
      </c>
      <c r="CF721" s="758">
        <v>40000000</v>
      </c>
      <c r="CG721" s="758">
        <v>40000000</v>
      </c>
      <c r="CH721" s="758">
        <v>40000000</v>
      </c>
      <c r="CI721" s="758">
        <v>40000000</v>
      </c>
      <c r="CJ721" s="758">
        <v>40000000</v>
      </c>
      <c r="CK721" s="758">
        <v>40000000</v>
      </c>
      <c r="CL721" s="758">
        <v>40000000</v>
      </c>
      <c r="CM721" s="758">
        <v>40000000</v>
      </c>
      <c r="CN721" s="791">
        <v>480000000</v>
      </c>
      <c r="CO721" s="37"/>
      <c r="CP721" s="657">
        <v>5975000</v>
      </c>
      <c r="CQ721" s="657">
        <v>10145000</v>
      </c>
      <c r="CR721" s="528">
        <v>15000000</v>
      </c>
      <c r="CS721" s="657">
        <v>1250000</v>
      </c>
      <c r="CT721" s="528">
        <v>20000000</v>
      </c>
      <c r="CU721" s="657">
        <v>1515000</v>
      </c>
      <c r="CV721" s="528">
        <v>50000000</v>
      </c>
      <c r="CW721" s="657">
        <v>3060000</v>
      </c>
      <c r="CX721" s="528">
        <v>20000000</v>
      </c>
      <c r="CY721" s="657">
        <v>1600000</v>
      </c>
      <c r="CZ721" s="528">
        <v>15000000</v>
      </c>
      <c r="DA721" s="657">
        <v>18500000</v>
      </c>
      <c r="DB721" s="528">
        <v>15000000</v>
      </c>
      <c r="DC721" s="657">
        <v>1600000</v>
      </c>
      <c r="DD721" s="528">
        <v>15000000</v>
      </c>
      <c r="DE721" s="758"/>
      <c r="DF721" s="528">
        <v>15000000</v>
      </c>
      <c r="DG721" s="757">
        <v>15000000</v>
      </c>
      <c r="DH721" s="758"/>
      <c r="DI721" s="528">
        <v>15000000</v>
      </c>
      <c r="DJ721" s="757">
        <v>15000000</v>
      </c>
      <c r="DK721" s="758"/>
      <c r="DL721" s="528">
        <v>15000000</v>
      </c>
      <c r="DM721" s="757">
        <v>15000000</v>
      </c>
      <c r="DN721" s="758"/>
      <c r="DO721" s="528">
        <v>15000000</v>
      </c>
      <c r="DP721" s="757">
        <v>15000000</v>
      </c>
      <c r="DQ721" s="493">
        <f t="shared" si="401"/>
        <v>103645000</v>
      </c>
      <c r="DR721" s="479">
        <f t="shared" si="423"/>
        <v>143885000</v>
      </c>
      <c r="DS721" s="1020">
        <v>15000000</v>
      </c>
      <c r="DT721" s="1020">
        <v>15000000</v>
      </c>
      <c r="DU721" s="1020">
        <v>20000000</v>
      </c>
      <c r="DV721" s="1020">
        <v>25000000</v>
      </c>
      <c r="DW721" s="1020">
        <v>10000000</v>
      </c>
      <c r="DX721" s="1020">
        <v>10000000</v>
      </c>
      <c r="DY721" s="1020">
        <v>10000000</v>
      </c>
      <c r="DZ721" s="1020">
        <v>10000000</v>
      </c>
      <c r="EA721" s="1020">
        <v>10000000</v>
      </c>
      <c r="EB721" s="1020">
        <v>10000000</v>
      </c>
      <c r="EC721" s="1020">
        <v>15000000</v>
      </c>
      <c r="ED721" s="1020">
        <v>15000000</v>
      </c>
      <c r="EE721" s="1119">
        <f t="shared" si="400"/>
        <v>165000000</v>
      </c>
      <c r="EF721" s="443">
        <f>EE721*1.17</f>
        <v>193050000</v>
      </c>
      <c r="EG721" s="443">
        <f>EF721*1.08</f>
        <v>208494000</v>
      </c>
      <c r="EH721" s="443">
        <f t="shared" si="430"/>
        <v>227258460.00000003</v>
      </c>
      <c r="EI721" s="443">
        <f t="shared" si="430"/>
        <v>247711721.40000004</v>
      </c>
      <c r="EJ721" s="367">
        <v>3000016892</v>
      </c>
      <c r="EL721" s="177"/>
      <c r="EM721" s="177"/>
      <c r="EN721" s="177"/>
    </row>
    <row r="722" spans="1:144" outlineLevel="2">
      <c r="A722" s="367" t="s">
        <v>196</v>
      </c>
      <c r="B722" s="378"/>
      <c r="C722" s="370" t="s">
        <v>688</v>
      </c>
      <c r="D722" s="370" t="s">
        <v>40</v>
      </c>
      <c r="E722" s="383" t="s">
        <v>897</v>
      </c>
      <c r="F722" s="380">
        <v>3000011378</v>
      </c>
      <c r="G722" s="196"/>
      <c r="H722" s="26"/>
      <c r="I722" s="185"/>
      <c r="J722" s="185"/>
      <c r="K722" s="185"/>
      <c r="L722" s="185"/>
      <c r="M722" s="185"/>
      <c r="N722" s="185"/>
      <c r="O722" s="7"/>
      <c r="P722" s="7"/>
      <c r="Q722" s="7"/>
      <c r="R722" s="7"/>
      <c r="S722" s="14">
        <f>SUM(G722,H722,I722,J722,K722,L722,M722,N722,O722,P722,Q722,R722)</f>
        <v>0</v>
      </c>
      <c r="T722" s="179"/>
      <c r="U722" s="196"/>
      <c r="V722" s="26"/>
      <c r="W722" s="185"/>
      <c r="X722" s="185"/>
      <c r="Y722" s="185"/>
      <c r="Z722" s="185"/>
      <c r="AA722" s="185"/>
      <c r="AB722" s="185"/>
      <c r="AC722" s="7"/>
      <c r="AD722" s="7"/>
      <c r="AE722" s="7"/>
      <c r="AF722" s="7"/>
      <c r="AG722" s="759">
        <f>SUM(U722,V722,W722,X722,Y722,Z722,AA722,AB722,AC722,AD722,AE722,AF722)</f>
        <v>0</v>
      </c>
      <c r="AH722" s="788">
        <v>3000011378</v>
      </c>
      <c r="AI722" s="485"/>
      <c r="AJ722" s="824"/>
      <c r="AK722" s="758"/>
      <c r="AL722" s="758">
        <v>0</v>
      </c>
      <c r="AM722" s="758">
        <v>0</v>
      </c>
      <c r="AN722" s="758">
        <v>0</v>
      </c>
      <c r="AO722" s="758">
        <v>27742060</v>
      </c>
      <c r="AP722" s="758">
        <v>0</v>
      </c>
      <c r="AQ722" s="518">
        <v>0</v>
      </c>
      <c r="AR722" s="518"/>
      <c r="AS722" s="518"/>
      <c r="AT722" s="518"/>
      <c r="AU722" s="518">
        <f t="shared" si="429"/>
        <v>20000000</v>
      </c>
      <c r="AV722" s="518">
        <f t="shared" si="429"/>
        <v>20000000</v>
      </c>
      <c r="AW722" s="518">
        <f t="shared" si="429"/>
        <v>20000000</v>
      </c>
      <c r="AX722" s="518">
        <f t="shared" si="418"/>
        <v>27742060</v>
      </c>
      <c r="AY722" s="788" t="e">
        <v>#N/A</v>
      </c>
      <c r="AZ722" s="485"/>
      <c r="BA722" s="824"/>
      <c r="BB722" s="758"/>
      <c r="BC722" s="758">
        <v>0</v>
      </c>
      <c r="BD722" s="758">
        <v>0</v>
      </c>
      <c r="BE722" s="758">
        <v>0</v>
      </c>
      <c r="BF722" s="758">
        <v>27742060</v>
      </c>
      <c r="BG722" s="518">
        <f>AP722</f>
        <v>0</v>
      </c>
      <c r="BH722" s="758">
        <v>20000000</v>
      </c>
      <c r="BI722" s="758">
        <v>20000000</v>
      </c>
      <c r="BJ722" s="758">
        <v>20000000</v>
      </c>
      <c r="BK722" s="758">
        <v>20000000</v>
      </c>
      <c r="BL722" s="759">
        <f>SUM(AZ722,BA722,BB722,BC722,BD722,BE722,BF722,BG722,BH722,BI722,BJ722,BK722)</f>
        <v>107742060</v>
      </c>
      <c r="BN722" s="485">
        <v>20000000</v>
      </c>
      <c r="BO722" s="758">
        <v>0</v>
      </c>
      <c r="BP722" s="758">
        <v>20000000</v>
      </c>
      <c r="BQ722" s="758">
        <v>0</v>
      </c>
      <c r="BR722" s="758">
        <v>10000000</v>
      </c>
      <c r="BS722" s="758">
        <v>0</v>
      </c>
      <c r="BT722" s="758">
        <v>20000000</v>
      </c>
      <c r="BU722" s="758">
        <v>0</v>
      </c>
      <c r="BV722" s="758">
        <v>20000000</v>
      </c>
      <c r="BW722" s="758">
        <v>0</v>
      </c>
      <c r="BX722" s="758">
        <v>20000000</v>
      </c>
      <c r="BY722" s="758">
        <v>20000000</v>
      </c>
      <c r="BZ722" s="791">
        <v>130000000</v>
      </c>
      <c r="CB722" s="485">
        <v>20000000</v>
      </c>
      <c r="CC722" s="758">
        <v>0</v>
      </c>
      <c r="CD722" s="758">
        <v>20000000</v>
      </c>
      <c r="CE722" s="758">
        <v>0</v>
      </c>
      <c r="CF722" s="758">
        <v>10000000</v>
      </c>
      <c r="CG722" s="758">
        <v>0</v>
      </c>
      <c r="CH722" s="758">
        <v>20000000</v>
      </c>
      <c r="CI722" s="758">
        <v>0</v>
      </c>
      <c r="CJ722" s="758">
        <v>20000000</v>
      </c>
      <c r="CK722" s="758">
        <v>0</v>
      </c>
      <c r="CL722" s="758">
        <v>20000000</v>
      </c>
      <c r="CM722" s="758">
        <v>20000000</v>
      </c>
      <c r="CN722" s="791">
        <v>130000000</v>
      </c>
      <c r="CO722" s="37"/>
      <c r="CP722" s="657"/>
      <c r="CQ722" s="657"/>
      <c r="CR722" s="528"/>
      <c r="CS722" s="657"/>
      <c r="CT722" s="528"/>
      <c r="CU722" s="657"/>
      <c r="CV722" s="528"/>
      <c r="CW722" s="657"/>
      <c r="CX722" s="528"/>
      <c r="CY722" s="657"/>
      <c r="CZ722" s="528"/>
      <c r="DA722" s="657"/>
      <c r="DB722" s="528"/>
      <c r="DC722" s="657">
        <v>0</v>
      </c>
      <c r="DD722" s="528"/>
      <c r="DE722" s="758"/>
      <c r="DF722" s="528"/>
      <c r="DG722" s="757"/>
      <c r="DH722" s="758"/>
      <c r="DI722" s="528"/>
      <c r="DJ722" s="757"/>
      <c r="DK722" s="758"/>
      <c r="DL722" s="528"/>
      <c r="DM722" s="757"/>
      <c r="DN722" s="758"/>
      <c r="DO722" s="528"/>
      <c r="DP722" s="757"/>
      <c r="DQ722" s="493">
        <f t="shared" si="401"/>
        <v>0</v>
      </c>
      <c r="DR722" s="479">
        <f t="shared" si="423"/>
        <v>0</v>
      </c>
      <c r="DS722" s="1020"/>
      <c r="DT722" s="1020"/>
      <c r="DU722" s="1020"/>
      <c r="DV722" s="1020"/>
      <c r="DW722" s="1020"/>
      <c r="DX722" s="1020"/>
      <c r="DY722" s="1020"/>
      <c r="DZ722" s="1020"/>
      <c r="EA722" s="1020"/>
      <c r="EB722" s="1020"/>
      <c r="EC722" s="1020"/>
      <c r="ED722" s="1020"/>
      <c r="EE722" s="1119">
        <f t="shared" si="400"/>
        <v>0</v>
      </c>
      <c r="EF722" s="443">
        <f>EE722*1.17</f>
        <v>0</v>
      </c>
      <c r="EG722" s="443">
        <f>EF722*1.08</f>
        <v>0</v>
      </c>
      <c r="EH722" s="443">
        <f t="shared" si="430"/>
        <v>0</v>
      </c>
      <c r="EI722" s="443">
        <f t="shared" si="430"/>
        <v>0</v>
      </c>
      <c r="EJ722" s="367">
        <v>3000011378</v>
      </c>
      <c r="EL722" s="177"/>
      <c r="EM722" s="177"/>
      <c r="EN722" s="177"/>
    </row>
    <row r="723" spans="1:144" outlineLevel="2">
      <c r="A723" s="367" t="s">
        <v>196</v>
      </c>
      <c r="B723" s="378"/>
      <c r="C723" s="370" t="s">
        <v>688</v>
      </c>
      <c r="D723" s="370" t="s">
        <v>40</v>
      </c>
      <c r="E723" s="383" t="s">
        <v>898</v>
      </c>
      <c r="F723" s="380">
        <v>3000018751</v>
      </c>
      <c r="G723" s="196"/>
      <c r="H723" s="26"/>
      <c r="I723" s="185"/>
      <c r="J723" s="185"/>
      <c r="K723" s="185"/>
      <c r="L723" s="185"/>
      <c r="M723" s="185"/>
      <c r="N723" s="185"/>
      <c r="O723" s="7"/>
      <c r="P723" s="7"/>
      <c r="Q723" s="7"/>
      <c r="R723" s="7"/>
      <c r="S723" s="14">
        <f>SUM(G723,H723,I723,J723,K723,L723,M723,N723,O723,P723,Q723,R723)</f>
        <v>0</v>
      </c>
      <c r="T723" s="179"/>
      <c r="U723" s="196"/>
      <c r="V723" s="26"/>
      <c r="W723" s="185"/>
      <c r="X723" s="185"/>
      <c r="Y723" s="185"/>
      <c r="Z723" s="185"/>
      <c r="AA723" s="185"/>
      <c r="AB723" s="185"/>
      <c r="AC723" s="7"/>
      <c r="AD723" s="7"/>
      <c r="AE723" s="7"/>
      <c r="AF723" s="7"/>
      <c r="AG723" s="759">
        <f>SUM(U723,V723,W723,X723,Y723,Z723,AA723,AB723,AC723,AD723,AE723,AF723)</f>
        <v>0</v>
      </c>
      <c r="AH723" s="788">
        <v>3000018751</v>
      </c>
      <c r="AI723" s="485"/>
      <c r="AJ723" s="824"/>
      <c r="AK723" s="758"/>
      <c r="AL723" s="758">
        <v>0</v>
      </c>
      <c r="AM723" s="758">
        <v>0</v>
      </c>
      <c r="AN723" s="758">
        <v>0</v>
      </c>
      <c r="AO723" s="758">
        <v>2290100</v>
      </c>
      <c r="AP723" s="758">
        <v>2287200</v>
      </c>
      <c r="AQ723" s="518">
        <v>0</v>
      </c>
      <c r="AR723" s="518"/>
      <c r="AS723" s="518"/>
      <c r="AT723" s="518"/>
      <c r="AU723" s="518">
        <f t="shared" si="429"/>
        <v>5000000</v>
      </c>
      <c r="AV723" s="518">
        <f t="shared" si="429"/>
        <v>5000000</v>
      </c>
      <c r="AW723" s="518">
        <f t="shared" si="429"/>
        <v>5000000</v>
      </c>
      <c r="AX723" s="518">
        <f t="shared" si="418"/>
        <v>4577300</v>
      </c>
      <c r="AY723" s="788" t="e">
        <v>#N/A</v>
      </c>
      <c r="AZ723" s="485"/>
      <c r="BA723" s="824"/>
      <c r="BB723" s="758"/>
      <c r="BC723" s="758">
        <v>0</v>
      </c>
      <c r="BD723" s="758">
        <v>0</v>
      </c>
      <c r="BE723" s="758">
        <v>0</v>
      </c>
      <c r="BF723" s="758">
        <v>2290100</v>
      </c>
      <c r="BG723" s="518">
        <f>AP723</f>
        <v>2287200</v>
      </c>
      <c r="BH723" s="758">
        <v>5000000</v>
      </c>
      <c r="BI723" s="758">
        <v>5000000</v>
      </c>
      <c r="BJ723" s="758">
        <v>5000000</v>
      </c>
      <c r="BK723" s="758">
        <v>5000000</v>
      </c>
      <c r="BL723" s="759">
        <f>SUM(AZ723,BA723,BB723,BC723,BD723,BE723,BF723,BG723,BH723,BI723,BJ723,BK723)</f>
        <v>24577300</v>
      </c>
      <c r="BN723" s="485">
        <v>7500000</v>
      </c>
      <c r="BO723" s="758">
        <v>7500000</v>
      </c>
      <c r="BP723" s="758">
        <v>7500000</v>
      </c>
      <c r="BQ723" s="758">
        <v>7500000</v>
      </c>
      <c r="BR723" s="758">
        <v>5000000</v>
      </c>
      <c r="BS723" s="758">
        <v>5000000</v>
      </c>
      <c r="BT723" s="758">
        <v>5000000</v>
      </c>
      <c r="BU723" s="758">
        <v>5000000</v>
      </c>
      <c r="BV723" s="758">
        <v>5000000</v>
      </c>
      <c r="BW723" s="758">
        <v>5000000</v>
      </c>
      <c r="BX723" s="758">
        <v>5000000</v>
      </c>
      <c r="BY723" s="758">
        <v>5000000</v>
      </c>
      <c r="BZ723" s="791">
        <v>70000000</v>
      </c>
      <c r="CB723" s="485">
        <v>7500000</v>
      </c>
      <c r="CC723" s="758">
        <v>7500000</v>
      </c>
      <c r="CD723" s="758">
        <v>7500000</v>
      </c>
      <c r="CE723" s="758">
        <v>7500000</v>
      </c>
      <c r="CF723" s="758">
        <v>5000000</v>
      </c>
      <c r="CG723" s="758">
        <v>5000000</v>
      </c>
      <c r="CH723" s="758">
        <v>5000000</v>
      </c>
      <c r="CI723" s="758">
        <v>5000000</v>
      </c>
      <c r="CJ723" s="758">
        <v>5000000</v>
      </c>
      <c r="CK723" s="758">
        <v>5000000</v>
      </c>
      <c r="CL723" s="758">
        <v>5000000</v>
      </c>
      <c r="CM723" s="758">
        <v>5000000</v>
      </c>
      <c r="CN723" s="791">
        <v>70000000</v>
      </c>
      <c r="CO723" s="37"/>
      <c r="CP723" s="657"/>
      <c r="CQ723" s="657"/>
      <c r="CR723" s="528"/>
      <c r="CS723" s="657"/>
      <c r="CT723" s="528">
        <v>0</v>
      </c>
      <c r="CU723" s="657"/>
      <c r="CV723" s="528"/>
      <c r="CW723" s="657"/>
      <c r="CX723" s="528"/>
      <c r="CY723" s="657"/>
      <c r="CZ723" s="528"/>
      <c r="DA723" s="657"/>
      <c r="DB723" s="528"/>
      <c r="DC723" s="657">
        <v>0</v>
      </c>
      <c r="DD723" s="528"/>
      <c r="DE723" s="758"/>
      <c r="DF723" s="528"/>
      <c r="DG723" s="757"/>
      <c r="DH723" s="758"/>
      <c r="DI723" s="528"/>
      <c r="DJ723" s="757"/>
      <c r="DK723" s="758"/>
      <c r="DL723" s="528"/>
      <c r="DM723" s="757"/>
      <c r="DN723" s="758"/>
      <c r="DO723" s="528"/>
      <c r="DP723" s="757"/>
      <c r="DQ723" s="493">
        <f>SUM(CP723,CQ723,CS723,CU723,CW723,CY723,DA723,DC723,DF723,DI723,DL723,DO723)</f>
        <v>0</v>
      </c>
      <c r="DR723" s="479">
        <f t="shared" si="423"/>
        <v>0</v>
      </c>
      <c r="DS723" s="1020"/>
      <c r="DT723" s="1020"/>
      <c r="DU723" s="1020"/>
      <c r="DV723" s="1020"/>
      <c r="DW723" s="1020"/>
      <c r="DX723" s="1020"/>
      <c r="DY723" s="1020"/>
      <c r="DZ723" s="1020"/>
      <c r="EA723" s="1020"/>
      <c r="EB723" s="1020"/>
      <c r="EC723" s="1020"/>
      <c r="ED723" s="1020"/>
      <c r="EE723" s="1119">
        <f t="shared" si="400"/>
        <v>0</v>
      </c>
      <c r="EF723" s="443">
        <f>EE723*1.17</f>
        <v>0</v>
      </c>
      <c r="EG723" s="443">
        <f>EF723*1.08</f>
        <v>0</v>
      </c>
      <c r="EH723" s="443">
        <f t="shared" si="430"/>
        <v>0</v>
      </c>
      <c r="EI723" s="443">
        <f t="shared" si="430"/>
        <v>0</v>
      </c>
      <c r="EJ723" s="367">
        <v>3000018751</v>
      </c>
      <c r="EL723" s="177"/>
      <c r="EM723" s="177"/>
      <c r="EN723" s="177"/>
    </row>
    <row r="724" spans="1:144" outlineLevel="2">
      <c r="A724" s="367" t="s">
        <v>196</v>
      </c>
      <c r="B724" s="378"/>
      <c r="C724" s="370" t="s">
        <v>688</v>
      </c>
      <c r="D724" s="370" t="s">
        <v>40</v>
      </c>
      <c r="E724" s="383" t="s">
        <v>899</v>
      </c>
      <c r="F724" s="380">
        <v>3000019701</v>
      </c>
      <c r="G724" s="196"/>
      <c r="H724" s="31"/>
      <c r="I724" s="185"/>
      <c r="J724" s="185"/>
      <c r="K724" s="185"/>
      <c r="L724" s="185"/>
      <c r="M724" s="185"/>
      <c r="N724" s="185"/>
      <c r="O724" s="7"/>
      <c r="P724" s="7"/>
      <c r="Q724" s="7"/>
      <c r="R724" s="7"/>
      <c r="S724" s="14">
        <f>SUM(G724,H724,I724,J724,K724,L724,M724,N724,O724,P724,Q724,R724)</f>
        <v>0</v>
      </c>
      <c r="T724" s="179"/>
      <c r="U724" s="196"/>
      <c r="V724" s="31"/>
      <c r="W724" s="185"/>
      <c r="X724" s="185"/>
      <c r="Y724" s="185"/>
      <c r="Z724" s="185"/>
      <c r="AA724" s="185"/>
      <c r="AB724" s="185"/>
      <c r="AC724" s="7"/>
      <c r="AD724" s="7"/>
      <c r="AE724" s="7"/>
      <c r="AF724" s="7"/>
      <c r="AG724" s="759">
        <f>SUM(U724,V724,W724,X724,Y724,Z724,AA724,AB724,AC724,AD724,AE724,AF724)</f>
        <v>0</v>
      </c>
      <c r="AH724" s="788">
        <v>3000019701</v>
      </c>
      <c r="AI724" s="485"/>
      <c r="AJ724" s="874"/>
      <c r="AK724" s="758"/>
      <c r="AL724" s="758">
        <v>1406700</v>
      </c>
      <c r="AM724" s="758">
        <v>0</v>
      </c>
      <c r="AN724" s="758">
        <v>0</v>
      </c>
      <c r="AO724" s="758">
        <v>0</v>
      </c>
      <c r="AP724" s="758">
        <v>0</v>
      </c>
      <c r="AQ724" s="518">
        <v>0</v>
      </c>
      <c r="AR724" s="518"/>
      <c r="AS724" s="518"/>
      <c r="AT724" s="518"/>
      <c r="AU724" s="518">
        <f t="shared" si="429"/>
        <v>0</v>
      </c>
      <c r="AV724" s="518">
        <f t="shared" si="429"/>
        <v>0</v>
      </c>
      <c r="AW724" s="518">
        <f t="shared" si="429"/>
        <v>0</v>
      </c>
      <c r="AX724" s="518">
        <f t="shared" si="418"/>
        <v>1406700</v>
      </c>
      <c r="AY724" s="788">
        <v>0</v>
      </c>
      <c r="AZ724" s="485"/>
      <c r="BA724" s="874"/>
      <c r="BB724" s="758"/>
      <c r="BC724" s="758">
        <v>1406700</v>
      </c>
      <c r="BD724" s="758">
        <v>0</v>
      </c>
      <c r="BE724" s="758">
        <v>0</v>
      </c>
      <c r="BF724" s="758">
        <v>0</v>
      </c>
      <c r="BG724" s="518">
        <f>AP724</f>
        <v>0</v>
      </c>
      <c r="BH724" s="758">
        <v>0</v>
      </c>
      <c r="BI724" s="758">
        <v>0</v>
      </c>
      <c r="BJ724" s="758">
        <v>0</v>
      </c>
      <c r="BK724" s="758">
        <v>0</v>
      </c>
      <c r="BL724" s="759">
        <f>SUM(AZ724,BA724,BB724,BC724,BD724,BE724,BF724,BG724,BH724,BI724,BJ724,BK724)</f>
        <v>1406700</v>
      </c>
      <c r="BN724" s="485">
        <v>0</v>
      </c>
      <c r="BO724" s="758">
        <v>0</v>
      </c>
      <c r="BP724" s="758">
        <v>0</v>
      </c>
      <c r="BQ724" s="758">
        <v>0</v>
      </c>
      <c r="BR724" s="758">
        <v>0</v>
      </c>
      <c r="BS724" s="758">
        <v>0</v>
      </c>
      <c r="BT724" s="758">
        <v>0</v>
      </c>
      <c r="BU724" s="758">
        <v>0</v>
      </c>
      <c r="BV724" s="758">
        <v>0</v>
      </c>
      <c r="BW724" s="758">
        <v>0</v>
      </c>
      <c r="BX724" s="758">
        <v>0</v>
      </c>
      <c r="BY724" s="758">
        <v>0</v>
      </c>
      <c r="BZ724" s="791">
        <v>0</v>
      </c>
      <c r="CB724" s="485">
        <v>0</v>
      </c>
      <c r="CC724" s="758">
        <v>0</v>
      </c>
      <c r="CD724" s="758">
        <v>0</v>
      </c>
      <c r="CE724" s="758">
        <v>0</v>
      </c>
      <c r="CF724" s="758">
        <v>0</v>
      </c>
      <c r="CG724" s="758">
        <v>0</v>
      </c>
      <c r="CH724" s="758">
        <v>0</v>
      </c>
      <c r="CI724" s="758">
        <v>0</v>
      </c>
      <c r="CJ724" s="758">
        <v>0</v>
      </c>
      <c r="CK724" s="758">
        <v>0</v>
      </c>
      <c r="CL724" s="758">
        <v>0</v>
      </c>
      <c r="CM724" s="758">
        <v>0</v>
      </c>
      <c r="CN724" s="791">
        <v>0</v>
      </c>
      <c r="CO724" s="37"/>
      <c r="CP724" s="657"/>
      <c r="CQ724" s="657"/>
      <c r="CR724" s="528"/>
      <c r="CS724" s="657"/>
      <c r="CT724" s="528"/>
      <c r="CU724" s="657"/>
      <c r="CV724" s="528"/>
      <c r="CW724" s="657"/>
      <c r="CX724" s="528"/>
      <c r="CY724" s="657"/>
      <c r="CZ724" s="528"/>
      <c r="DA724" s="657"/>
      <c r="DB724" s="528"/>
      <c r="DC724" s="657">
        <v>0</v>
      </c>
      <c r="DD724" s="528"/>
      <c r="DE724" s="758"/>
      <c r="DF724" s="528"/>
      <c r="DG724" s="757"/>
      <c r="DH724" s="758"/>
      <c r="DI724" s="528"/>
      <c r="DJ724" s="757"/>
      <c r="DK724" s="758"/>
      <c r="DL724" s="528"/>
      <c r="DM724" s="757"/>
      <c r="DN724" s="758"/>
      <c r="DO724" s="528"/>
      <c r="DP724" s="757"/>
      <c r="DQ724" s="493">
        <f>SUM(CP724,CQ724,CS724,CU724,CW724,CY724,DA724,DC724,DF724,DI724,DL724,DO724)</f>
        <v>0</v>
      </c>
      <c r="DR724" s="479">
        <f>SUM(CR724,CT724,CV724,CX724,CZ724,DB724,DD724,DG724,DJ724,DM724,DP724)</f>
        <v>0</v>
      </c>
      <c r="DS724" s="1020"/>
      <c r="DT724" s="1020"/>
      <c r="DU724" s="1020"/>
      <c r="DV724" s="1020"/>
      <c r="DW724" s="1020"/>
      <c r="DX724" s="1020"/>
      <c r="DY724" s="1020"/>
      <c r="DZ724" s="1020"/>
      <c r="EA724" s="1020"/>
      <c r="EB724" s="1020"/>
      <c r="EC724" s="1020"/>
      <c r="ED724" s="1020"/>
      <c r="EE724" s="1119">
        <f>SUM(DS724,DT724,DU724,DV724,DW724,DX724,DY724,DZ724,EA724,EB724,EC724,ED724)</f>
        <v>0</v>
      </c>
      <c r="EF724" s="443">
        <f>EE724*1.17</f>
        <v>0</v>
      </c>
      <c r="EG724" s="443">
        <f>EF724*1.08</f>
        <v>0</v>
      </c>
      <c r="EH724" s="443">
        <f t="shared" si="430"/>
        <v>0</v>
      </c>
      <c r="EI724" s="443">
        <f t="shared" si="430"/>
        <v>0</v>
      </c>
      <c r="EJ724" s="367">
        <v>3000019701</v>
      </c>
      <c r="EL724" s="177"/>
      <c r="EM724" s="177"/>
      <c r="EN724" s="177"/>
    </row>
    <row r="725" spans="1:144" s="8" customFormat="1" ht="18.5" outlineLevel="2">
      <c r="A725" s="389"/>
      <c r="B725" s="429"/>
      <c r="C725" s="430"/>
      <c r="D725" s="430"/>
      <c r="E725" s="431" t="s">
        <v>474</v>
      </c>
      <c r="F725" s="390"/>
      <c r="G725" s="240"/>
      <c r="H725" s="240"/>
      <c r="I725" s="240"/>
      <c r="J725" s="240"/>
      <c r="K725" s="240"/>
      <c r="L725" s="240"/>
      <c r="M725" s="240"/>
      <c r="N725" s="240"/>
      <c r="O725" s="240"/>
      <c r="P725" s="240"/>
      <c r="Q725" s="240"/>
      <c r="R725" s="240"/>
      <c r="S725" s="49"/>
      <c r="T725" s="179"/>
      <c r="U725" s="240"/>
      <c r="V725" s="240"/>
      <c r="W725" s="240"/>
      <c r="X725" s="240"/>
      <c r="Y725" s="240"/>
      <c r="Z725" s="240"/>
      <c r="AA725" s="240"/>
      <c r="AB725" s="240"/>
      <c r="AC725" s="240"/>
      <c r="AD725" s="240"/>
      <c r="AE725" s="240"/>
      <c r="AF725" s="240"/>
      <c r="AG725" s="774"/>
      <c r="AH725" s="788"/>
      <c r="AI725" s="862"/>
      <c r="AJ725" s="863"/>
      <c r="AK725" s="774"/>
      <c r="AL725" s="774"/>
      <c r="AM725" s="774"/>
      <c r="AN725" s="774"/>
      <c r="AO725" s="774"/>
      <c r="AP725" s="774"/>
      <c r="AQ725" s="774"/>
      <c r="AR725" s="774"/>
      <c r="AS725" s="774"/>
      <c r="AT725" s="774"/>
      <c r="AU725" s="774"/>
      <c r="AV725" s="774"/>
      <c r="AW725" s="774"/>
      <c r="AX725" s="774"/>
      <c r="AY725" s="788"/>
      <c r="AZ725" s="862"/>
      <c r="BA725" s="863"/>
      <c r="BB725" s="774"/>
      <c r="BC725" s="774"/>
      <c r="BD725" s="774"/>
      <c r="BE725" s="774"/>
      <c r="BF725" s="774"/>
      <c r="BG725" s="774"/>
      <c r="BH725" s="774"/>
      <c r="BI725" s="774"/>
      <c r="BJ725" s="774"/>
      <c r="BK725" s="774"/>
      <c r="BL725" s="774"/>
      <c r="BM725" s="3"/>
      <c r="BN725" s="467">
        <f t="shared" ref="BN725:BZ725" si="431">SUM(BN726:BN744)</f>
        <v>220000000</v>
      </c>
      <c r="BO725" s="467">
        <f t="shared" si="431"/>
        <v>220000000</v>
      </c>
      <c r="BP725" s="467">
        <f t="shared" si="431"/>
        <v>220000000</v>
      </c>
      <c r="BQ725" s="467">
        <f t="shared" si="431"/>
        <v>220000000</v>
      </c>
      <c r="BR725" s="467">
        <f t="shared" si="431"/>
        <v>225000000</v>
      </c>
      <c r="BS725" s="467">
        <f t="shared" si="431"/>
        <v>220000000</v>
      </c>
      <c r="BT725" s="467">
        <f t="shared" si="431"/>
        <v>220000000</v>
      </c>
      <c r="BU725" s="467">
        <f t="shared" si="431"/>
        <v>220000000</v>
      </c>
      <c r="BV725" s="467">
        <f t="shared" si="431"/>
        <v>220000000</v>
      </c>
      <c r="BW725" s="467">
        <f t="shared" si="431"/>
        <v>220000000</v>
      </c>
      <c r="BX725" s="467">
        <f t="shared" si="431"/>
        <v>220000000</v>
      </c>
      <c r="BY725" s="467">
        <f t="shared" si="431"/>
        <v>220921809</v>
      </c>
      <c r="BZ725" s="467">
        <f t="shared" si="431"/>
        <v>2645921809</v>
      </c>
      <c r="CA725" s="3"/>
      <c r="CB725" s="483"/>
      <c r="CC725" s="864"/>
      <c r="CD725" s="774"/>
      <c r="CE725" s="774"/>
      <c r="CF725" s="774"/>
      <c r="CG725" s="774"/>
      <c r="CH725" s="774"/>
      <c r="CI725" s="774"/>
      <c r="CJ725" s="774"/>
      <c r="CK725" s="774"/>
      <c r="CL725" s="774"/>
      <c r="CM725" s="774"/>
      <c r="CN725" s="865"/>
      <c r="CO725" s="3"/>
      <c r="CP725" s="467">
        <f t="shared" ref="CP725:EH725" si="432">SUM(CP726:CP744)</f>
        <v>68061500</v>
      </c>
      <c r="CQ725" s="467">
        <f t="shared" si="432"/>
        <v>122243500</v>
      </c>
      <c r="CR725" s="467">
        <f t="shared" si="432"/>
        <v>70000000</v>
      </c>
      <c r="CS725" s="467">
        <f t="shared" si="432"/>
        <v>168561100</v>
      </c>
      <c r="CT725" s="467">
        <f t="shared" si="432"/>
        <v>114000000</v>
      </c>
      <c r="CU725" s="467">
        <f t="shared" si="432"/>
        <v>212643126</v>
      </c>
      <c r="CV725" s="467">
        <f t="shared" si="432"/>
        <v>390250000</v>
      </c>
      <c r="CW725" s="467">
        <f t="shared" si="432"/>
        <v>202455946</v>
      </c>
      <c r="CX725" s="467">
        <f t="shared" si="432"/>
        <v>308750000</v>
      </c>
      <c r="CY725" s="467">
        <f t="shared" si="432"/>
        <v>208376500</v>
      </c>
      <c r="CZ725" s="467">
        <f t="shared" si="432"/>
        <v>439750000</v>
      </c>
      <c r="DA725" s="467">
        <f t="shared" si="432"/>
        <v>243092293</v>
      </c>
      <c r="DB725" s="467">
        <f t="shared" si="432"/>
        <v>493750000</v>
      </c>
      <c r="DC725" s="467">
        <f t="shared" si="432"/>
        <v>122419300</v>
      </c>
      <c r="DD725" s="467">
        <f t="shared" si="432"/>
        <v>493750000</v>
      </c>
      <c r="DE725" s="467">
        <f t="shared" si="432"/>
        <v>0</v>
      </c>
      <c r="DF725" s="467">
        <f>SUM(DF726:DF744)</f>
        <v>518750000</v>
      </c>
      <c r="DG725" s="467">
        <f t="shared" si="432"/>
        <v>518750000</v>
      </c>
      <c r="DH725" s="467">
        <f t="shared" si="432"/>
        <v>0</v>
      </c>
      <c r="DI725" s="467">
        <f>SUM(DI726:DI744)</f>
        <v>518750000</v>
      </c>
      <c r="DJ725" s="467">
        <f t="shared" si="432"/>
        <v>518750000</v>
      </c>
      <c r="DK725" s="467">
        <f t="shared" si="432"/>
        <v>0</v>
      </c>
      <c r="DL725" s="467">
        <f>SUM(DL726:DL744)</f>
        <v>593750000</v>
      </c>
      <c r="DM725" s="467">
        <f>SUM(DM726:DM744)</f>
        <v>593750000</v>
      </c>
      <c r="DN725" s="467">
        <f t="shared" si="432"/>
        <v>0</v>
      </c>
      <c r="DO725" s="467">
        <f>SUM(DO726:DO744)</f>
        <v>593750000</v>
      </c>
      <c r="DP725" s="467">
        <f t="shared" si="432"/>
        <v>593750000</v>
      </c>
      <c r="DQ725" s="467">
        <f>SUM(DQ726:DQ744)</f>
        <v>3572853265</v>
      </c>
      <c r="DR725" s="467">
        <f>SUM(DR726:DR744)</f>
        <v>4532509226</v>
      </c>
      <c r="DS725" s="444">
        <f>SUM(DS726:DS744)</f>
        <v>350000000</v>
      </c>
      <c r="DT725" s="444">
        <f t="shared" si="432"/>
        <v>300000000</v>
      </c>
      <c r="DU725" s="444">
        <f t="shared" si="432"/>
        <v>350000000</v>
      </c>
      <c r="DV725" s="444">
        <f t="shared" si="432"/>
        <v>320000000</v>
      </c>
      <c r="DW725" s="444">
        <f t="shared" si="432"/>
        <v>270000000</v>
      </c>
      <c r="DX725" s="444">
        <f t="shared" si="432"/>
        <v>320000000</v>
      </c>
      <c r="DY725" s="444">
        <f t="shared" si="432"/>
        <v>320000000</v>
      </c>
      <c r="DZ725" s="444">
        <f t="shared" si="432"/>
        <v>270000000</v>
      </c>
      <c r="EA725" s="444">
        <f t="shared" si="432"/>
        <v>320000000</v>
      </c>
      <c r="EB725" s="444">
        <f t="shared" si="432"/>
        <v>350000000</v>
      </c>
      <c r="EC725" s="444">
        <f t="shared" si="432"/>
        <v>300000000</v>
      </c>
      <c r="ED725" s="444">
        <f t="shared" si="432"/>
        <v>350000000</v>
      </c>
      <c r="EE725" s="1125">
        <f t="shared" si="432"/>
        <v>3820000000</v>
      </c>
      <c r="EF725" s="444">
        <f t="shared" si="432"/>
        <v>4250000000</v>
      </c>
      <c r="EG725" s="444">
        <f t="shared" si="432"/>
        <v>12395500000</v>
      </c>
      <c r="EH725" s="444">
        <f t="shared" si="432"/>
        <v>21697750000</v>
      </c>
      <c r="EI725" s="444">
        <f>SUM(EI726:EI744)</f>
        <v>26310625000</v>
      </c>
      <c r="EJ725" s="389"/>
      <c r="EK725" s="389"/>
    </row>
    <row r="726" spans="1:144" outlineLevel="2">
      <c r="A726" s="433" t="s">
        <v>276</v>
      </c>
      <c r="B726" s="378"/>
      <c r="C726" s="370" t="s">
        <v>688</v>
      </c>
      <c r="D726" s="370" t="s">
        <v>108</v>
      </c>
      <c r="E726" s="383" t="s">
        <v>598</v>
      </c>
      <c r="F726" s="380">
        <v>3000008794</v>
      </c>
      <c r="G726" s="196"/>
      <c r="H726" s="153"/>
      <c r="I726" s="185"/>
      <c r="J726" s="185"/>
      <c r="K726" s="185"/>
      <c r="L726" s="185"/>
      <c r="M726" s="185"/>
      <c r="N726" s="185"/>
      <c r="O726" s="7"/>
      <c r="P726" s="7"/>
      <c r="Q726" s="7"/>
      <c r="R726" s="7"/>
      <c r="S726" s="14"/>
      <c r="T726" s="179"/>
      <c r="U726" s="196"/>
      <c r="V726" s="153"/>
      <c r="W726" s="185"/>
      <c r="X726" s="185"/>
      <c r="Y726" s="185"/>
      <c r="Z726" s="185"/>
      <c r="AA726" s="185"/>
      <c r="AB726" s="185"/>
      <c r="AC726" s="7"/>
      <c r="AD726" s="7"/>
      <c r="AE726" s="7"/>
      <c r="AF726" s="7"/>
      <c r="AG726" s="759"/>
      <c r="AH726" s="788"/>
      <c r="AI726" s="485"/>
      <c r="AJ726" s="860"/>
      <c r="AK726" s="758"/>
      <c r="AL726" s="758"/>
      <c r="AM726" s="758"/>
      <c r="AN726" s="758"/>
      <c r="AO726" s="758"/>
      <c r="AP726" s="758"/>
      <c r="AQ726" s="518"/>
      <c r="AR726" s="518"/>
      <c r="AS726" s="518"/>
      <c r="AT726" s="518"/>
      <c r="AU726" s="518"/>
      <c r="AV726" s="518"/>
      <c r="AW726" s="518"/>
      <c r="AX726" s="518">
        <f>SUM(AI726,AJ726,AK726,AL726,AM726,AN726,AO726,AP726,AQ726,AR726,AS726,AT726)</f>
        <v>0</v>
      </c>
      <c r="AY726" s="788"/>
      <c r="AZ726" s="485"/>
      <c r="BA726" s="860"/>
      <c r="BB726" s="758"/>
      <c r="BC726" s="758"/>
      <c r="BD726" s="758"/>
      <c r="BE726" s="758"/>
      <c r="BF726" s="758"/>
      <c r="BG726" s="518"/>
      <c r="BH726" s="758"/>
      <c r="BI726" s="758"/>
      <c r="BJ726" s="758"/>
      <c r="BK726" s="758"/>
      <c r="BL726" s="759"/>
      <c r="BN726" s="485"/>
      <c r="BO726" s="758"/>
      <c r="BP726" s="758"/>
      <c r="BQ726" s="758"/>
      <c r="BR726" s="758"/>
      <c r="BS726" s="758"/>
      <c r="BT726" s="758"/>
      <c r="BU726" s="758"/>
      <c r="BV726" s="758"/>
      <c r="BW726" s="758"/>
      <c r="BX726" s="758"/>
      <c r="BY726" s="758"/>
      <c r="BZ726" s="791">
        <v>0</v>
      </c>
      <c r="CB726" s="485"/>
      <c r="CC726" s="758"/>
      <c r="CD726" s="758"/>
      <c r="CE726" s="758"/>
      <c r="CF726" s="758"/>
      <c r="CG726" s="758"/>
      <c r="CH726" s="758"/>
      <c r="CI726" s="758"/>
      <c r="CJ726" s="758"/>
      <c r="CK726" s="758"/>
      <c r="CL726" s="758"/>
      <c r="CM726" s="758"/>
      <c r="CN726" s="791">
        <v>0</v>
      </c>
      <c r="CO726" s="37"/>
      <c r="CP726" s="657"/>
      <c r="CQ726" s="657"/>
      <c r="CR726" s="528"/>
      <c r="CS726" s="657"/>
      <c r="CT726" s="528"/>
      <c r="CU726" s="657">
        <v>18498600</v>
      </c>
      <c r="CV726" s="528"/>
      <c r="CW726" s="657">
        <v>1238600</v>
      </c>
      <c r="CX726" s="528">
        <v>0</v>
      </c>
      <c r="CY726" s="657"/>
      <c r="CZ726" s="528">
        <v>50000000</v>
      </c>
      <c r="DA726" s="657"/>
      <c r="DB726" s="528">
        <v>50000000</v>
      </c>
      <c r="DC726" s="657">
        <v>0</v>
      </c>
      <c r="DD726" s="528">
        <v>50000000</v>
      </c>
      <c r="DE726" s="758"/>
      <c r="DF726" s="528">
        <v>50000000</v>
      </c>
      <c r="DG726" s="757">
        <v>50000000</v>
      </c>
      <c r="DH726" s="758"/>
      <c r="DI726" s="528">
        <v>50000000</v>
      </c>
      <c r="DJ726" s="757">
        <v>50000000</v>
      </c>
      <c r="DK726" s="758"/>
      <c r="DL726" s="528">
        <v>50000000</v>
      </c>
      <c r="DM726" s="757">
        <v>50000000</v>
      </c>
      <c r="DN726" s="758"/>
      <c r="DO726" s="528">
        <v>50000000</v>
      </c>
      <c r="DP726" s="757">
        <v>50000000</v>
      </c>
      <c r="DQ726" s="493">
        <f t="shared" ref="DQ726:DQ744" si="433">SUM(CP726,CQ726,CS726,CU726,CW726,CY726,DA726,DC726,DF726,DI726,DL726,DO726)</f>
        <v>219737200</v>
      </c>
      <c r="DR726" s="479">
        <f t="shared" ref="DR726:DR733" si="434">SUM(CP726,CQ726,CS726,CU726,CX726,CZ726,DB726,DD726,DG726,DJ726,DM726,DP726)</f>
        <v>368498600</v>
      </c>
      <c r="DS726" s="1020"/>
      <c r="DT726" s="1020"/>
      <c r="DU726" s="1020"/>
      <c r="DV726" s="1020"/>
      <c r="DW726" s="1020"/>
      <c r="DX726" s="1020"/>
      <c r="DY726" s="1020"/>
      <c r="DZ726" s="1020"/>
      <c r="EA726" s="1020"/>
      <c r="EB726" s="1020"/>
      <c r="EC726" s="1020"/>
      <c r="ED726" s="1020"/>
      <c r="EE726" s="1119">
        <f t="shared" ref="EE726:EE744" si="435">SUM(DS726,DT726,DU726,DV726,DW726,DX726,DY726,DZ726,EA726,EB726,EC726,ED726)</f>
        <v>0</v>
      </c>
      <c r="EF726" s="443">
        <v>240000000</v>
      </c>
      <c r="EG726" s="443">
        <v>1000000000</v>
      </c>
      <c r="EH726" s="443">
        <f>EG726*1.5</f>
        <v>1500000000</v>
      </c>
      <c r="EI726" s="443">
        <f>EH726*1.5</f>
        <v>2250000000</v>
      </c>
      <c r="EL726" s="177"/>
      <c r="EM726" s="177"/>
      <c r="EN726" s="177"/>
    </row>
    <row r="727" spans="1:144" outlineLevel="2">
      <c r="A727" s="433" t="s">
        <v>276</v>
      </c>
      <c r="B727" s="378"/>
      <c r="C727" s="370" t="s">
        <v>688</v>
      </c>
      <c r="D727" s="370" t="s">
        <v>108</v>
      </c>
      <c r="E727" s="383" t="s">
        <v>900</v>
      </c>
      <c r="F727" s="390"/>
      <c r="G727" s="196"/>
      <c r="H727" s="31"/>
      <c r="I727" s="185"/>
      <c r="J727" s="185"/>
      <c r="K727" s="185"/>
      <c r="L727" s="185"/>
      <c r="M727" s="185"/>
      <c r="N727" s="185"/>
      <c r="O727" s="7"/>
      <c r="P727" s="7"/>
      <c r="Q727" s="7"/>
      <c r="R727" s="7"/>
      <c r="S727" s="14"/>
      <c r="T727" s="179"/>
      <c r="U727" s="196"/>
      <c r="V727" s="31"/>
      <c r="W727" s="185"/>
      <c r="X727" s="185"/>
      <c r="Y727" s="185"/>
      <c r="Z727" s="185"/>
      <c r="AA727" s="185"/>
      <c r="AB727" s="185"/>
      <c r="AC727" s="7"/>
      <c r="AD727" s="7"/>
      <c r="AE727" s="7"/>
      <c r="AF727" s="7"/>
      <c r="AG727" s="759"/>
      <c r="AH727" s="788"/>
      <c r="AI727" s="485"/>
      <c r="AJ727" s="874"/>
      <c r="AK727" s="758"/>
      <c r="AL727" s="758"/>
      <c r="AM727" s="758"/>
      <c r="AN727" s="758"/>
      <c r="AO727" s="758"/>
      <c r="AP727" s="758"/>
      <c r="AQ727" s="518"/>
      <c r="AR727" s="518"/>
      <c r="AS727" s="518"/>
      <c r="AT727" s="518"/>
      <c r="AU727" s="518"/>
      <c r="AV727" s="518"/>
      <c r="AW727" s="518"/>
      <c r="AX727" s="518">
        <f>SUM(AI727,AJ727,AK727,AL727,AM727,AN727,AO727,AP727,AQ727,AR727,AS727,AT727)</f>
        <v>0</v>
      </c>
      <c r="AY727" s="788"/>
      <c r="AZ727" s="485"/>
      <c r="BA727" s="874"/>
      <c r="BB727" s="758"/>
      <c r="BC727" s="758"/>
      <c r="BD727" s="758"/>
      <c r="BE727" s="758"/>
      <c r="BF727" s="758"/>
      <c r="BG727" s="518"/>
      <c r="BH727" s="758"/>
      <c r="BI727" s="758"/>
      <c r="BJ727" s="758"/>
      <c r="BK727" s="758"/>
      <c r="BL727" s="759"/>
      <c r="BN727" s="485"/>
      <c r="BO727" s="758"/>
      <c r="BP727" s="758"/>
      <c r="BQ727" s="758"/>
      <c r="BR727" s="758"/>
      <c r="BS727" s="758"/>
      <c r="BT727" s="758"/>
      <c r="BU727" s="758"/>
      <c r="BV727" s="758"/>
      <c r="BW727" s="758"/>
      <c r="BX727" s="758"/>
      <c r="BY727" s="758"/>
      <c r="BZ727" s="791">
        <v>0</v>
      </c>
      <c r="CB727" s="485"/>
      <c r="CC727" s="758"/>
      <c r="CD727" s="758"/>
      <c r="CE727" s="758"/>
      <c r="CF727" s="758"/>
      <c r="CG727" s="758"/>
      <c r="CH727" s="758"/>
      <c r="CI727" s="758"/>
      <c r="CJ727" s="758"/>
      <c r="CK727" s="758"/>
      <c r="CL727" s="758"/>
      <c r="CM727" s="758"/>
      <c r="CN727" s="791">
        <v>0</v>
      </c>
      <c r="CO727" s="37"/>
      <c r="CP727" s="657"/>
      <c r="CQ727" s="657"/>
      <c r="CR727" s="528"/>
      <c r="CS727" s="657"/>
      <c r="CT727" s="528">
        <v>0</v>
      </c>
      <c r="CU727" s="657"/>
      <c r="CV727" s="528">
        <v>13750000</v>
      </c>
      <c r="CW727" s="657"/>
      <c r="CX727" s="528">
        <v>13750000</v>
      </c>
      <c r="CY727" s="657"/>
      <c r="CZ727" s="528">
        <v>13750000</v>
      </c>
      <c r="DA727" s="657"/>
      <c r="DB727" s="528">
        <v>13750000</v>
      </c>
      <c r="DC727" s="657">
        <v>0</v>
      </c>
      <c r="DD727" s="528">
        <v>13750000</v>
      </c>
      <c r="DE727" s="758"/>
      <c r="DF727" s="528">
        <v>13750000</v>
      </c>
      <c r="DG727" s="757">
        <v>13750000</v>
      </c>
      <c r="DH727" s="758"/>
      <c r="DI727" s="528">
        <v>13750000</v>
      </c>
      <c r="DJ727" s="757">
        <v>13750000</v>
      </c>
      <c r="DK727" s="758"/>
      <c r="DL727" s="528">
        <v>13750000</v>
      </c>
      <c r="DM727" s="757">
        <v>13750000</v>
      </c>
      <c r="DN727" s="758"/>
      <c r="DO727" s="528">
        <v>13750000</v>
      </c>
      <c r="DP727" s="757">
        <v>13750000</v>
      </c>
      <c r="DQ727" s="493">
        <f t="shared" si="433"/>
        <v>55000000</v>
      </c>
      <c r="DR727" s="479">
        <f t="shared" si="434"/>
        <v>110000000</v>
      </c>
      <c r="DS727" s="1020"/>
      <c r="DT727" s="1020"/>
      <c r="DU727" s="1020"/>
      <c r="DV727" s="1020"/>
      <c r="DW727" s="1020"/>
      <c r="DX727" s="1020"/>
      <c r="DY727" s="1020"/>
      <c r="DZ727" s="1020"/>
      <c r="EA727" s="1020"/>
      <c r="EB727" s="1020"/>
      <c r="EC727" s="1020"/>
      <c r="ED727" s="1020"/>
      <c r="EE727" s="1119">
        <f t="shared" si="435"/>
        <v>0</v>
      </c>
      <c r="EF727" s="443">
        <v>240000000</v>
      </c>
      <c r="EG727" s="443">
        <v>1000000000</v>
      </c>
      <c r="EH727" s="443">
        <f>EG727*1.5</f>
        <v>1500000000</v>
      </c>
      <c r="EI727" s="443">
        <f>EH727*1.5</f>
        <v>2250000000</v>
      </c>
      <c r="EL727" s="177"/>
      <c r="EM727" s="177"/>
      <c r="EN727" s="177"/>
    </row>
    <row r="728" spans="1:144" outlineLevel="2">
      <c r="A728" s="367" t="s">
        <v>194</v>
      </c>
      <c r="B728" s="378"/>
      <c r="C728" s="370" t="s">
        <v>688</v>
      </c>
      <c r="D728" s="370" t="s">
        <v>108</v>
      </c>
      <c r="E728" s="383" t="s">
        <v>198</v>
      </c>
      <c r="F728" s="380">
        <v>3000009088</v>
      </c>
      <c r="G728" s="196"/>
      <c r="H728" s="31"/>
      <c r="I728" s="185"/>
      <c r="J728" s="185"/>
      <c r="K728" s="185"/>
      <c r="L728" s="185"/>
      <c r="M728" s="185"/>
      <c r="N728" s="185"/>
      <c r="O728" s="7"/>
      <c r="P728" s="7"/>
      <c r="Q728" s="7"/>
      <c r="R728" s="7"/>
      <c r="S728" s="14">
        <f>SUM(G728,H728,I728,J728,K728,L728,M728,N728,O728,P728,Q728,R728)</f>
        <v>0</v>
      </c>
      <c r="T728" s="179"/>
      <c r="U728" s="196"/>
      <c r="V728" s="31"/>
      <c r="W728" s="185"/>
      <c r="X728" s="185"/>
      <c r="Y728" s="185"/>
      <c r="Z728" s="185"/>
      <c r="AA728" s="185"/>
      <c r="AB728" s="185"/>
      <c r="AC728" s="7"/>
      <c r="AD728" s="7"/>
      <c r="AE728" s="7"/>
      <c r="AF728" s="7"/>
      <c r="AG728" s="759">
        <f>SUM(U728,V728,W728,X728,Y728,Z728,AA728,AB728,AC728,AD728,AE728,AF728)</f>
        <v>0</v>
      </c>
      <c r="AH728" s="811" t="e">
        <v>#N/A</v>
      </c>
      <c r="AI728" s="485"/>
      <c r="AJ728" s="874"/>
      <c r="AK728" s="758"/>
      <c r="AL728" s="758"/>
      <c r="AM728" s="758"/>
      <c r="AN728" s="758"/>
      <c r="AO728" s="758"/>
      <c r="AP728" s="758"/>
      <c r="AQ728" s="518">
        <v>0</v>
      </c>
      <c r="AR728" s="518"/>
      <c r="AS728" s="518"/>
      <c r="AT728" s="518"/>
      <c r="AU728" s="518">
        <f>BI728</f>
        <v>0</v>
      </c>
      <c r="AV728" s="518">
        <f>BJ728</f>
        <v>0</v>
      </c>
      <c r="AW728" s="518">
        <f>BK728</f>
        <v>0</v>
      </c>
      <c r="AX728" s="518">
        <f>SUM(AI728,AJ728,AK728,AL728,AM728,AN728,AO728,AP728,AQ728,AR728,AS728,AT728)</f>
        <v>0</v>
      </c>
      <c r="AY728" s="811">
        <v>0</v>
      </c>
      <c r="AZ728" s="485"/>
      <c r="BA728" s="874"/>
      <c r="BB728" s="758"/>
      <c r="BC728" s="758"/>
      <c r="BD728" s="758"/>
      <c r="BE728" s="758"/>
      <c r="BF728" s="758"/>
      <c r="BG728" s="518">
        <f>AP728</f>
        <v>0</v>
      </c>
      <c r="BH728" s="758">
        <v>0</v>
      </c>
      <c r="BI728" s="758">
        <v>0</v>
      </c>
      <c r="BJ728" s="758">
        <v>0</v>
      </c>
      <c r="BK728" s="758">
        <v>0</v>
      </c>
      <c r="BL728" s="759">
        <f>SUM(AZ728,BA728,BB728,BC728,BD728,BE728,BF728,BG728,BH728,BI728,BJ728,BK728)</f>
        <v>0</v>
      </c>
      <c r="BN728" s="758">
        <v>125000000</v>
      </c>
      <c r="BO728" s="758">
        <v>125000000</v>
      </c>
      <c r="BP728" s="758">
        <v>125000000</v>
      </c>
      <c r="BQ728" s="758">
        <v>125000000</v>
      </c>
      <c r="BR728" s="758">
        <v>125000000</v>
      </c>
      <c r="BS728" s="758">
        <v>125000000</v>
      </c>
      <c r="BT728" s="758">
        <v>125000000</v>
      </c>
      <c r="BU728" s="758">
        <v>125000000</v>
      </c>
      <c r="BV728" s="758">
        <v>125000000</v>
      </c>
      <c r="BW728" s="758">
        <v>125000000</v>
      </c>
      <c r="BX728" s="758">
        <v>125000000</v>
      </c>
      <c r="BY728" s="758">
        <v>125000000</v>
      </c>
      <c r="BZ728" s="791">
        <v>1500000000</v>
      </c>
      <c r="CB728" s="758">
        <v>125000000</v>
      </c>
      <c r="CC728" s="758">
        <v>125000000</v>
      </c>
      <c r="CD728" s="758">
        <v>125000000</v>
      </c>
      <c r="CE728" s="758">
        <v>125000000</v>
      </c>
      <c r="CF728" s="758">
        <v>125000000</v>
      </c>
      <c r="CG728" s="758">
        <v>125000000</v>
      </c>
      <c r="CH728" s="758">
        <v>125000000</v>
      </c>
      <c r="CI728" s="758">
        <v>125000000</v>
      </c>
      <c r="CJ728" s="758">
        <v>125000000</v>
      </c>
      <c r="CK728" s="758">
        <v>125000000</v>
      </c>
      <c r="CL728" s="758">
        <v>125000000</v>
      </c>
      <c r="CM728" s="758">
        <v>125000000</v>
      </c>
      <c r="CN728" s="791">
        <v>1500000000</v>
      </c>
      <c r="CO728" s="37"/>
      <c r="CP728" s="657"/>
      <c r="CQ728" s="657"/>
      <c r="CR728" s="528"/>
      <c r="CS728" s="657"/>
      <c r="CT728" s="528"/>
      <c r="CU728" s="657"/>
      <c r="CV728" s="528"/>
      <c r="CW728" s="657"/>
      <c r="CX728" s="528">
        <v>0</v>
      </c>
      <c r="CY728" s="657"/>
      <c r="CZ728" s="528">
        <v>0</v>
      </c>
      <c r="DA728" s="657"/>
      <c r="DB728" s="528"/>
      <c r="DC728" s="657">
        <v>0</v>
      </c>
      <c r="DD728" s="528"/>
      <c r="DE728" s="758"/>
      <c r="DF728" s="528"/>
      <c r="DG728" s="757"/>
      <c r="DH728" s="758"/>
      <c r="DI728" s="528"/>
      <c r="DJ728" s="757"/>
      <c r="DK728" s="758"/>
      <c r="DL728" s="528"/>
      <c r="DM728" s="757"/>
      <c r="DN728" s="758"/>
      <c r="DO728" s="528"/>
      <c r="DP728" s="757"/>
      <c r="DQ728" s="493">
        <f t="shared" si="433"/>
        <v>0</v>
      </c>
      <c r="DR728" s="479">
        <f t="shared" si="434"/>
        <v>0</v>
      </c>
      <c r="DS728" s="1020"/>
      <c r="DT728" s="1020"/>
      <c r="DU728" s="1020"/>
      <c r="DV728" s="1020"/>
      <c r="DW728" s="1020"/>
      <c r="DX728" s="1020"/>
      <c r="DY728" s="1020"/>
      <c r="DZ728" s="1020"/>
      <c r="EA728" s="1020"/>
      <c r="EB728" s="1020"/>
      <c r="EC728" s="1020"/>
      <c r="ED728" s="1020"/>
      <c r="EE728" s="1119">
        <f t="shared" si="435"/>
        <v>0</v>
      </c>
      <c r="EF728" s="443">
        <f>EE728*1.17</f>
        <v>0</v>
      </c>
      <c r="EG728" s="443">
        <v>2275000000</v>
      </c>
      <c r="EH728" s="443">
        <v>2480000000</v>
      </c>
      <c r="EI728" s="443">
        <v>2480000000</v>
      </c>
      <c r="EJ728" s="367">
        <v>3000009088</v>
      </c>
      <c r="EL728" s="177"/>
      <c r="EM728" s="177"/>
      <c r="EN728" s="177"/>
    </row>
    <row r="729" spans="1:144" outlineLevel="2">
      <c r="A729" s="367" t="s">
        <v>194</v>
      </c>
      <c r="B729" s="378"/>
      <c r="C729" s="370" t="s">
        <v>688</v>
      </c>
      <c r="D729" s="370" t="s">
        <v>108</v>
      </c>
      <c r="E729" s="383" t="s">
        <v>199</v>
      </c>
      <c r="F729" s="380">
        <v>3000001618</v>
      </c>
      <c r="G729" s="196"/>
      <c r="H729" s="31"/>
      <c r="I729" s="185"/>
      <c r="J729" s="185"/>
      <c r="K729" s="185"/>
      <c r="L729" s="185"/>
      <c r="M729" s="185"/>
      <c r="N729" s="185"/>
      <c r="O729" s="7"/>
      <c r="P729" s="7"/>
      <c r="Q729" s="7"/>
      <c r="R729" s="7"/>
      <c r="S729" s="14"/>
      <c r="T729" s="179"/>
      <c r="U729" s="196"/>
      <c r="V729" s="31"/>
      <c r="W729" s="185"/>
      <c r="X729" s="185"/>
      <c r="Y729" s="185"/>
      <c r="Z729" s="185"/>
      <c r="AA729" s="185"/>
      <c r="AB729" s="185"/>
      <c r="AC729" s="7"/>
      <c r="AD729" s="7"/>
      <c r="AE729" s="7"/>
      <c r="AF729" s="7"/>
      <c r="AG729" s="759"/>
      <c r="AH729" s="811"/>
      <c r="AI729" s="485"/>
      <c r="AJ729" s="874"/>
      <c r="AK729" s="758"/>
      <c r="AL729" s="758"/>
      <c r="AM729" s="758"/>
      <c r="AN729" s="758"/>
      <c r="AO729" s="758"/>
      <c r="AP729" s="758"/>
      <c r="AQ729" s="518"/>
      <c r="AR729" s="518"/>
      <c r="AS729" s="518"/>
      <c r="AT729" s="518"/>
      <c r="AU729" s="518"/>
      <c r="AV729" s="518"/>
      <c r="AW729" s="518"/>
      <c r="AX729" s="518">
        <f>SUM(AI729,AJ729,AK729,AL729,AM729,AN729,AO729,AP729,AQ729,AR729,AS729,AT729)</f>
        <v>0</v>
      </c>
      <c r="AY729" s="811"/>
      <c r="AZ729" s="485"/>
      <c r="BA729" s="874"/>
      <c r="BB729" s="758"/>
      <c r="BC729" s="758"/>
      <c r="BD729" s="758"/>
      <c r="BE729" s="758"/>
      <c r="BF729" s="758"/>
      <c r="BG729" s="518"/>
      <c r="BH729" s="758"/>
      <c r="BI729" s="758"/>
      <c r="BJ729" s="758"/>
      <c r="BK729" s="758"/>
      <c r="BL729" s="759"/>
      <c r="BN729" s="758">
        <v>0</v>
      </c>
      <c r="BO729" s="758">
        <v>0</v>
      </c>
      <c r="BP729" s="758">
        <v>0</v>
      </c>
      <c r="BQ729" s="758">
        <v>0</v>
      </c>
      <c r="BR729" s="758">
        <v>0</v>
      </c>
      <c r="BS729" s="758">
        <v>0</v>
      </c>
      <c r="BT729" s="758">
        <v>0</v>
      </c>
      <c r="BU729" s="758">
        <v>0</v>
      </c>
      <c r="BV729" s="758">
        <v>0</v>
      </c>
      <c r="BW729" s="758">
        <v>0</v>
      </c>
      <c r="BX729" s="758">
        <v>0</v>
      </c>
      <c r="BY729" s="758">
        <v>0</v>
      </c>
      <c r="BZ729" s="791">
        <v>0</v>
      </c>
      <c r="CB729" s="758">
        <v>0</v>
      </c>
      <c r="CC729" s="758">
        <v>0</v>
      </c>
      <c r="CD729" s="758">
        <v>0</v>
      </c>
      <c r="CE729" s="758">
        <v>0</v>
      </c>
      <c r="CF729" s="758">
        <v>0</v>
      </c>
      <c r="CG729" s="758">
        <v>0</v>
      </c>
      <c r="CH729" s="758">
        <v>0</v>
      </c>
      <c r="CI729" s="758">
        <v>0</v>
      </c>
      <c r="CJ729" s="758">
        <v>0</v>
      </c>
      <c r="CK729" s="758">
        <v>0</v>
      </c>
      <c r="CL729" s="758">
        <v>0</v>
      </c>
      <c r="CM729" s="758">
        <v>0</v>
      </c>
      <c r="CN729" s="791">
        <v>0</v>
      </c>
      <c r="CO729" s="37"/>
      <c r="CP729" s="657"/>
      <c r="CQ729" s="657"/>
      <c r="CR729" s="528"/>
      <c r="CS729" s="657"/>
      <c r="CT729" s="528"/>
      <c r="CU729" s="657"/>
      <c r="CV729" s="528"/>
      <c r="CW729" s="657"/>
      <c r="CX729" s="528">
        <v>0</v>
      </c>
      <c r="CY729" s="657"/>
      <c r="CZ729" s="528">
        <v>0</v>
      </c>
      <c r="DA729" s="657"/>
      <c r="DB729" s="528">
        <v>20000000</v>
      </c>
      <c r="DC729" s="657">
        <v>0</v>
      </c>
      <c r="DD729" s="528">
        <v>20000000</v>
      </c>
      <c r="DE729" s="758"/>
      <c r="DF729" s="528">
        <v>20000000</v>
      </c>
      <c r="DG729" s="757">
        <v>20000000</v>
      </c>
      <c r="DH729" s="758"/>
      <c r="DI729" s="528">
        <v>20000000</v>
      </c>
      <c r="DJ729" s="757">
        <v>20000000</v>
      </c>
      <c r="DK729" s="758"/>
      <c r="DL729" s="528">
        <v>20000000</v>
      </c>
      <c r="DM729" s="757">
        <v>20000000</v>
      </c>
      <c r="DN729" s="758"/>
      <c r="DO729" s="528">
        <v>20000000</v>
      </c>
      <c r="DP729" s="757">
        <v>20000000</v>
      </c>
      <c r="DQ729" s="493">
        <f t="shared" si="433"/>
        <v>80000000</v>
      </c>
      <c r="DR729" s="479">
        <f t="shared" si="434"/>
        <v>120000000</v>
      </c>
      <c r="DS729" s="1020"/>
      <c r="DT729" s="1020"/>
      <c r="DU729" s="1020"/>
      <c r="DV729" s="1020"/>
      <c r="DW729" s="1020"/>
      <c r="DX729" s="1020"/>
      <c r="DY729" s="1020"/>
      <c r="DZ729" s="1020"/>
      <c r="EA729" s="1020"/>
      <c r="EB729" s="1020"/>
      <c r="EC729" s="1020"/>
      <c r="ED729" s="1020"/>
      <c r="EE729" s="1119">
        <f t="shared" si="435"/>
        <v>0</v>
      </c>
      <c r="EF729" s="443">
        <f>EE729*1.17</f>
        <v>0</v>
      </c>
      <c r="EG729" s="443">
        <f>EF729*1.08</f>
        <v>0</v>
      </c>
      <c r="EH729" s="443">
        <f>EG729*1.09</f>
        <v>0</v>
      </c>
      <c r="EI729" s="443">
        <f>EH729*1.09</f>
        <v>0</v>
      </c>
      <c r="EJ729" s="367">
        <v>3000001618</v>
      </c>
      <c r="EL729" s="177"/>
      <c r="EM729" s="177"/>
      <c r="EN729" s="177"/>
    </row>
    <row r="730" spans="1:144" outlineLevel="2">
      <c r="A730" s="389"/>
      <c r="B730" s="378"/>
      <c r="C730" s="370" t="s">
        <v>688</v>
      </c>
      <c r="D730" s="370" t="s">
        <v>108</v>
      </c>
      <c r="E730" s="383" t="s">
        <v>901</v>
      </c>
      <c r="F730" s="380">
        <v>3000018153</v>
      </c>
      <c r="G730" s="196"/>
      <c r="H730" s="31"/>
      <c r="I730" s="185"/>
      <c r="J730" s="185"/>
      <c r="K730" s="185"/>
      <c r="L730" s="185"/>
      <c r="M730" s="185"/>
      <c r="N730" s="185"/>
      <c r="O730" s="7"/>
      <c r="P730" s="7"/>
      <c r="Q730" s="7"/>
      <c r="R730" s="7"/>
      <c r="S730" s="14"/>
      <c r="T730" s="179"/>
      <c r="U730" s="196"/>
      <c r="V730" s="31"/>
      <c r="W730" s="185"/>
      <c r="X730" s="185"/>
      <c r="Y730" s="185"/>
      <c r="Z730" s="185"/>
      <c r="AA730" s="185"/>
      <c r="AB730" s="185"/>
      <c r="AC730" s="7"/>
      <c r="AD730" s="7"/>
      <c r="AE730" s="7"/>
      <c r="AF730" s="7"/>
      <c r="AG730" s="759"/>
      <c r="AH730" s="811"/>
      <c r="AI730" s="485"/>
      <c r="AJ730" s="874"/>
      <c r="AK730" s="758"/>
      <c r="AL730" s="758"/>
      <c r="AM730" s="758"/>
      <c r="AN730" s="758"/>
      <c r="AO730" s="758"/>
      <c r="AP730" s="758"/>
      <c r="AQ730" s="518"/>
      <c r="AR730" s="518"/>
      <c r="AS730" s="518"/>
      <c r="AT730" s="518"/>
      <c r="AU730" s="518"/>
      <c r="AV730" s="518"/>
      <c r="AW730" s="518"/>
      <c r="AX730" s="518"/>
      <c r="AY730" s="811"/>
      <c r="AZ730" s="485"/>
      <c r="BA730" s="874"/>
      <c r="BB730" s="758"/>
      <c r="BC730" s="758"/>
      <c r="BD730" s="758"/>
      <c r="BE730" s="758"/>
      <c r="BF730" s="758"/>
      <c r="BG730" s="518"/>
      <c r="BH730" s="758"/>
      <c r="BI730" s="758"/>
      <c r="BJ730" s="758"/>
      <c r="BK730" s="758"/>
      <c r="BL730" s="759"/>
      <c r="BN730" s="758"/>
      <c r="BO730" s="758"/>
      <c r="BP730" s="758"/>
      <c r="BQ730" s="758"/>
      <c r="BR730" s="758"/>
      <c r="BS730" s="758"/>
      <c r="BT730" s="758"/>
      <c r="BU730" s="758"/>
      <c r="BV730" s="758"/>
      <c r="BW730" s="758"/>
      <c r="BX730" s="758"/>
      <c r="BY730" s="758"/>
      <c r="BZ730" s="791"/>
      <c r="CB730" s="758"/>
      <c r="CC730" s="758"/>
      <c r="CD730" s="758"/>
      <c r="CE730" s="758"/>
      <c r="CF730" s="758"/>
      <c r="CG730" s="758"/>
      <c r="CH730" s="758"/>
      <c r="CI730" s="758"/>
      <c r="CJ730" s="758"/>
      <c r="CK730" s="758"/>
      <c r="CL730" s="758"/>
      <c r="CM730" s="758"/>
      <c r="CN730" s="791"/>
      <c r="CO730" s="37"/>
      <c r="CP730" s="657"/>
      <c r="CQ730" s="657"/>
      <c r="CR730" s="528"/>
      <c r="CS730" s="657">
        <v>26974600</v>
      </c>
      <c r="CT730" s="528"/>
      <c r="CU730" s="657">
        <v>38255200</v>
      </c>
      <c r="CV730" s="528"/>
      <c r="CW730" s="657"/>
      <c r="CX730" s="528">
        <v>0</v>
      </c>
      <c r="CY730" s="657">
        <v>80330000</v>
      </c>
      <c r="CZ730" s="528">
        <v>56000000</v>
      </c>
      <c r="DA730" s="657">
        <v>71912800</v>
      </c>
      <c r="DB730" s="528">
        <v>60000000</v>
      </c>
      <c r="DC730" s="657">
        <v>0</v>
      </c>
      <c r="DD730" s="528">
        <v>60000000</v>
      </c>
      <c r="DE730" s="758"/>
      <c r="DF730" s="528">
        <v>60000000</v>
      </c>
      <c r="DG730" s="757">
        <v>60000000</v>
      </c>
      <c r="DH730" s="758"/>
      <c r="DI730" s="528">
        <v>60000000</v>
      </c>
      <c r="DJ730" s="757">
        <v>60000000</v>
      </c>
      <c r="DK730" s="758"/>
      <c r="DL730" s="528">
        <v>60000000</v>
      </c>
      <c r="DM730" s="757">
        <v>60000000</v>
      </c>
      <c r="DN730" s="758"/>
      <c r="DO730" s="528">
        <v>60000000</v>
      </c>
      <c r="DP730" s="757">
        <v>60000000</v>
      </c>
      <c r="DQ730" s="493">
        <f t="shared" si="433"/>
        <v>457472600</v>
      </c>
      <c r="DR730" s="479">
        <f t="shared" si="434"/>
        <v>481229800</v>
      </c>
      <c r="DS730" s="1020"/>
      <c r="DT730" s="1020"/>
      <c r="DU730" s="1020"/>
      <c r="DV730" s="1020"/>
      <c r="DW730" s="1020"/>
      <c r="DX730" s="1020"/>
      <c r="DY730" s="1020"/>
      <c r="DZ730" s="1020"/>
      <c r="EA730" s="1020"/>
      <c r="EB730" s="1020"/>
      <c r="EC730" s="1020"/>
      <c r="ED730" s="1020"/>
      <c r="EE730" s="1119">
        <f t="shared" si="435"/>
        <v>0</v>
      </c>
      <c r="EF730" s="443"/>
      <c r="EG730" s="443"/>
      <c r="EH730" s="443"/>
      <c r="EI730" s="443"/>
      <c r="EL730" s="177"/>
      <c r="EM730" s="177"/>
      <c r="EN730" s="177"/>
    </row>
    <row r="731" spans="1:144" outlineLevel="2">
      <c r="A731" s="433" t="s">
        <v>194</v>
      </c>
      <c r="B731" s="378"/>
      <c r="C731" s="370" t="s">
        <v>688</v>
      </c>
      <c r="D731" s="370" t="s">
        <v>108</v>
      </c>
      <c r="E731" s="383" t="s">
        <v>902</v>
      </c>
      <c r="F731" s="380">
        <v>3000007314</v>
      </c>
      <c r="G731" s="196"/>
      <c r="H731" s="31"/>
      <c r="I731" s="185"/>
      <c r="J731" s="185"/>
      <c r="K731" s="185"/>
      <c r="L731" s="185"/>
      <c r="M731" s="185"/>
      <c r="N731" s="185"/>
      <c r="O731" s="7"/>
      <c r="P731" s="7"/>
      <c r="Q731" s="7"/>
      <c r="R731" s="7"/>
      <c r="S731" s="14"/>
      <c r="T731" s="179"/>
      <c r="U731" s="196"/>
      <c r="V731" s="31"/>
      <c r="W731" s="185"/>
      <c r="X731" s="185"/>
      <c r="Y731" s="185"/>
      <c r="Z731" s="185"/>
      <c r="AA731" s="185"/>
      <c r="AB731" s="185"/>
      <c r="AC731" s="7"/>
      <c r="AD731" s="7"/>
      <c r="AE731" s="7"/>
      <c r="AF731" s="7"/>
      <c r="AG731" s="759"/>
      <c r="AH731" s="811"/>
      <c r="AI731" s="485"/>
      <c r="AJ731" s="874"/>
      <c r="AK731" s="758"/>
      <c r="AL731" s="758"/>
      <c r="AM731" s="758"/>
      <c r="AN731" s="758"/>
      <c r="AO731" s="758"/>
      <c r="AP731" s="758"/>
      <c r="AQ731" s="518"/>
      <c r="AR731" s="518"/>
      <c r="AS731" s="518"/>
      <c r="AT731" s="518"/>
      <c r="AU731" s="518"/>
      <c r="AV731" s="518"/>
      <c r="AW731" s="518"/>
      <c r="AX731" s="518">
        <f t="shared" ref="AX731:AX744" si="436">SUM(AI731,AJ731,AK731,AL731,AM731,AN731,AO731,AP731,AQ731,AR731,AS731,AT731)</f>
        <v>0</v>
      </c>
      <c r="AY731" s="811"/>
      <c r="AZ731" s="485"/>
      <c r="BA731" s="874"/>
      <c r="BB731" s="758"/>
      <c r="BC731" s="758"/>
      <c r="BD731" s="758"/>
      <c r="BE731" s="758"/>
      <c r="BF731" s="758"/>
      <c r="BG731" s="518"/>
      <c r="BH731" s="758"/>
      <c r="BI731" s="758"/>
      <c r="BJ731" s="758"/>
      <c r="BK731" s="758"/>
      <c r="BL731" s="759"/>
      <c r="BN731" s="758"/>
      <c r="BO731" s="758"/>
      <c r="BP731" s="758"/>
      <c r="BQ731" s="758"/>
      <c r="BR731" s="758"/>
      <c r="BS731" s="758"/>
      <c r="BT731" s="758"/>
      <c r="BU731" s="758"/>
      <c r="BV731" s="758"/>
      <c r="BW731" s="758"/>
      <c r="BX731" s="758"/>
      <c r="BY731" s="758"/>
      <c r="BZ731" s="791">
        <v>0</v>
      </c>
      <c r="CB731" s="758"/>
      <c r="CC731" s="758"/>
      <c r="CD731" s="758"/>
      <c r="CE731" s="758"/>
      <c r="CF731" s="758"/>
      <c r="CG731" s="758"/>
      <c r="CH731" s="758"/>
      <c r="CI731" s="758"/>
      <c r="CJ731" s="758"/>
      <c r="CK731" s="758"/>
      <c r="CL731" s="758"/>
      <c r="CM731" s="758"/>
      <c r="CN731" s="791">
        <v>0</v>
      </c>
      <c r="CO731" s="37"/>
      <c r="CP731" s="657"/>
      <c r="CQ731" s="657"/>
      <c r="CR731" s="528"/>
      <c r="CS731" s="657"/>
      <c r="CT731" s="528">
        <f>10*1400000</f>
        <v>14000000</v>
      </c>
      <c r="CU731" s="657">
        <v>26127200</v>
      </c>
      <c r="CV731" s="528">
        <v>28000000</v>
      </c>
      <c r="CW731" s="657"/>
      <c r="CX731" s="528">
        <v>0</v>
      </c>
      <c r="CY731" s="657"/>
      <c r="CZ731" s="528">
        <v>0</v>
      </c>
      <c r="DA731" s="657"/>
      <c r="DB731" s="528" t="s">
        <v>615</v>
      </c>
      <c r="DC731" s="657">
        <v>0</v>
      </c>
      <c r="DD731" s="528" t="s">
        <v>615</v>
      </c>
      <c r="DE731" s="758"/>
      <c r="DF731" s="528" t="s">
        <v>615</v>
      </c>
      <c r="DG731" s="757" t="s">
        <v>615</v>
      </c>
      <c r="DH731" s="758"/>
      <c r="DI731" s="528" t="s">
        <v>615</v>
      </c>
      <c r="DJ731" s="757" t="s">
        <v>615</v>
      </c>
      <c r="DK731" s="758"/>
      <c r="DL731" s="528" t="s">
        <v>615</v>
      </c>
      <c r="DM731" s="757" t="s">
        <v>615</v>
      </c>
      <c r="DN731" s="758"/>
      <c r="DO731" s="528" t="s">
        <v>615</v>
      </c>
      <c r="DP731" s="757" t="s">
        <v>615</v>
      </c>
      <c r="DQ731" s="493">
        <f t="shared" si="433"/>
        <v>26127200</v>
      </c>
      <c r="DR731" s="479">
        <f t="shared" si="434"/>
        <v>26127200</v>
      </c>
      <c r="DS731" s="1020"/>
      <c r="DT731" s="1020"/>
      <c r="DU731" s="1020"/>
      <c r="DV731" s="1020"/>
      <c r="DW731" s="1020"/>
      <c r="DX731" s="1020"/>
      <c r="DY731" s="1020"/>
      <c r="DZ731" s="1020"/>
      <c r="EA731" s="1020"/>
      <c r="EB731" s="1020"/>
      <c r="EC731" s="1020"/>
      <c r="ED731" s="1020"/>
      <c r="EE731" s="1119">
        <f t="shared" si="435"/>
        <v>0</v>
      </c>
      <c r="EF731" s="443">
        <v>240000000</v>
      </c>
      <c r="EG731" s="443">
        <v>510000000</v>
      </c>
      <c r="EH731" s="443">
        <v>1500000000</v>
      </c>
      <c r="EI731" s="443">
        <v>1500000000</v>
      </c>
      <c r="EL731" s="177"/>
      <c r="EM731" s="177"/>
      <c r="EN731" s="177"/>
    </row>
    <row r="732" spans="1:144" outlineLevel="2">
      <c r="A732" s="433" t="s">
        <v>276</v>
      </c>
      <c r="B732" s="378"/>
      <c r="C732" s="370" t="s">
        <v>688</v>
      </c>
      <c r="D732" s="370" t="s">
        <v>108</v>
      </c>
      <c r="E732" s="383" t="s">
        <v>903</v>
      </c>
      <c r="F732" s="390"/>
      <c r="G732" s="196"/>
      <c r="H732" s="31"/>
      <c r="I732" s="185"/>
      <c r="J732" s="185"/>
      <c r="K732" s="185"/>
      <c r="L732" s="185"/>
      <c r="M732" s="185"/>
      <c r="N732" s="185"/>
      <c r="O732" s="7"/>
      <c r="P732" s="7"/>
      <c r="Q732" s="7"/>
      <c r="R732" s="7"/>
      <c r="S732" s="14"/>
      <c r="T732" s="179"/>
      <c r="U732" s="196"/>
      <c r="V732" s="31"/>
      <c r="W732" s="185"/>
      <c r="X732" s="185"/>
      <c r="Y732" s="185"/>
      <c r="Z732" s="185"/>
      <c r="AA732" s="185"/>
      <c r="AB732" s="185"/>
      <c r="AC732" s="7"/>
      <c r="AD732" s="7"/>
      <c r="AE732" s="7"/>
      <c r="AF732" s="7"/>
      <c r="AG732" s="759"/>
      <c r="AH732" s="811"/>
      <c r="AI732" s="485"/>
      <c r="AJ732" s="874"/>
      <c r="AK732" s="758"/>
      <c r="AL732" s="758"/>
      <c r="AM732" s="758"/>
      <c r="AN732" s="758"/>
      <c r="AO732" s="758"/>
      <c r="AP732" s="758"/>
      <c r="AQ732" s="518"/>
      <c r="AR732" s="518"/>
      <c r="AS732" s="518"/>
      <c r="AT732" s="518"/>
      <c r="AU732" s="518"/>
      <c r="AV732" s="518"/>
      <c r="AW732" s="518"/>
      <c r="AX732" s="518">
        <f t="shared" si="436"/>
        <v>0</v>
      </c>
      <c r="AY732" s="811"/>
      <c r="AZ732" s="485"/>
      <c r="BA732" s="874"/>
      <c r="BB732" s="758"/>
      <c r="BC732" s="758"/>
      <c r="BD732" s="758"/>
      <c r="BE732" s="758"/>
      <c r="BF732" s="758"/>
      <c r="BG732" s="518"/>
      <c r="BH732" s="758"/>
      <c r="BI732" s="758"/>
      <c r="BJ732" s="758"/>
      <c r="BK732" s="758"/>
      <c r="BL732" s="759"/>
      <c r="BN732" s="758"/>
      <c r="BO732" s="758"/>
      <c r="BP732" s="758"/>
      <c r="BQ732" s="758"/>
      <c r="BR732" s="758"/>
      <c r="BS732" s="758"/>
      <c r="BT732" s="758"/>
      <c r="BU732" s="758"/>
      <c r="BV732" s="758"/>
      <c r="BW732" s="758"/>
      <c r="BX732" s="758"/>
      <c r="BY732" s="758"/>
      <c r="BZ732" s="791">
        <v>0</v>
      </c>
      <c r="CB732" s="758"/>
      <c r="CC732" s="758"/>
      <c r="CD732" s="758"/>
      <c r="CE732" s="758"/>
      <c r="CF732" s="758"/>
      <c r="CG732" s="758"/>
      <c r="CH732" s="758"/>
      <c r="CI732" s="758"/>
      <c r="CJ732" s="758"/>
      <c r="CK732" s="758"/>
      <c r="CL732" s="758"/>
      <c r="CM732" s="758"/>
      <c r="CN732" s="791">
        <v>0</v>
      </c>
      <c r="CO732" s="37"/>
      <c r="CP732" s="657"/>
      <c r="CQ732" s="657"/>
      <c r="CR732" s="528"/>
      <c r="CS732" s="657"/>
      <c r="CT732" s="528"/>
      <c r="CU732" s="657"/>
      <c r="CV732" s="528">
        <v>15000000</v>
      </c>
      <c r="CW732" s="657"/>
      <c r="CX732" s="528">
        <v>0</v>
      </c>
      <c r="CY732" s="657"/>
      <c r="CZ732" s="528">
        <v>0</v>
      </c>
      <c r="DA732" s="657"/>
      <c r="DB732" s="528" t="s">
        <v>615</v>
      </c>
      <c r="DC732" s="657">
        <v>0</v>
      </c>
      <c r="DD732" s="528" t="s">
        <v>615</v>
      </c>
      <c r="DE732" s="758"/>
      <c r="DF732" s="528" t="s">
        <v>615</v>
      </c>
      <c r="DG732" s="757" t="s">
        <v>615</v>
      </c>
      <c r="DH732" s="758"/>
      <c r="DI732" s="528" t="s">
        <v>615</v>
      </c>
      <c r="DJ732" s="757" t="s">
        <v>615</v>
      </c>
      <c r="DK732" s="758"/>
      <c r="DL732" s="528" t="s">
        <v>615</v>
      </c>
      <c r="DM732" s="757" t="s">
        <v>615</v>
      </c>
      <c r="DN732" s="758"/>
      <c r="DO732" s="528" t="s">
        <v>615</v>
      </c>
      <c r="DP732" s="757" t="s">
        <v>615</v>
      </c>
      <c r="DQ732" s="493">
        <f t="shared" si="433"/>
        <v>0</v>
      </c>
      <c r="DR732" s="479">
        <f t="shared" si="434"/>
        <v>0</v>
      </c>
      <c r="DS732" s="1020"/>
      <c r="DT732" s="1020"/>
      <c r="DU732" s="1020"/>
      <c r="DV732" s="1020"/>
      <c r="DW732" s="1020"/>
      <c r="DX732" s="1020"/>
      <c r="DY732" s="1020"/>
      <c r="DZ732" s="1020"/>
      <c r="EA732" s="1020"/>
      <c r="EB732" s="1020"/>
      <c r="EC732" s="1020"/>
      <c r="ED732" s="1020"/>
      <c r="EE732" s="1119">
        <f t="shared" si="435"/>
        <v>0</v>
      </c>
      <c r="EF732" s="443">
        <v>240000000</v>
      </c>
      <c r="EG732" s="443">
        <v>510000000</v>
      </c>
      <c r="EH732" s="443">
        <v>1500000000</v>
      </c>
      <c r="EI732" s="443">
        <v>1500000000</v>
      </c>
      <c r="EL732" s="177"/>
      <c r="EM732" s="177"/>
      <c r="EN732" s="177"/>
    </row>
    <row r="733" spans="1:144" outlineLevel="2">
      <c r="A733" s="433" t="s">
        <v>276</v>
      </c>
      <c r="B733" s="378"/>
      <c r="C733" s="370" t="s">
        <v>688</v>
      </c>
      <c r="D733" s="370" t="s">
        <v>108</v>
      </c>
      <c r="E733" s="383" t="s">
        <v>649</v>
      </c>
      <c r="F733" s="390"/>
      <c r="G733" s="196"/>
      <c r="H733" s="30"/>
      <c r="I733" s="195"/>
      <c r="J733" s="185"/>
      <c r="K733" s="185"/>
      <c r="L733" s="185"/>
      <c r="M733" s="185"/>
      <c r="N733" s="185"/>
      <c r="O733" s="7"/>
      <c r="P733" s="7"/>
      <c r="Q733" s="7"/>
      <c r="R733" s="7"/>
      <c r="S733" s="14"/>
      <c r="T733" s="179"/>
      <c r="U733" s="196"/>
      <c r="V733" s="30"/>
      <c r="W733" s="195"/>
      <c r="X733" s="185"/>
      <c r="Y733" s="185"/>
      <c r="Z733" s="185"/>
      <c r="AA733" s="185"/>
      <c r="AB733" s="185"/>
      <c r="AC733" s="7"/>
      <c r="AD733" s="7"/>
      <c r="AE733" s="7"/>
      <c r="AF733" s="7"/>
      <c r="AG733" s="759"/>
      <c r="AH733" s="811"/>
      <c r="AI733" s="485"/>
      <c r="AJ733" s="859"/>
      <c r="AK733" s="854"/>
      <c r="AL733" s="758"/>
      <c r="AM733" s="758"/>
      <c r="AN733" s="758"/>
      <c r="AO733" s="758"/>
      <c r="AP733" s="758"/>
      <c r="AQ733" s="518"/>
      <c r="AR733" s="518"/>
      <c r="AS733" s="518"/>
      <c r="AT733" s="518"/>
      <c r="AU733" s="518"/>
      <c r="AV733" s="518"/>
      <c r="AW733" s="518"/>
      <c r="AX733" s="518">
        <f t="shared" si="436"/>
        <v>0</v>
      </c>
      <c r="AY733" s="811"/>
      <c r="AZ733" s="485"/>
      <c r="BA733" s="859"/>
      <c r="BB733" s="854"/>
      <c r="BC733" s="758"/>
      <c r="BD733" s="758"/>
      <c r="BE733" s="758"/>
      <c r="BF733" s="758"/>
      <c r="BG733" s="518"/>
      <c r="BH733" s="758"/>
      <c r="BI733" s="758"/>
      <c r="BJ733" s="758"/>
      <c r="BK733" s="758"/>
      <c r="BL733" s="759"/>
      <c r="BN733" s="758"/>
      <c r="BO733" s="758"/>
      <c r="BP733" s="758"/>
      <c r="BQ733" s="758"/>
      <c r="BR733" s="758"/>
      <c r="BS733" s="758"/>
      <c r="BT733" s="758"/>
      <c r="BU733" s="758"/>
      <c r="BV733" s="758"/>
      <c r="BW733" s="758"/>
      <c r="BX733" s="758"/>
      <c r="BY733" s="758"/>
      <c r="BZ733" s="791">
        <v>0</v>
      </c>
      <c r="CB733" s="758"/>
      <c r="CC733" s="758"/>
      <c r="CD733" s="758"/>
      <c r="CE733" s="758"/>
      <c r="CF733" s="758"/>
      <c r="CG733" s="758"/>
      <c r="CH733" s="758"/>
      <c r="CI733" s="758"/>
      <c r="CJ733" s="758"/>
      <c r="CK733" s="758"/>
      <c r="CL733" s="758"/>
      <c r="CM733" s="758"/>
      <c r="CN733" s="791">
        <v>0</v>
      </c>
      <c r="CO733" s="37"/>
      <c r="CP733" s="657"/>
      <c r="CQ733" s="657"/>
      <c r="CR733" s="528"/>
      <c r="CS733" s="657"/>
      <c r="CT733" s="528"/>
      <c r="CU733" s="657"/>
      <c r="CV733" s="528">
        <v>50000000</v>
      </c>
      <c r="CW733" s="657"/>
      <c r="CX733" s="528">
        <v>0</v>
      </c>
      <c r="CY733" s="657"/>
      <c r="CZ733" s="528">
        <v>50000000</v>
      </c>
      <c r="DA733" s="657"/>
      <c r="DB733" s="528">
        <v>50000000</v>
      </c>
      <c r="DC733" s="657">
        <v>0</v>
      </c>
      <c r="DD733" s="528">
        <v>50000000</v>
      </c>
      <c r="DE733" s="758"/>
      <c r="DF733" s="528">
        <v>75000000</v>
      </c>
      <c r="DG733" s="757">
        <v>75000000</v>
      </c>
      <c r="DH733" s="758"/>
      <c r="DI733" s="528">
        <v>75000000</v>
      </c>
      <c r="DJ733" s="757">
        <v>75000000</v>
      </c>
      <c r="DK733" s="758"/>
      <c r="DL733" s="528">
        <v>100000000</v>
      </c>
      <c r="DM733" s="757">
        <v>100000000</v>
      </c>
      <c r="DN733" s="758"/>
      <c r="DO733" s="528">
        <v>100000000</v>
      </c>
      <c r="DP733" s="757">
        <v>100000000</v>
      </c>
      <c r="DQ733" s="493">
        <f t="shared" si="433"/>
        <v>350000000</v>
      </c>
      <c r="DR733" s="479">
        <f t="shared" si="434"/>
        <v>500000000</v>
      </c>
      <c r="DS733" s="1020">
        <v>50000000</v>
      </c>
      <c r="DT733" s="1020">
        <v>50000000</v>
      </c>
      <c r="DU733" s="1020">
        <v>50000000</v>
      </c>
      <c r="DV733" s="1020">
        <v>50000000</v>
      </c>
      <c r="DW733" s="1020">
        <v>50000000</v>
      </c>
      <c r="DX733" s="1020">
        <v>50000000</v>
      </c>
      <c r="DY733" s="1020">
        <v>50000000</v>
      </c>
      <c r="DZ733" s="1020">
        <v>50000000</v>
      </c>
      <c r="EA733" s="1020">
        <v>50000000</v>
      </c>
      <c r="EB733" s="1020">
        <v>50000000</v>
      </c>
      <c r="EC733" s="1020">
        <v>50000000</v>
      </c>
      <c r="ED733" s="1020">
        <v>50000000</v>
      </c>
      <c r="EE733" s="1119">
        <f t="shared" si="435"/>
        <v>600000000</v>
      </c>
      <c r="EF733" s="443">
        <v>240000000</v>
      </c>
      <c r="EG733" s="443">
        <v>510000000</v>
      </c>
      <c r="EH733" s="443">
        <v>1500000000</v>
      </c>
      <c r="EI733" s="443">
        <v>1500000000</v>
      </c>
      <c r="EL733" s="177"/>
      <c r="EM733" s="177"/>
      <c r="EN733" s="177"/>
    </row>
    <row r="734" spans="1:144" outlineLevel="2">
      <c r="A734" s="433"/>
      <c r="B734" s="378"/>
      <c r="C734" s="370" t="s">
        <v>688</v>
      </c>
      <c r="D734" s="370" t="s">
        <v>108</v>
      </c>
      <c r="E734" s="383" t="s">
        <v>904</v>
      </c>
      <c r="F734" s="390">
        <v>3000002723</v>
      </c>
      <c r="G734" s="196"/>
      <c r="H734" s="153"/>
      <c r="I734" s="195"/>
      <c r="J734" s="185"/>
      <c r="K734" s="185"/>
      <c r="L734" s="185"/>
      <c r="M734" s="185"/>
      <c r="N734" s="185"/>
      <c r="O734" s="7"/>
      <c r="P734" s="7"/>
      <c r="Q734" s="7"/>
      <c r="R734" s="7"/>
      <c r="S734" s="14"/>
      <c r="T734" s="179"/>
      <c r="U734" s="196"/>
      <c r="V734" s="153"/>
      <c r="W734" s="195"/>
      <c r="X734" s="185"/>
      <c r="Y734" s="185"/>
      <c r="Z734" s="185"/>
      <c r="AA734" s="185"/>
      <c r="AB734" s="185"/>
      <c r="AC734" s="7"/>
      <c r="AD734" s="7"/>
      <c r="AE734" s="7"/>
      <c r="AF734" s="7"/>
      <c r="AG734" s="759"/>
      <c r="AH734" s="811"/>
      <c r="AI734" s="485"/>
      <c r="AJ734" s="860"/>
      <c r="AK734" s="854"/>
      <c r="AL734" s="758"/>
      <c r="AM734" s="758"/>
      <c r="AN734" s="758"/>
      <c r="AO734" s="758"/>
      <c r="AP734" s="758"/>
      <c r="AQ734" s="518"/>
      <c r="AR734" s="518"/>
      <c r="AS734" s="518"/>
      <c r="AT734" s="518"/>
      <c r="AU734" s="518"/>
      <c r="AV734" s="518"/>
      <c r="AW734" s="518"/>
      <c r="AX734" s="518"/>
      <c r="AY734" s="811"/>
      <c r="AZ734" s="485"/>
      <c r="BA734" s="860"/>
      <c r="BB734" s="854"/>
      <c r="BC734" s="758"/>
      <c r="BD734" s="758"/>
      <c r="BE734" s="758"/>
      <c r="BF734" s="758"/>
      <c r="BG734" s="518"/>
      <c r="BH734" s="758"/>
      <c r="BI734" s="758"/>
      <c r="BJ734" s="758"/>
      <c r="BK734" s="758"/>
      <c r="BL734" s="759"/>
      <c r="BN734" s="758"/>
      <c r="BO734" s="758"/>
      <c r="BP734" s="758"/>
      <c r="BQ734" s="758"/>
      <c r="BR734" s="758"/>
      <c r="BS734" s="758"/>
      <c r="BT734" s="758"/>
      <c r="BU734" s="758"/>
      <c r="BV734" s="758"/>
      <c r="BW734" s="758"/>
      <c r="BX734" s="758"/>
      <c r="BY734" s="758"/>
      <c r="BZ734" s="791"/>
      <c r="CB734" s="758"/>
      <c r="CC734" s="758"/>
      <c r="CD734" s="758"/>
      <c r="CE734" s="758"/>
      <c r="CF734" s="758"/>
      <c r="CG734" s="758"/>
      <c r="CH734" s="758"/>
      <c r="CI734" s="758"/>
      <c r="CJ734" s="758"/>
      <c r="CK734" s="758"/>
      <c r="CL734" s="758"/>
      <c r="CM734" s="758"/>
      <c r="CN734" s="791"/>
      <c r="CO734" s="37"/>
      <c r="CP734" s="657"/>
      <c r="CQ734" s="657"/>
      <c r="CR734" s="528"/>
      <c r="CS734" s="657"/>
      <c r="CT734" s="528"/>
      <c r="CU734" s="657"/>
      <c r="CV734" s="528"/>
      <c r="CW734" s="657"/>
      <c r="CX734" s="528"/>
      <c r="CY734" s="657"/>
      <c r="CZ734" s="528"/>
      <c r="DA734" s="657"/>
      <c r="DB734" s="528"/>
      <c r="DC734" s="657">
        <v>9924800</v>
      </c>
      <c r="DD734" s="528"/>
      <c r="DE734" s="758"/>
      <c r="DF734" s="528"/>
      <c r="DG734" s="757"/>
      <c r="DH734" s="758"/>
      <c r="DI734" s="528"/>
      <c r="DJ734" s="757"/>
      <c r="DK734" s="758"/>
      <c r="DL734" s="528"/>
      <c r="DM734" s="757"/>
      <c r="DN734" s="758"/>
      <c r="DO734" s="528"/>
      <c r="DP734" s="757"/>
      <c r="DQ734" s="493">
        <f t="shared" si="433"/>
        <v>9924800</v>
      </c>
      <c r="DR734" s="479"/>
      <c r="DS734" s="1020"/>
      <c r="DT734" s="1020"/>
      <c r="DU734" s="1020">
        <v>50000000</v>
      </c>
      <c r="DV734" s="1020"/>
      <c r="DW734" s="1020"/>
      <c r="DX734" s="1020">
        <v>50000000</v>
      </c>
      <c r="DY734" s="1020"/>
      <c r="DZ734" s="1020"/>
      <c r="EA734" s="1020">
        <v>50000000</v>
      </c>
      <c r="EB734" s="1020"/>
      <c r="EC734" s="1020"/>
      <c r="ED734" s="1020">
        <v>50000000</v>
      </c>
      <c r="EE734" s="1119">
        <f t="shared" si="435"/>
        <v>200000000</v>
      </c>
      <c r="EF734" s="443"/>
      <c r="EG734" s="443"/>
      <c r="EH734" s="443"/>
      <c r="EI734" s="443"/>
      <c r="EL734" s="177"/>
      <c r="EM734" s="177"/>
      <c r="EN734" s="177"/>
    </row>
    <row r="735" spans="1:144" outlineLevel="2">
      <c r="A735" s="433"/>
      <c r="B735" s="378"/>
      <c r="C735" s="370" t="s">
        <v>688</v>
      </c>
      <c r="D735" s="370" t="s">
        <v>108</v>
      </c>
      <c r="E735" s="383" t="s">
        <v>905</v>
      </c>
      <c r="F735" s="390">
        <v>3000003265</v>
      </c>
      <c r="G735" s="196"/>
      <c r="H735" s="153"/>
      <c r="I735" s="195"/>
      <c r="J735" s="185"/>
      <c r="K735" s="185"/>
      <c r="L735" s="185"/>
      <c r="M735" s="185"/>
      <c r="N735" s="185"/>
      <c r="O735" s="7"/>
      <c r="P735" s="7"/>
      <c r="Q735" s="7"/>
      <c r="R735" s="7"/>
      <c r="S735" s="14"/>
      <c r="T735" s="179"/>
      <c r="U735" s="196"/>
      <c r="V735" s="153"/>
      <c r="W735" s="195"/>
      <c r="X735" s="185"/>
      <c r="Y735" s="185"/>
      <c r="Z735" s="185"/>
      <c r="AA735" s="185"/>
      <c r="AB735" s="185"/>
      <c r="AC735" s="7"/>
      <c r="AD735" s="7"/>
      <c r="AE735" s="7"/>
      <c r="AF735" s="7"/>
      <c r="AG735" s="759"/>
      <c r="AH735" s="811"/>
      <c r="AI735" s="485"/>
      <c r="AJ735" s="860"/>
      <c r="AK735" s="854"/>
      <c r="AL735" s="758"/>
      <c r="AM735" s="758"/>
      <c r="AN735" s="758"/>
      <c r="AO735" s="758"/>
      <c r="AP735" s="758"/>
      <c r="AQ735" s="518"/>
      <c r="AR735" s="518"/>
      <c r="AS735" s="518"/>
      <c r="AT735" s="518"/>
      <c r="AU735" s="518"/>
      <c r="AV735" s="518"/>
      <c r="AW735" s="518"/>
      <c r="AX735" s="518"/>
      <c r="AY735" s="811"/>
      <c r="AZ735" s="485"/>
      <c r="BA735" s="860"/>
      <c r="BB735" s="854"/>
      <c r="BC735" s="758"/>
      <c r="BD735" s="758"/>
      <c r="BE735" s="758"/>
      <c r="BF735" s="758"/>
      <c r="BG735" s="518"/>
      <c r="BH735" s="758"/>
      <c r="BI735" s="758"/>
      <c r="BJ735" s="758"/>
      <c r="BK735" s="758"/>
      <c r="BL735" s="759"/>
      <c r="BN735" s="758"/>
      <c r="BO735" s="758"/>
      <c r="BP735" s="758"/>
      <c r="BQ735" s="758"/>
      <c r="BR735" s="758"/>
      <c r="BS735" s="758"/>
      <c r="BT735" s="758"/>
      <c r="BU735" s="758"/>
      <c r="BV735" s="758"/>
      <c r="BW735" s="758"/>
      <c r="BX735" s="758"/>
      <c r="BY735" s="758"/>
      <c r="BZ735" s="791"/>
      <c r="CB735" s="758"/>
      <c r="CC735" s="758"/>
      <c r="CD735" s="758"/>
      <c r="CE735" s="758"/>
      <c r="CF735" s="758"/>
      <c r="CG735" s="758"/>
      <c r="CH735" s="758"/>
      <c r="CI735" s="758"/>
      <c r="CJ735" s="758"/>
      <c r="CK735" s="758"/>
      <c r="CL735" s="758"/>
      <c r="CM735" s="758"/>
      <c r="CN735" s="791"/>
      <c r="CO735" s="37"/>
      <c r="CP735" s="657"/>
      <c r="CQ735" s="657"/>
      <c r="CR735" s="528"/>
      <c r="CS735" s="657"/>
      <c r="CT735" s="528"/>
      <c r="CU735" s="657"/>
      <c r="CV735" s="528"/>
      <c r="CW735" s="657"/>
      <c r="CX735" s="528"/>
      <c r="CY735" s="657"/>
      <c r="CZ735" s="528"/>
      <c r="DA735" s="657"/>
      <c r="DB735" s="528"/>
      <c r="DC735" s="657">
        <v>3150000</v>
      </c>
      <c r="DD735" s="528"/>
      <c r="DE735" s="758"/>
      <c r="DF735" s="528"/>
      <c r="DG735" s="757"/>
      <c r="DH735" s="758"/>
      <c r="DI735" s="528"/>
      <c r="DJ735" s="757"/>
      <c r="DK735" s="758"/>
      <c r="DL735" s="528"/>
      <c r="DM735" s="757"/>
      <c r="DN735" s="758"/>
      <c r="DO735" s="528"/>
      <c r="DP735" s="757"/>
      <c r="DQ735" s="493">
        <f t="shared" si="433"/>
        <v>3150000</v>
      </c>
      <c r="DR735" s="479"/>
      <c r="DS735" s="1020"/>
      <c r="DT735" s="1020"/>
      <c r="DU735" s="1020"/>
      <c r="DV735" s="1020"/>
      <c r="DW735" s="1020"/>
      <c r="DX735" s="1020"/>
      <c r="DY735" s="1020"/>
      <c r="DZ735" s="1020"/>
      <c r="EA735" s="1020"/>
      <c r="EB735" s="1020"/>
      <c r="EC735" s="1020"/>
      <c r="ED735" s="1020"/>
      <c r="EE735" s="1119">
        <f t="shared" si="435"/>
        <v>0</v>
      </c>
      <c r="EF735" s="443"/>
      <c r="EG735" s="443"/>
      <c r="EH735" s="443"/>
      <c r="EI735" s="443"/>
      <c r="EL735" s="177"/>
      <c r="EM735" s="177"/>
      <c r="EN735" s="177"/>
    </row>
    <row r="736" spans="1:144" outlineLevel="2">
      <c r="A736" s="433" t="s">
        <v>276</v>
      </c>
      <c r="B736" s="378"/>
      <c r="C736" s="370" t="s">
        <v>688</v>
      </c>
      <c r="D736" s="370" t="s">
        <v>108</v>
      </c>
      <c r="E736" s="383" t="s">
        <v>906</v>
      </c>
      <c r="F736" s="380">
        <v>3000003652</v>
      </c>
      <c r="G736" s="185"/>
      <c r="H736" s="31"/>
      <c r="I736" s="195"/>
      <c r="J736" s="185"/>
      <c r="K736" s="185"/>
      <c r="L736" s="185"/>
      <c r="M736" s="185"/>
      <c r="N736" s="185"/>
      <c r="O736" s="7"/>
      <c r="P736" s="7"/>
      <c r="Q736" s="7"/>
      <c r="R736" s="7"/>
      <c r="S736" s="14"/>
      <c r="T736" s="15"/>
      <c r="U736" s="185"/>
      <c r="V736" s="31"/>
      <c r="W736" s="195"/>
      <c r="X736" s="185"/>
      <c r="Y736" s="185"/>
      <c r="Z736" s="185"/>
      <c r="AA736" s="185"/>
      <c r="AB736" s="185"/>
      <c r="AC736" s="7"/>
      <c r="AD736" s="7"/>
      <c r="AE736" s="7"/>
      <c r="AF736" s="7"/>
      <c r="AG736" s="759"/>
      <c r="AH736" s="811"/>
      <c r="AI736" s="758"/>
      <c r="AJ736" s="874"/>
      <c r="AK736" s="854"/>
      <c r="AL736" s="758"/>
      <c r="AM736" s="758"/>
      <c r="AN736" s="758"/>
      <c r="AO736" s="758"/>
      <c r="AP736" s="758"/>
      <c r="AQ736" s="518"/>
      <c r="AR736" s="518"/>
      <c r="AS736" s="518"/>
      <c r="AT736" s="518"/>
      <c r="AU736" s="518"/>
      <c r="AV736" s="518"/>
      <c r="AW736" s="518"/>
      <c r="AX736" s="518">
        <f t="shared" si="436"/>
        <v>0</v>
      </c>
      <c r="AY736" s="811"/>
      <c r="AZ736" s="758"/>
      <c r="BA736" s="874"/>
      <c r="BB736" s="854"/>
      <c r="BC736" s="758"/>
      <c r="BD736" s="758"/>
      <c r="BE736" s="758"/>
      <c r="BF736" s="758"/>
      <c r="BG736" s="518"/>
      <c r="BH736" s="758"/>
      <c r="BI736" s="758"/>
      <c r="BJ736" s="758"/>
      <c r="BK736" s="758"/>
      <c r="BL736" s="759"/>
      <c r="BN736" s="758">
        <v>45000000</v>
      </c>
      <c r="BO736" s="758">
        <v>45000000</v>
      </c>
      <c r="BP736" s="758">
        <v>45000000</v>
      </c>
      <c r="BQ736" s="758">
        <v>45000000</v>
      </c>
      <c r="BR736" s="758">
        <v>50000000</v>
      </c>
      <c r="BS736" s="758">
        <v>45000000</v>
      </c>
      <c r="BT736" s="758">
        <v>45000000</v>
      </c>
      <c r="BU736" s="758">
        <v>45000000</v>
      </c>
      <c r="BV736" s="758">
        <v>45000000</v>
      </c>
      <c r="BW736" s="758">
        <v>45000000</v>
      </c>
      <c r="BX736" s="758">
        <v>45000000</v>
      </c>
      <c r="BY736" s="758">
        <v>45921809</v>
      </c>
      <c r="BZ736" s="791">
        <v>545921809</v>
      </c>
      <c r="CB736" s="758">
        <v>45000000</v>
      </c>
      <c r="CC736" s="758">
        <v>45000000</v>
      </c>
      <c r="CD736" s="758">
        <v>45000000</v>
      </c>
      <c r="CE736" s="758">
        <v>45000000</v>
      </c>
      <c r="CF736" s="758">
        <v>50000000</v>
      </c>
      <c r="CG736" s="758">
        <v>45000000</v>
      </c>
      <c r="CH736" s="758">
        <v>45000000</v>
      </c>
      <c r="CI736" s="758">
        <v>45000000</v>
      </c>
      <c r="CJ736" s="758">
        <v>45000000</v>
      </c>
      <c r="CK736" s="758">
        <v>45000000</v>
      </c>
      <c r="CL736" s="758">
        <v>45000000</v>
      </c>
      <c r="CM736" s="758">
        <v>45921809</v>
      </c>
      <c r="CN736" s="791">
        <v>545921809</v>
      </c>
      <c r="CO736" s="37"/>
      <c r="CP736" s="657"/>
      <c r="CQ736" s="657"/>
      <c r="CR736" s="528"/>
      <c r="CS736" s="657"/>
      <c r="CT736" s="528"/>
      <c r="CU736" s="657"/>
      <c r="CV736" s="528">
        <v>15000000</v>
      </c>
      <c r="CW736" s="657">
        <v>1500000</v>
      </c>
      <c r="CX736" s="528">
        <v>15000000</v>
      </c>
      <c r="CY736" s="657"/>
      <c r="CZ736" s="528">
        <v>0</v>
      </c>
      <c r="DA736" s="657"/>
      <c r="DB736" s="528" t="s">
        <v>615</v>
      </c>
      <c r="DC736" s="657">
        <v>0</v>
      </c>
      <c r="DD736" s="528" t="s">
        <v>615</v>
      </c>
      <c r="DE736" s="758"/>
      <c r="DF736" s="528" t="s">
        <v>615</v>
      </c>
      <c r="DG736" s="757" t="s">
        <v>615</v>
      </c>
      <c r="DH736" s="758"/>
      <c r="DI736" s="528" t="s">
        <v>615</v>
      </c>
      <c r="DJ736" s="757" t="s">
        <v>615</v>
      </c>
      <c r="DK736" s="758"/>
      <c r="DL736" s="528" t="s">
        <v>615</v>
      </c>
      <c r="DM736" s="757" t="s">
        <v>615</v>
      </c>
      <c r="DN736" s="758"/>
      <c r="DO736" s="528" t="s">
        <v>615</v>
      </c>
      <c r="DP736" s="757" t="s">
        <v>615</v>
      </c>
      <c r="DQ736" s="493">
        <f t="shared" si="433"/>
        <v>1500000</v>
      </c>
      <c r="DR736" s="479">
        <f>SUM(CP736,CQ736,CS736,CU736,CX736,CZ736,DB736,DD736,DG736,DJ736,DM736,DP736)</f>
        <v>15000000</v>
      </c>
      <c r="DS736" s="1020"/>
      <c r="DT736" s="1020"/>
      <c r="DU736" s="1020"/>
      <c r="DV736" s="1020"/>
      <c r="DW736" s="1020"/>
      <c r="DX736" s="1020"/>
      <c r="DY736" s="1020"/>
      <c r="DZ736" s="1020"/>
      <c r="EA736" s="1020"/>
      <c r="EB736" s="1020"/>
      <c r="EC736" s="1020"/>
      <c r="ED736" s="1020"/>
      <c r="EE736" s="1119">
        <f t="shared" si="435"/>
        <v>0</v>
      </c>
      <c r="EF736" s="443">
        <v>767000000</v>
      </c>
      <c r="EG736" s="443">
        <f>EF736*1.5</f>
        <v>1150500000</v>
      </c>
      <c r="EH736" s="443">
        <f>EG736*1.5</f>
        <v>1725750000</v>
      </c>
      <c r="EI736" s="443">
        <f>EH736*1.5</f>
        <v>2588625000</v>
      </c>
      <c r="EL736" s="177"/>
      <c r="EM736" s="177"/>
      <c r="EN736" s="177"/>
    </row>
    <row r="737" spans="1:156" outlineLevel="2">
      <c r="A737" s="433" t="s">
        <v>276</v>
      </c>
      <c r="B737" s="378"/>
      <c r="C737" s="370" t="s">
        <v>688</v>
      </c>
      <c r="D737" s="370" t="s">
        <v>108</v>
      </c>
      <c r="E737" s="383" t="s">
        <v>907</v>
      </c>
      <c r="F737" s="434">
        <v>3000019455</v>
      </c>
      <c r="G737" s="188"/>
      <c r="H737" s="31"/>
      <c r="I737" s="245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79"/>
      <c r="U737" s="188"/>
      <c r="V737" s="31"/>
      <c r="W737" s="245"/>
      <c r="X737" s="14"/>
      <c r="Y737" s="14"/>
      <c r="Z737" s="14"/>
      <c r="AA737" s="14"/>
      <c r="AB737" s="14"/>
      <c r="AC737" s="14"/>
      <c r="AD737" s="14"/>
      <c r="AE737" s="14"/>
      <c r="AF737" s="14"/>
      <c r="AG737" s="759"/>
      <c r="AH737" s="811"/>
      <c r="AI737" s="827"/>
      <c r="AJ737" s="874"/>
      <c r="AK737" s="876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>
        <f t="shared" si="436"/>
        <v>0</v>
      </c>
      <c r="AY737" s="811"/>
      <c r="AZ737" s="827"/>
      <c r="BA737" s="874"/>
      <c r="BB737" s="876"/>
      <c r="BC737" s="759"/>
      <c r="BD737" s="759"/>
      <c r="BE737" s="759"/>
      <c r="BF737" s="759"/>
      <c r="BG737" s="759"/>
      <c r="BH737" s="759"/>
      <c r="BI737" s="759"/>
      <c r="BJ737" s="759"/>
      <c r="BK737" s="759"/>
      <c r="BL737" s="759"/>
      <c r="BM737" s="877"/>
      <c r="BN737" s="759"/>
      <c r="BO737" s="759"/>
      <c r="BP737" s="759"/>
      <c r="BQ737" s="759"/>
      <c r="BR737" s="759"/>
      <c r="BS737" s="759"/>
      <c r="BT737" s="759"/>
      <c r="BU737" s="759"/>
      <c r="BV737" s="759"/>
      <c r="BW737" s="759"/>
      <c r="BX737" s="759"/>
      <c r="BY737" s="759"/>
      <c r="BZ737" s="878">
        <v>0</v>
      </c>
      <c r="CB737" s="759"/>
      <c r="CC737" s="759"/>
      <c r="CD737" s="759"/>
      <c r="CE737" s="759"/>
      <c r="CF737" s="759"/>
      <c r="CG737" s="759"/>
      <c r="CH737" s="759"/>
      <c r="CI737" s="759"/>
      <c r="CJ737" s="759"/>
      <c r="CK737" s="759"/>
      <c r="CL737" s="759"/>
      <c r="CM737" s="759"/>
      <c r="CN737" s="878">
        <v>0</v>
      </c>
      <c r="CO737" s="879"/>
      <c r="CP737" s="663"/>
      <c r="CQ737" s="663"/>
      <c r="CR737" s="617"/>
      <c r="CS737" s="663"/>
      <c r="CT737" s="617">
        <v>10000000</v>
      </c>
      <c r="CU737" s="663">
        <v>4133126</v>
      </c>
      <c r="CV737" s="617">
        <v>25000000</v>
      </c>
      <c r="CW737" s="663">
        <v>24304046</v>
      </c>
      <c r="CX737" s="617">
        <v>35000000</v>
      </c>
      <c r="CY737" s="663">
        <v>7416000</v>
      </c>
      <c r="CZ737" s="617">
        <v>50000000</v>
      </c>
      <c r="DA737" s="663">
        <v>8016893</v>
      </c>
      <c r="DB737" s="617">
        <v>50000000</v>
      </c>
      <c r="DC737" s="663">
        <v>8111000</v>
      </c>
      <c r="DD737" s="617">
        <v>50000000</v>
      </c>
      <c r="DE737" s="759"/>
      <c r="DF737" s="617">
        <v>50000000</v>
      </c>
      <c r="DG737" s="748">
        <v>50000000</v>
      </c>
      <c r="DH737" s="759"/>
      <c r="DI737" s="617">
        <v>50000000</v>
      </c>
      <c r="DJ737" s="748">
        <v>50000000</v>
      </c>
      <c r="DK737" s="759"/>
      <c r="DL737" s="617">
        <v>50000000</v>
      </c>
      <c r="DM737" s="748">
        <v>50000000</v>
      </c>
      <c r="DN737" s="759"/>
      <c r="DO737" s="617">
        <v>50000000</v>
      </c>
      <c r="DP737" s="748">
        <v>50000000</v>
      </c>
      <c r="DQ737" s="493">
        <f t="shared" si="433"/>
        <v>251981065</v>
      </c>
      <c r="DR737" s="479">
        <f>SUM(CP737,CQ737,CS737,CU737,CX737,CZ737,DB737,DD737,DG737,DJ737,DM737,DP737)</f>
        <v>389133126</v>
      </c>
      <c r="DS737" s="1180">
        <v>75000000</v>
      </c>
      <c r="DT737" s="1180">
        <v>75000000</v>
      </c>
      <c r="DU737" s="1180">
        <v>75000000</v>
      </c>
      <c r="DV737" s="1180">
        <v>75000000</v>
      </c>
      <c r="DW737" s="1180">
        <v>75000000</v>
      </c>
      <c r="DX737" s="1180">
        <v>75000000</v>
      </c>
      <c r="DY737" s="1180">
        <v>75000000</v>
      </c>
      <c r="DZ737" s="1180">
        <v>75000000</v>
      </c>
      <c r="EA737" s="1180">
        <v>75000000</v>
      </c>
      <c r="EB737" s="1180">
        <v>75000000</v>
      </c>
      <c r="EC737" s="1180">
        <v>75000000</v>
      </c>
      <c r="ED737" s="1180">
        <v>75000000</v>
      </c>
      <c r="EE737" s="1119">
        <f t="shared" si="435"/>
        <v>900000000</v>
      </c>
      <c r="EF737" s="450">
        <v>240000000</v>
      </c>
      <c r="EG737" s="450">
        <v>1000000000</v>
      </c>
      <c r="EH737" s="450">
        <f>EG737*1.5</f>
        <v>1500000000</v>
      </c>
      <c r="EI737" s="450">
        <f>EH737*1.5</f>
        <v>2250000000</v>
      </c>
      <c r="EJ737" s="1026"/>
      <c r="EK737" s="1026"/>
      <c r="EL737" s="43"/>
      <c r="EM737" s="43"/>
      <c r="EN737" s="43"/>
      <c r="EO737" s="144"/>
      <c r="EP737" s="144"/>
      <c r="EQ737" s="144"/>
      <c r="ER737" s="144"/>
      <c r="ES737" s="144"/>
      <c r="ET737" s="144"/>
      <c r="EU737" s="144"/>
      <c r="EV737" s="144"/>
      <c r="EW737" s="144"/>
      <c r="EX737" s="144"/>
      <c r="EY737" s="144"/>
      <c r="EZ737" s="144"/>
    </row>
    <row r="738" spans="1:156" outlineLevel="2">
      <c r="A738" s="433" t="s">
        <v>276</v>
      </c>
      <c r="B738" s="378"/>
      <c r="C738" s="370" t="s">
        <v>688</v>
      </c>
      <c r="D738" s="370" t="s">
        <v>108</v>
      </c>
      <c r="E738" s="383" t="s">
        <v>908</v>
      </c>
      <c r="F738" s="434">
        <v>3000012177</v>
      </c>
      <c r="G738" s="188"/>
      <c r="H738" s="31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79"/>
      <c r="U738" s="188"/>
      <c r="V738" s="31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759"/>
      <c r="AH738" s="811"/>
      <c r="AI738" s="827"/>
      <c r="AJ738" s="874"/>
      <c r="AK738" s="759"/>
      <c r="AL738" s="759"/>
      <c r="AM738" s="759"/>
      <c r="AN738" s="759"/>
      <c r="AO738" s="759"/>
      <c r="AP738" s="759"/>
      <c r="AQ738" s="759"/>
      <c r="AR738" s="759"/>
      <c r="AS738" s="759"/>
      <c r="AT738" s="759"/>
      <c r="AU738" s="759"/>
      <c r="AV738" s="759"/>
      <c r="AW738" s="759"/>
      <c r="AX738" s="759">
        <f t="shared" si="436"/>
        <v>0</v>
      </c>
      <c r="AY738" s="811"/>
      <c r="AZ738" s="827"/>
      <c r="BA738" s="874"/>
      <c r="BB738" s="759"/>
      <c r="BC738" s="759"/>
      <c r="BD738" s="759"/>
      <c r="BE738" s="759"/>
      <c r="BF738" s="759"/>
      <c r="BG738" s="759"/>
      <c r="BH738" s="759"/>
      <c r="BI738" s="759"/>
      <c r="BJ738" s="759"/>
      <c r="BK738" s="759"/>
      <c r="BL738" s="759"/>
      <c r="BM738" s="877"/>
      <c r="BN738" s="759"/>
      <c r="BO738" s="759"/>
      <c r="BP738" s="759"/>
      <c r="BQ738" s="759"/>
      <c r="BR738" s="759"/>
      <c r="BS738" s="759"/>
      <c r="BT738" s="759"/>
      <c r="BU738" s="759"/>
      <c r="BV738" s="759"/>
      <c r="BW738" s="759"/>
      <c r="BX738" s="759"/>
      <c r="BY738" s="759"/>
      <c r="BZ738" s="878">
        <v>0</v>
      </c>
      <c r="CB738" s="759"/>
      <c r="CC738" s="759"/>
      <c r="CD738" s="759"/>
      <c r="CE738" s="759"/>
      <c r="CF738" s="759"/>
      <c r="CG738" s="759"/>
      <c r="CH738" s="759"/>
      <c r="CI738" s="759"/>
      <c r="CJ738" s="759"/>
      <c r="CK738" s="759"/>
      <c r="CL738" s="759"/>
      <c r="CM738" s="759"/>
      <c r="CN738" s="878">
        <v>0</v>
      </c>
      <c r="CO738" s="879"/>
      <c r="CP738" s="663"/>
      <c r="CQ738" s="663"/>
      <c r="CR738" s="617"/>
      <c r="CS738" s="663"/>
      <c r="CT738" s="617">
        <v>10000000</v>
      </c>
      <c r="CU738" s="663"/>
      <c r="CV738" s="617">
        <v>50000000</v>
      </c>
      <c r="CW738" s="663"/>
      <c r="CX738" s="617">
        <v>25000000</v>
      </c>
      <c r="CY738" s="663"/>
      <c r="CZ738" s="617">
        <v>25000000</v>
      </c>
      <c r="DA738" s="663"/>
      <c r="DB738" s="617">
        <v>25000000</v>
      </c>
      <c r="DC738" s="663">
        <v>0</v>
      </c>
      <c r="DD738" s="617">
        <v>25000000</v>
      </c>
      <c r="DE738" s="759"/>
      <c r="DF738" s="617">
        <v>25000000</v>
      </c>
      <c r="DG738" s="748">
        <v>25000000</v>
      </c>
      <c r="DH738" s="759"/>
      <c r="DI738" s="617">
        <v>25000000</v>
      </c>
      <c r="DJ738" s="748">
        <v>25000000</v>
      </c>
      <c r="DK738" s="759"/>
      <c r="DL738" s="617">
        <v>25000000</v>
      </c>
      <c r="DM738" s="748">
        <v>25000000</v>
      </c>
      <c r="DN738" s="759"/>
      <c r="DO738" s="617">
        <v>25000000</v>
      </c>
      <c r="DP738" s="748">
        <v>25000000</v>
      </c>
      <c r="DQ738" s="493">
        <f t="shared" si="433"/>
        <v>100000000</v>
      </c>
      <c r="DR738" s="479">
        <f>SUM(CP738,CQ738,CS738,CU738,CX738,CZ738,DB738,DD738,DG738,DJ738,DM738,DP738)</f>
        <v>200000000</v>
      </c>
      <c r="DS738" s="1180"/>
      <c r="DT738" s="1180"/>
      <c r="DU738" s="1180"/>
      <c r="DV738" s="1180"/>
      <c r="DW738" s="1180"/>
      <c r="DX738" s="1180"/>
      <c r="DY738" s="1180"/>
      <c r="DZ738" s="1180"/>
      <c r="EA738" s="1180"/>
      <c r="EB738" s="1180"/>
      <c r="EC738" s="1180"/>
      <c r="ED738" s="1180"/>
      <c r="EE738" s="1119">
        <f t="shared" si="435"/>
        <v>0</v>
      </c>
      <c r="EF738" s="450">
        <v>240000000</v>
      </c>
      <c r="EG738" s="450">
        <v>1000000000</v>
      </c>
      <c r="EH738" s="450">
        <f>EG738*1.5</f>
        <v>1500000000</v>
      </c>
      <c r="EI738" s="450">
        <f>EH738*1.5</f>
        <v>2250000000</v>
      </c>
      <c r="EJ738" s="1026"/>
      <c r="EK738" s="1026"/>
      <c r="EL738" s="43"/>
      <c r="EM738" s="43"/>
      <c r="EN738" s="43"/>
      <c r="EO738" s="144"/>
      <c r="EP738" s="144"/>
      <c r="EQ738" s="144"/>
      <c r="ER738" s="144"/>
      <c r="ES738" s="144"/>
      <c r="ET738" s="144"/>
      <c r="EU738" s="144"/>
      <c r="EV738" s="144"/>
      <c r="EW738" s="144"/>
      <c r="EX738" s="144"/>
      <c r="EY738" s="144"/>
      <c r="EZ738" s="144"/>
    </row>
    <row r="739" spans="1:156" outlineLevel="2">
      <c r="A739" s="433" t="s">
        <v>276</v>
      </c>
      <c r="B739" s="378"/>
      <c r="C739" s="370" t="s">
        <v>688</v>
      </c>
      <c r="D739" s="370" t="s">
        <v>108</v>
      </c>
      <c r="E739" s="383" t="s">
        <v>909</v>
      </c>
      <c r="F739" s="380">
        <v>3000020980</v>
      </c>
      <c r="G739" s="196"/>
      <c r="H739" s="31"/>
      <c r="I739" s="185"/>
      <c r="J739" s="185"/>
      <c r="K739" s="185"/>
      <c r="L739" s="185"/>
      <c r="M739" s="185"/>
      <c r="N739" s="185"/>
      <c r="O739" s="7"/>
      <c r="P739" s="7"/>
      <c r="Q739" s="7"/>
      <c r="R739" s="7"/>
      <c r="S739" s="14"/>
      <c r="T739" s="179"/>
      <c r="U739" s="196"/>
      <c r="V739" s="31"/>
      <c r="W739" s="185"/>
      <c r="X739" s="185"/>
      <c r="Y739" s="185"/>
      <c r="Z739" s="185"/>
      <c r="AA739" s="185"/>
      <c r="AB739" s="185"/>
      <c r="AC739" s="7"/>
      <c r="AD739" s="7"/>
      <c r="AE739" s="7"/>
      <c r="AF739" s="7"/>
      <c r="AG739" s="759"/>
      <c r="AH739" s="788"/>
      <c r="AI739" s="485"/>
      <c r="AJ739" s="874"/>
      <c r="AK739" s="758"/>
      <c r="AL739" s="758"/>
      <c r="AM739" s="758"/>
      <c r="AN739" s="758"/>
      <c r="AO739" s="758"/>
      <c r="AP739" s="758"/>
      <c r="AQ739" s="518"/>
      <c r="AR739" s="518"/>
      <c r="AS739" s="518"/>
      <c r="AT739" s="518"/>
      <c r="AU739" s="518"/>
      <c r="AV739" s="518"/>
      <c r="AW739" s="518"/>
      <c r="AX739" s="518">
        <f t="shared" si="436"/>
        <v>0</v>
      </c>
      <c r="AY739" s="788"/>
      <c r="AZ739" s="485"/>
      <c r="BA739" s="874"/>
      <c r="BB739" s="758"/>
      <c r="BC739" s="758"/>
      <c r="BD739" s="758"/>
      <c r="BE739" s="758"/>
      <c r="BF739" s="758"/>
      <c r="BG739" s="518"/>
      <c r="BH739" s="758"/>
      <c r="BI739" s="758"/>
      <c r="BJ739" s="758"/>
      <c r="BK739" s="758"/>
      <c r="BL739" s="759"/>
      <c r="BN739" s="485"/>
      <c r="BO739" s="758"/>
      <c r="BP739" s="758"/>
      <c r="BQ739" s="758"/>
      <c r="BR739" s="758"/>
      <c r="BS739" s="758"/>
      <c r="BT739" s="758"/>
      <c r="BU739" s="758"/>
      <c r="BV739" s="758"/>
      <c r="BW739" s="758"/>
      <c r="BX739" s="758"/>
      <c r="BY739" s="758"/>
      <c r="BZ739" s="791">
        <v>0</v>
      </c>
      <c r="CB739" s="485"/>
      <c r="CC739" s="758"/>
      <c r="CD739" s="758"/>
      <c r="CE739" s="758"/>
      <c r="CF739" s="758"/>
      <c r="CG739" s="758"/>
      <c r="CH739" s="758"/>
      <c r="CI739" s="758"/>
      <c r="CJ739" s="758"/>
      <c r="CK739" s="758"/>
      <c r="CL739" s="758"/>
      <c r="CM739" s="758"/>
      <c r="CN739" s="791">
        <v>0</v>
      </c>
      <c r="CO739" s="37"/>
      <c r="CP739" s="657"/>
      <c r="CQ739" s="657"/>
      <c r="CR739" s="528"/>
      <c r="CS739" s="657"/>
      <c r="CT739" s="528"/>
      <c r="CU739" s="657"/>
      <c r="CV739" s="528">
        <v>25000000</v>
      </c>
      <c r="CW739" s="657"/>
      <c r="CX739" s="528">
        <v>50000000</v>
      </c>
      <c r="CY739" s="657"/>
      <c r="CZ739" s="528">
        <v>75000000</v>
      </c>
      <c r="DA739" s="657">
        <v>41300000</v>
      </c>
      <c r="DB739" s="528">
        <v>75000000</v>
      </c>
      <c r="DC739" s="657">
        <v>0</v>
      </c>
      <c r="DD739" s="528">
        <v>75000000</v>
      </c>
      <c r="DE739" s="758"/>
      <c r="DF739" s="528">
        <v>75000000</v>
      </c>
      <c r="DG739" s="757">
        <v>75000000</v>
      </c>
      <c r="DH739" s="758"/>
      <c r="DI739" s="528">
        <v>75000000</v>
      </c>
      <c r="DJ739" s="757">
        <v>75000000</v>
      </c>
      <c r="DK739" s="758"/>
      <c r="DL739" s="528">
        <v>75000000</v>
      </c>
      <c r="DM739" s="757">
        <v>75000000</v>
      </c>
      <c r="DN739" s="758"/>
      <c r="DO739" s="528">
        <v>75000000</v>
      </c>
      <c r="DP739" s="757">
        <v>75000000</v>
      </c>
      <c r="DQ739" s="493">
        <f t="shared" si="433"/>
        <v>341300000</v>
      </c>
      <c r="DR739" s="479">
        <f>SUM(CP739,CQ739,CS739,CU739,CX739,CZ739,DB739,DD739,DG739,DJ739,DM739,DP739)</f>
        <v>575000000</v>
      </c>
      <c r="DS739" s="1020">
        <v>50000000</v>
      </c>
      <c r="DT739" s="1020"/>
      <c r="DU739" s="1020"/>
      <c r="DV739" s="1020">
        <v>50000000</v>
      </c>
      <c r="DW739" s="1020"/>
      <c r="DX739" s="1020"/>
      <c r="DY739" s="1020">
        <v>50000000</v>
      </c>
      <c r="DZ739" s="1020"/>
      <c r="EA739" s="1020"/>
      <c r="EB739" s="1020">
        <v>50000000</v>
      </c>
      <c r="EC739" s="1020"/>
      <c r="ED739" s="1020"/>
      <c r="EE739" s="1119">
        <f t="shared" si="435"/>
        <v>200000000</v>
      </c>
      <c r="EF739" s="443">
        <v>240000000</v>
      </c>
      <c r="EG739" s="443">
        <v>510000000</v>
      </c>
      <c r="EH739" s="443">
        <v>1500000000</v>
      </c>
      <c r="EI739" s="443">
        <v>1500000000</v>
      </c>
      <c r="EL739" s="177"/>
      <c r="EM739" s="177"/>
      <c r="EN739" s="177"/>
    </row>
    <row r="740" spans="1:156" outlineLevel="2">
      <c r="A740" s="433"/>
      <c r="B740" s="378"/>
      <c r="C740" s="370" t="s">
        <v>688</v>
      </c>
      <c r="D740" s="370" t="s">
        <v>108</v>
      </c>
      <c r="E740" s="396" t="s">
        <v>171</v>
      </c>
      <c r="F740" s="380">
        <v>3000020764</v>
      </c>
      <c r="G740" s="196"/>
      <c r="H740" s="31"/>
      <c r="I740" s="185"/>
      <c r="J740" s="185"/>
      <c r="K740" s="185"/>
      <c r="L740" s="185"/>
      <c r="M740" s="185"/>
      <c r="N740" s="185"/>
      <c r="O740" s="7"/>
      <c r="P740" s="7"/>
      <c r="Q740" s="7"/>
      <c r="R740" s="7"/>
      <c r="S740" s="14"/>
      <c r="T740" s="179"/>
      <c r="U740" s="196"/>
      <c r="V740" s="31"/>
      <c r="W740" s="185"/>
      <c r="X740" s="185"/>
      <c r="Y740" s="185"/>
      <c r="Z740" s="185"/>
      <c r="AA740" s="185"/>
      <c r="AB740" s="185"/>
      <c r="AC740" s="7"/>
      <c r="AD740" s="7"/>
      <c r="AE740" s="7"/>
      <c r="AF740" s="7"/>
      <c r="AG740" s="759"/>
      <c r="AH740" s="788"/>
      <c r="AI740" s="485"/>
      <c r="AJ740" s="874"/>
      <c r="AK740" s="758"/>
      <c r="AL740" s="758"/>
      <c r="AM740" s="758"/>
      <c r="AN740" s="758"/>
      <c r="AO740" s="758"/>
      <c r="AP740" s="758"/>
      <c r="AQ740" s="518"/>
      <c r="AR740" s="518"/>
      <c r="AS740" s="518"/>
      <c r="AT740" s="518"/>
      <c r="AU740" s="518"/>
      <c r="AV740" s="518"/>
      <c r="AW740" s="518"/>
      <c r="AX740" s="518"/>
      <c r="AY740" s="788"/>
      <c r="AZ740" s="485"/>
      <c r="BA740" s="874"/>
      <c r="BB740" s="758"/>
      <c r="BC740" s="758"/>
      <c r="BD740" s="758"/>
      <c r="BE740" s="758"/>
      <c r="BF740" s="758"/>
      <c r="BG740" s="518"/>
      <c r="BH740" s="758"/>
      <c r="BI740" s="758"/>
      <c r="BJ740" s="758"/>
      <c r="BK740" s="758"/>
      <c r="BL740" s="759"/>
      <c r="BN740" s="485"/>
      <c r="BO740" s="758"/>
      <c r="BP740" s="758"/>
      <c r="BQ740" s="758"/>
      <c r="BR740" s="758"/>
      <c r="BS740" s="758"/>
      <c r="BT740" s="758"/>
      <c r="BU740" s="758"/>
      <c r="BV740" s="758"/>
      <c r="BW740" s="758"/>
      <c r="BX740" s="758"/>
      <c r="BY740" s="758"/>
      <c r="BZ740" s="791"/>
      <c r="CB740" s="485"/>
      <c r="CC740" s="758"/>
      <c r="CD740" s="758"/>
      <c r="CE740" s="758"/>
      <c r="CF740" s="758"/>
      <c r="CG740" s="758"/>
      <c r="CH740" s="758"/>
      <c r="CI740" s="758"/>
      <c r="CJ740" s="758"/>
      <c r="CK740" s="758"/>
      <c r="CL740" s="758"/>
      <c r="CM740" s="758"/>
      <c r="CN740" s="791"/>
      <c r="CO740" s="37"/>
      <c r="CP740" s="657"/>
      <c r="CQ740" s="657"/>
      <c r="CR740" s="528"/>
      <c r="CS740" s="657"/>
      <c r="CT740" s="528"/>
      <c r="CU740" s="657"/>
      <c r="CV740" s="528"/>
      <c r="CW740" s="657">
        <v>18811800</v>
      </c>
      <c r="CX740" s="528"/>
      <c r="CY740" s="657"/>
      <c r="CZ740" s="528"/>
      <c r="DA740" s="657">
        <v>1761600</v>
      </c>
      <c r="DB740" s="528"/>
      <c r="DC740" s="657">
        <v>0</v>
      </c>
      <c r="DD740" s="528"/>
      <c r="DE740" s="758"/>
      <c r="DF740" s="528"/>
      <c r="DG740" s="757"/>
      <c r="DH740" s="758"/>
      <c r="DI740" s="528"/>
      <c r="DJ740" s="757"/>
      <c r="DK740" s="758"/>
      <c r="DL740" s="528"/>
      <c r="DM740" s="757"/>
      <c r="DN740" s="758"/>
      <c r="DO740" s="528"/>
      <c r="DP740" s="757"/>
      <c r="DQ740" s="493">
        <f t="shared" si="433"/>
        <v>20573400</v>
      </c>
      <c r="DR740" s="479"/>
      <c r="DS740" s="1020">
        <v>25000000</v>
      </c>
      <c r="DT740" s="1020">
        <v>25000000</v>
      </c>
      <c r="DU740" s="1020">
        <v>25000000</v>
      </c>
      <c r="DV740" s="1020">
        <v>25000000</v>
      </c>
      <c r="DW740" s="1020">
        <v>25000000</v>
      </c>
      <c r="DX740" s="1020">
        <v>25000000</v>
      </c>
      <c r="DY740" s="1020">
        <v>25000000</v>
      </c>
      <c r="DZ740" s="1020">
        <v>25000000</v>
      </c>
      <c r="EA740" s="1020">
        <v>25000000</v>
      </c>
      <c r="EB740" s="1020">
        <v>25000000</v>
      </c>
      <c r="EC740" s="1020">
        <v>25000000</v>
      </c>
      <c r="ED740" s="1020">
        <v>25000000</v>
      </c>
      <c r="EE740" s="1119">
        <f t="shared" si="435"/>
        <v>300000000</v>
      </c>
      <c r="EF740" s="443"/>
      <c r="EG740" s="443"/>
      <c r="EH740" s="443"/>
      <c r="EI740" s="443"/>
      <c r="EL740" s="177"/>
      <c r="EM740" s="177"/>
      <c r="EN740" s="177"/>
    </row>
    <row r="741" spans="1:156" outlineLevel="2">
      <c r="A741" s="367" t="s">
        <v>194</v>
      </c>
      <c r="B741" s="378"/>
      <c r="C741" s="370" t="s">
        <v>688</v>
      </c>
      <c r="D741" s="370" t="s">
        <v>108</v>
      </c>
      <c r="E741" s="383" t="s">
        <v>204</v>
      </c>
      <c r="F741" s="380">
        <v>3000005193</v>
      </c>
      <c r="G741" s="196"/>
      <c r="H741" s="31"/>
      <c r="I741" s="185"/>
      <c r="J741" s="185"/>
      <c r="K741" s="185"/>
      <c r="L741" s="185"/>
      <c r="M741" s="185"/>
      <c r="N741" s="185"/>
      <c r="O741" s="7"/>
      <c r="P741" s="7"/>
      <c r="Q741" s="7"/>
      <c r="R741" s="7"/>
      <c r="S741" s="14">
        <f>SUM(G741,H741,I741,J741,K741,L741,M741,N741,O741,P741,Q741,R741)</f>
        <v>0</v>
      </c>
      <c r="T741" s="179"/>
      <c r="U741" s="196"/>
      <c r="V741" s="31"/>
      <c r="W741" s="185"/>
      <c r="X741" s="185"/>
      <c r="Y741" s="185"/>
      <c r="Z741" s="185"/>
      <c r="AA741" s="185"/>
      <c r="AB741" s="185"/>
      <c r="AC741" s="7"/>
      <c r="AD741" s="7"/>
      <c r="AE741" s="7"/>
      <c r="AF741" s="7"/>
      <c r="AG741" s="759">
        <f>SUM(U741,V741,W741,X741,Y741,Z741,AA741,AB741,AC741,AD741,AE741,AF741)</f>
        <v>0</v>
      </c>
      <c r="AH741" s="788" t="e">
        <v>#N/A</v>
      </c>
      <c r="AI741" s="485"/>
      <c r="AJ741" s="874"/>
      <c r="AK741" s="758"/>
      <c r="AL741" s="758"/>
      <c r="AM741" s="758"/>
      <c r="AN741" s="758"/>
      <c r="AO741" s="758"/>
      <c r="AP741" s="758"/>
      <c r="AQ741" s="518">
        <v>0</v>
      </c>
      <c r="AR741" s="518"/>
      <c r="AS741" s="518"/>
      <c r="AT741" s="518"/>
      <c r="AU741" s="518">
        <f>BI741</f>
        <v>0</v>
      </c>
      <c r="AV741" s="518">
        <f>BJ741</f>
        <v>0</v>
      </c>
      <c r="AW741" s="518">
        <f>BK741</f>
        <v>0</v>
      </c>
      <c r="AX741" s="518">
        <f t="shared" si="436"/>
        <v>0</v>
      </c>
      <c r="AY741" s="788">
        <v>0</v>
      </c>
      <c r="AZ741" s="485"/>
      <c r="BA741" s="874"/>
      <c r="BB741" s="758"/>
      <c r="BC741" s="758"/>
      <c r="BD741" s="758"/>
      <c r="BE741" s="758"/>
      <c r="BF741" s="758"/>
      <c r="BG741" s="518">
        <f>AP741</f>
        <v>0</v>
      </c>
      <c r="BH741" s="758">
        <v>0</v>
      </c>
      <c r="BI741" s="758">
        <v>0</v>
      </c>
      <c r="BJ741" s="758">
        <v>0</v>
      </c>
      <c r="BK741" s="758">
        <v>0</v>
      </c>
      <c r="BL741" s="759">
        <f>SUM(AZ741,BA741,BB741,BC741,BD741,BE741,BF741,BG741,BH741,BI741,BJ741,BK741)</f>
        <v>0</v>
      </c>
      <c r="BN741" s="485">
        <v>50000000</v>
      </c>
      <c r="BO741" s="758">
        <v>50000000</v>
      </c>
      <c r="BP741" s="758">
        <v>50000000</v>
      </c>
      <c r="BQ741" s="758">
        <v>50000000</v>
      </c>
      <c r="BR741" s="758">
        <v>50000000</v>
      </c>
      <c r="BS741" s="758">
        <v>50000000</v>
      </c>
      <c r="BT741" s="758">
        <v>50000000</v>
      </c>
      <c r="BU741" s="758">
        <v>50000000</v>
      </c>
      <c r="BV741" s="758">
        <v>50000000</v>
      </c>
      <c r="BW741" s="758">
        <v>50000000</v>
      </c>
      <c r="BX741" s="758">
        <v>50000000</v>
      </c>
      <c r="BY741" s="758">
        <v>50000000</v>
      </c>
      <c r="BZ741" s="791">
        <v>600000000</v>
      </c>
      <c r="CB741" s="485">
        <v>50000000</v>
      </c>
      <c r="CC741" s="758">
        <v>50000000</v>
      </c>
      <c r="CD741" s="758">
        <v>50000000</v>
      </c>
      <c r="CE741" s="758">
        <v>50000000</v>
      </c>
      <c r="CF741" s="758">
        <v>50000000</v>
      </c>
      <c r="CG741" s="758">
        <v>50000000</v>
      </c>
      <c r="CH741" s="758">
        <v>50000000</v>
      </c>
      <c r="CI741" s="758">
        <v>50000000</v>
      </c>
      <c r="CJ741" s="758">
        <v>50000000</v>
      </c>
      <c r="CK741" s="758">
        <v>50000000</v>
      </c>
      <c r="CL741" s="758">
        <v>50000000</v>
      </c>
      <c r="CM741" s="758">
        <v>50000000</v>
      </c>
      <c r="CN741" s="791">
        <v>600000000</v>
      </c>
      <c r="CO741" s="37"/>
      <c r="CP741" s="657">
        <v>68061500</v>
      </c>
      <c r="CQ741" s="657">
        <v>122243500</v>
      </c>
      <c r="CR741" s="528">
        <v>70000000</v>
      </c>
      <c r="CS741" s="657">
        <v>141586500</v>
      </c>
      <c r="CT741" s="528">
        <v>80000000</v>
      </c>
      <c r="CU741" s="657">
        <v>125629000</v>
      </c>
      <c r="CV741" s="528">
        <v>80000000</v>
      </c>
      <c r="CW741" s="657">
        <v>156601500</v>
      </c>
      <c r="CX741" s="528">
        <v>120000000</v>
      </c>
      <c r="CY741" s="657">
        <v>120630500</v>
      </c>
      <c r="CZ741" s="528">
        <v>120000000</v>
      </c>
      <c r="DA741" s="657">
        <v>120101000</v>
      </c>
      <c r="DB741" s="528">
        <v>150000000</v>
      </c>
      <c r="DC741" s="657">
        <v>101233500</v>
      </c>
      <c r="DD741" s="528">
        <v>150000000</v>
      </c>
      <c r="DE741" s="758"/>
      <c r="DF741" s="528">
        <v>150000000</v>
      </c>
      <c r="DG741" s="757">
        <v>150000000</v>
      </c>
      <c r="DH741" s="758"/>
      <c r="DI741" s="528">
        <v>150000000</v>
      </c>
      <c r="DJ741" s="757">
        <v>150000000</v>
      </c>
      <c r="DK741" s="758"/>
      <c r="DL741" s="528">
        <v>200000000</v>
      </c>
      <c r="DM741" s="757">
        <v>200000000</v>
      </c>
      <c r="DN741" s="758"/>
      <c r="DO741" s="528">
        <v>200000000</v>
      </c>
      <c r="DP741" s="757">
        <v>200000000</v>
      </c>
      <c r="DQ741" s="493">
        <f t="shared" si="433"/>
        <v>1656087000</v>
      </c>
      <c r="DR741" s="479">
        <f>SUM(CP741,CQ741,CS741,CU741,CX741,CZ741,DB741,DD741,DG741,DJ741,DM741,DP741)</f>
        <v>1697520500</v>
      </c>
      <c r="DS741" s="1020">
        <v>150000000</v>
      </c>
      <c r="DT741" s="1020">
        <v>150000000</v>
      </c>
      <c r="DU741" s="1020">
        <v>150000000</v>
      </c>
      <c r="DV741" s="1020">
        <v>120000000</v>
      </c>
      <c r="DW741" s="1020">
        <v>120000000</v>
      </c>
      <c r="DX741" s="1020">
        <v>120000000</v>
      </c>
      <c r="DY741" s="1020">
        <v>120000000</v>
      </c>
      <c r="DZ741" s="1020">
        <v>120000000</v>
      </c>
      <c r="EA741" s="1020">
        <v>120000000</v>
      </c>
      <c r="EB741" s="1020">
        <v>150000000</v>
      </c>
      <c r="EC741" s="1020">
        <v>150000000</v>
      </c>
      <c r="ED741" s="1020">
        <v>150000000</v>
      </c>
      <c r="EE741" s="1119">
        <f t="shared" si="435"/>
        <v>1620000000</v>
      </c>
      <c r="EF741" s="443">
        <v>843000000</v>
      </c>
      <c r="EG741" s="443">
        <v>910000000</v>
      </c>
      <c r="EH741" s="443">
        <v>992000000</v>
      </c>
      <c r="EI741" s="443">
        <v>992000000</v>
      </c>
      <c r="EJ741" s="367">
        <v>3000005193</v>
      </c>
      <c r="EL741" s="177"/>
      <c r="EM741" s="177"/>
      <c r="EN741" s="177"/>
    </row>
    <row r="742" spans="1:156" outlineLevel="2">
      <c r="A742" s="433" t="s">
        <v>276</v>
      </c>
      <c r="B742" s="378"/>
      <c r="C742" s="370" t="s">
        <v>688</v>
      </c>
      <c r="D742" s="370" t="s">
        <v>108</v>
      </c>
      <c r="E742" s="383" t="s">
        <v>910</v>
      </c>
      <c r="F742" s="380">
        <v>3000009220</v>
      </c>
      <c r="G742" s="196"/>
      <c r="H742" s="31"/>
      <c r="I742" s="185"/>
      <c r="J742" s="185"/>
      <c r="K742" s="185"/>
      <c r="L742" s="185"/>
      <c r="M742" s="185"/>
      <c r="N742" s="185"/>
      <c r="O742" s="7"/>
      <c r="P742" s="7"/>
      <c r="Q742" s="7"/>
      <c r="R742" s="7"/>
      <c r="S742" s="14"/>
      <c r="T742" s="179"/>
      <c r="U742" s="196"/>
      <c r="V742" s="31"/>
      <c r="W742" s="185"/>
      <c r="X742" s="185"/>
      <c r="Y742" s="185"/>
      <c r="Z742" s="185"/>
      <c r="AA742" s="185"/>
      <c r="AB742" s="185"/>
      <c r="AC742" s="7"/>
      <c r="AD742" s="7"/>
      <c r="AE742" s="7"/>
      <c r="AF742" s="7"/>
      <c r="AG742" s="759"/>
      <c r="AH742" s="788"/>
      <c r="AI742" s="485"/>
      <c r="AJ742" s="874"/>
      <c r="AK742" s="758"/>
      <c r="AL742" s="758"/>
      <c r="AM742" s="758"/>
      <c r="AN742" s="758"/>
      <c r="AO742" s="758"/>
      <c r="AP742" s="758"/>
      <c r="AQ742" s="518"/>
      <c r="AR742" s="518"/>
      <c r="AS742" s="518"/>
      <c r="AT742" s="518"/>
      <c r="AU742" s="518"/>
      <c r="AV742" s="518"/>
      <c r="AW742" s="518"/>
      <c r="AX742" s="518">
        <f t="shared" si="436"/>
        <v>0</v>
      </c>
      <c r="AY742" s="788"/>
      <c r="AZ742" s="485"/>
      <c r="BA742" s="874"/>
      <c r="BB742" s="758"/>
      <c r="BC742" s="758"/>
      <c r="BD742" s="758"/>
      <c r="BE742" s="758"/>
      <c r="BF742" s="758"/>
      <c r="BG742" s="518"/>
      <c r="BH742" s="758"/>
      <c r="BI742" s="758"/>
      <c r="BJ742" s="758"/>
      <c r="BK742" s="758"/>
      <c r="BL742" s="759"/>
      <c r="BN742" s="485"/>
      <c r="BO742" s="758"/>
      <c r="BP742" s="758"/>
      <c r="BQ742" s="758"/>
      <c r="BR742" s="758"/>
      <c r="BS742" s="758"/>
      <c r="BT742" s="758"/>
      <c r="BU742" s="758"/>
      <c r="BV742" s="758"/>
      <c r="BW742" s="758"/>
      <c r="BX742" s="758"/>
      <c r="BY742" s="758"/>
      <c r="BZ742" s="791">
        <v>0</v>
      </c>
      <c r="CB742" s="485"/>
      <c r="CC742" s="758"/>
      <c r="CD742" s="758"/>
      <c r="CE742" s="758"/>
      <c r="CF742" s="758"/>
      <c r="CG742" s="758"/>
      <c r="CH742" s="758"/>
      <c r="CI742" s="758"/>
      <c r="CJ742" s="758"/>
      <c r="CK742" s="758"/>
      <c r="CL742" s="758"/>
      <c r="CM742" s="758"/>
      <c r="CN742" s="791">
        <v>0</v>
      </c>
      <c r="CO742" s="37"/>
      <c r="CP742" s="657"/>
      <c r="CQ742" s="657"/>
      <c r="CR742" s="528"/>
      <c r="CS742" s="657"/>
      <c r="CT742" s="528"/>
      <c r="CU742" s="657"/>
      <c r="CV742" s="528">
        <v>25000000</v>
      </c>
      <c r="CW742" s="657"/>
      <c r="CX742" s="528">
        <v>0</v>
      </c>
      <c r="CY742" s="657"/>
      <c r="CZ742" s="528">
        <v>0</v>
      </c>
      <c r="DA742" s="657"/>
      <c r="DB742" s="528" t="s">
        <v>615</v>
      </c>
      <c r="DC742" s="657">
        <v>0</v>
      </c>
      <c r="DD742" s="528" t="s">
        <v>615</v>
      </c>
      <c r="DE742" s="758"/>
      <c r="DF742" s="528" t="s">
        <v>615</v>
      </c>
      <c r="DG742" s="757" t="s">
        <v>615</v>
      </c>
      <c r="DH742" s="758"/>
      <c r="DI742" s="528" t="s">
        <v>615</v>
      </c>
      <c r="DJ742" s="757" t="s">
        <v>615</v>
      </c>
      <c r="DK742" s="758"/>
      <c r="DL742" s="528" t="s">
        <v>615</v>
      </c>
      <c r="DM742" s="757" t="s">
        <v>615</v>
      </c>
      <c r="DN742" s="758"/>
      <c r="DO742" s="528" t="s">
        <v>615</v>
      </c>
      <c r="DP742" s="757" t="s">
        <v>615</v>
      </c>
      <c r="DQ742" s="493">
        <f t="shared" si="433"/>
        <v>0</v>
      </c>
      <c r="DR742" s="479">
        <f>SUM(CP742,CQ742,CS742,CU742,CX742,CZ742,DB742,DD742,DG742,DJ742,DM742,DP742)</f>
        <v>0</v>
      </c>
      <c r="DS742" s="1020"/>
      <c r="DT742" s="1020"/>
      <c r="DU742" s="1020"/>
      <c r="DV742" s="1020"/>
      <c r="DW742" s="1020"/>
      <c r="DX742" s="1020"/>
      <c r="DY742" s="1020"/>
      <c r="DZ742" s="1020"/>
      <c r="EA742" s="1020"/>
      <c r="EB742" s="1020"/>
      <c r="EC742" s="1020"/>
      <c r="ED742" s="1020"/>
      <c r="EE742" s="1119">
        <f t="shared" si="435"/>
        <v>0</v>
      </c>
      <c r="EF742" s="443">
        <v>240000000</v>
      </c>
      <c r="EG742" s="443">
        <v>510000000</v>
      </c>
      <c r="EH742" s="443">
        <v>1500000000</v>
      </c>
      <c r="EI742" s="443">
        <v>1500000000</v>
      </c>
      <c r="EL742" s="177"/>
      <c r="EM742" s="177"/>
      <c r="EN742" s="177"/>
    </row>
    <row r="743" spans="1:156" outlineLevel="2">
      <c r="A743" s="433" t="s">
        <v>276</v>
      </c>
      <c r="B743" s="378"/>
      <c r="C743" s="370" t="s">
        <v>688</v>
      </c>
      <c r="D743" s="370" t="s">
        <v>108</v>
      </c>
      <c r="E743" s="396" t="s">
        <v>911</v>
      </c>
      <c r="F743" s="434">
        <v>3000008244</v>
      </c>
      <c r="G743" s="188"/>
      <c r="H743" s="31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79"/>
      <c r="U743" s="188"/>
      <c r="V743" s="31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759"/>
      <c r="AH743" s="788"/>
      <c r="AI743" s="827"/>
      <c r="AJ743" s="874"/>
      <c r="AK743" s="759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>
        <f t="shared" si="436"/>
        <v>0</v>
      </c>
      <c r="AY743" s="788"/>
      <c r="AZ743" s="827"/>
      <c r="BA743" s="874"/>
      <c r="BB743" s="759"/>
      <c r="BC743" s="759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877"/>
      <c r="BN743" s="827"/>
      <c r="BO743" s="759"/>
      <c r="BP743" s="759"/>
      <c r="BQ743" s="759"/>
      <c r="BR743" s="759"/>
      <c r="BS743" s="759"/>
      <c r="BT743" s="759"/>
      <c r="BU743" s="759"/>
      <c r="BV743" s="759"/>
      <c r="BW743" s="759"/>
      <c r="BX743" s="759"/>
      <c r="BY743" s="759"/>
      <c r="BZ743" s="878">
        <v>0</v>
      </c>
      <c r="CB743" s="827"/>
      <c r="CC743" s="759"/>
      <c r="CD743" s="759"/>
      <c r="CE743" s="759"/>
      <c r="CF743" s="759"/>
      <c r="CG743" s="759"/>
      <c r="CH743" s="759"/>
      <c r="CI743" s="759"/>
      <c r="CJ743" s="759"/>
      <c r="CK743" s="759"/>
      <c r="CL743" s="759"/>
      <c r="CM743" s="759"/>
      <c r="CN743" s="878">
        <v>0</v>
      </c>
      <c r="CO743" s="879"/>
      <c r="CP743" s="663"/>
      <c r="CQ743" s="663"/>
      <c r="CR743" s="617"/>
      <c r="CS743" s="663"/>
      <c r="CT743" s="617"/>
      <c r="CU743" s="663"/>
      <c r="CV743" s="617">
        <v>50000000</v>
      </c>
      <c r="CW743" s="663"/>
      <c r="CX743" s="617">
        <v>50000000</v>
      </c>
      <c r="CY743" s="663"/>
      <c r="CZ743" s="617">
        <v>0</v>
      </c>
      <c r="DA743" s="663"/>
      <c r="DB743" s="617"/>
      <c r="DC743" s="663">
        <v>0</v>
      </c>
      <c r="DD743" s="617"/>
      <c r="DE743" s="759"/>
      <c r="DF743" s="617"/>
      <c r="DG743" s="748"/>
      <c r="DH743" s="759"/>
      <c r="DI743" s="617"/>
      <c r="DJ743" s="748"/>
      <c r="DK743" s="759"/>
      <c r="DL743" s="617"/>
      <c r="DM743" s="748"/>
      <c r="DN743" s="759"/>
      <c r="DO743" s="617"/>
      <c r="DP743" s="748"/>
      <c r="DQ743" s="493">
        <f t="shared" si="433"/>
        <v>0</v>
      </c>
      <c r="DR743" s="479">
        <f>SUM(CP743,CQ743,CS743,CU743,CX743,CZ743,DB743,DD743,DG743,DJ743,DM743,DP743)</f>
        <v>50000000</v>
      </c>
      <c r="DS743" s="1180"/>
      <c r="DT743" s="1180"/>
      <c r="DU743" s="1180"/>
      <c r="DV743" s="1180"/>
      <c r="DW743" s="1180"/>
      <c r="DX743" s="1180"/>
      <c r="DY743" s="1180"/>
      <c r="DZ743" s="1180"/>
      <c r="EA743" s="1180"/>
      <c r="EB743" s="1180"/>
      <c r="EC743" s="1180"/>
      <c r="ED743" s="1180"/>
      <c r="EE743" s="1119">
        <f t="shared" si="435"/>
        <v>0</v>
      </c>
      <c r="EF743" s="450">
        <v>240000000</v>
      </c>
      <c r="EG743" s="450">
        <v>1000000000</v>
      </c>
      <c r="EH743" s="450">
        <f>EG743*1.5</f>
        <v>1500000000</v>
      </c>
      <c r="EI743" s="450">
        <f>EH743*1.5</f>
        <v>2250000000</v>
      </c>
      <c r="EJ743" s="1026"/>
      <c r="EK743" s="1026"/>
      <c r="EL743" s="43"/>
      <c r="EM743" s="43"/>
      <c r="EN743" s="43"/>
      <c r="EO743" s="144"/>
      <c r="EP743" s="144"/>
      <c r="EQ743" s="144"/>
      <c r="ER743" s="144"/>
      <c r="ES743" s="144"/>
      <c r="ET743" s="144"/>
      <c r="EU743" s="144"/>
      <c r="EV743" s="144"/>
      <c r="EW743" s="144"/>
      <c r="EX743" s="144"/>
      <c r="EY743" s="144"/>
      <c r="EZ743" s="144"/>
    </row>
    <row r="744" spans="1:156" outlineLevel="2">
      <c r="A744" s="433" t="s">
        <v>276</v>
      </c>
      <c r="B744" s="378"/>
      <c r="C744" s="370" t="s">
        <v>688</v>
      </c>
      <c r="D744" s="370" t="s">
        <v>108</v>
      </c>
      <c r="E744" s="383" t="s">
        <v>912</v>
      </c>
      <c r="F744" s="390"/>
      <c r="G744" s="196"/>
      <c r="H744" s="31"/>
      <c r="I744" s="185"/>
      <c r="J744" s="185"/>
      <c r="K744" s="185"/>
      <c r="L744" s="185"/>
      <c r="M744" s="185"/>
      <c r="N744" s="185"/>
      <c r="O744" s="7"/>
      <c r="P744" s="7"/>
      <c r="Q744" s="7"/>
      <c r="R744" s="7"/>
      <c r="S744" s="14"/>
      <c r="T744" s="179"/>
      <c r="U744" s="196"/>
      <c r="V744" s="31"/>
      <c r="W744" s="185"/>
      <c r="X744" s="185"/>
      <c r="Y744" s="185"/>
      <c r="Z744" s="185"/>
      <c r="AA744" s="185"/>
      <c r="AB744" s="185"/>
      <c r="AC744" s="7"/>
      <c r="AD744" s="7"/>
      <c r="AE744" s="7"/>
      <c r="AF744" s="7"/>
      <c r="AG744" s="759"/>
      <c r="AH744" s="788"/>
      <c r="AI744" s="485"/>
      <c r="AJ744" s="874"/>
      <c r="AK744" s="758"/>
      <c r="AL744" s="758"/>
      <c r="AM744" s="758"/>
      <c r="AN744" s="758"/>
      <c r="AO744" s="758"/>
      <c r="AP744" s="758"/>
      <c r="AQ744" s="518"/>
      <c r="AR744" s="518"/>
      <c r="AS744" s="518"/>
      <c r="AT744" s="518"/>
      <c r="AU744" s="518"/>
      <c r="AV744" s="518"/>
      <c r="AW744" s="518"/>
      <c r="AX744" s="518">
        <f t="shared" si="436"/>
        <v>0</v>
      </c>
      <c r="AY744" s="788"/>
      <c r="AZ744" s="485"/>
      <c r="BA744" s="874"/>
      <c r="BB744" s="758"/>
      <c r="BC744" s="758"/>
      <c r="BD744" s="758"/>
      <c r="BE744" s="758"/>
      <c r="BF744" s="758"/>
      <c r="BG744" s="518"/>
      <c r="BH744" s="758"/>
      <c r="BI744" s="758"/>
      <c r="BJ744" s="758"/>
      <c r="BK744" s="758"/>
      <c r="BL744" s="759"/>
      <c r="BN744" s="485"/>
      <c r="BO744" s="758"/>
      <c r="BP744" s="758"/>
      <c r="BQ744" s="758"/>
      <c r="BR744" s="758"/>
      <c r="BS744" s="758"/>
      <c r="BT744" s="758"/>
      <c r="BU744" s="758"/>
      <c r="BV744" s="758"/>
      <c r="BW744" s="758"/>
      <c r="BX744" s="758"/>
      <c r="BY744" s="758"/>
      <c r="BZ744" s="791">
        <v>0</v>
      </c>
      <c r="CB744" s="485"/>
      <c r="CC744" s="758"/>
      <c r="CD744" s="758"/>
      <c r="CE744" s="758"/>
      <c r="CF744" s="758"/>
      <c r="CG744" s="758"/>
      <c r="CH744" s="758"/>
      <c r="CI744" s="758"/>
      <c r="CJ744" s="758"/>
      <c r="CK744" s="758"/>
      <c r="CL744" s="758"/>
      <c r="CM744" s="758"/>
      <c r="CN744" s="791">
        <v>0</v>
      </c>
      <c r="CO744" s="37"/>
      <c r="CP744" s="657"/>
      <c r="CQ744" s="657"/>
      <c r="CR744" s="528"/>
      <c r="CS744" s="657"/>
      <c r="CT744" s="528"/>
      <c r="CU744" s="657"/>
      <c r="CV744" s="528">
        <v>13500000</v>
      </c>
      <c r="CW744" s="657"/>
      <c r="CX744" s="528">
        <v>0</v>
      </c>
      <c r="CY744" s="657"/>
      <c r="CZ744" s="528">
        <v>0</v>
      </c>
      <c r="DA744" s="657"/>
      <c r="DB744" s="528"/>
      <c r="DC744" s="657">
        <v>0</v>
      </c>
      <c r="DD744" s="528"/>
      <c r="DE744" s="758"/>
      <c r="DF744" s="528"/>
      <c r="DG744" s="757"/>
      <c r="DH744" s="758"/>
      <c r="DI744" s="528"/>
      <c r="DJ744" s="757"/>
      <c r="DK744" s="758"/>
      <c r="DL744" s="528"/>
      <c r="DM744" s="757"/>
      <c r="DN744" s="758"/>
      <c r="DO744" s="528"/>
      <c r="DP744" s="757"/>
      <c r="DQ744" s="493">
        <f t="shared" si="433"/>
        <v>0</v>
      </c>
      <c r="DR744" s="479">
        <f>SUM(CP744,CQ744,CS744,CU744,CX744,CZ744,DB744,DD744,DG744,DJ744,DM744,DP744)</f>
        <v>0</v>
      </c>
      <c r="DS744" s="1020"/>
      <c r="DT744" s="1020"/>
      <c r="DU744" s="1020"/>
      <c r="DV744" s="1020"/>
      <c r="DW744" s="1020"/>
      <c r="DX744" s="1020"/>
      <c r="DY744" s="1020"/>
      <c r="DZ744" s="1020"/>
      <c r="EA744" s="1020"/>
      <c r="EB744" s="1020"/>
      <c r="EC744" s="1020"/>
      <c r="ED744" s="1020"/>
      <c r="EE744" s="1119">
        <f t="shared" si="435"/>
        <v>0</v>
      </c>
      <c r="EF744" s="443">
        <v>240000000</v>
      </c>
      <c r="EG744" s="443">
        <v>510000000</v>
      </c>
      <c r="EH744" s="443">
        <v>1500000000</v>
      </c>
      <c r="EI744" s="443">
        <v>1500000000</v>
      </c>
      <c r="EL744" s="177"/>
      <c r="EM744" s="177"/>
      <c r="EN744" s="177"/>
    </row>
    <row r="745" spans="1:156" s="241" customFormat="1" ht="18.5" outlineLevel="2">
      <c r="A745" s="413"/>
      <c r="B745" s="414"/>
      <c r="C745" s="415"/>
      <c r="D745" s="415"/>
      <c r="E745" s="416" t="s">
        <v>531</v>
      </c>
      <c r="F745" s="417"/>
      <c r="G745" s="242"/>
      <c r="H745" s="242"/>
      <c r="I745" s="242"/>
      <c r="J745" s="242"/>
      <c r="K745" s="242"/>
      <c r="L745" s="242"/>
      <c r="M745" s="242"/>
      <c r="N745" s="242"/>
      <c r="O745" s="242"/>
      <c r="P745" s="242"/>
      <c r="Q745" s="242"/>
      <c r="R745" s="242"/>
      <c r="S745" s="243"/>
      <c r="T745" s="244"/>
      <c r="U745" s="242"/>
      <c r="V745" s="242"/>
      <c r="W745" s="242"/>
      <c r="X745" s="242"/>
      <c r="Y745" s="242"/>
      <c r="Z745" s="242"/>
      <c r="AA745" s="242"/>
      <c r="AB745" s="242"/>
      <c r="AC745" s="242"/>
      <c r="AD745" s="242"/>
      <c r="AE745" s="242"/>
      <c r="AF745" s="242"/>
      <c r="AG745" s="844"/>
      <c r="AH745" s="788"/>
      <c r="AI745" s="845"/>
      <c r="AJ745" s="846"/>
      <c r="AK745" s="844"/>
      <c r="AL745" s="844"/>
      <c r="AM745" s="844"/>
      <c r="AN745" s="844"/>
      <c r="AO745" s="844"/>
      <c r="AP745" s="844"/>
      <c r="AQ745" s="844"/>
      <c r="AR745" s="844"/>
      <c r="AS745" s="844"/>
      <c r="AT745" s="844"/>
      <c r="AU745" s="844"/>
      <c r="AV745" s="844"/>
      <c r="AW745" s="844"/>
      <c r="AX745" s="844"/>
      <c r="AY745" s="788"/>
      <c r="AZ745" s="845"/>
      <c r="BA745" s="846"/>
      <c r="BB745" s="844"/>
      <c r="BC745" s="844"/>
      <c r="BD745" s="844"/>
      <c r="BE745" s="844"/>
      <c r="BF745" s="844"/>
      <c r="BG745" s="844"/>
      <c r="BH745" s="844"/>
      <c r="BI745" s="844"/>
      <c r="BJ745" s="844"/>
      <c r="BK745" s="844"/>
      <c r="BL745" s="844"/>
      <c r="BM745" s="3"/>
      <c r="BN745" s="468">
        <f t="shared" ref="BN745:BZ745" si="437">SUM(BN746:BN757)</f>
        <v>45000000</v>
      </c>
      <c r="BO745" s="468">
        <f t="shared" si="437"/>
        <v>45000000</v>
      </c>
      <c r="BP745" s="468">
        <f t="shared" si="437"/>
        <v>45000000</v>
      </c>
      <c r="BQ745" s="468">
        <f t="shared" si="437"/>
        <v>45000000</v>
      </c>
      <c r="BR745" s="468">
        <f t="shared" si="437"/>
        <v>50000000</v>
      </c>
      <c r="BS745" s="468">
        <f t="shared" si="437"/>
        <v>45000000</v>
      </c>
      <c r="BT745" s="468">
        <f t="shared" si="437"/>
        <v>45000000</v>
      </c>
      <c r="BU745" s="468">
        <f t="shared" si="437"/>
        <v>45000000</v>
      </c>
      <c r="BV745" s="468">
        <f t="shared" si="437"/>
        <v>45000000</v>
      </c>
      <c r="BW745" s="468">
        <f t="shared" si="437"/>
        <v>45000000</v>
      </c>
      <c r="BX745" s="468">
        <f t="shared" si="437"/>
        <v>45000000</v>
      </c>
      <c r="BY745" s="468">
        <f t="shared" si="437"/>
        <v>45921808</v>
      </c>
      <c r="BZ745" s="468">
        <f t="shared" si="437"/>
        <v>545921808</v>
      </c>
      <c r="CA745" s="3"/>
      <c r="CB745" s="866"/>
      <c r="CC745" s="867"/>
      <c r="CD745" s="844"/>
      <c r="CE745" s="844"/>
      <c r="CF745" s="844"/>
      <c r="CG745" s="844"/>
      <c r="CH745" s="844"/>
      <c r="CI745" s="844"/>
      <c r="CJ745" s="844"/>
      <c r="CK745" s="844"/>
      <c r="CL745" s="844"/>
      <c r="CM745" s="844"/>
      <c r="CN745" s="868"/>
      <c r="CO745" s="3"/>
      <c r="CP745" s="468">
        <f>SUM(CP746:CP757)</f>
        <v>0</v>
      </c>
      <c r="CQ745" s="468">
        <f t="shared" ref="CQ745:DP745" si="438">SUM(CQ746:CQ757)</f>
        <v>0</v>
      </c>
      <c r="CR745" s="468">
        <f t="shared" si="438"/>
        <v>0</v>
      </c>
      <c r="CS745" s="468">
        <f t="shared" si="438"/>
        <v>0</v>
      </c>
      <c r="CT745" s="468">
        <f t="shared" si="438"/>
        <v>5000000</v>
      </c>
      <c r="CU745" s="468">
        <f t="shared" si="438"/>
        <v>0</v>
      </c>
      <c r="CV745" s="468">
        <f t="shared" si="438"/>
        <v>25000000</v>
      </c>
      <c r="CW745" s="468">
        <f t="shared" si="438"/>
        <v>0</v>
      </c>
      <c r="CX745" s="468">
        <f t="shared" si="438"/>
        <v>60000000</v>
      </c>
      <c r="CY745" s="468">
        <f t="shared" si="438"/>
        <v>0</v>
      </c>
      <c r="CZ745" s="468">
        <f t="shared" si="438"/>
        <v>210000000</v>
      </c>
      <c r="DA745" s="468">
        <f t="shared" si="438"/>
        <v>0</v>
      </c>
      <c r="DB745" s="468">
        <f t="shared" si="438"/>
        <v>477000000</v>
      </c>
      <c r="DC745" s="468">
        <f t="shared" si="438"/>
        <v>0</v>
      </c>
      <c r="DD745" s="468">
        <f t="shared" si="438"/>
        <v>477000000</v>
      </c>
      <c r="DE745" s="468">
        <f t="shared" si="438"/>
        <v>0</v>
      </c>
      <c r="DF745" s="468">
        <f>SUM(DF746:DF757)</f>
        <v>477000000</v>
      </c>
      <c r="DG745" s="468">
        <f t="shared" si="438"/>
        <v>477000000</v>
      </c>
      <c r="DH745" s="468">
        <f t="shared" si="438"/>
        <v>0</v>
      </c>
      <c r="DI745" s="468">
        <f>SUM(DI746:DI757)</f>
        <v>677000000</v>
      </c>
      <c r="DJ745" s="468">
        <f t="shared" si="438"/>
        <v>677000000</v>
      </c>
      <c r="DK745" s="468">
        <f t="shared" si="438"/>
        <v>0</v>
      </c>
      <c r="DL745" s="468">
        <f>SUM(DL746:DL757)</f>
        <v>727000000</v>
      </c>
      <c r="DM745" s="468">
        <f>SUM(DM746:DM757)</f>
        <v>727000000</v>
      </c>
      <c r="DN745" s="468">
        <f t="shared" si="438"/>
        <v>0</v>
      </c>
      <c r="DO745" s="468">
        <f>SUM(DO746:DO757)</f>
        <v>827000000</v>
      </c>
      <c r="DP745" s="468">
        <f t="shared" si="438"/>
        <v>827000000</v>
      </c>
      <c r="DQ745" s="468">
        <f>SUM(DQ746:DQ757)</f>
        <v>2708000000</v>
      </c>
      <c r="DR745" s="468">
        <f>SUM(DR746:DR757)</f>
        <v>3932000000</v>
      </c>
      <c r="DS745" s="445">
        <f>SUM(DS746:DS760)</f>
        <v>410000000</v>
      </c>
      <c r="DT745" s="445">
        <f t="shared" ref="DT745:EI745" si="439">SUM(DT746:DT760)</f>
        <v>410000000</v>
      </c>
      <c r="DU745" s="445">
        <f t="shared" si="439"/>
        <v>510000000</v>
      </c>
      <c r="DV745" s="445">
        <f t="shared" si="439"/>
        <v>510000000</v>
      </c>
      <c r="DW745" s="445">
        <f t="shared" si="439"/>
        <v>400000000</v>
      </c>
      <c r="DX745" s="445">
        <f t="shared" si="439"/>
        <v>400000000</v>
      </c>
      <c r="DY745" s="445">
        <f t="shared" si="439"/>
        <v>410000000</v>
      </c>
      <c r="DZ745" s="445">
        <f t="shared" si="439"/>
        <v>410000000</v>
      </c>
      <c r="EA745" s="445">
        <f t="shared" si="439"/>
        <v>410000000</v>
      </c>
      <c r="EB745" s="445">
        <f t="shared" si="439"/>
        <v>410000000</v>
      </c>
      <c r="EC745" s="445">
        <f t="shared" si="439"/>
        <v>460000000</v>
      </c>
      <c r="ED745" s="445">
        <f t="shared" si="439"/>
        <v>460000000</v>
      </c>
      <c r="EE745" s="1120">
        <f t="shared" si="439"/>
        <v>5200000000</v>
      </c>
      <c r="EF745" s="445">
        <f t="shared" si="439"/>
        <v>1487000000</v>
      </c>
      <c r="EG745" s="445">
        <f t="shared" si="439"/>
        <v>3260500000</v>
      </c>
      <c r="EH745" s="445">
        <f t="shared" si="439"/>
        <v>5625750000</v>
      </c>
      <c r="EI745" s="445">
        <f t="shared" si="439"/>
        <v>7688625000</v>
      </c>
      <c r="EJ745" s="413"/>
      <c r="EK745" s="413"/>
    </row>
    <row r="746" spans="1:156" outlineLevel="2">
      <c r="A746" s="433" t="s">
        <v>194</v>
      </c>
      <c r="B746" s="378"/>
      <c r="C746" s="370" t="s">
        <v>688</v>
      </c>
      <c r="D746" s="297" t="s">
        <v>121</v>
      </c>
      <c r="E746" s="383" t="s">
        <v>119</v>
      </c>
      <c r="F746" s="380"/>
      <c r="G746" s="196"/>
      <c r="H746" s="31"/>
      <c r="I746" s="185"/>
      <c r="J746" s="185"/>
      <c r="K746" s="185"/>
      <c r="L746" s="185"/>
      <c r="M746" s="185"/>
      <c r="N746" s="185"/>
      <c r="O746" s="7"/>
      <c r="P746" s="7"/>
      <c r="Q746" s="7"/>
      <c r="R746" s="7"/>
      <c r="S746" s="14"/>
      <c r="T746" s="179"/>
      <c r="U746" s="196"/>
      <c r="V746" s="31"/>
      <c r="W746" s="185"/>
      <c r="X746" s="185"/>
      <c r="Y746" s="185"/>
      <c r="Z746" s="185"/>
      <c r="AA746" s="185"/>
      <c r="AB746" s="185"/>
      <c r="AC746" s="7"/>
      <c r="AD746" s="7"/>
      <c r="AE746" s="7"/>
      <c r="AF746" s="7"/>
      <c r="AG746" s="759"/>
      <c r="AH746" s="788"/>
      <c r="AI746" s="485"/>
      <c r="AJ746" s="874"/>
      <c r="AK746" s="758"/>
      <c r="AL746" s="758"/>
      <c r="AM746" s="758"/>
      <c r="AN746" s="758"/>
      <c r="AO746" s="758"/>
      <c r="AP746" s="758"/>
      <c r="AQ746" s="518"/>
      <c r="AR746" s="518"/>
      <c r="AS746" s="518"/>
      <c r="AT746" s="518"/>
      <c r="AU746" s="518"/>
      <c r="AV746" s="518"/>
      <c r="AW746" s="518"/>
      <c r="AX746" s="518">
        <f>SUM(AI746,AJ746,AK746,AL746,AM746,AN746,AO746,AP746,AQ746,AR746,AS746,AT746)</f>
        <v>0</v>
      </c>
      <c r="AY746" s="788"/>
      <c r="AZ746" s="485"/>
      <c r="BA746" s="874"/>
      <c r="BB746" s="758"/>
      <c r="BC746" s="758"/>
      <c r="BD746" s="758"/>
      <c r="BE746" s="758"/>
      <c r="BF746" s="758"/>
      <c r="BG746" s="518"/>
      <c r="BH746" s="758"/>
      <c r="BI746" s="758"/>
      <c r="BJ746" s="758"/>
      <c r="BK746" s="758"/>
      <c r="BL746" s="759"/>
      <c r="BN746" s="485"/>
      <c r="BO746" s="758"/>
      <c r="BP746" s="758"/>
      <c r="BQ746" s="758"/>
      <c r="BR746" s="758"/>
      <c r="BS746" s="758"/>
      <c r="BT746" s="758"/>
      <c r="BU746" s="758"/>
      <c r="BV746" s="758"/>
      <c r="BW746" s="758"/>
      <c r="BX746" s="758"/>
      <c r="BY746" s="758"/>
      <c r="BZ746" s="791">
        <v>0</v>
      </c>
      <c r="CB746" s="485"/>
      <c r="CC746" s="758"/>
      <c r="CD746" s="758"/>
      <c r="CE746" s="758"/>
      <c r="CF746" s="758"/>
      <c r="CG746" s="758"/>
      <c r="CH746" s="758"/>
      <c r="CI746" s="758"/>
      <c r="CJ746" s="758"/>
      <c r="CK746" s="758"/>
      <c r="CL746" s="758"/>
      <c r="CM746" s="758"/>
      <c r="CN746" s="791">
        <v>0</v>
      </c>
      <c r="CO746" s="37"/>
      <c r="CP746" s="657"/>
      <c r="CQ746" s="657"/>
      <c r="CR746" s="528"/>
      <c r="CS746" s="657"/>
      <c r="CT746" s="528"/>
      <c r="CU746" s="657"/>
      <c r="CV746" s="528"/>
      <c r="CW746" s="657"/>
      <c r="CX746" s="528"/>
      <c r="CY746" s="657"/>
      <c r="CZ746" s="528"/>
      <c r="DA746" s="657"/>
      <c r="DB746" s="528"/>
      <c r="DC746" s="657">
        <v>0</v>
      </c>
      <c r="DD746" s="528"/>
      <c r="DE746" s="758"/>
      <c r="DF746" s="528"/>
      <c r="DG746" s="757"/>
      <c r="DH746" s="758"/>
      <c r="DI746" s="528"/>
      <c r="DJ746" s="757"/>
      <c r="DK746" s="758"/>
      <c r="DL746" s="528"/>
      <c r="DM746" s="757"/>
      <c r="DN746" s="758"/>
      <c r="DO746" s="528"/>
      <c r="DP746" s="757"/>
      <c r="DQ746" s="493">
        <f t="shared" ref="DQ746:DQ757" si="440">SUM(CP746,CQ746,CS746,CU746,CW746,CY746,DA746,DC746,DF746,DI746,DL746,DO746)</f>
        <v>0</v>
      </c>
      <c r="DR746" s="479">
        <f t="shared" ref="DR746:DR757" si="441">SUM(CP746,CQ746,CS746,CU746,CX746,CZ746,DB746,DD746,DG746,DJ746,DM746,DP746)</f>
        <v>0</v>
      </c>
      <c r="DS746" s="1020"/>
      <c r="DT746" s="1020"/>
      <c r="DU746" s="1020"/>
      <c r="DV746" s="1020"/>
      <c r="DW746" s="1020"/>
      <c r="DX746" s="1020"/>
      <c r="DY746" s="1020"/>
      <c r="DZ746" s="1020"/>
      <c r="EA746" s="1020"/>
      <c r="EB746" s="1020"/>
      <c r="EC746" s="1020"/>
      <c r="ED746" s="1020"/>
      <c r="EE746" s="1119">
        <f t="shared" ref="EE746:EE760" si="442">SUM(DS746,DT746,DU746,DV746,DW746,DX746,DY746,DZ746,EA746,EB746,EC746,ED746)</f>
        <v>0</v>
      </c>
      <c r="EF746" s="443">
        <v>240000000</v>
      </c>
      <c r="EG746" s="443">
        <v>510000000</v>
      </c>
      <c r="EH746" s="443">
        <v>1500000000</v>
      </c>
      <c r="EI746" s="443">
        <v>1500000000</v>
      </c>
      <c r="EL746" s="177"/>
      <c r="EM746" s="177"/>
      <c r="EN746" s="177"/>
    </row>
    <row r="747" spans="1:156" outlineLevel="2">
      <c r="A747" s="433" t="s">
        <v>276</v>
      </c>
      <c r="B747" s="378"/>
      <c r="C747" s="370" t="s">
        <v>688</v>
      </c>
      <c r="D747" s="297" t="s">
        <v>121</v>
      </c>
      <c r="E747" s="383" t="s">
        <v>52</v>
      </c>
      <c r="F747" s="434"/>
      <c r="G747" s="188"/>
      <c r="H747" s="30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79"/>
      <c r="U747" s="188"/>
      <c r="V747" s="30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759"/>
      <c r="AH747" s="811"/>
      <c r="AI747" s="827"/>
      <c r="AJ747" s="859"/>
      <c r="AK747" s="759"/>
      <c r="AL747" s="759"/>
      <c r="AM747" s="759"/>
      <c r="AN747" s="759"/>
      <c r="AO747" s="759"/>
      <c r="AP747" s="759"/>
      <c r="AQ747" s="759"/>
      <c r="AR747" s="759"/>
      <c r="AS747" s="759"/>
      <c r="AT747" s="759"/>
      <c r="AU747" s="759"/>
      <c r="AV747" s="759"/>
      <c r="AW747" s="759"/>
      <c r="AX747" s="759">
        <f>SUM(AI747,AJ747,AK747,AL747,AM747,AN747,AO747,AP747,AQ747,AR747,AS747,AT747)</f>
        <v>0</v>
      </c>
      <c r="AY747" s="811"/>
      <c r="AZ747" s="827"/>
      <c r="BA747" s="859"/>
      <c r="BB747" s="759"/>
      <c r="BC747" s="759"/>
      <c r="BD747" s="759"/>
      <c r="BE747" s="759"/>
      <c r="BF747" s="759"/>
      <c r="BG747" s="759"/>
      <c r="BH747" s="759"/>
      <c r="BI747" s="759"/>
      <c r="BJ747" s="759"/>
      <c r="BK747" s="759"/>
      <c r="BL747" s="759"/>
      <c r="BM747" s="877"/>
      <c r="BN747" s="759"/>
      <c r="BO747" s="759"/>
      <c r="BP747" s="759"/>
      <c r="BQ747" s="759"/>
      <c r="BR747" s="759"/>
      <c r="BS747" s="759"/>
      <c r="BT747" s="759"/>
      <c r="BU747" s="759"/>
      <c r="BV747" s="759"/>
      <c r="BW747" s="759"/>
      <c r="BX747" s="759"/>
      <c r="BY747" s="759"/>
      <c r="BZ747" s="878">
        <v>0</v>
      </c>
      <c r="CB747" s="759"/>
      <c r="CC747" s="759"/>
      <c r="CD747" s="759"/>
      <c r="CE747" s="759"/>
      <c r="CF747" s="759"/>
      <c r="CG747" s="759"/>
      <c r="CH747" s="759"/>
      <c r="CI747" s="759"/>
      <c r="CJ747" s="759"/>
      <c r="CK747" s="759"/>
      <c r="CL747" s="759"/>
      <c r="CM747" s="759"/>
      <c r="CN747" s="878">
        <v>0</v>
      </c>
      <c r="CO747" s="879"/>
      <c r="CP747" s="663"/>
      <c r="CQ747" s="663"/>
      <c r="CR747" s="617"/>
      <c r="CS747" s="663"/>
      <c r="CT747" s="617">
        <v>0</v>
      </c>
      <c r="CU747" s="663"/>
      <c r="CV747" s="617">
        <v>20000000</v>
      </c>
      <c r="CW747" s="663"/>
      <c r="CX747" s="617">
        <v>0</v>
      </c>
      <c r="CY747" s="663"/>
      <c r="CZ747" s="617">
        <v>0</v>
      </c>
      <c r="DA747" s="663"/>
      <c r="DB747" s="617">
        <v>2000000</v>
      </c>
      <c r="DC747" s="663">
        <v>0</v>
      </c>
      <c r="DD747" s="617">
        <v>2000000</v>
      </c>
      <c r="DE747" s="759"/>
      <c r="DF747" s="617">
        <v>2000000</v>
      </c>
      <c r="DG747" s="748">
        <v>2000000</v>
      </c>
      <c r="DH747" s="759"/>
      <c r="DI747" s="617">
        <v>2000000</v>
      </c>
      <c r="DJ747" s="748">
        <v>2000000</v>
      </c>
      <c r="DK747" s="759"/>
      <c r="DL747" s="617">
        <v>2000000</v>
      </c>
      <c r="DM747" s="748">
        <v>2000000</v>
      </c>
      <c r="DN747" s="759"/>
      <c r="DO747" s="617">
        <v>2000000</v>
      </c>
      <c r="DP747" s="748">
        <v>2000000</v>
      </c>
      <c r="DQ747" s="493">
        <f t="shared" si="440"/>
        <v>8000000</v>
      </c>
      <c r="DR747" s="479">
        <f t="shared" si="441"/>
        <v>12000000</v>
      </c>
      <c r="DS747" s="1180"/>
      <c r="DT747" s="1180"/>
      <c r="DU747" s="1180"/>
      <c r="DV747" s="1180"/>
      <c r="DW747" s="1180"/>
      <c r="DX747" s="1180"/>
      <c r="DY747" s="1180"/>
      <c r="DZ747" s="1180"/>
      <c r="EA747" s="1180"/>
      <c r="EB747" s="1180"/>
      <c r="EC747" s="1180"/>
      <c r="ED747" s="1180"/>
      <c r="EE747" s="1119">
        <f t="shared" si="442"/>
        <v>0</v>
      </c>
      <c r="EF747" s="450">
        <v>240000000</v>
      </c>
      <c r="EG747" s="450">
        <v>1000000000</v>
      </c>
      <c r="EH747" s="450">
        <f t="shared" ref="EH747:EI749" si="443">EG747*1.5</f>
        <v>1500000000</v>
      </c>
      <c r="EI747" s="450">
        <f t="shared" si="443"/>
        <v>2250000000</v>
      </c>
      <c r="EJ747" s="1026"/>
      <c r="EK747" s="1026"/>
      <c r="EL747" s="43"/>
      <c r="EM747" s="43"/>
      <c r="EN747" s="43"/>
      <c r="EO747" s="144"/>
      <c r="EP747" s="144"/>
      <c r="EQ747" s="144"/>
      <c r="ER747" s="144"/>
      <c r="ES747" s="144"/>
      <c r="ET747" s="144"/>
      <c r="EU747" s="144"/>
      <c r="EV747" s="144"/>
      <c r="EW747" s="144"/>
      <c r="EX747" s="144"/>
      <c r="EY747" s="144"/>
      <c r="EZ747" s="144"/>
    </row>
    <row r="748" spans="1:156" outlineLevel="2">
      <c r="A748" s="433" t="s">
        <v>194</v>
      </c>
      <c r="B748" s="378"/>
      <c r="C748" s="370" t="s">
        <v>688</v>
      </c>
      <c r="D748" s="297" t="s">
        <v>121</v>
      </c>
      <c r="E748" s="383" t="s">
        <v>628</v>
      </c>
      <c r="F748" s="380">
        <v>8000000056</v>
      </c>
      <c r="G748" s="196"/>
      <c r="H748" s="31"/>
      <c r="I748" s="185"/>
      <c r="J748" s="185"/>
      <c r="K748" s="185"/>
      <c r="L748" s="185"/>
      <c r="M748" s="185"/>
      <c r="N748" s="185"/>
      <c r="O748" s="7"/>
      <c r="P748" s="7"/>
      <c r="Q748" s="7"/>
      <c r="R748" s="7"/>
      <c r="S748" s="14"/>
      <c r="T748" s="179"/>
      <c r="U748" s="196"/>
      <c r="V748" s="31"/>
      <c r="W748" s="185"/>
      <c r="X748" s="185"/>
      <c r="Y748" s="185"/>
      <c r="Z748" s="185"/>
      <c r="AA748" s="185"/>
      <c r="AB748" s="185"/>
      <c r="AC748" s="7"/>
      <c r="AD748" s="7"/>
      <c r="AE748" s="7"/>
      <c r="AF748" s="7"/>
      <c r="AG748" s="759"/>
      <c r="AH748" s="811"/>
      <c r="AI748" s="485"/>
      <c r="AJ748" s="874"/>
      <c r="AK748" s="758"/>
      <c r="AL748" s="758"/>
      <c r="AM748" s="758"/>
      <c r="AN748" s="758"/>
      <c r="AO748" s="758"/>
      <c r="AP748" s="758"/>
      <c r="AQ748" s="518"/>
      <c r="AR748" s="518"/>
      <c r="AS748" s="518"/>
      <c r="AT748" s="518"/>
      <c r="AU748" s="518"/>
      <c r="AV748" s="518"/>
      <c r="AW748" s="518"/>
      <c r="AX748" s="518">
        <f>SUM(AI748,AJ748,AK748,AL748,AM748,AN748,AO748,AP748,AQ748,AR748,AS748,AT748)</f>
        <v>0</v>
      </c>
      <c r="AY748" s="811"/>
      <c r="AZ748" s="485"/>
      <c r="BA748" s="874"/>
      <c r="BB748" s="758"/>
      <c r="BC748" s="758"/>
      <c r="BD748" s="758"/>
      <c r="BE748" s="758"/>
      <c r="BF748" s="758"/>
      <c r="BG748" s="518"/>
      <c r="BH748" s="758"/>
      <c r="BI748" s="758"/>
      <c r="BJ748" s="758"/>
      <c r="BK748" s="758"/>
      <c r="BL748" s="759"/>
      <c r="BN748" s="758"/>
      <c r="BO748" s="758"/>
      <c r="BP748" s="758"/>
      <c r="BQ748" s="758"/>
      <c r="BR748" s="758"/>
      <c r="BS748" s="758"/>
      <c r="BT748" s="758"/>
      <c r="BU748" s="758"/>
      <c r="BV748" s="758"/>
      <c r="BW748" s="758"/>
      <c r="BX748" s="758"/>
      <c r="BY748" s="758"/>
      <c r="BZ748" s="791">
        <v>0</v>
      </c>
      <c r="CB748" s="758"/>
      <c r="CC748" s="758"/>
      <c r="CD748" s="758"/>
      <c r="CE748" s="758"/>
      <c r="CF748" s="758"/>
      <c r="CG748" s="758"/>
      <c r="CH748" s="758"/>
      <c r="CI748" s="758"/>
      <c r="CJ748" s="758"/>
      <c r="CK748" s="758"/>
      <c r="CL748" s="758"/>
      <c r="CM748" s="758"/>
      <c r="CN748" s="791">
        <v>0</v>
      </c>
      <c r="CO748" s="37"/>
      <c r="CP748" s="657"/>
      <c r="CQ748" s="657"/>
      <c r="CR748" s="528"/>
      <c r="CS748" s="657"/>
      <c r="CT748" s="528">
        <v>5000000</v>
      </c>
      <c r="CU748" s="657"/>
      <c r="CV748" s="528">
        <v>5000000</v>
      </c>
      <c r="CW748" s="657"/>
      <c r="CX748" s="528">
        <v>0</v>
      </c>
      <c r="CY748" s="657">
        <v>0</v>
      </c>
      <c r="CZ748" s="528">
        <v>0</v>
      </c>
      <c r="DA748" s="657"/>
      <c r="DB748" s="528" t="s">
        <v>615</v>
      </c>
      <c r="DC748" s="657">
        <v>0</v>
      </c>
      <c r="DD748" s="528" t="s">
        <v>615</v>
      </c>
      <c r="DE748" s="758"/>
      <c r="DF748" s="528" t="s">
        <v>615</v>
      </c>
      <c r="DG748" s="757" t="s">
        <v>615</v>
      </c>
      <c r="DH748" s="758"/>
      <c r="DI748" s="528" t="s">
        <v>615</v>
      </c>
      <c r="DJ748" s="757" t="s">
        <v>615</v>
      </c>
      <c r="DK748" s="758"/>
      <c r="DL748" s="528" t="s">
        <v>615</v>
      </c>
      <c r="DM748" s="757" t="s">
        <v>615</v>
      </c>
      <c r="DN748" s="758"/>
      <c r="DO748" s="528" t="s">
        <v>615</v>
      </c>
      <c r="DP748" s="757" t="s">
        <v>615</v>
      </c>
      <c r="DQ748" s="493">
        <f t="shared" si="440"/>
        <v>0</v>
      </c>
      <c r="DR748" s="479">
        <f t="shared" si="441"/>
        <v>0</v>
      </c>
      <c r="DS748" s="1020"/>
      <c r="DT748" s="1020"/>
      <c r="DU748" s="1020"/>
      <c r="DV748" s="1020"/>
      <c r="DW748" s="1020"/>
      <c r="DX748" s="1020"/>
      <c r="DY748" s="1020"/>
      <c r="DZ748" s="1020"/>
      <c r="EA748" s="1020"/>
      <c r="EB748" s="1020"/>
      <c r="EC748" s="1020"/>
      <c r="ED748" s="1020"/>
      <c r="EE748" s="1119">
        <f t="shared" si="442"/>
        <v>0</v>
      </c>
      <c r="EF748" s="443">
        <v>240000000</v>
      </c>
      <c r="EG748" s="443">
        <v>600000000</v>
      </c>
      <c r="EH748" s="443">
        <f t="shared" si="443"/>
        <v>900000000</v>
      </c>
      <c r="EI748" s="443">
        <f t="shared" si="443"/>
        <v>1350000000</v>
      </c>
      <c r="EL748" s="177"/>
      <c r="EM748" s="177"/>
      <c r="EN748" s="177"/>
    </row>
    <row r="749" spans="1:156" outlineLevel="2">
      <c r="A749" s="433" t="s">
        <v>276</v>
      </c>
      <c r="B749" s="378"/>
      <c r="C749" s="370" t="s">
        <v>688</v>
      </c>
      <c r="D749" s="297" t="s">
        <v>121</v>
      </c>
      <c r="E749" s="383" t="s">
        <v>913</v>
      </c>
      <c r="F749" s="380"/>
      <c r="G749" s="196"/>
      <c r="H749" s="31"/>
      <c r="I749" s="185"/>
      <c r="J749" s="185"/>
      <c r="K749" s="185"/>
      <c r="L749" s="185"/>
      <c r="M749" s="185"/>
      <c r="N749" s="185"/>
      <c r="O749" s="7"/>
      <c r="P749" s="7"/>
      <c r="Q749" s="7"/>
      <c r="R749" s="7"/>
      <c r="S749" s="14"/>
      <c r="T749" s="179"/>
      <c r="U749" s="196"/>
      <c r="V749" s="31"/>
      <c r="W749" s="185"/>
      <c r="X749" s="185"/>
      <c r="Y749" s="185"/>
      <c r="Z749" s="185"/>
      <c r="AA749" s="185"/>
      <c r="AB749" s="185"/>
      <c r="AC749" s="7"/>
      <c r="AD749" s="7"/>
      <c r="AE749" s="7"/>
      <c r="AF749" s="7"/>
      <c r="AG749" s="759"/>
      <c r="AH749" s="811"/>
      <c r="AI749" s="485"/>
      <c r="AJ749" s="874"/>
      <c r="AK749" s="758"/>
      <c r="AL749" s="758"/>
      <c r="AM749" s="758"/>
      <c r="AN749" s="758"/>
      <c r="AO749" s="758"/>
      <c r="AP749" s="758"/>
      <c r="AQ749" s="518"/>
      <c r="AR749" s="518"/>
      <c r="AS749" s="518"/>
      <c r="AT749" s="518"/>
      <c r="AU749" s="518"/>
      <c r="AV749" s="518"/>
      <c r="AW749" s="518"/>
      <c r="AX749" s="518">
        <f>SUM(AI749,AJ749,AK749,AL749,AM749,AN749,AO749,AP749,AQ749,AR749,AS749,AT749)</f>
        <v>0</v>
      </c>
      <c r="AY749" s="811"/>
      <c r="AZ749" s="485"/>
      <c r="BA749" s="874"/>
      <c r="BB749" s="758"/>
      <c r="BC749" s="758"/>
      <c r="BD749" s="758"/>
      <c r="BE749" s="758"/>
      <c r="BF749" s="758"/>
      <c r="BG749" s="518"/>
      <c r="BH749" s="758"/>
      <c r="BI749" s="758"/>
      <c r="BJ749" s="758"/>
      <c r="BK749" s="758"/>
      <c r="BL749" s="759"/>
      <c r="BN749" s="758">
        <v>45000000</v>
      </c>
      <c r="BO749" s="758">
        <v>45000000</v>
      </c>
      <c r="BP749" s="758">
        <v>45000000</v>
      </c>
      <c r="BQ749" s="758">
        <v>45000000</v>
      </c>
      <c r="BR749" s="758">
        <v>50000000</v>
      </c>
      <c r="BS749" s="758">
        <v>45000000</v>
      </c>
      <c r="BT749" s="758">
        <v>45000000</v>
      </c>
      <c r="BU749" s="758">
        <v>45000000</v>
      </c>
      <c r="BV749" s="758">
        <v>45000000</v>
      </c>
      <c r="BW749" s="758">
        <v>45000000</v>
      </c>
      <c r="BX749" s="758">
        <v>45000000</v>
      </c>
      <c r="BY749" s="758">
        <v>45921808</v>
      </c>
      <c r="BZ749" s="791">
        <v>545921808</v>
      </c>
      <c r="CB749" s="758">
        <v>45000000</v>
      </c>
      <c r="CC749" s="758">
        <v>45000000</v>
      </c>
      <c r="CD749" s="758">
        <v>45000000</v>
      </c>
      <c r="CE749" s="758">
        <v>45000000</v>
      </c>
      <c r="CF749" s="758">
        <v>50000000</v>
      </c>
      <c r="CG749" s="758">
        <v>45000000</v>
      </c>
      <c r="CH749" s="758">
        <v>45000000</v>
      </c>
      <c r="CI749" s="758">
        <v>45000000</v>
      </c>
      <c r="CJ749" s="758">
        <v>45000000</v>
      </c>
      <c r="CK749" s="758">
        <v>45000000</v>
      </c>
      <c r="CL749" s="758">
        <v>45000000</v>
      </c>
      <c r="CM749" s="758">
        <v>45921808</v>
      </c>
      <c r="CN749" s="791">
        <v>545921808</v>
      </c>
      <c r="CO749" s="37"/>
      <c r="CP749" s="657"/>
      <c r="CQ749" s="657"/>
      <c r="CR749" s="528"/>
      <c r="CS749" s="657"/>
      <c r="CT749" s="528"/>
      <c r="CU749" s="657"/>
      <c r="CV749" s="528"/>
      <c r="CW749" s="657"/>
      <c r="CX749" s="528"/>
      <c r="CY749" s="657"/>
      <c r="CZ749" s="528"/>
      <c r="DA749" s="657"/>
      <c r="DB749" s="528"/>
      <c r="DC749" s="657">
        <v>0</v>
      </c>
      <c r="DD749" s="528"/>
      <c r="DE749" s="758"/>
      <c r="DF749" s="528"/>
      <c r="DG749" s="757"/>
      <c r="DH749" s="758"/>
      <c r="DI749" s="528"/>
      <c r="DJ749" s="757"/>
      <c r="DK749" s="758"/>
      <c r="DL749" s="528"/>
      <c r="DM749" s="757"/>
      <c r="DN749" s="758"/>
      <c r="DO749" s="528"/>
      <c r="DP749" s="757"/>
      <c r="DQ749" s="493">
        <f t="shared" si="440"/>
        <v>0</v>
      </c>
      <c r="DR749" s="479">
        <f t="shared" si="441"/>
        <v>0</v>
      </c>
      <c r="DS749" s="1020"/>
      <c r="DT749" s="1020"/>
      <c r="DU749" s="1020"/>
      <c r="DV749" s="1020"/>
      <c r="DW749" s="1020"/>
      <c r="DX749" s="1020"/>
      <c r="DY749" s="1020"/>
      <c r="DZ749" s="1020"/>
      <c r="EA749" s="1020"/>
      <c r="EB749" s="1020"/>
      <c r="EC749" s="1020"/>
      <c r="ED749" s="1020"/>
      <c r="EE749" s="1119">
        <f t="shared" si="442"/>
        <v>0</v>
      </c>
      <c r="EF749" s="443">
        <v>767000000</v>
      </c>
      <c r="EG749" s="443">
        <f>EF749*1.5</f>
        <v>1150500000</v>
      </c>
      <c r="EH749" s="443">
        <f t="shared" si="443"/>
        <v>1725750000</v>
      </c>
      <c r="EI749" s="443">
        <f t="shared" si="443"/>
        <v>2588625000</v>
      </c>
      <c r="EL749" s="177"/>
      <c r="EM749" s="177"/>
      <c r="EN749" s="177"/>
    </row>
    <row r="750" spans="1:156" outlineLevel="2">
      <c r="A750" s="435" t="s">
        <v>276</v>
      </c>
      <c r="B750" s="378"/>
      <c r="C750" s="370" t="s">
        <v>688</v>
      </c>
      <c r="D750" s="297" t="s">
        <v>121</v>
      </c>
      <c r="E750" s="383" t="s">
        <v>914</v>
      </c>
      <c r="F750" s="380"/>
      <c r="G750" s="196"/>
      <c r="H750" s="31"/>
      <c r="I750" s="185"/>
      <c r="J750" s="185"/>
      <c r="K750" s="185"/>
      <c r="L750" s="185"/>
      <c r="M750" s="185"/>
      <c r="N750" s="185"/>
      <c r="O750" s="7"/>
      <c r="P750" s="7"/>
      <c r="Q750" s="7"/>
      <c r="R750" s="7"/>
      <c r="S750" s="14"/>
      <c r="T750" s="179"/>
      <c r="U750" s="196"/>
      <c r="V750" s="31"/>
      <c r="W750" s="185"/>
      <c r="X750" s="185"/>
      <c r="Y750" s="185"/>
      <c r="Z750" s="185"/>
      <c r="AA750" s="185"/>
      <c r="AB750" s="185"/>
      <c r="AC750" s="7"/>
      <c r="AD750" s="7"/>
      <c r="AE750" s="7"/>
      <c r="AF750" s="7"/>
      <c r="AG750" s="759"/>
      <c r="AH750" s="788"/>
      <c r="AI750" s="485"/>
      <c r="AJ750" s="874"/>
      <c r="AK750" s="758"/>
      <c r="AL750" s="758"/>
      <c r="AM750" s="758"/>
      <c r="AN750" s="758"/>
      <c r="AO750" s="758"/>
      <c r="AP750" s="758"/>
      <c r="AQ750" s="518"/>
      <c r="AR750" s="518"/>
      <c r="AS750" s="518"/>
      <c r="AT750" s="518"/>
      <c r="AU750" s="518"/>
      <c r="AV750" s="518"/>
      <c r="AW750" s="518"/>
      <c r="AX750" s="518"/>
      <c r="AY750" s="788"/>
      <c r="AZ750" s="485"/>
      <c r="BA750" s="874"/>
      <c r="BB750" s="758"/>
      <c r="BC750" s="758"/>
      <c r="BD750" s="758"/>
      <c r="BE750" s="758"/>
      <c r="BF750" s="758"/>
      <c r="BG750" s="518"/>
      <c r="BH750" s="758"/>
      <c r="BI750" s="758"/>
      <c r="BJ750" s="758"/>
      <c r="BK750" s="758"/>
      <c r="BL750" s="759"/>
      <c r="BN750" s="485"/>
      <c r="BO750" s="758"/>
      <c r="BP750" s="758"/>
      <c r="BQ750" s="758"/>
      <c r="BR750" s="758"/>
      <c r="BS750" s="758"/>
      <c r="BT750" s="758"/>
      <c r="BU750" s="758"/>
      <c r="BV750" s="758"/>
      <c r="BW750" s="758"/>
      <c r="BX750" s="758"/>
      <c r="BY750" s="758"/>
      <c r="BZ750" s="791"/>
      <c r="CB750" s="485"/>
      <c r="CC750" s="758"/>
      <c r="CD750" s="758"/>
      <c r="CE750" s="758"/>
      <c r="CF750" s="758"/>
      <c r="CG750" s="758"/>
      <c r="CH750" s="758"/>
      <c r="CI750" s="758"/>
      <c r="CJ750" s="758"/>
      <c r="CK750" s="758"/>
      <c r="CL750" s="758"/>
      <c r="CM750" s="758"/>
      <c r="CN750" s="791"/>
      <c r="CO750" s="37"/>
      <c r="CP750" s="657"/>
      <c r="CQ750" s="657"/>
      <c r="CR750" s="528"/>
      <c r="CS750" s="657"/>
      <c r="CT750" s="528"/>
      <c r="CU750" s="657"/>
      <c r="CV750" s="528"/>
      <c r="CW750" s="657"/>
      <c r="CX750" s="528">
        <v>0</v>
      </c>
      <c r="CY750" s="657"/>
      <c r="CZ750" s="528">
        <v>100000000</v>
      </c>
      <c r="DA750" s="657"/>
      <c r="DB750" s="528">
        <v>100000000</v>
      </c>
      <c r="DC750" s="657">
        <v>0</v>
      </c>
      <c r="DD750" s="528">
        <v>100000000</v>
      </c>
      <c r="DE750" s="758"/>
      <c r="DF750" s="528">
        <v>100000000</v>
      </c>
      <c r="DG750" s="757">
        <v>100000000</v>
      </c>
      <c r="DH750" s="758"/>
      <c r="DI750" s="528">
        <v>100000000</v>
      </c>
      <c r="DJ750" s="757">
        <v>100000000</v>
      </c>
      <c r="DK750" s="758"/>
      <c r="DL750" s="528">
        <v>150000000</v>
      </c>
      <c r="DM750" s="757">
        <v>150000000</v>
      </c>
      <c r="DN750" s="758"/>
      <c r="DO750" s="528">
        <v>150000000</v>
      </c>
      <c r="DP750" s="757">
        <v>150000000</v>
      </c>
      <c r="DQ750" s="493">
        <f t="shared" si="440"/>
        <v>500000000</v>
      </c>
      <c r="DR750" s="479">
        <f t="shared" si="441"/>
        <v>800000000</v>
      </c>
      <c r="DS750" s="1198">
        <v>25000000</v>
      </c>
      <c r="DT750" s="1198">
        <v>25000000</v>
      </c>
      <c r="DU750" s="1198">
        <v>50000000</v>
      </c>
      <c r="DV750" s="1198">
        <v>50000000</v>
      </c>
      <c r="DW750" s="1198">
        <v>20000000</v>
      </c>
      <c r="DX750" s="1198">
        <v>20000000</v>
      </c>
      <c r="DY750" s="1198">
        <v>25000000</v>
      </c>
      <c r="DZ750" s="1198">
        <v>25000000</v>
      </c>
      <c r="EA750" s="1198">
        <v>25000000</v>
      </c>
      <c r="EB750" s="1198">
        <v>25000000</v>
      </c>
      <c r="EC750" s="1198">
        <v>50000000</v>
      </c>
      <c r="ED750" s="1198">
        <v>50000000</v>
      </c>
      <c r="EE750" s="1194">
        <f t="shared" si="442"/>
        <v>390000000</v>
      </c>
      <c r="EF750" s="443"/>
      <c r="EG750" s="443"/>
      <c r="EH750" s="443"/>
      <c r="EI750" s="443"/>
      <c r="EL750" s="177"/>
      <c r="EM750" s="177"/>
      <c r="EN750" s="177"/>
    </row>
    <row r="751" spans="1:156" outlineLevel="2">
      <c r="A751" s="435"/>
      <c r="B751" s="378"/>
      <c r="C751" s="370" t="s">
        <v>688</v>
      </c>
      <c r="D751" s="297" t="s">
        <v>121</v>
      </c>
      <c r="E751" s="383" t="s">
        <v>247</v>
      </c>
      <c r="F751" s="380"/>
      <c r="G751" s="196"/>
      <c r="H751" s="31"/>
      <c r="I751" s="185"/>
      <c r="J751" s="185"/>
      <c r="K751" s="185"/>
      <c r="L751" s="185"/>
      <c r="M751" s="185"/>
      <c r="N751" s="185"/>
      <c r="O751" s="7"/>
      <c r="P751" s="7"/>
      <c r="Q751" s="7"/>
      <c r="R751" s="7"/>
      <c r="S751" s="14"/>
      <c r="T751" s="179"/>
      <c r="U751" s="196"/>
      <c r="V751" s="31"/>
      <c r="W751" s="185"/>
      <c r="X751" s="185"/>
      <c r="Y751" s="185"/>
      <c r="Z751" s="185"/>
      <c r="AA751" s="185"/>
      <c r="AB751" s="185"/>
      <c r="AC751" s="7"/>
      <c r="AD751" s="7"/>
      <c r="AE751" s="7"/>
      <c r="AF751" s="7"/>
      <c r="AG751" s="759"/>
      <c r="AH751" s="788"/>
      <c r="AI751" s="485"/>
      <c r="AJ751" s="874"/>
      <c r="AK751" s="758"/>
      <c r="AL751" s="758"/>
      <c r="AM751" s="758"/>
      <c r="AN751" s="758"/>
      <c r="AO751" s="758"/>
      <c r="AP751" s="758"/>
      <c r="AQ751" s="518"/>
      <c r="AR751" s="518"/>
      <c r="AS751" s="518"/>
      <c r="AT751" s="518"/>
      <c r="AU751" s="518"/>
      <c r="AV751" s="518"/>
      <c r="AW751" s="518"/>
      <c r="AX751" s="518"/>
      <c r="AY751" s="788"/>
      <c r="AZ751" s="485"/>
      <c r="BA751" s="874"/>
      <c r="BB751" s="758"/>
      <c r="BC751" s="758"/>
      <c r="BD751" s="758"/>
      <c r="BE751" s="758"/>
      <c r="BF751" s="758"/>
      <c r="BG751" s="518"/>
      <c r="BH751" s="758"/>
      <c r="BI751" s="758"/>
      <c r="BJ751" s="758"/>
      <c r="BK751" s="758"/>
      <c r="BL751" s="759"/>
      <c r="BN751" s="485"/>
      <c r="BO751" s="758"/>
      <c r="BP751" s="758"/>
      <c r="BQ751" s="758"/>
      <c r="BR751" s="758"/>
      <c r="BS751" s="758"/>
      <c r="BT751" s="758"/>
      <c r="BU751" s="758"/>
      <c r="BV751" s="758"/>
      <c r="BW751" s="758"/>
      <c r="BX751" s="758"/>
      <c r="BY751" s="758"/>
      <c r="BZ751" s="791"/>
      <c r="CB751" s="485"/>
      <c r="CC751" s="758"/>
      <c r="CD751" s="758"/>
      <c r="CE751" s="758"/>
      <c r="CF751" s="758"/>
      <c r="CG751" s="758"/>
      <c r="CH751" s="758"/>
      <c r="CI751" s="758"/>
      <c r="CJ751" s="758"/>
      <c r="CK751" s="758"/>
      <c r="CL751" s="758"/>
      <c r="CM751" s="758"/>
      <c r="CN751" s="791"/>
      <c r="CO751" s="37"/>
      <c r="CP751" s="657"/>
      <c r="CQ751" s="657"/>
      <c r="CR751" s="528"/>
      <c r="CS751" s="657"/>
      <c r="CT751" s="528"/>
      <c r="CU751" s="657"/>
      <c r="CV751" s="528"/>
      <c r="CW751" s="657"/>
      <c r="CX751" s="528">
        <v>0</v>
      </c>
      <c r="CY751" s="657"/>
      <c r="CZ751" s="528">
        <v>50000000</v>
      </c>
      <c r="DA751" s="657"/>
      <c r="DB751" s="528">
        <v>50000000</v>
      </c>
      <c r="DC751" s="657">
        <v>0</v>
      </c>
      <c r="DD751" s="528">
        <v>50000000</v>
      </c>
      <c r="DE751" s="758"/>
      <c r="DF751" s="528">
        <v>50000000</v>
      </c>
      <c r="DG751" s="757">
        <v>50000000</v>
      </c>
      <c r="DH751" s="758"/>
      <c r="DI751" s="528">
        <v>50000000</v>
      </c>
      <c r="DJ751" s="757">
        <v>50000000</v>
      </c>
      <c r="DK751" s="758"/>
      <c r="DL751" s="528">
        <v>50000000</v>
      </c>
      <c r="DM751" s="757">
        <v>50000000</v>
      </c>
      <c r="DN751" s="758"/>
      <c r="DO751" s="528">
        <v>50000000</v>
      </c>
      <c r="DP751" s="757">
        <v>50000000</v>
      </c>
      <c r="DQ751" s="493">
        <f t="shared" si="440"/>
        <v>200000000</v>
      </c>
      <c r="DR751" s="479">
        <f t="shared" si="441"/>
        <v>350000000</v>
      </c>
      <c r="DS751" s="1198">
        <v>25000000</v>
      </c>
      <c r="DT751" s="1198">
        <v>25000000</v>
      </c>
      <c r="DU751" s="1198">
        <v>50000000</v>
      </c>
      <c r="DV751" s="1198">
        <v>50000000</v>
      </c>
      <c r="DW751" s="1198">
        <v>20000000</v>
      </c>
      <c r="DX751" s="1198">
        <v>20000000</v>
      </c>
      <c r="DY751" s="1198">
        <v>25000000</v>
      </c>
      <c r="DZ751" s="1198">
        <v>25000000</v>
      </c>
      <c r="EA751" s="1198">
        <v>25000000</v>
      </c>
      <c r="EB751" s="1198">
        <v>25000000</v>
      </c>
      <c r="EC751" s="1198">
        <v>50000000</v>
      </c>
      <c r="ED751" s="1198">
        <v>50000000</v>
      </c>
      <c r="EE751" s="1194">
        <f t="shared" si="442"/>
        <v>390000000</v>
      </c>
      <c r="EF751" s="443"/>
      <c r="EG751" s="443"/>
      <c r="EH751" s="443"/>
      <c r="EI751" s="443"/>
      <c r="EL751" s="177"/>
      <c r="EM751" s="177"/>
      <c r="EN751" s="177"/>
    </row>
    <row r="752" spans="1:156" outlineLevel="2">
      <c r="A752" s="435"/>
      <c r="B752" s="378"/>
      <c r="C752" s="370" t="s">
        <v>688</v>
      </c>
      <c r="D752" s="297" t="s">
        <v>121</v>
      </c>
      <c r="E752" s="383" t="s">
        <v>915</v>
      </c>
      <c r="F752" s="380"/>
      <c r="G752" s="196"/>
      <c r="H752" s="31"/>
      <c r="I752" s="185"/>
      <c r="J752" s="185"/>
      <c r="K752" s="185"/>
      <c r="L752" s="185"/>
      <c r="M752" s="185"/>
      <c r="N752" s="185"/>
      <c r="O752" s="7"/>
      <c r="P752" s="7"/>
      <c r="Q752" s="7"/>
      <c r="R752" s="7"/>
      <c r="S752" s="14"/>
      <c r="T752" s="179"/>
      <c r="U752" s="196"/>
      <c r="V752" s="31"/>
      <c r="W752" s="185"/>
      <c r="X752" s="185"/>
      <c r="Y752" s="185"/>
      <c r="Z752" s="185"/>
      <c r="AA752" s="185"/>
      <c r="AB752" s="185"/>
      <c r="AC752" s="7"/>
      <c r="AD752" s="7"/>
      <c r="AE752" s="7"/>
      <c r="AF752" s="7"/>
      <c r="AG752" s="759"/>
      <c r="AH752" s="788"/>
      <c r="AI752" s="485"/>
      <c r="AJ752" s="874"/>
      <c r="AK752" s="758"/>
      <c r="AL752" s="758"/>
      <c r="AM752" s="758"/>
      <c r="AN752" s="758"/>
      <c r="AO752" s="758"/>
      <c r="AP752" s="758"/>
      <c r="AQ752" s="518"/>
      <c r="AR752" s="518"/>
      <c r="AS752" s="518"/>
      <c r="AT752" s="518"/>
      <c r="AU752" s="518"/>
      <c r="AV752" s="518"/>
      <c r="AW752" s="518"/>
      <c r="AX752" s="518"/>
      <c r="AY752" s="788"/>
      <c r="AZ752" s="485"/>
      <c r="BA752" s="874"/>
      <c r="BB752" s="758"/>
      <c r="BC752" s="758"/>
      <c r="BD752" s="758"/>
      <c r="BE752" s="758"/>
      <c r="BF752" s="758"/>
      <c r="BG752" s="518"/>
      <c r="BH752" s="758"/>
      <c r="BI752" s="758"/>
      <c r="BJ752" s="758"/>
      <c r="BK752" s="758"/>
      <c r="BL752" s="759"/>
      <c r="BN752" s="485"/>
      <c r="BO752" s="758"/>
      <c r="BP752" s="758"/>
      <c r="BQ752" s="758"/>
      <c r="BR752" s="758"/>
      <c r="BS752" s="758"/>
      <c r="BT752" s="758"/>
      <c r="BU752" s="758"/>
      <c r="BV752" s="758"/>
      <c r="BW752" s="758"/>
      <c r="BX752" s="758"/>
      <c r="BY752" s="758"/>
      <c r="BZ752" s="791"/>
      <c r="CB752" s="485"/>
      <c r="CC752" s="758"/>
      <c r="CD752" s="758"/>
      <c r="CE752" s="758"/>
      <c r="CF752" s="758"/>
      <c r="CG752" s="758"/>
      <c r="CH752" s="758"/>
      <c r="CI752" s="758"/>
      <c r="CJ752" s="758"/>
      <c r="CK752" s="758"/>
      <c r="CL752" s="758"/>
      <c r="CM752" s="758"/>
      <c r="CN752" s="791"/>
      <c r="CO752" s="37"/>
      <c r="CP752" s="657"/>
      <c r="CQ752" s="657"/>
      <c r="CR752" s="528"/>
      <c r="CS752" s="657"/>
      <c r="CT752" s="528"/>
      <c r="CU752" s="657"/>
      <c r="CV752" s="528"/>
      <c r="CW752" s="657"/>
      <c r="CX752" s="528">
        <f>40*1500000</f>
        <v>60000000</v>
      </c>
      <c r="CY752" s="657"/>
      <c r="CZ752" s="528">
        <f>40*1500000</f>
        <v>60000000</v>
      </c>
      <c r="DA752" s="657"/>
      <c r="DB752" s="528">
        <v>60000000</v>
      </c>
      <c r="DC752" s="657">
        <v>0</v>
      </c>
      <c r="DD752" s="528">
        <v>60000000</v>
      </c>
      <c r="DE752" s="758"/>
      <c r="DF752" s="528">
        <v>60000000</v>
      </c>
      <c r="DG752" s="757">
        <v>60000000</v>
      </c>
      <c r="DH752" s="758"/>
      <c r="DI752" s="528">
        <v>60000000</v>
      </c>
      <c r="DJ752" s="757">
        <v>60000000</v>
      </c>
      <c r="DK752" s="758"/>
      <c r="DL752" s="528">
        <v>60000000</v>
      </c>
      <c r="DM752" s="757">
        <v>60000000</v>
      </c>
      <c r="DN752" s="758"/>
      <c r="DO752" s="528">
        <v>60000000</v>
      </c>
      <c r="DP752" s="757">
        <v>60000000</v>
      </c>
      <c r="DQ752" s="493">
        <f t="shared" si="440"/>
        <v>240000000</v>
      </c>
      <c r="DR752" s="479">
        <f t="shared" si="441"/>
        <v>480000000</v>
      </c>
      <c r="DS752" s="1198">
        <v>200000000</v>
      </c>
      <c r="DT752" s="1198">
        <v>200000000</v>
      </c>
      <c r="DU752" s="1198">
        <v>250000000</v>
      </c>
      <c r="DV752" s="1198">
        <v>250000000</v>
      </c>
      <c r="DW752" s="1198">
        <v>200000000</v>
      </c>
      <c r="DX752" s="1198">
        <v>200000000</v>
      </c>
      <c r="DY752" s="1198">
        <v>200000000</v>
      </c>
      <c r="DZ752" s="1198">
        <v>200000000</v>
      </c>
      <c r="EA752" s="1198">
        <v>200000000</v>
      </c>
      <c r="EB752" s="1198">
        <v>200000000</v>
      </c>
      <c r="EC752" s="1198">
        <v>200000000</v>
      </c>
      <c r="ED752" s="1198">
        <v>200000000</v>
      </c>
      <c r="EE752" s="1194">
        <f t="shared" si="442"/>
        <v>2500000000</v>
      </c>
      <c r="EF752" s="443"/>
      <c r="EG752" s="443"/>
      <c r="EH752" s="443"/>
      <c r="EI752" s="443"/>
      <c r="EL752" s="177"/>
      <c r="EM752" s="177"/>
      <c r="EN752" s="177"/>
    </row>
    <row r="753" spans="1:144" outlineLevel="2">
      <c r="A753" s="435" t="s">
        <v>276</v>
      </c>
      <c r="B753" s="378"/>
      <c r="C753" s="370" t="s">
        <v>688</v>
      </c>
      <c r="D753" s="297" t="s">
        <v>121</v>
      </c>
      <c r="E753" s="396" t="s">
        <v>916</v>
      </c>
      <c r="F753" s="380"/>
      <c r="G753" s="196"/>
      <c r="H753" s="31"/>
      <c r="I753" s="185"/>
      <c r="J753" s="185"/>
      <c r="K753" s="185"/>
      <c r="L753" s="185"/>
      <c r="M753" s="185"/>
      <c r="N753" s="185"/>
      <c r="O753" s="7"/>
      <c r="P753" s="7"/>
      <c r="Q753" s="7"/>
      <c r="R753" s="7"/>
      <c r="S753" s="14"/>
      <c r="T753" s="179"/>
      <c r="U753" s="196"/>
      <c r="V753" s="31"/>
      <c r="W753" s="185"/>
      <c r="X753" s="185"/>
      <c r="Y753" s="185"/>
      <c r="Z753" s="185"/>
      <c r="AA753" s="185"/>
      <c r="AB753" s="185"/>
      <c r="AC753" s="7"/>
      <c r="AD753" s="7"/>
      <c r="AE753" s="7"/>
      <c r="AF753" s="7"/>
      <c r="AG753" s="759"/>
      <c r="AH753" s="788"/>
      <c r="AI753" s="485"/>
      <c r="AJ753" s="874"/>
      <c r="AK753" s="758"/>
      <c r="AL753" s="758"/>
      <c r="AM753" s="758"/>
      <c r="AN753" s="758"/>
      <c r="AO753" s="758"/>
      <c r="AP753" s="758"/>
      <c r="AQ753" s="518"/>
      <c r="AR753" s="518"/>
      <c r="AS753" s="518"/>
      <c r="AT753" s="518"/>
      <c r="AU753" s="518"/>
      <c r="AV753" s="518"/>
      <c r="AW753" s="518"/>
      <c r="AX753" s="518"/>
      <c r="AY753" s="788"/>
      <c r="AZ753" s="485"/>
      <c r="BA753" s="874"/>
      <c r="BB753" s="758"/>
      <c r="BC753" s="758"/>
      <c r="BD753" s="758"/>
      <c r="BE753" s="758"/>
      <c r="BF753" s="758"/>
      <c r="BG753" s="518"/>
      <c r="BH753" s="758"/>
      <c r="BI753" s="758"/>
      <c r="BJ753" s="758"/>
      <c r="BK753" s="758"/>
      <c r="BL753" s="759"/>
      <c r="BN753" s="485"/>
      <c r="BO753" s="758"/>
      <c r="BP753" s="758"/>
      <c r="BQ753" s="758"/>
      <c r="BR753" s="758"/>
      <c r="BS753" s="758"/>
      <c r="BT753" s="758"/>
      <c r="BU753" s="758"/>
      <c r="BV753" s="758"/>
      <c r="BW753" s="758"/>
      <c r="BX753" s="758"/>
      <c r="BY753" s="758"/>
      <c r="BZ753" s="791"/>
      <c r="CB753" s="485"/>
      <c r="CC753" s="758"/>
      <c r="CD753" s="758"/>
      <c r="CE753" s="758"/>
      <c r="CF753" s="758"/>
      <c r="CG753" s="758"/>
      <c r="CH753" s="758"/>
      <c r="CI753" s="758"/>
      <c r="CJ753" s="758"/>
      <c r="CK753" s="758"/>
      <c r="CL753" s="758"/>
      <c r="CM753" s="758"/>
      <c r="CN753" s="791"/>
      <c r="CO753" s="37"/>
      <c r="CP753" s="657"/>
      <c r="CQ753" s="657"/>
      <c r="CR753" s="528"/>
      <c r="CS753" s="657"/>
      <c r="CT753" s="528"/>
      <c r="CU753" s="657"/>
      <c r="CV753" s="528"/>
      <c r="CW753" s="657"/>
      <c r="CX753" s="528"/>
      <c r="CY753" s="657"/>
      <c r="CZ753" s="528"/>
      <c r="DA753" s="657"/>
      <c r="DB753" s="528">
        <v>30000000</v>
      </c>
      <c r="DC753" s="657">
        <v>0</v>
      </c>
      <c r="DD753" s="528">
        <v>30000000</v>
      </c>
      <c r="DE753" s="758"/>
      <c r="DF753" s="528">
        <v>30000000</v>
      </c>
      <c r="DG753" s="757">
        <v>30000000</v>
      </c>
      <c r="DH753" s="758"/>
      <c r="DI753" s="528">
        <v>30000000</v>
      </c>
      <c r="DJ753" s="757">
        <v>30000000</v>
      </c>
      <c r="DK753" s="758"/>
      <c r="DL753" s="528">
        <v>30000000</v>
      </c>
      <c r="DM753" s="757">
        <v>30000000</v>
      </c>
      <c r="DN753" s="758"/>
      <c r="DO753" s="528">
        <v>30000000</v>
      </c>
      <c r="DP753" s="757">
        <v>30000000</v>
      </c>
      <c r="DQ753" s="493">
        <f t="shared" si="440"/>
        <v>120000000</v>
      </c>
      <c r="DR753" s="479">
        <f t="shared" si="441"/>
        <v>180000000</v>
      </c>
      <c r="DS753" s="1020"/>
      <c r="DT753" s="1020"/>
      <c r="DU753" s="1020"/>
      <c r="DV753" s="1020"/>
      <c r="DW753" s="1020"/>
      <c r="DX753" s="1020"/>
      <c r="DY753" s="1020"/>
      <c r="DZ753" s="1020"/>
      <c r="EA753" s="1020"/>
      <c r="EB753" s="1020"/>
      <c r="EC753" s="1020"/>
      <c r="ED753" s="1020"/>
      <c r="EE753" s="1119">
        <f t="shared" si="442"/>
        <v>0</v>
      </c>
      <c r="EF753" s="443"/>
      <c r="EG753" s="443"/>
      <c r="EH753" s="443"/>
      <c r="EI753" s="443"/>
      <c r="EL753" s="177"/>
      <c r="EM753" s="177"/>
      <c r="EN753" s="177"/>
    </row>
    <row r="754" spans="1:144" outlineLevel="2">
      <c r="A754" s="435" t="s">
        <v>276</v>
      </c>
      <c r="B754" s="378"/>
      <c r="C754" s="370" t="s">
        <v>688</v>
      </c>
      <c r="D754" s="297" t="s">
        <v>121</v>
      </c>
      <c r="E754" s="396" t="s">
        <v>917</v>
      </c>
      <c r="F754" s="380"/>
      <c r="G754" s="196"/>
      <c r="H754" s="31"/>
      <c r="I754" s="185"/>
      <c r="J754" s="185"/>
      <c r="K754" s="185"/>
      <c r="L754" s="185"/>
      <c r="M754" s="185"/>
      <c r="N754" s="185"/>
      <c r="O754" s="7"/>
      <c r="P754" s="7"/>
      <c r="Q754" s="7"/>
      <c r="R754" s="7"/>
      <c r="S754" s="14"/>
      <c r="T754" s="179"/>
      <c r="U754" s="196"/>
      <c r="V754" s="31"/>
      <c r="W754" s="185"/>
      <c r="X754" s="185"/>
      <c r="Y754" s="185"/>
      <c r="Z754" s="185"/>
      <c r="AA754" s="185"/>
      <c r="AB754" s="185"/>
      <c r="AC754" s="7"/>
      <c r="AD754" s="7"/>
      <c r="AE754" s="7"/>
      <c r="AF754" s="7"/>
      <c r="AG754" s="759"/>
      <c r="AH754" s="788"/>
      <c r="AI754" s="485"/>
      <c r="AJ754" s="874"/>
      <c r="AK754" s="758"/>
      <c r="AL754" s="758"/>
      <c r="AM754" s="758"/>
      <c r="AN754" s="758"/>
      <c r="AO754" s="758"/>
      <c r="AP754" s="758"/>
      <c r="AQ754" s="518"/>
      <c r="AR754" s="518"/>
      <c r="AS754" s="518"/>
      <c r="AT754" s="518"/>
      <c r="AU754" s="518"/>
      <c r="AV754" s="518"/>
      <c r="AW754" s="518"/>
      <c r="AX754" s="518"/>
      <c r="AY754" s="788"/>
      <c r="AZ754" s="485"/>
      <c r="BA754" s="874"/>
      <c r="BB754" s="758"/>
      <c r="BC754" s="758"/>
      <c r="BD754" s="758"/>
      <c r="BE754" s="758"/>
      <c r="BF754" s="758"/>
      <c r="BG754" s="518"/>
      <c r="BH754" s="758"/>
      <c r="BI754" s="758"/>
      <c r="BJ754" s="758"/>
      <c r="BK754" s="758"/>
      <c r="BL754" s="759"/>
      <c r="BN754" s="485"/>
      <c r="BO754" s="758"/>
      <c r="BP754" s="758"/>
      <c r="BQ754" s="758"/>
      <c r="BR754" s="758"/>
      <c r="BS754" s="758"/>
      <c r="BT754" s="758"/>
      <c r="BU754" s="758"/>
      <c r="BV754" s="758"/>
      <c r="BW754" s="758"/>
      <c r="BX754" s="758"/>
      <c r="BY754" s="758"/>
      <c r="BZ754" s="791"/>
      <c r="CB754" s="485"/>
      <c r="CC754" s="758"/>
      <c r="CD754" s="758"/>
      <c r="CE754" s="758"/>
      <c r="CF754" s="758"/>
      <c r="CG754" s="758"/>
      <c r="CH754" s="758"/>
      <c r="CI754" s="758"/>
      <c r="CJ754" s="758"/>
      <c r="CK754" s="758"/>
      <c r="CL754" s="758"/>
      <c r="CM754" s="758"/>
      <c r="CN754" s="791"/>
      <c r="CO754" s="37"/>
      <c r="CP754" s="657"/>
      <c r="CQ754" s="657"/>
      <c r="CR754" s="528"/>
      <c r="CS754" s="657"/>
      <c r="CT754" s="528"/>
      <c r="CU754" s="657"/>
      <c r="CV754" s="528"/>
      <c r="CW754" s="657"/>
      <c r="CX754" s="528"/>
      <c r="CY754" s="657"/>
      <c r="CZ754" s="528"/>
      <c r="DA754" s="657"/>
      <c r="DB754" s="528"/>
      <c r="DC754" s="657">
        <v>0</v>
      </c>
      <c r="DD754" s="528"/>
      <c r="DE754" s="758"/>
      <c r="DF754" s="528"/>
      <c r="DG754" s="757"/>
      <c r="DH754" s="758"/>
      <c r="DI754" s="528">
        <v>200000000</v>
      </c>
      <c r="DJ754" s="757">
        <v>200000000</v>
      </c>
      <c r="DK754" s="758"/>
      <c r="DL754" s="528">
        <v>200000000</v>
      </c>
      <c r="DM754" s="757">
        <v>200000000</v>
      </c>
      <c r="DN754" s="758"/>
      <c r="DO754" s="528">
        <v>250000000</v>
      </c>
      <c r="DP754" s="757">
        <v>250000000</v>
      </c>
      <c r="DQ754" s="493">
        <f t="shared" si="440"/>
        <v>650000000</v>
      </c>
      <c r="DR754" s="479">
        <f t="shared" si="441"/>
        <v>650000000</v>
      </c>
      <c r="DS754" s="1020"/>
      <c r="DT754" s="1020"/>
      <c r="DU754" s="1020"/>
      <c r="DV754" s="1020"/>
      <c r="DW754" s="1020"/>
      <c r="DX754" s="1020"/>
      <c r="DY754" s="1020"/>
      <c r="DZ754" s="1020"/>
      <c r="EA754" s="1020"/>
      <c r="EB754" s="1020"/>
      <c r="EC754" s="1020"/>
      <c r="ED754" s="1020"/>
      <c r="EE754" s="1119">
        <f t="shared" si="442"/>
        <v>0</v>
      </c>
      <c r="EF754" s="443"/>
      <c r="EG754" s="443"/>
      <c r="EH754" s="443"/>
      <c r="EI754" s="443"/>
      <c r="EL754" s="177"/>
      <c r="EM754" s="177"/>
      <c r="EN754" s="177"/>
    </row>
    <row r="755" spans="1:144" outlineLevel="2">
      <c r="A755" s="435" t="s">
        <v>276</v>
      </c>
      <c r="B755" s="378"/>
      <c r="C755" s="370" t="s">
        <v>688</v>
      </c>
      <c r="D755" s="297" t="s">
        <v>121</v>
      </c>
      <c r="E755" s="396" t="s">
        <v>918</v>
      </c>
      <c r="F755" s="380"/>
      <c r="G755" s="196"/>
      <c r="H755" s="31"/>
      <c r="I755" s="185"/>
      <c r="J755" s="185"/>
      <c r="K755" s="185"/>
      <c r="L755" s="185"/>
      <c r="M755" s="185"/>
      <c r="N755" s="185"/>
      <c r="O755" s="7"/>
      <c r="P755" s="7"/>
      <c r="Q755" s="7"/>
      <c r="R755" s="7"/>
      <c r="S755" s="14"/>
      <c r="T755" s="179"/>
      <c r="U755" s="196"/>
      <c r="V755" s="31"/>
      <c r="W755" s="185"/>
      <c r="X755" s="185"/>
      <c r="Y755" s="185"/>
      <c r="Z755" s="185"/>
      <c r="AA755" s="185"/>
      <c r="AB755" s="185"/>
      <c r="AC755" s="7"/>
      <c r="AD755" s="7"/>
      <c r="AE755" s="7"/>
      <c r="AF755" s="7"/>
      <c r="AG755" s="759"/>
      <c r="AH755" s="788"/>
      <c r="AI755" s="485"/>
      <c r="AJ755" s="874"/>
      <c r="AK755" s="758"/>
      <c r="AL755" s="758"/>
      <c r="AM755" s="758"/>
      <c r="AN755" s="758"/>
      <c r="AO755" s="758"/>
      <c r="AP755" s="758"/>
      <c r="AQ755" s="518"/>
      <c r="AR755" s="518"/>
      <c r="AS755" s="518"/>
      <c r="AT755" s="518"/>
      <c r="AU755" s="518"/>
      <c r="AV755" s="518"/>
      <c r="AW755" s="518"/>
      <c r="AX755" s="518"/>
      <c r="AY755" s="788"/>
      <c r="AZ755" s="485"/>
      <c r="BA755" s="874"/>
      <c r="BB755" s="758"/>
      <c r="BC755" s="758"/>
      <c r="BD755" s="758"/>
      <c r="BE755" s="758"/>
      <c r="BF755" s="758"/>
      <c r="BG755" s="518"/>
      <c r="BH755" s="758"/>
      <c r="BI755" s="758"/>
      <c r="BJ755" s="758"/>
      <c r="BK755" s="758"/>
      <c r="BL755" s="759"/>
      <c r="BN755" s="485"/>
      <c r="BO755" s="758"/>
      <c r="BP755" s="758"/>
      <c r="BQ755" s="758"/>
      <c r="BR755" s="758"/>
      <c r="BS755" s="758"/>
      <c r="BT755" s="758"/>
      <c r="BU755" s="758"/>
      <c r="BV755" s="758"/>
      <c r="BW755" s="758"/>
      <c r="BX755" s="758"/>
      <c r="BY755" s="758"/>
      <c r="BZ755" s="791"/>
      <c r="CB755" s="485"/>
      <c r="CC755" s="758"/>
      <c r="CD755" s="758"/>
      <c r="CE755" s="758"/>
      <c r="CF755" s="758"/>
      <c r="CG755" s="758"/>
      <c r="CH755" s="758"/>
      <c r="CI755" s="758"/>
      <c r="CJ755" s="758"/>
      <c r="CK755" s="758"/>
      <c r="CL755" s="758"/>
      <c r="CM755" s="758"/>
      <c r="CN755" s="791"/>
      <c r="CO755" s="37"/>
      <c r="CP755" s="657"/>
      <c r="CQ755" s="657"/>
      <c r="CR755" s="528"/>
      <c r="CS755" s="657"/>
      <c r="CT755" s="528"/>
      <c r="CU755" s="657"/>
      <c r="CV755" s="528"/>
      <c r="CW755" s="657"/>
      <c r="CX755" s="528"/>
      <c r="CY755" s="657"/>
      <c r="CZ755" s="528"/>
      <c r="DA755" s="657"/>
      <c r="DB755" s="528">
        <v>200000000</v>
      </c>
      <c r="DC755" s="657">
        <v>0</v>
      </c>
      <c r="DD755" s="528">
        <v>200000000</v>
      </c>
      <c r="DE755" s="758"/>
      <c r="DF755" s="528">
        <v>200000000</v>
      </c>
      <c r="DG755" s="757">
        <v>200000000</v>
      </c>
      <c r="DH755" s="758"/>
      <c r="DI755" s="528">
        <v>200000000</v>
      </c>
      <c r="DJ755" s="757">
        <v>200000000</v>
      </c>
      <c r="DK755" s="758"/>
      <c r="DL755" s="528">
        <v>200000000</v>
      </c>
      <c r="DM755" s="757">
        <v>200000000</v>
      </c>
      <c r="DN755" s="758"/>
      <c r="DO755" s="528">
        <v>250000000</v>
      </c>
      <c r="DP755" s="757">
        <v>250000000</v>
      </c>
      <c r="DQ755" s="493">
        <f t="shared" si="440"/>
        <v>850000000</v>
      </c>
      <c r="DR755" s="479">
        <f t="shared" si="441"/>
        <v>1250000000</v>
      </c>
      <c r="DS755" s="1198">
        <v>25000000</v>
      </c>
      <c r="DT755" s="1198">
        <v>25000000</v>
      </c>
      <c r="DU755" s="1198">
        <v>25000000</v>
      </c>
      <c r="DV755" s="1198">
        <v>25000000</v>
      </c>
      <c r="DW755" s="1198">
        <v>25000000</v>
      </c>
      <c r="DX755" s="1198">
        <v>25000000</v>
      </c>
      <c r="DY755" s="1198">
        <v>25000000</v>
      </c>
      <c r="DZ755" s="1198">
        <v>25000000</v>
      </c>
      <c r="EA755" s="1198">
        <v>25000000</v>
      </c>
      <c r="EB755" s="1198">
        <v>25000000</v>
      </c>
      <c r="EC755" s="1198">
        <v>25000000</v>
      </c>
      <c r="ED755" s="1198">
        <v>25000000</v>
      </c>
      <c r="EE755" s="1194">
        <f t="shared" si="442"/>
        <v>300000000</v>
      </c>
      <c r="EF755" s="443"/>
      <c r="EG755" s="443"/>
      <c r="EH755" s="443"/>
      <c r="EI755" s="443"/>
      <c r="EL755" s="177"/>
      <c r="EM755" s="177"/>
      <c r="EN755" s="177"/>
    </row>
    <row r="756" spans="1:144" outlineLevel="2">
      <c r="A756" s="435" t="s">
        <v>194</v>
      </c>
      <c r="B756" s="378"/>
      <c r="C756" s="370" t="s">
        <v>688</v>
      </c>
      <c r="D756" s="297" t="s">
        <v>121</v>
      </c>
      <c r="E756" s="383" t="s">
        <v>919</v>
      </c>
      <c r="F756" s="380"/>
      <c r="G756" s="196"/>
      <c r="H756" s="31"/>
      <c r="I756" s="185"/>
      <c r="J756" s="185"/>
      <c r="K756" s="185"/>
      <c r="L756" s="185"/>
      <c r="M756" s="185"/>
      <c r="N756" s="185"/>
      <c r="O756" s="7"/>
      <c r="P756" s="7"/>
      <c r="Q756" s="7"/>
      <c r="R756" s="7"/>
      <c r="S756" s="14"/>
      <c r="T756" s="179"/>
      <c r="U756" s="196"/>
      <c r="V756" s="31"/>
      <c r="W756" s="185"/>
      <c r="X756" s="185"/>
      <c r="Y756" s="185"/>
      <c r="Z756" s="185"/>
      <c r="AA756" s="185"/>
      <c r="AB756" s="185"/>
      <c r="AC756" s="7"/>
      <c r="AD756" s="7"/>
      <c r="AE756" s="7"/>
      <c r="AF756" s="7"/>
      <c r="AG756" s="759"/>
      <c r="AH756" s="788"/>
      <c r="AI756" s="485"/>
      <c r="AJ756" s="874"/>
      <c r="AK756" s="758"/>
      <c r="AL756" s="758"/>
      <c r="AM756" s="758"/>
      <c r="AN756" s="758"/>
      <c r="AO756" s="758"/>
      <c r="AP756" s="758"/>
      <c r="AQ756" s="518"/>
      <c r="AR756" s="518"/>
      <c r="AS756" s="518"/>
      <c r="AT756" s="518"/>
      <c r="AU756" s="518"/>
      <c r="AV756" s="518"/>
      <c r="AW756" s="518"/>
      <c r="AX756" s="518"/>
      <c r="AY756" s="788"/>
      <c r="AZ756" s="485"/>
      <c r="BA756" s="874"/>
      <c r="BB756" s="758"/>
      <c r="BC756" s="758"/>
      <c r="BD756" s="758"/>
      <c r="BE756" s="758"/>
      <c r="BF756" s="758"/>
      <c r="BG756" s="518"/>
      <c r="BH756" s="758"/>
      <c r="BI756" s="758"/>
      <c r="BJ756" s="758"/>
      <c r="BK756" s="758"/>
      <c r="BL756" s="759"/>
      <c r="BN756" s="485"/>
      <c r="BO756" s="758"/>
      <c r="BP756" s="758"/>
      <c r="BQ756" s="758"/>
      <c r="BR756" s="758"/>
      <c r="BS756" s="758"/>
      <c r="BT756" s="758"/>
      <c r="BU756" s="758"/>
      <c r="BV756" s="758"/>
      <c r="BW756" s="758"/>
      <c r="BX756" s="758"/>
      <c r="BY756" s="758"/>
      <c r="BZ756" s="791"/>
      <c r="CB756" s="485"/>
      <c r="CC756" s="758"/>
      <c r="CD756" s="758"/>
      <c r="CE756" s="758"/>
      <c r="CF756" s="758"/>
      <c r="CG756" s="758"/>
      <c r="CH756" s="758"/>
      <c r="CI756" s="758"/>
      <c r="CJ756" s="758"/>
      <c r="CK756" s="758"/>
      <c r="CL756" s="758"/>
      <c r="CM756" s="758"/>
      <c r="CN756" s="791"/>
      <c r="CO756" s="37"/>
      <c r="CP756" s="657"/>
      <c r="CQ756" s="657"/>
      <c r="CR756" s="528"/>
      <c r="CS756" s="657"/>
      <c r="CT756" s="528"/>
      <c r="CU756" s="657"/>
      <c r="CV756" s="528"/>
      <c r="CW756" s="657"/>
      <c r="CX756" s="528"/>
      <c r="CY756" s="657"/>
      <c r="CZ756" s="528"/>
      <c r="DA756" s="657"/>
      <c r="DB756" s="528">
        <v>10000000</v>
      </c>
      <c r="DC756" s="657">
        <v>0</v>
      </c>
      <c r="DD756" s="528">
        <v>10000000</v>
      </c>
      <c r="DE756" s="758"/>
      <c r="DF756" s="528">
        <v>10000000</v>
      </c>
      <c r="DG756" s="757">
        <v>10000000</v>
      </c>
      <c r="DH756" s="758"/>
      <c r="DI756" s="528">
        <v>10000000</v>
      </c>
      <c r="DJ756" s="757">
        <v>10000000</v>
      </c>
      <c r="DK756" s="758"/>
      <c r="DL756" s="528">
        <v>10000000</v>
      </c>
      <c r="DM756" s="757">
        <v>10000000</v>
      </c>
      <c r="DN756" s="758"/>
      <c r="DO756" s="528">
        <v>10000000</v>
      </c>
      <c r="DP756" s="757">
        <v>10000000</v>
      </c>
      <c r="DQ756" s="493">
        <f t="shared" si="440"/>
        <v>40000000</v>
      </c>
      <c r="DR756" s="479">
        <f t="shared" si="441"/>
        <v>60000000</v>
      </c>
      <c r="DS756" s="1198">
        <v>10000000</v>
      </c>
      <c r="DT756" s="1198">
        <v>10000000</v>
      </c>
      <c r="DU756" s="1198">
        <v>10000000</v>
      </c>
      <c r="DV756" s="1198">
        <v>10000000</v>
      </c>
      <c r="DW756" s="1198">
        <v>10000000</v>
      </c>
      <c r="DX756" s="1198">
        <v>10000000</v>
      </c>
      <c r="DY756" s="1198">
        <v>10000000</v>
      </c>
      <c r="DZ756" s="1198">
        <v>10000000</v>
      </c>
      <c r="EA756" s="1198">
        <v>10000000</v>
      </c>
      <c r="EB756" s="1198">
        <v>10000000</v>
      </c>
      <c r="EC756" s="1198">
        <v>10000000</v>
      </c>
      <c r="ED756" s="1198">
        <v>10000000</v>
      </c>
      <c r="EE756" s="1194">
        <f t="shared" si="442"/>
        <v>120000000</v>
      </c>
      <c r="EF756" s="443"/>
      <c r="EG756" s="443"/>
      <c r="EH756" s="443"/>
      <c r="EI756" s="443"/>
      <c r="EL756" s="177"/>
      <c r="EM756" s="177"/>
      <c r="EN756" s="177"/>
    </row>
    <row r="757" spans="1:144" outlineLevel="2">
      <c r="A757" s="435" t="s">
        <v>196</v>
      </c>
      <c r="B757" s="378"/>
      <c r="C757" s="370" t="s">
        <v>688</v>
      </c>
      <c r="D757" s="297" t="s">
        <v>121</v>
      </c>
      <c r="E757" s="383" t="s">
        <v>920</v>
      </c>
      <c r="F757" s="380"/>
      <c r="G757" s="196"/>
      <c r="H757" s="31"/>
      <c r="I757" s="185"/>
      <c r="J757" s="185"/>
      <c r="K757" s="185"/>
      <c r="L757" s="185"/>
      <c r="M757" s="185"/>
      <c r="N757" s="185"/>
      <c r="O757" s="7"/>
      <c r="P757" s="7"/>
      <c r="Q757" s="7"/>
      <c r="R757" s="7"/>
      <c r="S757" s="14"/>
      <c r="T757" s="179"/>
      <c r="U757" s="196"/>
      <c r="V757" s="31"/>
      <c r="W757" s="185"/>
      <c r="X757" s="185"/>
      <c r="Y757" s="185"/>
      <c r="Z757" s="185"/>
      <c r="AA757" s="185"/>
      <c r="AB757" s="185"/>
      <c r="AC757" s="7"/>
      <c r="AD757" s="7"/>
      <c r="AE757" s="7"/>
      <c r="AF757" s="7"/>
      <c r="AG757" s="759"/>
      <c r="AH757" s="788"/>
      <c r="AI757" s="485"/>
      <c r="AJ757" s="874"/>
      <c r="AK757" s="758"/>
      <c r="AL757" s="758"/>
      <c r="AM757" s="758"/>
      <c r="AN757" s="758"/>
      <c r="AO757" s="758"/>
      <c r="AP757" s="758"/>
      <c r="AQ757" s="518"/>
      <c r="AR757" s="518"/>
      <c r="AS757" s="518"/>
      <c r="AT757" s="518"/>
      <c r="AU757" s="518"/>
      <c r="AV757" s="518"/>
      <c r="AW757" s="518"/>
      <c r="AX757" s="518"/>
      <c r="AY757" s="788"/>
      <c r="AZ757" s="485"/>
      <c r="BA757" s="874"/>
      <c r="BB757" s="758"/>
      <c r="BC757" s="758"/>
      <c r="BD757" s="758"/>
      <c r="BE757" s="758"/>
      <c r="BF757" s="758"/>
      <c r="BG757" s="518"/>
      <c r="BH757" s="758"/>
      <c r="BI757" s="758"/>
      <c r="BJ757" s="758"/>
      <c r="BK757" s="758"/>
      <c r="BL757" s="759"/>
      <c r="BN757" s="485"/>
      <c r="BO757" s="758"/>
      <c r="BP757" s="758"/>
      <c r="BQ757" s="758"/>
      <c r="BR757" s="758"/>
      <c r="BS757" s="758"/>
      <c r="BT757" s="758"/>
      <c r="BU757" s="758"/>
      <c r="BV757" s="758"/>
      <c r="BW757" s="758"/>
      <c r="BX757" s="758"/>
      <c r="BY757" s="758"/>
      <c r="BZ757" s="791"/>
      <c r="CB757" s="485"/>
      <c r="CC757" s="758"/>
      <c r="CD757" s="758"/>
      <c r="CE757" s="758"/>
      <c r="CF757" s="758"/>
      <c r="CG757" s="758"/>
      <c r="CH757" s="758"/>
      <c r="CI757" s="758"/>
      <c r="CJ757" s="758"/>
      <c r="CK757" s="758"/>
      <c r="CL757" s="758"/>
      <c r="CM757" s="758"/>
      <c r="CN757" s="791"/>
      <c r="CO757" s="37"/>
      <c r="CP757" s="657"/>
      <c r="CQ757" s="657"/>
      <c r="CR757" s="528"/>
      <c r="CS757" s="657"/>
      <c r="CT757" s="528"/>
      <c r="CU757" s="657"/>
      <c r="CV757" s="528"/>
      <c r="CW757" s="657"/>
      <c r="CX757" s="528"/>
      <c r="CY757" s="657"/>
      <c r="CZ757" s="528"/>
      <c r="DA757" s="657"/>
      <c r="DB757" s="528">
        <v>25000000</v>
      </c>
      <c r="DC757" s="657">
        <v>0</v>
      </c>
      <c r="DD757" s="528">
        <v>25000000</v>
      </c>
      <c r="DE757" s="758"/>
      <c r="DF757" s="528">
        <v>25000000</v>
      </c>
      <c r="DG757" s="757">
        <v>25000000</v>
      </c>
      <c r="DH757" s="758"/>
      <c r="DI757" s="528">
        <v>25000000</v>
      </c>
      <c r="DJ757" s="757">
        <v>25000000</v>
      </c>
      <c r="DK757" s="758"/>
      <c r="DL757" s="528">
        <v>25000000</v>
      </c>
      <c r="DM757" s="757">
        <v>25000000</v>
      </c>
      <c r="DN757" s="758"/>
      <c r="DO757" s="528">
        <v>25000000</v>
      </c>
      <c r="DP757" s="757">
        <v>25000000</v>
      </c>
      <c r="DQ757" s="493">
        <f t="shared" si="440"/>
        <v>100000000</v>
      </c>
      <c r="DR757" s="479">
        <f t="shared" si="441"/>
        <v>150000000</v>
      </c>
      <c r="DS757" s="1020"/>
      <c r="DT757" s="1020"/>
      <c r="DU757" s="1020"/>
      <c r="DV757" s="1020"/>
      <c r="DW757" s="1020"/>
      <c r="DX757" s="1020"/>
      <c r="DY757" s="1020"/>
      <c r="DZ757" s="1020"/>
      <c r="EA757" s="1020"/>
      <c r="EB757" s="1020"/>
      <c r="EC757" s="1020"/>
      <c r="ED757" s="1020"/>
      <c r="EE757" s="1119">
        <f t="shared" si="442"/>
        <v>0</v>
      </c>
      <c r="EF757" s="443"/>
      <c r="EG757" s="443"/>
      <c r="EH757" s="443"/>
      <c r="EI757" s="443"/>
      <c r="EL757" s="177"/>
      <c r="EM757" s="177"/>
      <c r="EN757" s="177"/>
    </row>
    <row r="758" spans="1:144" outlineLevel="2">
      <c r="A758" s="433" t="s">
        <v>196</v>
      </c>
      <c r="B758" s="378"/>
      <c r="C758" s="370" t="s">
        <v>688</v>
      </c>
      <c r="D758" s="370" t="s">
        <v>121</v>
      </c>
      <c r="E758" s="436" t="s">
        <v>921</v>
      </c>
      <c r="F758" s="380"/>
      <c r="G758" s="196"/>
      <c r="H758" s="31"/>
      <c r="I758" s="185"/>
      <c r="J758" s="185"/>
      <c r="K758" s="185"/>
      <c r="L758" s="185"/>
      <c r="M758" s="185"/>
      <c r="N758" s="185"/>
      <c r="O758" s="7"/>
      <c r="P758" s="7"/>
      <c r="Q758" s="7"/>
      <c r="R758" s="7"/>
      <c r="S758" s="14"/>
      <c r="T758" s="179"/>
      <c r="U758" s="196"/>
      <c r="V758" s="31"/>
      <c r="W758" s="185"/>
      <c r="X758" s="185"/>
      <c r="Y758" s="185"/>
      <c r="Z758" s="185"/>
      <c r="AA758" s="185"/>
      <c r="AB758" s="185"/>
      <c r="AC758" s="7"/>
      <c r="AD758" s="7"/>
      <c r="AE758" s="7"/>
      <c r="AF758" s="7"/>
      <c r="AG758" s="759"/>
      <c r="AH758" s="788"/>
      <c r="AI758" s="485"/>
      <c r="AJ758" s="874"/>
      <c r="AK758" s="758"/>
      <c r="AL758" s="758"/>
      <c r="AM758" s="758"/>
      <c r="AN758" s="758"/>
      <c r="AO758" s="758"/>
      <c r="AP758" s="758"/>
      <c r="AQ758" s="518"/>
      <c r="AR758" s="518"/>
      <c r="AS758" s="518"/>
      <c r="AT758" s="518"/>
      <c r="AU758" s="518"/>
      <c r="AV758" s="518"/>
      <c r="AW758" s="518"/>
      <c r="AX758" s="518"/>
      <c r="AY758" s="788"/>
      <c r="AZ758" s="485"/>
      <c r="BA758" s="874"/>
      <c r="BB758" s="758"/>
      <c r="BC758" s="758"/>
      <c r="BD758" s="758"/>
      <c r="BE758" s="758"/>
      <c r="BF758" s="758"/>
      <c r="BG758" s="518"/>
      <c r="BH758" s="758"/>
      <c r="BI758" s="758"/>
      <c r="BJ758" s="758"/>
      <c r="BK758" s="758"/>
      <c r="BL758" s="759"/>
      <c r="BN758" s="485"/>
      <c r="BO758" s="758"/>
      <c r="BP758" s="758"/>
      <c r="BQ758" s="758"/>
      <c r="BR758" s="758"/>
      <c r="BS758" s="758"/>
      <c r="BT758" s="758"/>
      <c r="BU758" s="758"/>
      <c r="BV758" s="758"/>
      <c r="BW758" s="758"/>
      <c r="BX758" s="758"/>
      <c r="BY758" s="758"/>
      <c r="BZ758" s="791"/>
      <c r="CB758" s="485"/>
      <c r="CC758" s="758"/>
      <c r="CD758" s="758"/>
      <c r="CE758" s="758"/>
      <c r="CF758" s="758"/>
      <c r="CG758" s="758"/>
      <c r="CH758" s="758"/>
      <c r="CI758" s="758"/>
      <c r="CJ758" s="758"/>
      <c r="CK758" s="758"/>
      <c r="CL758" s="758"/>
      <c r="CM758" s="758"/>
      <c r="CN758" s="791"/>
      <c r="CO758" s="37"/>
      <c r="CP758" s="657"/>
      <c r="CQ758" s="657"/>
      <c r="CR758" s="528"/>
      <c r="CS758" s="657"/>
      <c r="CT758" s="528"/>
      <c r="CU758" s="657"/>
      <c r="CV758" s="528"/>
      <c r="CW758" s="657"/>
      <c r="CX758" s="528"/>
      <c r="CY758" s="657"/>
      <c r="CZ758" s="528"/>
      <c r="DA758" s="657"/>
      <c r="DB758" s="528"/>
      <c r="DC758" s="657"/>
      <c r="DD758" s="528"/>
      <c r="DE758" s="758"/>
      <c r="DF758" s="528"/>
      <c r="DG758" s="757"/>
      <c r="DH758" s="758"/>
      <c r="DI758" s="528"/>
      <c r="DJ758" s="757"/>
      <c r="DK758" s="758"/>
      <c r="DL758" s="528"/>
      <c r="DM758" s="757"/>
      <c r="DN758" s="758"/>
      <c r="DO758" s="528"/>
      <c r="DP758" s="757"/>
      <c r="DQ758" s="496"/>
      <c r="DR758" s="479">
        <f>SUM(CR758,CT758,CV758,CX758,CZ758,DB758,DD758,DG758,DJ758,DM758,DP758)</f>
        <v>0</v>
      </c>
      <c r="DS758" s="1198">
        <v>25000000</v>
      </c>
      <c r="DT758" s="1198">
        <v>25000000</v>
      </c>
      <c r="DU758" s="1198">
        <v>25000000</v>
      </c>
      <c r="DV758" s="1198">
        <v>25000000</v>
      </c>
      <c r="DW758" s="1198">
        <v>25000000</v>
      </c>
      <c r="DX758" s="1198">
        <v>25000000</v>
      </c>
      <c r="DY758" s="1198">
        <v>25000000</v>
      </c>
      <c r="DZ758" s="1198">
        <v>25000000</v>
      </c>
      <c r="EA758" s="1198">
        <v>25000000</v>
      </c>
      <c r="EB758" s="1198">
        <v>25000000</v>
      </c>
      <c r="EC758" s="1198">
        <v>25000000</v>
      </c>
      <c r="ED758" s="1198">
        <v>25000000</v>
      </c>
      <c r="EE758" s="1194">
        <f t="shared" si="442"/>
        <v>300000000</v>
      </c>
      <c r="EF758" s="443"/>
      <c r="EG758" s="443"/>
      <c r="EH758" s="443"/>
      <c r="EI758" s="443"/>
      <c r="EL758" s="177"/>
      <c r="EM758" s="177"/>
      <c r="EN758" s="177"/>
    </row>
    <row r="759" spans="1:144" outlineLevel="2">
      <c r="A759" s="433"/>
      <c r="B759" s="378"/>
      <c r="C759" s="370" t="s">
        <v>688</v>
      </c>
      <c r="D759" s="370" t="s">
        <v>121</v>
      </c>
      <c r="E759" s="436" t="s">
        <v>922</v>
      </c>
      <c r="F759" s="380"/>
      <c r="G759" s="196"/>
      <c r="H759" s="31"/>
      <c r="I759" s="185"/>
      <c r="J759" s="185"/>
      <c r="K759" s="185"/>
      <c r="L759" s="185"/>
      <c r="M759" s="185"/>
      <c r="N759" s="185"/>
      <c r="O759" s="7"/>
      <c r="P759" s="7"/>
      <c r="Q759" s="7"/>
      <c r="R759" s="7"/>
      <c r="S759" s="14"/>
      <c r="T759" s="179"/>
      <c r="U759" s="196"/>
      <c r="V759" s="31"/>
      <c r="W759" s="185"/>
      <c r="X759" s="185"/>
      <c r="Y759" s="185"/>
      <c r="Z759" s="185"/>
      <c r="AA759" s="185"/>
      <c r="AB759" s="185"/>
      <c r="AC759" s="7"/>
      <c r="AD759" s="7"/>
      <c r="AE759" s="7"/>
      <c r="AF759" s="7"/>
      <c r="AG759" s="759"/>
      <c r="AH759" s="788"/>
      <c r="AI759" s="485"/>
      <c r="AJ759" s="874"/>
      <c r="AK759" s="758"/>
      <c r="AL759" s="758"/>
      <c r="AM759" s="758"/>
      <c r="AN759" s="758"/>
      <c r="AO759" s="758"/>
      <c r="AP759" s="758"/>
      <c r="AQ759" s="518"/>
      <c r="AR759" s="518"/>
      <c r="AS759" s="518"/>
      <c r="AT759" s="518"/>
      <c r="AU759" s="518"/>
      <c r="AV759" s="518"/>
      <c r="AW759" s="518"/>
      <c r="AX759" s="518"/>
      <c r="AY759" s="788"/>
      <c r="AZ759" s="485"/>
      <c r="BA759" s="874"/>
      <c r="BB759" s="758"/>
      <c r="BC759" s="758"/>
      <c r="BD759" s="758"/>
      <c r="BE759" s="758"/>
      <c r="BF759" s="758"/>
      <c r="BG759" s="518"/>
      <c r="BH759" s="758"/>
      <c r="BI759" s="758"/>
      <c r="BJ759" s="758"/>
      <c r="BK759" s="758"/>
      <c r="BL759" s="759"/>
      <c r="BN759" s="485"/>
      <c r="BO759" s="758"/>
      <c r="BP759" s="758"/>
      <c r="BQ759" s="758"/>
      <c r="BR759" s="758"/>
      <c r="BS759" s="758"/>
      <c r="BT759" s="758"/>
      <c r="BU759" s="758"/>
      <c r="BV759" s="758"/>
      <c r="BW759" s="758"/>
      <c r="BX759" s="758"/>
      <c r="BY759" s="758"/>
      <c r="BZ759" s="791"/>
      <c r="CB759" s="485"/>
      <c r="CC759" s="758"/>
      <c r="CD759" s="758"/>
      <c r="CE759" s="758"/>
      <c r="CF759" s="758"/>
      <c r="CG759" s="758"/>
      <c r="CH759" s="758"/>
      <c r="CI759" s="758"/>
      <c r="CJ759" s="758"/>
      <c r="CK759" s="758"/>
      <c r="CL759" s="758"/>
      <c r="CM759" s="758"/>
      <c r="CN759" s="791"/>
      <c r="CO759" s="37"/>
      <c r="CP759" s="657"/>
      <c r="CQ759" s="657"/>
      <c r="CR759" s="528"/>
      <c r="CS759" s="657"/>
      <c r="CT759" s="528"/>
      <c r="CU759" s="657"/>
      <c r="CV759" s="528"/>
      <c r="CW759" s="657"/>
      <c r="CX759" s="528"/>
      <c r="CY759" s="657"/>
      <c r="CZ759" s="528"/>
      <c r="DA759" s="657"/>
      <c r="DB759" s="528"/>
      <c r="DC759" s="657"/>
      <c r="DD759" s="528"/>
      <c r="DE759" s="758"/>
      <c r="DF759" s="528"/>
      <c r="DG759" s="757"/>
      <c r="DH759" s="758"/>
      <c r="DI759" s="528"/>
      <c r="DJ759" s="757"/>
      <c r="DK759" s="758"/>
      <c r="DL759" s="528"/>
      <c r="DM759" s="757"/>
      <c r="DN759" s="758"/>
      <c r="DO759" s="528"/>
      <c r="DP759" s="757"/>
      <c r="DQ759" s="496"/>
      <c r="DR759" s="479"/>
      <c r="DS759" s="1198">
        <v>100000000</v>
      </c>
      <c r="DT759" s="1198">
        <v>100000000</v>
      </c>
      <c r="DU759" s="1198">
        <v>100000000</v>
      </c>
      <c r="DV759" s="1198">
        <v>100000000</v>
      </c>
      <c r="DW759" s="1198">
        <v>100000000</v>
      </c>
      <c r="DX759" s="1198">
        <v>100000000</v>
      </c>
      <c r="DY759" s="1198">
        <v>100000000</v>
      </c>
      <c r="DZ759" s="1198">
        <v>100000000</v>
      </c>
      <c r="EA759" s="1198">
        <v>100000000</v>
      </c>
      <c r="EB759" s="1198">
        <v>100000000</v>
      </c>
      <c r="EC759" s="1198">
        <v>100000000</v>
      </c>
      <c r="ED759" s="1198">
        <v>100000000</v>
      </c>
      <c r="EE759" s="1194">
        <f t="shared" si="442"/>
        <v>1200000000</v>
      </c>
      <c r="EF759" s="443"/>
      <c r="EG759" s="443"/>
      <c r="EH759" s="443"/>
      <c r="EI759" s="443"/>
      <c r="EL759" s="177"/>
      <c r="EM759" s="177"/>
      <c r="EN759" s="177"/>
    </row>
    <row r="760" spans="1:144" outlineLevel="2">
      <c r="B760" s="378"/>
      <c r="E760" s="383"/>
      <c r="F760" s="380"/>
      <c r="G760" s="189"/>
      <c r="H760" s="1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14">
        <f>SUM(G760,H760,I760,J760,K760,L760,M760,N760,O760,P760,Q760,R760)</f>
        <v>0</v>
      </c>
      <c r="T760" s="179"/>
      <c r="U760" s="189"/>
      <c r="V760" s="13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759">
        <f>SUM(U760,V760,W760,X760,Y760,Z760,AA760,AB760,AC760,AD760,AE760,AF760)</f>
        <v>0</v>
      </c>
      <c r="AH760" s="788"/>
      <c r="AI760" s="189"/>
      <c r="AJ760" s="810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759">
        <f>SUM(AI760,AJ760,AK760,AL760,AM760,AN760,AO760,AP760,AQ760,AU760,AV760,AW760)</f>
        <v>0</v>
      </c>
      <c r="AY760" s="788"/>
      <c r="AZ760" s="189"/>
      <c r="BA760" s="810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759">
        <f>SUM(AZ760,BA760,BB760,BC760,BD760,BE760,BF760,BG760,BH760,BI760,BJ760,BK760)</f>
        <v>0</v>
      </c>
      <c r="BN760" s="189"/>
      <c r="BO760" s="810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496">
        <v>0</v>
      </c>
      <c r="CB760" s="189"/>
      <c r="CC760" s="810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791">
        <v>0</v>
      </c>
      <c r="CO760" s="37"/>
      <c r="CP760" s="658"/>
      <c r="CQ760" s="658"/>
      <c r="CR760" s="189"/>
      <c r="CS760" s="658"/>
      <c r="CT760" s="189"/>
      <c r="CU760" s="658"/>
      <c r="CV760" s="189"/>
      <c r="CW760" s="658"/>
      <c r="CX760" s="189"/>
      <c r="CY760" s="658"/>
      <c r="CZ760" s="189"/>
      <c r="DA760" s="658"/>
      <c r="DB760" s="189"/>
      <c r="DC760" s="658"/>
      <c r="DD760" s="189"/>
      <c r="DE760" s="6"/>
      <c r="DF760" s="189"/>
      <c r="DG760" s="752"/>
      <c r="DH760" s="6"/>
      <c r="DI760" s="189"/>
      <c r="DJ760" s="752"/>
      <c r="DK760" s="6"/>
      <c r="DL760" s="189"/>
      <c r="DM760" s="752"/>
      <c r="DN760" s="6"/>
      <c r="DO760" s="189"/>
      <c r="DP760" s="752"/>
      <c r="DQ760" s="496">
        <f>SUM(CP760,CQ760,CS760,CU760,CW760,CY760,DA760,DC760,DE760,DH760,DK760,DN760)</f>
        <v>0</v>
      </c>
      <c r="DR760" s="479">
        <f>SUM(CQ760,CR760,CT760,CV760,CX760,CZ760,DB760,DD760,DG760,DJ760,DM760,DP760)</f>
        <v>0</v>
      </c>
      <c r="DS760" s="1020"/>
      <c r="DT760" s="1020"/>
      <c r="DU760" s="1020"/>
      <c r="DV760" s="1020"/>
      <c r="DW760" s="1020"/>
      <c r="DX760" s="1020"/>
      <c r="DY760" s="1020"/>
      <c r="DZ760" s="1020"/>
      <c r="EA760" s="1020"/>
      <c r="EB760" s="1020"/>
      <c r="EC760" s="1020"/>
      <c r="ED760" s="1020"/>
      <c r="EE760" s="1119">
        <f t="shared" si="442"/>
        <v>0</v>
      </c>
      <c r="EF760" s="459">
        <f>EE760*1.15</f>
        <v>0</v>
      </c>
      <c r="EG760" s="459">
        <f>EF760*1.15</f>
        <v>0</v>
      </c>
      <c r="EH760" s="459">
        <f>EG760*1.15</f>
        <v>0</v>
      </c>
      <c r="EI760" s="459">
        <f>EH760*1.15</f>
        <v>0</v>
      </c>
      <c r="EJ760" s="367" t="e">
        <v>#N/A</v>
      </c>
      <c r="EL760" s="177"/>
      <c r="EM760" s="177"/>
      <c r="EN760" s="177"/>
    </row>
    <row r="761" spans="1:144" ht="15" outlineLevel="1" thickBot="1">
      <c r="B761" s="378"/>
      <c r="E761" s="437" t="s">
        <v>923</v>
      </c>
      <c r="F761" s="380"/>
      <c r="G761" s="35">
        <f t="shared" ref="G761:S761" si="444">SUM(G660:G760)</f>
        <v>0</v>
      </c>
      <c r="H761" s="33">
        <f t="shared" si="444"/>
        <v>0</v>
      </c>
      <c r="I761" s="35">
        <f t="shared" si="444"/>
        <v>0</v>
      </c>
      <c r="J761" s="35">
        <f t="shared" si="444"/>
        <v>0</v>
      </c>
      <c r="K761" s="35">
        <f t="shared" si="444"/>
        <v>0</v>
      </c>
      <c r="L761" s="35">
        <f t="shared" si="444"/>
        <v>0</v>
      </c>
      <c r="M761" s="35">
        <f t="shared" si="444"/>
        <v>0</v>
      </c>
      <c r="N761" s="35">
        <f t="shared" si="444"/>
        <v>0</v>
      </c>
      <c r="O761" s="35">
        <f t="shared" si="444"/>
        <v>0</v>
      </c>
      <c r="P761" s="35">
        <f t="shared" si="444"/>
        <v>0</v>
      </c>
      <c r="Q761" s="35">
        <f t="shared" si="444"/>
        <v>0</v>
      </c>
      <c r="R761" s="35">
        <f t="shared" si="444"/>
        <v>0</v>
      </c>
      <c r="S761" s="35">
        <f t="shared" si="444"/>
        <v>0</v>
      </c>
      <c r="T761" s="36"/>
      <c r="U761" s="35">
        <f t="shared" ref="U761:AG761" si="445">SUM(U660:U760)</f>
        <v>0</v>
      </c>
      <c r="V761" s="33">
        <f t="shared" si="445"/>
        <v>0</v>
      </c>
      <c r="W761" s="35">
        <f t="shared" si="445"/>
        <v>0</v>
      </c>
      <c r="X761" s="35">
        <f t="shared" si="445"/>
        <v>0</v>
      </c>
      <c r="Y761" s="35">
        <f t="shared" si="445"/>
        <v>0</v>
      </c>
      <c r="Z761" s="35">
        <f t="shared" si="445"/>
        <v>0</v>
      </c>
      <c r="AA761" s="35">
        <f t="shared" si="445"/>
        <v>0</v>
      </c>
      <c r="AB761" s="35">
        <f t="shared" si="445"/>
        <v>0</v>
      </c>
      <c r="AC761" s="35">
        <f t="shared" si="445"/>
        <v>0</v>
      </c>
      <c r="AD761" s="35">
        <f t="shared" si="445"/>
        <v>0</v>
      </c>
      <c r="AE761" s="35">
        <f t="shared" si="445"/>
        <v>0</v>
      </c>
      <c r="AF761" s="35">
        <f t="shared" si="445"/>
        <v>0</v>
      </c>
      <c r="AG761" s="35">
        <f t="shared" si="445"/>
        <v>0</v>
      </c>
      <c r="AH761" s="36"/>
      <c r="AI761" s="35">
        <f t="shared" ref="AI761:AX761" si="446">SUM(AI660:AI760)</f>
        <v>229244450</v>
      </c>
      <c r="AJ761" s="870">
        <f t="shared" si="446"/>
        <v>566921500</v>
      </c>
      <c r="AK761" s="35">
        <f t="shared" si="446"/>
        <v>533211997</v>
      </c>
      <c r="AL761" s="35">
        <f t="shared" si="446"/>
        <v>242100558</v>
      </c>
      <c r="AM761" s="35">
        <f t="shared" si="446"/>
        <v>745596650</v>
      </c>
      <c r="AN761" s="35">
        <f t="shared" si="446"/>
        <v>442297962</v>
      </c>
      <c r="AO761" s="35">
        <f t="shared" si="446"/>
        <v>646364992</v>
      </c>
      <c r="AP761" s="35">
        <f t="shared" si="446"/>
        <v>325104003</v>
      </c>
      <c r="AQ761" s="35">
        <f t="shared" si="446"/>
        <v>667575102</v>
      </c>
      <c r="AR761" s="35">
        <f t="shared" si="446"/>
        <v>385239450</v>
      </c>
      <c r="AS761" s="35">
        <f t="shared" si="446"/>
        <v>405575500</v>
      </c>
      <c r="AT761" s="35">
        <f t="shared" si="446"/>
        <v>432341688</v>
      </c>
      <c r="AU761" s="35">
        <f t="shared" si="446"/>
        <v>685000000</v>
      </c>
      <c r="AV761" s="35">
        <f t="shared" si="446"/>
        <v>685000000</v>
      </c>
      <c r="AW761" s="35">
        <f t="shared" si="446"/>
        <v>685000000</v>
      </c>
      <c r="AX761" s="35">
        <f t="shared" si="446"/>
        <v>5621573852</v>
      </c>
      <c r="AY761" s="36"/>
      <c r="AZ761" s="35">
        <f t="shared" ref="AZ761:BL761" si="447">SUM(AZ660:AZ760)</f>
        <v>229244450</v>
      </c>
      <c r="BA761" s="870">
        <f t="shared" si="447"/>
        <v>566921500</v>
      </c>
      <c r="BB761" s="35">
        <f t="shared" si="447"/>
        <v>533211997</v>
      </c>
      <c r="BC761" s="35">
        <f t="shared" si="447"/>
        <v>242100558</v>
      </c>
      <c r="BD761" s="35">
        <f t="shared" si="447"/>
        <v>745596650</v>
      </c>
      <c r="BE761" s="35">
        <f t="shared" si="447"/>
        <v>442297962</v>
      </c>
      <c r="BF761" s="35">
        <f t="shared" si="447"/>
        <v>646364992</v>
      </c>
      <c r="BG761" s="35">
        <f t="shared" si="447"/>
        <v>325104003</v>
      </c>
      <c r="BH761" s="35">
        <f t="shared" si="447"/>
        <v>682000000</v>
      </c>
      <c r="BI761" s="35">
        <f t="shared" si="447"/>
        <v>685000000</v>
      </c>
      <c r="BJ761" s="35">
        <f t="shared" si="447"/>
        <v>685000000</v>
      </c>
      <c r="BK761" s="35">
        <f t="shared" si="447"/>
        <v>685000000</v>
      </c>
      <c r="BL761" s="35">
        <f t="shared" si="447"/>
        <v>6467842112</v>
      </c>
      <c r="BN761" s="481">
        <f t="shared" ref="BN761:BZ761" si="448">BN659+BN725+BN745</f>
        <v>2080000000</v>
      </c>
      <c r="BO761" s="481">
        <f t="shared" si="448"/>
        <v>2060000000</v>
      </c>
      <c r="BP761" s="481">
        <f t="shared" si="448"/>
        <v>2080000000</v>
      </c>
      <c r="BQ761" s="481">
        <f t="shared" si="448"/>
        <v>2092500000</v>
      </c>
      <c r="BR761" s="481">
        <f t="shared" si="448"/>
        <v>2049000000</v>
      </c>
      <c r="BS761" s="481">
        <f t="shared" si="448"/>
        <v>2180000000</v>
      </c>
      <c r="BT761" s="481">
        <f t="shared" si="448"/>
        <v>2205000000</v>
      </c>
      <c r="BU761" s="481">
        <f t="shared" si="448"/>
        <v>2195000000</v>
      </c>
      <c r="BV761" s="481">
        <f t="shared" si="448"/>
        <v>2202500000</v>
      </c>
      <c r="BW761" s="481">
        <f t="shared" si="448"/>
        <v>2187500000</v>
      </c>
      <c r="BX761" s="481">
        <f t="shared" si="448"/>
        <v>2207500000</v>
      </c>
      <c r="BY761" s="481">
        <f t="shared" si="448"/>
        <v>2209343617</v>
      </c>
      <c r="BZ761" s="481">
        <f t="shared" si="448"/>
        <v>25748343617</v>
      </c>
      <c r="CB761" s="35">
        <f t="shared" ref="CB761:CM761" si="449">SUM(CB660:CB760)</f>
        <v>2080000000</v>
      </c>
      <c r="CC761" s="870">
        <f t="shared" si="449"/>
        <v>2060000000</v>
      </c>
      <c r="CD761" s="35">
        <f t="shared" si="449"/>
        <v>2080000000</v>
      </c>
      <c r="CE761" s="35">
        <f t="shared" si="449"/>
        <v>2092500000</v>
      </c>
      <c r="CF761" s="35">
        <f t="shared" si="449"/>
        <v>2049000000</v>
      </c>
      <c r="CG761" s="35">
        <f t="shared" si="449"/>
        <v>2180000000</v>
      </c>
      <c r="CH761" s="35">
        <f t="shared" si="449"/>
        <v>2205000000</v>
      </c>
      <c r="CI761" s="35">
        <f t="shared" si="449"/>
        <v>2195000000</v>
      </c>
      <c r="CJ761" s="35">
        <f t="shared" si="449"/>
        <v>2202500000</v>
      </c>
      <c r="CK761" s="35">
        <f t="shared" si="449"/>
        <v>2187500000</v>
      </c>
      <c r="CL761" s="35">
        <f t="shared" si="449"/>
        <v>2207500000</v>
      </c>
      <c r="CM761" s="35">
        <f t="shared" si="449"/>
        <v>2209343617</v>
      </c>
      <c r="CN761" s="35">
        <v>25748343617</v>
      </c>
      <c r="CO761" s="37"/>
      <c r="CP761" s="481">
        <f t="shared" ref="CP761:EI761" si="450">CP659+CP725+CP745</f>
        <v>1333986280</v>
      </c>
      <c r="CQ761" s="481">
        <f t="shared" si="450"/>
        <v>1318964500</v>
      </c>
      <c r="CR761" s="481">
        <f t="shared" si="450"/>
        <v>1456000000</v>
      </c>
      <c r="CS761" s="481">
        <f t="shared" si="450"/>
        <v>1605194934</v>
      </c>
      <c r="CT761" s="481">
        <f t="shared" si="450"/>
        <v>1393000000</v>
      </c>
      <c r="CU761" s="481">
        <f t="shared" si="450"/>
        <v>686576919</v>
      </c>
      <c r="CV761" s="481">
        <f t="shared" si="450"/>
        <v>2024250000</v>
      </c>
      <c r="CW761" s="481">
        <f t="shared" si="450"/>
        <v>1759787611</v>
      </c>
      <c r="CX761" s="481">
        <f t="shared" si="450"/>
        <v>3431750000</v>
      </c>
      <c r="CY761" s="481">
        <f t="shared" si="450"/>
        <v>2619924376</v>
      </c>
      <c r="CZ761" s="481">
        <f t="shared" si="450"/>
        <v>3799926000</v>
      </c>
      <c r="DA761" s="481">
        <f t="shared" si="450"/>
        <v>2897952676</v>
      </c>
      <c r="DB761" s="481">
        <f t="shared" si="450"/>
        <v>2456746000</v>
      </c>
      <c r="DC761" s="481">
        <f t="shared" si="450"/>
        <v>6099142052</v>
      </c>
      <c r="DD761" s="481">
        <f t="shared" si="450"/>
        <v>2716048000</v>
      </c>
      <c r="DE761" s="481">
        <f t="shared" si="450"/>
        <v>0</v>
      </c>
      <c r="DF761" s="481">
        <f>DF659+DF725+DF745</f>
        <v>2270444000</v>
      </c>
      <c r="DG761" s="481">
        <f t="shared" si="450"/>
        <v>2270444000</v>
      </c>
      <c r="DH761" s="481">
        <f t="shared" si="450"/>
        <v>0</v>
      </c>
      <c r="DI761" s="481">
        <f>DI659+DI725+DI745</f>
        <v>2464054000</v>
      </c>
      <c r="DJ761" s="481">
        <f t="shared" si="450"/>
        <v>2464054000</v>
      </c>
      <c r="DK761" s="481">
        <f t="shared" si="450"/>
        <v>0</v>
      </c>
      <c r="DL761" s="481">
        <f>DL659+DL725+DL745</f>
        <v>2116450000</v>
      </c>
      <c r="DM761" s="481">
        <f>DM659+DM725+DM745</f>
        <v>2116450000</v>
      </c>
      <c r="DN761" s="481">
        <f t="shared" si="450"/>
        <v>0</v>
      </c>
      <c r="DO761" s="481">
        <f>DO659+DO725+DO745</f>
        <v>2143450000</v>
      </c>
      <c r="DP761" s="481">
        <f t="shared" si="450"/>
        <v>2143450000</v>
      </c>
      <c r="DQ761" s="481">
        <f t="shared" si="450"/>
        <v>27317390148</v>
      </c>
      <c r="DR761" s="481">
        <f t="shared" si="450"/>
        <v>26343590633</v>
      </c>
      <c r="DS761" s="1177">
        <f>DS659+DS725+DS745</f>
        <v>2634916667</v>
      </c>
      <c r="DT761" s="1177">
        <f t="shared" si="450"/>
        <v>2511916667</v>
      </c>
      <c r="DU761" s="1177">
        <f t="shared" si="450"/>
        <v>2736916667</v>
      </c>
      <c r="DV761" s="1177">
        <f t="shared" si="450"/>
        <v>2686916667</v>
      </c>
      <c r="DW761" s="1177">
        <f t="shared" si="450"/>
        <v>2479916667</v>
      </c>
      <c r="DX761" s="1177">
        <f t="shared" si="450"/>
        <v>2514916667</v>
      </c>
      <c r="DY761" s="1177">
        <f t="shared" si="450"/>
        <v>2539916667</v>
      </c>
      <c r="DZ761" s="1177">
        <f t="shared" si="450"/>
        <v>2459916667</v>
      </c>
      <c r="EA761" s="1177">
        <f t="shared" si="450"/>
        <v>2524916667</v>
      </c>
      <c r="EB761" s="1177">
        <f t="shared" si="450"/>
        <v>2741916667</v>
      </c>
      <c r="EC761" s="1177">
        <f t="shared" si="450"/>
        <v>2791916667</v>
      </c>
      <c r="ED761" s="1177">
        <f t="shared" si="450"/>
        <v>2841916667</v>
      </c>
      <c r="EE761" s="1141">
        <f t="shared" si="450"/>
        <v>31466000004</v>
      </c>
      <c r="EF761" s="1024">
        <f t="shared" si="450"/>
        <v>33664627929.596859</v>
      </c>
      <c r="EG761" s="1024">
        <f t="shared" si="450"/>
        <v>54571175172.245834</v>
      </c>
      <c r="EH761" s="1024">
        <f t="shared" si="450"/>
        <v>73055508823.737442</v>
      </c>
      <c r="EI761" s="1024">
        <f t="shared" si="450"/>
        <v>82838926475.617447</v>
      </c>
      <c r="EJ761" s="367" t="e">
        <v>#N/A</v>
      </c>
      <c r="EL761" s="177"/>
      <c r="EM761" s="177"/>
      <c r="EN761" s="177"/>
    </row>
    <row r="762" spans="1:144" ht="15" outlineLevel="1" thickTop="1">
      <c r="B762" s="378"/>
      <c r="E762" s="383"/>
      <c r="F762" s="380"/>
      <c r="G762" s="189"/>
      <c r="H762" s="1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14"/>
      <c r="T762" s="179"/>
      <c r="U762" s="189"/>
      <c r="V762" s="13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759"/>
      <c r="AH762" s="788"/>
      <c r="AI762" s="189"/>
      <c r="AJ762" s="810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759"/>
      <c r="AY762" s="788"/>
      <c r="AZ762" s="189"/>
      <c r="BA762" s="810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759"/>
      <c r="BN762" s="189"/>
      <c r="BO762" s="810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496"/>
      <c r="CB762" s="189"/>
      <c r="CC762" s="810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759"/>
      <c r="CO762" s="37"/>
      <c r="CP762" s="529">
        <v>2080000000</v>
      </c>
      <c r="CQ762" s="529"/>
      <c r="CR762" s="529">
        <v>2060000000</v>
      </c>
      <c r="CS762" s="529"/>
      <c r="CT762" s="529">
        <v>2080000000</v>
      </c>
      <c r="CU762" s="529"/>
      <c r="CV762" s="529">
        <v>2092500000</v>
      </c>
      <c r="CW762" s="529"/>
      <c r="CX762" s="529">
        <v>2049000000</v>
      </c>
      <c r="CY762" s="529"/>
      <c r="CZ762" s="529">
        <v>2180000000</v>
      </c>
      <c r="DA762" s="529"/>
      <c r="DB762" s="529">
        <v>2205000000</v>
      </c>
      <c r="DC762" s="529"/>
      <c r="DD762" s="529">
        <v>2195000000</v>
      </c>
      <c r="DE762" s="531"/>
      <c r="DF762" s="529">
        <v>2202500000</v>
      </c>
      <c r="DG762" s="755">
        <v>2202500000</v>
      </c>
      <c r="DH762" s="531"/>
      <c r="DI762" s="529">
        <v>2187500000</v>
      </c>
      <c r="DJ762" s="755">
        <v>2187500000</v>
      </c>
      <c r="DK762" s="531"/>
      <c r="DL762" s="529">
        <v>2207500000</v>
      </c>
      <c r="DM762" s="755">
        <v>2207500000</v>
      </c>
      <c r="DN762" s="531"/>
      <c r="DO762" s="529">
        <v>2209343617</v>
      </c>
      <c r="DP762" s="755">
        <v>2209343617</v>
      </c>
      <c r="DQ762" s="496"/>
      <c r="DR762" s="479"/>
      <c r="DS762" s="1183"/>
      <c r="DT762" s="1183"/>
      <c r="DU762" s="1183"/>
      <c r="DV762" s="1183"/>
      <c r="DW762" s="1183"/>
      <c r="DX762" s="1183"/>
      <c r="DY762" s="1183"/>
      <c r="DZ762" s="1183"/>
      <c r="EA762" s="1183"/>
      <c r="EB762" s="1183"/>
      <c r="EC762" s="1183"/>
      <c r="ED762" s="1183"/>
      <c r="EE762" s="1142"/>
      <c r="EF762" s="461"/>
      <c r="EG762" s="461"/>
      <c r="EH762" s="461"/>
      <c r="EI762" s="461"/>
      <c r="EJ762" s="367" t="e">
        <v>#N/A</v>
      </c>
      <c r="EL762" s="177"/>
      <c r="EM762" s="177"/>
      <c r="EN762" s="177"/>
    </row>
    <row r="763" spans="1:144" outlineLevel="1">
      <c r="B763" s="378"/>
      <c r="E763" s="383"/>
      <c r="F763" s="380"/>
      <c r="G763" s="189"/>
      <c r="H763" s="1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14"/>
      <c r="T763" s="179"/>
      <c r="U763" s="189"/>
      <c r="V763" s="13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759"/>
      <c r="AH763" s="788"/>
      <c r="AI763" s="189"/>
      <c r="AJ763" s="810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759"/>
      <c r="AY763" s="788"/>
      <c r="AZ763" s="189"/>
      <c r="BA763" s="810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759"/>
      <c r="BN763" s="189"/>
      <c r="BO763" s="810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496"/>
      <c r="CB763" s="189"/>
      <c r="CC763" s="810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759"/>
      <c r="CO763" s="37"/>
      <c r="CP763" s="189"/>
      <c r="CQ763" s="189"/>
      <c r="CR763" s="189"/>
      <c r="CS763" s="189"/>
      <c r="CT763" s="189"/>
      <c r="CU763" s="189"/>
      <c r="CV763" s="189"/>
      <c r="CW763" s="189"/>
      <c r="CX763" s="189"/>
      <c r="CY763" s="189"/>
      <c r="CZ763" s="189"/>
      <c r="DA763" s="189"/>
      <c r="DB763" s="189"/>
      <c r="DC763" s="189"/>
      <c r="DD763" s="189"/>
      <c r="DE763" s="175"/>
      <c r="DF763" s="189"/>
      <c r="DG763" s="752"/>
      <c r="DH763" s="175"/>
      <c r="DI763" s="189"/>
      <c r="DJ763" s="752"/>
      <c r="DK763" s="175"/>
      <c r="DL763" s="189"/>
      <c r="DM763" s="752"/>
      <c r="DN763" s="175"/>
      <c r="DO763" s="189"/>
      <c r="DP763" s="752"/>
      <c r="DQ763" s="496"/>
      <c r="DR763" s="479"/>
      <c r="DS763" s="1183"/>
      <c r="DT763" s="1183"/>
      <c r="DU763" s="1183"/>
      <c r="DV763" s="1183"/>
      <c r="DW763" s="1183"/>
      <c r="DX763" s="1183"/>
      <c r="DY763" s="1183"/>
      <c r="DZ763" s="1183"/>
      <c r="EA763" s="1183"/>
      <c r="EB763" s="1183"/>
      <c r="EC763" s="1183"/>
      <c r="ED763" s="1183"/>
      <c r="EE763" s="1145"/>
      <c r="EF763" s="448"/>
      <c r="EG763" s="448"/>
      <c r="EH763" s="448"/>
      <c r="EI763" s="448"/>
      <c r="EL763" s="177"/>
      <c r="EM763" s="177"/>
      <c r="EN763" s="177"/>
    </row>
    <row r="764" spans="1:144" outlineLevel="1">
      <c r="B764" s="378"/>
      <c r="E764" s="437" t="s">
        <v>924</v>
      </c>
      <c r="F764" s="380"/>
      <c r="G764" s="189"/>
      <c r="H764" s="1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14"/>
      <c r="T764" s="179"/>
      <c r="U764" s="189"/>
      <c r="V764" s="13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759"/>
      <c r="AH764" s="788"/>
      <c r="AI764" s="189"/>
      <c r="AJ764" s="810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759"/>
      <c r="AY764" s="788"/>
      <c r="AZ764" s="189"/>
      <c r="BA764" s="810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759"/>
      <c r="BN764" s="189"/>
      <c r="BO764" s="810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496"/>
      <c r="CB764" s="189"/>
      <c r="CC764" s="810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759"/>
      <c r="CO764" s="37"/>
      <c r="CP764" s="189"/>
      <c r="CQ764" s="189"/>
      <c r="CR764" s="189"/>
      <c r="CS764" s="189"/>
      <c r="CT764" s="189"/>
      <c r="CU764" s="189"/>
      <c r="CV764" s="189"/>
      <c r="CW764" s="189"/>
      <c r="CX764" s="189"/>
      <c r="CY764" s="189"/>
      <c r="CZ764" s="189"/>
      <c r="DA764" s="189"/>
      <c r="DB764" s="189"/>
      <c r="DC764" s="189"/>
      <c r="DD764" s="189"/>
      <c r="DE764" s="6"/>
      <c r="DF764" s="189"/>
      <c r="DG764" s="752"/>
      <c r="DH764" s="6"/>
      <c r="DI764" s="189"/>
      <c r="DJ764" s="752"/>
      <c r="DK764" s="6"/>
      <c r="DL764" s="189"/>
      <c r="DM764" s="752"/>
      <c r="DN764" s="6"/>
      <c r="DO764" s="189"/>
      <c r="DP764" s="752"/>
      <c r="DQ764" s="496"/>
      <c r="DR764" s="479"/>
      <c r="DS764" s="1183"/>
      <c r="DT764" s="1183"/>
      <c r="DU764" s="1183"/>
      <c r="DV764" s="1183"/>
      <c r="DW764" s="1183"/>
      <c r="DX764" s="1183"/>
      <c r="DY764" s="1183"/>
      <c r="DZ764" s="1183"/>
      <c r="EA764" s="1183"/>
      <c r="EB764" s="1183"/>
      <c r="EC764" s="1183"/>
      <c r="ED764" s="1183"/>
      <c r="EE764" s="1146"/>
      <c r="EF764" s="454"/>
      <c r="EG764" s="454"/>
      <c r="EH764" s="454"/>
      <c r="EI764" s="454"/>
      <c r="EL764" s="177"/>
      <c r="EM764" s="177"/>
      <c r="EN764" s="177"/>
    </row>
    <row r="765" spans="1:144" outlineLevel="1">
      <c r="B765" s="378"/>
      <c r="E765" s="383"/>
      <c r="F765" s="380"/>
      <c r="G765" s="189"/>
      <c r="H765" s="1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14"/>
      <c r="T765" s="179"/>
      <c r="U765" s="189"/>
      <c r="V765" s="13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759"/>
      <c r="AH765" s="788"/>
      <c r="AI765" s="189"/>
      <c r="AJ765" s="810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759"/>
      <c r="AY765" s="788"/>
      <c r="AZ765" s="189"/>
      <c r="BA765" s="810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759"/>
      <c r="BN765" s="189"/>
      <c r="BO765" s="810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496"/>
      <c r="CB765" s="189"/>
      <c r="CC765" s="810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759"/>
      <c r="CO765" s="37"/>
      <c r="CP765" s="189"/>
      <c r="CQ765" s="189"/>
      <c r="CR765" s="189"/>
      <c r="CS765" s="189"/>
      <c r="CT765" s="189"/>
      <c r="CU765" s="189"/>
      <c r="CV765" s="189"/>
      <c r="CW765" s="189"/>
      <c r="CX765" s="189"/>
      <c r="CY765" s="189"/>
      <c r="CZ765" s="189"/>
      <c r="DA765" s="189"/>
      <c r="DB765" s="189"/>
      <c r="DC765" s="189"/>
      <c r="DD765" s="189"/>
      <c r="DE765" s="6"/>
      <c r="DF765" s="189"/>
      <c r="DG765" s="752"/>
      <c r="DH765" s="6"/>
      <c r="DI765" s="189"/>
      <c r="DJ765" s="752"/>
      <c r="DK765" s="6"/>
      <c r="DL765" s="189"/>
      <c r="DM765" s="752"/>
      <c r="DN765" s="6"/>
      <c r="DO765" s="189"/>
      <c r="DP765" s="752"/>
      <c r="DQ765" s="496"/>
      <c r="DR765" s="479"/>
      <c r="DS765" s="1183"/>
      <c r="DT765" s="1183"/>
      <c r="DU765" s="1183"/>
      <c r="DV765" s="1183"/>
      <c r="DW765" s="1183"/>
      <c r="DX765" s="1183"/>
      <c r="DY765" s="1183"/>
      <c r="DZ765" s="1183"/>
      <c r="EA765" s="1183"/>
      <c r="EB765" s="1183"/>
      <c r="EC765" s="1183"/>
      <c r="ED765" s="1183"/>
      <c r="EE765" s="1143"/>
      <c r="EF765" s="447"/>
      <c r="EG765" s="447"/>
      <c r="EH765" s="447"/>
      <c r="EI765" s="447"/>
      <c r="EL765" s="177"/>
      <c r="EM765" s="177"/>
      <c r="EN765" s="177"/>
    </row>
    <row r="766" spans="1:144" outlineLevel="1">
      <c r="B766" s="402" t="s">
        <v>668</v>
      </c>
      <c r="C766" s="368"/>
      <c r="D766" s="368"/>
      <c r="E766" s="383"/>
      <c r="F766" s="380"/>
      <c r="G766" s="189"/>
      <c r="H766" s="1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14"/>
      <c r="T766" s="179"/>
      <c r="U766" s="189"/>
      <c r="V766" s="13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759"/>
      <c r="AH766" s="788"/>
      <c r="AI766" s="189"/>
      <c r="AJ766" s="810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759"/>
      <c r="AY766" s="788"/>
      <c r="AZ766" s="189"/>
      <c r="BA766" s="810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759"/>
      <c r="BN766" s="480">
        <f t="shared" ref="BN766:BZ766" si="451">SUM(BN767:BN795)</f>
        <v>830100000</v>
      </c>
      <c r="BO766" s="480">
        <f t="shared" si="451"/>
        <v>1356500000</v>
      </c>
      <c r="BP766" s="480">
        <f t="shared" si="451"/>
        <v>872550000</v>
      </c>
      <c r="BQ766" s="480">
        <f t="shared" si="451"/>
        <v>588250000</v>
      </c>
      <c r="BR766" s="480">
        <f t="shared" si="451"/>
        <v>453900000</v>
      </c>
      <c r="BS766" s="480">
        <f t="shared" si="451"/>
        <v>808200000</v>
      </c>
      <c r="BT766" s="480">
        <f t="shared" si="451"/>
        <v>839200000</v>
      </c>
      <c r="BU766" s="480">
        <f t="shared" si="451"/>
        <v>579772853</v>
      </c>
      <c r="BV766" s="480">
        <f t="shared" si="451"/>
        <v>870350000</v>
      </c>
      <c r="BW766" s="480">
        <f t="shared" si="451"/>
        <v>570700000</v>
      </c>
      <c r="BX766" s="480">
        <f t="shared" si="451"/>
        <v>1282400000</v>
      </c>
      <c r="BY766" s="480">
        <f t="shared" si="451"/>
        <v>741700000</v>
      </c>
      <c r="BZ766" s="480">
        <f t="shared" si="451"/>
        <v>9793622853</v>
      </c>
      <c r="CB766" s="189"/>
      <c r="CC766" s="810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759"/>
      <c r="CO766" s="37"/>
      <c r="CP766" s="480">
        <f>SUM(CP767:CP795)</f>
        <v>400764910</v>
      </c>
      <c r="CQ766" s="480">
        <f t="shared" ref="CQ766:EI766" si="452">SUM(CQ767:CQ795)</f>
        <v>206392240</v>
      </c>
      <c r="CR766" s="480">
        <f t="shared" si="452"/>
        <v>440722680</v>
      </c>
      <c r="CS766" s="480">
        <f t="shared" si="452"/>
        <v>119254640</v>
      </c>
      <c r="CT766" s="480">
        <f t="shared" si="452"/>
        <v>377500000</v>
      </c>
      <c r="CU766" s="480">
        <f t="shared" si="452"/>
        <v>516196050</v>
      </c>
      <c r="CV766" s="480">
        <f t="shared" si="452"/>
        <v>361500000</v>
      </c>
      <c r="CW766" s="480">
        <f t="shared" si="452"/>
        <v>364232220</v>
      </c>
      <c r="CX766" s="480">
        <f t="shared" si="452"/>
        <v>263000000</v>
      </c>
      <c r="CY766" s="480">
        <f t="shared" si="452"/>
        <v>393884230</v>
      </c>
      <c r="CZ766" s="480">
        <f t="shared" si="452"/>
        <v>311000000</v>
      </c>
      <c r="DA766" s="480">
        <f t="shared" si="452"/>
        <v>292400654</v>
      </c>
      <c r="DB766" s="480">
        <f t="shared" si="452"/>
        <v>420500000</v>
      </c>
      <c r="DC766" s="480">
        <f t="shared" si="452"/>
        <v>692622090</v>
      </c>
      <c r="DD766" s="480">
        <f t="shared" si="452"/>
        <v>355000000</v>
      </c>
      <c r="DE766" s="480">
        <f t="shared" si="452"/>
        <v>0</v>
      </c>
      <c r="DF766" s="480">
        <f>SUM(DF767:DF795)</f>
        <v>311000000</v>
      </c>
      <c r="DG766" s="480">
        <f t="shared" si="452"/>
        <v>311000000</v>
      </c>
      <c r="DH766" s="480">
        <f t="shared" si="452"/>
        <v>0</v>
      </c>
      <c r="DI766" s="480">
        <f>SUM(DI767:DI795)</f>
        <v>420500000</v>
      </c>
      <c r="DJ766" s="480">
        <f t="shared" si="452"/>
        <v>420500000</v>
      </c>
      <c r="DK766" s="480">
        <f t="shared" si="452"/>
        <v>0</v>
      </c>
      <c r="DL766" s="480">
        <f>SUM(DL767:DL795)</f>
        <v>355000000</v>
      </c>
      <c r="DM766" s="480">
        <f>SUM(DM767:DM795)</f>
        <v>355000000</v>
      </c>
      <c r="DN766" s="480">
        <f t="shared" si="452"/>
        <v>0</v>
      </c>
      <c r="DO766" s="480">
        <f>SUM(DO767:DO795)</f>
        <v>311000000</v>
      </c>
      <c r="DP766" s="480">
        <f t="shared" si="452"/>
        <v>311000000</v>
      </c>
      <c r="DQ766" s="480">
        <f>SUM(DQ767:DQ795)</f>
        <v>4383247034</v>
      </c>
      <c r="DR766" s="480">
        <f>SUM(DR767:DR795)</f>
        <v>3989607840</v>
      </c>
      <c r="DS766" s="1178">
        <f>SUM(DS767:DS795)</f>
        <v>305250000</v>
      </c>
      <c r="DT766" s="1178">
        <f t="shared" si="452"/>
        <v>561950000</v>
      </c>
      <c r="DU766" s="1178">
        <f t="shared" si="452"/>
        <v>506350000</v>
      </c>
      <c r="DV766" s="1178">
        <f t="shared" si="452"/>
        <v>526950000</v>
      </c>
      <c r="DW766" s="1178">
        <f t="shared" si="452"/>
        <v>501500000</v>
      </c>
      <c r="DX766" s="1178">
        <f t="shared" si="452"/>
        <v>556500000</v>
      </c>
      <c r="DY766" s="1178">
        <f t="shared" si="452"/>
        <v>509800000</v>
      </c>
      <c r="DZ766" s="1178">
        <f t="shared" si="452"/>
        <v>539800000</v>
      </c>
      <c r="EA766" s="1178">
        <f t="shared" si="452"/>
        <v>501500000</v>
      </c>
      <c r="EB766" s="1178">
        <f t="shared" si="452"/>
        <v>552200000</v>
      </c>
      <c r="EC766" s="1178">
        <f t="shared" si="452"/>
        <v>505300000</v>
      </c>
      <c r="ED766" s="1178">
        <f t="shared" si="452"/>
        <v>501500000</v>
      </c>
      <c r="EE766" s="1140">
        <f t="shared" si="452"/>
        <v>6068600000</v>
      </c>
      <c r="EF766" s="1022">
        <f t="shared" si="452"/>
        <v>14155586861</v>
      </c>
      <c r="EG766" s="1022">
        <f t="shared" si="452"/>
        <v>17723161537</v>
      </c>
      <c r="EH766" s="1022">
        <f t="shared" si="452"/>
        <v>21922139189</v>
      </c>
      <c r="EI766" s="1022">
        <f t="shared" si="452"/>
        <v>23722411899</v>
      </c>
      <c r="EJ766" s="367" t="e">
        <v>#N/A</v>
      </c>
      <c r="EL766" s="177"/>
      <c r="EM766" s="177"/>
      <c r="EN766" s="177"/>
    </row>
    <row r="767" spans="1:144" outlineLevel="2">
      <c r="A767" s="367" t="s">
        <v>242</v>
      </c>
      <c r="B767" s="378"/>
      <c r="C767" s="370" t="s">
        <v>688</v>
      </c>
      <c r="D767" s="370" t="s">
        <v>40</v>
      </c>
      <c r="E767" s="383" t="s">
        <v>243</v>
      </c>
      <c r="F767" s="380">
        <v>3000019640</v>
      </c>
      <c r="G767" s="189"/>
      <c r="H767" s="26"/>
      <c r="J767" s="6"/>
      <c r="K767" s="6"/>
      <c r="L767" s="6"/>
      <c r="M767" s="6"/>
      <c r="N767" s="6"/>
      <c r="O767" s="6"/>
      <c r="P767" s="6"/>
      <c r="Q767" s="6"/>
      <c r="R767" s="6"/>
      <c r="S767" s="14"/>
      <c r="T767" s="179"/>
      <c r="U767" s="189"/>
      <c r="V767" s="26"/>
      <c r="X767" s="6"/>
      <c r="Y767" s="6"/>
      <c r="Z767" s="6"/>
      <c r="AA767" s="6"/>
      <c r="AB767" s="6"/>
      <c r="AC767" s="6"/>
      <c r="AD767" s="6"/>
      <c r="AE767" s="6"/>
      <c r="AF767" s="6"/>
      <c r="AG767" s="759"/>
      <c r="AH767" s="788"/>
      <c r="AI767" s="189"/>
      <c r="AJ767" s="824"/>
      <c r="AL767" s="6"/>
      <c r="AM767" s="6"/>
      <c r="AN767" s="6"/>
      <c r="AO767" s="6"/>
      <c r="AP767" s="6"/>
      <c r="AQ767" s="6"/>
      <c r="AR767" s="813">
        <v>3760000</v>
      </c>
      <c r="AS767" s="813">
        <v>2000000</v>
      </c>
      <c r="AT767" s="813">
        <v>4030000</v>
      </c>
      <c r="AU767" s="6"/>
      <c r="AV767" s="6"/>
      <c r="AW767" s="6"/>
      <c r="AX767" s="518">
        <f t="shared" ref="AX767:AX784" si="453">SUM(AI767,AJ767,AK767,AL767,AM767,AN767,AO767,AP767,AQ767,AR767,AS767,AT767)</f>
        <v>9790000</v>
      </c>
      <c r="AY767" s="788"/>
      <c r="AZ767" s="189"/>
      <c r="BA767" s="824"/>
      <c r="BC767" s="6"/>
      <c r="BD767" s="6"/>
      <c r="BE767" s="6"/>
      <c r="BF767" s="6"/>
      <c r="BG767" s="6"/>
      <c r="BH767" s="6"/>
      <c r="BI767" s="6"/>
      <c r="BJ767" s="6"/>
      <c r="BK767" s="6"/>
      <c r="BL767" s="759"/>
      <c r="BN767" s="758"/>
      <c r="BO767" s="758"/>
      <c r="BP767" s="758"/>
      <c r="BQ767" s="758"/>
      <c r="BR767" s="758"/>
      <c r="BS767" s="758"/>
      <c r="BT767" s="758"/>
      <c r="BU767" s="758"/>
      <c r="BV767" s="758"/>
      <c r="BW767" s="758"/>
      <c r="BX767" s="758"/>
      <c r="BY767" s="758"/>
      <c r="BZ767" s="791">
        <v>0</v>
      </c>
      <c r="CB767" s="758"/>
      <c r="CC767" s="758"/>
      <c r="CD767" s="758"/>
      <c r="CE767" s="758"/>
      <c r="CF767" s="758"/>
      <c r="CG767" s="758"/>
      <c r="CH767" s="758"/>
      <c r="CI767" s="758"/>
      <c r="CJ767" s="758"/>
      <c r="CK767" s="758"/>
      <c r="CL767" s="758"/>
      <c r="CM767" s="758"/>
      <c r="CN767" s="791">
        <v>0</v>
      </c>
      <c r="CP767" s="653"/>
      <c r="CQ767" s="653">
        <v>7122680</v>
      </c>
      <c r="CR767" s="524">
        <v>8552680</v>
      </c>
      <c r="CS767" s="653">
        <v>3904090</v>
      </c>
      <c r="CT767" s="524">
        <v>5000000</v>
      </c>
      <c r="CU767" s="653"/>
      <c r="CV767" s="524">
        <v>5000000</v>
      </c>
      <c r="CW767" s="653">
        <v>7868590</v>
      </c>
      <c r="CX767" s="524">
        <v>5000000</v>
      </c>
      <c r="CY767" s="653">
        <v>3379090</v>
      </c>
      <c r="CZ767" s="524">
        <v>5000000</v>
      </c>
      <c r="DA767" s="653"/>
      <c r="DB767" s="524">
        <v>5000000</v>
      </c>
      <c r="DC767" s="653">
        <v>11729090</v>
      </c>
      <c r="DD767" s="524">
        <v>5000000</v>
      </c>
      <c r="DE767" s="758"/>
      <c r="DF767" s="524">
        <v>5000000</v>
      </c>
      <c r="DG767" s="757">
        <v>5000000</v>
      </c>
      <c r="DH767" s="758"/>
      <c r="DI767" s="524">
        <v>5000000</v>
      </c>
      <c r="DJ767" s="757">
        <v>5000000</v>
      </c>
      <c r="DK767" s="758"/>
      <c r="DL767" s="524">
        <v>5000000</v>
      </c>
      <c r="DM767" s="757">
        <v>5000000</v>
      </c>
      <c r="DN767" s="758"/>
      <c r="DO767" s="524">
        <v>5000000</v>
      </c>
      <c r="DP767" s="757">
        <v>5000000</v>
      </c>
      <c r="DQ767" s="493">
        <f t="shared" ref="DQ767:DQ795" si="454">SUM(CP767,CQ767,CS767,CU767,CW767,CY767,DA767,DC767,DF767,DI767,DL767,DO767)</f>
        <v>54003540</v>
      </c>
      <c r="DR767" s="479">
        <f>SUM(CP767,CQ767,CS767,CU767,CX767,CZ767,DB767,DD767,DG767,DJ767,DM767,DP767)</f>
        <v>51026770</v>
      </c>
      <c r="DS767" s="1168">
        <v>9900000</v>
      </c>
      <c r="DT767" s="1169">
        <v>9900000</v>
      </c>
      <c r="DU767" s="1169">
        <v>9900000</v>
      </c>
      <c r="DV767" s="1169">
        <v>9900000</v>
      </c>
      <c r="DW767" s="1169">
        <v>9900000</v>
      </c>
      <c r="DX767" s="1169">
        <v>9900000</v>
      </c>
      <c r="DY767" s="1169">
        <v>9900000</v>
      </c>
      <c r="DZ767" s="1169">
        <v>9900000</v>
      </c>
      <c r="EA767" s="1169">
        <v>9900000</v>
      </c>
      <c r="EB767" s="1169">
        <v>9900000</v>
      </c>
      <c r="EC767" s="1169">
        <v>9900000</v>
      </c>
      <c r="ED767" s="1169">
        <v>9900000</v>
      </c>
      <c r="EE767" s="1119">
        <f>SUM(DS767,DT767,DU767,DV767,DW767,DX767,DY767,DZ767,EA767,EB767,EC767,ED767)</f>
        <v>118800000</v>
      </c>
      <c r="EF767" s="1088" t="s">
        <v>670</v>
      </c>
      <c r="EG767" s="1088" t="s">
        <v>670</v>
      </c>
      <c r="EH767" s="1088" t="s">
        <v>670</v>
      </c>
      <c r="EI767" s="1088" t="s">
        <v>670</v>
      </c>
      <c r="EL767" s="177"/>
      <c r="EM767" s="177"/>
      <c r="EN767" s="177"/>
    </row>
    <row r="768" spans="1:144" outlineLevel="2">
      <c r="A768" s="367" t="s">
        <v>925</v>
      </c>
      <c r="B768" s="378"/>
      <c r="C768" s="370" t="s">
        <v>688</v>
      </c>
      <c r="D768" s="370" t="s">
        <v>108</v>
      </c>
      <c r="E768" s="383" t="s">
        <v>926</v>
      </c>
      <c r="F768" s="380" t="s">
        <v>927</v>
      </c>
      <c r="G768" s="189"/>
      <c r="H768" s="26"/>
      <c r="J768" s="6"/>
      <c r="K768" s="6"/>
      <c r="L768" s="6"/>
      <c r="M768" s="6"/>
      <c r="N768" s="6"/>
      <c r="O768" s="6"/>
      <c r="P768" s="6"/>
      <c r="Q768" s="6"/>
      <c r="R768" s="6"/>
      <c r="S768" s="14"/>
      <c r="T768" s="179"/>
      <c r="U768" s="189"/>
      <c r="V768" s="26"/>
      <c r="X768" s="6"/>
      <c r="Y768" s="6"/>
      <c r="Z768" s="6"/>
      <c r="AA768" s="6"/>
      <c r="AB768" s="6"/>
      <c r="AC768" s="6"/>
      <c r="AD768" s="6"/>
      <c r="AE768" s="6"/>
      <c r="AF768" s="6"/>
      <c r="AG768" s="759"/>
      <c r="AH768" s="788"/>
      <c r="AI768" s="189"/>
      <c r="AJ768" s="824"/>
      <c r="AL768" s="6"/>
      <c r="AM768" s="6"/>
      <c r="AN768" s="6"/>
      <c r="AO768" s="6"/>
      <c r="AP768" s="6"/>
      <c r="AQ768" s="6"/>
      <c r="AR768" s="813"/>
      <c r="AS768" s="813"/>
      <c r="AT768" s="813"/>
      <c r="AU768" s="6"/>
      <c r="AV768" s="6"/>
      <c r="AW768" s="6"/>
      <c r="AX768" s="518"/>
      <c r="AY768" s="788"/>
      <c r="AZ768" s="189"/>
      <c r="BA768" s="824"/>
      <c r="BC768" s="6"/>
      <c r="BD768" s="6"/>
      <c r="BE768" s="6"/>
      <c r="BF768" s="6"/>
      <c r="BG768" s="6"/>
      <c r="BH768" s="6"/>
      <c r="BI768" s="6"/>
      <c r="BJ768" s="6"/>
      <c r="BK768" s="6"/>
      <c r="BL768" s="759"/>
      <c r="BN768" s="758"/>
      <c r="BO768" s="758"/>
      <c r="BP768" s="758"/>
      <c r="BQ768" s="758"/>
      <c r="BR768" s="758"/>
      <c r="BS768" s="758"/>
      <c r="BT768" s="758"/>
      <c r="BU768" s="758"/>
      <c r="BV768" s="758"/>
      <c r="BW768" s="758"/>
      <c r="BX768" s="758"/>
      <c r="BY768" s="758"/>
      <c r="BZ768" s="791"/>
      <c r="CB768" s="758"/>
      <c r="CC768" s="758"/>
      <c r="CD768" s="758"/>
      <c r="CE768" s="758"/>
      <c r="CF768" s="758"/>
      <c r="CG768" s="758"/>
      <c r="CH768" s="758"/>
      <c r="CI768" s="758"/>
      <c r="CJ768" s="758"/>
      <c r="CK768" s="758"/>
      <c r="CL768" s="758"/>
      <c r="CM768" s="758"/>
      <c r="CN768" s="791"/>
      <c r="CP768" s="653"/>
      <c r="CQ768" s="653"/>
      <c r="CR768" s="524"/>
      <c r="CS768" s="653"/>
      <c r="CT768" s="524"/>
      <c r="CU768" s="653"/>
      <c r="CV768" s="524"/>
      <c r="CW768" s="653"/>
      <c r="CX768" s="524"/>
      <c r="CY768" s="653"/>
      <c r="CZ768" s="524"/>
      <c r="DA768" s="653"/>
      <c r="DB768" s="524"/>
      <c r="DC768" s="653">
        <v>17500000</v>
      </c>
      <c r="DD768" s="524"/>
      <c r="DE768" s="758"/>
      <c r="DF768" s="524"/>
      <c r="DG768" s="757"/>
      <c r="DH768" s="758"/>
      <c r="DI768" s="524"/>
      <c r="DJ768" s="757"/>
      <c r="DK768" s="758"/>
      <c r="DL768" s="524"/>
      <c r="DM768" s="757"/>
      <c r="DN768" s="758"/>
      <c r="DO768" s="524"/>
      <c r="DP768" s="757"/>
      <c r="DQ768" s="493">
        <f t="shared" si="454"/>
        <v>17500000</v>
      </c>
      <c r="DR768" s="479"/>
      <c r="DS768" s="1168" t="s">
        <v>670</v>
      </c>
      <c r="DT768" s="1169" t="s">
        <v>670</v>
      </c>
      <c r="DU768" s="1169" t="s">
        <v>670</v>
      </c>
      <c r="DV768" s="1169" t="s">
        <v>670</v>
      </c>
      <c r="DW768" s="1169" t="s">
        <v>670</v>
      </c>
      <c r="DX768" s="1169" t="s">
        <v>670</v>
      </c>
      <c r="DY768" s="1169" t="s">
        <v>670</v>
      </c>
      <c r="DZ768" s="1169">
        <v>17500000</v>
      </c>
      <c r="EA768" s="1169" t="s">
        <v>670</v>
      </c>
      <c r="EB768" s="1169" t="s">
        <v>670</v>
      </c>
      <c r="EC768" s="1169" t="s">
        <v>670</v>
      </c>
      <c r="ED768" s="1169" t="s">
        <v>670</v>
      </c>
      <c r="EE768" s="1119">
        <f>SUM(DS768,DT768,DU768,DV768,DW768,DX768,DY768,DZ768,EA768,EB768,EC768,ED768)</f>
        <v>17500000</v>
      </c>
      <c r="EF768" s="1088" t="s">
        <v>670</v>
      </c>
      <c r="EG768" s="1088" t="s">
        <v>670</v>
      </c>
      <c r="EH768" s="1088" t="s">
        <v>670</v>
      </c>
      <c r="EI768" s="1088" t="s">
        <v>670</v>
      </c>
      <c r="EL768" s="177"/>
      <c r="EM768" s="177"/>
      <c r="EN768" s="177"/>
    </row>
    <row r="769" spans="1:144" outlineLevel="2">
      <c r="A769" s="367" t="s">
        <v>242</v>
      </c>
      <c r="B769" s="378"/>
      <c r="C769" s="370" t="s">
        <v>688</v>
      </c>
      <c r="D769" s="370" t="s">
        <v>40</v>
      </c>
      <c r="E769" s="383"/>
      <c r="F769" s="380">
        <v>3000007943</v>
      </c>
      <c r="G769" s="189"/>
      <c r="H769" s="26"/>
      <c r="I769" s="195"/>
      <c r="J769" s="185"/>
      <c r="K769" s="185"/>
      <c r="L769" s="185"/>
      <c r="M769" s="185"/>
      <c r="N769" s="185"/>
      <c r="O769" s="7"/>
      <c r="P769" s="7"/>
      <c r="Q769" s="7"/>
      <c r="R769" s="7"/>
      <c r="S769" s="14">
        <f>SUM(G769,H769,I769,J769,K769,L769,M769,N769,O769,P769,Q769,R769)</f>
        <v>0</v>
      </c>
      <c r="T769" s="179"/>
      <c r="U769" s="189"/>
      <c r="V769" s="26"/>
      <c r="W769" s="195"/>
      <c r="X769" s="185"/>
      <c r="Y769" s="185"/>
      <c r="Z769" s="185"/>
      <c r="AA769" s="185"/>
      <c r="AB769" s="185"/>
      <c r="AC769" s="7"/>
      <c r="AD769" s="7"/>
      <c r="AE769" s="7"/>
      <c r="AF769" s="7"/>
      <c r="AG769" s="759">
        <f>SUM(U769,V769,W769,X769,Y769,Z769,AA769,AB769,AC769,AD769,AE769,AF769)</f>
        <v>0</v>
      </c>
      <c r="AH769" s="788"/>
      <c r="AI769" s="189"/>
      <c r="AJ769" s="824"/>
      <c r="AK769" s="854"/>
      <c r="AL769" s="758">
        <v>0</v>
      </c>
      <c r="AM769" s="758">
        <v>3288590</v>
      </c>
      <c r="AN769" s="758">
        <v>0</v>
      </c>
      <c r="AO769" s="758">
        <v>3863590</v>
      </c>
      <c r="AP769" s="758">
        <v>0</v>
      </c>
      <c r="AQ769" s="518">
        <v>0</v>
      </c>
      <c r="AR769" s="813">
        <v>0</v>
      </c>
      <c r="AS769" s="813">
        <v>5950000</v>
      </c>
      <c r="AT769" s="813">
        <v>0</v>
      </c>
      <c r="AU769" s="518">
        <f t="shared" ref="AU769:AW770" si="455">BI769</f>
        <v>0</v>
      </c>
      <c r="AV769" s="518">
        <f t="shared" si="455"/>
        <v>3000000</v>
      </c>
      <c r="AW769" s="518">
        <f t="shared" si="455"/>
        <v>0</v>
      </c>
      <c r="AX769" s="518">
        <f t="shared" si="453"/>
        <v>13102180</v>
      </c>
      <c r="AY769" s="788"/>
      <c r="AZ769" s="189"/>
      <c r="BA769" s="824"/>
      <c r="BB769" s="854"/>
      <c r="BC769" s="758">
        <v>0</v>
      </c>
      <c r="BD769" s="758">
        <v>3288590</v>
      </c>
      <c r="BE769" s="758">
        <v>0</v>
      </c>
      <c r="BF769" s="758">
        <v>3863590</v>
      </c>
      <c r="BG769" s="518">
        <f>AP769</f>
        <v>0</v>
      </c>
      <c r="BH769" s="758">
        <v>3000000</v>
      </c>
      <c r="BI769" s="758">
        <v>0</v>
      </c>
      <c r="BJ769" s="758">
        <v>3000000</v>
      </c>
      <c r="BK769" s="758">
        <v>0</v>
      </c>
      <c r="BL769" s="759">
        <f>SUM(AZ769,BA769,BB769,BC769,BD769,BE769,BF769,BG769,BH769,BI769,BJ769,BK769)</f>
        <v>13152180</v>
      </c>
      <c r="BN769" s="758">
        <v>0</v>
      </c>
      <c r="BO769" s="758">
        <v>0</v>
      </c>
      <c r="BP769" s="758">
        <v>0</v>
      </c>
      <c r="BQ769" s="758">
        <v>0</v>
      </c>
      <c r="BR769" s="758">
        <v>0</v>
      </c>
      <c r="BS769" s="758">
        <v>0</v>
      </c>
      <c r="BT769" s="758">
        <v>0</v>
      </c>
      <c r="BU769" s="758">
        <v>0</v>
      </c>
      <c r="BV769" s="758">
        <v>0</v>
      </c>
      <c r="BW769" s="758">
        <v>0</v>
      </c>
      <c r="BX769" s="758">
        <v>0</v>
      </c>
      <c r="BY769" s="758">
        <v>0</v>
      </c>
      <c r="BZ769" s="791">
        <v>0</v>
      </c>
      <c r="CB769" s="758">
        <v>0</v>
      </c>
      <c r="CC769" s="758">
        <v>0</v>
      </c>
      <c r="CD769" s="758">
        <v>0</v>
      </c>
      <c r="CE769" s="758">
        <v>0</v>
      </c>
      <c r="CF769" s="758">
        <v>0</v>
      </c>
      <c r="CG769" s="758">
        <v>0</v>
      </c>
      <c r="CH769" s="758">
        <v>0</v>
      </c>
      <c r="CI769" s="758">
        <v>0</v>
      </c>
      <c r="CJ769" s="758">
        <v>0</v>
      </c>
      <c r="CK769" s="758">
        <v>0</v>
      </c>
      <c r="CL769" s="758">
        <v>0</v>
      </c>
      <c r="CM769" s="758">
        <v>0</v>
      </c>
      <c r="CN769" s="791">
        <v>0</v>
      </c>
      <c r="CP769" s="653">
        <v>0</v>
      </c>
      <c r="CQ769" s="653"/>
      <c r="CR769" s="524"/>
      <c r="CS769" s="653"/>
      <c r="CT769" s="524"/>
      <c r="CU769" s="653"/>
      <c r="CV769" s="524"/>
      <c r="CW769" s="653"/>
      <c r="CX769" s="524"/>
      <c r="CY769" s="653"/>
      <c r="CZ769" s="524"/>
      <c r="DA769" s="653"/>
      <c r="DB769" s="524"/>
      <c r="DC769" s="653">
        <v>0</v>
      </c>
      <c r="DD769" s="524"/>
      <c r="DE769" s="758"/>
      <c r="DF769" s="524"/>
      <c r="DG769" s="757"/>
      <c r="DH769" s="758"/>
      <c r="DI769" s="524"/>
      <c r="DJ769" s="757"/>
      <c r="DK769" s="758"/>
      <c r="DL769" s="524"/>
      <c r="DM769" s="757"/>
      <c r="DN769" s="758"/>
      <c r="DO769" s="524"/>
      <c r="DP769" s="757"/>
      <c r="DQ769" s="493">
        <f t="shared" si="454"/>
        <v>0</v>
      </c>
      <c r="DR769" s="479">
        <f t="shared" ref="DR769:DR781" si="456">SUM(CP769,CQ769,CS769,CU769,CX769,CZ769,DB769,DD769,DG769,DJ769,DM769,DP769)</f>
        <v>0</v>
      </c>
      <c r="DS769" s="1019"/>
      <c r="DT769" s="1019"/>
      <c r="DU769" s="1019"/>
      <c r="DV769" s="1019"/>
      <c r="DW769" s="1019"/>
      <c r="DX769" s="1019"/>
      <c r="DY769" s="1019"/>
      <c r="DZ769" s="1019"/>
      <c r="EA769" s="1019"/>
      <c r="EB769" s="1019"/>
      <c r="EC769" s="1019"/>
      <c r="ED769" s="1019"/>
      <c r="EE769" s="1119">
        <f>SUM(DS769,DT769,DU769,DV769,DW769,DX769,DY769,DZ769,EA769,EB769,EC769,ED769)</f>
        <v>0</v>
      </c>
      <c r="EF769" s="443">
        <f>EE769*1.17</f>
        <v>0</v>
      </c>
      <c r="EG769" s="443">
        <f>EF769*1.08</f>
        <v>0</v>
      </c>
      <c r="EH769" s="443">
        <f>EG769*1.09</f>
        <v>0</v>
      </c>
      <c r="EI769" s="443">
        <f>EH769*1.09</f>
        <v>0</v>
      </c>
      <c r="EJ769" s="367">
        <v>3000007943</v>
      </c>
      <c r="EL769" s="177"/>
      <c r="EM769" s="177"/>
      <c r="EN769" s="177"/>
    </row>
    <row r="770" spans="1:144" outlineLevel="2">
      <c r="A770" s="367" t="s">
        <v>242</v>
      </c>
      <c r="B770" s="378"/>
      <c r="C770" s="370" t="s">
        <v>688</v>
      </c>
      <c r="D770" s="370" t="s">
        <v>40</v>
      </c>
      <c r="E770" s="383" t="s">
        <v>114</v>
      </c>
      <c r="F770" s="380">
        <v>3000019518</v>
      </c>
      <c r="G770" s="189"/>
      <c r="H770" s="13"/>
      <c r="I770" s="185"/>
      <c r="J770" s="185"/>
      <c r="K770" s="185"/>
      <c r="L770" s="185"/>
      <c r="M770" s="185"/>
      <c r="N770" s="185"/>
      <c r="O770" s="7"/>
      <c r="P770" s="7"/>
      <c r="Q770" s="7"/>
      <c r="R770" s="7"/>
      <c r="S770" s="14">
        <f>SUM(G770,H770,I770,J770,K770,L770,M770,N770,O770,P770,Q770,R770)</f>
        <v>0</v>
      </c>
      <c r="T770" s="179"/>
      <c r="U770" s="189"/>
      <c r="V770" s="13"/>
      <c r="W770" s="185"/>
      <c r="X770" s="185"/>
      <c r="Y770" s="185"/>
      <c r="Z770" s="185"/>
      <c r="AA770" s="185"/>
      <c r="AB770" s="185"/>
      <c r="AC770" s="7"/>
      <c r="AD770" s="7"/>
      <c r="AE770" s="7"/>
      <c r="AF770" s="7"/>
      <c r="AG770" s="759">
        <f>SUM(U770,V770,W770,X770,Y770,Z770,AA770,AB770,AC770,AD770,AE770,AF770)</f>
        <v>0</v>
      </c>
      <c r="AH770" s="788"/>
      <c r="AI770" s="189"/>
      <c r="AJ770" s="810"/>
      <c r="AK770" s="758"/>
      <c r="AL770" s="758">
        <v>0</v>
      </c>
      <c r="AM770" s="758"/>
      <c r="AN770" s="758"/>
      <c r="AO770" s="758"/>
      <c r="AP770" s="758">
        <v>62127570</v>
      </c>
      <c r="AQ770" s="518">
        <v>97776610</v>
      </c>
      <c r="AR770" s="813">
        <v>50484620</v>
      </c>
      <c r="AS770" s="813">
        <v>127726610</v>
      </c>
      <c r="AT770" s="813">
        <v>50615390</v>
      </c>
      <c r="AU770" s="518">
        <f t="shared" si="455"/>
        <v>22500000</v>
      </c>
      <c r="AV770" s="518">
        <f t="shared" si="455"/>
        <v>15000000</v>
      </c>
      <c r="AW770" s="518">
        <f t="shared" si="455"/>
        <v>15000000</v>
      </c>
      <c r="AX770" s="518">
        <f t="shared" si="453"/>
        <v>388730800</v>
      </c>
      <c r="AY770" s="788"/>
      <c r="AZ770" s="189"/>
      <c r="BA770" s="810"/>
      <c r="BB770" s="758"/>
      <c r="BC770" s="758">
        <v>0</v>
      </c>
      <c r="BD770" s="758"/>
      <c r="BE770" s="758"/>
      <c r="BF770" s="758"/>
      <c r="BG770" s="518">
        <f>AP770</f>
        <v>62127570</v>
      </c>
      <c r="BH770" s="758">
        <v>22500000</v>
      </c>
      <c r="BI770" s="758">
        <v>22500000</v>
      </c>
      <c r="BJ770" s="758">
        <v>15000000</v>
      </c>
      <c r="BK770" s="758">
        <v>15000000</v>
      </c>
      <c r="BL770" s="759">
        <f>SUM(AZ770,BA770,BB770,BC770,BD770,BE770,BF770,BG770,BH770,BI770,BJ770,BK770)</f>
        <v>137127570</v>
      </c>
      <c r="BN770" s="758">
        <v>39500000</v>
      </c>
      <c r="BO770" s="758">
        <v>54500000</v>
      </c>
      <c r="BP770" s="758">
        <v>54500000</v>
      </c>
      <c r="BQ770" s="758">
        <v>54500000</v>
      </c>
      <c r="BR770" s="758">
        <v>39500000</v>
      </c>
      <c r="BS770" s="758">
        <v>39500000</v>
      </c>
      <c r="BT770" s="758">
        <v>40500000</v>
      </c>
      <c r="BU770" s="758">
        <v>28172853</v>
      </c>
      <c r="BV770" s="758">
        <v>54500000</v>
      </c>
      <c r="BW770" s="758">
        <v>46500000</v>
      </c>
      <c r="BX770" s="758">
        <v>54500000</v>
      </c>
      <c r="BY770" s="758">
        <v>47000000</v>
      </c>
      <c r="BZ770" s="791">
        <v>553172853</v>
      </c>
      <c r="CB770" s="758">
        <v>39500000</v>
      </c>
      <c r="CC770" s="758">
        <v>54500000</v>
      </c>
      <c r="CD770" s="758">
        <v>54500000</v>
      </c>
      <c r="CE770" s="758">
        <v>54500000</v>
      </c>
      <c r="CF770" s="758">
        <v>39500000</v>
      </c>
      <c r="CG770" s="758">
        <v>39500000</v>
      </c>
      <c r="CH770" s="758">
        <v>40500000</v>
      </c>
      <c r="CI770" s="758">
        <v>28172853</v>
      </c>
      <c r="CJ770" s="758">
        <v>54500000</v>
      </c>
      <c r="CK770" s="758">
        <v>46500000</v>
      </c>
      <c r="CL770" s="758">
        <v>54500000</v>
      </c>
      <c r="CM770" s="758">
        <v>47000000</v>
      </c>
      <c r="CN770" s="791">
        <v>553172853</v>
      </c>
      <c r="CP770" s="653">
        <v>72483820</v>
      </c>
      <c r="CQ770" s="653">
        <v>82869560</v>
      </c>
      <c r="CR770" s="524">
        <v>74920000</v>
      </c>
      <c r="CS770" s="653">
        <v>49290550</v>
      </c>
      <c r="CT770" s="524">
        <v>74000000</v>
      </c>
      <c r="CU770" s="653">
        <v>112999690</v>
      </c>
      <c r="CV770" s="524">
        <v>74000000</v>
      </c>
      <c r="CW770" s="653">
        <v>83063630</v>
      </c>
      <c r="CX770" s="524">
        <v>45000000</v>
      </c>
      <c r="CY770" s="653">
        <v>71504010</v>
      </c>
      <c r="CZ770" s="524">
        <v>80000000</v>
      </c>
      <c r="DA770" s="653">
        <v>104568920</v>
      </c>
      <c r="DB770" s="524">
        <v>80000000</v>
      </c>
      <c r="DC770" s="653">
        <v>145387510</v>
      </c>
      <c r="DD770" s="524">
        <v>80000000</v>
      </c>
      <c r="DE770" s="758"/>
      <c r="DF770" s="524">
        <v>80000000</v>
      </c>
      <c r="DG770" s="757">
        <v>80000000</v>
      </c>
      <c r="DH770" s="758"/>
      <c r="DI770" s="524">
        <v>80000000</v>
      </c>
      <c r="DJ770" s="757">
        <v>80000000</v>
      </c>
      <c r="DK770" s="758"/>
      <c r="DL770" s="524">
        <v>80000000</v>
      </c>
      <c r="DM770" s="757">
        <v>80000000</v>
      </c>
      <c r="DN770" s="758"/>
      <c r="DO770" s="524">
        <v>80000000</v>
      </c>
      <c r="DP770" s="757">
        <v>80000000</v>
      </c>
      <c r="DQ770" s="493">
        <f t="shared" si="454"/>
        <v>1042167690</v>
      </c>
      <c r="DR770" s="479">
        <f t="shared" si="456"/>
        <v>922643620</v>
      </c>
      <c r="DS770" s="1168"/>
      <c r="DT770" s="1169">
        <v>200000000</v>
      </c>
      <c r="DU770" s="1169">
        <v>200000000</v>
      </c>
      <c r="DV770" s="1169">
        <v>200000000</v>
      </c>
      <c r="DW770" s="1169">
        <v>200000000</v>
      </c>
      <c r="DX770" s="1169">
        <v>200000000</v>
      </c>
      <c r="DY770" s="1169">
        <v>200000000</v>
      </c>
      <c r="DZ770" s="1169">
        <v>200000000</v>
      </c>
      <c r="EA770" s="1169">
        <v>200000000</v>
      </c>
      <c r="EB770" s="1169">
        <v>200000000</v>
      </c>
      <c r="EC770" s="1169">
        <v>200000000</v>
      </c>
      <c r="ED770" s="1169">
        <v>200000000</v>
      </c>
      <c r="EE770" s="1119">
        <f t="shared" ref="EE770:EE795" si="457">SUM(DS770,DT770,DU770,DV770,DW770,DX770,DY770,DZ770,EA770,EB770,EC770,ED770)</f>
        <v>2200000000</v>
      </c>
      <c r="EF770" s="1087">
        <v>777000000</v>
      </c>
      <c r="EG770" s="1087">
        <v>839160000</v>
      </c>
      <c r="EH770" s="1087">
        <v>915000000</v>
      </c>
      <c r="EI770" s="1087">
        <v>915000000</v>
      </c>
      <c r="EJ770" s="367">
        <v>3000019518</v>
      </c>
      <c r="EL770" s="177"/>
      <c r="EM770" s="177"/>
      <c r="EN770" s="177"/>
    </row>
    <row r="771" spans="1:144" outlineLevel="2">
      <c r="A771" s="367" t="s">
        <v>242</v>
      </c>
      <c r="B771" s="378"/>
      <c r="C771" s="370" t="s">
        <v>688</v>
      </c>
      <c r="D771" s="370" t="s">
        <v>40</v>
      </c>
      <c r="E771" s="383" t="s">
        <v>726</v>
      </c>
      <c r="F771" s="380">
        <v>3000002009</v>
      </c>
      <c r="G771" s="189"/>
      <c r="H771" s="13"/>
      <c r="I771" s="185"/>
      <c r="J771" s="185"/>
      <c r="K771" s="185"/>
      <c r="L771" s="185"/>
      <c r="M771" s="185"/>
      <c r="N771" s="185"/>
      <c r="O771" s="185"/>
      <c r="P771" s="185"/>
      <c r="Q771" s="185"/>
      <c r="R771" s="185"/>
      <c r="S771" s="14"/>
      <c r="T771" s="179"/>
      <c r="U771" s="189"/>
      <c r="V771" s="13"/>
      <c r="W771" s="185"/>
      <c r="X771" s="185"/>
      <c r="Y771" s="185"/>
      <c r="Z771" s="185"/>
      <c r="AA771" s="185"/>
      <c r="AB771" s="185"/>
      <c r="AC771" s="185"/>
      <c r="AD771" s="185"/>
      <c r="AE771" s="185"/>
      <c r="AF771" s="185"/>
      <c r="AG771" s="759"/>
      <c r="AH771" s="788"/>
      <c r="AI771" s="189"/>
      <c r="AJ771" s="810"/>
      <c r="AK771" s="758"/>
      <c r="AL771" s="758"/>
      <c r="AM771" s="758"/>
      <c r="AN771" s="758"/>
      <c r="AO771" s="758"/>
      <c r="AP771" s="758"/>
      <c r="AQ771" s="518">
        <v>1100000</v>
      </c>
      <c r="AR771" s="518"/>
      <c r="AS771" s="518"/>
      <c r="AT771" s="518"/>
      <c r="AU771" s="758"/>
      <c r="AV771" s="758"/>
      <c r="AW771" s="758"/>
      <c r="AX771" s="518">
        <f t="shared" si="453"/>
        <v>1100000</v>
      </c>
      <c r="AY771" s="788"/>
      <c r="AZ771" s="189"/>
      <c r="BA771" s="810"/>
      <c r="BB771" s="758"/>
      <c r="BC771" s="758"/>
      <c r="BD771" s="758"/>
      <c r="BE771" s="758"/>
      <c r="BF771" s="758"/>
      <c r="BG771" s="758"/>
      <c r="BH771" s="758"/>
      <c r="BI771" s="758"/>
      <c r="BJ771" s="758"/>
      <c r="BK771" s="758"/>
      <c r="BL771" s="759">
        <f>SUM(AZ771,BA771,BB771,BC771,BD771,BE771,BF771,BG771,BH771,BI771,BJ771,BK771)</f>
        <v>0</v>
      </c>
      <c r="BN771" s="758">
        <v>0</v>
      </c>
      <c r="BO771" s="758">
        <v>0</v>
      </c>
      <c r="BP771" s="758">
        <v>0</v>
      </c>
      <c r="BQ771" s="758">
        <v>0</v>
      </c>
      <c r="BR771" s="758">
        <v>0</v>
      </c>
      <c r="BS771" s="758">
        <v>0</v>
      </c>
      <c r="BT771" s="758">
        <v>0</v>
      </c>
      <c r="BU771" s="758">
        <v>0</v>
      </c>
      <c r="BV771" s="758">
        <v>0</v>
      </c>
      <c r="BW771" s="758">
        <v>0</v>
      </c>
      <c r="BX771" s="758">
        <v>0</v>
      </c>
      <c r="BY771" s="758">
        <v>0</v>
      </c>
      <c r="BZ771" s="791">
        <v>0</v>
      </c>
      <c r="CB771" s="758">
        <v>0</v>
      </c>
      <c r="CC771" s="758">
        <v>0</v>
      </c>
      <c r="CD771" s="758">
        <v>0</v>
      </c>
      <c r="CE771" s="758">
        <v>0</v>
      </c>
      <c r="CF771" s="758">
        <v>0</v>
      </c>
      <c r="CG771" s="758">
        <v>0</v>
      </c>
      <c r="CH771" s="758">
        <v>0</v>
      </c>
      <c r="CI771" s="758">
        <v>0</v>
      </c>
      <c r="CJ771" s="758">
        <v>0</v>
      </c>
      <c r="CK771" s="758">
        <v>0</v>
      </c>
      <c r="CL771" s="758">
        <v>0</v>
      </c>
      <c r="CM771" s="758">
        <v>0</v>
      </c>
      <c r="CN771" s="791">
        <v>0</v>
      </c>
      <c r="CP771" s="653">
        <v>0</v>
      </c>
      <c r="CQ771" s="653"/>
      <c r="CR771" s="524"/>
      <c r="CS771" s="653">
        <v>1100000</v>
      </c>
      <c r="CT771" s="524"/>
      <c r="CU771" s="653"/>
      <c r="CV771" s="524"/>
      <c r="CW771" s="653"/>
      <c r="CX771" s="524"/>
      <c r="CY771" s="653"/>
      <c r="CZ771" s="524"/>
      <c r="DA771" s="653"/>
      <c r="DB771" s="524"/>
      <c r="DC771" s="653">
        <v>1100000</v>
      </c>
      <c r="DD771" s="524"/>
      <c r="DE771" s="758"/>
      <c r="DF771" s="524"/>
      <c r="DG771" s="757"/>
      <c r="DH771" s="758"/>
      <c r="DI771" s="524"/>
      <c r="DJ771" s="757"/>
      <c r="DK771" s="758"/>
      <c r="DL771" s="524"/>
      <c r="DM771" s="757"/>
      <c r="DN771" s="758"/>
      <c r="DO771" s="524"/>
      <c r="DP771" s="757"/>
      <c r="DQ771" s="493">
        <f t="shared" si="454"/>
        <v>2200000</v>
      </c>
      <c r="DR771" s="479">
        <f t="shared" si="456"/>
        <v>1100000</v>
      </c>
      <c r="DS771" s="1168" t="s">
        <v>671</v>
      </c>
      <c r="DT771" s="1169" t="s">
        <v>670</v>
      </c>
      <c r="DU771" s="1169">
        <v>1100000</v>
      </c>
      <c r="DV771" s="1169" t="s">
        <v>670</v>
      </c>
      <c r="DW771" s="1169" t="s">
        <v>670</v>
      </c>
      <c r="DX771" s="1169" t="s">
        <v>670</v>
      </c>
      <c r="DY771" s="1169" t="s">
        <v>670</v>
      </c>
      <c r="DZ771" s="1169">
        <v>1100000</v>
      </c>
      <c r="EA771" s="1169" t="s">
        <v>670</v>
      </c>
      <c r="EB771" s="1169" t="s">
        <v>670</v>
      </c>
      <c r="EC771" s="1169" t="s">
        <v>670</v>
      </c>
      <c r="ED771" s="1169" t="s">
        <v>670</v>
      </c>
      <c r="EE771" s="1119">
        <f t="shared" si="457"/>
        <v>2200000</v>
      </c>
      <c r="EF771" s="1087">
        <v>2574000</v>
      </c>
      <c r="EG771" s="1087">
        <v>2779920</v>
      </c>
      <c r="EH771" s="1087">
        <v>3030113</v>
      </c>
      <c r="EI771" s="1087">
        <v>3302823</v>
      </c>
      <c r="EJ771" s="367">
        <v>3000002009</v>
      </c>
      <c r="EL771" s="177"/>
      <c r="EM771" s="177"/>
      <c r="EN771" s="177"/>
    </row>
    <row r="772" spans="1:144" outlineLevel="2">
      <c r="A772" s="367" t="s">
        <v>242</v>
      </c>
      <c r="B772" s="378"/>
      <c r="C772" s="370" t="s">
        <v>688</v>
      </c>
      <c r="D772" s="370" t="s">
        <v>40</v>
      </c>
      <c r="E772" s="383" t="s">
        <v>928</v>
      </c>
      <c r="F772" s="380">
        <v>3000017794</v>
      </c>
      <c r="G772" s="189"/>
      <c r="H772" s="13"/>
      <c r="I772" s="185"/>
      <c r="J772" s="185"/>
      <c r="K772" s="185"/>
      <c r="L772" s="185"/>
      <c r="M772" s="185"/>
      <c r="N772" s="185"/>
      <c r="O772" s="7"/>
      <c r="P772" s="7"/>
      <c r="Q772" s="7"/>
      <c r="R772" s="7"/>
      <c r="S772" s="14">
        <f>SUM(G772,H772,I772,J772,K772,L772,M772,N772,O772,P772,Q772,R772)</f>
        <v>0</v>
      </c>
      <c r="T772" s="179"/>
      <c r="U772" s="189"/>
      <c r="V772" s="13"/>
      <c r="W772" s="185"/>
      <c r="X772" s="185"/>
      <c r="Y772" s="185"/>
      <c r="Z772" s="185"/>
      <c r="AA772" s="185"/>
      <c r="AB772" s="185"/>
      <c r="AC772" s="7"/>
      <c r="AD772" s="7"/>
      <c r="AE772" s="7"/>
      <c r="AF772" s="7"/>
      <c r="AG772" s="759">
        <f>SUM(U772,V772,W772,X772,Y772,Z772,AA772,AB772,AC772,AD772,AE772,AF772)</f>
        <v>0</v>
      </c>
      <c r="AH772" s="788"/>
      <c r="AI772" s="189"/>
      <c r="AJ772" s="810"/>
      <c r="AK772" s="758"/>
      <c r="AL772" s="758">
        <v>0</v>
      </c>
      <c r="AM772" s="758">
        <v>0</v>
      </c>
      <c r="AN772" s="758">
        <v>0</v>
      </c>
      <c r="AO772" s="758">
        <v>0</v>
      </c>
      <c r="AP772" s="758">
        <v>1100000</v>
      </c>
      <c r="AQ772" s="518">
        <v>0</v>
      </c>
      <c r="AR772" s="518"/>
      <c r="AS772" s="518"/>
      <c r="AT772" s="518"/>
      <c r="AU772" s="518">
        <f>BI772</f>
        <v>0</v>
      </c>
      <c r="AV772" s="518">
        <f>BJ772</f>
        <v>0</v>
      </c>
      <c r="AW772" s="518">
        <f>BK772</f>
        <v>0</v>
      </c>
      <c r="AX772" s="518">
        <f t="shared" si="453"/>
        <v>1100000</v>
      </c>
      <c r="AY772" s="788"/>
      <c r="AZ772" s="189"/>
      <c r="BA772" s="810"/>
      <c r="BB772" s="758"/>
      <c r="BC772" s="758">
        <v>0</v>
      </c>
      <c r="BD772" s="758">
        <v>0</v>
      </c>
      <c r="BE772" s="758">
        <v>0</v>
      </c>
      <c r="BF772" s="758">
        <v>0</v>
      </c>
      <c r="BG772" s="518">
        <f>AP772</f>
        <v>1100000</v>
      </c>
      <c r="BH772" s="758">
        <v>0</v>
      </c>
      <c r="BI772" s="758">
        <v>0</v>
      </c>
      <c r="BJ772" s="758">
        <v>0</v>
      </c>
      <c r="BK772" s="758">
        <v>0</v>
      </c>
      <c r="BL772" s="759">
        <f>SUM(AZ772,BA772,BB772,BC772,BD772,BE772,BF772,BG772,BH772,BI772,BJ772,BK772)</f>
        <v>1100000</v>
      </c>
      <c r="BN772" s="758">
        <v>0</v>
      </c>
      <c r="BO772" s="758">
        <v>0</v>
      </c>
      <c r="BP772" s="758">
        <v>0</v>
      </c>
      <c r="BQ772" s="758">
        <v>0</v>
      </c>
      <c r="BR772" s="758">
        <v>0</v>
      </c>
      <c r="BS772" s="758">
        <v>0</v>
      </c>
      <c r="BT772" s="758">
        <v>0</v>
      </c>
      <c r="BU772" s="758">
        <v>0</v>
      </c>
      <c r="BV772" s="758">
        <v>0</v>
      </c>
      <c r="BW772" s="758">
        <v>0</v>
      </c>
      <c r="BX772" s="758">
        <v>0</v>
      </c>
      <c r="BY772" s="758">
        <v>0</v>
      </c>
      <c r="BZ772" s="791">
        <v>0</v>
      </c>
      <c r="CB772" s="758">
        <v>0</v>
      </c>
      <c r="CC772" s="758">
        <v>0</v>
      </c>
      <c r="CD772" s="758">
        <v>0</v>
      </c>
      <c r="CE772" s="758">
        <v>0</v>
      </c>
      <c r="CF772" s="758">
        <v>0</v>
      </c>
      <c r="CG772" s="758">
        <v>0</v>
      </c>
      <c r="CH772" s="758">
        <v>0</v>
      </c>
      <c r="CI772" s="758">
        <v>0</v>
      </c>
      <c r="CJ772" s="758">
        <v>0</v>
      </c>
      <c r="CK772" s="758">
        <v>0</v>
      </c>
      <c r="CL772" s="758">
        <v>0</v>
      </c>
      <c r="CM772" s="758">
        <v>0</v>
      </c>
      <c r="CN772" s="791">
        <v>0</v>
      </c>
      <c r="CP772" s="653">
        <v>0</v>
      </c>
      <c r="CQ772" s="653"/>
      <c r="CR772" s="524"/>
      <c r="CS772" s="653"/>
      <c r="CT772" s="524"/>
      <c r="CU772" s="653"/>
      <c r="CV772" s="524"/>
      <c r="CW772" s="653"/>
      <c r="CX772" s="524"/>
      <c r="CY772" s="653"/>
      <c r="CZ772" s="524"/>
      <c r="DA772" s="653"/>
      <c r="DB772" s="524"/>
      <c r="DC772" s="653">
        <v>0</v>
      </c>
      <c r="DD772" s="524"/>
      <c r="DE772" s="758"/>
      <c r="DF772" s="524"/>
      <c r="DG772" s="757"/>
      <c r="DH772" s="758"/>
      <c r="DI772" s="524"/>
      <c r="DJ772" s="757"/>
      <c r="DK772" s="758"/>
      <c r="DL772" s="524"/>
      <c r="DM772" s="757"/>
      <c r="DN772" s="758"/>
      <c r="DO772" s="524"/>
      <c r="DP772" s="757"/>
      <c r="DQ772" s="493">
        <f t="shared" si="454"/>
        <v>0</v>
      </c>
      <c r="DR772" s="479">
        <f t="shared" si="456"/>
        <v>0</v>
      </c>
      <c r="DS772" s="1019"/>
      <c r="DT772" s="1019"/>
      <c r="DU772" s="1019"/>
      <c r="DV772" s="1019"/>
      <c r="DW772" s="1019"/>
      <c r="DX772" s="1019"/>
      <c r="DY772" s="1019"/>
      <c r="DZ772" s="1019"/>
      <c r="EA772" s="1019"/>
      <c r="EB772" s="1019"/>
      <c r="EC772" s="1019"/>
      <c r="ED772" s="1019"/>
      <c r="EE772" s="1119">
        <f t="shared" si="457"/>
        <v>0</v>
      </c>
      <c r="EF772" s="443">
        <f>EE772*1.17</f>
        <v>0</v>
      </c>
      <c r="EG772" s="443">
        <f>EF772*1.08</f>
        <v>0</v>
      </c>
      <c r="EH772" s="443">
        <f>EG772*1.09</f>
        <v>0</v>
      </c>
      <c r="EI772" s="443">
        <f>EH772*1.09</f>
        <v>0</v>
      </c>
      <c r="EJ772" s="367">
        <v>3000017794</v>
      </c>
      <c r="EL772" s="177"/>
      <c r="EM772" s="177"/>
      <c r="EN772" s="177"/>
    </row>
    <row r="773" spans="1:144" outlineLevel="2">
      <c r="A773" s="367" t="s">
        <v>242</v>
      </c>
      <c r="B773" s="378"/>
      <c r="C773" s="370" t="s">
        <v>688</v>
      </c>
      <c r="E773" s="383"/>
      <c r="F773" s="380"/>
      <c r="G773" s="6"/>
      <c r="H773" s="26"/>
      <c r="J773" s="6"/>
      <c r="K773" s="6"/>
      <c r="L773" s="6"/>
      <c r="M773" s="6"/>
      <c r="N773" s="6"/>
      <c r="O773" s="6"/>
      <c r="P773" s="6"/>
      <c r="Q773" s="6"/>
      <c r="R773" s="6"/>
      <c r="S773" s="14"/>
      <c r="T773" s="15"/>
      <c r="U773" s="6"/>
      <c r="V773" s="26"/>
      <c r="X773" s="6"/>
      <c r="Y773" s="6"/>
      <c r="Z773" s="6"/>
      <c r="AA773" s="6"/>
      <c r="AB773" s="6"/>
      <c r="AC773" s="6"/>
      <c r="AD773" s="6"/>
      <c r="AE773" s="6"/>
      <c r="AF773" s="6"/>
      <c r="AG773" s="759"/>
      <c r="AH773" s="811"/>
      <c r="AI773" s="6"/>
      <c r="AJ773" s="824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518">
        <f t="shared" si="453"/>
        <v>0</v>
      </c>
      <c r="AY773" s="811"/>
      <c r="AZ773" s="6"/>
      <c r="BA773" s="824"/>
      <c r="BC773" s="6"/>
      <c r="BD773" s="6"/>
      <c r="BE773" s="6"/>
      <c r="BF773" s="6"/>
      <c r="BG773" s="6"/>
      <c r="BH773" s="6"/>
      <c r="BI773" s="6"/>
      <c r="BJ773" s="6"/>
      <c r="BK773" s="6"/>
      <c r="BL773" s="759"/>
      <c r="BN773" s="758"/>
      <c r="BO773" s="758"/>
      <c r="BP773" s="758"/>
      <c r="BQ773" s="758"/>
      <c r="BR773" s="758"/>
      <c r="BS773" s="758"/>
      <c r="BT773" s="758"/>
      <c r="BU773" s="758"/>
      <c r="BV773" s="758"/>
      <c r="BW773" s="758"/>
      <c r="BX773" s="758"/>
      <c r="BY773" s="758"/>
      <c r="BZ773" s="791">
        <v>0</v>
      </c>
      <c r="CB773" s="758"/>
      <c r="CC773" s="758"/>
      <c r="CD773" s="758"/>
      <c r="CE773" s="758"/>
      <c r="CF773" s="758"/>
      <c r="CG773" s="758"/>
      <c r="CH773" s="758"/>
      <c r="CI773" s="758"/>
      <c r="CJ773" s="758"/>
      <c r="CK773" s="758"/>
      <c r="CL773" s="758"/>
      <c r="CM773" s="758"/>
      <c r="CN773" s="791">
        <v>0</v>
      </c>
      <c r="CP773" s="653">
        <v>0</v>
      </c>
      <c r="CQ773" s="653"/>
      <c r="CR773" s="524"/>
      <c r="CS773" s="653"/>
      <c r="CT773" s="524"/>
      <c r="CU773" s="653"/>
      <c r="CV773" s="524"/>
      <c r="CW773" s="653"/>
      <c r="CX773" s="524"/>
      <c r="CY773" s="653"/>
      <c r="CZ773" s="524"/>
      <c r="DA773" s="653"/>
      <c r="DB773" s="524"/>
      <c r="DC773" s="653">
        <v>0</v>
      </c>
      <c r="DD773" s="524"/>
      <c r="DE773" s="758"/>
      <c r="DF773" s="524"/>
      <c r="DG773" s="757"/>
      <c r="DH773" s="758"/>
      <c r="DI773" s="524"/>
      <c r="DJ773" s="757"/>
      <c r="DK773" s="758"/>
      <c r="DL773" s="524"/>
      <c r="DM773" s="757"/>
      <c r="DN773" s="758"/>
      <c r="DO773" s="524"/>
      <c r="DP773" s="757"/>
      <c r="DQ773" s="493">
        <f t="shared" si="454"/>
        <v>0</v>
      </c>
      <c r="DR773" s="479">
        <f t="shared" si="456"/>
        <v>0</v>
      </c>
      <c r="DS773" s="1019"/>
      <c r="DT773" s="1019"/>
      <c r="DU773" s="1019"/>
      <c r="DV773" s="1019"/>
      <c r="DW773" s="1019"/>
      <c r="DX773" s="1019"/>
      <c r="DY773" s="1019"/>
      <c r="DZ773" s="1019"/>
      <c r="EA773" s="1019"/>
      <c r="EB773" s="1019"/>
      <c r="EC773" s="1019"/>
      <c r="ED773" s="1019"/>
      <c r="EE773" s="1119">
        <f t="shared" si="457"/>
        <v>0</v>
      </c>
      <c r="EF773" s="443">
        <v>200000000</v>
      </c>
      <c r="EG773" s="443">
        <v>800000000</v>
      </c>
      <c r="EH773" s="443">
        <f>EG773*1.5</f>
        <v>1200000000</v>
      </c>
      <c r="EI773" s="443">
        <f>EH773*1.5</f>
        <v>1800000000</v>
      </c>
      <c r="EL773" s="177"/>
      <c r="EM773" s="177"/>
      <c r="EN773" s="177"/>
    </row>
    <row r="774" spans="1:144" outlineLevel="2">
      <c r="A774" s="367" t="s">
        <v>242</v>
      </c>
      <c r="B774" s="378"/>
      <c r="C774" s="370" t="s">
        <v>688</v>
      </c>
      <c r="D774" s="370" t="s">
        <v>40</v>
      </c>
      <c r="E774" s="383"/>
      <c r="F774" s="380">
        <v>3000011390</v>
      </c>
      <c r="G774" s="189"/>
      <c r="H774" s="30"/>
      <c r="I774" s="27"/>
      <c r="J774" s="185"/>
      <c r="K774" s="185"/>
      <c r="L774" s="185"/>
      <c r="M774" s="185"/>
      <c r="N774" s="185"/>
      <c r="O774" s="7"/>
      <c r="P774" s="7"/>
      <c r="Q774" s="7"/>
      <c r="R774" s="7"/>
      <c r="S774" s="14">
        <f>SUM(G774,H774,I774,J774,K774,L774,M774,N774,O774,P774,Q774,R774)</f>
        <v>0</v>
      </c>
      <c r="T774" s="179"/>
      <c r="U774" s="189"/>
      <c r="V774" s="30"/>
      <c r="W774" s="27"/>
      <c r="X774" s="185"/>
      <c r="Y774" s="185"/>
      <c r="Z774" s="185"/>
      <c r="AA774" s="185"/>
      <c r="AB774" s="185"/>
      <c r="AC774" s="7"/>
      <c r="AD774" s="7"/>
      <c r="AE774" s="7"/>
      <c r="AF774" s="7"/>
      <c r="AG774" s="759">
        <f>SUM(U774,V774,W774,X774,Y774,Z774,AA774,AB774,AC774,AD774,AE774,AF774)</f>
        <v>0</v>
      </c>
      <c r="AH774" s="788"/>
      <c r="AI774" s="189"/>
      <c r="AJ774" s="859">
        <v>8018270</v>
      </c>
      <c r="AK774" s="858">
        <v>38995360</v>
      </c>
      <c r="AL774" s="758">
        <v>19138950</v>
      </c>
      <c r="AM774" s="758">
        <v>2318590</v>
      </c>
      <c r="AN774" s="758">
        <v>0</v>
      </c>
      <c r="AO774" s="758">
        <v>33172440</v>
      </c>
      <c r="AP774" s="758">
        <v>15655130</v>
      </c>
      <c r="AQ774" s="518">
        <v>22217630</v>
      </c>
      <c r="AR774" s="813">
        <v>23634630</v>
      </c>
      <c r="AS774" s="813">
        <v>13968590</v>
      </c>
      <c r="AT774" s="813">
        <v>23800000</v>
      </c>
      <c r="AU774" s="518">
        <f t="shared" ref="AU774:AW776" si="458">BI774</f>
        <v>15000000</v>
      </c>
      <c r="AV774" s="518">
        <f t="shared" si="458"/>
        <v>15000000</v>
      </c>
      <c r="AW774" s="518">
        <f t="shared" si="458"/>
        <v>15000000</v>
      </c>
      <c r="AX774" s="518">
        <f t="shared" si="453"/>
        <v>200919590</v>
      </c>
      <c r="AY774" s="788"/>
      <c r="AZ774" s="189"/>
      <c r="BA774" s="859">
        <v>8018270</v>
      </c>
      <c r="BB774" s="858">
        <v>38995360</v>
      </c>
      <c r="BC774" s="758">
        <v>19138950</v>
      </c>
      <c r="BD774" s="758">
        <v>2318590</v>
      </c>
      <c r="BE774" s="758">
        <v>0</v>
      </c>
      <c r="BF774" s="758">
        <v>33172440</v>
      </c>
      <c r="BG774" s="518">
        <f>AP774</f>
        <v>15655130</v>
      </c>
      <c r="BH774" s="758">
        <v>15000000</v>
      </c>
      <c r="BI774" s="758">
        <v>15000000</v>
      </c>
      <c r="BJ774" s="758">
        <v>15000000</v>
      </c>
      <c r="BK774" s="758">
        <v>15000000</v>
      </c>
      <c r="BL774" s="759">
        <f>SUM(AZ774,BA774,BB774,BC774,BD774,BE774,BF774,BG774,BH774,BI774,BJ774,BK774)</f>
        <v>177298740</v>
      </c>
      <c r="BN774" s="758">
        <v>17000000</v>
      </c>
      <c r="BO774" s="758">
        <v>17000000</v>
      </c>
      <c r="BP774" s="758">
        <v>17000000</v>
      </c>
      <c r="BQ774" s="758">
        <v>22000000</v>
      </c>
      <c r="BR774" s="758">
        <v>12000000</v>
      </c>
      <c r="BS774" s="758">
        <v>17000000</v>
      </c>
      <c r="BT774" s="758">
        <v>17000000</v>
      </c>
      <c r="BU774" s="758">
        <v>17000000</v>
      </c>
      <c r="BV774" s="758">
        <v>17000000</v>
      </c>
      <c r="BW774" s="758">
        <v>17000000</v>
      </c>
      <c r="BX774" s="758">
        <v>20000000</v>
      </c>
      <c r="BY774" s="758">
        <v>12000000</v>
      </c>
      <c r="BZ774" s="791">
        <v>202000000</v>
      </c>
      <c r="CB774" s="758">
        <v>17000000</v>
      </c>
      <c r="CC774" s="758">
        <v>17000000</v>
      </c>
      <c r="CD774" s="758">
        <v>17000000</v>
      </c>
      <c r="CE774" s="758">
        <v>22000000</v>
      </c>
      <c r="CF774" s="758">
        <v>12000000</v>
      </c>
      <c r="CG774" s="758">
        <v>17000000</v>
      </c>
      <c r="CH774" s="758">
        <v>17000000</v>
      </c>
      <c r="CI774" s="758">
        <v>17000000</v>
      </c>
      <c r="CJ774" s="758">
        <v>17000000</v>
      </c>
      <c r="CK774" s="758">
        <v>17000000</v>
      </c>
      <c r="CL774" s="758">
        <v>20000000</v>
      </c>
      <c r="CM774" s="758">
        <v>12000000</v>
      </c>
      <c r="CN774" s="791">
        <v>202000000</v>
      </c>
      <c r="CP774" s="653">
        <v>13400000</v>
      </c>
      <c r="CQ774" s="653">
        <v>9500000</v>
      </c>
      <c r="CR774" s="524">
        <v>14400000</v>
      </c>
      <c r="CS774" s="653">
        <v>22550000</v>
      </c>
      <c r="CT774" s="524">
        <v>14000000</v>
      </c>
      <c r="CU774" s="653"/>
      <c r="CV774" s="524"/>
      <c r="CW774" s="653"/>
      <c r="CX774" s="524" t="s">
        <v>266</v>
      </c>
      <c r="CY774" s="653"/>
      <c r="CZ774" s="524" t="s">
        <v>266</v>
      </c>
      <c r="DA774" s="653"/>
      <c r="DB774" s="524" t="s">
        <v>266</v>
      </c>
      <c r="DC774" s="653">
        <v>0</v>
      </c>
      <c r="DD774" s="524" t="s">
        <v>266</v>
      </c>
      <c r="DE774" s="758"/>
      <c r="DF774" s="524" t="s">
        <v>266</v>
      </c>
      <c r="DG774" s="757" t="s">
        <v>266</v>
      </c>
      <c r="DH774" s="758"/>
      <c r="DI774" s="524" t="s">
        <v>266</v>
      </c>
      <c r="DJ774" s="757" t="s">
        <v>266</v>
      </c>
      <c r="DK774" s="758"/>
      <c r="DL774" s="524" t="s">
        <v>266</v>
      </c>
      <c r="DM774" s="757" t="s">
        <v>266</v>
      </c>
      <c r="DN774" s="758"/>
      <c r="DO774" s="524" t="s">
        <v>266</v>
      </c>
      <c r="DP774" s="757" t="s">
        <v>266</v>
      </c>
      <c r="DQ774" s="493">
        <f t="shared" si="454"/>
        <v>45450000</v>
      </c>
      <c r="DR774" s="479">
        <f t="shared" si="456"/>
        <v>45450000</v>
      </c>
      <c r="DS774" s="1019"/>
      <c r="DT774" s="1019"/>
      <c r="DU774" s="1019"/>
      <c r="DV774" s="1019"/>
      <c r="DW774" s="1019"/>
      <c r="DX774" s="1019"/>
      <c r="DY774" s="1019"/>
      <c r="DZ774" s="1019"/>
      <c r="EA774" s="1019"/>
      <c r="EB774" s="1019"/>
      <c r="EC774" s="1019"/>
      <c r="ED774" s="1019"/>
      <c r="EE774" s="1119">
        <f t="shared" si="457"/>
        <v>0</v>
      </c>
      <c r="EF774" s="443">
        <f>EE774*1.17</f>
        <v>0</v>
      </c>
      <c r="EG774" s="443">
        <f>EF774*1.08</f>
        <v>0</v>
      </c>
      <c r="EH774" s="443">
        <v>334000000</v>
      </c>
      <c r="EI774" s="443">
        <v>334000000</v>
      </c>
      <c r="EJ774" s="367">
        <v>3000011390</v>
      </c>
      <c r="EL774" s="177"/>
      <c r="EM774" s="177"/>
      <c r="EN774" s="177"/>
    </row>
    <row r="775" spans="1:144" outlineLevel="2">
      <c r="A775" s="367" t="s">
        <v>242</v>
      </c>
      <c r="B775" s="378"/>
      <c r="C775" s="370" t="s">
        <v>688</v>
      </c>
      <c r="D775" s="370" t="s">
        <v>40</v>
      </c>
      <c r="E775" s="383"/>
      <c r="F775" s="380">
        <v>3000002495</v>
      </c>
      <c r="G775" s="189"/>
      <c r="H775" s="13"/>
      <c r="I775" s="27"/>
      <c r="J775" s="185"/>
      <c r="K775" s="185"/>
      <c r="L775" s="185"/>
      <c r="M775" s="185"/>
      <c r="N775" s="185"/>
      <c r="O775" s="7"/>
      <c r="P775" s="7"/>
      <c r="Q775" s="7"/>
      <c r="R775" s="7"/>
      <c r="S775" s="14">
        <f>SUM(G775,H775,I775,J775,K775,L775,M775,N775,O775,P775,Q775,R775)</f>
        <v>0</v>
      </c>
      <c r="T775" s="179"/>
      <c r="U775" s="189"/>
      <c r="V775" s="13"/>
      <c r="W775" s="27"/>
      <c r="X775" s="185"/>
      <c r="Y775" s="185"/>
      <c r="Z775" s="185"/>
      <c r="AA775" s="185"/>
      <c r="AB775" s="185"/>
      <c r="AC775" s="7"/>
      <c r="AD775" s="7"/>
      <c r="AE775" s="7"/>
      <c r="AF775" s="7"/>
      <c r="AG775" s="759">
        <f>SUM(U775,V775,W775,X775,Y775,Z775,AA775,AB775,AC775,AD775,AE775,AF775)</f>
        <v>0</v>
      </c>
      <c r="AH775" s="788"/>
      <c r="AI775" s="189"/>
      <c r="AJ775" s="810"/>
      <c r="AK775" s="858">
        <v>50809860</v>
      </c>
      <c r="AL775" s="758">
        <v>0</v>
      </c>
      <c r="AM775" s="758">
        <v>70457700</v>
      </c>
      <c r="AN775" s="758">
        <v>6428180</v>
      </c>
      <c r="AO775" s="758">
        <v>22484790</v>
      </c>
      <c r="AP775" s="758">
        <v>0</v>
      </c>
      <c r="AQ775" s="518">
        <v>0</v>
      </c>
      <c r="AR775" s="518"/>
      <c r="AS775" s="518"/>
      <c r="AT775" s="518"/>
      <c r="AU775" s="518">
        <f t="shared" si="458"/>
        <v>50000000</v>
      </c>
      <c r="AV775" s="518">
        <f t="shared" si="458"/>
        <v>50000000</v>
      </c>
      <c r="AW775" s="518">
        <f t="shared" si="458"/>
        <v>50000000</v>
      </c>
      <c r="AX775" s="518">
        <f t="shared" si="453"/>
        <v>150180530</v>
      </c>
      <c r="AY775" s="788"/>
      <c r="AZ775" s="189"/>
      <c r="BA775" s="810"/>
      <c r="BB775" s="858">
        <v>50809860</v>
      </c>
      <c r="BC775" s="758">
        <v>0</v>
      </c>
      <c r="BD775" s="758">
        <v>70457700</v>
      </c>
      <c r="BE775" s="758">
        <v>6428180</v>
      </c>
      <c r="BF775" s="758">
        <v>22484790</v>
      </c>
      <c r="BG775" s="518">
        <f>AP775</f>
        <v>0</v>
      </c>
      <c r="BH775" s="758">
        <v>20000000</v>
      </c>
      <c r="BI775" s="758">
        <v>50000000</v>
      </c>
      <c r="BJ775" s="758">
        <v>50000000</v>
      </c>
      <c r="BK775" s="758">
        <v>50000000</v>
      </c>
      <c r="BL775" s="759">
        <f>SUM(AZ775,BA775,BB775,BC775,BD775,BE775,BF775,BG775,BH775,BI775,BJ775,BK775)</f>
        <v>320180530</v>
      </c>
      <c r="BN775" s="758">
        <v>32000000</v>
      </c>
      <c r="BO775" s="758">
        <v>32000000</v>
      </c>
      <c r="BP775" s="758">
        <v>32000000</v>
      </c>
      <c r="BQ775" s="758">
        <v>32000000</v>
      </c>
      <c r="BR775" s="758">
        <v>22000000</v>
      </c>
      <c r="BS775" s="758">
        <v>32000000</v>
      </c>
      <c r="BT775" s="758">
        <v>32000000</v>
      </c>
      <c r="BU775" s="758">
        <v>32000000</v>
      </c>
      <c r="BV775" s="758">
        <v>32000000</v>
      </c>
      <c r="BW775" s="758">
        <v>32000000</v>
      </c>
      <c r="BX775" s="758">
        <v>32000000</v>
      </c>
      <c r="BY775" s="758">
        <v>22000000</v>
      </c>
      <c r="BZ775" s="791">
        <v>364000000</v>
      </c>
      <c r="CB775" s="758">
        <v>32000000</v>
      </c>
      <c r="CC775" s="758">
        <v>32000000</v>
      </c>
      <c r="CD775" s="758">
        <v>32000000</v>
      </c>
      <c r="CE775" s="758">
        <v>32000000</v>
      </c>
      <c r="CF775" s="758">
        <v>22000000</v>
      </c>
      <c r="CG775" s="758">
        <v>32000000</v>
      </c>
      <c r="CH775" s="758">
        <v>32000000</v>
      </c>
      <c r="CI775" s="758">
        <v>32000000</v>
      </c>
      <c r="CJ775" s="758">
        <v>32000000</v>
      </c>
      <c r="CK775" s="758">
        <v>32000000</v>
      </c>
      <c r="CL775" s="758">
        <v>32000000</v>
      </c>
      <c r="CM775" s="758">
        <v>22000000</v>
      </c>
      <c r="CN775" s="791">
        <v>364000000</v>
      </c>
      <c r="CP775" s="653">
        <v>0</v>
      </c>
      <c r="CQ775" s="653"/>
      <c r="CR775" s="524"/>
      <c r="CS775" s="653"/>
      <c r="CT775" s="524"/>
      <c r="CU775" s="653"/>
      <c r="CV775" s="524"/>
      <c r="CW775" s="653"/>
      <c r="CX775" s="524"/>
      <c r="CY775" s="653"/>
      <c r="CZ775" s="524"/>
      <c r="DA775" s="653"/>
      <c r="DB775" s="524"/>
      <c r="DC775" s="653">
        <v>0</v>
      </c>
      <c r="DD775" s="524"/>
      <c r="DE775" s="758"/>
      <c r="DF775" s="524"/>
      <c r="DG775" s="757"/>
      <c r="DH775" s="758"/>
      <c r="DI775" s="524"/>
      <c r="DJ775" s="757"/>
      <c r="DK775" s="758"/>
      <c r="DL775" s="524"/>
      <c r="DM775" s="757"/>
      <c r="DN775" s="758"/>
      <c r="DO775" s="524"/>
      <c r="DP775" s="757"/>
      <c r="DQ775" s="493">
        <f t="shared" si="454"/>
        <v>0</v>
      </c>
      <c r="DR775" s="479">
        <f t="shared" si="456"/>
        <v>0</v>
      </c>
      <c r="DS775" s="1019"/>
      <c r="DT775" s="1019"/>
      <c r="DU775" s="1019"/>
      <c r="DV775" s="1019"/>
      <c r="DW775" s="1019"/>
      <c r="DX775" s="1019"/>
      <c r="DY775" s="1019"/>
      <c r="DZ775" s="1019"/>
      <c r="EA775" s="1019"/>
      <c r="EB775" s="1019"/>
      <c r="EC775" s="1019"/>
      <c r="ED775" s="1019"/>
      <c r="EE775" s="1119">
        <f t="shared" si="457"/>
        <v>0</v>
      </c>
      <c r="EF775" s="443">
        <v>511000000</v>
      </c>
      <c r="EG775" s="443">
        <f>EF775*1.08</f>
        <v>551880000</v>
      </c>
      <c r="EH775" s="443">
        <v>602000000</v>
      </c>
      <c r="EI775" s="443">
        <v>602000000</v>
      </c>
      <c r="EJ775" s="367">
        <v>3000002495</v>
      </c>
      <c r="EL775" s="177"/>
      <c r="EM775" s="177"/>
      <c r="EN775" s="177"/>
    </row>
    <row r="776" spans="1:144" outlineLevel="2">
      <c r="A776" s="367" t="s">
        <v>242</v>
      </c>
      <c r="B776" s="378"/>
      <c r="C776" s="370" t="s">
        <v>688</v>
      </c>
      <c r="D776" s="370" t="s">
        <v>40</v>
      </c>
      <c r="E776" s="383" t="s">
        <v>929</v>
      </c>
      <c r="F776" s="380">
        <v>3000014772</v>
      </c>
      <c r="G776" s="186"/>
      <c r="H776" s="30"/>
      <c r="I776" s="27"/>
      <c r="J776" s="185"/>
      <c r="K776" s="185"/>
      <c r="L776" s="185"/>
      <c r="M776" s="185"/>
      <c r="N776" s="185"/>
      <c r="O776" s="7"/>
      <c r="P776" s="7"/>
      <c r="Q776" s="7"/>
      <c r="R776" s="7"/>
      <c r="S776" s="14">
        <f>SUM(G776,H776,I776,J776,K776,L776,M776,N776,O776,P776,Q776,R776)</f>
        <v>0</v>
      </c>
      <c r="T776" s="179"/>
      <c r="U776" s="186"/>
      <c r="V776" s="30"/>
      <c r="W776" s="27"/>
      <c r="X776" s="185"/>
      <c r="Y776" s="185"/>
      <c r="Z776" s="185"/>
      <c r="AA776" s="185"/>
      <c r="AB776" s="185"/>
      <c r="AC776" s="7"/>
      <c r="AD776" s="7"/>
      <c r="AE776" s="7"/>
      <c r="AF776" s="7"/>
      <c r="AG776" s="759">
        <f>SUM(U776,V776,W776,X776,Y776,Z776,AA776,AB776,AC776,AD776,AE776,AF776)</f>
        <v>0</v>
      </c>
      <c r="AH776" s="788"/>
      <c r="AI776" s="814">
        <v>2400000</v>
      </c>
      <c r="AJ776" s="859">
        <v>2200000</v>
      </c>
      <c r="AK776" s="858">
        <v>2400000</v>
      </c>
      <c r="AL776" s="758">
        <v>2400000</v>
      </c>
      <c r="AM776" s="758">
        <v>2400000</v>
      </c>
      <c r="AN776" s="758">
        <v>0</v>
      </c>
      <c r="AO776" s="758">
        <v>9400000</v>
      </c>
      <c r="AP776" s="758">
        <v>2400000</v>
      </c>
      <c r="AQ776" s="518">
        <v>2400000</v>
      </c>
      <c r="AR776" s="813">
        <v>2400000</v>
      </c>
      <c r="AS776" s="813">
        <v>0</v>
      </c>
      <c r="AT776" s="813">
        <v>2400000</v>
      </c>
      <c r="AU776" s="518">
        <f t="shared" si="458"/>
        <v>3000000</v>
      </c>
      <c r="AV776" s="518">
        <f t="shared" si="458"/>
        <v>3000000</v>
      </c>
      <c r="AW776" s="518">
        <f t="shared" si="458"/>
        <v>3000000</v>
      </c>
      <c r="AX776" s="518">
        <f t="shared" si="453"/>
        <v>30800000</v>
      </c>
      <c r="AY776" s="788"/>
      <c r="AZ776" s="814">
        <v>2400000</v>
      </c>
      <c r="BA776" s="859">
        <v>2200000</v>
      </c>
      <c r="BB776" s="858">
        <v>2400000</v>
      </c>
      <c r="BC776" s="758">
        <v>2400000</v>
      </c>
      <c r="BD776" s="758">
        <v>2400000</v>
      </c>
      <c r="BE776" s="758">
        <v>0</v>
      </c>
      <c r="BF776" s="758">
        <v>9400000</v>
      </c>
      <c r="BG776" s="518">
        <f>AP776</f>
        <v>2400000</v>
      </c>
      <c r="BH776" s="758">
        <v>3000000</v>
      </c>
      <c r="BI776" s="758">
        <v>3000000</v>
      </c>
      <c r="BJ776" s="758">
        <v>3000000</v>
      </c>
      <c r="BK776" s="758">
        <v>3000000</v>
      </c>
      <c r="BL776" s="759">
        <f>SUM(AZ776,BA776,BB776,BC776,BD776,BE776,BF776,BG776,BH776,BI776,BJ776,BK776)</f>
        <v>35600000</v>
      </c>
      <c r="BN776" s="758">
        <v>3400000</v>
      </c>
      <c r="BO776" s="758">
        <v>3400000</v>
      </c>
      <c r="BP776" s="758">
        <v>3400000</v>
      </c>
      <c r="BQ776" s="758">
        <v>3600000</v>
      </c>
      <c r="BR776" s="758">
        <v>1400000</v>
      </c>
      <c r="BS776" s="758">
        <v>3400000</v>
      </c>
      <c r="BT776" s="758">
        <v>3400000</v>
      </c>
      <c r="BU776" s="758">
        <v>3400000</v>
      </c>
      <c r="BV776" s="758">
        <v>3400000</v>
      </c>
      <c r="BW776" s="758">
        <v>3400000</v>
      </c>
      <c r="BX776" s="758">
        <v>4900000</v>
      </c>
      <c r="BY776" s="758">
        <v>1900000</v>
      </c>
      <c r="BZ776" s="791">
        <v>39000000</v>
      </c>
      <c r="CB776" s="758">
        <v>3400000</v>
      </c>
      <c r="CC776" s="758">
        <v>3400000</v>
      </c>
      <c r="CD776" s="758">
        <v>3400000</v>
      </c>
      <c r="CE776" s="758">
        <v>3600000</v>
      </c>
      <c r="CF776" s="758">
        <v>1400000</v>
      </c>
      <c r="CG776" s="758">
        <v>3400000</v>
      </c>
      <c r="CH776" s="758">
        <v>3400000</v>
      </c>
      <c r="CI776" s="758">
        <v>3400000</v>
      </c>
      <c r="CJ776" s="758">
        <v>3400000</v>
      </c>
      <c r="CK776" s="758">
        <v>3400000</v>
      </c>
      <c r="CL776" s="758">
        <v>4900000</v>
      </c>
      <c r="CM776" s="758">
        <v>1900000</v>
      </c>
      <c r="CN776" s="791">
        <v>39000000</v>
      </c>
      <c r="CP776" s="653">
        <v>0</v>
      </c>
      <c r="CQ776" s="653">
        <v>4600000</v>
      </c>
      <c r="CR776" s="524">
        <v>4600000</v>
      </c>
      <c r="CS776" s="653">
        <v>2400000</v>
      </c>
      <c r="CT776" s="524">
        <v>4000000</v>
      </c>
      <c r="CU776" s="653">
        <v>7080000</v>
      </c>
      <c r="CV776" s="524">
        <v>4500000</v>
      </c>
      <c r="CW776" s="653">
        <v>7250000</v>
      </c>
      <c r="CX776" s="524">
        <v>3000000</v>
      </c>
      <c r="CY776" s="653">
        <v>4800000</v>
      </c>
      <c r="CZ776" s="524">
        <v>4000000</v>
      </c>
      <c r="DA776" s="653">
        <v>4031734</v>
      </c>
      <c r="DB776" s="524">
        <v>4500000</v>
      </c>
      <c r="DC776" s="653">
        <v>13200000</v>
      </c>
      <c r="DD776" s="524">
        <v>3000000</v>
      </c>
      <c r="DE776" s="758"/>
      <c r="DF776" s="524">
        <v>4000000</v>
      </c>
      <c r="DG776" s="757">
        <v>4000000</v>
      </c>
      <c r="DH776" s="758"/>
      <c r="DI776" s="524">
        <v>4500000</v>
      </c>
      <c r="DJ776" s="757">
        <v>4500000</v>
      </c>
      <c r="DK776" s="758"/>
      <c r="DL776" s="524">
        <v>3000000</v>
      </c>
      <c r="DM776" s="757">
        <v>3000000</v>
      </c>
      <c r="DN776" s="758"/>
      <c r="DO776" s="524">
        <v>4000000</v>
      </c>
      <c r="DP776" s="757">
        <v>4000000</v>
      </c>
      <c r="DQ776" s="493">
        <f t="shared" si="454"/>
        <v>58861734</v>
      </c>
      <c r="DR776" s="479">
        <f t="shared" si="456"/>
        <v>44080000</v>
      </c>
      <c r="DS776" s="1168">
        <v>5600000</v>
      </c>
      <c r="DT776" s="1169">
        <v>5600000</v>
      </c>
      <c r="DU776" s="1169">
        <v>5600000</v>
      </c>
      <c r="DV776" s="1169">
        <v>5600000</v>
      </c>
      <c r="DW776" s="1169">
        <v>5600000</v>
      </c>
      <c r="DX776" s="1169">
        <v>5600000</v>
      </c>
      <c r="DY776" s="1169">
        <v>5600000</v>
      </c>
      <c r="DZ776" s="1169">
        <v>5600000</v>
      </c>
      <c r="EA776" s="1169">
        <v>5600000</v>
      </c>
      <c r="EB776" s="1169">
        <v>5600000</v>
      </c>
      <c r="EC776" s="1169">
        <v>5600000</v>
      </c>
      <c r="ED776" s="1169">
        <v>5600000</v>
      </c>
      <c r="EE776" s="1119">
        <f t="shared" si="457"/>
        <v>67200000</v>
      </c>
      <c r="EF776" s="1087">
        <v>78624000</v>
      </c>
      <c r="EG776" s="1087">
        <v>84913920</v>
      </c>
      <c r="EH776" s="1087">
        <v>65000000</v>
      </c>
      <c r="EI776" s="1087">
        <v>65000000</v>
      </c>
      <c r="EJ776" s="367">
        <v>3000014772</v>
      </c>
      <c r="EL776" s="177"/>
      <c r="EM776" s="177"/>
      <c r="EN776" s="177"/>
    </row>
    <row r="777" spans="1:144" outlineLevel="2">
      <c r="A777" s="367" t="s">
        <v>242</v>
      </c>
      <c r="B777" s="378"/>
      <c r="C777" s="370" t="s">
        <v>688</v>
      </c>
      <c r="E777" s="383"/>
      <c r="F777" s="380"/>
      <c r="G777" s="189"/>
      <c r="H777" s="1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14"/>
      <c r="T777" s="179"/>
      <c r="U777" s="189"/>
      <c r="V777" s="13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759"/>
      <c r="AH777" s="788"/>
      <c r="AI777" s="189"/>
      <c r="AJ777" s="810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518">
        <f t="shared" si="453"/>
        <v>0</v>
      </c>
      <c r="AY777" s="788"/>
      <c r="AZ777" s="189"/>
      <c r="BA777" s="810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759"/>
      <c r="BN777" s="758"/>
      <c r="BO777" s="758"/>
      <c r="BP777" s="758"/>
      <c r="BQ777" s="758"/>
      <c r="BR777" s="758"/>
      <c r="BS777" s="758"/>
      <c r="BT777" s="758"/>
      <c r="BU777" s="758"/>
      <c r="BV777" s="758"/>
      <c r="BW777" s="758"/>
      <c r="BX777" s="758"/>
      <c r="BY777" s="758"/>
      <c r="BZ777" s="791">
        <v>0</v>
      </c>
      <c r="CB777" s="758"/>
      <c r="CC777" s="758"/>
      <c r="CD777" s="758"/>
      <c r="CE777" s="758"/>
      <c r="CF777" s="758"/>
      <c r="CG777" s="758"/>
      <c r="CH777" s="758"/>
      <c r="CI777" s="758"/>
      <c r="CJ777" s="758"/>
      <c r="CK777" s="758"/>
      <c r="CL777" s="758"/>
      <c r="CM777" s="758"/>
      <c r="CN777" s="791">
        <v>0</v>
      </c>
      <c r="CP777" s="653">
        <v>0</v>
      </c>
      <c r="CQ777" s="653"/>
      <c r="CR777" s="524"/>
      <c r="CS777" s="653"/>
      <c r="CT777" s="524"/>
      <c r="CU777" s="653"/>
      <c r="CV777" s="524"/>
      <c r="CW777" s="653"/>
      <c r="CX777" s="524"/>
      <c r="CY777" s="653"/>
      <c r="CZ777" s="524"/>
      <c r="DA777" s="653"/>
      <c r="DB777" s="524"/>
      <c r="DC777" s="653">
        <v>0</v>
      </c>
      <c r="DD777" s="524"/>
      <c r="DE777" s="758"/>
      <c r="DF777" s="524"/>
      <c r="DG777" s="757"/>
      <c r="DH777" s="758"/>
      <c r="DI777" s="524"/>
      <c r="DJ777" s="757"/>
      <c r="DK777" s="758"/>
      <c r="DL777" s="524"/>
      <c r="DM777" s="757"/>
      <c r="DN777" s="758"/>
      <c r="DO777" s="524"/>
      <c r="DP777" s="757"/>
      <c r="DQ777" s="493">
        <f t="shared" si="454"/>
        <v>0</v>
      </c>
      <c r="DR777" s="479">
        <f t="shared" si="456"/>
        <v>0</v>
      </c>
      <c r="DS777" s="1019"/>
      <c r="DT777" s="1019"/>
      <c r="DU777" s="1019"/>
      <c r="DV777" s="1019"/>
      <c r="DW777" s="1019"/>
      <c r="DX777" s="1019"/>
      <c r="DY777" s="1019"/>
      <c r="DZ777" s="1019"/>
      <c r="EA777" s="1019"/>
      <c r="EB777" s="1019"/>
      <c r="EC777" s="1019"/>
      <c r="ED777" s="1019"/>
      <c r="EE777" s="1119">
        <f t="shared" si="457"/>
        <v>0</v>
      </c>
      <c r="EF777" s="443">
        <v>200000000</v>
      </c>
      <c r="EG777" s="443">
        <v>800000000</v>
      </c>
      <c r="EH777" s="443">
        <f>EG777*1.5</f>
        <v>1200000000</v>
      </c>
      <c r="EI777" s="443">
        <f>EH777*1.5</f>
        <v>1800000000</v>
      </c>
      <c r="EL777" s="177"/>
      <c r="EM777" s="177"/>
      <c r="EN777" s="177"/>
    </row>
    <row r="778" spans="1:144" outlineLevel="2">
      <c r="A778" s="367" t="s">
        <v>242</v>
      </c>
      <c r="B778" s="378"/>
      <c r="C778" s="370" t="s">
        <v>688</v>
      </c>
      <c r="E778" s="383"/>
      <c r="F778" s="380"/>
      <c r="G778" s="189"/>
      <c r="H778" s="13"/>
      <c r="J778" s="6"/>
      <c r="K778" s="6"/>
      <c r="L778" s="6"/>
      <c r="M778" s="6"/>
      <c r="N778" s="6"/>
      <c r="O778" s="6"/>
      <c r="P778" s="6"/>
      <c r="Q778" s="6"/>
      <c r="R778" s="6"/>
      <c r="S778" s="14"/>
      <c r="T778" s="179"/>
      <c r="U778" s="189"/>
      <c r="V778" s="13"/>
      <c r="X778" s="6"/>
      <c r="Y778" s="6"/>
      <c r="Z778" s="6"/>
      <c r="AA778" s="6"/>
      <c r="AB778" s="6"/>
      <c r="AC778" s="6"/>
      <c r="AD778" s="6"/>
      <c r="AE778" s="6"/>
      <c r="AF778" s="6"/>
      <c r="AG778" s="759"/>
      <c r="AH778" s="788"/>
      <c r="AI778" s="189"/>
      <c r="AJ778" s="810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518">
        <f t="shared" si="453"/>
        <v>0</v>
      </c>
      <c r="AY778" s="788"/>
      <c r="AZ778" s="189"/>
      <c r="BA778" s="810"/>
      <c r="BC778" s="6"/>
      <c r="BD778" s="6"/>
      <c r="BE778" s="6"/>
      <c r="BF778" s="6"/>
      <c r="BG778" s="6"/>
      <c r="BH778" s="6"/>
      <c r="BI778" s="6"/>
      <c r="BJ778" s="6"/>
      <c r="BK778" s="6"/>
      <c r="BL778" s="759"/>
      <c r="BN778" s="758"/>
      <c r="BO778" s="758"/>
      <c r="BP778" s="758"/>
      <c r="BQ778" s="758"/>
      <c r="BR778" s="758"/>
      <c r="BS778" s="758"/>
      <c r="BT778" s="758"/>
      <c r="BU778" s="758"/>
      <c r="BV778" s="758"/>
      <c r="BW778" s="758"/>
      <c r="BX778" s="758"/>
      <c r="BY778" s="758"/>
      <c r="BZ778" s="791">
        <v>0</v>
      </c>
      <c r="CB778" s="758"/>
      <c r="CC778" s="758"/>
      <c r="CD778" s="758"/>
      <c r="CE778" s="758"/>
      <c r="CF778" s="758"/>
      <c r="CG778" s="758"/>
      <c r="CH778" s="758"/>
      <c r="CI778" s="758"/>
      <c r="CJ778" s="758"/>
      <c r="CK778" s="758"/>
      <c r="CL778" s="758"/>
      <c r="CM778" s="758"/>
      <c r="CN778" s="791">
        <v>0</v>
      </c>
      <c r="CP778" s="653">
        <v>0</v>
      </c>
      <c r="CQ778" s="653"/>
      <c r="CR778" s="524"/>
      <c r="CS778" s="653"/>
      <c r="CT778" s="524"/>
      <c r="CU778" s="653"/>
      <c r="CV778" s="524"/>
      <c r="CW778" s="653"/>
      <c r="CX778" s="524"/>
      <c r="CY778" s="653"/>
      <c r="CZ778" s="524"/>
      <c r="DA778" s="653"/>
      <c r="DB778" s="524"/>
      <c r="DC778" s="653">
        <v>0</v>
      </c>
      <c r="DD778" s="524"/>
      <c r="DE778" s="758"/>
      <c r="DF778" s="524"/>
      <c r="DG778" s="757"/>
      <c r="DH778" s="758"/>
      <c r="DI778" s="524"/>
      <c r="DJ778" s="757"/>
      <c r="DK778" s="758"/>
      <c r="DL778" s="524"/>
      <c r="DM778" s="757"/>
      <c r="DN778" s="758"/>
      <c r="DO778" s="524"/>
      <c r="DP778" s="757"/>
      <c r="DQ778" s="493">
        <f t="shared" si="454"/>
        <v>0</v>
      </c>
      <c r="DR778" s="479">
        <f t="shared" si="456"/>
        <v>0</v>
      </c>
      <c r="DS778" s="1019"/>
      <c r="DT778" s="1019"/>
      <c r="DU778" s="1019"/>
      <c r="DV778" s="1019"/>
      <c r="DW778" s="1019"/>
      <c r="DX778" s="1019"/>
      <c r="DY778" s="1019"/>
      <c r="DZ778" s="1019"/>
      <c r="EA778" s="1019"/>
      <c r="EB778" s="1019"/>
      <c r="EC778" s="1019"/>
      <c r="ED778" s="1019"/>
      <c r="EE778" s="1119">
        <f t="shared" si="457"/>
        <v>0</v>
      </c>
      <c r="EF778" s="443">
        <v>39000000</v>
      </c>
      <c r="EG778" s="443">
        <v>45000000</v>
      </c>
      <c r="EH778" s="443">
        <v>60000000</v>
      </c>
      <c r="EI778" s="443">
        <v>60000000</v>
      </c>
      <c r="EL778" s="177"/>
      <c r="EM778" s="177"/>
      <c r="EN778" s="177"/>
    </row>
    <row r="779" spans="1:144" outlineLevel="2">
      <c r="A779" s="367" t="s">
        <v>242</v>
      </c>
      <c r="B779" s="378"/>
      <c r="C779" s="370" t="s">
        <v>688</v>
      </c>
      <c r="D779" s="370" t="s">
        <v>40</v>
      </c>
      <c r="E779" s="383" t="s">
        <v>930</v>
      </c>
      <c r="F779" s="380">
        <v>3000014295</v>
      </c>
      <c r="G779" s="189"/>
      <c r="H779" s="13"/>
      <c r="I779" s="185"/>
      <c r="J779" s="185"/>
      <c r="K779" s="185"/>
      <c r="L779" s="185"/>
      <c r="M779" s="185"/>
      <c r="N779" s="185"/>
      <c r="O779" s="7"/>
      <c r="P779" s="7"/>
      <c r="Q779" s="7"/>
      <c r="R779" s="7"/>
      <c r="S779" s="14">
        <f>SUM(G779,H779,I779,J779,K779,L779,M779,N779,O779,P779,Q779,R779)</f>
        <v>0</v>
      </c>
      <c r="T779" s="179"/>
      <c r="U779" s="189"/>
      <c r="V779" s="13"/>
      <c r="W779" s="185"/>
      <c r="X779" s="185"/>
      <c r="Y779" s="185"/>
      <c r="Z779" s="185"/>
      <c r="AA779" s="185"/>
      <c r="AB779" s="185"/>
      <c r="AC779" s="7"/>
      <c r="AD779" s="7"/>
      <c r="AE779" s="7"/>
      <c r="AF779" s="7"/>
      <c r="AG779" s="759">
        <f>SUM(U779,V779,W779,X779,Y779,Z779,AA779,AB779,AC779,AD779,AE779,AF779)</f>
        <v>0</v>
      </c>
      <c r="AH779" s="788"/>
      <c r="AI779" s="189"/>
      <c r="AJ779" s="810"/>
      <c r="AK779" s="758"/>
      <c r="AL779" s="758">
        <v>1310000</v>
      </c>
      <c r="AM779" s="758">
        <v>0</v>
      </c>
      <c r="AN779" s="758">
        <v>0</v>
      </c>
      <c r="AO779" s="758">
        <v>6400000</v>
      </c>
      <c r="AP779" s="758">
        <v>0</v>
      </c>
      <c r="AQ779" s="518">
        <v>1310000</v>
      </c>
      <c r="AR779" s="813">
        <v>0</v>
      </c>
      <c r="AS779" s="813">
        <v>1560000</v>
      </c>
      <c r="AT779" s="813">
        <v>0</v>
      </c>
      <c r="AU779" s="518">
        <f t="shared" ref="AU779:AW780" si="459">BI779</f>
        <v>0</v>
      </c>
      <c r="AV779" s="518">
        <f t="shared" si="459"/>
        <v>2000000</v>
      </c>
      <c r="AW779" s="518">
        <f t="shared" si="459"/>
        <v>0</v>
      </c>
      <c r="AX779" s="518">
        <f t="shared" si="453"/>
        <v>10580000</v>
      </c>
      <c r="AY779" s="788"/>
      <c r="AZ779" s="189"/>
      <c r="BA779" s="810"/>
      <c r="BB779" s="758"/>
      <c r="BC779" s="758">
        <v>1310000</v>
      </c>
      <c r="BD779" s="758">
        <v>0</v>
      </c>
      <c r="BE779" s="758">
        <v>0</v>
      </c>
      <c r="BF779" s="758">
        <v>6400000</v>
      </c>
      <c r="BG779" s="518">
        <f>AP779</f>
        <v>0</v>
      </c>
      <c r="BH779" s="758">
        <v>2000000</v>
      </c>
      <c r="BI779" s="758">
        <v>0</v>
      </c>
      <c r="BJ779" s="758">
        <v>2000000</v>
      </c>
      <c r="BK779" s="758">
        <v>0</v>
      </c>
      <c r="BL779" s="759">
        <f>SUM(AZ779,BA779,BB779,BC779,BD779,BE779,BF779,BG779,BH779,BI779,BJ779,BK779)</f>
        <v>11710000</v>
      </c>
      <c r="BN779" s="758">
        <v>0</v>
      </c>
      <c r="BO779" s="758">
        <v>2200000</v>
      </c>
      <c r="BP779" s="758">
        <v>0</v>
      </c>
      <c r="BQ779" s="758">
        <v>2200000</v>
      </c>
      <c r="BR779" s="758">
        <v>0</v>
      </c>
      <c r="BS779" s="758">
        <v>2200000</v>
      </c>
      <c r="BT779" s="758">
        <v>0</v>
      </c>
      <c r="BU779" s="758">
        <v>2200000</v>
      </c>
      <c r="BV779" s="758">
        <v>0</v>
      </c>
      <c r="BW779" s="758">
        <v>2200000</v>
      </c>
      <c r="BX779" s="758">
        <v>0</v>
      </c>
      <c r="BY779" s="758">
        <v>2200000</v>
      </c>
      <c r="BZ779" s="791">
        <v>13200000</v>
      </c>
      <c r="CB779" s="758">
        <v>0</v>
      </c>
      <c r="CC779" s="758">
        <v>2200000</v>
      </c>
      <c r="CD779" s="758">
        <v>0</v>
      </c>
      <c r="CE779" s="758">
        <v>2200000</v>
      </c>
      <c r="CF779" s="758">
        <v>0</v>
      </c>
      <c r="CG779" s="758">
        <v>2200000</v>
      </c>
      <c r="CH779" s="758">
        <v>0</v>
      </c>
      <c r="CI779" s="758">
        <v>2200000</v>
      </c>
      <c r="CJ779" s="758">
        <v>0</v>
      </c>
      <c r="CK779" s="758">
        <v>2200000</v>
      </c>
      <c r="CL779" s="758">
        <v>0</v>
      </c>
      <c r="CM779" s="758">
        <v>2200000</v>
      </c>
      <c r="CN779" s="791">
        <v>13200000</v>
      </c>
      <c r="CP779" s="653">
        <v>0</v>
      </c>
      <c r="CQ779" s="653"/>
      <c r="CR779" s="524"/>
      <c r="CS779" s="653">
        <v>1560000</v>
      </c>
      <c r="CT779" s="524">
        <v>2500000</v>
      </c>
      <c r="CU779" s="653"/>
      <c r="CV779" s="524">
        <v>2500000</v>
      </c>
      <c r="CW779" s="653"/>
      <c r="CX779" s="524">
        <v>0</v>
      </c>
      <c r="CY779" s="653"/>
      <c r="CZ779" s="524">
        <v>2500000</v>
      </c>
      <c r="DA779" s="653">
        <v>17200000</v>
      </c>
      <c r="DB779" s="524">
        <v>2500000</v>
      </c>
      <c r="DC779" s="653">
        <v>2620000</v>
      </c>
      <c r="DD779" s="524">
        <v>0</v>
      </c>
      <c r="DE779" s="758"/>
      <c r="DF779" s="524">
        <v>2500000</v>
      </c>
      <c r="DG779" s="757">
        <v>2500000</v>
      </c>
      <c r="DH779" s="758"/>
      <c r="DI779" s="524">
        <v>2500000</v>
      </c>
      <c r="DJ779" s="757">
        <v>2500000</v>
      </c>
      <c r="DK779" s="758"/>
      <c r="DL779" s="524">
        <v>0</v>
      </c>
      <c r="DM779" s="757">
        <v>0</v>
      </c>
      <c r="DN779" s="758"/>
      <c r="DO779" s="524">
        <v>2500000</v>
      </c>
      <c r="DP779" s="757">
        <v>2500000</v>
      </c>
      <c r="DQ779" s="493">
        <f t="shared" si="454"/>
        <v>28880000</v>
      </c>
      <c r="DR779" s="479">
        <f t="shared" si="456"/>
        <v>14060000</v>
      </c>
      <c r="DS779" s="1168">
        <v>3000000</v>
      </c>
      <c r="DT779" s="1169">
        <v>3000000</v>
      </c>
      <c r="DU779" s="1169">
        <v>3000000</v>
      </c>
      <c r="DV779" s="1169">
        <v>3000000</v>
      </c>
      <c r="DW779" s="1169">
        <v>3000000</v>
      </c>
      <c r="DX779" s="1169">
        <v>3000000</v>
      </c>
      <c r="DY779" s="1169">
        <v>3000000</v>
      </c>
      <c r="DZ779" s="1169">
        <v>3000000</v>
      </c>
      <c r="EA779" s="1169">
        <v>3000000</v>
      </c>
      <c r="EB779" s="1169">
        <v>3000000</v>
      </c>
      <c r="EC779" s="1169">
        <v>3000000</v>
      </c>
      <c r="ED779" s="1169">
        <v>3000000</v>
      </c>
      <c r="EE779" s="1119">
        <f t="shared" si="457"/>
        <v>36000000</v>
      </c>
      <c r="EF779" s="1087">
        <v>42120000</v>
      </c>
      <c r="EG779" s="1087">
        <v>45489600</v>
      </c>
      <c r="EH779" s="1087">
        <v>22000000</v>
      </c>
      <c r="EI779" s="1087">
        <v>22000000</v>
      </c>
      <c r="EJ779" s="367">
        <v>3000014295</v>
      </c>
      <c r="EL779" s="177"/>
      <c r="EM779" s="177"/>
      <c r="EN779" s="177"/>
    </row>
    <row r="780" spans="1:144" outlineLevel="2">
      <c r="A780" s="367" t="s">
        <v>242</v>
      </c>
      <c r="B780" s="378"/>
      <c r="C780" s="370" t="s">
        <v>688</v>
      </c>
      <c r="D780" s="370" t="s">
        <v>40</v>
      </c>
      <c r="E780" s="383"/>
      <c r="F780" s="380">
        <v>3000013580</v>
      </c>
      <c r="G780" s="189"/>
      <c r="H780" s="13"/>
      <c r="I780" s="185"/>
      <c r="J780" s="185"/>
      <c r="K780" s="185"/>
      <c r="L780" s="185"/>
      <c r="M780" s="185"/>
      <c r="N780" s="185"/>
      <c r="O780" s="7"/>
      <c r="P780" s="7"/>
      <c r="Q780" s="7"/>
      <c r="R780" s="7"/>
      <c r="S780" s="14">
        <f>SUM(G780,H780,I780,J780,K780,L780,M780,N780,O780,P780,Q780,R780)</f>
        <v>0</v>
      </c>
      <c r="T780" s="179"/>
      <c r="U780" s="189"/>
      <c r="V780" s="13"/>
      <c r="W780" s="185"/>
      <c r="X780" s="185"/>
      <c r="Y780" s="185"/>
      <c r="Z780" s="185"/>
      <c r="AA780" s="185"/>
      <c r="AB780" s="185"/>
      <c r="AC780" s="7"/>
      <c r="AD780" s="7"/>
      <c r="AE780" s="7"/>
      <c r="AF780" s="7"/>
      <c r="AG780" s="759">
        <f>SUM(U780,V780,W780,X780,Y780,Z780,AA780,AB780,AC780,AD780,AE780,AF780)</f>
        <v>0</v>
      </c>
      <c r="AH780" s="788"/>
      <c r="AI780" s="189"/>
      <c r="AJ780" s="810"/>
      <c r="AK780" s="758"/>
      <c r="AL780" s="758">
        <v>0</v>
      </c>
      <c r="AM780" s="758">
        <v>5987180</v>
      </c>
      <c r="AN780" s="758">
        <v>0</v>
      </c>
      <c r="AO780" s="758">
        <v>0</v>
      </c>
      <c r="AP780" s="758">
        <v>0</v>
      </c>
      <c r="AQ780" s="518">
        <v>2162180</v>
      </c>
      <c r="AR780" s="813">
        <v>0</v>
      </c>
      <c r="AS780" s="813">
        <v>0</v>
      </c>
      <c r="AT780" s="813">
        <v>4262180</v>
      </c>
      <c r="AU780" s="518">
        <f t="shared" si="459"/>
        <v>0</v>
      </c>
      <c r="AV780" s="518">
        <f t="shared" si="459"/>
        <v>0</v>
      </c>
      <c r="AW780" s="518">
        <f t="shared" si="459"/>
        <v>0</v>
      </c>
      <c r="AX780" s="518">
        <f t="shared" si="453"/>
        <v>12411540</v>
      </c>
      <c r="AY780" s="788"/>
      <c r="AZ780" s="189"/>
      <c r="BA780" s="810"/>
      <c r="BB780" s="758"/>
      <c r="BC780" s="758">
        <v>0</v>
      </c>
      <c r="BD780" s="758">
        <v>5987180</v>
      </c>
      <c r="BE780" s="758">
        <v>0</v>
      </c>
      <c r="BF780" s="758">
        <v>0</v>
      </c>
      <c r="BG780" s="518">
        <f>AP780</f>
        <v>0</v>
      </c>
      <c r="BH780" s="758">
        <v>0</v>
      </c>
      <c r="BI780" s="758">
        <v>0</v>
      </c>
      <c r="BJ780" s="758">
        <v>0</v>
      </c>
      <c r="BK780" s="758">
        <v>0</v>
      </c>
      <c r="BL780" s="759">
        <f>SUM(AZ780,BA780,BB780,BC780,BD780,BE780,BF780,BG780,BH780,BI780,BJ780,BK780)</f>
        <v>5987180</v>
      </c>
      <c r="BN780" s="758">
        <v>0</v>
      </c>
      <c r="BO780" s="758">
        <v>1100000</v>
      </c>
      <c r="BP780" s="758">
        <v>0</v>
      </c>
      <c r="BQ780" s="758">
        <v>1100000</v>
      </c>
      <c r="BR780" s="758">
        <v>0</v>
      </c>
      <c r="BS780" s="758">
        <v>1100000</v>
      </c>
      <c r="BT780" s="758">
        <v>0</v>
      </c>
      <c r="BU780" s="758">
        <v>1100000</v>
      </c>
      <c r="BV780" s="758">
        <v>0</v>
      </c>
      <c r="BW780" s="758">
        <v>1100000</v>
      </c>
      <c r="BX780" s="758">
        <v>0</v>
      </c>
      <c r="BY780" s="758">
        <v>1100000</v>
      </c>
      <c r="BZ780" s="791">
        <v>6600000</v>
      </c>
      <c r="CB780" s="758">
        <v>0</v>
      </c>
      <c r="CC780" s="758">
        <v>1100000</v>
      </c>
      <c r="CD780" s="758">
        <v>0</v>
      </c>
      <c r="CE780" s="758">
        <v>1100000</v>
      </c>
      <c r="CF780" s="758">
        <v>0</v>
      </c>
      <c r="CG780" s="758">
        <v>1100000</v>
      </c>
      <c r="CH780" s="758">
        <v>0</v>
      </c>
      <c r="CI780" s="758">
        <v>1100000</v>
      </c>
      <c r="CJ780" s="758">
        <v>0</v>
      </c>
      <c r="CK780" s="758">
        <v>1100000</v>
      </c>
      <c r="CL780" s="758">
        <v>0</v>
      </c>
      <c r="CM780" s="758">
        <v>1100000</v>
      </c>
      <c r="CN780" s="791">
        <v>6600000</v>
      </c>
      <c r="CP780" s="653">
        <v>0</v>
      </c>
      <c r="CQ780" s="653"/>
      <c r="CR780" s="524"/>
      <c r="CS780" s="653"/>
      <c r="CT780" s="524"/>
      <c r="CU780" s="653"/>
      <c r="CV780" s="524"/>
      <c r="CW780" s="653"/>
      <c r="CX780" s="524"/>
      <c r="CY780" s="653"/>
      <c r="CZ780" s="524"/>
      <c r="DA780" s="653"/>
      <c r="DB780" s="524"/>
      <c r="DC780" s="653">
        <v>0</v>
      </c>
      <c r="DD780" s="524"/>
      <c r="DE780" s="758"/>
      <c r="DF780" s="524"/>
      <c r="DG780" s="757"/>
      <c r="DH780" s="758"/>
      <c r="DI780" s="524"/>
      <c r="DJ780" s="757"/>
      <c r="DK780" s="758"/>
      <c r="DL780" s="524"/>
      <c r="DM780" s="757"/>
      <c r="DN780" s="758"/>
      <c r="DO780" s="524"/>
      <c r="DP780" s="757"/>
      <c r="DQ780" s="493">
        <f t="shared" si="454"/>
        <v>0</v>
      </c>
      <c r="DR780" s="479">
        <f t="shared" si="456"/>
        <v>0</v>
      </c>
      <c r="DS780" s="1019"/>
      <c r="DT780" s="1019"/>
      <c r="DU780" s="1019"/>
      <c r="DV780" s="1019"/>
      <c r="DW780" s="1019"/>
      <c r="DX780" s="1019"/>
      <c r="DY780" s="1019"/>
      <c r="DZ780" s="1019"/>
      <c r="EA780" s="1019"/>
      <c r="EB780" s="1019"/>
      <c r="EC780" s="1019"/>
      <c r="ED780" s="1019"/>
      <c r="EE780" s="1119">
        <f t="shared" si="457"/>
        <v>0</v>
      </c>
      <c r="EF780" s="443">
        <v>9000000</v>
      </c>
      <c r="EG780" s="443">
        <f>EF780*1.08</f>
        <v>9720000</v>
      </c>
      <c r="EH780" s="443">
        <v>11000000</v>
      </c>
      <c r="EI780" s="443">
        <v>11000000</v>
      </c>
      <c r="EJ780" s="367">
        <v>3000013580</v>
      </c>
      <c r="EL780" s="177"/>
      <c r="EM780" s="177"/>
      <c r="EN780" s="177"/>
    </row>
    <row r="781" spans="1:144" outlineLevel="2">
      <c r="A781" s="367" t="s">
        <v>242</v>
      </c>
      <c r="B781" s="378"/>
      <c r="C781" s="370" t="s">
        <v>688</v>
      </c>
      <c r="E781" s="383"/>
      <c r="F781" s="380"/>
      <c r="G781" s="189"/>
      <c r="H781" s="1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14"/>
      <c r="T781" s="179"/>
      <c r="U781" s="189"/>
      <c r="V781" s="13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759"/>
      <c r="AH781" s="788"/>
      <c r="AI781" s="189"/>
      <c r="AJ781" s="810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518">
        <f t="shared" si="453"/>
        <v>0</v>
      </c>
      <c r="AY781" s="788"/>
      <c r="AZ781" s="189"/>
      <c r="BA781" s="810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759"/>
      <c r="BN781" s="758"/>
      <c r="BO781" s="758"/>
      <c r="BP781" s="758"/>
      <c r="BQ781" s="758"/>
      <c r="BR781" s="758"/>
      <c r="BS781" s="758"/>
      <c r="BT781" s="758"/>
      <c r="BU781" s="758"/>
      <c r="BV781" s="758"/>
      <c r="BW781" s="758"/>
      <c r="BX781" s="758"/>
      <c r="BY781" s="758"/>
      <c r="BZ781" s="791">
        <v>0</v>
      </c>
      <c r="CB781" s="758"/>
      <c r="CC781" s="758"/>
      <c r="CD781" s="758"/>
      <c r="CE781" s="758"/>
      <c r="CF781" s="758"/>
      <c r="CG781" s="758"/>
      <c r="CH781" s="758"/>
      <c r="CI781" s="758"/>
      <c r="CJ781" s="758"/>
      <c r="CK781" s="758"/>
      <c r="CL781" s="758"/>
      <c r="CM781" s="758"/>
      <c r="CN781" s="791">
        <v>0</v>
      </c>
      <c r="CP781" s="653">
        <v>0</v>
      </c>
      <c r="CQ781" s="653"/>
      <c r="CR781" s="524"/>
      <c r="CS781" s="653"/>
      <c r="CT781" s="524"/>
      <c r="CU781" s="653"/>
      <c r="CV781" s="524"/>
      <c r="CW781" s="653"/>
      <c r="CX781" s="524"/>
      <c r="CY781" s="653"/>
      <c r="CZ781" s="524"/>
      <c r="DA781" s="653"/>
      <c r="DB781" s="524"/>
      <c r="DC781" s="653">
        <v>0</v>
      </c>
      <c r="DD781" s="524"/>
      <c r="DE781" s="758"/>
      <c r="DF781" s="524"/>
      <c r="DG781" s="757"/>
      <c r="DH781" s="758"/>
      <c r="DI781" s="524"/>
      <c r="DJ781" s="757"/>
      <c r="DK781" s="758"/>
      <c r="DL781" s="524"/>
      <c r="DM781" s="757"/>
      <c r="DN781" s="758"/>
      <c r="DO781" s="524"/>
      <c r="DP781" s="757"/>
      <c r="DQ781" s="493">
        <f t="shared" si="454"/>
        <v>0</v>
      </c>
      <c r="DR781" s="479">
        <f t="shared" si="456"/>
        <v>0</v>
      </c>
      <c r="DS781" s="1019"/>
      <c r="DT781" s="1019"/>
      <c r="DU781" s="1019"/>
      <c r="DV781" s="1019"/>
      <c r="DW781" s="1019"/>
      <c r="DX781" s="1019"/>
      <c r="DY781" s="1019"/>
      <c r="DZ781" s="1019"/>
      <c r="EA781" s="1019"/>
      <c r="EB781" s="1019"/>
      <c r="EC781" s="1019"/>
      <c r="ED781" s="1019"/>
      <c r="EE781" s="1119">
        <f t="shared" si="457"/>
        <v>0</v>
      </c>
      <c r="EF781" s="443">
        <v>157000000</v>
      </c>
      <c r="EG781" s="443">
        <v>185000000</v>
      </c>
      <c r="EH781" s="443">
        <v>270000000</v>
      </c>
      <c r="EI781" s="443">
        <v>270000000</v>
      </c>
      <c r="EL781" s="177"/>
      <c r="EM781" s="177"/>
      <c r="EN781" s="177"/>
    </row>
    <row r="782" spans="1:144" outlineLevel="2">
      <c r="A782" s="367" t="s">
        <v>925</v>
      </c>
      <c r="B782" s="378"/>
      <c r="C782" s="370" t="s">
        <v>688</v>
      </c>
      <c r="D782" s="370" t="s">
        <v>108</v>
      </c>
      <c r="E782" s="383" t="s">
        <v>931</v>
      </c>
      <c r="F782" s="380" t="s">
        <v>932</v>
      </c>
      <c r="G782" s="189"/>
      <c r="H782" s="1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14"/>
      <c r="T782" s="179"/>
      <c r="U782" s="189"/>
      <c r="V782" s="13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759"/>
      <c r="AH782" s="788"/>
      <c r="AI782" s="189"/>
      <c r="AJ782" s="810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518"/>
      <c r="AY782" s="788"/>
      <c r="AZ782" s="189"/>
      <c r="BA782" s="810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759"/>
      <c r="BN782" s="758"/>
      <c r="BO782" s="758"/>
      <c r="BP782" s="758"/>
      <c r="BQ782" s="758"/>
      <c r="BR782" s="758"/>
      <c r="BS782" s="758"/>
      <c r="BT782" s="758"/>
      <c r="BU782" s="758"/>
      <c r="BV782" s="758"/>
      <c r="BW782" s="758"/>
      <c r="BX782" s="758"/>
      <c r="BY782" s="758"/>
      <c r="BZ782" s="791"/>
      <c r="CB782" s="758"/>
      <c r="CC782" s="758"/>
      <c r="CD782" s="758"/>
      <c r="CE782" s="758"/>
      <c r="CF782" s="758"/>
      <c r="CG782" s="758"/>
      <c r="CH782" s="758"/>
      <c r="CI782" s="758"/>
      <c r="CJ782" s="758"/>
      <c r="CK782" s="758"/>
      <c r="CL782" s="758"/>
      <c r="CM782" s="758"/>
      <c r="CN782" s="791"/>
      <c r="CP782" s="653"/>
      <c r="CQ782" s="653"/>
      <c r="CR782" s="524"/>
      <c r="CS782" s="653"/>
      <c r="CT782" s="524"/>
      <c r="CU782" s="653"/>
      <c r="CV782" s="524"/>
      <c r="CW782" s="653"/>
      <c r="CX782" s="524"/>
      <c r="CY782" s="653"/>
      <c r="CZ782" s="524"/>
      <c r="DA782" s="653"/>
      <c r="DB782" s="524"/>
      <c r="DC782" s="653">
        <v>14782900</v>
      </c>
      <c r="DD782" s="524"/>
      <c r="DE782" s="758"/>
      <c r="DF782" s="524"/>
      <c r="DG782" s="757"/>
      <c r="DH782" s="758"/>
      <c r="DI782" s="524"/>
      <c r="DJ782" s="757"/>
      <c r="DK782" s="758"/>
      <c r="DL782" s="524"/>
      <c r="DM782" s="757"/>
      <c r="DN782" s="758"/>
      <c r="DO782" s="524"/>
      <c r="DP782" s="757"/>
      <c r="DQ782" s="493">
        <f t="shared" si="454"/>
        <v>14782900</v>
      </c>
      <c r="DR782" s="479"/>
      <c r="DS782" s="1168" t="s">
        <v>670</v>
      </c>
      <c r="DT782" s="1169" t="s">
        <v>670</v>
      </c>
      <c r="DU782" s="1169" t="s">
        <v>670</v>
      </c>
      <c r="DV782" s="1169" t="s">
        <v>670</v>
      </c>
      <c r="DW782" s="1169" t="s">
        <v>670</v>
      </c>
      <c r="DX782" s="1169" t="s">
        <v>670</v>
      </c>
      <c r="DY782" s="1169" t="s">
        <v>670</v>
      </c>
      <c r="DZ782" s="1169">
        <v>15000000</v>
      </c>
      <c r="EA782" s="1169" t="s">
        <v>670</v>
      </c>
      <c r="EB782" s="1169" t="s">
        <v>670</v>
      </c>
      <c r="EC782" s="1169" t="s">
        <v>670</v>
      </c>
      <c r="ED782" s="1169" t="s">
        <v>670</v>
      </c>
      <c r="EE782" s="1119">
        <f t="shared" si="457"/>
        <v>15000000</v>
      </c>
      <c r="EF782" s="1088" t="s">
        <v>670</v>
      </c>
      <c r="EG782" s="1088" t="s">
        <v>670</v>
      </c>
      <c r="EH782" s="1088" t="s">
        <v>670</v>
      </c>
      <c r="EI782" s="1088" t="s">
        <v>670</v>
      </c>
      <c r="EL782" s="177"/>
      <c r="EM782" s="177"/>
      <c r="EN782" s="177"/>
    </row>
    <row r="783" spans="1:144" outlineLevel="2">
      <c r="A783" s="367" t="s">
        <v>242</v>
      </c>
      <c r="B783" s="378"/>
      <c r="C783" s="370" t="s">
        <v>688</v>
      </c>
      <c r="D783" s="370" t="s">
        <v>40</v>
      </c>
      <c r="E783" s="383" t="s">
        <v>933</v>
      </c>
      <c r="F783" s="380">
        <v>3000008806</v>
      </c>
      <c r="G783" s="189"/>
      <c r="H783" s="13"/>
      <c r="I783" s="185"/>
      <c r="J783" s="185"/>
      <c r="K783" s="185"/>
      <c r="L783" s="185"/>
      <c r="M783" s="185"/>
      <c r="N783" s="185"/>
      <c r="O783" s="7"/>
      <c r="P783" s="7"/>
      <c r="Q783" s="7"/>
      <c r="R783" s="7"/>
      <c r="S783" s="14">
        <f>SUM(G783,H783,I783,J783,K783,L783,M783,N783,O783,P783,Q783,R783)</f>
        <v>0</v>
      </c>
      <c r="T783" s="179"/>
      <c r="U783" s="189"/>
      <c r="V783" s="13"/>
      <c r="W783" s="185"/>
      <c r="X783" s="185"/>
      <c r="Y783" s="185"/>
      <c r="Z783" s="185"/>
      <c r="AA783" s="185"/>
      <c r="AB783" s="185"/>
      <c r="AC783" s="7"/>
      <c r="AD783" s="7"/>
      <c r="AE783" s="7"/>
      <c r="AF783" s="7"/>
      <c r="AG783" s="759">
        <f>SUM(U783,V783,W783,X783,Y783,Z783,AA783,AB783,AC783,AD783,AE783,AF783)</f>
        <v>0</v>
      </c>
      <c r="AH783" s="788"/>
      <c r="AI783" s="189"/>
      <c r="AJ783" s="810"/>
      <c r="AK783" s="758"/>
      <c r="AL783" s="758">
        <v>2200000</v>
      </c>
      <c r="AM783" s="758">
        <v>0</v>
      </c>
      <c r="AN783" s="758">
        <v>0</v>
      </c>
      <c r="AO783" s="758">
        <v>0</v>
      </c>
      <c r="AP783" s="758">
        <v>0</v>
      </c>
      <c r="AQ783" s="518">
        <v>2900000</v>
      </c>
      <c r="AR783" s="518"/>
      <c r="AS783" s="518"/>
      <c r="AT783" s="518"/>
      <c r="AU783" s="518">
        <f t="shared" ref="AU783:AW784" si="460">BI783</f>
        <v>0</v>
      </c>
      <c r="AV783" s="518">
        <f t="shared" si="460"/>
        <v>0</v>
      </c>
      <c r="AW783" s="518">
        <f t="shared" si="460"/>
        <v>0</v>
      </c>
      <c r="AX783" s="518">
        <f t="shared" si="453"/>
        <v>5100000</v>
      </c>
      <c r="AY783" s="788"/>
      <c r="AZ783" s="189"/>
      <c r="BA783" s="810"/>
      <c r="BB783" s="758"/>
      <c r="BC783" s="758">
        <v>2200000</v>
      </c>
      <c r="BD783" s="758">
        <v>0</v>
      </c>
      <c r="BE783" s="758">
        <v>0</v>
      </c>
      <c r="BF783" s="758">
        <v>0</v>
      </c>
      <c r="BG783" s="518">
        <f>AP783</f>
        <v>0</v>
      </c>
      <c r="BH783" s="758">
        <v>0</v>
      </c>
      <c r="BI783" s="758">
        <v>0</v>
      </c>
      <c r="BJ783" s="758">
        <v>0</v>
      </c>
      <c r="BK783" s="758">
        <v>0</v>
      </c>
      <c r="BL783" s="759">
        <f>SUM(AZ783,BA783,BB783,BC783,BD783,BE783,BF783,BG783,BH783,BI783,BJ783,BK783)</f>
        <v>2200000</v>
      </c>
      <c r="BN783" s="758">
        <v>0</v>
      </c>
      <c r="BO783" s="758">
        <v>0</v>
      </c>
      <c r="BP783" s="758">
        <v>2200000</v>
      </c>
      <c r="BQ783" s="758">
        <v>0</v>
      </c>
      <c r="BR783" s="758">
        <v>0</v>
      </c>
      <c r="BS783" s="758">
        <v>0</v>
      </c>
      <c r="BT783" s="758">
        <v>0</v>
      </c>
      <c r="BU783" s="758">
        <v>2200000</v>
      </c>
      <c r="BV783" s="758">
        <v>0</v>
      </c>
      <c r="BW783" s="758">
        <v>0</v>
      </c>
      <c r="BX783" s="758">
        <v>0</v>
      </c>
      <c r="BY783" s="758">
        <v>0</v>
      </c>
      <c r="BZ783" s="791">
        <v>4400000</v>
      </c>
      <c r="CB783" s="758">
        <v>0</v>
      </c>
      <c r="CC783" s="758">
        <v>0</v>
      </c>
      <c r="CD783" s="758">
        <v>2200000</v>
      </c>
      <c r="CE783" s="758">
        <v>0</v>
      </c>
      <c r="CF783" s="758">
        <v>0</v>
      </c>
      <c r="CG783" s="758">
        <v>0</v>
      </c>
      <c r="CH783" s="758">
        <v>0</v>
      </c>
      <c r="CI783" s="758">
        <v>2200000</v>
      </c>
      <c r="CJ783" s="758">
        <v>0</v>
      </c>
      <c r="CK783" s="758">
        <v>0</v>
      </c>
      <c r="CL783" s="758">
        <v>0</v>
      </c>
      <c r="CM783" s="758">
        <v>0</v>
      </c>
      <c r="CN783" s="791">
        <v>4400000</v>
      </c>
      <c r="CP783" s="653">
        <v>0</v>
      </c>
      <c r="CQ783" s="653"/>
      <c r="CR783" s="524"/>
      <c r="CS783" s="653"/>
      <c r="CT783" s="524"/>
      <c r="CU783" s="653"/>
      <c r="CV783" s="524"/>
      <c r="CW783" s="653"/>
      <c r="CX783" s="524"/>
      <c r="CY783" s="653"/>
      <c r="CZ783" s="524">
        <v>50000000</v>
      </c>
      <c r="DA783" s="653">
        <v>2800000</v>
      </c>
      <c r="DB783" s="524">
        <v>50000000</v>
      </c>
      <c r="DC783" s="653">
        <v>1800000</v>
      </c>
      <c r="DD783" s="524">
        <v>50000000</v>
      </c>
      <c r="DE783" s="758"/>
      <c r="DF783" s="524">
        <v>50000000</v>
      </c>
      <c r="DG783" s="757">
        <v>50000000</v>
      </c>
      <c r="DH783" s="758"/>
      <c r="DI783" s="524">
        <v>50000000</v>
      </c>
      <c r="DJ783" s="757">
        <v>50000000</v>
      </c>
      <c r="DK783" s="758"/>
      <c r="DL783" s="524">
        <v>50000000</v>
      </c>
      <c r="DM783" s="757">
        <v>50000000</v>
      </c>
      <c r="DN783" s="758"/>
      <c r="DO783" s="524">
        <v>50000000</v>
      </c>
      <c r="DP783" s="757">
        <v>50000000</v>
      </c>
      <c r="DQ783" s="493">
        <f t="shared" si="454"/>
        <v>204600000</v>
      </c>
      <c r="DR783" s="479">
        <f>SUM(CP783,CQ783,CS783,CU783,CX783,CZ783,DB783,DD783,DG783,DJ783,DM783,DP783)</f>
        <v>350000000</v>
      </c>
      <c r="DS783" s="1168" t="s">
        <v>671</v>
      </c>
      <c r="DT783" s="1169" t="s">
        <v>670</v>
      </c>
      <c r="DU783" s="1169" t="s">
        <v>670</v>
      </c>
      <c r="DV783" s="1169" t="s">
        <v>670</v>
      </c>
      <c r="DW783" s="1169" t="s">
        <v>670</v>
      </c>
      <c r="DX783" s="1169" t="s">
        <v>670</v>
      </c>
      <c r="DY783" s="1169">
        <v>2600000</v>
      </c>
      <c r="DZ783" s="1169" t="s">
        <v>670</v>
      </c>
      <c r="EA783" s="1169" t="s">
        <v>670</v>
      </c>
      <c r="EB783" s="1169" t="s">
        <v>670</v>
      </c>
      <c r="EC783" s="1169">
        <v>2600000</v>
      </c>
      <c r="ED783" s="1169" t="s">
        <v>670</v>
      </c>
      <c r="EE783" s="1119">
        <f t="shared" si="457"/>
        <v>5200000</v>
      </c>
      <c r="EF783" s="1087">
        <v>6000000</v>
      </c>
      <c r="EG783" s="1087">
        <v>6480000</v>
      </c>
      <c r="EH783" s="1087">
        <v>7300000</v>
      </c>
      <c r="EI783" s="1087">
        <v>7300000</v>
      </c>
      <c r="EJ783" s="367">
        <v>3000008806</v>
      </c>
      <c r="EL783" s="177"/>
      <c r="EM783" s="177"/>
      <c r="EN783" s="177"/>
    </row>
    <row r="784" spans="1:144" outlineLevel="2">
      <c r="A784" s="367" t="s">
        <v>242</v>
      </c>
      <c r="B784" s="378"/>
      <c r="C784" s="370" t="s">
        <v>688</v>
      </c>
      <c r="D784" s="370" t="s">
        <v>40</v>
      </c>
      <c r="E784" s="383" t="s">
        <v>934</v>
      </c>
      <c r="F784" s="380">
        <v>3000019892</v>
      </c>
      <c r="G784" s="189"/>
      <c r="H784" s="13"/>
      <c r="I784" s="185"/>
      <c r="J784" s="185"/>
      <c r="K784" s="185"/>
      <c r="L784" s="185"/>
      <c r="M784" s="185"/>
      <c r="N784" s="185"/>
      <c r="O784" s="7"/>
      <c r="P784" s="7"/>
      <c r="Q784" s="7"/>
      <c r="R784" s="7"/>
      <c r="S784" s="14">
        <f>SUM(G784,H784,I784,J784,K784,L784,M784,N784,O784,P784,Q784,R784)</f>
        <v>0</v>
      </c>
      <c r="T784" s="179"/>
      <c r="U784" s="189"/>
      <c r="V784" s="13"/>
      <c r="W784" s="185"/>
      <c r="X784" s="185"/>
      <c r="Y784" s="185"/>
      <c r="Z784" s="185"/>
      <c r="AA784" s="185"/>
      <c r="AB784" s="185"/>
      <c r="AC784" s="7"/>
      <c r="AD784" s="7"/>
      <c r="AE784" s="7"/>
      <c r="AF784" s="7"/>
      <c r="AG784" s="759">
        <f>SUM(U784,V784,W784,X784,Y784,Z784,AA784,AB784,AC784,AD784,AE784,AF784)</f>
        <v>0</v>
      </c>
      <c r="AH784" s="788"/>
      <c r="AI784" s="189"/>
      <c r="AJ784" s="810"/>
      <c r="AK784" s="758"/>
      <c r="AL784" s="758">
        <v>0</v>
      </c>
      <c r="AM784" s="758"/>
      <c r="AN784" s="758">
        <v>0</v>
      </c>
      <c r="AO784" s="758">
        <v>4580930</v>
      </c>
      <c r="AP784" s="758">
        <v>0</v>
      </c>
      <c r="AQ784" s="518">
        <v>0</v>
      </c>
      <c r="AR784" s="518"/>
      <c r="AS784" s="518"/>
      <c r="AT784" s="518"/>
      <c r="AU784" s="518">
        <f t="shared" si="460"/>
        <v>0</v>
      </c>
      <c r="AV784" s="518">
        <f t="shared" si="460"/>
        <v>0</v>
      </c>
      <c r="AW784" s="518">
        <f t="shared" si="460"/>
        <v>0</v>
      </c>
      <c r="AX784" s="518">
        <f t="shared" si="453"/>
        <v>4580930</v>
      </c>
      <c r="AY784" s="788"/>
      <c r="AZ784" s="189"/>
      <c r="BA784" s="810"/>
      <c r="BB784" s="758"/>
      <c r="BC784" s="758">
        <v>0</v>
      </c>
      <c r="BD784" s="758"/>
      <c r="BE784" s="758">
        <v>0</v>
      </c>
      <c r="BF784" s="758">
        <v>4580930</v>
      </c>
      <c r="BG784" s="518">
        <f>AP784</f>
        <v>0</v>
      </c>
      <c r="BH784" s="758">
        <v>0</v>
      </c>
      <c r="BI784" s="758">
        <v>0</v>
      </c>
      <c r="BJ784" s="758">
        <v>0</v>
      </c>
      <c r="BK784" s="758">
        <v>0</v>
      </c>
      <c r="BL784" s="759">
        <f>SUM(AZ784,BA784,BB784,BC784,BD784,BE784,BF784,BG784,BH784,BI784,BJ784,BK784)</f>
        <v>4580930</v>
      </c>
      <c r="BN784" s="758">
        <v>0</v>
      </c>
      <c r="BO784" s="758">
        <v>2600000</v>
      </c>
      <c r="BP784" s="758">
        <v>0</v>
      </c>
      <c r="BQ784" s="758">
        <v>0</v>
      </c>
      <c r="BR784" s="758">
        <v>0</v>
      </c>
      <c r="BS784" s="758">
        <v>0</v>
      </c>
      <c r="BT784" s="758">
        <v>2600000</v>
      </c>
      <c r="BU784" s="758">
        <v>0</v>
      </c>
      <c r="BV784" s="758">
        <v>0</v>
      </c>
      <c r="BW784" s="758">
        <v>0</v>
      </c>
      <c r="BX784" s="758">
        <v>0</v>
      </c>
      <c r="BY784" s="758">
        <v>0</v>
      </c>
      <c r="BZ784" s="791">
        <v>5200000</v>
      </c>
      <c r="CB784" s="758">
        <v>0</v>
      </c>
      <c r="CC784" s="758">
        <v>2600000</v>
      </c>
      <c r="CD784" s="758">
        <v>0</v>
      </c>
      <c r="CE784" s="758">
        <v>0</v>
      </c>
      <c r="CF784" s="758">
        <v>0</v>
      </c>
      <c r="CG784" s="758">
        <v>0</v>
      </c>
      <c r="CH784" s="758">
        <v>2600000</v>
      </c>
      <c r="CI784" s="758">
        <v>0</v>
      </c>
      <c r="CJ784" s="758">
        <v>0</v>
      </c>
      <c r="CK784" s="758">
        <v>0</v>
      </c>
      <c r="CL784" s="758">
        <v>0</v>
      </c>
      <c r="CM784" s="758">
        <v>0</v>
      </c>
      <c r="CN784" s="791">
        <v>5200000</v>
      </c>
      <c r="CP784" s="653">
        <v>0</v>
      </c>
      <c r="CQ784" s="653"/>
      <c r="CR784" s="524"/>
      <c r="CS784" s="653"/>
      <c r="CT784" s="524"/>
      <c r="CU784" s="653"/>
      <c r="CV784" s="524"/>
      <c r="CW784" s="653"/>
      <c r="CX784" s="524"/>
      <c r="CY784" s="653"/>
      <c r="CZ784" s="524"/>
      <c r="DA784" s="653"/>
      <c r="DB784" s="524"/>
      <c r="DC784" s="653">
        <v>600000</v>
      </c>
      <c r="DD784" s="524"/>
      <c r="DE784" s="758"/>
      <c r="DF784" s="524"/>
      <c r="DG784" s="757"/>
      <c r="DH784" s="758"/>
      <c r="DI784" s="524"/>
      <c r="DJ784" s="757"/>
      <c r="DK784" s="758"/>
      <c r="DL784" s="524"/>
      <c r="DM784" s="757"/>
      <c r="DN784" s="758"/>
      <c r="DO784" s="524"/>
      <c r="DP784" s="757"/>
      <c r="DQ784" s="493">
        <f t="shared" si="454"/>
        <v>600000</v>
      </c>
      <c r="DR784" s="479">
        <f>SUM(CP784,CQ784,CS784,CU784,CX784,CZ784,DB784,DD784,DG784,DJ784,DM784,DP784)</f>
        <v>0</v>
      </c>
      <c r="DS784" s="1168" t="s">
        <v>671</v>
      </c>
      <c r="DT784" s="1169" t="s">
        <v>670</v>
      </c>
      <c r="DU784" s="1169" t="s">
        <v>670</v>
      </c>
      <c r="DV784" s="1169" t="s">
        <v>670</v>
      </c>
      <c r="DW784" s="1169" t="s">
        <v>670</v>
      </c>
      <c r="DX784" s="1169" t="s">
        <v>670</v>
      </c>
      <c r="DY784" s="1169" t="s">
        <v>670</v>
      </c>
      <c r="DZ784" s="1169">
        <v>1200000</v>
      </c>
      <c r="EA784" s="1169" t="s">
        <v>670</v>
      </c>
      <c r="EB784" s="1169" t="s">
        <v>670</v>
      </c>
      <c r="EC784" s="1169">
        <v>1200000</v>
      </c>
      <c r="ED784" s="1169" t="s">
        <v>670</v>
      </c>
      <c r="EE784" s="1119">
        <f t="shared" si="457"/>
        <v>2400000</v>
      </c>
      <c r="EF784" s="1087">
        <v>7700000</v>
      </c>
      <c r="EG784" s="1087">
        <v>8300000</v>
      </c>
      <c r="EH784" s="1087">
        <v>8400000</v>
      </c>
      <c r="EI784" s="1087">
        <v>8400000</v>
      </c>
      <c r="EJ784" s="367">
        <v>3000019892</v>
      </c>
      <c r="EL784" s="177"/>
      <c r="EM784" s="177"/>
      <c r="EN784" s="177"/>
    </row>
    <row r="785" spans="1:144" outlineLevel="2">
      <c r="A785" s="367" t="s">
        <v>242</v>
      </c>
      <c r="B785" s="378"/>
      <c r="C785" s="370" t="s">
        <v>688</v>
      </c>
      <c r="D785" s="370" t="s">
        <v>40</v>
      </c>
      <c r="E785" s="383" t="s">
        <v>171</v>
      </c>
      <c r="F785" s="380">
        <v>3211010000</v>
      </c>
      <c r="G785" s="189"/>
      <c r="H785" s="13"/>
      <c r="I785" s="185"/>
      <c r="J785" s="185"/>
      <c r="K785" s="185"/>
      <c r="L785" s="185"/>
      <c r="M785" s="185"/>
      <c r="N785" s="185"/>
      <c r="O785" s="7"/>
      <c r="P785" s="7"/>
      <c r="Q785" s="7"/>
      <c r="R785" s="7"/>
      <c r="S785" s="14"/>
      <c r="T785" s="179"/>
      <c r="U785" s="189"/>
      <c r="V785" s="13"/>
      <c r="W785" s="185"/>
      <c r="X785" s="185"/>
      <c r="Y785" s="185"/>
      <c r="Z785" s="185"/>
      <c r="AA785" s="185"/>
      <c r="AB785" s="185"/>
      <c r="AC785" s="7"/>
      <c r="AD785" s="7"/>
      <c r="AE785" s="7"/>
      <c r="AF785" s="7"/>
      <c r="AG785" s="759"/>
      <c r="AH785" s="788"/>
      <c r="AI785" s="189"/>
      <c r="AJ785" s="810"/>
      <c r="AK785" s="758"/>
      <c r="AL785" s="758"/>
      <c r="AM785" s="758"/>
      <c r="AN785" s="758"/>
      <c r="AO785" s="758"/>
      <c r="AP785" s="758"/>
      <c r="AQ785" s="518"/>
      <c r="AR785" s="518"/>
      <c r="AS785" s="518"/>
      <c r="AT785" s="518"/>
      <c r="AU785" s="518"/>
      <c r="AV785" s="518"/>
      <c r="AW785" s="518"/>
      <c r="AX785" s="518"/>
      <c r="AY785" s="788"/>
      <c r="AZ785" s="189"/>
      <c r="BA785" s="810"/>
      <c r="BB785" s="758"/>
      <c r="BC785" s="758"/>
      <c r="BD785" s="758"/>
      <c r="BE785" s="758"/>
      <c r="BF785" s="758"/>
      <c r="BG785" s="518"/>
      <c r="BH785" s="758"/>
      <c r="BI785" s="758"/>
      <c r="BJ785" s="758"/>
      <c r="BK785" s="758"/>
      <c r="BL785" s="759"/>
      <c r="BN785" s="758"/>
      <c r="BO785" s="758"/>
      <c r="BP785" s="758"/>
      <c r="BQ785" s="758"/>
      <c r="BR785" s="758"/>
      <c r="BS785" s="758"/>
      <c r="BT785" s="758"/>
      <c r="BU785" s="758"/>
      <c r="BV785" s="758"/>
      <c r="BW785" s="758"/>
      <c r="BX785" s="758"/>
      <c r="BY785" s="758"/>
      <c r="BZ785" s="791"/>
      <c r="CB785" s="758"/>
      <c r="CC785" s="758"/>
      <c r="CD785" s="758"/>
      <c r="CE785" s="758"/>
      <c r="CF785" s="758"/>
      <c r="CG785" s="758"/>
      <c r="CH785" s="758"/>
      <c r="CI785" s="758"/>
      <c r="CJ785" s="758"/>
      <c r="CK785" s="758"/>
      <c r="CL785" s="758"/>
      <c r="CM785" s="758"/>
      <c r="CN785" s="791"/>
      <c r="CP785" s="653"/>
      <c r="CQ785" s="653"/>
      <c r="CR785" s="524"/>
      <c r="CS785" s="653"/>
      <c r="CT785" s="524"/>
      <c r="CU785" s="653">
        <v>14633180</v>
      </c>
      <c r="CV785" s="524">
        <v>14000000</v>
      </c>
      <c r="CW785" s="653">
        <v>30350000</v>
      </c>
      <c r="CX785" s="524">
        <v>10000000</v>
      </c>
      <c r="CY785" s="653">
        <v>36800000</v>
      </c>
      <c r="CZ785" s="524">
        <v>17000000</v>
      </c>
      <c r="DA785" s="653">
        <v>46200000</v>
      </c>
      <c r="DB785" s="524">
        <v>17000000</v>
      </c>
      <c r="DC785" s="653">
        <v>33500000</v>
      </c>
      <c r="DD785" s="524">
        <v>17000000</v>
      </c>
      <c r="DE785" s="758"/>
      <c r="DF785" s="524">
        <v>17000000</v>
      </c>
      <c r="DG785" s="757">
        <v>17000000</v>
      </c>
      <c r="DH785" s="758"/>
      <c r="DI785" s="524">
        <v>17000000</v>
      </c>
      <c r="DJ785" s="757">
        <v>17000000</v>
      </c>
      <c r="DK785" s="758"/>
      <c r="DL785" s="524">
        <v>17000000</v>
      </c>
      <c r="DM785" s="757">
        <v>17000000</v>
      </c>
      <c r="DN785" s="758"/>
      <c r="DO785" s="524">
        <v>17000000</v>
      </c>
      <c r="DP785" s="757">
        <v>17000000</v>
      </c>
      <c r="DQ785" s="493">
        <f t="shared" si="454"/>
        <v>229483180</v>
      </c>
      <c r="DR785" s="479">
        <f>SUM(CP785,CQ785,CS785,CU785,CX785,CZ785,DB785,DD785,DG785,DJ785,DM785,DP785)</f>
        <v>143633180</v>
      </c>
      <c r="DS785" s="1168">
        <f>26000000+37000000</f>
        <v>63000000</v>
      </c>
      <c r="DT785" s="1168">
        <f t="shared" ref="DT785:ED785" si="461">26000000+37000000</f>
        <v>63000000</v>
      </c>
      <c r="DU785" s="1168">
        <f t="shared" si="461"/>
        <v>63000000</v>
      </c>
      <c r="DV785" s="1168">
        <f t="shared" si="461"/>
        <v>63000000</v>
      </c>
      <c r="DW785" s="1168">
        <f t="shared" si="461"/>
        <v>63000000</v>
      </c>
      <c r="DX785" s="1168">
        <f t="shared" si="461"/>
        <v>63000000</v>
      </c>
      <c r="DY785" s="1168">
        <f t="shared" si="461"/>
        <v>63000000</v>
      </c>
      <c r="DZ785" s="1168">
        <f t="shared" si="461"/>
        <v>63000000</v>
      </c>
      <c r="EA785" s="1168">
        <f t="shared" si="461"/>
        <v>63000000</v>
      </c>
      <c r="EB785" s="1168">
        <f t="shared" si="461"/>
        <v>63000000</v>
      </c>
      <c r="EC785" s="1168">
        <f t="shared" si="461"/>
        <v>63000000</v>
      </c>
      <c r="ED785" s="1168">
        <f t="shared" si="461"/>
        <v>63000000</v>
      </c>
      <c r="EE785" s="1119">
        <f t="shared" si="457"/>
        <v>756000000</v>
      </c>
      <c r="EF785" s="1088" t="s">
        <v>670</v>
      </c>
      <c r="EG785" s="1088" t="s">
        <v>670</v>
      </c>
      <c r="EH785" s="1088" t="s">
        <v>670</v>
      </c>
      <c r="EI785" s="1088" t="s">
        <v>670</v>
      </c>
      <c r="EL785" s="177"/>
      <c r="EM785" s="177"/>
      <c r="EN785" s="177"/>
    </row>
    <row r="786" spans="1:144" outlineLevel="2">
      <c r="A786" s="367" t="s">
        <v>925</v>
      </c>
      <c r="B786" s="378"/>
      <c r="C786" s="370" t="s">
        <v>688</v>
      </c>
      <c r="D786" s="370" t="s">
        <v>108</v>
      </c>
      <c r="E786" s="383" t="s">
        <v>935</v>
      </c>
      <c r="F786" s="380" t="s">
        <v>936</v>
      </c>
      <c r="G786" s="189"/>
      <c r="H786" s="13"/>
      <c r="I786" s="185"/>
      <c r="J786" s="185"/>
      <c r="K786" s="185"/>
      <c r="L786" s="185"/>
      <c r="M786" s="185"/>
      <c r="N786" s="185"/>
      <c r="O786" s="7"/>
      <c r="P786" s="7"/>
      <c r="Q786" s="7"/>
      <c r="R786" s="7"/>
      <c r="S786" s="14"/>
      <c r="T786" s="179"/>
      <c r="U786" s="189"/>
      <c r="V786" s="13"/>
      <c r="W786" s="185"/>
      <c r="X786" s="185"/>
      <c r="Y786" s="185"/>
      <c r="Z786" s="185"/>
      <c r="AA786" s="185"/>
      <c r="AB786" s="185"/>
      <c r="AC786" s="7"/>
      <c r="AD786" s="7"/>
      <c r="AE786" s="7"/>
      <c r="AF786" s="7"/>
      <c r="AG786" s="759"/>
      <c r="AH786" s="788"/>
      <c r="AI786" s="189"/>
      <c r="AJ786" s="810"/>
      <c r="AK786" s="758"/>
      <c r="AL786" s="758"/>
      <c r="AM786" s="758"/>
      <c r="AN786" s="758"/>
      <c r="AO786" s="758"/>
      <c r="AP786" s="758"/>
      <c r="AQ786" s="518"/>
      <c r="AR786" s="518"/>
      <c r="AS786" s="518"/>
      <c r="AT786" s="518"/>
      <c r="AU786" s="518"/>
      <c r="AV786" s="518"/>
      <c r="AW786" s="518"/>
      <c r="AX786" s="518"/>
      <c r="AY786" s="788"/>
      <c r="AZ786" s="189"/>
      <c r="BA786" s="810"/>
      <c r="BB786" s="758"/>
      <c r="BC786" s="758"/>
      <c r="BD786" s="758"/>
      <c r="BE786" s="758"/>
      <c r="BF786" s="758"/>
      <c r="BG786" s="518"/>
      <c r="BH786" s="758"/>
      <c r="BI786" s="758"/>
      <c r="BJ786" s="758"/>
      <c r="BK786" s="758"/>
      <c r="BL786" s="759"/>
      <c r="BN786" s="758"/>
      <c r="BO786" s="758"/>
      <c r="BP786" s="758"/>
      <c r="BQ786" s="758"/>
      <c r="BR786" s="758"/>
      <c r="BS786" s="758"/>
      <c r="BT786" s="758"/>
      <c r="BU786" s="758"/>
      <c r="BV786" s="758"/>
      <c r="BW786" s="758"/>
      <c r="BX786" s="758"/>
      <c r="BY786" s="758"/>
      <c r="BZ786" s="791"/>
      <c r="CB786" s="758"/>
      <c r="CC786" s="758"/>
      <c r="CD786" s="758"/>
      <c r="CE786" s="758"/>
      <c r="CF786" s="758"/>
      <c r="CG786" s="758"/>
      <c r="CH786" s="758"/>
      <c r="CI786" s="758"/>
      <c r="CJ786" s="758"/>
      <c r="CK786" s="758"/>
      <c r="CL786" s="758"/>
      <c r="CM786" s="758"/>
      <c r="CN786" s="791"/>
      <c r="CP786" s="653"/>
      <c r="CQ786" s="653"/>
      <c r="CR786" s="524"/>
      <c r="CS786" s="653"/>
      <c r="CT786" s="524"/>
      <c r="CU786" s="653"/>
      <c r="CV786" s="524"/>
      <c r="CW786" s="653"/>
      <c r="CX786" s="524"/>
      <c r="CY786" s="653"/>
      <c r="CZ786" s="524"/>
      <c r="DA786" s="653"/>
      <c r="DB786" s="524"/>
      <c r="DC786" s="653">
        <v>170075000</v>
      </c>
      <c r="DD786" s="524"/>
      <c r="DE786" s="758"/>
      <c r="DF786" s="524"/>
      <c r="DG786" s="757"/>
      <c r="DH786" s="758"/>
      <c r="DI786" s="524"/>
      <c r="DJ786" s="757"/>
      <c r="DK786" s="758"/>
      <c r="DL786" s="524"/>
      <c r="DM786" s="757"/>
      <c r="DN786" s="758"/>
      <c r="DO786" s="524"/>
      <c r="DP786" s="757"/>
      <c r="DQ786" s="493">
        <f t="shared" si="454"/>
        <v>170075000</v>
      </c>
      <c r="DR786" s="479"/>
      <c r="DS786" s="1168" t="s">
        <v>670</v>
      </c>
      <c r="DT786" s="1169" t="s">
        <v>670</v>
      </c>
      <c r="DU786" s="1169" t="s">
        <v>670</v>
      </c>
      <c r="DV786" s="1169" t="s">
        <v>670</v>
      </c>
      <c r="DW786" s="1169" t="s">
        <v>670</v>
      </c>
      <c r="DX786" s="1169" t="s">
        <v>670</v>
      </c>
      <c r="DY786" s="1169" t="s">
        <v>670</v>
      </c>
      <c r="DZ786" s="1169" t="s">
        <v>671</v>
      </c>
      <c r="EA786" s="1169" t="s">
        <v>670</v>
      </c>
      <c r="EB786" s="1169" t="s">
        <v>670</v>
      </c>
      <c r="EC786" s="1169" t="s">
        <v>670</v>
      </c>
      <c r="ED786" s="1169" t="s">
        <v>670</v>
      </c>
      <c r="EE786" s="1119">
        <f t="shared" si="457"/>
        <v>0</v>
      </c>
      <c r="EF786" s="1088" t="s">
        <v>670</v>
      </c>
      <c r="EG786" s="1088" t="s">
        <v>670</v>
      </c>
      <c r="EH786" s="1088" t="s">
        <v>670</v>
      </c>
      <c r="EI786" s="1088" t="s">
        <v>670</v>
      </c>
      <c r="EL786" s="177"/>
      <c r="EM786" s="177"/>
      <c r="EN786" s="177"/>
    </row>
    <row r="787" spans="1:144" outlineLevel="2">
      <c r="A787" s="367" t="s">
        <v>242</v>
      </c>
      <c r="B787" s="378"/>
      <c r="C787" s="370" t="s">
        <v>688</v>
      </c>
      <c r="D787" s="370" t="s">
        <v>40</v>
      </c>
      <c r="E787" s="383" t="s">
        <v>937</v>
      </c>
      <c r="F787" s="380">
        <v>3000016115</v>
      </c>
      <c r="G787" s="189"/>
      <c r="H787" s="13"/>
      <c r="I787" s="185"/>
      <c r="J787" s="185"/>
      <c r="K787" s="185"/>
      <c r="L787" s="185"/>
      <c r="M787" s="185"/>
      <c r="N787" s="185"/>
      <c r="O787" s="7"/>
      <c r="P787" s="7"/>
      <c r="Q787" s="7"/>
      <c r="R787" s="7"/>
      <c r="S787" s="14">
        <f>SUM(G787,H787,I787,J787,K787,L787,M787,N787,O787,P787,Q787,R787)</f>
        <v>0</v>
      </c>
      <c r="T787" s="179"/>
      <c r="U787" s="189"/>
      <c r="V787" s="13"/>
      <c r="W787" s="185"/>
      <c r="X787" s="185"/>
      <c r="Y787" s="185"/>
      <c r="Z787" s="185"/>
      <c r="AA787" s="185"/>
      <c r="AB787" s="185"/>
      <c r="AC787" s="7"/>
      <c r="AD787" s="7"/>
      <c r="AE787" s="7"/>
      <c r="AF787" s="7"/>
      <c r="AG787" s="759">
        <f>SUM(U787,V787,W787,X787,Y787,Z787,AA787,AB787,AC787,AD787,AE787,AF787)</f>
        <v>0</v>
      </c>
      <c r="AH787" s="788"/>
      <c r="AI787" s="189"/>
      <c r="AJ787" s="810"/>
      <c r="AK787" s="758"/>
      <c r="AL787" s="758">
        <v>0</v>
      </c>
      <c r="AM787" s="758">
        <v>0</v>
      </c>
      <c r="AN787" s="758">
        <v>0</v>
      </c>
      <c r="AO787" s="758">
        <v>0</v>
      </c>
      <c r="AP787" s="758">
        <v>0</v>
      </c>
      <c r="AQ787" s="518">
        <v>0</v>
      </c>
      <c r="AR787" s="813">
        <v>4500000</v>
      </c>
      <c r="AS787" s="813">
        <v>0</v>
      </c>
      <c r="AT787" s="813">
        <v>14700000</v>
      </c>
      <c r="AU787" s="518">
        <f>BI787</f>
        <v>3000000</v>
      </c>
      <c r="AV787" s="518">
        <f>BJ787</f>
        <v>3000000</v>
      </c>
      <c r="AW787" s="518">
        <f>BK787</f>
        <v>0</v>
      </c>
      <c r="AX787" s="518">
        <f t="shared" ref="AX787:AX795" si="462">SUM(AI787,AJ787,AK787,AL787,AM787,AN787,AO787,AP787,AQ787,AR787,AS787,AT787)</f>
        <v>19200000</v>
      </c>
      <c r="AY787" s="788"/>
      <c r="AZ787" s="189"/>
      <c r="BA787" s="810"/>
      <c r="BB787" s="758"/>
      <c r="BC787" s="758">
        <v>0</v>
      </c>
      <c r="BD787" s="758">
        <v>0</v>
      </c>
      <c r="BE787" s="758">
        <v>0</v>
      </c>
      <c r="BF787" s="758">
        <v>0</v>
      </c>
      <c r="BG787" s="518">
        <f>AP787</f>
        <v>0</v>
      </c>
      <c r="BH787" s="758">
        <v>3000000</v>
      </c>
      <c r="BI787" s="758">
        <v>3000000</v>
      </c>
      <c r="BJ787" s="758">
        <v>3000000</v>
      </c>
      <c r="BK787" s="758">
        <v>0</v>
      </c>
      <c r="BL787" s="759">
        <f>SUM(AZ787,BA787,BB787,BC787,BD787,BE787,BF787,BG787,BH787,BI787,BJ787,BK787)</f>
        <v>9000000</v>
      </c>
      <c r="BN787" s="758">
        <v>0</v>
      </c>
      <c r="BO787" s="758">
        <v>5500000</v>
      </c>
      <c r="BP787" s="758">
        <v>5500000</v>
      </c>
      <c r="BQ787" s="758">
        <v>5500000</v>
      </c>
      <c r="BR787" s="758">
        <v>0</v>
      </c>
      <c r="BS787" s="758">
        <v>0</v>
      </c>
      <c r="BT787" s="758">
        <v>5500000</v>
      </c>
      <c r="BU787" s="758">
        <v>5500000</v>
      </c>
      <c r="BV787" s="758">
        <v>5500000</v>
      </c>
      <c r="BW787" s="758">
        <v>5500000</v>
      </c>
      <c r="BX787" s="758">
        <v>0</v>
      </c>
      <c r="BY787" s="758">
        <v>5500000</v>
      </c>
      <c r="BZ787" s="791">
        <v>44000000</v>
      </c>
      <c r="CB787" s="758">
        <v>0</v>
      </c>
      <c r="CC787" s="758">
        <v>5500000</v>
      </c>
      <c r="CD787" s="758">
        <v>5500000</v>
      </c>
      <c r="CE787" s="758">
        <v>5500000</v>
      </c>
      <c r="CF787" s="758">
        <v>0</v>
      </c>
      <c r="CG787" s="758">
        <v>0</v>
      </c>
      <c r="CH787" s="758">
        <v>5500000</v>
      </c>
      <c r="CI787" s="758">
        <v>5500000</v>
      </c>
      <c r="CJ787" s="758">
        <v>5500000</v>
      </c>
      <c r="CK787" s="758">
        <v>5500000</v>
      </c>
      <c r="CL787" s="758">
        <v>0</v>
      </c>
      <c r="CM787" s="758">
        <v>5500000</v>
      </c>
      <c r="CN787" s="791">
        <v>44000000</v>
      </c>
      <c r="CP787" s="653">
        <v>0</v>
      </c>
      <c r="CQ787" s="653"/>
      <c r="CR787" s="524"/>
      <c r="CS787" s="653"/>
      <c r="CT787" s="524"/>
      <c r="CU787" s="653">
        <v>11200000</v>
      </c>
      <c r="CV787" s="524">
        <v>9000000</v>
      </c>
      <c r="CW787" s="653"/>
      <c r="CX787" s="524"/>
      <c r="CY787" s="653"/>
      <c r="CZ787" s="524"/>
      <c r="DA787" s="653"/>
      <c r="DB787" s="524">
        <v>9000000</v>
      </c>
      <c r="DC787" s="653">
        <v>0</v>
      </c>
      <c r="DD787" s="524"/>
      <c r="DE787" s="758"/>
      <c r="DF787" s="524"/>
      <c r="DG787" s="757"/>
      <c r="DH787" s="758"/>
      <c r="DI787" s="524">
        <v>9000000</v>
      </c>
      <c r="DJ787" s="757">
        <v>9000000</v>
      </c>
      <c r="DK787" s="758"/>
      <c r="DL787" s="524"/>
      <c r="DM787" s="757"/>
      <c r="DN787" s="758"/>
      <c r="DO787" s="524"/>
      <c r="DP787" s="757"/>
      <c r="DQ787" s="493">
        <f t="shared" si="454"/>
        <v>20200000</v>
      </c>
      <c r="DR787" s="479">
        <f>SUM(CP787,CQ787,CS787,CU787,CX787,CZ787,DB787,DD787,DG787,DJ787,DM787,DP787)</f>
        <v>29200000</v>
      </c>
      <c r="DS787" s="1168" t="s">
        <v>671</v>
      </c>
      <c r="DT787" s="1169">
        <v>5700000</v>
      </c>
      <c r="DU787" s="1169" t="s">
        <v>670</v>
      </c>
      <c r="DV787" s="1169">
        <v>5700000</v>
      </c>
      <c r="DW787" s="1169" t="s">
        <v>670</v>
      </c>
      <c r="DX787" s="1169" t="s">
        <v>670</v>
      </c>
      <c r="DY787" s="1169">
        <v>5700000</v>
      </c>
      <c r="DZ787" s="1169" t="s">
        <v>671</v>
      </c>
      <c r="EA787" s="1169" t="s">
        <v>670</v>
      </c>
      <c r="EB787" s="1169">
        <v>5700000</v>
      </c>
      <c r="EC787" s="1169" t="s">
        <v>670</v>
      </c>
      <c r="ED787" s="1169" t="s">
        <v>670</v>
      </c>
      <c r="EE787" s="1119">
        <f t="shared" si="457"/>
        <v>22800000</v>
      </c>
      <c r="EF787" s="1087">
        <v>26676000</v>
      </c>
      <c r="EG787" s="1087">
        <v>28810080</v>
      </c>
      <c r="EH787" s="1087">
        <v>73000000</v>
      </c>
      <c r="EI787" s="1087">
        <v>73000000</v>
      </c>
      <c r="EJ787" s="367">
        <v>3000016115</v>
      </c>
      <c r="EL787" s="177"/>
      <c r="EM787" s="177"/>
      <c r="EN787" s="177"/>
    </row>
    <row r="788" spans="1:144" outlineLevel="2">
      <c r="A788" s="367" t="s">
        <v>242</v>
      </c>
      <c r="B788" s="378"/>
      <c r="C788" s="370" t="s">
        <v>688</v>
      </c>
      <c r="E788" s="383"/>
      <c r="F788" s="380"/>
      <c r="G788" s="189"/>
      <c r="H788" s="1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14"/>
      <c r="T788" s="179"/>
      <c r="U788" s="189"/>
      <c r="V788" s="13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759"/>
      <c r="AH788" s="788"/>
      <c r="AI788" s="189"/>
      <c r="AJ788" s="810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518">
        <f t="shared" si="462"/>
        <v>0</v>
      </c>
      <c r="AY788" s="788"/>
      <c r="AZ788" s="189"/>
      <c r="BA788" s="810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759"/>
      <c r="BN788" s="758"/>
      <c r="BO788" s="758"/>
      <c r="BP788" s="758"/>
      <c r="BQ788" s="758"/>
      <c r="BR788" s="758"/>
      <c r="BS788" s="758"/>
      <c r="BT788" s="758"/>
      <c r="BU788" s="758"/>
      <c r="BV788" s="758"/>
      <c r="BW788" s="758"/>
      <c r="BX788" s="758"/>
      <c r="BY788" s="758"/>
      <c r="BZ788" s="791">
        <v>0</v>
      </c>
      <c r="CB788" s="758"/>
      <c r="CC788" s="758"/>
      <c r="CD788" s="758"/>
      <c r="CE788" s="758"/>
      <c r="CF788" s="758"/>
      <c r="CG788" s="758"/>
      <c r="CH788" s="758"/>
      <c r="CI788" s="758"/>
      <c r="CJ788" s="758"/>
      <c r="CK788" s="758"/>
      <c r="CL788" s="758"/>
      <c r="CM788" s="758"/>
      <c r="CN788" s="791">
        <v>0</v>
      </c>
      <c r="CP788" s="653">
        <v>0</v>
      </c>
      <c r="CQ788" s="653"/>
      <c r="CR788" s="524"/>
      <c r="CS788" s="653"/>
      <c r="CT788" s="524"/>
      <c r="CU788" s="653"/>
      <c r="CV788" s="524"/>
      <c r="CW788" s="653"/>
      <c r="CX788" s="524"/>
      <c r="CY788" s="653"/>
      <c r="CZ788" s="524"/>
      <c r="DA788" s="653"/>
      <c r="DB788" s="524"/>
      <c r="DC788" s="653">
        <v>0</v>
      </c>
      <c r="DD788" s="524"/>
      <c r="DE788" s="758"/>
      <c r="DF788" s="524"/>
      <c r="DG788" s="757"/>
      <c r="DH788" s="758"/>
      <c r="DI788" s="524"/>
      <c r="DJ788" s="757"/>
      <c r="DK788" s="758"/>
      <c r="DL788" s="524"/>
      <c r="DM788" s="757"/>
      <c r="DN788" s="758"/>
      <c r="DO788" s="524"/>
      <c r="DP788" s="757"/>
      <c r="DQ788" s="493">
        <f t="shared" si="454"/>
        <v>0</v>
      </c>
      <c r="DR788" s="479">
        <f>SUM(CP788,CQ788,CS788,CU788,CX788,CZ788,DB788,DD788,DG788,DJ788,DM788,DP788)</f>
        <v>0</v>
      </c>
      <c r="DS788" s="1019"/>
      <c r="DT788" s="1019"/>
      <c r="DU788" s="1019"/>
      <c r="DV788" s="1019"/>
      <c r="DW788" s="1019"/>
      <c r="DX788" s="1019"/>
      <c r="DY788" s="1019"/>
      <c r="DZ788" s="1019"/>
      <c r="EA788" s="1019"/>
      <c r="EB788" s="1019"/>
      <c r="EC788" s="1019"/>
      <c r="ED788" s="1019"/>
      <c r="EE788" s="1119">
        <f t="shared" si="457"/>
        <v>0</v>
      </c>
      <c r="EF788" s="443">
        <v>200000000</v>
      </c>
      <c r="EG788" s="443">
        <v>800000000</v>
      </c>
      <c r="EH788" s="443">
        <f>EG788*1.5</f>
        <v>1200000000</v>
      </c>
      <c r="EI788" s="443">
        <f>EH788*1.5</f>
        <v>1800000000</v>
      </c>
      <c r="EL788" s="177"/>
      <c r="EM788" s="177"/>
      <c r="EN788" s="177"/>
    </row>
    <row r="789" spans="1:144" outlineLevel="2">
      <c r="A789" s="367" t="s">
        <v>242</v>
      </c>
      <c r="B789" s="378"/>
      <c r="C789" s="370" t="s">
        <v>688</v>
      </c>
      <c r="E789" s="383"/>
      <c r="F789" s="380"/>
      <c r="G789" s="189"/>
      <c r="H789" s="1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14"/>
      <c r="T789" s="179"/>
      <c r="U789" s="189"/>
      <c r="V789" s="13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759"/>
      <c r="AH789" s="788"/>
      <c r="AI789" s="189"/>
      <c r="AJ789" s="810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518">
        <f t="shared" si="462"/>
        <v>0</v>
      </c>
      <c r="AY789" s="788"/>
      <c r="AZ789" s="189"/>
      <c r="BA789" s="810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759"/>
      <c r="BN789" s="758"/>
      <c r="BO789" s="758"/>
      <c r="BP789" s="758"/>
      <c r="BQ789" s="758"/>
      <c r="BR789" s="758"/>
      <c r="BS789" s="758"/>
      <c r="BT789" s="758"/>
      <c r="BU789" s="758"/>
      <c r="BV789" s="758"/>
      <c r="BW789" s="758"/>
      <c r="BX789" s="758"/>
      <c r="BY789" s="758"/>
      <c r="BZ789" s="791">
        <v>0</v>
      </c>
      <c r="CB789" s="758"/>
      <c r="CC789" s="758"/>
      <c r="CD789" s="758"/>
      <c r="CE789" s="758"/>
      <c r="CF789" s="758"/>
      <c r="CG789" s="758"/>
      <c r="CH789" s="758"/>
      <c r="CI789" s="758"/>
      <c r="CJ789" s="758"/>
      <c r="CK789" s="758"/>
      <c r="CL789" s="758"/>
      <c r="CM789" s="758"/>
      <c r="CN789" s="791">
        <v>0</v>
      </c>
      <c r="CP789" s="653">
        <v>0</v>
      </c>
      <c r="CQ789" s="653"/>
      <c r="CR789" s="524"/>
      <c r="CS789" s="653"/>
      <c r="CT789" s="524"/>
      <c r="CU789" s="653"/>
      <c r="CV789" s="524"/>
      <c r="CW789" s="653"/>
      <c r="CX789" s="524"/>
      <c r="CY789" s="653"/>
      <c r="CZ789" s="524"/>
      <c r="DA789" s="653"/>
      <c r="DB789" s="524"/>
      <c r="DC789" s="653">
        <v>0</v>
      </c>
      <c r="DD789" s="524"/>
      <c r="DE789" s="758"/>
      <c r="DF789" s="524"/>
      <c r="DG789" s="757"/>
      <c r="DH789" s="758"/>
      <c r="DI789" s="524"/>
      <c r="DJ789" s="757"/>
      <c r="DK789" s="758"/>
      <c r="DL789" s="524"/>
      <c r="DM789" s="757"/>
      <c r="DN789" s="758"/>
      <c r="DO789" s="524"/>
      <c r="DP789" s="757"/>
      <c r="DQ789" s="493">
        <f t="shared" si="454"/>
        <v>0</v>
      </c>
      <c r="DR789" s="479">
        <f>SUM(CP789,CQ789,CS789,CU789,CX789,CZ789,DB789,DD789,DG789,DJ789,DM789,DP789)</f>
        <v>0</v>
      </c>
      <c r="DS789" s="1019"/>
      <c r="DT789" s="1019"/>
      <c r="DU789" s="1019"/>
      <c r="DV789" s="1019"/>
      <c r="DW789" s="1019"/>
      <c r="DX789" s="1019"/>
      <c r="DY789" s="1019"/>
      <c r="DZ789" s="1019"/>
      <c r="EA789" s="1019"/>
      <c r="EB789" s="1019"/>
      <c r="EC789" s="1019"/>
      <c r="ED789" s="1019"/>
      <c r="EE789" s="1119">
        <f t="shared" si="457"/>
        <v>0</v>
      </c>
      <c r="EF789" s="443">
        <v>200000000</v>
      </c>
      <c r="EG789" s="443">
        <v>510000000</v>
      </c>
      <c r="EH789" s="443">
        <v>1800000000</v>
      </c>
      <c r="EI789" s="443">
        <v>1800000000</v>
      </c>
      <c r="EL789" s="177"/>
      <c r="EM789" s="177"/>
      <c r="EN789" s="177"/>
    </row>
    <row r="790" spans="1:144" outlineLevel="2">
      <c r="A790" s="367" t="s">
        <v>242</v>
      </c>
      <c r="B790" s="378"/>
      <c r="C790" s="370" t="s">
        <v>688</v>
      </c>
      <c r="D790" s="370" t="s">
        <v>40</v>
      </c>
      <c r="E790" s="383" t="s">
        <v>203</v>
      </c>
      <c r="F790" s="380">
        <v>3000007677</v>
      </c>
      <c r="G790" s="189"/>
      <c r="H790" s="13"/>
      <c r="I790" s="185"/>
      <c r="J790" s="185"/>
      <c r="K790" s="185"/>
      <c r="L790" s="185"/>
      <c r="M790" s="185"/>
      <c r="N790" s="185"/>
      <c r="O790" s="7"/>
      <c r="P790" s="7"/>
      <c r="Q790" s="7"/>
      <c r="R790" s="7"/>
      <c r="S790" s="14">
        <f>SUM(G790,H790,I790,J790,K790,L790,M790,N790,O790,P790,Q790,R790)</f>
        <v>0</v>
      </c>
      <c r="T790" s="179"/>
      <c r="U790" s="189"/>
      <c r="V790" s="13"/>
      <c r="W790" s="185"/>
      <c r="X790" s="185"/>
      <c r="Y790" s="185"/>
      <c r="Z790" s="185"/>
      <c r="AA790" s="185"/>
      <c r="AB790" s="185"/>
      <c r="AC790" s="7"/>
      <c r="AD790" s="7"/>
      <c r="AE790" s="7"/>
      <c r="AF790" s="7"/>
      <c r="AG790" s="759">
        <f>SUM(U790,V790,W790,X790,Y790,Z790,AA790,AB790,AC790,AD790,AE790,AF790)</f>
        <v>0</v>
      </c>
      <c r="AH790" s="788"/>
      <c r="AI790" s="189"/>
      <c r="AJ790" s="810"/>
      <c r="AK790" s="758"/>
      <c r="AL790" s="758">
        <v>0</v>
      </c>
      <c r="AM790" s="758">
        <v>2950000</v>
      </c>
      <c r="AN790" s="758">
        <v>0</v>
      </c>
      <c r="AO790" s="758">
        <v>0</v>
      </c>
      <c r="AP790" s="758">
        <v>0</v>
      </c>
      <c r="AQ790" s="518">
        <v>0</v>
      </c>
      <c r="AR790" s="518"/>
      <c r="AS790" s="518"/>
      <c r="AT790" s="518"/>
      <c r="AU790" s="518">
        <f t="shared" ref="AU790:AW795" si="463">BI790</f>
        <v>0</v>
      </c>
      <c r="AV790" s="518">
        <f t="shared" si="463"/>
        <v>0</v>
      </c>
      <c r="AW790" s="518">
        <f t="shared" si="463"/>
        <v>0</v>
      </c>
      <c r="AX790" s="518">
        <f t="shared" si="462"/>
        <v>2950000</v>
      </c>
      <c r="AY790" s="788"/>
      <c r="AZ790" s="189"/>
      <c r="BA790" s="810"/>
      <c r="BB790" s="758"/>
      <c r="BC790" s="758">
        <v>0</v>
      </c>
      <c r="BD790" s="758">
        <v>2950000</v>
      </c>
      <c r="BE790" s="758">
        <v>0</v>
      </c>
      <c r="BF790" s="758">
        <v>0</v>
      </c>
      <c r="BG790" s="518">
        <f>AP790</f>
        <v>0</v>
      </c>
      <c r="BH790" s="758">
        <v>0</v>
      </c>
      <c r="BI790" s="758">
        <v>0</v>
      </c>
      <c r="BJ790" s="758">
        <v>0</v>
      </c>
      <c r="BK790" s="758">
        <v>0</v>
      </c>
      <c r="BL790" s="759">
        <f>SUM(AZ790,BA790,BB790,BC790,BD790,BE790,BF790,BG790,BH790,BI790,BJ790,BK790)</f>
        <v>2950000</v>
      </c>
      <c r="BN790" s="758">
        <v>0</v>
      </c>
      <c r="BO790" s="758">
        <v>0</v>
      </c>
      <c r="BP790" s="758">
        <v>2950000</v>
      </c>
      <c r="BQ790" s="758">
        <v>0</v>
      </c>
      <c r="BR790" s="758">
        <v>0</v>
      </c>
      <c r="BS790" s="758">
        <v>0</v>
      </c>
      <c r="BT790" s="758">
        <v>0</v>
      </c>
      <c r="BU790" s="758">
        <v>0</v>
      </c>
      <c r="BV790" s="758">
        <v>2950000</v>
      </c>
      <c r="BW790" s="758">
        <v>0</v>
      </c>
      <c r="BX790" s="758">
        <v>0</v>
      </c>
      <c r="BY790" s="758">
        <v>0</v>
      </c>
      <c r="BZ790" s="791">
        <v>5900000</v>
      </c>
      <c r="CB790" s="758">
        <v>0</v>
      </c>
      <c r="CC790" s="758">
        <v>0</v>
      </c>
      <c r="CD790" s="758">
        <v>2950000</v>
      </c>
      <c r="CE790" s="758">
        <v>0</v>
      </c>
      <c r="CF790" s="758">
        <v>0</v>
      </c>
      <c r="CG790" s="758">
        <v>0</v>
      </c>
      <c r="CH790" s="758">
        <v>0</v>
      </c>
      <c r="CI790" s="758">
        <v>0</v>
      </c>
      <c r="CJ790" s="758">
        <v>2950000</v>
      </c>
      <c r="CK790" s="758">
        <v>0</v>
      </c>
      <c r="CL790" s="758">
        <v>0</v>
      </c>
      <c r="CM790" s="758">
        <v>0</v>
      </c>
      <c r="CN790" s="791">
        <v>5900000</v>
      </c>
      <c r="CP790" s="653">
        <v>5906090</v>
      </c>
      <c r="CQ790" s="653"/>
      <c r="CR790" s="524"/>
      <c r="CS790" s="653"/>
      <c r="CT790" s="524"/>
      <c r="CU790" s="653"/>
      <c r="CV790" s="524"/>
      <c r="CW790" s="653"/>
      <c r="CX790" s="524"/>
      <c r="CY790" s="653"/>
      <c r="CZ790" s="524"/>
      <c r="DA790" s="653"/>
      <c r="DB790" s="524"/>
      <c r="DC790" s="653">
        <v>0</v>
      </c>
      <c r="DD790" s="524"/>
      <c r="DE790" s="758"/>
      <c r="DF790" s="524"/>
      <c r="DG790" s="757"/>
      <c r="DH790" s="758"/>
      <c r="DI790" s="524"/>
      <c r="DJ790" s="757"/>
      <c r="DK790" s="758"/>
      <c r="DL790" s="524"/>
      <c r="DM790" s="757"/>
      <c r="DN790" s="758"/>
      <c r="DO790" s="524"/>
      <c r="DP790" s="757"/>
      <c r="DQ790" s="493">
        <f t="shared" si="454"/>
        <v>5906090</v>
      </c>
      <c r="DR790" s="479">
        <f>SUM(CP790,CQ790,CS790,CU790,CX790,CZ790,DB790,DD790,DG790,DJ790,DM790,DP790)</f>
        <v>5906090</v>
      </c>
      <c r="DS790" s="1168" t="s">
        <v>671</v>
      </c>
      <c r="DT790" s="1169">
        <v>6000000</v>
      </c>
      <c r="DU790" s="1169" t="s">
        <v>670</v>
      </c>
      <c r="DV790" s="1169">
        <v>6000000</v>
      </c>
      <c r="DW790" s="1169" t="s">
        <v>670</v>
      </c>
      <c r="DX790" s="1169" t="s">
        <v>670</v>
      </c>
      <c r="DY790" s="1169" t="s">
        <v>670</v>
      </c>
      <c r="DZ790" s="1169" t="s">
        <v>671</v>
      </c>
      <c r="EA790" s="1169" t="s">
        <v>670</v>
      </c>
      <c r="EB790" s="1169" t="s">
        <v>670</v>
      </c>
      <c r="EC790" s="1169" t="s">
        <v>670</v>
      </c>
      <c r="ED790" s="1169" t="s">
        <v>670</v>
      </c>
      <c r="EE790" s="1119">
        <f t="shared" si="457"/>
        <v>12000000</v>
      </c>
      <c r="EF790" s="1087">
        <v>8200000</v>
      </c>
      <c r="EG790" s="1087">
        <v>8856000</v>
      </c>
      <c r="EH790" s="1087">
        <v>9500000</v>
      </c>
      <c r="EI790" s="1087">
        <v>9500000</v>
      </c>
      <c r="EJ790" s="367">
        <v>3000007677</v>
      </c>
      <c r="EL790" s="177"/>
      <c r="EM790" s="177"/>
      <c r="EN790" s="177"/>
    </row>
    <row r="791" spans="1:144" outlineLevel="2">
      <c r="B791" s="378"/>
      <c r="C791" s="370" t="s">
        <v>688</v>
      </c>
      <c r="D791" s="370" t="s">
        <v>108</v>
      </c>
      <c r="E791" s="383" t="s">
        <v>204</v>
      </c>
      <c r="F791" s="380"/>
      <c r="G791" s="189"/>
      <c r="H791" s="13"/>
      <c r="I791" s="185"/>
      <c r="J791" s="185"/>
      <c r="K791" s="185"/>
      <c r="L791" s="185"/>
      <c r="M791" s="185"/>
      <c r="N791" s="185"/>
      <c r="O791" s="7"/>
      <c r="P791" s="7"/>
      <c r="Q791" s="7"/>
      <c r="R791" s="7"/>
      <c r="S791" s="14"/>
      <c r="T791" s="179"/>
      <c r="U791" s="189"/>
      <c r="V791" s="13"/>
      <c r="W791" s="185"/>
      <c r="X791" s="185"/>
      <c r="Y791" s="185"/>
      <c r="Z791" s="185"/>
      <c r="AA791" s="185"/>
      <c r="AB791" s="185"/>
      <c r="AC791" s="7"/>
      <c r="AD791" s="7"/>
      <c r="AE791" s="7"/>
      <c r="AF791" s="7"/>
      <c r="AG791" s="759"/>
      <c r="AH791" s="788"/>
      <c r="AI791" s="189"/>
      <c r="AJ791" s="810"/>
      <c r="AK791" s="758"/>
      <c r="AL791" s="758"/>
      <c r="AM791" s="758"/>
      <c r="AN791" s="758"/>
      <c r="AO791" s="758"/>
      <c r="AP791" s="758"/>
      <c r="AQ791" s="518"/>
      <c r="AR791" s="518"/>
      <c r="AS791" s="518"/>
      <c r="AT791" s="518"/>
      <c r="AU791" s="518"/>
      <c r="AV791" s="518"/>
      <c r="AW791" s="518"/>
      <c r="AX791" s="518"/>
      <c r="AY791" s="788"/>
      <c r="AZ791" s="189"/>
      <c r="BA791" s="810"/>
      <c r="BB791" s="758"/>
      <c r="BC791" s="758"/>
      <c r="BD791" s="758"/>
      <c r="BE791" s="758"/>
      <c r="BF791" s="758"/>
      <c r="BG791" s="518"/>
      <c r="BH791" s="758"/>
      <c r="BI791" s="758"/>
      <c r="BJ791" s="758"/>
      <c r="BK791" s="758"/>
      <c r="BL791" s="759"/>
      <c r="BN791" s="758"/>
      <c r="BO791" s="758"/>
      <c r="BP791" s="758"/>
      <c r="BQ791" s="758"/>
      <c r="BR791" s="758"/>
      <c r="BS791" s="758"/>
      <c r="BT791" s="758"/>
      <c r="BU791" s="758"/>
      <c r="BV791" s="758"/>
      <c r="BW791" s="758"/>
      <c r="BX791" s="758"/>
      <c r="BY791" s="758"/>
      <c r="BZ791" s="791"/>
      <c r="CB791" s="758"/>
      <c r="CC791" s="758"/>
      <c r="CD791" s="758"/>
      <c r="CE791" s="758"/>
      <c r="CF791" s="758"/>
      <c r="CG791" s="758"/>
      <c r="CH791" s="758"/>
      <c r="CI791" s="758"/>
      <c r="CJ791" s="758"/>
      <c r="CK791" s="758"/>
      <c r="CL791" s="758"/>
      <c r="CM791" s="758"/>
      <c r="CN791" s="791"/>
      <c r="CP791" s="653"/>
      <c r="CQ791" s="653"/>
      <c r="CR791" s="524"/>
      <c r="CS791" s="653"/>
      <c r="CT791" s="524"/>
      <c r="CU791" s="653"/>
      <c r="CV791" s="524"/>
      <c r="CW791" s="653"/>
      <c r="CX791" s="524"/>
      <c r="CY791" s="653">
        <v>9642950</v>
      </c>
      <c r="CZ791" s="524"/>
      <c r="DA791" s="653"/>
      <c r="DB791" s="524"/>
      <c r="DC791" s="653">
        <v>3657180</v>
      </c>
      <c r="DD791" s="524"/>
      <c r="DE791" s="758"/>
      <c r="DF791" s="524"/>
      <c r="DG791" s="757"/>
      <c r="DH791" s="758"/>
      <c r="DI791" s="524"/>
      <c r="DJ791" s="757"/>
      <c r="DK791" s="758"/>
      <c r="DL791" s="524"/>
      <c r="DM791" s="757"/>
      <c r="DN791" s="758"/>
      <c r="DO791" s="524"/>
      <c r="DP791" s="757"/>
      <c r="DQ791" s="493">
        <f t="shared" si="454"/>
        <v>13300130</v>
      </c>
      <c r="DR791" s="479"/>
      <c r="DS791" s="1168">
        <v>3750000</v>
      </c>
      <c r="DT791" s="1169">
        <v>3750000</v>
      </c>
      <c r="DU791" s="1169">
        <v>3750000</v>
      </c>
      <c r="DV791" s="1169">
        <v>3750000</v>
      </c>
      <c r="DW791" s="1169" t="s">
        <v>670</v>
      </c>
      <c r="DX791" s="1169" t="s">
        <v>670</v>
      </c>
      <c r="DY791" s="1169" t="s">
        <v>670</v>
      </c>
      <c r="DZ791" s="1169" t="s">
        <v>670</v>
      </c>
      <c r="EA791" s="1169" t="s">
        <v>670</v>
      </c>
      <c r="EB791" s="1169" t="s">
        <v>670</v>
      </c>
      <c r="EC791" s="1169" t="s">
        <v>670</v>
      </c>
      <c r="ED791" s="1169" t="s">
        <v>670</v>
      </c>
      <c r="EE791" s="1119">
        <f t="shared" si="457"/>
        <v>15000000</v>
      </c>
      <c r="EF791" s="1088" t="s">
        <v>670</v>
      </c>
      <c r="EG791" s="1088" t="s">
        <v>670</v>
      </c>
      <c r="EH791" s="1088" t="s">
        <v>670</v>
      </c>
      <c r="EI791" s="1088" t="s">
        <v>670</v>
      </c>
      <c r="EL791" s="177"/>
      <c r="EM791" s="177"/>
      <c r="EN791" s="177"/>
    </row>
    <row r="792" spans="1:144" outlineLevel="2">
      <c r="A792" s="367" t="s">
        <v>242</v>
      </c>
      <c r="B792" s="378"/>
      <c r="C792" s="370" t="s">
        <v>688</v>
      </c>
      <c r="D792" s="370" t="s">
        <v>40</v>
      </c>
      <c r="E792" s="383" t="s">
        <v>938</v>
      </c>
      <c r="F792" s="380">
        <v>3000018580</v>
      </c>
      <c r="G792" s="189"/>
      <c r="H792" s="13"/>
      <c r="I792" s="185"/>
      <c r="J792" s="185"/>
      <c r="K792" s="185"/>
      <c r="L792" s="185"/>
      <c r="M792" s="185"/>
      <c r="N792" s="185"/>
      <c r="O792" s="7"/>
      <c r="P792" s="7"/>
      <c r="Q792" s="7"/>
      <c r="R792" s="7"/>
      <c r="S792" s="14">
        <f>SUM(G792,H792,I792,J792,K792,L792,M792,N792,O792,P792,Q792,R792)</f>
        <v>0</v>
      </c>
      <c r="T792" s="179"/>
      <c r="U792" s="189"/>
      <c r="V792" s="13"/>
      <c r="W792" s="185"/>
      <c r="X792" s="185"/>
      <c r="Y792" s="185"/>
      <c r="Z792" s="185"/>
      <c r="AA792" s="185"/>
      <c r="AB792" s="185"/>
      <c r="AC792" s="7"/>
      <c r="AD792" s="7"/>
      <c r="AE792" s="7"/>
      <c r="AF792" s="7"/>
      <c r="AG792" s="759">
        <f>SUM(U792,V792,W792,X792,Y792,Z792,AA792,AB792,AC792,AD792,AE792,AF792)</f>
        <v>0</v>
      </c>
      <c r="AH792" s="788"/>
      <c r="AI792" s="189"/>
      <c r="AJ792" s="810"/>
      <c r="AK792" s="758"/>
      <c r="AL792" s="758">
        <v>0</v>
      </c>
      <c r="AM792" s="758">
        <v>0</v>
      </c>
      <c r="AN792" s="758">
        <v>4350000</v>
      </c>
      <c r="AO792" s="758">
        <v>0</v>
      </c>
      <c r="AP792" s="758">
        <v>0</v>
      </c>
      <c r="AQ792" s="518">
        <v>0</v>
      </c>
      <c r="AR792" s="518"/>
      <c r="AS792" s="518"/>
      <c r="AT792" s="518"/>
      <c r="AU792" s="518">
        <f t="shared" si="463"/>
        <v>0</v>
      </c>
      <c r="AV792" s="518">
        <f t="shared" si="463"/>
        <v>0</v>
      </c>
      <c r="AW792" s="518">
        <f t="shared" si="463"/>
        <v>0</v>
      </c>
      <c r="AX792" s="518">
        <f t="shared" si="462"/>
        <v>4350000</v>
      </c>
      <c r="AY792" s="788"/>
      <c r="AZ792" s="189"/>
      <c r="BA792" s="810"/>
      <c r="BB792" s="758"/>
      <c r="BC792" s="758">
        <v>0</v>
      </c>
      <c r="BD792" s="758">
        <v>0</v>
      </c>
      <c r="BE792" s="758">
        <v>4350000</v>
      </c>
      <c r="BF792" s="758">
        <v>0</v>
      </c>
      <c r="BG792" s="518">
        <f>AP792</f>
        <v>0</v>
      </c>
      <c r="BH792" s="758">
        <v>0</v>
      </c>
      <c r="BI792" s="758">
        <v>0</v>
      </c>
      <c r="BJ792" s="758">
        <v>0</v>
      </c>
      <c r="BK792" s="758">
        <v>0</v>
      </c>
      <c r="BL792" s="759">
        <f>SUM(AZ792,BA792,BB792,BC792,BD792,BE792,BF792,BG792,BH792,BI792,BJ792,BK792)</f>
        <v>4350000</v>
      </c>
      <c r="BN792" s="758">
        <v>0</v>
      </c>
      <c r="BO792" s="758">
        <v>0</v>
      </c>
      <c r="BP792" s="758">
        <v>0</v>
      </c>
      <c r="BQ792" s="758">
        <v>4350000</v>
      </c>
      <c r="BR792" s="758">
        <v>0</v>
      </c>
      <c r="BS792" s="758">
        <v>0</v>
      </c>
      <c r="BT792" s="758">
        <v>0</v>
      </c>
      <c r="BU792" s="758">
        <v>0</v>
      </c>
      <c r="BV792" s="758">
        <v>0</v>
      </c>
      <c r="BW792" s="758">
        <v>0</v>
      </c>
      <c r="BX792" s="758">
        <v>0</v>
      </c>
      <c r="BY792" s="758">
        <v>0</v>
      </c>
      <c r="BZ792" s="791">
        <v>4350000</v>
      </c>
      <c r="CB792" s="758">
        <v>0</v>
      </c>
      <c r="CC792" s="758">
        <v>0</v>
      </c>
      <c r="CD792" s="758">
        <v>0</v>
      </c>
      <c r="CE792" s="758">
        <v>4350000</v>
      </c>
      <c r="CF792" s="758">
        <v>0</v>
      </c>
      <c r="CG792" s="758">
        <v>0</v>
      </c>
      <c r="CH792" s="758">
        <v>0</v>
      </c>
      <c r="CI792" s="758">
        <v>0</v>
      </c>
      <c r="CJ792" s="758">
        <v>0</v>
      </c>
      <c r="CK792" s="758">
        <v>0</v>
      </c>
      <c r="CL792" s="758">
        <v>0</v>
      </c>
      <c r="CM792" s="758">
        <v>0</v>
      </c>
      <c r="CN792" s="791">
        <v>4350000</v>
      </c>
      <c r="CP792" s="653">
        <v>0</v>
      </c>
      <c r="CQ792" s="653"/>
      <c r="CR792" s="524"/>
      <c r="CS792" s="653"/>
      <c r="CT792" s="524"/>
      <c r="CU792" s="653">
        <v>9533180</v>
      </c>
      <c r="CV792" s="524">
        <v>2500000</v>
      </c>
      <c r="CW792" s="653"/>
      <c r="CX792" s="524"/>
      <c r="CY792" s="653">
        <v>9158180</v>
      </c>
      <c r="CZ792" s="524">
        <v>2500000</v>
      </c>
      <c r="DA792" s="653"/>
      <c r="DB792" s="524">
        <v>2500000</v>
      </c>
      <c r="DC792" s="653">
        <v>0</v>
      </c>
      <c r="DD792" s="524"/>
      <c r="DE792" s="758"/>
      <c r="DF792" s="524">
        <v>2500000</v>
      </c>
      <c r="DG792" s="757">
        <v>2500000</v>
      </c>
      <c r="DH792" s="758"/>
      <c r="DI792" s="524">
        <v>2500000</v>
      </c>
      <c r="DJ792" s="757">
        <v>2500000</v>
      </c>
      <c r="DK792" s="758"/>
      <c r="DL792" s="524"/>
      <c r="DM792" s="757"/>
      <c r="DN792" s="758"/>
      <c r="DO792" s="524">
        <v>2500000</v>
      </c>
      <c r="DP792" s="757">
        <v>2500000</v>
      </c>
      <c r="DQ792" s="493">
        <f t="shared" si="454"/>
        <v>26191360</v>
      </c>
      <c r="DR792" s="479">
        <f>SUM(CP792,CQ792,CS792,CU792,CX792,CZ792,DB792,DD792,DG792,DJ792,DM792,DP792)</f>
        <v>22033180</v>
      </c>
      <c r="DS792" s="1168" t="s">
        <v>671</v>
      </c>
      <c r="DT792" s="1169" t="s">
        <v>670</v>
      </c>
      <c r="DU792" s="1169" t="s">
        <v>670</v>
      </c>
      <c r="DV792" s="1169">
        <v>10000000</v>
      </c>
      <c r="DW792" s="1169" t="s">
        <v>670</v>
      </c>
      <c r="DX792" s="1169">
        <v>10000000</v>
      </c>
      <c r="DY792" s="1169" t="s">
        <v>670</v>
      </c>
      <c r="DZ792" s="1169" t="s">
        <v>671</v>
      </c>
      <c r="EA792" s="1169" t="s">
        <v>670</v>
      </c>
      <c r="EB792" s="1169" t="s">
        <v>670</v>
      </c>
      <c r="EC792" s="1169" t="s">
        <v>670</v>
      </c>
      <c r="ED792" s="1169" t="s">
        <v>670</v>
      </c>
      <c r="EE792" s="1119">
        <f t="shared" si="457"/>
        <v>20000000</v>
      </c>
      <c r="EF792" s="1087">
        <v>23400000</v>
      </c>
      <c r="EG792" s="1087">
        <v>25272000</v>
      </c>
      <c r="EH792" s="1087">
        <v>7200000</v>
      </c>
      <c r="EI792" s="1087">
        <v>7200000</v>
      </c>
      <c r="EJ792" s="367">
        <v>3000018580</v>
      </c>
      <c r="EL792" s="177"/>
      <c r="EM792" s="177"/>
      <c r="EN792" s="177"/>
    </row>
    <row r="793" spans="1:144" ht="15.75" customHeight="1" outlineLevel="2">
      <c r="A793" s="367" t="s">
        <v>242</v>
      </c>
      <c r="B793" s="378"/>
      <c r="C793" s="370" t="s">
        <v>688</v>
      </c>
      <c r="D793" s="370" t="s">
        <v>40</v>
      </c>
      <c r="E793" s="383" t="s">
        <v>103</v>
      </c>
      <c r="F793" s="380">
        <v>3000009257</v>
      </c>
      <c r="G793" s="189"/>
      <c r="H793" s="13"/>
      <c r="I793" s="185"/>
      <c r="J793" s="185"/>
      <c r="K793" s="185"/>
      <c r="L793" s="185"/>
      <c r="M793" s="185"/>
      <c r="N793" s="185"/>
      <c r="O793" s="7"/>
      <c r="P793" s="7"/>
      <c r="Q793" s="7"/>
      <c r="R793" s="7"/>
      <c r="S793" s="14">
        <f>SUM(G793,H793,I793,J793,K793,L793,M793,N793,O793,P793,Q793,R793)</f>
        <v>0</v>
      </c>
      <c r="T793" s="179"/>
      <c r="U793" s="189"/>
      <c r="V793" s="13"/>
      <c r="W793" s="185"/>
      <c r="X793" s="185"/>
      <c r="Y793" s="185"/>
      <c r="Z793" s="185"/>
      <c r="AA793" s="185"/>
      <c r="AB793" s="185"/>
      <c r="AC793" s="7"/>
      <c r="AD793" s="7"/>
      <c r="AE793" s="7"/>
      <c r="AF793" s="7"/>
      <c r="AG793" s="759">
        <f>SUM(U793,V793,W793,X793,Y793,Z793,AA793,AB793,AC793,AD793,AE793,AF793)</f>
        <v>0</v>
      </c>
      <c r="AH793" s="788"/>
      <c r="AI793" s="189"/>
      <c r="AJ793" s="810"/>
      <c r="AK793" s="758"/>
      <c r="AL793" s="758"/>
      <c r="AM793" s="758"/>
      <c r="AN793" s="758"/>
      <c r="AO793" s="758"/>
      <c r="AP793" s="758"/>
      <c r="AQ793" s="518">
        <v>0</v>
      </c>
      <c r="AR793" s="813"/>
      <c r="AS793" s="813"/>
      <c r="AT793" s="813"/>
      <c r="AU793" s="518">
        <f t="shared" si="463"/>
        <v>0</v>
      </c>
      <c r="AV793" s="518">
        <f t="shared" si="463"/>
        <v>0</v>
      </c>
      <c r="AW793" s="518">
        <f t="shared" si="463"/>
        <v>0</v>
      </c>
      <c r="AX793" s="518">
        <f t="shared" si="462"/>
        <v>0</v>
      </c>
      <c r="AY793" s="788"/>
      <c r="AZ793" s="189"/>
      <c r="BA793" s="810"/>
      <c r="BB793" s="758"/>
      <c r="BC793" s="758"/>
      <c r="BD793" s="758"/>
      <c r="BE793" s="758"/>
      <c r="BF793" s="758"/>
      <c r="BG793" s="518">
        <f>AP793</f>
        <v>0</v>
      </c>
      <c r="BH793" s="758">
        <v>0</v>
      </c>
      <c r="BI793" s="758">
        <v>0</v>
      </c>
      <c r="BJ793" s="758">
        <v>0</v>
      </c>
      <c r="BK793" s="758">
        <v>0</v>
      </c>
      <c r="BL793" s="759">
        <f>SUM(AZ793,BA793,BB793,BC793,BD793,BE793,BF793,BG793,BH793,BI793,BJ793,BK793)</f>
        <v>0</v>
      </c>
      <c r="BN793" s="758">
        <v>503000000</v>
      </c>
      <c r="BO793" s="758">
        <v>1003000000</v>
      </c>
      <c r="BP793" s="758">
        <v>503000000</v>
      </c>
      <c r="BQ793" s="758">
        <v>253000000</v>
      </c>
      <c r="BR793" s="758">
        <v>253000000</v>
      </c>
      <c r="BS793" s="758">
        <v>503000000</v>
      </c>
      <c r="BT793" s="758">
        <v>503000000</v>
      </c>
      <c r="BU793" s="758">
        <v>253000000</v>
      </c>
      <c r="BV793" s="758">
        <v>503000000</v>
      </c>
      <c r="BW793" s="758">
        <v>253000000</v>
      </c>
      <c r="BX793" s="758">
        <v>1003000000</v>
      </c>
      <c r="BY793" s="758">
        <v>503000000</v>
      </c>
      <c r="BZ793" s="791">
        <v>6036000000</v>
      </c>
      <c r="CB793" s="758">
        <v>503000000</v>
      </c>
      <c r="CC793" s="758">
        <v>1003000000</v>
      </c>
      <c r="CD793" s="758">
        <v>503000000</v>
      </c>
      <c r="CE793" s="758">
        <v>253000000</v>
      </c>
      <c r="CF793" s="758">
        <v>253000000</v>
      </c>
      <c r="CG793" s="758">
        <v>503000000</v>
      </c>
      <c r="CH793" s="758">
        <v>503000000</v>
      </c>
      <c r="CI793" s="758">
        <v>253000000</v>
      </c>
      <c r="CJ793" s="758">
        <v>503000000</v>
      </c>
      <c r="CK793" s="758">
        <v>253000000</v>
      </c>
      <c r="CL793" s="758">
        <v>1003000000</v>
      </c>
      <c r="CM793" s="758">
        <v>503000000</v>
      </c>
      <c r="CN793" s="791">
        <v>6036000000</v>
      </c>
      <c r="CP793" s="653">
        <v>0</v>
      </c>
      <c r="CQ793" s="653"/>
      <c r="CR793" s="524">
        <v>28950000</v>
      </c>
      <c r="CS793" s="653"/>
      <c r="CT793" s="524">
        <v>28000000</v>
      </c>
      <c r="CU793" s="653">
        <v>70000000</v>
      </c>
      <c r="CV793" s="524"/>
      <c r="CW793" s="653"/>
      <c r="CX793" s="524"/>
      <c r="CY793" s="653">
        <v>42000000</v>
      </c>
      <c r="CZ793" s="524"/>
      <c r="DA793" s="653"/>
      <c r="DB793" s="524"/>
      <c r="DC793" s="653">
        <v>7445200</v>
      </c>
      <c r="DD793" s="524"/>
      <c r="DE793" s="758"/>
      <c r="DF793" s="524"/>
      <c r="DG793" s="757"/>
      <c r="DH793" s="758"/>
      <c r="DI793" s="524"/>
      <c r="DJ793" s="757"/>
      <c r="DK793" s="758"/>
      <c r="DL793" s="524"/>
      <c r="DM793" s="757"/>
      <c r="DN793" s="758"/>
      <c r="DO793" s="524"/>
      <c r="DP793" s="757"/>
      <c r="DQ793" s="493">
        <f t="shared" si="454"/>
        <v>119445200</v>
      </c>
      <c r="DR793" s="479">
        <f>SUM(CP793,CQ793,CS793,CU793,CX793,CZ793,DB793,DD793,DG793,DJ793,DM793,DP793)</f>
        <v>70000000</v>
      </c>
      <c r="DS793" s="1168" t="s">
        <v>671</v>
      </c>
      <c r="DT793" s="1169">
        <v>45000000</v>
      </c>
      <c r="DU793" s="1169" t="s">
        <v>670</v>
      </c>
      <c r="DV793" s="1169" t="s">
        <v>671</v>
      </c>
      <c r="DW793" s="1169" t="s">
        <v>670</v>
      </c>
      <c r="DX793" s="1169">
        <v>45000000</v>
      </c>
      <c r="DY793" s="1169" t="s">
        <v>670</v>
      </c>
      <c r="DZ793" s="1169" t="s">
        <v>671</v>
      </c>
      <c r="EA793" s="1169" t="s">
        <v>670</v>
      </c>
      <c r="EB793" s="1169">
        <v>45000000</v>
      </c>
      <c r="EC793" s="1169" t="s">
        <v>670</v>
      </c>
      <c r="ED793" s="1169" t="s">
        <v>670</v>
      </c>
      <c r="EE793" s="1119">
        <f t="shared" si="457"/>
        <v>135000000</v>
      </c>
      <c r="EF793" s="1090">
        <v>8436492861</v>
      </c>
      <c r="EG793" s="1090">
        <v>9018140017</v>
      </c>
      <c r="EH793" s="1090">
        <v>9967709076</v>
      </c>
      <c r="EI793" s="1090">
        <v>9967709076</v>
      </c>
      <c r="EJ793" s="367">
        <v>3000009257</v>
      </c>
      <c r="EL793" s="177">
        <v>1</v>
      </c>
      <c r="EM793" s="177"/>
      <c r="EN793" s="177"/>
    </row>
    <row r="794" spans="1:144" outlineLevel="2">
      <c r="A794" s="438" t="s">
        <v>242</v>
      </c>
      <c r="B794" s="378"/>
      <c r="C794" s="370" t="s">
        <v>688</v>
      </c>
      <c r="D794" s="370" t="s">
        <v>40</v>
      </c>
      <c r="E794" s="383" t="s">
        <v>673</v>
      </c>
      <c r="F794" s="380">
        <v>3000015441</v>
      </c>
      <c r="G794" s="189"/>
      <c r="H794" s="13"/>
      <c r="I794" s="185"/>
      <c r="J794" s="185"/>
      <c r="K794" s="185"/>
      <c r="L794" s="185"/>
      <c r="M794" s="185"/>
      <c r="N794" s="185"/>
      <c r="O794" s="7"/>
      <c r="P794" s="7"/>
      <c r="Q794" s="7"/>
      <c r="R794" s="7"/>
      <c r="S794" s="14">
        <f>SUM(G794,H794,I794,J794,K794,L794,M794,N794,O794,P794,Q794,R794)</f>
        <v>0</v>
      </c>
      <c r="T794" s="179"/>
      <c r="U794" s="189"/>
      <c r="V794" s="13"/>
      <c r="W794" s="185"/>
      <c r="X794" s="185"/>
      <c r="Y794" s="185"/>
      <c r="Z794" s="185"/>
      <c r="AA794" s="185"/>
      <c r="AB794" s="185"/>
      <c r="AC794" s="7"/>
      <c r="AD794" s="7"/>
      <c r="AE794" s="7"/>
      <c r="AF794" s="7"/>
      <c r="AG794" s="759">
        <f>SUM(U794,V794,W794,X794,Y794,Z794,AA794,AB794,AC794,AD794,AE794,AF794)</f>
        <v>0</v>
      </c>
      <c r="AH794" s="788"/>
      <c r="AI794" s="189"/>
      <c r="AJ794" s="810"/>
      <c r="AK794" s="758"/>
      <c r="AL794" s="758">
        <v>0</v>
      </c>
      <c r="AM794" s="758"/>
      <c r="AN794" s="758"/>
      <c r="AO794" s="758"/>
      <c r="AP794" s="758">
        <v>0</v>
      </c>
      <c r="AQ794" s="518">
        <v>0</v>
      </c>
      <c r="AR794" s="813"/>
      <c r="AS794" s="813"/>
      <c r="AT794" s="813"/>
      <c r="AU794" s="518">
        <f t="shared" si="463"/>
        <v>0</v>
      </c>
      <c r="AV794" s="518">
        <f t="shared" si="463"/>
        <v>0</v>
      </c>
      <c r="AW794" s="518">
        <f t="shared" si="463"/>
        <v>0</v>
      </c>
      <c r="AX794" s="518">
        <f t="shared" si="462"/>
        <v>0</v>
      </c>
      <c r="AY794" s="788"/>
      <c r="AZ794" s="189"/>
      <c r="BA794" s="810"/>
      <c r="BB794" s="758"/>
      <c r="BC794" s="758">
        <v>0</v>
      </c>
      <c r="BD794" s="758"/>
      <c r="BE794" s="758"/>
      <c r="BF794" s="758"/>
      <c r="BG794" s="518">
        <f>AP794</f>
        <v>0</v>
      </c>
      <c r="BH794" s="758">
        <v>0</v>
      </c>
      <c r="BI794" s="758">
        <v>0</v>
      </c>
      <c r="BJ794" s="758">
        <v>0</v>
      </c>
      <c r="BK794" s="758">
        <v>0</v>
      </c>
      <c r="BL794" s="759">
        <f>SUM(AZ794,BA794,BB794,BC794,BD794,BE794,BF794,BG794,BH794,BI794,BJ794,BK794)</f>
        <v>0</v>
      </c>
      <c r="BN794" s="758">
        <v>25200000</v>
      </c>
      <c r="BO794" s="758">
        <v>25200000</v>
      </c>
      <c r="BP794" s="758">
        <v>0</v>
      </c>
      <c r="BQ794" s="758">
        <v>0</v>
      </c>
      <c r="BR794" s="758">
        <v>0</v>
      </c>
      <c r="BS794" s="758">
        <v>0</v>
      </c>
      <c r="BT794" s="758">
        <v>25200000</v>
      </c>
      <c r="BU794" s="758">
        <v>25200000</v>
      </c>
      <c r="BV794" s="758">
        <v>0</v>
      </c>
      <c r="BW794" s="758">
        <v>0</v>
      </c>
      <c r="BX794" s="758">
        <v>0</v>
      </c>
      <c r="BY794" s="758">
        <v>0</v>
      </c>
      <c r="BZ794" s="791">
        <v>100800000</v>
      </c>
      <c r="CB794" s="758">
        <v>25200000</v>
      </c>
      <c r="CC794" s="758">
        <v>25200000</v>
      </c>
      <c r="CD794" s="758">
        <v>0</v>
      </c>
      <c r="CE794" s="758">
        <v>0</v>
      </c>
      <c r="CF794" s="758">
        <v>0</v>
      </c>
      <c r="CG794" s="758">
        <v>0</v>
      </c>
      <c r="CH794" s="758">
        <v>25200000</v>
      </c>
      <c r="CI794" s="758">
        <v>25200000</v>
      </c>
      <c r="CJ794" s="758">
        <v>0</v>
      </c>
      <c r="CK794" s="758">
        <v>0</v>
      </c>
      <c r="CL794" s="758">
        <v>0</v>
      </c>
      <c r="CM794" s="758">
        <v>0</v>
      </c>
      <c r="CN794" s="791">
        <v>100800000</v>
      </c>
      <c r="CP794" s="653">
        <v>0</v>
      </c>
      <c r="CQ794" s="653"/>
      <c r="CR794" s="524"/>
      <c r="CS794" s="653"/>
      <c r="CT794" s="524"/>
      <c r="CU794" s="653"/>
      <c r="CV794" s="524"/>
      <c r="CW794" s="653"/>
      <c r="CX794" s="524"/>
      <c r="CY794" s="653"/>
      <c r="CZ794" s="524"/>
      <c r="DA794" s="653"/>
      <c r="DB794" s="524"/>
      <c r="DC794" s="653">
        <v>3025210</v>
      </c>
      <c r="DD794" s="524"/>
      <c r="DE794" s="758"/>
      <c r="DF794" s="524"/>
      <c r="DG794" s="757"/>
      <c r="DH794" s="758"/>
      <c r="DI794" s="524"/>
      <c r="DJ794" s="757"/>
      <c r="DK794" s="758"/>
      <c r="DL794" s="524"/>
      <c r="DM794" s="757"/>
      <c r="DN794" s="758"/>
      <c r="DO794" s="524"/>
      <c r="DP794" s="757"/>
      <c r="DQ794" s="493">
        <f t="shared" si="454"/>
        <v>3025210</v>
      </c>
      <c r="DR794" s="479">
        <f>SUM(CP794,CQ794,CS794,CU794,CX794,CZ794,DB794,DD794,DG794,DJ794,DM794,DP794)</f>
        <v>0</v>
      </c>
      <c r="DS794" s="1168" t="s">
        <v>671</v>
      </c>
      <c r="DT794" s="1169" t="s">
        <v>670</v>
      </c>
      <c r="DU794" s="1169" t="s">
        <v>670</v>
      </c>
      <c r="DV794" s="1169" t="s">
        <v>670</v>
      </c>
      <c r="DW794" s="1169" t="s">
        <v>670</v>
      </c>
      <c r="DX794" s="1169" t="s">
        <v>670</v>
      </c>
      <c r="DY794" s="1169" t="s">
        <v>670</v>
      </c>
      <c r="DZ794" s="1169">
        <v>3500000</v>
      </c>
      <c r="EA794" s="1169" t="s">
        <v>670</v>
      </c>
      <c r="EB794" s="1169" t="s">
        <v>670</v>
      </c>
      <c r="EC794" s="1169" t="s">
        <v>670</v>
      </c>
      <c r="ED794" s="1169" t="s">
        <v>670</v>
      </c>
      <c r="EE794" s="1119">
        <f t="shared" si="457"/>
        <v>3500000</v>
      </c>
      <c r="EF794" s="1087">
        <v>142000000</v>
      </c>
      <c r="EG794" s="1087">
        <v>153360000</v>
      </c>
      <c r="EH794" s="1087">
        <v>167000000</v>
      </c>
      <c r="EI794" s="1087">
        <v>167000000</v>
      </c>
      <c r="EJ794" s="367" t="s">
        <v>939</v>
      </c>
      <c r="EL794" s="177"/>
      <c r="EM794" s="177"/>
      <c r="EN794" s="177"/>
    </row>
    <row r="795" spans="1:144" outlineLevel="2">
      <c r="A795" s="367" t="s">
        <v>242</v>
      </c>
      <c r="B795" s="378"/>
      <c r="C795" s="370" t="s">
        <v>688</v>
      </c>
      <c r="D795" s="370" t="s">
        <v>40</v>
      </c>
      <c r="E795" s="383" t="s">
        <v>260</v>
      </c>
      <c r="F795" s="380">
        <v>3000008984</v>
      </c>
      <c r="G795" s="189"/>
      <c r="H795" s="30"/>
      <c r="I795" s="27"/>
      <c r="J795" s="185"/>
      <c r="K795" s="185"/>
      <c r="L795" s="185"/>
      <c r="M795" s="185"/>
      <c r="N795" s="185"/>
      <c r="O795" s="7"/>
      <c r="P795" s="7"/>
      <c r="Q795" s="7"/>
      <c r="R795" s="7"/>
      <c r="S795" s="14">
        <f>SUM(G795,H795,I795,J795,K795,L795,M795,N795,O795,P795,Q795,R795)</f>
        <v>0</v>
      </c>
      <c r="T795" s="179"/>
      <c r="U795" s="189"/>
      <c r="V795" s="30"/>
      <c r="W795" s="27"/>
      <c r="X795" s="185"/>
      <c r="Y795" s="185"/>
      <c r="Z795" s="185"/>
      <c r="AA795" s="185"/>
      <c r="AB795" s="185"/>
      <c r="AC795" s="7"/>
      <c r="AD795" s="7"/>
      <c r="AE795" s="7"/>
      <c r="AF795" s="7"/>
      <c r="AG795" s="759">
        <f>SUM(U795,V795,W795,X795,Y795,Z795,AA795,AB795,AC795,AD795,AE795,AF795)</f>
        <v>0</v>
      </c>
      <c r="AH795" s="788"/>
      <c r="AI795" s="189"/>
      <c r="AJ795" s="859">
        <v>127500000</v>
      </c>
      <c r="AK795" s="858">
        <v>132700000</v>
      </c>
      <c r="AL795" s="758">
        <v>198300000</v>
      </c>
      <c r="AM795" s="758">
        <v>157400000</v>
      </c>
      <c r="AN795" s="758">
        <v>192500000</v>
      </c>
      <c r="AO795" s="758">
        <v>496100000</v>
      </c>
      <c r="AP795" s="758">
        <v>152000000</v>
      </c>
      <c r="AQ795" s="518">
        <v>201400000</v>
      </c>
      <c r="AR795" s="813">
        <v>233400000</v>
      </c>
      <c r="AS795" s="813">
        <v>76400000</v>
      </c>
      <c r="AT795" s="813">
        <v>215650000</v>
      </c>
      <c r="AU795" s="518">
        <f t="shared" si="463"/>
        <v>186000000</v>
      </c>
      <c r="AV795" s="518">
        <f t="shared" si="463"/>
        <v>186000000</v>
      </c>
      <c r="AW795" s="518">
        <f t="shared" si="463"/>
        <v>186000000</v>
      </c>
      <c r="AX795" s="518">
        <f t="shared" si="462"/>
        <v>2183350000</v>
      </c>
      <c r="AY795" s="788"/>
      <c r="AZ795" s="189"/>
      <c r="BA795" s="859">
        <v>127500000</v>
      </c>
      <c r="BB795" s="858">
        <v>132700000</v>
      </c>
      <c r="BC795" s="758">
        <v>198300000</v>
      </c>
      <c r="BD795" s="758">
        <v>157400000</v>
      </c>
      <c r="BE795" s="758">
        <v>192500000</v>
      </c>
      <c r="BF795" s="758">
        <v>496100000</v>
      </c>
      <c r="BG795" s="518">
        <f>AP795</f>
        <v>152000000</v>
      </c>
      <c r="BH795" s="758">
        <v>186000000</v>
      </c>
      <c r="BI795" s="758">
        <v>186000000</v>
      </c>
      <c r="BJ795" s="758">
        <v>186000000</v>
      </c>
      <c r="BK795" s="758">
        <v>186000000</v>
      </c>
      <c r="BL795" s="759">
        <f>SUM(AZ795,BA795,BB795,BC795,BD795,BE795,BF795,BG795,BH795,BI795,BJ795,BK795)</f>
        <v>2200500000</v>
      </c>
      <c r="BN795" s="758">
        <v>210000000</v>
      </c>
      <c r="BO795" s="758">
        <v>210000000</v>
      </c>
      <c r="BP795" s="758">
        <v>252000000</v>
      </c>
      <c r="BQ795" s="758">
        <v>210000000</v>
      </c>
      <c r="BR795" s="758">
        <v>126000000</v>
      </c>
      <c r="BS795" s="758">
        <v>210000000</v>
      </c>
      <c r="BT795" s="758">
        <v>210000000</v>
      </c>
      <c r="BU795" s="758">
        <v>210000000</v>
      </c>
      <c r="BV795" s="758">
        <v>252000000</v>
      </c>
      <c r="BW795" s="758">
        <v>210000000</v>
      </c>
      <c r="BX795" s="758">
        <v>168000000</v>
      </c>
      <c r="BY795" s="758">
        <v>147000000</v>
      </c>
      <c r="BZ795" s="791">
        <v>2415000000</v>
      </c>
      <c r="CB795" s="758">
        <v>210000000</v>
      </c>
      <c r="CC795" s="758">
        <v>210000000</v>
      </c>
      <c r="CD795" s="758">
        <v>252000000</v>
      </c>
      <c r="CE795" s="758">
        <v>210000000</v>
      </c>
      <c r="CF795" s="758">
        <v>126000000</v>
      </c>
      <c r="CG795" s="758">
        <v>210000000</v>
      </c>
      <c r="CH795" s="758">
        <v>210000000</v>
      </c>
      <c r="CI795" s="758">
        <v>210000000</v>
      </c>
      <c r="CJ795" s="758">
        <v>252000000</v>
      </c>
      <c r="CK795" s="758">
        <v>210000000</v>
      </c>
      <c r="CL795" s="758">
        <v>168000000</v>
      </c>
      <c r="CM795" s="758">
        <v>147000000</v>
      </c>
      <c r="CN795" s="791">
        <v>2415000000</v>
      </c>
      <c r="CP795" s="653">
        <v>308975000</v>
      </c>
      <c r="CQ795" s="653">
        <v>102300000</v>
      </c>
      <c r="CR795" s="524">
        <v>309300000</v>
      </c>
      <c r="CS795" s="653">
        <v>38450000</v>
      </c>
      <c r="CT795" s="524">
        <v>250000000</v>
      </c>
      <c r="CU795" s="653">
        <v>290750000</v>
      </c>
      <c r="CV795" s="524">
        <v>250000000</v>
      </c>
      <c r="CW795" s="653">
        <v>235700000</v>
      </c>
      <c r="CX795" s="524">
        <v>200000000</v>
      </c>
      <c r="CY795" s="653">
        <v>216600000</v>
      </c>
      <c r="CZ795" s="524">
        <v>150000000</v>
      </c>
      <c r="DA795" s="653">
        <v>117600000</v>
      </c>
      <c r="DB795" s="524">
        <v>250000000</v>
      </c>
      <c r="DC795" s="653">
        <v>266200000</v>
      </c>
      <c r="DD795" s="524">
        <v>200000000</v>
      </c>
      <c r="DE795" s="758"/>
      <c r="DF795" s="524">
        <v>150000000</v>
      </c>
      <c r="DG795" s="757">
        <v>150000000</v>
      </c>
      <c r="DH795" s="758"/>
      <c r="DI795" s="524">
        <v>250000000</v>
      </c>
      <c r="DJ795" s="757">
        <v>250000000</v>
      </c>
      <c r="DK795" s="758"/>
      <c r="DL795" s="524">
        <v>200000000</v>
      </c>
      <c r="DM795" s="757">
        <v>200000000</v>
      </c>
      <c r="DN795" s="758"/>
      <c r="DO795" s="524">
        <v>150000000</v>
      </c>
      <c r="DP795" s="757">
        <v>150000000</v>
      </c>
      <c r="DQ795" s="493">
        <f t="shared" si="454"/>
        <v>2326575000</v>
      </c>
      <c r="DR795" s="479">
        <f>SUM(CP795,CQ795,CS795,CU795,CX795,CZ795,DB795,DD795,DG795,DJ795,DM795,DP795)</f>
        <v>2290475000</v>
      </c>
      <c r="DS795" s="1168">
        <v>220000000</v>
      </c>
      <c r="DT795" s="1169">
        <v>220000000</v>
      </c>
      <c r="DU795" s="1169">
        <v>220000000</v>
      </c>
      <c r="DV795" s="1169">
        <v>220000000</v>
      </c>
      <c r="DW795" s="1169">
        <v>220000000</v>
      </c>
      <c r="DX795" s="1169">
        <v>220000000</v>
      </c>
      <c r="DY795" s="1169">
        <v>220000000</v>
      </c>
      <c r="DZ795" s="1169">
        <v>220000000</v>
      </c>
      <c r="EA795" s="1169">
        <v>220000000</v>
      </c>
      <c r="EB795" s="1169">
        <v>220000000</v>
      </c>
      <c r="EC795" s="1169">
        <v>220000000</v>
      </c>
      <c r="ED795" s="1169">
        <v>220000000</v>
      </c>
      <c r="EE795" s="1119">
        <f t="shared" si="457"/>
        <v>2640000000</v>
      </c>
      <c r="EF795" s="1087">
        <v>3088800000</v>
      </c>
      <c r="EG795" s="1087">
        <v>3800000000</v>
      </c>
      <c r="EH795" s="1087">
        <v>4000000000</v>
      </c>
      <c r="EI795" s="1087">
        <v>4000000000</v>
      </c>
      <c r="EJ795" s="367">
        <v>3000008984</v>
      </c>
      <c r="EL795" s="177"/>
      <c r="EM795" s="177"/>
      <c r="EN795" s="177"/>
    </row>
    <row r="796" spans="1:144" s="8" customFormat="1" ht="18.5" outlineLevel="2">
      <c r="A796" s="389"/>
      <c r="B796" s="429"/>
      <c r="C796" s="430"/>
      <c r="D796" s="430"/>
      <c r="E796" s="431" t="s">
        <v>474</v>
      </c>
      <c r="F796" s="390"/>
      <c r="G796" s="240"/>
      <c r="H796" s="240"/>
      <c r="I796" s="240"/>
      <c r="J796" s="240"/>
      <c r="K796" s="240"/>
      <c r="L796" s="240"/>
      <c r="M796" s="240"/>
      <c r="N796" s="240"/>
      <c r="O796" s="240"/>
      <c r="P796" s="240"/>
      <c r="Q796" s="240"/>
      <c r="R796" s="240"/>
      <c r="S796" s="49"/>
      <c r="T796" s="179"/>
      <c r="U796" s="240"/>
      <c r="V796" s="240"/>
      <c r="W796" s="240"/>
      <c r="X796" s="240"/>
      <c r="Y796" s="240"/>
      <c r="Z796" s="240"/>
      <c r="AA796" s="240"/>
      <c r="AB796" s="240"/>
      <c r="AC796" s="240"/>
      <c r="AD796" s="240"/>
      <c r="AE796" s="240"/>
      <c r="AF796" s="240"/>
      <c r="AG796" s="774"/>
      <c r="AH796" s="788"/>
      <c r="AI796" s="862"/>
      <c r="AJ796" s="863"/>
      <c r="AK796" s="774"/>
      <c r="AL796" s="774"/>
      <c r="AM796" s="774"/>
      <c r="AN796" s="774"/>
      <c r="AO796" s="774"/>
      <c r="AP796" s="774"/>
      <c r="AQ796" s="774"/>
      <c r="AR796" s="774"/>
      <c r="AS796" s="774"/>
      <c r="AT796" s="774"/>
      <c r="AU796" s="774"/>
      <c r="AV796" s="774"/>
      <c r="AW796" s="774"/>
      <c r="AX796" s="774"/>
      <c r="AY796" s="788"/>
      <c r="AZ796" s="862"/>
      <c r="BA796" s="863"/>
      <c r="BB796" s="774"/>
      <c r="BC796" s="774"/>
      <c r="BD796" s="774"/>
      <c r="BE796" s="774"/>
      <c r="BF796" s="774"/>
      <c r="BG796" s="774"/>
      <c r="BH796" s="774"/>
      <c r="BI796" s="774"/>
      <c r="BJ796" s="774"/>
      <c r="BK796" s="774"/>
      <c r="BL796" s="774"/>
      <c r="BM796" s="3"/>
      <c r="BN796" s="483"/>
      <c r="BO796" s="864"/>
      <c r="BP796" s="774"/>
      <c r="BQ796" s="774"/>
      <c r="BR796" s="774"/>
      <c r="BS796" s="774"/>
      <c r="BT796" s="774"/>
      <c r="BU796" s="774"/>
      <c r="BV796" s="774"/>
      <c r="BW796" s="774"/>
      <c r="BX796" s="774"/>
      <c r="BY796" s="774"/>
      <c r="BZ796" s="865"/>
      <c r="CA796" s="3"/>
      <c r="CB796" s="483"/>
      <c r="CC796" s="864"/>
      <c r="CD796" s="774"/>
      <c r="CE796" s="774"/>
      <c r="CF796" s="774"/>
      <c r="CG796" s="774"/>
      <c r="CH796" s="774"/>
      <c r="CI796" s="774"/>
      <c r="CJ796" s="774"/>
      <c r="CK796" s="774"/>
      <c r="CL796" s="774"/>
      <c r="CM796" s="774"/>
      <c r="CN796" s="865"/>
      <c r="CO796" s="3"/>
      <c r="CP796" s="483"/>
      <c r="CQ796" s="483"/>
      <c r="CR796" s="483"/>
      <c r="CS796" s="483"/>
      <c r="CT796" s="483"/>
      <c r="CU796" s="483"/>
      <c r="CV796" s="483"/>
      <c r="CW796" s="483"/>
      <c r="CX796" s="483"/>
      <c r="CY796" s="483"/>
      <c r="CZ796" s="483"/>
      <c r="DA796" s="483"/>
      <c r="DB796" s="483"/>
      <c r="DC796" s="483"/>
      <c r="DD796" s="483"/>
      <c r="DE796" s="774"/>
      <c r="DF796" s="483"/>
      <c r="DG796" s="483"/>
      <c r="DH796" s="774"/>
      <c r="DI796" s="483"/>
      <c r="DJ796" s="483"/>
      <c r="DK796" s="774"/>
      <c r="DL796" s="483"/>
      <c r="DM796" s="483"/>
      <c r="DN796" s="774"/>
      <c r="DO796" s="483"/>
      <c r="DP796" s="483"/>
      <c r="DQ796" s="500"/>
      <c r="DR796" s="500"/>
      <c r="DS796" s="1181"/>
      <c r="DT796" s="1181"/>
      <c r="DU796" s="1181"/>
      <c r="DV796" s="1181"/>
      <c r="DW796" s="1181"/>
      <c r="DX796" s="1181"/>
      <c r="DY796" s="1181"/>
      <c r="DZ796" s="1181"/>
      <c r="EA796" s="1181"/>
      <c r="EB796" s="1181"/>
      <c r="EC796" s="1181"/>
      <c r="ED796" s="1181"/>
      <c r="EE796" s="1147"/>
      <c r="EF796" s="453"/>
      <c r="EG796" s="453"/>
      <c r="EH796" s="453"/>
      <c r="EI796" s="453"/>
      <c r="EJ796" s="389"/>
      <c r="EK796" s="389"/>
    </row>
    <row r="797" spans="1:144" s="241" customFormat="1" ht="18.5" outlineLevel="2">
      <c r="A797" s="413"/>
      <c r="B797" s="414"/>
      <c r="C797" s="415"/>
      <c r="D797" s="415"/>
      <c r="E797" s="416" t="s">
        <v>531</v>
      </c>
      <c r="F797" s="417"/>
      <c r="G797" s="242"/>
      <c r="H797" s="242"/>
      <c r="I797" s="242"/>
      <c r="J797" s="242"/>
      <c r="K797" s="242"/>
      <c r="L797" s="242"/>
      <c r="M797" s="242"/>
      <c r="N797" s="242"/>
      <c r="O797" s="242"/>
      <c r="P797" s="242"/>
      <c r="Q797" s="242"/>
      <c r="R797" s="242"/>
      <c r="S797" s="243"/>
      <c r="T797" s="244"/>
      <c r="U797" s="242"/>
      <c r="V797" s="242"/>
      <c r="W797" s="242"/>
      <c r="X797" s="242"/>
      <c r="Y797" s="242"/>
      <c r="Z797" s="242"/>
      <c r="AA797" s="242"/>
      <c r="AB797" s="242"/>
      <c r="AC797" s="242"/>
      <c r="AD797" s="242"/>
      <c r="AE797" s="242"/>
      <c r="AF797" s="242"/>
      <c r="AG797" s="844"/>
      <c r="AH797" s="788"/>
      <c r="AI797" s="845"/>
      <c r="AJ797" s="846"/>
      <c r="AK797" s="844"/>
      <c r="AL797" s="844"/>
      <c r="AM797" s="844"/>
      <c r="AN797" s="844"/>
      <c r="AO797" s="844"/>
      <c r="AP797" s="844"/>
      <c r="AQ797" s="844"/>
      <c r="AR797" s="844"/>
      <c r="AS797" s="844"/>
      <c r="AT797" s="844"/>
      <c r="AU797" s="844"/>
      <c r="AV797" s="844"/>
      <c r="AW797" s="844"/>
      <c r="AX797" s="844"/>
      <c r="AY797" s="788"/>
      <c r="AZ797" s="845"/>
      <c r="BA797" s="846"/>
      <c r="BB797" s="844"/>
      <c r="BC797" s="844"/>
      <c r="BD797" s="844"/>
      <c r="BE797" s="844"/>
      <c r="BF797" s="844"/>
      <c r="BG797" s="844"/>
      <c r="BH797" s="844"/>
      <c r="BI797" s="844"/>
      <c r="BJ797" s="844"/>
      <c r="BK797" s="844"/>
      <c r="BL797" s="844"/>
      <c r="BM797" s="3"/>
      <c r="BN797" s="468">
        <f t="shared" ref="BN797:BZ797" si="464">SUM(BN798:BN809)</f>
        <v>1900000</v>
      </c>
      <c r="BO797" s="468">
        <f t="shared" si="464"/>
        <v>36950000</v>
      </c>
      <c r="BP797" s="468">
        <f t="shared" si="464"/>
        <v>20000000</v>
      </c>
      <c r="BQ797" s="468">
        <f t="shared" si="464"/>
        <v>21900000</v>
      </c>
      <c r="BR797" s="468">
        <f t="shared" si="464"/>
        <v>20000000</v>
      </c>
      <c r="BS797" s="468">
        <f t="shared" si="464"/>
        <v>36950000</v>
      </c>
      <c r="BT797" s="468">
        <f t="shared" si="464"/>
        <v>21900000</v>
      </c>
      <c r="BU797" s="468">
        <f t="shared" si="464"/>
        <v>20000000</v>
      </c>
      <c r="BV797" s="468">
        <f t="shared" si="464"/>
        <v>21900000</v>
      </c>
      <c r="BW797" s="468">
        <f t="shared" si="464"/>
        <v>36950000</v>
      </c>
      <c r="BX797" s="468">
        <f t="shared" si="464"/>
        <v>20000000</v>
      </c>
      <c r="BY797" s="468">
        <f t="shared" si="464"/>
        <v>20000000</v>
      </c>
      <c r="BZ797" s="468">
        <f t="shared" si="464"/>
        <v>278450000</v>
      </c>
      <c r="CA797" s="3"/>
      <c r="CB797" s="866"/>
      <c r="CC797" s="867"/>
      <c r="CD797" s="844"/>
      <c r="CE797" s="844"/>
      <c r="CF797" s="844"/>
      <c r="CG797" s="844"/>
      <c r="CH797" s="844"/>
      <c r="CI797" s="844"/>
      <c r="CJ797" s="844"/>
      <c r="CK797" s="844"/>
      <c r="CL797" s="844"/>
      <c r="CM797" s="844"/>
      <c r="CN797" s="868"/>
      <c r="CO797" s="3"/>
      <c r="CP797" s="468">
        <f>SUM(CP798:CP809)</f>
        <v>0</v>
      </c>
      <c r="CQ797" s="468">
        <f t="shared" ref="CQ797:EI797" si="465">SUM(CQ798:CQ809)</f>
        <v>0</v>
      </c>
      <c r="CR797" s="468">
        <f t="shared" si="465"/>
        <v>21560000</v>
      </c>
      <c r="CS797" s="468">
        <f t="shared" si="465"/>
        <v>0</v>
      </c>
      <c r="CT797" s="468">
        <f t="shared" si="465"/>
        <v>21400000</v>
      </c>
      <c r="CU797" s="468">
        <f t="shared" si="465"/>
        <v>0</v>
      </c>
      <c r="CV797" s="468">
        <f t="shared" si="465"/>
        <v>72500000</v>
      </c>
      <c r="CW797" s="468">
        <f t="shared" si="465"/>
        <v>73340000</v>
      </c>
      <c r="CX797" s="468">
        <f t="shared" si="465"/>
        <v>58000000</v>
      </c>
      <c r="CY797" s="468">
        <f t="shared" si="465"/>
        <v>0</v>
      </c>
      <c r="CZ797" s="468">
        <f t="shared" si="465"/>
        <v>3500000</v>
      </c>
      <c r="DA797" s="468">
        <f t="shared" si="465"/>
        <v>0</v>
      </c>
      <c r="DB797" s="468">
        <f t="shared" si="465"/>
        <v>24000000</v>
      </c>
      <c r="DC797" s="468">
        <f t="shared" si="465"/>
        <v>0</v>
      </c>
      <c r="DD797" s="468">
        <f t="shared" si="465"/>
        <v>260000000</v>
      </c>
      <c r="DE797" s="468">
        <f t="shared" si="465"/>
        <v>0</v>
      </c>
      <c r="DF797" s="468">
        <f>SUM(DF798:DF809)</f>
        <v>250000000</v>
      </c>
      <c r="DG797" s="468">
        <f t="shared" si="465"/>
        <v>250000000</v>
      </c>
      <c r="DH797" s="468">
        <f t="shared" si="465"/>
        <v>0</v>
      </c>
      <c r="DI797" s="468">
        <f>SUM(DI798:DI809)</f>
        <v>274000000</v>
      </c>
      <c r="DJ797" s="468">
        <f t="shared" si="465"/>
        <v>274000000</v>
      </c>
      <c r="DK797" s="468">
        <f t="shared" si="465"/>
        <v>0</v>
      </c>
      <c r="DL797" s="468">
        <f>SUM(DL798:DL809)</f>
        <v>260000000</v>
      </c>
      <c r="DM797" s="468">
        <f>SUM(DM798:DM809)</f>
        <v>260000000</v>
      </c>
      <c r="DN797" s="468">
        <f t="shared" si="465"/>
        <v>0</v>
      </c>
      <c r="DO797" s="468">
        <f>SUM(DO798:DO809)</f>
        <v>250000000</v>
      </c>
      <c r="DP797" s="468">
        <f t="shared" si="465"/>
        <v>250000000</v>
      </c>
      <c r="DQ797" s="468">
        <f>SUM(DQ798:DQ809)</f>
        <v>1107340000</v>
      </c>
      <c r="DR797" s="468">
        <f>SUM(DR798:DR809)</f>
        <v>1379500000</v>
      </c>
      <c r="DS797" s="445">
        <f t="shared" si="465"/>
        <v>0</v>
      </c>
      <c r="DT797" s="445">
        <f t="shared" si="465"/>
        <v>27500000</v>
      </c>
      <c r="DU797" s="445">
        <f t="shared" si="465"/>
        <v>97500000</v>
      </c>
      <c r="DV797" s="445">
        <f t="shared" si="465"/>
        <v>0</v>
      </c>
      <c r="DW797" s="445">
        <f t="shared" si="465"/>
        <v>0</v>
      </c>
      <c r="DX797" s="445">
        <f t="shared" si="465"/>
        <v>97500000</v>
      </c>
      <c r="DY797" s="445">
        <f t="shared" si="465"/>
        <v>27500000</v>
      </c>
      <c r="DZ797" s="445">
        <f t="shared" si="465"/>
        <v>0</v>
      </c>
      <c r="EA797" s="445">
        <f t="shared" si="465"/>
        <v>97500000</v>
      </c>
      <c r="EB797" s="445">
        <f t="shared" si="465"/>
        <v>0</v>
      </c>
      <c r="EC797" s="445">
        <f t="shared" si="465"/>
        <v>0</v>
      </c>
      <c r="ED797" s="445">
        <f t="shared" si="465"/>
        <v>97500000</v>
      </c>
      <c r="EE797" s="1120">
        <f t="shared" si="465"/>
        <v>445000000</v>
      </c>
      <c r="EF797" s="445">
        <f t="shared" si="465"/>
        <v>200000000</v>
      </c>
      <c r="EG797" s="445">
        <f t="shared" si="465"/>
        <v>550000000</v>
      </c>
      <c r="EH797" s="445">
        <f t="shared" si="465"/>
        <v>1225000000</v>
      </c>
      <c r="EI797" s="445">
        <f t="shared" si="465"/>
        <v>1225000000</v>
      </c>
      <c r="EJ797" s="413"/>
      <c r="EK797" s="413"/>
    </row>
    <row r="798" spans="1:144" outlineLevel="2">
      <c r="A798" s="1091" t="s">
        <v>925</v>
      </c>
      <c r="B798" s="378"/>
      <c r="C798" s="370" t="s">
        <v>688</v>
      </c>
      <c r="D798" s="297" t="s">
        <v>121</v>
      </c>
      <c r="E798" s="1039" t="s">
        <v>940</v>
      </c>
      <c r="F798" s="380" t="s">
        <v>266</v>
      </c>
      <c r="G798" s="189"/>
      <c r="H798" s="1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14"/>
      <c r="T798" s="179"/>
      <c r="U798" s="189"/>
      <c r="V798" s="13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759"/>
      <c r="AH798" s="788"/>
      <c r="AI798" s="189"/>
      <c r="AJ798" s="810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759"/>
      <c r="AY798" s="788"/>
      <c r="AZ798" s="189"/>
      <c r="BA798" s="810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759"/>
      <c r="BN798" s="758"/>
      <c r="BO798" s="758"/>
      <c r="BP798" s="758"/>
      <c r="BQ798" s="758" t="s">
        <v>266</v>
      </c>
      <c r="BR798" s="758" t="s">
        <v>266</v>
      </c>
      <c r="BS798" s="758" t="s">
        <v>266</v>
      </c>
      <c r="BT798" s="758"/>
      <c r="BU798" s="758"/>
      <c r="BV798" s="758"/>
      <c r="BW798" s="758"/>
      <c r="BX798" s="758"/>
      <c r="BY798" s="758"/>
      <c r="BZ798" s="496"/>
      <c r="CB798" s="758"/>
      <c r="CC798" s="758"/>
      <c r="CD798" s="758"/>
      <c r="CE798" s="758"/>
      <c r="CF798" s="758"/>
      <c r="CG798" s="758"/>
      <c r="CH798" s="758"/>
      <c r="CI798" s="758"/>
      <c r="CJ798" s="758"/>
      <c r="CK798" s="758"/>
      <c r="CL798" s="758"/>
      <c r="CM798" s="758"/>
      <c r="CN798" s="759"/>
      <c r="CP798" s="653"/>
      <c r="CQ798" s="653"/>
      <c r="CR798" s="524"/>
      <c r="CS798" s="653"/>
      <c r="CT798" s="524"/>
      <c r="CU798" s="653"/>
      <c r="CV798" s="524">
        <v>45000000</v>
      </c>
      <c r="CW798" s="653">
        <v>73340000</v>
      </c>
      <c r="CX798" s="524">
        <v>45000000</v>
      </c>
      <c r="CY798" s="653"/>
      <c r="CZ798" s="524">
        <v>0</v>
      </c>
      <c r="DA798" s="653"/>
      <c r="DB798" s="524">
        <v>0</v>
      </c>
      <c r="DC798" s="653">
        <v>0</v>
      </c>
      <c r="DD798" s="524">
        <v>0</v>
      </c>
      <c r="DE798" s="758"/>
      <c r="DF798" s="524">
        <v>0</v>
      </c>
      <c r="DG798" s="757">
        <v>0</v>
      </c>
      <c r="DH798" s="758"/>
      <c r="DI798" s="524">
        <v>0</v>
      </c>
      <c r="DJ798" s="757">
        <v>0</v>
      </c>
      <c r="DK798" s="758"/>
      <c r="DL798" s="524">
        <v>0</v>
      </c>
      <c r="DM798" s="757">
        <v>0</v>
      </c>
      <c r="DN798" s="758"/>
      <c r="DO798" s="524">
        <v>0</v>
      </c>
      <c r="DP798" s="757">
        <v>0</v>
      </c>
      <c r="DQ798" s="493">
        <f t="shared" ref="DQ798:DQ809" si="466">SUM(CP798,CQ798,CS798,CU798,CW798,CY798,DA798,DC798,DF798,DI798,DL798,DO798)</f>
        <v>73340000</v>
      </c>
      <c r="DR798" s="479">
        <f t="shared" ref="DR798:DR809" si="467">SUM(CP798,CQ798,CS798,CU798,CX798,CZ798,DB798,DD798,DG798,DJ798,DM798,DP798)</f>
        <v>45000000</v>
      </c>
      <c r="DS798" s="1019"/>
      <c r="DT798" s="1019"/>
      <c r="DU798" s="1019">
        <v>97500000</v>
      </c>
      <c r="DV798" s="1019"/>
      <c r="DW798" s="1019"/>
      <c r="DX798" s="1019">
        <v>97500000</v>
      </c>
      <c r="DY798" s="1019"/>
      <c r="DZ798" s="1019"/>
      <c r="EA798" s="1019">
        <v>97500000</v>
      </c>
      <c r="EB798" s="1019"/>
      <c r="EC798" s="1019"/>
      <c r="ED798" s="1019">
        <v>97500000</v>
      </c>
      <c r="EE798" s="1119">
        <f t="shared" ref="EE798:EE809" si="468">SUM(DS798,DT798,DU798,DV798,DW798,DX798,DY798,DZ798,EA798,EB798,EC798,ED798)</f>
        <v>390000000</v>
      </c>
      <c r="EF798" s="443"/>
      <c r="EG798" s="443"/>
      <c r="EH798" s="443"/>
      <c r="EI798" s="443"/>
      <c r="EL798" s="177"/>
      <c r="EM798" s="177"/>
      <c r="EN798" s="177"/>
    </row>
    <row r="799" spans="1:144" outlineLevel="2">
      <c r="A799" s="1091" t="s">
        <v>925</v>
      </c>
      <c r="B799" s="378"/>
      <c r="C799" s="370" t="s">
        <v>688</v>
      </c>
      <c r="D799" s="297" t="s">
        <v>121</v>
      </c>
      <c r="E799" s="1039" t="s">
        <v>941</v>
      </c>
      <c r="F799" s="380" t="s">
        <v>266</v>
      </c>
      <c r="G799" s="189"/>
      <c r="H799" s="1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14"/>
      <c r="T799" s="179"/>
      <c r="U799" s="189"/>
      <c r="V799" s="13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759"/>
      <c r="AH799" s="788"/>
      <c r="AI799" s="189"/>
      <c r="AJ799" s="810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518"/>
      <c r="AY799" s="788"/>
      <c r="AZ799" s="189"/>
      <c r="BA799" s="810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759"/>
      <c r="BN799" s="758"/>
      <c r="BO799" s="758"/>
      <c r="BP799" s="758"/>
      <c r="BQ799" s="758"/>
      <c r="BR799" s="758"/>
      <c r="BS799" s="758"/>
      <c r="BT799" s="758"/>
      <c r="BU799" s="758"/>
      <c r="BV799" s="758"/>
      <c r="BW799" s="758"/>
      <c r="BX799" s="758"/>
      <c r="BY799" s="758"/>
      <c r="BZ799" s="791"/>
      <c r="CB799" s="758"/>
      <c r="CC799" s="758"/>
      <c r="CD799" s="758"/>
      <c r="CE799" s="758"/>
      <c r="CF799" s="758"/>
      <c r="CG799" s="758"/>
      <c r="CH799" s="758"/>
      <c r="CI799" s="758"/>
      <c r="CJ799" s="758"/>
      <c r="CK799" s="758"/>
      <c r="CL799" s="758"/>
      <c r="CM799" s="758"/>
      <c r="CN799" s="791"/>
      <c r="CP799" s="653"/>
      <c r="CQ799" s="653"/>
      <c r="CR799" s="524"/>
      <c r="CS799" s="653"/>
      <c r="CT799" s="524"/>
      <c r="CU799" s="653"/>
      <c r="CV799" s="524"/>
      <c r="CW799" s="653"/>
      <c r="CX799" s="524"/>
      <c r="CY799" s="653"/>
      <c r="CZ799" s="524"/>
      <c r="DA799" s="653"/>
      <c r="DB799" s="524"/>
      <c r="DC799" s="653">
        <v>0</v>
      </c>
      <c r="DD799" s="524">
        <v>50000000</v>
      </c>
      <c r="DE799" s="758"/>
      <c r="DF799" s="524">
        <v>50000000</v>
      </c>
      <c r="DG799" s="757">
        <v>50000000</v>
      </c>
      <c r="DH799" s="758"/>
      <c r="DI799" s="524">
        <v>50000000</v>
      </c>
      <c r="DJ799" s="757">
        <v>50000000</v>
      </c>
      <c r="DK799" s="758"/>
      <c r="DL799" s="524">
        <v>50000000</v>
      </c>
      <c r="DM799" s="757">
        <v>50000000</v>
      </c>
      <c r="DN799" s="758"/>
      <c r="DO799" s="524">
        <v>50000000</v>
      </c>
      <c r="DP799" s="757">
        <v>50000000</v>
      </c>
      <c r="DQ799" s="493">
        <f t="shared" si="466"/>
        <v>200000000</v>
      </c>
      <c r="DR799" s="479">
        <f t="shared" si="467"/>
        <v>250000000</v>
      </c>
      <c r="DS799" s="1019"/>
      <c r="DT799" s="1019">
        <v>27500000</v>
      </c>
      <c r="DU799" s="1019"/>
      <c r="DV799" s="1019"/>
      <c r="DW799" s="1019"/>
      <c r="DX799" s="1019"/>
      <c r="DY799" s="1019">
        <v>27500000</v>
      </c>
      <c r="DZ799" s="1019"/>
      <c r="EA799" s="1019"/>
      <c r="EB799" s="1019"/>
      <c r="EC799" s="1019"/>
      <c r="ED799" s="1019"/>
      <c r="EE799" s="1119">
        <f t="shared" si="468"/>
        <v>55000000</v>
      </c>
      <c r="EF799" s="443"/>
      <c r="EG799" s="443"/>
      <c r="EH799" s="443"/>
      <c r="EI799" s="443"/>
      <c r="EL799" s="177"/>
      <c r="EM799" s="177"/>
      <c r="EN799" s="177"/>
    </row>
    <row r="800" spans="1:144" outlineLevel="2">
      <c r="A800" s="1091" t="s">
        <v>925</v>
      </c>
      <c r="B800" s="378"/>
      <c r="C800" s="370" t="s">
        <v>688</v>
      </c>
      <c r="D800" s="297" t="s">
        <v>121</v>
      </c>
      <c r="E800" s="388"/>
      <c r="F800" s="380"/>
      <c r="G800" s="189"/>
      <c r="H800" s="1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14"/>
      <c r="T800" s="179"/>
      <c r="U800" s="189"/>
      <c r="V800" s="13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759"/>
      <c r="AH800" s="788"/>
      <c r="AI800" s="189"/>
      <c r="AJ800" s="810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518"/>
      <c r="AY800" s="788"/>
      <c r="AZ800" s="189"/>
      <c r="BA800" s="810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759"/>
      <c r="BN800" s="758"/>
      <c r="BO800" s="758"/>
      <c r="BP800" s="758"/>
      <c r="BQ800" s="758"/>
      <c r="BR800" s="758"/>
      <c r="BS800" s="758"/>
      <c r="BT800" s="758"/>
      <c r="BU800" s="758"/>
      <c r="BV800" s="758"/>
      <c r="BW800" s="758"/>
      <c r="BX800" s="758"/>
      <c r="BY800" s="758"/>
      <c r="BZ800" s="791"/>
      <c r="CB800" s="758"/>
      <c r="CC800" s="758"/>
      <c r="CD800" s="758"/>
      <c r="CE800" s="758"/>
      <c r="CF800" s="758"/>
      <c r="CG800" s="758"/>
      <c r="CH800" s="758"/>
      <c r="CI800" s="758"/>
      <c r="CJ800" s="758"/>
      <c r="CK800" s="758"/>
      <c r="CL800" s="758"/>
      <c r="CM800" s="758"/>
      <c r="CN800" s="791"/>
      <c r="CP800" s="653"/>
      <c r="CQ800" s="653"/>
      <c r="CR800" s="524"/>
      <c r="CS800" s="653"/>
      <c r="CT800" s="524"/>
      <c r="CU800" s="653"/>
      <c r="CV800" s="524"/>
      <c r="CW800" s="653"/>
      <c r="CX800" s="524"/>
      <c r="CY800" s="653"/>
      <c r="CZ800" s="524"/>
      <c r="DA800" s="653"/>
      <c r="DB800" s="524"/>
      <c r="DC800" s="653">
        <v>0</v>
      </c>
      <c r="DD800" s="524">
        <v>50000000</v>
      </c>
      <c r="DE800" s="758"/>
      <c r="DF800" s="524">
        <v>50000000</v>
      </c>
      <c r="DG800" s="757">
        <v>50000000</v>
      </c>
      <c r="DH800" s="758"/>
      <c r="DI800" s="524">
        <v>50000000</v>
      </c>
      <c r="DJ800" s="757">
        <v>50000000</v>
      </c>
      <c r="DK800" s="758"/>
      <c r="DL800" s="524">
        <v>50000000</v>
      </c>
      <c r="DM800" s="757">
        <v>50000000</v>
      </c>
      <c r="DN800" s="758"/>
      <c r="DO800" s="524">
        <v>50000000</v>
      </c>
      <c r="DP800" s="757">
        <v>50000000</v>
      </c>
      <c r="DQ800" s="493">
        <f t="shared" si="466"/>
        <v>200000000</v>
      </c>
      <c r="DR800" s="479">
        <f t="shared" si="467"/>
        <v>250000000</v>
      </c>
      <c r="DS800" s="1019"/>
      <c r="DT800" s="1019"/>
      <c r="DU800" s="1019"/>
      <c r="DV800" s="1019"/>
      <c r="DW800" s="1019"/>
      <c r="DX800" s="1019"/>
      <c r="DY800" s="1019"/>
      <c r="DZ800" s="1019"/>
      <c r="EA800" s="1019"/>
      <c r="EB800" s="1019"/>
      <c r="EC800" s="1019"/>
      <c r="ED800" s="1019"/>
      <c r="EE800" s="1119">
        <f t="shared" si="468"/>
        <v>0</v>
      </c>
      <c r="EF800" s="443"/>
      <c r="EG800" s="443"/>
      <c r="EH800" s="443"/>
      <c r="EI800" s="443"/>
      <c r="EL800" s="177"/>
      <c r="EM800" s="177"/>
      <c r="EN800" s="177"/>
    </row>
    <row r="801" spans="1:144" outlineLevel="2">
      <c r="A801" s="1091" t="s">
        <v>925</v>
      </c>
      <c r="B801" s="378"/>
      <c r="C801" s="370" t="s">
        <v>688</v>
      </c>
      <c r="D801" s="297" t="s">
        <v>121</v>
      </c>
      <c r="E801" s="383"/>
      <c r="F801" s="380" t="s">
        <v>266</v>
      </c>
      <c r="G801" s="189"/>
      <c r="H801" s="13"/>
      <c r="I801" s="185"/>
      <c r="J801" s="185"/>
      <c r="K801" s="185"/>
      <c r="L801" s="185"/>
      <c r="M801" s="185"/>
      <c r="N801" s="185"/>
      <c r="O801" s="7"/>
      <c r="P801" s="7"/>
      <c r="Q801" s="7"/>
      <c r="R801" s="7"/>
      <c r="S801" s="14">
        <f>SUM(G801,H801,I801,J801,K801,L801,M801,N801,O801,P801,Q801,R801)</f>
        <v>0</v>
      </c>
      <c r="T801" s="179"/>
      <c r="U801" s="189"/>
      <c r="V801" s="13"/>
      <c r="W801" s="185"/>
      <c r="X801" s="185"/>
      <c r="Y801" s="185"/>
      <c r="Z801" s="185"/>
      <c r="AA801" s="185"/>
      <c r="AB801" s="185"/>
      <c r="AC801" s="7"/>
      <c r="AD801" s="7"/>
      <c r="AE801" s="7"/>
      <c r="AF801" s="7"/>
      <c r="AG801" s="759">
        <f>SUM(U801,V801,W801,X801,Y801,Z801,AA801,AB801,AC801,AD801,AE801,AF801)</f>
        <v>0</v>
      </c>
      <c r="AH801" s="788"/>
      <c r="AI801" s="189"/>
      <c r="AJ801" s="810"/>
      <c r="AK801" s="758"/>
      <c r="AL801" s="758">
        <v>0</v>
      </c>
      <c r="AM801" s="758"/>
      <c r="AN801" s="758"/>
      <c r="AO801" s="758"/>
      <c r="AP801" s="758">
        <v>0</v>
      </c>
      <c r="AQ801" s="518">
        <v>0</v>
      </c>
      <c r="AR801" s="518"/>
      <c r="AS801" s="518"/>
      <c r="AT801" s="518"/>
      <c r="AU801" s="518">
        <f>BI801</f>
        <v>0</v>
      </c>
      <c r="AV801" s="518">
        <f>BJ801</f>
        <v>0</v>
      </c>
      <c r="AW801" s="518">
        <f>BK801</f>
        <v>0</v>
      </c>
      <c r="AX801" s="518">
        <f>SUM(AI801,AJ801,AK801,AL801,AM801,AN801,AO801,AP801,AQ801,AR801,AS801,AT801)</f>
        <v>0</v>
      </c>
      <c r="AY801" s="788"/>
      <c r="AZ801" s="189"/>
      <c r="BA801" s="810"/>
      <c r="BB801" s="758"/>
      <c r="BC801" s="758">
        <v>0</v>
      </c>
      <c r="BD801" s="758"/>
      <c r="BE801" s="758"/>
      <c r="BF801" s="758"/>
      <c r="BG801" s="518">
        <f>AP801</f>
        <v>0</v>
      </c>
      <c r="BH801" s="758">
        <v>0</v>
      </c>
      <c r="BI801" s="758">
        <v>0</v>
      </c>
      <c r="BJ801" s="758">
        <v>0</v>
      </c>
      <c r="BK801" s="758">
        <v>0</v>
      </c>
      <c r="BL801" s="759">
        <f>SUM(AZ801,BA801,BB801,BC801,BD801,BE801,BF801,BG801,BH801,BI801,BJ801,BK801)</f>
        <v>0</v>
      </c>
      <c r="BN801" s="758">
        <v>1900000</v>
      </c>
      <c r="BO801" s="758">
        <v>1900000</v>
      </c>
      <c r="BP801" s="758">
        <v>0</v>
      </c>
      <c r="BQ801" s="758">
        <v>1900000</v>
      </c>
      <c r="BR801" s="758">
        <v>0</v>
      </c>
      <c r="BS801" s="758">
        <v>1900000</v>
      </c>
      <c r="BT801" s="758">
        <v>1900000</v>
      </c>
      <c r="BU801" s="758">
        <v>0</v>
      </c>
      <c r="BV801" s="758">
        <v>1900000</v>
      </c>
      <c r="BW801" s="758">
        <v>1900000</v>
      </c>
      <c r="BX801" s="758">
        <v>0</v>
      </c>
      <c r="BY801" s="758">
        <v>0</v>
      </c>
      <c r="BZ801" s="791">
        <v>13300000</v>
      </c>
      <c r="CB801" s="758">
        <v>1900000</v>
      </c>
      <c r="CC801" s="758">
        <v>1900000</v>
      </c>
      <c r="CD801" s="758">
        <v>0</v>
      </c>
      <c r="CE801" s="758">
        <v>1900000</v>
      </c>
      <c r="CF801" s="758">
        <v>0</v>
      </c>
      <c r="CG801" s="758">
        <v>1900000</v>
      </c>
      <c r="CH801" s="758">
        <v>1900000</v>
      </c>
      <c r="CI801" s="758">
        <v>0</v>
      </c>
      <c r="CJ801" s="758">
        <v>1900000</v>
      </c>
      <c r="CK801" s="758">
        <v>1900000</v>
      </c>
      <c r="CL801" s="758">
        <v>0</v>
      </c>
      <c r="CM801" s="758">
        <v>0</v>
      </c>
      <c r="CN801" s="791">
        <v>13300000</v>
      </c>
      <c r="CP801" s="653">
        <v>0</v>
      </c>
      <c r="CQ801" s="653"/>
      <c r="CR801" s="524">
        <v>3375000</v>
      </c>
      <c r="CS801" s="653"/>
      <c r="CT801" s="524">
        <v>3400000</v>
      </c>
      <c r="CU801" s="653"/>
      <c r="CV801" s="524">
        <v>3500000</v>
      </c>
      <c r="CW801" s="653"/>
      <c r="CX801" s="524">
        <v>3000000</v>
      </c>
      <c r="CY801" s="653"/>
      <c r="CZ801" s="524">
        <v>3500000</v>
      </c>
      <c r="DA801" s="653"/>
      <c r="DB801" s="524" t="s">
        <v>266</v>
      </c>
      <c r="DC801" s="653">
        <v>0</v>
      </c>
      <c r="DD801" s="524" t="s">
        <v>266</v>
      </c>
      <c r="DE801" s="758"/>
      <c r="DF801" s="524" t="s">
        <v>266</v>
      </c>
      <c r="DG801" s="757" t="s">
        <v>266</v>
      </c>
      <c r="DH801" s="758"/>
      <c r="DI801" s="524" t="s">
        <v>266</v>
      </c>
      <c r="DJ801" s="757" t="s">
        <v>266</v>
      </c>
      <c r="DK801" s="758"/>
      <c r="DL801" s="524" t="s">
        <v>266</v>
      </c>
      <c r="DM801" s="757" t="s">
        <v>266</v>
      </c>
      <c r="DN801" s="758"/>
      <c r="DO801" s="524" t="s">
        <v>266</v>
      </c>
      <c r="DP801" s="757" t="s">
        <v>266</v>
      </c>
      <c r="DQ801" s="493">
        <f t="shared" si="466"/>
        <v>0</v>
      </c>
      <c r="DR801" s="479">
        <f t="shared" si="467"/>
        <v>6500000</v>
      </c>
      <c r="DS801" s="1019"/>
      <c r="DT801" s="1019"/>
      <c r="DU801" s="1019"/>
      <c r="DV801" s="1019"/>
      <c r="DW801" s="1019"/>
      <c r="DX801" s="1019"/>
      <c r="DY801" s="1019"/>
      <c r="DZ801" s="1019"/>
      <c r="EA801" s="1019"/>
      <c r="EB801" s="1019"/>
      <c r="EC801" s="1019"/>
      <c r="ED801" s="1019"/>
      <c r="EE801" s="1119">
        <f t="shared" si="468"/>
        <v>0</v>
      </c>
      <c r="EF801" s="443"/>
      <c r="EG801" s="443"/>
      <c r="EH801" s="443"/>
      <c r="EI801" s="443"/>
      <c r="EL801" s="177"/>
      <c r="EM801" s="177"/>
      <c r="EN801" s="177"/>
    </row>
    <row r="802" spans="1:144" outlineLevel="2">
      <c r="A802" s="1091" t="s">
        <v>925</v>
      </c>
      <c r="B802" s="378"/>
      <c r="C802" s="370" t="s">
        <v>688</v>
      </c>
      <c r="D802" s="297" t="s">
        <v>121</v>
      </c>
      <c r="E802" s="383"/>
      <c r="F802" s="380" t="s">
        <v>266</v>
      </c>
      <c r="G802" s="189"/>
      <c r="H802" s="1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14">
        <f>SUM(G802,H802,I802,J802,K802,L802,M802,N802,O802,P802,Q802,R802)</f>
        <v>0</v>
      </c>
      <c r="T802" s="179"/>
      <c r="U802" s="189"/>
      <c r="V802" s="13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759">
        <f>SUM(U802,V802,W802,X802,Y802,Z802,AA802,AB802,AC802,AD802,AE802,AF802)</f>
        <v>0</v>
      </c>
      <c r="AH802" s="788"/>
      <c r="AI802" s="189"/>
      <c r="AJ802" s="810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518">
        <f>SUM(AI802,AJ802,AK802,AL802,AM802,AN802,AO802,AP802,AQ802,AR802,AS802,AT802)</f>
        <v>0</v>
      </c>
      <c r="AY802" s="788"/>
      <c r="AZ802" s="189"/>
      <c r="BA802" s="810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759">
        <f>SUM(AZ802,BA802,BB802,BC802,BD802,BE802,BF802,BG802,BH802,BI802,BJ802,BK802)</f>
        <v>0</v>
      </c>
      <c r="BN802" s="758">
        <v>0</v>
      </c>
      <c r="BO802" s="758">
        <v>20000000</v>
      </c>
      <c r="BP802" s="758">
        <v>20000000</v>
      </c>
      <c r="BQ802" s="758">
        <v>20000000</v>
      </c>
      <c r="BR802" s="758">
        <v>20000000</v>
      </c>
      <c r="BS802" s="758">
        <v>20000000</v>
      </c>
      <c r="BT802" s="758">
        <v>20000000</v>
      </c>
      <c r="BU802" s="758">
        <v>20000000</v>
      </c>
      <c r="BV802" s="758">
        <v>20000000</v>
      </c>
      <c r="BW802" s="758">
        <v>20000000</v>
      </c>
      <c r="BX802" s="758">
        <v>20000000</v>
      </c>
      <c r="BY802" s="758">
        <v>20000000</v>
      </c>
      <c r="BZ802" s="791">
        <v>220000000</v>
      </c>
      <c r="CB802" s="758">
        <v>0</v>
      </c>
      <c r="CC802" s="758">
        <v>20000000</v>
      </c>
      <c r="CD802" s="758">
        <v>20000000</v>
      </c>
      <c r="CE802" s="758">
        <v>20000000</v>
      </c>
      <c r="CF802" s="758">
        <v>20000000</v>
      </c>
      <c r="CG802" s="758">
        <v>20000000</v>
      </c>
      <c r="CH802" s="758">
        <v>20000000</v>
      </c>
      <c r="CI802" s="758">
        <v>20000000</v>
      </c>
      <c r="CJ802" s="758">
        <v>20000000</v>
      </c>
      <c r="CK802" s="758">
        <v>20000000</v>
      </c>
      <c r="CL802" s="758">
        <v>20000000</v>
      </c>
      <c r="CM802" s="758">
        <v>20000000</v>
      </c>
      <c r="CN802" s="791">
        <v>220000000</v>
      </c>
      <c r="CP802" s="653">
        <v>0</v>
      </c>
      <c r="CQ802" s="653"/>
      <c r="CR802" s="524"/>
      <c r="CS802" s="653"/>
      <c r="CT802" s="524"/>
      <c r="CU802" s="653"/>
      <c r="CV802" s="524"/>
      <c r="CW802" s="653"/>
      <c r="CX802" s="524"/>
      <c r="CY802" s="653"/>
      <c r="CZ802" s="524"/>
      <c r="DA802" s="653"/>
      <c r="DB802" s="524"/>
      <c r="DC802" s="653">
        <v>0</v>
      </c>
      <c r="DD802" s="524"/>
      <c r="DE802" s="758"/>
      <c r="DF802" s="524"/>
      <c r="DG802" s="757"/>
      <c r="DH802" s="758"/>
      <c r="DI802" s="524"/>
      <c r="DJ802" s="757"/>
      <c r="DK802" s="758"/>
      <c r="DL802" s="524"/>
      <c r="DM802" s="757"/>
      <c r="DN802" s="758"/>
      <c r="DO802" s="524"/>
      <c r="DP802" s="757"/>
      <c r="DQ802" s="493">
        <f t="shared" si="466"/>
        <v>0</v>
      </c>
      <c r="DR802" s="479">
        <f t="shared" si="467"/>
        <v>0</v>
      </c>
      <c r="DS802" s="1019"/>
      <c r="DT802" s="1019"/>
      <c r="DU802" s="1019"/>
      <c r="DV802" s="1019"/>
      <c r="DW802" s="1019"/>
      <c r="DX802" s="1019"/>
      <c r="DY802" s="1019"/>
      <c r="DZ802" s="1019"/>
      <c r="EA802" s="1019"/>
      <c r="EB802" s="1019"/>
      <c r="EC802" s="1019"/>
      <c r="ED802" s="1019"/>
      <c r="EE802" s="1119">
        <f t="shared" si="468"/>
        <v>0</v>
      </c>
      <c r="EF802" s="443"/>
      <c r="EG802" s="443"/>
      <c r="EH802" s="443"/>
      <c r="EI802" s="443"/>
      <c r="EL802" s="177"/>
      <c r="EM802" s="177"/>
      <c r="EN802" s="177"/>
    </row>
    <row r="803" spans="1:144" outlineLevel="2">
      <c r="A803" s="1091" t="s">
        <v>925</v>
      </c>
      <c r="B803" s="378"/>
      <c r="C803" s="370" t="s">
        <v>688</v>
      </c>
      <c r="D803" s="297" t="s">
        <v>121</v>
      </c>
      <c r="E803" s="383" t="s">
        <v>274</v>
      </c>
      <c r="F803" s="380">
        <v>3000011817</v>
      </c>
      <c r="G803" s="189"/>
      <c r="H803" s="13"/>
      <c r="I803" s="185"/>
      <c r="J803" s="185"/>
      <c r="K803" s="185"/>
      <c r="L803" s="185"/>
      <c r="M803" s="185"/>
      <c r="N803" s="185"/>
      <c r="O803" s="7"/>
      <c r="P803" s="7"/>
      <c r="Q803" s="7"/>
      <c r="R803" s="7"/>
      <c r="S803" s="14">
        <f>SUM(G803,H803,I803,J803,K803,L803,M803,N803,O803,P803,Q803,R803)</f>
        <v>0</v>
      </c>
      <c r="T803" s="179"/>
      <c r="U803" s="189"/>
      <c r="V803" s="13"/>
      <c r="W803" s="185"/>
      <c r="X803" s="185"/>
      <c r="Y803" s="185"/>
      <c r="Z803" s="185"/>
      <c r="AA803" s="185"/>
      <c r="AB803" s="185"/>
      <c r="AC803" s="7"/>
      <c r="AD803" s="7"/>
      <c r="AE803" s="7"/>
      <c r="AF803" s="7"/>
      <c r="AG803" s="759">
        <f>SUM(U803,V803,W803,X803,Y803,Z803,AA803,AB803,AC803,AD803,AE803,AF803)</f>
        <v>0</v>
      </c>
      <c r="AH803" s="788"/>
      <c r="AI803" s="189"/>
      <c r="AJ803" s="810"/>
      <c r="AK803" s="758"/>
      <c r="AL803" s="758">
        <v>0</v>
      </c>
      <c r="AM803" s="758">
        <v>0</v>
      </c>
      <c r="AN803" s="758">
        <v>0</v>
      </c>
      <c r="AO803" s="758">
        <v>0</v>
      </c>
      <c r="AP803" s="758">
        <v>0</v>
      </c>
      <c r="AQ803" s="518">
        <v>0</v>
      </c>
      <c r="AR803" s="518"/>
      <c r="AS803" s="518"/>
      <c r="AT803" s="518"/>
      <c r="AU803" s="518">
        <f>BI803</f>
        <v>0</v>
      </c>
      <c r="AV803" s="518">
        <f>BJ803</f>
        <v>0</v>
      </c>
      <c r="AW803" s="518">
        <f>BK803</f>
        <v>0</v>
      </c>
      <c r="AX803" s="518">
        <f>SUM(AI803,AJ803,AK803,AL803,AM803,AN803,AO803,AP803,AQ803,AR803,AS803,AT803)</f>
        <v>0</v>
      </c>
      <c r="AY803" s="788"/>
      <c r="AZ803" s="189"/>
      <c r="BA803" s="810"/>
      <c r="BB803" s="758"/>
      <c r="BC803" s="758">
        <v>0</v>
      </c>
      <c r="BD803" s="758">
        <v>0</v>
      </c>
      <c r="BE803" s="758">
        <v>0</v>
      </c>
      <c r="BF803" s="758">
        <v>0</v>
      </c>
      <c r="BG803" s="518">
        <f>AP803</f>
        <v>0</v>
      </c>
      <c r="BH803" s="758">
        <v>0</v>
      </c>
      <c r="BI803" s="758">
        <v>0</v>
      </c>
      <c r="BJ803" s="758">
        <v>0</v>
      </c>
      <c r="BK803" s="758">
        <v>0</v>
      </c>
      <c r="BL803" s="759">
        <f>SUM(AZ803,BA803,BB803,BC803,BD803,BE803,BF803,BG803,BH803,BI803,BJ803,BK803)</f>
        <v>0</v>
      </c>
      <c r="BN803" s="758">
        <v>0</v>
      </c>
      <c r="BO803" s="758">
        <v>15050000</v>
      </c>
      <c r="BP803" s="758">
        <v>0</v>
      </c>
      <c r="BQ803" s="758">
        <v>0</v>
      </c>
      <c r="BR803" s="758">
        <v>0</v>
      </c>
      <c r="BS803" s="758">
        <v>15050000</v>
      </c>
      <c r="BT803" s="758">
        <v>0</v>
      </c>
      <c r="BU803" s="758">
        <v>0</v>
      </c>
      <c r="BV803" s="758">
        <v>0</v>
      </c>
      <c r="BW803" s="758">
        <v>15050000</v>
      </c>
      <c r="BX803" s="758">
        <v>0</v>
      </c>
      <c r="BY803" s="758">
        <v>0</v>
      </c>
      <c r="BZ803" s="791">
        <v>45150000</v>
      </c>
      <c r="CB803" s="758">
        <v>0</v>
      </c>
      <c r="CC803" s="758">
        <v>15050000</v>
      </c>
      <c r="CD803" s="758">
        <v>0</v>
      </c>
      <c r="CE803" s="758">
        <v>0</v>
      </c>
      <c r="CF803" s="758">
        <v>0</v>
      </c>
      <c r="CG803" s="758">
        <v>15050000</v>
      </c>
      <c r="CH803" s="758">
        <v>0</v>
      </c>
      <c r="CI803" s="758">
        <v>0</v>
      </c>
      <c r="CJ803" s="758">
        <v>0</v>
      </c>
      <c r="CK803" s="758">
        <v>15050000</v>
      </c>
      <c r="CL803" s="758">
        <v>0</v>
      </c>
      <c r="CM803" s="758">
        <v>0</v>
      </c>
      <c r="CN803" s="791">
        <v>45150000</v>
      </c>
      <c r="CP803" s="653">
        <v>0</v>
      </c>
      <c r="CQ803" s="653"/>
      <c r="CR803" s="524"/>
      <c r="CS803" s="653"/>
      <c r="CT803" s="524"/>
      <c r="CU803" s="653"/>
      <c r="CV803" s="524"/>
      <c r="CW803" s="653"/>
      <c r="CX803" s="524"/>
      <c r="CY803" s="653"/>
      <c r="CZ803" s="524"/>
      <c r="DA803" s="653"/>
      <c r="DB803" s="524"/>
      <c r="DC803" s="653">
        <v>0</v>
      </c>
      <c r="DD803" s="524"/>
      <c r="DE803" s="758"/>
      <c r="DF803" s="524"/>
      <c r="DG803" s="757"/>
      <c r="DH803" s="758"/>
      <c r="DI803" s="524"/>
      <c r="DJ803" s="757"/>
      <c r="DK803" s="758"/>
      <c r="DL803" s="524"/>
      <c r="DM803" s="757"/>
      <c r="DN803" s="758"/>
      <c r="DO803" s="524"/>
      <c r="DP803" s="757"/>
      <c r="DQ803" s="493">
        <f t="shared" si="466"/>
        <v>0</v>
      </c>
      <c r="DR803" s="479">
        <f t="shared" si="467"/>
        <v>0</v>
      </c>
      <c r="DS803" s="1019"/>
      <c r="DT803" s="1019"/>
      <c r="DU803" s="1019"/>
      <c r="DV803" s="1019"/>
      <c r="DW803" s="1019"/>
      <c r="DX803" s="1019"/>
      <c r="DY803" s="1019"/>
      <c r="DZ803" s="1019"/>
      <c r="EA803" s="1019"/>
      <c r="EB803" s="1019"/>
      <c r="EC803" s="1019"/>
      <c r="ED803" s="1019"/>
      <c r="EE803" s="1119">
        <f t="shared" si="468"/>
        <v>0</v>
      </c>
      <c r="EF803" s="443">
        <f>EE803*1.17</f>
        <v>0</v>
      </c>
      <c r="EG803" s="443">
        <f>EF803*1.08</f>
        <v>0</v>
      </c>
      <c r="EH803" s="443">
        <v>75000000</v>
      </c>
      <c r="EI803" s="443">
        <v>75000000</v>
      </c>
      <c r="EJ803" s="367">
        <v>3000011817</v>
      </c>
      <c r="EL803" s="177"/>
      <c r="EM803" s="177"/>
      <c r="EN803" s="177"/>
    </row>
    <row r="804" spans="1:144" outlineLevel="2">
      <c r="A804" s="1091" t="s">
        <v>925</v>
      </c>
      <c r="B804" s="378"/>
      <c r="C804" s="370" t="s">
        <v>688</v>
      </c>
      <c r="D804" s="297" t="s">
        <v>121</v>
      </c>
      <c r="E804" s="388" t="s">
        <v>942</v>
      </c>
      <c r="F804" s="380"/>
      <c r="G804" s="189"/>
      <c r="H804" s="1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14"/>
      <c r="T804" s="179"/>
      <c r="U804" s="189"/>
      <c r="V804" s="13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759"/>
      <c r="AH804" s="788"/>
      <c r="AI804" s="189"/>
      <c r="AJ804" s="810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518"/>
      <c r="AY804" s="788"/>
      <c r="AZ804" s="189"/>
      <c r="BA804" s="810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759"/>
      <c r="BN804" s="758"/>
      <c r="BO804" s="758"/>
      <c r="BP804" s="758"/>
      <c r="BQ804" s="758"/>
      <c r="BR804" s="758"/>
      <c r="BS804" s="758"/>
      <c r="BT804" s="758"/>
      <c r="BU804" s="758"/>
      <c r="BV804" s="758"/>
      <c r="BW804" s="758"/>
      <c r="BX804" s="758"/>
      <c r="BY804" s="758"/>
      <c r="BZ804" s="791"/>
      <c r="CB804" s="758"/>
      <c r="CC804" s="758"/>
      <c r="CD804" s="758"/>
      <c r="CE804" s="758"/>
      <c r="CF804" s="758"/>
      <c r="CG804" s="758"/>
      <c r="CH804" s="758"/>
      <c r="CI804" s="758"/>
      <c r="CJ804" s="758"/>
      <c r="CK804" s="758"/>
      <c r="CL804" s="758"/>
      <c r="CM804" s="758"/>
      <c r="CN804" s="791"/>
      <c r="CP804" s="653"/>
      <c r="CQ804" s="653"/>
      <c r="CR804" s="524"/>
      <c r="CS804" s="653"/>
      <c r="CT804" s="524"/>
      <c r="CU804" s="653"/>
      <c r="CV804" s="524"/>
      <c r="CW804" s="653"/>
      <c r="CX804" s="524"/>
      <c r="CY804" s="653"/>
      <c r="CZ804" s="524"/>
      <c r="DA804" s="653"/>
      <c r="DB804" s="524"/>
      <c r="DC804" s="653">
        <v>0</v>
      </c>
      <c r="DD804" s="524"/>
      <c r="DE804" s="758"/>
      <c r="DF804" s="524"/>
      <c r="DG804" s="757"/>
      <c r="DH804" s="758"/>
      <c r="DI804" s="524"/>
      <c r="DJ804" s="757"/>
      <c r="DK804" s="758"/>
      <c r="DL804" s="524"/>
      <c r="DM804" s="757"/>
      <c r="DN804" s="758"/>
      <c r="DO804" s="524"/>
      <c r="DP804" s="757"/>
      <c r="DQ804" s="493">
        <f t="shared" si="466"/>
        <v>0</v>
      </c>
      <c r="DR804" s="479">
        <f t="shared" si="467"/>
        <v>0</v>
      </c>
      <c r="DS804" s="1019"/>
      <c r="DT804" s="1019"/>
      <c r="DU804" s="1019"/>
      <c r="DV804" s="1019"/>
      <c r="DW804" s="1019"/>
      <c r="DX804" s="1019"/>
      <c r="DY804" s="1019"/>
      <c r="DZ804" s="1019"/>
      <c r="EA804" s="1019"/>
      <c r="EB804" s="1019"/>
      <c r="EC804" s="1019"/>
      <c r="ED804" s="1019"/>
      <c r="EE804" s="1119">
        <f t="shared" si="468"/>
        <v>0</v>
      </c>
      <c r="EF804" s="443"/>
      <c r="EG804" s="443"/>
      <c r="EH804" s="443"/>
      <c r="EI804" s="443"/>
      <c r="EL804" s="177"/>
      <c r="EM804" s="177"/>
      <c r="EN804" s="177"/>
    </row>
    <row r="805" spans="1:144" outlineLevel="2">
      <c r="A805" s="1091" t="s">
        <v>925</v>
      </c>
      <c r="B805" s="378"/>
      <c r="C805" s="370" t="s">
        <v>688</v>
      </c>
      <c r="D805" s="297" t="s">
        <v>121</v>
      </c>
      <c r="E805" s="379"/>
      <c r="F805" s="380"/>
      <c r="G805" s="189"/>
      <c r="H805" s="1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14"/>
      <c r="T805" s="179"/>
      <c r="U805" s="189"/>
      <c r="V805" s="13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759"/>
      <c r="AH805" s="788"/>
      <c r="AI805" s="189"/>
      <c r="AJ805" s="810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518"/>
      <c r="AY805" s="788"/>
      <c r="AZ805" s="189"/>
      <c r="BA805" s="810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759"/>
      <c r="BN805" s="758"/>
      <c r="BO805" s="758"/>
      <c r="BP805" s="758"/>
      <c r="BQ805" s="758"/>
      <c r="BR805" s="758"/>
      <c r="BS805" s="758"/>
      <c r="BT805" s="758"/>
      <c r="BU805" s="758"/>
      <c r="BV805" s="758"/>
      <c r="BW805" s="758"/>
      <c r="BX805" s="758"/>
      <c r="BY805" s="758"/>
      <c r="BZ805" s="791"/>
      <c r="CB805" s="758"/>
      <c r="CC805" s="758"/>
      <c r="CD805" s="758"/>
      <c r="CE805" s="758"/>
      <c r="CF805" s="758"/>
      <c r="CG805" s="758"/>
      <c r="CH805" s="758"/>
      <c r="CI805" s="758"/>
      <c r="CJ805" s="758"/>
      <c r="CK805" s="758"/>
      <c r="CL805" s="758"/>
      <c r="CM805" s="758"/>
      <c r="CN805" s="791"/>
      <c r="CP805" s="653"/>
      <c r="CQ805" s="653"/>
      <c r="CR805" s="524"/>
      <c r="CS805" s="653"/>
      <c r="CT805" s="524"/>
      <c r="CU805" s="653"/>
      <c r="CV805" s="524"/>
      <c r="CW805" s="653"/>
      <c r="CX805" s="524"/>
      <c r="CY805" s="653"/>
      <c r="CZ805" s="524"/>
      <c r="DA805" s="653"/>
      <c r="DB805" s="524"/>
      <c r="DC805" s="653">
        <v>0</v>
      </c>
      <c r="DD805" s="524">
        <v>50000000</v>
      </c>
      <c r="DE805" s="758"/>
      <c r="DF805" s="524">
        <v>50000000</v>
      </c>
      <c r="DG805" s="757">
        <v>50000000</v>
      </c>
      <c r="DH805" s="758"/>
      <c r="DI805" s="524">
        <v>50000000</v>
      </c>
      <c r="DJ805" s="757">
        <v>50000000</v>
      </c>
      <c r="DK805" s="758"/>
      <c r="DL805" s="524">
        <v>50000000</v>
      </c>
      <c r="DM805" s="757">
        <v>50000000</v>
      </c>
      <c r="DN805" s="758"/>
      <c r="DO805" s="524">
        <v>50000000</v>
      </c>
      <c r="DP805" s="757">
        <v>50000000</v>
      </c>
      <c r="DQ805" s="493">
        <f t="shared" si="466"/>
        <v>200000000</v>
      </c>
      <c r="DR805" s="479">
        <f t="shared" si="467"/>
        <v>250000000</v>
      </c>
      <c r="DS805" s="1019"/>
      <c r="DT805" s="1019"/>
      <c r="DU805" s="1019"/>
      <c r="DV805" s="1019"/>
      <c r="DW805" s="1019"/>
      <c r="DX805" s="1019"/>
      <c r="DY805" s="1019"/>
      <c r="DZ805" s="1019"/>
      <c r="EA805" s="1019"/>
      <c r="EB805" s="1019"/>
      <c r="EC805" s="1019"/>
      <c r="ED805" s="1019"/>
      <c r="EE805" s="1119">
        <f t="shared" si="468"/>
        <v>0</v>
      </c>
      <c r="EF805" s="443"/>
      <c r="EG805" s="443"/>
      <c r="EH805" s="443"/>
      <c r="EI805" s="443"/>
      <c r="EL805" s="177"/>
      <c r="EM805" s="177"/>
      <c r="EN805" s="177"/>
    </row>
    <row r="806" spans="1:144" outlineLevel="2">
      <c r="A806" s="1091" t="s">
        <v>925</v>
      </c>
      <c r="B806" s="378"/>
      <c r="C806" s="370" t="s">
        <v>688</v>
      </c>
      <c r="D806" s="297" t="s">
        <v>121</v>
      </c>
      <c r="E806" s="388"/>
      <c r="F806" s="380"/>
      <c r="G806" s="189"/>
      <c r="H806" s="1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14"/>
      <c r="T806" s="179"/>
      <c r="U806" s="189"/>
      <c r="V806" s="13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759"/>
      <c r="AH806" s="788"/>
      <c r="AI806" s="189"/>
      <c r="AJ806" s="810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518"/>
      <c r="AY806" s="788"/>
      <c r="AZ806" s="189"/>
      <c r="BA806" s="810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759"/>
      <c r="BN806" s="758"/>
      <c r="BO806" s="758"/>
      <c r="BP806" s="758"/>
      <c r="BQ806" s="758"/>
      <c r="BR806" s="758"/>
      <c r="BS806" s="758"/>
      <c r="BT806" s="758"/>
      <c r="BU806" s="758"/>
      <c r="BV806" s="758"/>
      <c r="BW806" s="758"/>
      <c r="BX806" s="758"/>
      <c r="BY806" s="758"/>
      <c r="BZ806" s="791"/>
      <c r="CB806" s="758"/>
      <c r="CC806" s="758"/>
      <c r="CD806" s="758"/>
      <c r="CE806" s="758"/>
      <c r="CF806" s="758"/>
      <c r="CG806" s="758"/>
      <c r="CH806" s="758"/>
      <c r="CI806" s="758"/>
      <c r="CJ806" s="758"/>
      <c r="CK806" s="758"/>
      <c r="CL806" s="758"/>
      <c r="CM806" s="758"/>
      <c r="CN806" s="791"/>
      <c r="CP806" s="653"/>
      <c r="CQ806" s="653"/>
      <c r="CR806" s="524"/>
      <c r="CS806" s="653"/>
      <c r="CT806" s="524"/>
      <c r="CU806" s="653"/>
      <c r="CV806" s="524"/>
      <c r="CW806" s="653"/>
      <c r="CX806" s="524"/>
      <c r="CY806" s="653"/>
      <c r="CZ806" s="524"/>
      <c r="DA806" s="653"/>
      <c r="DB806" s="524"/>
      <c r="DC806" s="653">
        <v>0</v>
      </c>
      <c r="DD806" s="524">
        <v>50000000</v>
      </c>
      <c r="DE806" s="758"/>
      <c r="DF806" s="524">
        <v>50000000</v>
      </c>
      <c r="DG806" s="757">
        <v>50000000</v>
      </c>
      <c r="DH806" s="758"/>
      <c r="DI806" s="524">
        <v>50000000</v>
      </c>
      <c r="DJ806" s="757">
        <v>50000000</v>
      </c>
      <c r="DK806" s="758"/>
      <c r="DL806" s="524">
        <v>50000000</v>
      </c>
      <c r="DM806" s="757">
        <v>50000000</v>
      </c>
      <c r="DN806" s="758"/>
      <c r="DO806" s="524">
        <v>50000000</v>
      </c>
      <c r="DP806" s="757">
        <v>50000000</v>
      </c>
      <c r="DQ806" s="493">
        <f t="shared" si="466"/>
        <v>200000000</v>
      </c>
      <c r="DR806" s="479">
        <f t="shared" si="467"/>
        <v>250000000</v>
      </c>
      <c r="DS806" s="1019"/>
      <c r="DT806" s="1019"/>
      <c r="DU806" s="1019"/>
      <c r="DV806" s="1019"/>
      <c r="DW806" s="1019"/>
      <c r="DX806" s="1019"/>
      <c r="DY806" s="1019"/>
      <c r="DZ806" s="1019"/>
      <c r="EA806" s="1019"/>
      <c r="EB806" s="1019"/>
      <c r="EC806" s="1019"/>
      <c r="ED806" s="1019"/>
      <c r="EE806" s="1119">
        <f t="shared" si="468"/>
        <v>0</v>
      </c>
      <c r="EF806" s="443"/>
      <c r="EG806" s="443"/>
      <c r="EH806" s="443"/>
      <c r="EI806" s="443"/>
      <c r="EL806" s="177"/>
      <c r="EM806" s="177"/>
      <c r="EN806" s="177"/>
    </row>
    <row r="807" spans="1:144" outlineLevel="2">
      <c r="A807" s="1091" t="s">
        <v>925</v>
      </c>
      <c r="B807" s="378"/>
      <c r="C807" s="370" t="s">
        <v>688</v>
      </c>
      <c r="D807" s="297" t="s">
        <v>121</v>
      </c>
      <c r="E807" s="388"/>
      <c r="F807" s="380"/>
      <c r="G807" s="189"/>
      <c r="H807" s="1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14"/>
      <c r="T807" s="179"/>
      <c r="U807" s="189"/>
      <c r="V807" s="13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759"/>
      <c r="AH807" s="788"/>
      <c r="AI807" s="189"/>
      <c r="AJ807" s="810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518"/>
      <c r="AY807" s="788"/>
      <c r="AZ807" s="189"/>
      <c r="BA807" s="810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759"/>
      <c r="BN807" s="758"/>
      <c r="BO807" s="758"/>
      <c r="BP807" s="758"/>
      <c r="BQ807" s="758"/>
      <c r="BR807" s="758"/>
      <c r="BS807" s="758"/>
      <c r="BT807" s="758"/>
      <c r="BU807" s="758"/>
      <c r="BV807" s="758"/>
      <c r="BW807" s="758"/>
      <c r="BX807" s="758"/>
      <c r="BY807" s="758"/>
      <c r="BZ807" s="791"/>
      <c r="CB807" s="758"/>
      <c r="CC807" s="758"/>
      <c r="CD807" s="758"/>
      <c r="CE807" s="758"/>
      <c r="CF807" s="758"/>
      <c r="CG807" s="758"/>
      <c r="CH807" s="758"/>
      <c r="CI807" s="758"/>
      <c r="CJ807" s="758"/>
      <c r="CK807" s="758"/>
      <c r="CL807" s="758"/>
      <c r="CM807" s="758"/>
      <c r="CN807" s="791"/>
      <c r="CP807" s="653"/>
      <c r="CQ807" s="653"/>
      <c r="CR807" s="524"/>
      <c r="CS807" s="653"/>
      <c r="CT807" s="524"/>
      <c r="CU807" s="653"/>
      <c r="CV807" s="524"/>
      <c r="CW807" s="653"/>
      <c r="CX807" s="524"/>
      <c r="CY807" s="653"/>
      <c r="CZ807" s="524"/>
      <c r="DA807" s="653"/>
      <c r="DB807" s="524"/>
      <c r="DC807" s="653">
        <v>0</v>
      </c>
      <c r="DD807" s="524">
        <v>50000000</v>
      </c>
      <c r="DE807" s="758"/>
      <c r="DF807" s="524">
        <v>50000000</v>
      </c>
      <c r="DG807" s="757">
        <v>50000000</v>
      </c>
      <c r="DH807" s="758"/>
      <c r="DI807" s="524">
        <v>50000000</v>
      </c>
      <c r="DJ807" s="757">
        <v>50000000</v>
      </c>
      <c r="DK807" s="758"/>
      <c r="DL807" s="524">
        <v>50000000</v>
      </c>
      <c r="DM807" s="757">
        <v>50000000</v>
      </c>
      <c r="DN807" s="758"/>
      <c r="DO807" s="524">
        <v>50000000</v>
      </c>
      <c r="DP807" s="757">
        <v>50000000</v>
      </c>
      <c r="DQ807" s="493">
        <f t="shared" si="466"/>
        <v>200000000</v>
      </c>
      <c r="DR807" s="479">
        <f t="shared" si="467"/>
        <v>250000000</v>
      </c>
      <c r="DS807" s="1019"/>
      <c r="DT807" s="1019"/>
      <c r="DU807" s="1019"/>
      <c r="DV807" s="1019"/>
      <c r="DW807" s="1019"/>
      <c r="DX807" s="1019"/>
      <c r="DY807" s="1019"/>
      <c r="DZ807" s="1019"/>
      <c r="EA807" s="1019"/>
      <c r="EB807" s="1019"/>
      <c r="EC807" s="1019"/>
      <c r="ED807" s="1019"/>
      <c r="EE807" s="1119">
        <f t="shared" si="468"/>
        <v>0</v>
      </c>
      <c r="EF807" s="443"/>
      <c r="EG807" s="443"/>
      <c r="EH807" s="443"/>
      <c r="EI807" s="443"/>
      <c r="EL807" s="177"/>
      <c r="EM807" s="177"/>
      <c r="EN807" s="177"/>
    </row>
    <row r="808" spans="1:144" outlineLevel="2">
      <c r="A808" s="1091" t="s">
        <v>925</v>
      </c>
      <c r="B808" s="378"/>
      <c r="C808" s="370" t="s">
        <v>688</v>
      </c>
      <c r="D808" s="297" t="s">
        <v>121</v>
      </c>
      <c r="E808" s="388"/>
      <c r="F808" s="380"/>
      <c r="G808" s="189"/>
      <c r="H808" s="1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14"/>
      <c r="T808" s="179"/>
      <c r="U808" s="189"/>
      <c r="V808" s="13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759"/>
      <c r="AH808" s="788"/>
      <c r="AI808" s="189"/>
      <c r="AJ808" s="810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518"/>
      <c r="AY808" s="788"/>
      <c r="AZ808" s="189"/>
      <c r="BA808" s="810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759"/>
      <c r="BN808" s="758"/>
      <c r="BO808" s="758"/>
      <c r="BP808" s="758"/>
      <c r="BQ808" s="758"/>
      <c r="BR808" s="758"/>
      <c r="BS808" s="758"/>
      <c r="BT808" s="758"/>
      <c r="BU808" s="758"/>
      <c r="BV808" s="758"/>
      <c r="BW808" s="758"/>
      <c r="BX808" s="758"/>
      <c r="BY808" s="758"/>
      <c r="BZ808" s="791"/>
      <c r="CB808" s="758"/>
      <c r="CC808" s="758"/>
      <c r="CD808" s="758"/>
      <c r="CE808" s="758"/>
      <c r="CF808" s="758"/>
      <c r="CG808" s="758"/>
      <c r="CH808" s="758"/>
      <c r="CI808" s="758"/>
      <c r="CJ808" s="758"/>
      <c r="CK808" s="758"/>
      <c r="CL808" s="758"/>
      <c r="CM808" s="758"/>
      <c r="CN808" s="791"/>
      <c r="CP808" s="653"/>
      <c r="CQ808" s="653"/>
      <c r="CR808" s="524"/>
      <c r="CS808" s="653"/>
      <c r="CT808" s="524"/>
      <c r="CU808" s="653"/>
      <c r="CV808" s="524"/>
      <c r="CW808" s="653"/>
      <c r="CX808" s="524"/>
      <c r="CY808" s="653"/>
      <c r="CZ808" s="524"/>
      <c r="DA808" s="653"/>
      <c r="DB808" s="524"/>
      <c r="DC808" s="653">
        <v>0</v>
      </c>
      <c r="DD808" s="524"/>
      <c r="DE808" s="758"/>
      <c r="DF808" s="524"/>
      <c r="DG808" s="757"/>
      <c r="DH808" s="758"/>
      <c r="DI808" s="524"/>
      <c r="DJ808" s="757"/>
      <c r="DK808" s="758"/>
      <c r="DL808" s="524"/>
      <c r="DM808" s="757"/>
      <c r="DN808" s="758"/>
      <c r="DO808" s="524"/>
      <c r="DP808" s="757"/>
      <c r="DQ808" s="493">
        <f t="shared" si="466"/>
        <v>0</v>
      </c>
      <c r="DR808" s="479">
        <f t="shared" si="467"/>
        <v>0</v>
      </c>
      <c r="DS808" s="1019"/>
      <c r="DT808" s="1019"/>
      <c r="DU808" s="1019"/>
      <c r="DV808" s="1019"/>
      <c r="DW808" s="1019"/>
      <c r="DX808" s="1019"/>
      <c r="DY808" s="1019"/>
      <c r="DZ808" s="1019"/>
      <c r="EA808" s="1019"/>
      <c r="EB808" s="1019"/>
      <c r="EC808" s="1019"/>
      <c r="ED808" s="1019"/>
      <c r="EE808" s="1119">
        <f t="shared" si="468"/>
        <v>0</v>
      </c>
      <c r="EF808" s="443"/>
      <c r="EG808" s="443"/>
      <c r="EH808" s="443"/>
      <c r="EI808" s="443"/>
      <c r="EL808" s="177"/>
      <c r="EM808" s="177"/>
      <c r="EN808" s="177"/>
    </row>
    <row r="809" spans="1:144" outlineLevel="2">
      <c r="A809" s="1091" t="s">
        <v>925</v>
      </c>
      <c r="B809" s="378"/>
      <c r="C809" s="370" t="s">
        <v>688</v>
      </c>
      <c r="D809" s="297" t="s">
        <v>121</v>
      </c>
      <c r="E809" s="383"/>
      <c r="F809" s="380"/>
      <c r="G809" s="189"/>
      <c r="H809" s="1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14"/>
      <c r="T809" s="179"/>
      <c r="U809" s="189"/>
      <c r="V809" s="13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759"/>
      <c r="AH809" s="788"/>
      <c r="AI809" s="189"/>
      <c r="AJ809" s="810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518">
        <f>SUM(AI809,AJ809,AK809,AL809,AM809,AN809,AO809,AP809,AQ809,AR809,AS809,AT809)</f>
        <v>0</v>
      </c>
      <c r="AY809" s="788"/>
      <c r="AZ809" s="189"/>
      <c r="BA809" s="810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759"/>
      <c r="BN809" s="758"/>
      <c r="BO809" s="758"/>
      <c r="BP809" s="758"/>
      <c r="BQ809" s="758"/>
      <c r="BR809" s="758"/>
      <c r="BS809" s="758"/>
      <c r="BT809" s="758"/>
      <c r="BU809" s="758"/>
      <c r="BV809" s="758"/>
      <c r="BW809" s="758"/>
      <c r="BX809" s="758"/>
      <c r="BY809" s="758"/>
      <c r="BZ809" s="791">
        <v>0</v>
      </c>
      <c r="CB809" s="758"/>
      <c r="CC809" s="758"/>
      <c r="CD809" s="758"/>
      <c r="CE809" s="758"/>
      <c r="CF809" s="758"/>
      <c r="CG809" s="758"/>
      <c r="CH809" s="758"/>
      <c r="CI809" s="758"/>
      <c r="CJ809" s="758"/>
      <c r="CK809" s="758"/>
      <c r="CL809" s="758"/>
      <c r="CM809" s="758"/>
      <c r="CN809" s="791">
        <v>0</v>
      </c>
      <c r="CP809" s="653">
        <v>0</v>
      </c>
      <c r="CQ809" s="653"/>
      <c r="CR809" s="524">
        <v>18185000</v>
      </c>
      <c r="CS809" s="653"/>
      <c r="CT809" s="524">
        <v>18000000</v>
      </c>
      <c r="CU809" s="653"/>
      <c r="CV809" s="524">
        <v>24000000</v>
      </c>
      <c r="CW809" s="653"/>
      <c r="CX809" s="524">
        <v>10000000</v>
      </c>
      <c r="CY809" s="653"/>
      <c r="CZ809" s="524"/>
      <c r="DA809" s="653"/>
      <c r="DB809" s="524">
        <v>24000000</v>
      </c>
      <c r="DC809" s="653">
        <v>0</v>
      </c>
      <c r="DD809" s="524">
        <v>10000000</v>
      </c>
      <c r="DE809" s="758"/>
      <c r="DF809" s="524"/>
      <c r="DG809" s="757"/>
      <c r="DH809" s="758"/>
      <c r="DI809" s="524">
        <v>24000000</v>
      </c>
      <c r="DJ809" s="757">
        <v>24000000</v>
      </c>
      <c r="DK809" s="758"/>
      <c r="DL809" s="524">
        <v>10000000</v>
      </c>
      <c r="DM809" s="757">
        <v>10000000</v>
      </c>
      <c r="DN809" s="758"/>
      <c r="DO809" s="524"/>
      <c r="DP809" s="757"/>
      <c r="DQ809" s="493">
        <f t="shared" si="466"/>
        <v>34000000</v>
      </c>
      <c r="DR809" s="479">
        <f t="shared" si="467"/>
        <v>78000000</v>
      </c>
      <c r="DS809" s="1019"/>
      <c r="DT809" s="1019"/>
      <c r="DU809" s="1019"/>
      <c r="DV809" s="1019"/>
      <c r="DW809" s="1019"/>
      <c r="DX809" s="1019"/>
      <c r="DY809" s="1019"/>
      <c r="DZ809" s="1019"/>
      <c r="EA809" s="1019"/>
      <c r="EB809" s="1019"/>
      <c r="EC809" s="1019"/>
      <c r="ED809" s="1019"/>
      <c r="EE809" s="1119">
        <f t="shared" si="468"/>
        <v>0</v>
      </c>
      <c r="EF809" s="443">
        <v>200000000</v>
      </c>
      <c r="EG809" s="443">
        <v>550000000</v>
      </c>
      <c r="EH809" s="443">
        <v>1150000000</v>
      </c>
      <c r="EI809" s="443">
        <v>1150000000</v>
      </c>
      <c r="EL809" s="177"/>
      <c r="EM809" s="177"/>
      <c r="EN809" s="177"/>
    </row>
    <row r="810" spans="1:144" ht="15" outlineLevel="1" thickBot="1">
      <c r="B810" s="378"/>
      <c r="E810" s="437" t="s">
        <v>943</v>
      </c>
      <c r="F810" s="380"/>
      <c r="G810" s="32">
        <f t="shared" ref="G810:S810" si="469">SUM(G767:G788)</f>
        <v>0</v>
      </c>
      <c r="H810" s="33">
        <f t="shared" si="469"/>
        <v>0</v>
      </c>
      <c r="I810" s="32">
        <f t="shared" si="469"/>
        <v>0</v>
      </c>
      <c r="J810" s="32">
        <f t="shared" si="469"/>
        <v>0</v>
      </c>
      <c r="K810" s="32">
        <f t="shared" si="469"/>
        <v>0</v>
      </c>
      <c r="L810" s="32">
        <f t="shared" si="469"/>
        <v>0</v>
      </c>
      <c r="M810" s="32">
        <f t="shared" si="469"/>
        <v>0</v>
      </c>
      <c r="N810" s="32">
        <f t="shared" si="469"/>
        <v>0</v>
      </c>
      <c r="O810" s="32">
        <f t="shared" si="469"/>
        <v>0</v>
      </c>
      <c r="P810" s="32">
        <f t="shared" si="469"/>
        <v>0</v>
      </c>
      <c r="Q810" s="32">
        <f t="shared" si="469"/>
        <v>0</v>
      </c>
      <c r="R810" s="32">
        <f t="shared" si="469"/>
        <v>0</v>
      </c>
      <c r="S810" s="32">
        <f t="shared" si="469"/>
        <v>0</v>
      </c>
      <c r="T810" s="34"/>
      <c r="U810" s="32">
        <f t="shared" ref="U810:AG810" si="470">SUM(U767:U788)</f>
        <v>0</v>
      </c>
      <c r="V810" s="33">
        <f t="shared" si="470"/>
        <v>0</v>
      </c>
      <c r="W810" s="32">
        <f t="shared" si="470"/>
        <v>0</v>
      </c>
      <c r="X810" s="32">
        <f t="shared" si="470"/>
        <v>0</v>
      </c>
      <c r="Y810" s="32">
        <f t="shared" si="470"/>
        <v>0</v>
      </c>
      <c r="Z810" s="32">
        <f t="shared" si="470"/>
        <v>0</v>
      </c>
      <c r="AA810" s="32">
        <f t="shared" si="470"/>
        <v>0</v>
      </c>
      <c r="AB810" s="32">
        <f t="shared" si="470"/>
        <v>0</v>
      </c>
      <c r="AC810" s="32">
        <f t="shared" si="470"/>
        <v>0</v>
      </c>
      <c r="AD810" s="32">
        <f t="shared" si="470"/>
        <v>0</v>
      </c>
      <c r="AE810" s="32">
        <f t="shared" si="470"/>
        <v>0</v>
      </c>
      <c r="AF810" s="32">
        <f t="shared" si="470"/>
        <v>0</v>
      </c>
      <c r="AG810" s="484">
        <f t="shared" si="470"/>
        <v>0</v>
      </c>
      <c r="AH810" s="869"/>
      <c r="AI810" s="484">
        <f t="shared" ref="AI810:AQ810" si="471">SUM(AI767:AI788)</f>
        <v>2400000</v>
      </c>
      <c r="AJ810" s="870">
        <f t="shared" si="471"/>
        <v>10218270</v>
      </c>
      <c r="AK810" s="484">
        <f t="shared" si="471"/>
        <v>92205220</v>
      </c>
      <c r="AL810" s="484">
        <f t="shared" si="471"/>
        <v>25048950</v>
      </c>
      <c r="AM810" s="484">
        <f t="shared" si="471"/>
        <v>84452060</v>
      </c>
      <c r="AN810" s="484">
        <f t="shared" si="471"/>
        <v>6428180</v>
      </c>
      <c r="AO810" s="484">
        <f t="shared" si="471"/>
        <v>79901750</v>
      </c>
      <c r="AP810" s="484">
        <f t="shared" si="471"/>
        <v>81282700</v>
      </c>
      <c r="AQ810" s="484">
        <f t="shared" si="471"/>
        <v>129866420</v>
      </c>
      <c r="AR810" s="484">
        <f>SUM(AR767:AR809)</f>
        <v>318179250</v>
      </c>
      <c r="AS810" s="484">
        <f>SUM(AS767:AS809)</f>
        <v>227605200</v>
      </c>
      <c r="AT810" s="484">
        <f>SUM(AT767:AT809)</f>
        <v>315457570</v>
      </c>
      <c r="AU810" s="484">
        <f>SUM(AU767:AU795)</f>
        <v>279500000</v>
      </c>
      <c r="AV810" s="484">
        <f>SUM(AV767:AV795)</f>
        <v>277000000</v>
      </c>
      <c r="AW810" s="484">
        <f>SUM(AW767:AW795)</f>
        <v>269000000</v>
      </c>
      <c r="AX810" s="484">
        <f>SUM(AX767:AX809)</f>
        <v>3038245570</v>
      </c>
      <c r="AY810" s="869"/>
      <c r="AZ810" s="484">
        <f t="shared" ref="AZ810:BL810" si="472">SUM(AZ767:AZ788)</f>
        <v>2400000</v>
      </c>
      <c r="BA810" s="870">
        <f t="shared" si="472"/>
        <v>10218270</v>
      </c>
      <c r="BB810" s="484">
        <f t="shared" si="472"/>
        <v>92205220</v>
      </c>
      <c r="BC810" s="484">
        <f t="shared" si="472"/>
        <v>25048950</v>
      </c>
      <c r="BD810" s="484">
        <f t="shared" si="472"/>
        <v>84452060</v>
      </c>
      <c r="BE810" s="484">
        <f t="shared" si="472"/>
        <v>6428180</v>
      </c>
      <c r="BF810" s="484">
        <f t="shared" si="472"/>
        <v>79901750</v>
      </c>
      <c r="BG810" s="484">
        <f t="shared" si="472"/>
        <v>81282700</v>
      </c>
      <c r="BH810" s="484">
        <f t="shared" si="472"/>
        <v>68500000</v>
      </c>
      <c r="BI810" s="484">
        <f t="shared" si="472"/>
        <v>93500000</v>
      </c>
      <c r="BJ810" s="484">
        <f t="shared" si="472"/>
        <v>91000000</v>
      </c>
      <c r="BK810" s="484">
        <f t="shared" si="472"/>
        <v>83000000</v>
      </c>
      <c r="BL810" s="484">
        <f t="shared" si="472"/>
        <v>717937130</v>
      </c>
      <c r="BN810" s="484">
        <f t="shared" ref="BN810:BZ810" si="473">BN766+BN796+BN797</f>
        <v>832000000</v>
      </c>
      <c r="BO810" s="484">
        <f t="shared" si="473"/>
        <v>1393450000</v>
      </c>
      <c r="BP810" s="484">
        <f t="shared" si="473"/>
        <v>892550000</v>
      </c>
      <c r="BQ810" s="484">
        <f t="shared" si="473"/>
        <v>610150000</v>
      </c>
      <c r="BR810" s="484">
        <f t="shared" si="473"/>
        <v>473900000</v>
      </c>
      <c r="BS810" s="484">
        <f t="shared" si="473"/>
        <v>845150000</v>
      </c>
      <c r="BT810" s="484">
        <f t="shared" si="473"/>
        <v>861100000</v>
      </c>
      <c r="BU810" s="484">
        <f t="shared" si="473"/>
        <v>599772853</v>
      </c>
      <c r="BV810" s="484">
        <f t="shared" si="473"/>
        <v>892250000</v>
      </c>
      <c r="BW810" s="484">
        <f t="shared" si="473"/>
        <v>607650000</v>
      </c>
      <c r="BX810" s="484">
        <f t="shared" si="473"/>
        <v>1302400000</v>
      </c>
      <c r="BY810" s="484">
        <f t="shared" si="473"/>
        <v>761700000</v>
      </c>
      <c r="BZ810" s="484">
        <f t="shared" si="473"/>
        <v>10072072853</v>
      </c>
      <c r="CB810" s="484">
        <f t="shared" ref="CB810:CM810" si="474">SUM(CB767:CB799)</f>
        <v>830100000</v>
      </c>
      <c r="CC810" s="484">
        <f t="shared" si="474"/>
        <v>1356500000</v>
      </c>
      <c r="CD810" s="484">
        <f t="shared" si="474"/>
        <v>872550000</v>
      </c>
      <c r="CE810" s="484">
        <f t="shared" si="474"/>
        <v>588250000</v>
      </c>
      <c r="CF810" s="484">
        <f t="shared" si="474"/>
        <v>453900000</v>
      </c>
      <c r="CG810" s="484">
        <f t="shared" si="474"/>
        <v>808200000</v>
      </c>
      <c r="CH810" s="484">
        <f t="shared" si="474"/>
        <v>839200000</v>
      </c>
      <c r="CI810" s="484">
        <f t="shared" si="474"/>
        <v>579772853</v>
      </c>
      <c r="CJ810" s="484">
        <f t="shared" si="474"/>
        <v>870350000</v>
      </c>
      <c r="CK810" s="484">
        <f t="shared" si="474"/>
        <v>570700000</v>
      </c>
      <c r="CL810" s="484">
        <f t="shared" si="474"/>
        <v>1282400000</v>
      </c>
      <c r="CM810" s="484">
        <f t="shared" si="474"/>
        <v>741700000</v>
      </c>
      <c r="CN810" s="484">
        <v>10072072853</v>
      </c>
      <c r="CP810" s="484">
        <f>CP766+CP796+CP797</f>
        <v>400764910</v>
      </c>
      <c r="CQ810" s="484">
        <f t="shared" ref="CQ810:DQ810" si="475">CQ766+CQ796+CQ797</f>
        <v>206392240</v>
      </c>
      <c r="CR810" s="618">
        <f t="shared" si="475"/>
        <v>462282680</v>
      </c>
      <c r="CS810" s="484">
        <f t="shared" si="475"/>
        <v>119254640</v>
      </c>
      <c r="CT810" s="618">
        <f t="shared" si="475"/>
        <v>398900000</v>
      </c>
      <c r="CU810" s="484">
        <f t="shared" si="475"/>
        <v>516196050</v>
      </c>
      <c r="CV810" s="618">
        <f t="shared" si="475"/>
        <v>434000000</v>
      </c>
      <c r="CW810" s="484">
        <f t="shared" si="475"/>
        <v>437572220</v>
      </c>
      <c r="CX810" s="618">
        <f t="shared" si="475"/>
        <v>321000000</v>
      </c>
      <c r="CY810" s="484">
        <f t="shared" si="475"/>
        <v>393884230</v>
      </c>
      <c r="CZ810" s="618">
        <f t="shared" si="475"/>
        <v>314500000</v>
      </c>
      <c r="DA810" s="484">
        <f t="shared" si="475"/>
        <v>292400654</v>
      </c>
      <c r="DB810" s="618">
        <f t="shared" si="475"/>
        <v>444500000</v>
      </c>
      <c r="DC810" s="484">
        <f t="shared" si="475"/>
        <v>692622090</v>
      </c>
      <c r="DD810" s="618">
        <f t="shared" si="475"/>
        <v>615000000</v>
      </c>
      <c r="DE810" s="484">
        <f t="shared" si="475"/>
        <v>0</v>
      </c>
      <c r="DF810" s="618">
        <f>DF766+DF796+DF797</f>
        <v>561000000</v>
      </c>
      <c r="DG810" s="484">
        <f t="shared" si="475"/>
        <v>561000000</v>
      </c>
      <c r="DH810" s="484">
        <f t="shared" si="475"/>
        <v>0</v>
      </c>
      <c r="DI810" s="618">
        <f>DI766+DI796+DI797</f>
        <v>694500000</v>
      </c>
      <c r="DJ810" s="484">
        <f t="shared" si="475"/>
        <v>694500000</v>
      </c>
      <c r="DK810" s="484">
        <f t="shared" si="475"/>
        <v>0</v>
      </c>
      <c r="DL810" s="618">
        <f>DL766+DL796+DL797</f>
        <v>615000000</v>
      </c>
      <c r="DM810" s="484">
        <f>DM766+DM796+DM797</f>
        <v>615000000</v>
      </c>
      <c r="DN810" s="484">
        <f t="shared" si="475"/>
        <v>0</v>
      </c>
      <c r="DO810" s="618">
        <f>DO766+DO796+DO797</f>
        <v>561000000</v>
      </c>
      <c r="DP810" s="484">
        <f t="shared" si="475"/>
        <v>561000000</v>
      </c>
      <c r="DQ810" s="484">
        <f t="shared" si="475"/>
        <v>5490587034</v>
      </c>
      <c r="DR810" s="484">
        <f>DR766+DR796+DR797</f>
        <v>5369107840</v>
      </c>
      <c r="DS810" s="1182">
        <f>DS766+DS796+DS797</f>
        <v>305250000</v>
      </c>
      <c r="DT810" s="1182">
        <f>DT766+DT796+DT797</f>
        <v>589450000</v>
      </c>
      <c r="DU810" s="1182">
        <f t="shared" ref="DU810:EI810" si="476">DU766+DU796+DU797</f>
        <v>603850000</v>
      </c>
      <c r="DV810" s="1182">
        <f t="shared" si="476"/>
        <v>526950000</v>
      </c>
      <c r="DW810" s="1182">
        <f t="shared" si="476"/>
        <v>501500000</v>
      </c>
      <c r="DX810" s="1182">
        <f t="shared" si="476"/>
        <v>654000000</v>
      </c>
      <c r="DY810" s="1182">
        <f t="shared" si="476"/>
        <v>537300000</v>
      </c>
      <c r="DZ810" s="1182">
        <f t="shared" si="476"/>
        <v>539800000</v>
      </c>
      <c r="EA810" s="1182">
        <f t="shared" si="476"/>
        <v>599000000</v>
      </c>
      <c r="EB810" s="1182">
        <f t="shared" si="476"/>
        <v>552200000</v>
      </c>
      <c r="EC810" s="1182">
        <f t="shared" si="476"/>
        <v>505300000</v>
      </c>
      <c r="ED810" s="1182">
        <f t="shared" si="476"/>
        <v>599000000</v>
      </c>
      <c r="EE810" s="1148">
        <f t="shared" si="476"/>
        <v>6513600000</v>
      </c>
      <c r="EF810" s="1027">
        <f t="shared" si="476"/>
        <v>14355586861</v>
      </c>
      <c r="EG810" s="1027">
        <f t="shared" si="476"/>
        <v>18273161537</v>
      </c>
      <c r="EH810" s="1027">
        <f t="shared" si="476"/>
        <v>23147139189</v>
      </c>
      <c r="EI810" s="1027">
        <f t="shared" si="476"/>
        <v>24947411899</v>
      </c>
      <c r="EJ810" s="367" t="e">
        <v>#N/A</v>
      </c>
      <c r="EL810" s="177"/>
      <c r="EM810" s="177"/>
      <c r="EN810" s="177"/>
    </row>
    <row r="811" spans="1:144" ht="15" outlineLevel="1" thickTop="1">
      <c r="B811" s="378"/>
      <c r="E811" s="383"/>
      <c r="F811" s="380"/>
      <c r="G811" s="6"/>
      <c r="H811" s="199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37"/>
      <c r="U811" s="6"/>
      <c r="V811" s="199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37"/>
      <c r="AI811" s="6"/>
      <c r="AJ811" s="880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37"/>
      <c r="AZ811" s="6"/>
      <c r="BA811" s="880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N811" s="6"/>
      <c r="BO811" s="880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799"/>
      <c r="CB811" s="6"/>
      <c r="CC811" s="880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752"/>
      <c r="DH811" s="6"/>
      <c r="DI811" s="6"/>
      <c r="DJ811" s="752"/>
      <c r="DK811" s="6"/>
      <c r="DL811" s="6"/>
      <c r="DM811" s="752"/>
      <c r="DN811" s="6"/>
      <c r="DO811" s="6"/>
      <c r="DP811" s="752"/>
      <c r="DQ811" s="494"/>
      <c r="DR811" s="505"/>
      <c r="DS811" s="1165"/>
      <c r="DT811" s="1165"/>
      <c r="DU811" s="1165"/>
      <c r="DV811" s="1165"/>
      <c r="DW811" s="1165"/>
      <c r="DX811" s="1165"/>
      <c r="DY811" s="1165"/>
      <c r="DZ811" s="1165"/>
      <c r="EA811" s="1165"/>
      <c r="EB811" s="1165"/>
      <c r="EC811" s="1165"/>
      <c r="ED811" s="1165"/>
      <c r="EE811" s="1149"/>
      <c r="EF811" s="1028"/>
      <c r="EG811" s="1028"/>
      <c r="EH811" s="1028"/>
      <c r="EI811" s="1028"/>
      <c r="EJ811" s="367" t="e">
        <v>#N/A</v>
      </c>
      <c r="EL811" s="177"/>
      <c r="EM811" s="177"/>
      <c r="EN811" s="177"/>
    </row>
    <row r="812" spans="1:144" outlineLevel="1">
      <c r="B812" s="378"/>
      <c r="E812" s="437" t="s">
        <v>944</v>
      </c>
      <c r="F812" s="380"/>
      <c r="G812" s="6"/>
      <c r="H812" s="199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37"/>
      <c r="U812" s="6"/>
      <c r="V812" s="199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37"/>
      <c r="AI812" s="6"/>
      <c r="AJ812" s="880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37"/>
      <c r="AZ812" s="6"/>
      <c r="BA812" s="880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N812" s="6"/>
      <c r="BO812" s="880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799"/>
      <c r="CB812" s="6"/>
      <c r="CC812" s="880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752"/>
      <c r="DH812" s="6"/>
      <c r="DI812" s="6"/>
      <c r="DJ812" s="752"/>
      <c r="DK812" s="6"/>
      <c r="DL812" s="6"/>
      <c r="DM812" s="752"/>
      <c r="DN812" s="6"/>
      <c r="DO812" s="6"/>
      <c r="DP812" s="752"/>
      <c r="DQ812" s="494"/>
      <c r="DR812" s="505"/>
      <c r="DS812" s="1165"/>
      <c r="DT812" s="1165"/>
      <c r="DU812" s="1165"/>
      <c r="DV812" s="1165"/>
      <c r="DW812" s="1165"/>
      <c r="DX812" s="1165"/>
      <c r="DY812" s="1165"/>
      <c r="DZ812" s="1165"/>
      <c r="EA812" s="1165"/>
      <c r="EB812" s="1165"/>
      <c r="EC812" s="1165"/>
      <c r="ED812" s="1165"/>
      <c r="EE812" s="1149"/>
      <c r="EF812" s="1028"/>
      <c r="EG812" s="1028"/>
      <c r="EH812" s="1028"/>
      <c r="EI812" s="1028"/>
      <c r="EL812" s="177"/>
      <c r="EM812" s="177"/>
      <c r="EN812" s="177"/>
    </row>
    <row r="813" spans="1:144" outlineLevel="1">
      <c r="B813" s="378"/>
      <c r="E813" s="383"/>
      <c r="F813" s="380"/>
      <c r="G813" s="6"/>
      <c r="H813" s="199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37"/>
      <c r="U813" s="6"/>
      <c r="V813" s="199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37"/>
      <c r="AI813" s="6"/>
      <c r="AJ813" s="880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37"/>
      <c r="AZ813" s="6"/>
      <c r="BA813" s="880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N813" s="6"/>
      <c r="BO813" s="880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799"/>
      <c r="CB813" s="6"/>
      <c r="CC813" s="880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752"/>
      <c r="DH813" s="6"/>
      <c r="DI813" s="6"/>
      <c r="DJ813" s="752"/>
      <c r="DK813" s="6"/>
      <c r="DL813" s="6"/>
      <c r="DM813" s="752"/>
      <c r="DN813" s="6"/>
      <c r="DO813" s="6"/>
      <c r="DP813" s="752"/>
      <c r="DQ813" s="494"/>
      <c r="DR813" s="505"/>
      <c r="DS813" s="1165"/>
      <c r="DT813" s="1165"/>
      <c r="DU813" s="1165"/>
      <c r="DV813" s="1165"/>
      <c r="DW813" s="1165"/>
      <c r="DX813" s="1165"/>
      <c r="DY813" s="1165"/>
      <c r="DZ813" s="1165"/>
      <c r="EA813" s="1165"/>
      <c r="EB813" s="1165"/>
      <c r="EC813" s="1165"/>
      <c r="ED813" s="1165"/>
      <c r="EE813" s="1149"/>
      <c r="EF813" s="1028"/>
      <c r="EG813" s="1028"/>
      <c r="EH813" s="1028"/>
      <c r="EI813" s="1028"/>
      <c r="EL813" s="177"/>
      <c r="EM813" s="177"/>
      <c r="EN813" s="177"/>
    </row>
    <row r="814" spans="1:144" ht="15" thickBot="1">
      <c r="B814" s="994"/>
      <c r="C814" s="418"/>
      <c r="D814" s="418"/>
      <c r="E814" s="419" t="s">
        <v>945</v>
      </c>
      <c r="F814" s="439"/>
      <c r="G814" s="35">
        <f t="shared" ref="G814:S814" si="477">G810+G761+G655+G624</f>
        <v>0</v>
      </c>
      <c r="H814" s="33">
        <f t="shared" si="477"/>
        <v>0</v>
      </c>
      <c r="I814" s="35">
        <f t="shared" si="477"/>
        <v>0</v>
      </c>
      <c r="J814" s="35">
        <f t="shared" si="477"/>
        <v>0</v>
      </c>
      <c r="K814" s="35">
        <f t="shared" si="477"/>
        <v>0</v>
      </c>
      <c r="L814" s="35">
        <f t="shared" si="477"/>
        <v>0</v>
      </c>
      <c r="M814" s="35">
        <f t="shared" si="477"/>
        <v>0</v>
      </c>
      <c r="N814" s="35">
        <f t="shared" si="477"/>
        <v>0</v>
      </c>
      <c r="O814" s="35">
        <f t="shared" si="477"/>
        <v>0</v>
      </c>
      <c r="P814" s="35">
        <f t="shared" si="477"/>
        <v>0</v>
      </c>
      <c r="Q814" s="35">
        <f t="shared" si="477"/>
        <v>0</v>
      </c>
      <c r="R814" s="35">
        <f t="shared" si="477"/>
        <v>0</v>
      </c>
      <c r="S814" s="35">
        <f t="shared" si="477"/>
        <v>0</v>
      </c>
      <c r="T814" s="36"/>
      <c r="U814" s="35">
        <f t="shared" ref="U814:AG814" si="478">U810+U761+U655+U624</f>
        <v>0</v>
      </c>
      <c r="V814" s="33">
        <f t="shared" si="478"/>
        <v>0</v>
      </c>
      <c r="W814" s="35">
        <f t="shared" si="478"/>
        <v>0</v>
      </c>
      <c r="X814" s="35">
        <f t="shared" si="478"/>
        <v>0</v>
      </c>
      <c r="Y814" s="35">
        <f t="shared" si="478"/>
        <v>0</v>
      </c>
      <c r="Z814" s="35">
        <f t="shared" si="478"/>
        <v>0</v>
      </c>
      <c r="AA814" s="35">
        <f t="shared" si="478"/>
        <v>0</v>
      </c>
      <c r="AB814" s="35">
        <f t="shared" si="478"/>
        <v>0</v>
      </c>
      <c r="AC814" s="35">
        <f t="shared" si="478"/>
        <v>0</v>
      </c>
      <c r="AD814" s="35">
        <f t="shared" si="478"/>
        <v>0</v>
      </c>
      <c r="AE814" s="35">
        <f t="shared" si="478"/>
        <v>0</v>
      </c>
      <c r="AF814" s="35">
        <f t="shared" si="478"/>
        <v>0</v>
      </c>
      <c r="AG814" s="35">
        <f t="shared" si="478"/>
        <v>0</v>
      </c>
      <c r="AH814" s="36"/>
      <c r="AI814" s="35">
        <f t="shared" ref="AI814:AX814" si="479">AI810+AI761+AI655+AI624</f>
        <v>712903489</v>
      </c>
      <c r="AJ814" s="870">
        <f t="shared" si="479"/>
        <v>1439357127</v>
      </c>
      <c r="AK814" s="35">
        <f t="shared" si="479"/>
        <v>1229744943</v>
      </c>
      <c r="AL814" s="35">
        <f t="shared" si="479"/>
        <v>2021940106</v>
      </c>
      <c r="AM814" s="35">
        <f t="shared" si="479"/>
        <v>2095087241</v>
      </c>
      <c r="AN814" s="35">
        <f t="shared" si="479"/>
        <v>1940861348</v>
      </c>
      <c r="AO814" s="35">
        <f t="shared" si="479"/>
        <v>1790284658</v>
      </c>
      <c r="AP814" s="35">
        <f t="shared" si="479"/>
        <v>1994122523</v>
      </c>
      <c r="AQ814" s="35">
        <f t="shared" si="479"/>
        <v>2378354167</v>
      </c>
      <c r="AR814" s="35">
        <f t="shared" si="479"/>
        <v>2225780798</v>
      </c>
      <c r="AS814" s="35">
        <f t="shared" si="479"/>
        <v>2011178946</v>
      </c>
      <c r="AT814" s="35">
        <f t="shared" si="479"/>
        <v>2518899332</v>
      </c>
      <c r="AU814" s="35">
        <f t="shared" si="479"/>
        <v>2579950000</v>
      </c>
      <c r="AV814" s="35">
        <f t="shared" si="479"/>
        <v>2559000000</v>
      </c>
      <c r="AW814" s="35">
        <f t="shared" si="479"/>
        <v>2532000000</v>
      </c>
      <c r="AX814" s="35">
        <f t="shared" si="479"/>
        <v>24023714678</v>
      </c>
      <c r="AY814" s="36"/>
      <c r="AZ814" s="35">
        <f t="shared" ref="AZ814:BL814" si="480">AZ810+AZ761+AZ655+AZ624</f>
        <v>712903489</v>
      </c>
      <c r="BA814" s="870">
        <f t="shared" si="480"/>
        <v>1439357127</v>
      </c>
      <c r="BB814" s="35">
        <f t="shared" si="480"/>
        <v>1229744943</v>
      </c>
      <c r="BC814" s="35">
        <f t="shared" si="480"/>
        <v>2021940106</v>
      </c>
      <c r="BD814" s="35">
        <f t="shared" si="480"/>
        <v>2095087241</v>
      </c>
      <c r="BE814" s="35">
        <f t="shared" si="480"/>
        <v>1940861348</v>
      </c>
      <c r="BF814" s="35">
        <f t="shared" si="480"/>
        <v>1790284658</v>
      </c>
      <c r="BG814" s="35">
        <f t="shared" si="480"/>
        <v>1994122523</v>
      </c>
      <c r="BH814" s="35">
        <f t="shared" si="480"/>
        <v>2347500000</v>
      </c>
      <c r="BI814" s="35">
        <f t="shared" si="480"/>
        <v>2393950000</v>
      </c>
      <c r="BJ814" s="35">
        <f t="shared" si="480"/>
        <v>2373000000</v>
      </c>
      <c r="BK814" s="35">
        <f t="shared" si="480"/>
        <v>2346000000</v>
      </c>
      <c r="BL814" s="35">
        <f t="shared" si="480"/>
        <v>22684751435</v>
      </c>
      <c r="BN814" s="35">
        <f t="shared" ref="BN814:BZ814" si="481">BN810+BN761+BN655+BN624</f>
        <v>6030000000</v>
      </c>
      <c r="BO814" s="35">
        <f t="shared" si="481"/>
        <v>6579950000</v>
      </c>
      <c r="BP814" s="35">
        <f t="shared" si="481"/>
        <v>6103050000</v>
      </c>
      <c r="BQ814" s="35">
        <f t="shared" si="481"/>
        <v>5869150000</v>
      </c>
      <c r="BR814" s="35">
        <f t="shared" si="481"/>
        <v>5798587000</v>
      </c>
      <c r="BS814" s="35">
        <f t="shared" si="481"/>
        <v>6312337000</v>
      </c>
      <c r="BT814" s="35">
        <f t="shared" si="481"/>
        <v>6408287000</v>
      </c>
      <c r="BU814" s="35">
        <f t="shared" si="481"/>
        <v>6122459853</v>
      </c>
      <c r="BV814" s="35">
        <f t="shared" si="481"/>
        <v>6406437000</v>
      </c>
      <c r="BW814" s="35">
        <f t="shared" si="481"/>
        <v>6176337000</v>
      </c>
      <c r="BX814" s="35">
        <f t="shared" si="481"/>
        <v>6848587000</v>
      </c>
      <c r="BY814" s="35">
        <f t="shared" si="481"/>
        <v>6255730617</v>
      </c>
      <c r="BZ814" s="35">
        <f t="shared" si="481"/>
        <v>74910912470</v>
      </c>
      <c r="CB814" s="35">
        <f t="shared" ref="CB814:CM814" si="482">CB810+CB761+CB655+CB624</f>
        <v>6028100000</v>
      </c>
      <c r="CC814" s="870">
        <f t="shared" si="482"/>
        <v>6543000000</v>
      </c>
      <c r="CD814" s="35">
        <f t="shared" si="482"/>
        <v>6083050000</v>
      </c>
      <c r="CE814" s="35">
        <f t="shared" si="482"/>
        <v>5847250000</v>
      </c>
      <c r="CF814" s="35">
        <f t="shared" si="482"/>
        <v>5778587000</v>
      </c>
      <c r="CG814" s="35">
        <f t="shared" si="482"/>
        <v>6275387000</v>
      </c>
      <c r="CH814" s="35">
        <f t="shared" si="482"/>
        <v>6386387000</v>
      </c>
      <c r="CI814" s="35">
        <f t="shared" si="482"/>
        <v>6102459853</v>
      </c>
      <c r="CJ814" s="35">
        <f t="shared" si="482"/>
        <v>6384537000</v>
      </c>
      <c r="CK814" s="35">
        <f t="shared" si="482"/>
        <v>6139387000</v>
      </c>
      <c r="CL814" s="35">
        <f t="shared" si="482"/>
        <v>6828587000</v>
      </c>
      <c r="CM814" s="35">
        <f t="shared" si="482"/>
        <v>6235730617</v>
      </c>
      <c r="CN814" s="35">
        <v>74910912470</v>
      </c>
      <c r="CP814" s="35">
        <f t="shared" ref="CP814:DR814" si="483">CP810+CP761+CP655+CP624</f>
        <v>3456846439</v>
      </c>
      <c r="CQ814" s="35">
        <f t="shared" si="483"/>
        <v>3471730425</v>
      </c>
      <c r="CR814" s="35">
        <f t="shared" si="483"/>
        <v>3850479680</v>
      </c>
      <c r="CS814" s="35">
        <f t="shared" si="483"/>
        <v>3750538494</v>
      </c>
      <c r="CT814" s="35">
        <f t="shared" si="483"/>
        <v>3233900000</v>
      </c>
      <c r="CU814" s="35">
        <f t="shared" si="483"/>
        <v>3104396321</v>
      </c>
      <c r="CV814" s="35">
        <f t="shared" si="483"/>
        <v>4316250000</v>
      </c>
      <c r="CW814" s="35">
        <f t="shared" si="483"/>
        <v>4189088283</v>
      </c>
      <c r="CX814" s="35">
        <f t="shared" si="483"/>
        <v>5884727986</v>
      </c>
      <c r="CY814" s="35">
        <f t="shared" si="483"/>
        <v>6285126944</v>
      </c>
      <c r="CZ814" s="35">
        <f t="shared" si="483"/>
        <v>7169223246</v>
      </c>
      <c r="DA814" s="35">
        <f t="shared" si="483"/>
        <v>6091290973</v>
      </c>
      <c r="DB814" s="35">
        <f t="shared" si="483"/>
        <v>6022246000</v>
      </c>
      <c r="DC814" s="35">
        <f t="shared" si="483"/>
        <v>9876987842</v>
      </c>
      <c r="DD814" s="35">
        <f t="shared" si="483"/>
        <v>7102048000</v>
      </c>
      <c r="DE814" s="35">
        <f t="shared" si="483"/>
        <v>0</v>
      </c>
      <c r="DF814" s="35">
        <f>DF810+DF761+DF655+DF624</f>
        <v>6694444000</v>
      </c>
      <c r="DG814" s="35">
        <f t="shared" si="483"/>
        <v>6502444000</v>
      </c>
      <c r="DH814" s="35">
        <f t="shared" si="483"/>
        <v>0</v>
      </c>
      <c r="DI814" s="35">
        <f>DI810+DI761+DI655+DI624</f>
        <v>6071554000</v>
      </c>
      <c r="DJ814" s="35">
        <f t="shared" si="483"/>
        <v>6979554000</v>
      </c>
      <c r="DK814" s="35">
        <f t="shared" si="483"/>
        <v>0</v>
      </c>
      <c r="DL814" s="35">
        <f>DL810+DL761+DL655+DL624</f>
        <v>5759450000</v>
      </c>
      <c r="DM814" s="35">
        <f>DM810+DM761+DM655+DM624</f>
        <v>6667450000</v>
      </c>
      <c r="DN814" s="35">
        <f t="shared" si="483"/>
        <v>0</v>
      </c>
      <c r="DO814" s="35">
        <f>DO810+DO761+DO655+DO624</f>
        <v>6062450000</v>
      </c>
      <c r="DP814" s="35">
        <f t="shared" si="483"/>
        <v>6670450000</v>
      </c>
      <c r="DQ814" s="35">
        <f t="shared" si="483"/>
        <v>64815366521</v>
      </c>
      <c r="DR814" s="35">
        <f t="shared" si="483"/>
        <v>66781654911</v>
      </c>
      <c r="DS814" s="1182">
        <f t="shared" ref="DS814:EI814" si="484">DS810+DS761+DS655+DS624</f>
        <v>5696166667</v>
      </c>
      <c r="DT814" s="1182">
        <f>DT810+DT761+DT655+DT624</f>
        <v>6077366667</v>
      </c>
      <c r="DU814" s="1182">
        <f t="shared" si="484"/>
        <v>6346766667</v>
      </c>
      <c r="DV814" s="1182">
        <f t="shared" si="484"/>
        <v>6239866667</v>
      </c>
      <c r="DW814" s="1182">
        <f t="shared" si="484"/>
        <v>5787416667</v>
      </c>
      <c r="DX814" s="1182">
        <f t="shared" si="484"/>
        <v>6644916667</v>
      </c>
      <c r="DY814" s="1182">
        <f t="shared" si="484"/>
        <v>6583216667</v>
      </c>
      <c r="DZ814" s="1182">
        <f t="shared" si="484"/>
        <v>7025716667</v>
      </c>
      <c r="EA814" s="1182">
        <f t="shared" si="484"/>
        <v>6779916667</v>
      </c>
      <c r="EB814" s="1182">
        <f t="shared" si="484"/>
        <v>6920116667</v>
      </c>
      <c r="EC814" s="1182">
        <f t="shared" si="484"/>
        <v>7353216667</v>
      </c>
      <c r="ED814" s="1182">
        <f t="shared" si="484"/>
        <v>7116916667</v>
      </c>
      <c r="EE814" s="1150">
        <f t="shared" si="484"/>
        <v>78571600004</v>
      </c>
      <c r="EF814" s="1029">
        <f t="shared" si="484"/>
        <v>88667915033.199615</v>
      </c>
      <c r="EG814" s="1029">
        <f t="shared" si="484"/>
        <v>126291473015.21118</v>
      </c>
      <c r="EH814" s="1029">
        <f t="shared" si="484"/>
        <v>185667103151.02167</v>
      </c>
      <c r="EI814" s="1029">
        <f t="shared" si="484"/>
        <v>200441817982.08698</v>
      </c>
      <c r="EJ814" s="367" t="e">
        <v>#N/A</v>
      </c>
      <c r="EL814" s="177"/>
      <c r="EM814" s="177"/>
      <c r="EN814" s="177"/>
    </row>
    <row r="815" spans="1:144">
      <c r="BZ815" s="881"/>
      <c r="CN815" s="882"/>
      <c r="CP815" s="1"/>
      <c r="CQ815" s="1"/>
      <c r="CS815" s="1"/>
      <c r="CU815" s="1"/>
      <c r="CW815" s="1"/>
      <c r="CY815" s="1"/>
      <c r="DA815" s="1"/>
      <c r="DC815" s="1"/>
      <c r="DQ815" s="501"/>
      <c r="DR815" s="511"/>
      <c r="DS815" s="1201"/>
      <c r="DT815" s="1201"/>
      <c r="DU815" s="1201"/>
      <c r="DV815" s="1201"/>
      <c r="DW815" s="1201"/>
      <c r="DX815" s="1201"/>
      <c r="DY815" s="1201"/>
      <c r="DZ815" s="1201"/>
      <c r="EA815" s="1201"/>
      <c r="EB815" s="1201"/>
      <c r="EC815" s="1201"/>
      <c r="ED815" s="1201"/>
      <c r="EE815" s="438"/>
      <c r="EJ815" s="367" t="e">
        <v>#N/A</v>
      </c>
    </row>
    <row r="816" spans="1:144" ht="15" thickBot="1">
      <c r="B816" s="368" t="s">
        <v>250</v>
      </c>
      <c r="C816" s="368"/>
      <c r="D816" s="368"/>
      <c r="BZ816" s="883"/>
      <c r="CN816" s="130"/>
      <c r="CP816" s="1"/>
      <c r="CQ816" s="1"/>
      <c r="CS816" s="1"/>
      <c r="CU816" s="1"/>
      <c r="CW816" s="1"/>
      <c r="CY816" s="1"/>
      <c r="DA816" s="1"/>
      <c r="DC816" s="1"/>
      <c r="DQ816" s="502"/>
      <c r="DR816" s="512"/>
      <c r="DS816" s="1201"/>
      <c r="DT816" s="1201"/>
      <c r="DU816" s="1201"/>
      <c r="DV816" s="1201"/>
      <c r="DW816" s="1201"/>
      <c r="DX816" s="1201"/>
      <c r="DY816" s="1201"/>
      <c r="DZ816" s="1201"/>
      <c r="EA816" s="1201"/>
      <c r="EB816" s="1201"/>
      <c r="EC816" s="1201"/>
      <c r="ED816" s="1201"/>
      <c r="EE816" s="1151"/>
      <c r="EJ816" s="367" t="e">
        <v>#N/A</v>
      </c>
    </row>
    <row r="817" spans="1:141" ht="28.9" customHeight="1" outlineLevel="1" thickBot="1">
      <c r="B817" s="421" t="s">
        <v>326</v>
      </c>
      <c r="C817" s="1109"/>
      <c r="D817" s="1109"/>
      <c r="E817" s="1110"/>
      <c r="F817" s="1111"/>
      <c r="G817" s="1216" t="s">
        <v>327</v>
      </c>
      <c r="H817" s="1217"/>
      <c r="I817" s="1217"/>
      <c r="J817" s="1217"/>
      <c r="K817" s="1217"/>
      <c r="L817" s="1217"/>
      <c r="M817" s="1217"/>
      <c r="N817" s="1217"/>
      <c r="O817" s="1217"/>
      <c r="P817" s="1217"/>
      <c r="Q817" s="1217"/>
      <c r="R817" s="1217"/>
      <c r="S817" s="1218" t="s">
        <v>328</v>
      </c>
      <c r="T817" s="4"/>
      <c r="U817" s="1216" t="s">
        <v>329</v>
      </c>
      <c r="V817" s="1217"/>
      <c r="W817" s="1217"/>
      <c r="X817" s="1217"/>
      <c r="Y817" s="1217"/>
      <c r="Z817" s="1217"/>
      <c r="AA817" s="1217"/>
      <c r="AB817" s="1217"/>
      <c r="AC817" s="1217"/>
      <c r="AD817" s="1217"/>
      <c r="AE817" s="1217"/>
      <c r="AF817" s="1217"/>
      <c r="AG817" s="1208" t="s">
        <v>330</v>
      </c>
      <c r="AH817" s="849"/>
      <c r="AI817" s="1206" t="s">
        <v>331</v>
      </c>
      <c r="AJ817" s="1207"/>
      <c r="AK817" s="1207"/>
      <c r="AL817" s="1207"/>
      <c r="AM817" s="1207"/>
      <c r="AN817" s="1207"/>
      <c r="AO817" s="1207"/>
      <c r="AP817" s="1207"/>
      <c r="AQ817" s="1207"/>
      <c r="AR817" s="1207"/>
      <c r="AS817" s="1207"/>
      <c r="AT817" s="1207"/>
      <c r="AU817" s="1207"/>
      <c r="AV817" s="1207"/>
      <c r="AW817" s="1207"/>
      <c r="AX817" s="1208" t="s">
        <v>333</v>
      </c>
      <c r="AY817" s="849"/>
      <c r="AZ817" s="1206" t="s">
        <v>331</v>
      </c>
      <c r="BA817" s="1207"/>
      <c r="BB817" s="1207"/>
      <c r="BC817" s="1207"/>
      <c r="BD817" s="1207"/>
      <c r="BE817" s="1207"/>
      <c r="BF817" s="1207"/>
      <c r="BG817" s="1207"/>
      <c r="BH817" s="1207"/>
      <c r="BI817" s="1207"/>
      <c r="BJ817" s="1207"/>
      <c r="BK817" s="1207"/>
      <c r="BL817" s="1208" t="s">
        <v>333</v>
      </c>
      <c r="BN817" s="1209" t="s">
        <v>334</v>
      </c>
      <c r="BO817" s="1209"/>
      <c r="BP817" s="1209"/>
      <c r="BQ817" s="1209"/>
      <c r="BR817" s="1209"/>
      <c r="BS817" s="1209"/>
      <c r="BT817" s="1209"/>
      <c r="BU817" s="1209"/>
      <c r="BV817" s="1209"/>
      <c r="BW817" s="1209"/>
      <c r="BX817" s="1209"/>
      <c r="BY817" s="1209"/>
      <c r="BZ817" s="1208" t="s">
        <v>335</v>
      </c>
      <c r="CB817" s="1209" t="s">
        <v>334</v>
      </c>
      <c r="CC817" s="1209"/>
      <c r="CD817" s="1209"/>
      <c r="CE817" s="1209"/>
      <c r="CF817" s="1209"/>
      <c r="CG817" s="1209"/>
      <c r="CH817" s="1209"/>
      <c r="CI817" s="1209"/>
      <c r="CJ817" s="1209"/>
      <c r="CK817" s="1209"/>
      <c r="CL817" s="1209"/>
      <c r="CM817" s="1209"/>
      <c r="CN817" s="1221" t="s">
        <v>335</v>
      </c>
      <c r="CP817" s="526" t="s">
        <v>337</v>
      </c>
      <c r="CQ817" s="526"/>
      <c r="CR817" s="611"/>
      <c r="CS817" s="526"/>
      <c r="CT817" s="611"/>
      <c r="CU817" s="526"/>
      <c r="CV817" s="611"/>
      <c r="CW817" s="526"/>
      <c r="CX817" s="611"/>
      <c r="CY817" s="526"/>
      <c r="CZ817" s="611"/>
      <c r="DA817" s="526"/>
      <c r="DB817" s="611"/>
      <c r="DC817" s="526"/>
      <c r="DD817" s="611"/>
      <c r="DE817" s="767"/>
      <c r="DF817" s="611"/>
      <c r="DG817" s="766"/>
      <c r="DH817" s="767"/>
      <c r="DI817" s="611"/>
      <c r="DJ817" s="766"/>
      <c r="DK817" s="767"/>
      <c r="DL817" s="611"/>
      <c r="DM817" s="766"/>
      <c r="DN817" s="767"/>
      <c r="DO817" s="611"/>
      <c r="DP817" s="1112"/>
      <c r="DQ817" s="1212" t="s">
        <v>338</v>
      </c>
      <c r="DR817" s="1214" t="s">
        <v>338</v>
      </c>
      <c r="DS817" s="1173" t="s">
        <v>16</v>
      </c>
      <c r="DT817" s="1173" t="s">
        <v>16</v>
      </c>
      <c r="DU817" s="1173" t="s">
        <v>16</v>
      </c>
      <c r="DV817" s="1173" t="s">
        <v>16</v>
      </c>
      <c r="DW817" s="1173" t="s">
        <v>16</v>
      </c>
      <c r="DX817" s="1173" t="s">
        <v>16</v>
      </c>
      <c r="DY817" s="1173" t="s">
        <v>16</v>
      </c>
      <c r="DZ817" s="1173" t="s">
        <v>16</v>
      </c>
      <c r="EA817" s="1173" t="s">
        <v>16</v>
      </c>
      <c r="EB817" s="1173" t="s">
        <v>16</v>
      </c>
      <c r="EC817" s="1173" t="s">
        <v>16</v>
      </c>
      <c r="ED817" s="1173" t="s">
        <v>16</v>
      </c>
      <c r="EE817" s="1224" t="s">
        <v>339</v>
      </c>
      <c r="EF817" s="1226" t="s">
        <v>340</v>
      </c>
      <c r="EG817" s="1226" t="s">
        <v>341</v>
      </c>
      <c r="EH817" s="1222" t="s">
        <v>342</v>
      </c>
      <c r="EI817" s="1222" t="s">
        <v>343</v>
      </c>
      <c r="EJ817" s="367" t="e">
        <v>#N/A</v>
      </c>
    </row>
    <row r="818" spans="1:141" s="5" customFormat="1" ht="15" outlineLevel="1" thickBot="1">
      <c r="A818" s="422"/>
      <c r="B818" s="975"/>
      <c r="C818" s="423"/>
      <c r="D818" s="423"/>
      <c r="E818" s="424"/>
      <c r="F818" s="373"/>
      <c r="G818" s="1093" t="s">
        <v>344</v>
      </c>
      <c r="H818" s="1093" t="s">
        <v>345</v>
      </c>
      <c r="I818" s="1093" t="s">
        <v>346</v>
      </c>
      <c r="J818" s="1093" t="s">
        <v>347</v>
      </c>
      <c r="K818" s="1093" t="s">
        <v>348</v>
      </c>
      <c r="L818" s="1093" t="s">
        <v>349</v>
      </c>
      <c r="M818" s="1093" t="s">
        <v>350</v>
      </c>
      <c r="N818" s="1093" t="s">
        <v>351</v>
      </c>
      <c r="O818" s="1093" t="s">
        <v>352</v>
      </c>
      <c r="P818" s="1093" t="s">
        <v>353</v>
      </c>
      <c r="Q818" s="1093" t="s">
        <v>354</v>
      </c>
      <c r="R818" s="1093" t="s">
        <v>355</v>
      </c>
      <c r="S818" s="1219"/>
      <c r="T818" s="977"/>
      <c r="U818" s="1093" t="s">
        <v>344</v>
      </c>
      <c r="V818" s="1093" t="s">
        <v>345</v>
      </c>
      <c r="W818" s="1093" t="s">
        <v>346</v>
      </c>
      <c r="X818" s="1093" t="s">
        <v>347</v>
      </c>
      <c r="Y818" s="1093" t="s">
        <v>348</v>
      </c>
      <c r="Z818" s="1093" t="s">
        <v>349</v>
      </c>
      <c r="AA818" s="1093" t="s">
        <v>350</v>
      </c>
      <c r="AB818" s="1093" t="s">
        <v>351</v>
      </c>
      <c r="AC818" s="1093" t="s">
        <v>352</v>
      </c>
      <c r="AD818" s="1093" t="s">
        <v>353</v>
      </c>
      <c r="AE818" s="1093" t="s">
        <v>354</v>
      </c>
      <c r="AF818" s="1093" t="s">
        <v>355</v>
      </c>
      <c r="AG818" s="1205"/>
      <c r="AH818" s="978"/>
      <c r="AI818" s="1094" t="s">
        <v>344</v>
      </c>
      <c r="AJ818" s="1094" t="s">
        <v>345</v>
      </c>
      <c r="AK818" s="1094" t="s">
        <v>346</v>
      </c>
      <c r="AL818" s="1094" t="s">
        <v>347</v>
      </c>
      <c r="AM818" s="1094" t="s">
        <v>348</v>
      </c>
      <c r="AN818" s="1094" t="s">
        <v>349</v>
      </c>
      <c r="AO818" s="1094" t="s">
        <v>350</v>
      </c>
      <c r="AP818" s="1094" t="s">
        <v>351</v>
      </c>
      <c r="AQ818" s="1094" t="s">
        <v>352</v>
      </c>
      <c r="AR818" s="1094"/>
      <c r="AS818" s="1094"/>
      <c r="AT818" s="1094"/>
      <c r="AU818" s="1094" t="s">
        <v>353</v>
      </c>
      <c r="AV818" s="1094" t="s">
        <v>354</v>
      </c>
      <c r="AW818" s="1094" t="s">
        <v>355</v>
      </c>
      <c r="AX818" s="1205"/>
      <c r="AY818" s="978"/>
      <c r="AZ818" s="1094" t="s">
        <v>344</v>
      </c>
      <c r="BA818" s="1094" t="s">
        <v>345</v>
      </c>
      <c r="BB818" s="1094" t="s">
        <v>346</v>
      </c>
      <c r="BC818" s="1094" t="s">
        <v>347</v>
      </c>
      <c r="BD818" s="1094" t="s">
        <v>348</v>
      </c>
      <c r="BE818" s="1094" t="s">
        <v>349</v>
      </c>
      <c r="BF818" s="1094" t="s">
        <v>350</v>
      </c>
      <c r="BG818" s="1094" t="s">
        <v>351</v>
      </c>
      <c r="BH818" s="1094" t="s">
        <v>352</v>
      </c>
      <c r="BI818" s="1094" t="s">
        <v>353</v>
      </c>
      <c r="BJ818" s="1094" t="s">
        <v>354</v>
      </c>
      <c r="BK818" s="1094" t="s">
        <v>355</v>
      </c>
      <c r="BL818" s="1205"/>
      <c r="BM818" s="781"/>
      <c r="BN818" s="1092" t="s">
        <v>344</v>
      </c>
      <c r="BO818" s="1092" t="s">
        <v>345</v>
      </c>
      <c r="BP818" s="1092" t="s">
        <v>346</v>
      </c>
      <c r="BQ818" s="1092" t="s">
        <v>347</v>
      </c>
      <c r="BR818" s="1092" t="s">
        <v>348</v>
      </c>
      <c r="BS818" s="1092" t="s">
        <v>349</v>
      </c>
      <c r="BT818" s="1092" t="s">
        <v>350</v>
      </c>
      <c r="BU818" s="1092" t="s">
        <v>351</v>
      </c>
      <c r="BV818" s="1092" t="s">
        <v>352</v>
      </c>
      <c r="BW818" s="1092" t="s">
        <v>353</v>
      </c>
      <c r="BX818" s="1092" t="s">
        <v>354</v>
      </c>
      <c r="BY818" s="1092" t="s">
        <v>355</v>
      </c>
      <c r="BZ818" s="1205"/>
      <c r="CA818" s="3"/>
      <c r="CB818" s="1092" t="s">
        <v>344</v>
      </c>
      <c r="CC818" s="1092" t="s">
        <v>345</v>
      </c>
      <c r="CD818" s="1092" t="s">
        <v>346</v>
      </c>
      <c r="CE818" s="1092" t="s">
        <v>347</v>
      </c>
      <c r="CF818" s="1092" t="s">
        <v>348</v>
      </c>
      <c r="CG818" s="1092" t="s">
        <v>349</v>
      </c>
      <c r="CH818" s="1092" t="s">
        <v>350</v>
      </c>
      <c r="CI818" s="1092" t="s">
        <v>351</v>
      </c>
      <c r="CJ818" s="1092" t="s">
        <v>352</v>
      </c>
      <c r="CK818" s="1092" t="s">
        <v>353</v>
      </c>
      <c r="CL818" s="1092" t="s">
        <v>354</v>
      </c>
      <c r="CM818" s="1092" t="s">
        <v>355</v>
      </c>
      <c r="CN818" s="1211"/>
      <c r="CO818" s="781"/>
      <c r="CP818" s="514" t="s">
        <v>344</v>
      </c>
      <c r="CQ818" s="514" t="s">
        <v>345</v>
      </c>
      <c r="CR818" s="607"/>
      <c r="CS818" s="514" t="s">
        <v>346</v>
      </c>
      <c r="CT818" s="607"/>
      <c r="CU818" s="514" t="s">
        <v>347</v>
      </c>
      <c r="CV818" s="607"/>
      <c r="CW818" s="514" t="s">
        <v>348</v>
      </c>
      <c r="CX818" s="607"/>
      <c r="CY818" s="514" t="s">
        <v>349</v>
      </c>
      <c r="CZ818" s="607"/>
      <c r="DA818" s="514" t="s">
        <v>350</v>
      </c>
      <c r="DB818" s="607"/>
      <c r="DC818" s="514" t="s">
        <v>351</v>
      </c>
      <c r="DD818" s="607"/>
      <c r="DE818" s="514" t="s">
        <v>352</v>
      </c>
      <c r="DF818" s="607"/>
      <c r="DG818" s="746"/>
      <c r="DH818" s="514" t="s">
        <v>353</v>
      </c>
      <c r="DI818" s="607"/>
      <c r="DJ818" s="746"/>
      <c r="DK818" s="514" t="s">
        <v>354</v>
      </c>
      <c r="DL818" s="607"/>
      <c r="DM818" s="746"/>
      <c r="DN818" s="514" t="s">
        <v>355</v>
      </c>
      <c r="DO818" s="607"/>
      <c r="DP818" s="995"/>
      <c r="DQ818" s="1213"/>
      <c r="DR818" s="1215"/>
      <c r="DS818" s="1174" t="s">
        <v>344</v>
      </c>
      <c r="DT818" s="1174" t="s">
        <v>345</v>
      </c>
      <c r="DU818" s="1174" t="s">
        <v>346</v>
      </c>
      <c r="DV818" s="1174" t="s">
        <v>347</v>
      </c>
      <c r="DW818" s="1174" t="s">
        <v>348</v>
      </c>
      <c r="DX818" s="1174" t="s">
        <v>349</v>
      </c>
      <c r="DY818" s="1174" t="s">
        <v>350</v>
      </c>
      <c r="DZ818" s="1174" t="s">
        <v>351</v>
      </c>
      <c r="EA818" s="1174" t="s">
        <v>352</v>
      </c>
      <c r="EB818" s="1174" t="s">
        <v>353</v>
      </c>
      <c r="EC818" s="1174" t="s">
        <v>354</v>
      </c>
      <c r="ED818" s="1174" t="s">
        <v>355</v>
      </c>
      <c r="EE818" s="1225"/>
      <c r="EF818" s="1227"/>
      <c r="EG818" s="1227"/>
      <c r="EH818" s="1223"/>
      <c r="EI818" s="1223"/>
      <c r="EJ818" s="367" t="e">
        <v>#N/A</v>
      </c>
      <c r="EK818" s="422"/>
    </row>
    <row r="819" spans="1:141" s="5" customFormat="1" ht="15" outlineLevel="1" thickBot="1">
      <c r="A819" s="422"/>
      <c r="B819" s="425"/>
      <c r="C819" s="426"/>
      <c r="D819" s="426"/>
      <c r="E819" s="427"/>
      <c r="F819" s="427"/>
      <c r="G819" s="191" t="s">
        <v>9</v>
      </c>
      <c r="H819" s="192" t="s">
        <v>9</v>
      </c>
      <c r="I819" s="191" t="s">
        <v>9</v>
      </c>
      <c r="J819" s="191" t="s">
        <v>9</v>
      </c>
      <c r="K819" s="191" t="s">
        <v>9</v>
      </c>
      <c r="L819" s="191" t="s">
        <v>9</v>
      </c>
      <c r="M819" s="191" t="s">
        <v>9</v>
      </c>
      <c r="N819" s="191" t="s">
        <v>9</v>
      </c>
      <c r="O819" s="191" t="s">
        <v>9</v>
      </c>
      <c r="P819" s="191" t="s">
        <v>9</v>
      </c>
      <c r="Q819" s="191" t="s">
        <v>9</v>
      </c>
      <c r="R819" s="191" t="s">
        <v>9</v>
      </c>
      <c r="S819" s="191" t="s">
        <v>9</v>
      </c>
      <c r="T819" s="193"/>
      <c r="U819" s="191" t="s">
        <v>9</v>
      </c>
      <c r="V819" s="192" t="s">
        <v>9</v>
      </c>
      <c r="W819" s="191" t="s">
        <v>9</v>
      </c>
      <c r="X819" s="191" t="s">
        <v>9</v>
      </c>
      <c r="Y819" s="191" t="s">
        <v>9</v>
      </c>
      <c r="Z819" s="191" t="s">
        <v>9</v>
      </c>
      <c r="AA819" s="191" t="s">
        <v>9</v>
      </c>
      <c r="AB819" s="191" t="s">
        <v>9</v>
      </c>
      <c r="AC819" s="191" t="s">
        <v>9</v>
      </c>
      <c r="AD819" s="191" t="s">
        <v>9</v>
      </c>
      <c r="AE819" s="191" t="s">
        <v>9</v>
      </c>
      <c r="AF819" s="191" t="s">
        <v>9</v>
      </c>
      <c r="AG819" s="191" t="s">
        <v>9</v>
      </c>
      <c r="AH819" s="193"/>
      <c r="AI819" s="191" t="s">
        <v>9</v>
      </c>
      <c r="AJ819" s="850" t="s">
        <v>9</v>
      </c>
      <c r="AK819" s="191" t="s">
        <v>9</v>
      </c>
      <c r="AL819" s="191" t="s">
        <v>9</v>
      </c>
      <c r="AM819" s="191" t="s">
        <v>9</v>
      </c>
      <c r="AN819" s="191" t="s">
        <v>9</v>
      </c>
      <c r="AO819" s="191" t="s">
        <v>9</v>
      </c>
      <c r="AP819" s="191" t="s">
        <v>9</v>
      </c>
      <c r="AQ819" s="191" t="s">
        <v>356</v>
      </c>
      <c r="AR819" s="191"/>
      <c r="AS819" s="191"/>
      <c r="AT819" s="191"/>
      <c r="AU819" s="191" t="s">
        <v>356</v>
      </c>
      <c r="AV819" s="191" t="s">
        <v>356</v>
      </c>
      <c r="AW819" s="191" t="s">
        <v>356</v>
      </c>
      <c r="AX819" s="191" t="s">
        <v>685</v>
      </c>
      <c r="AY819" s="193"/>
      <c r="AZ819" s="191" t="s">
        <v>9</v>
      </c>
      <c r="BA819" s="850" t="s">
        <v>9</v>
      </c>
      <c r="BB819" s="191" t="s">
        <v>9</v>
      </c>
      <c r="BC819" s="191" t="s">
        <v>9</v>
      </c>
      <c r="BD819" s="191" t="s">
        <v>9</v>
      </c>
      <c r="BE819" s="191" t="s">
        <v>9</v>
      </c>
      <c r="BF819" s="191" t="s">
        <v>9</v>
      </c>
      <c r="BG819" s="191" t="s">
        <v>356</v>
      </c>
      <c r="BH819" s="191" t="s">
        <v>356</v>
      </c>
      <c r="BI819" s="191" t="s">
        <v>356</v>
      </c>
      <c r="BJ819" s="191" t="s">
        <v>356</v>
      </c>
      <c r="BK819" s="191" t="s">
        <v>356</v>
      </c>
      <c r="BL819" s="191" t="s">
        <v>356</v>
      </c>
      <c r="BM819" s="781"/>
      <c r="BN819" s="851" t="s">
        <v>15</v>
      </c>
      <c r="BO819" s="851" t="s">
        <v>15</v>
      </c>
      <c r="BP819" s="851" t="s">
        <v>15</v>
      </c>
      <c r="BQ819" s="851" t="s">
        <v>15</v>
      </c>
      <c r="BR819" s="851" t="s">
        <v>15</v>
      </c>
      <c r="BS819" s="851" t="s">
        <v>15</v>
      </c>
      <c r="BT819" s="851" t="s">
        <v>15</v>
      </c>
      <c r="BU819" s="851" t="s">
        <v>15</v>
      </c>
      <c r="BV819" s="851" t="s">
        <v>15</v>
      </c>
      <c r="BW819" s="851" t="s">
        <v>15</v>
      </c>
      <c r="BX819" s="851" t="s">
        <v>15</v>
      </c>
      <c r="BY819" s="851" t="s">
        <v>15</v>
      </c>
      <c r="BZ819" s="191" t="s">
        <v>10</v>
      </c>
      <c r="CA819" s="3"/>
      <c r="CB819" s="851" t="s">
        <v>15</v>
      </c>
      <c r="CC819" s="851" t="s">
        <v>15</v>
      </c>
      <c r="CD819" s="851" t="s">
        <v>15</v>
      </c>
      <c r="CE819" s="851" t="s">
        <v>15</v>
      </c>
      <c r="CF819" s="851" t="s">
        <v>15</v>
      </c>
      <c r="CG819" s="851" t="s">
        <v>15</v>
      </c>
      <c r="CH819" s="851" t="s">
        <v>15</v>
      </c>
      <c r="CI819" s="851" t="s">
        <v>15</v>
      </c>
      <c r="CJ819" s="851" t="s">
        <v>15</v>
      </c>
      <c r="CK819" s="851" t="s">
        <v>15</v>
      </c>
      <c r="CL819" s="851" t="s">
        <v>15</v>
      </c>
      <c r="CM819" s="851" t="s">
        <v>15</v>
      </c>
      <c r="CN819" s="852" t="s">
        <v>686</v>
      </c>
      <c r="CO819" s="781"/>
      <c r="CP819" s="515" t="s">
        <v>9</v>
      </c>
      <c r="CQ819" s="515" t="s">
        <v>9</v>
      </c>
      <c r="CR819" s="608"/>
      <c r="CS819" s="515" t="s">
        <v>9</v>
      </c>
      <c r="CT819" s="608"/>
      <c r="CU819" s="515" t="s">
        <v>9</v>
      </c>
      <c r="CV819" s="608"/>
      <c r="CW819" s="515" t="s">
        <v>9</v>
      </c>
      <c r="CX819" s="608"/>
      <c r="CY819" s="515" t="s">
        <v>9</v>
      </c>
      <c r="CZ819" s="608"/>
      <c r="DA819" s="515" t="s">
        <v>9</v>
      </c>
      <c r="DB819" s="608"/>
      <c r="DC819" s="515" t="s">
        <v>9</v>
      </c>
      <c r="DD819" s="608"/>
      <c r="DE819" s="515" t="s">
        <v>9</v>
      </c>
      <c r="DF819" s="608"/>
      <c r="DG819" s="465"/>
      <c r="DH819" s="515" t="s">
        <v>9</v>
      </c>
      <c r="DI819" s="608"/>
      <c r="DJ819" s="465"/>
      <c r="DK819" s="515" t="s">
        <v>9</v>
      </c>
      <c r="DL819" s="608"/>
      <c r="DM819" s="465"/>
      <c r="DN819" s="515" t="s">
        <v>9</v>
      </c>
      <c r="DO819" s="608"/>
      <c r="DP819" s="476"/>
      <c r="DQ819" s="492" t="s">
        <v>9</v>
      </c>
      <c r="DR819" s="476" t="s">
        <v>9</v>
      </c>
      <c r="DS819" s="1175"/>
      <c r="DT819" s="1175"/>
      <c r="DU819" s="1175"/>
      <c r="DV819" s="1175"/>
      <c r="DW819" s="1175"/>
      <c r="DX819" s="1175"/>
      <c r="DY819" s="1175"/>
      <c r="DZ819" s="1175"/>
      <c r="EA819" s="1175"/>
      <c r="EB819" s="1175"/>
      <c r="EC819" s="1175"/>
      <c r="ED819" s="1175"/>
      <c r="EE819" s="1135" t="s">
        <v>15</v>
      </c>
      <c r="EF819" s="375" t="s">
        <v>15</v>
      </c>
      <c r="EG819" s="375" t="s">
        <v>15</v>
      </c>
      <c r="EH819" s="375" t="s">
        <v>15</v>
      </c>
      <c r="EI819" s="375" t="s">
        <v>15</v>
      </c>
      <c r="EJ819" s="367" t="e">
        <v>#N/A</v>
      </c>
      <c r="EK819" s="422"/>
    </row>
    <row r="820" spans="1:141" outlineLevel="1">
      <c r="B820" s="402" t="s">
        <v>357</v>
      </c>
      <c r="C820" s="368"/>
      <c r="D820" s="368"/>
      <c r="E820" s="383"/>
      <c r="F820" s="380"/>
      <c r="G820" s="189"/>
      <c r="H820" s="13"/>
      <c r="I820" s="185"/>
      <c r="J820" s="185"/>
      <c r="K820" s="185"/>
      <c r="L820" s="185"/>
      <c r="M820" s="185"/>
      <c r="N820" s="185"/>
      <c r="O820" s="7"/>
      <c r="P820" s="7"/>
      <c r="Q820" s="7"/>
      <c r="R820" s="7"/>
      <c r="S820" s="14"/>
      <c r="T820" s="179"/>
      <c r="U820" s="189"/>
      <c r="V820" s="13"/>
      <c r="W820" s="185"/>
      <c r="X820" s="185"/>
      <c r="Y820" s="185"/>
      <c r="Z820" s="185"/>
      <c r="AA820" s="185"/>
      <c r="AB820" s="185"/>
      <c r="AC820" s="7"/>
      <c r="AD820" s="7"/>
      <c r="AE820" s="7"/>
      <c r="AF820" s="7"/>
      <c r="AG820" s="759"/>
      <c r="AH820" s="788"/>
      <c r="AI820" s="189"/>
      <c r="AJ820" s="810"/>
      <c r="AK820" s="758"/>
      <c r="AL820" s="758"/>
      <c r="AM820" s="758"/>
      <c r="AN820" s="758"/>
      <c r="AO820" s="758"/>
      <c r="AP820" s="758"/>
      <c r="AQ820" s="518"/>
      <c r="AR820" s="518"/>
      <c r="AS820" s="518"/>
      <c r="AT820" s="518"/>
      <c r="AU820" s="518"/>
      <c r="AV820" s="794"/>
      <c r="AW820" s="794"/>
      <c r="AX820" s="759"/>
      <c r="AY820" s="788"/>
      <c r="AZ820" s="189"/>
      <c r="BA820" s="810"/>
      <c r="BB820" s="758"/>
      <c r="BC820" s="758"/>
      <c r="BD820" s="758"/>
      <c r="BE820" s="758"/>
      <c r="BF820" s="758"/>
      <c r="BG820" s="518"/>
      <c r="BH820" s="758"/>
      <c r="BI820" s="758"/>
      <c r="BJ820" s="758"/>
      <c r="BK820" s="758"/>
      <c r="BL820" s="759"/>
      <c r="BN820" s="485">
        <f>SUM(BN821:BN824)</f>
        <v>0</v>
      </c>
      <c r="BO820" s="485">
        <f t="shared" ref="BO820:BZ820" si="485">SUM(BO821:BO824)</f>
        <v>0</v>
      </c>
      <c r="BP820" s="485">
        <f t="shared" si="485"/>
        <v>0</v>
      </c>
      <c r="BQ820" s="485">
        <f t="shared" si="485"/>
        <v>0</v>
      </c>
      <c r="BR820" s="485">
        <f t="shared" si="485"/>
        <v>0</v>
      </c>
      <c r="BS820" s="485">
        <f t="shared" si="485"/>
        <v>0</v>
      </c>
      <c r="BT820" s="485">
        <f t="shared" si="485"/>
        <v>0</v>
      </c>
      <c r="BU820" s="485">
        <f t="shared" si="485"/>
        <v>0</v>
      </c>
      <c r="BV820" s="485">
        <f t="shared" si="485"/>
        <v>0</v>
      </c>
      <c r="BW820" s="485">
        <f t="shared" si="485"/>
        <v>0</v>
      </c>
      <c r="BX820" s="485">
        <f t="shared" si="485"/>
        <v>0</v>
      </c>
      <c r="BY820" s="485">
        <f t="shared" si="485"/>
        <v>0</v>
      </c>
      <c r="BZ820" s="485">
        <f t="shared" si="485"/>
        <v>0</v>
      </c>
      <c r="CB820" s="485"/>
      <c r="CC820" s="758"/>
      <c r="CD820" s="758"/>
      <c r="CE820" s="758"/>
      <c r="CF820" s="758"/>
      <c r="CG820" s="758"/>
      <c r="CH820" s="758"/>
      <c r="CI820" s="758"/>
      <c r="CJ820" s="758"/>
      <c r="CK820" s="758"/>
      <c r="CL820" s="758"/>
      <c r="CM820" s="758"/>
      <c r="CN820" s="518"/>
      <c r="CP820" s="485">
        <f t="shared" ref="CP820:EI820" si="486">SUM(CP821:CP824)</f>
        <v>0</v>
      </c>
      <c r="CQ820" s="485">
        <f t="shared" si="486"/>
        <v>0</v>
      </c>
      <c r="CR820" s="528">
        <f t="shared" si="486"/>
        <v>0</v>
      </c>
      <c r="CS820" s="485">
        <f t="shared" si="486"/>
        <v>0</v>
      </c>
      <c r="CT820" s="528">
        <f t="shared" si="486"/>
        <v>0</v>
      </c>
      <c r="CU820" s="485">
        <f t="shared" si="486"/>
        <v>0</v>
      </c>
      <c r="CV820" s="528">
        <f t="shared" si="486"/>
        <v>0</v>
      </c>
      <c r="CW820" s="485">
        <f t="shared" si="486"/>
        <v>0</v>
      </c>
      <c r="CX820" s="528">
        <f t="shared" si="486"/>
        <v>0</v>
      </c>
      <c r="CY820" s="485">
        <f t="shared" si="486"/>
        <v>0</v>
      </c>
      <c r="CZ820" s="528">
        <f t="shared" si="486"/>
        <v>0</v>
      </c>
      <c r="DA820" s="485">
        <f t="shared" si="486"/>
        <v>0</v>
      </c>
      <c r="DB820" s="528">
        <f t="shared" si="486"/>
        <v>0</v>
      </c>
      <c r="DC820" s="485">
        <f t="shared" si="486"/>
        <v>0</v>
      </c>
      <c r="DD820" s="528">
        <f t="shared" si="486"/>
        <v>0</v>
      </c>
      <c r="DE820" s="485">
        <f t="shared" si="486"/>
        <v>0</v>
      </c>
      <c r="DF820" s="528">
        <f>SUM(DF821:DF824)</f>
        <v>0</v>
      </c>
      <c r="DG820" s="485">
        <f t="shared" si="486"/>
        <v>0</v>
      </c>
      <c r="DH820" s="485">
        <f t="shared" si="486"/>
        <v>0</v>
      </c>
      <c r="DI820" s="528">
        <f>SUM(DI821:DI824)</f>
        <v>0</v>
      </c>
      <c r="DJ820" s="485">
        <f t="shared" si="486"/>
        <v>0</v>
      </c>
      <c r="DK820" s="485">
        <f t="shared" si="486"/>
        <v>0</v>
      </c>
      <c r="DL820" s="528">
        <f>SUM(DL821:DL824)</f>
        <v>0</v>
      </c>
      <c r="DM820" s="485">
        <f>SUM(DM821:DM824)</f>
        <v>0</v>
      </c>
      <c r="DN820" s="485">
        <f t="shared" si="486"/>
        <v>0</v>
      </c>
      <c r="DO820" s="528">
        <f>SUM(DO821:DO824)</f>
        <v>0</v>
      </c>
      <c r="DP820" s="485">
        <f t="shared" si="486"/>
        <v>0</v>
      </c>
      <c r="DQ820" s="493">
        <f>SUM(CP820,CQ820,CS820,CU820,CW820,CY820,DA820,DC820,DF820,DI820,DL820,DO820)</f>
        <v>0</v>
      </c>
      <c r="DR820" s="485">
        <f t="shared" si="486"/>
        <v>0</v>
      </c>
      <c r="DS820" s="1183">
        <f t="shared" si="486"/>
        <v>0</v>
      </c>
      <c r="DT820" s="1183">
        <f t="shared" si="486"/>
        <v>0</v>
      </c>
      <c r="DU820" s="1183">
        <f t="shared" si="486"/>
        <v>0</v>
      </c>
      <c r="DV820" s="1183">
        <f t="shared" si="486"/>
        <v>0</v>
      </c>
      <c r="DW820" s="1183">
        <f t="shared" si="486"/>
        <v>0</v>
      </c>
      <c r="DX820" s="1183">
        <f t="shared" si="486"/>
        <v>0</v>
      </c>
      <c r="DY820" s="1183">
        <f t="shared" si="486"/>
        <v>0</v>
      </c>
      <c r="DZ820" s="1183">
        <f t="shared" si="486"/>
        <v>0</v>
      </c>
      <c r="EA820" s="1183">
        <f t="shared" si="486"/>
        <v>0</v>
      </c>
      <c r="EB820" s="1183">
        <f t="shared" si="486"/>
        <v>0</v>
      </c>
      <c r="EC820" s="1183">
        <f t="shared" si="486"/>
        <v>0</v>
      </c>
      <c r="ED820" s="1183">
        <f t="shared" si="486"/>
        <v>0</v>
      </c>
      <c r="EE820" s="436">
        <f t="shared" si="486"/>
        <v>0</v>
      </c>
      <c r="EF820" s="436">
        <f>SUM(EF821:EF824)</f>
        <v>18246466.153587501</v>
      </c>
      <c r="EG820" s="436">
        <f t="shared" si="486"/>
        <v>4210939839.2397099</v>
      </c>
      <c r="EH820" s="436">
        <f t="shared" si="486"/>
        <v>6082946628.6323204</v>
      </c>
      <c r="EI820" s="436">
        <f t="shared" si="486"/>
        <v>6032553757.4945621</v>
      </c>
    </row>
    <row r="821" spans="1:141" outlineLevel="2">
      <c r="B821" s="378"/>
      <c r="C821" s="370" t="s">
        <v>946</v>
      </c>
      <c r="D821" s="370" t="s">
        <v>40</v>
      </c>
      <c r="E821" s="396" t="s">
        <v>947</v>
      </c>
      <c r="F821" s="380"/>
      <c r="G821" s="189"/>
      <c r="H821" s="13"/>
      <c r="I821" s="185"/>
      <c r="J821" s="185"/>
      <c r="K821" s="185"/>
      <c r="L821" s="185"/>
      <c r="M821" s="185"/>
      <c r="N821" s="185"/>
      <c r="O821" s="7"/>
      <c r="P821" s="7"/>
      <c r="Q821" s="7"/>
      <c r="R821" s="7"/>
      <c r="S821" s="14"/>
      <c r="T821" s="179"/>
      <c r="U821" s="189"/>
      <c r="V821" s="13"/>
      <c r="W821" s="185"/>
      <c r="X821" s="185"/>
      <c r="Y821" s="185"/>
      <c r="Z821" s="185"/>
      <c r="AA821" s="185"/>
      <c r="AB821" s="185"/>
      <c r="AC821" s="7"/>
      <c r="AD821" s="7"/>
      <c r="AE821" s="7"/>
      <c r="AF821" s="7"/>
      <c r="AG821" s="759"/>
      <c r="AH821" s="788"/>
      <c r="AI821" s="189"/>
      <c r="AJ821" s="810"/>
      <c r="AK821" s="758"/>
      <c r="AL821" s="758"/>
      <c r="AM821" s="758"/>
      <c r="AN821" s="758"/>
      <c r="AO821" s="758"/>
      <c r="AP821" s="758"/>
      <c r="AQ821" s="518"/>
      <c r="AR821" s="518"/>
      <c r="AS821" s="518"/>
      <c r="AT821" s="518"/>
      <c r="AU821" s="518"/>
      <c r="AV821" s="794"/>
      <c r="AW821" s="794"/>
      <c r="AX821" s="518">
        <f>SUM(AI821,AJ821,AK821,AL821,AM821,AN821,AO821,AP821,AQ821,AR821,AS821,AT821)</f>
        <v>0</v>
      </c>
      <c r="AY821" s="788"/>
      <c r="AZ821" s="189"/>
      <c r="BA821" s="810"/>
      <c r="BB821" s="758"/>
      <c r="BC821" s="758"/>
      <c r="BD821" s="758"/>
      <c r="BE821" s="758"/>
      <c r="BF821" s="758"/>
      <c r="BG821" s="518"/>
      <c r="BH821" s="758"/>
      <c r="BI821" s="758"/>
      <c r="BJ821" s="758"/>
      <c r="BK821" s="758"/>
      <c r="BL821" s="759"/>
      <c r="BN821" s="758"/>
      <c r="BO821" s="758"/>
      <c r="BP821" s="758"/>
      <c r="BQ821" s="758"/>
      <c r="BR821" s="758"/>
      <c r="BS821" s="758"/>
      <c r="BT821" s="758"/>
      <c r="BU821" s="758"/>
      <c r="BV821" s="758"/>
      <c r="BW821" s="758"/>
      <c r="BX821" s="758"/>
      <c r="BY821" s="758"/>
      <c r="BZ821" s="791">
        <v>0</v>
      </c>
      <c r="CB821" s="758"/>
      <c r="CC821" s="758"/>
      <c r="CD821" s="758"/>
      <c r="CE821" s="758"/>
      <c r="CF821" s="758"/>
      <c r="CG821" s="758"/>
      <c r="CH821" s="758"/>
      <c r="CI821" s="758"/>
      <c r="CJ821" s="758"/>
      <c r="CK821" s="758"/>
      <c r="CL821" s="758"/>
      <c r="CM821" s="758"/>
      <c r="CN821" s="791">
        <v>0</v>
      </c>
      <c r="CP821" s="653"/>
      <c r="CQ821" s="653"/>
      <c r="CR821" s="524"/>
      <c r="CS821" s="653"/>
      <c r="CT821" s="524"/>
      <c r="CU821" s="653"/>
      <c r="CV821" s="524"/>
      <c r="CW821" s="653"/>
      <c r="CX821" s="524"/>
      <c r="CY821" s="653"/>
      <c r="CZ821" s="524"/>
      <c r="DA821" s="653"/>
      <c r="DB821" s="524"/>
      <c r="DC821" s="653"/>
      <c r="DD821" s="524"/>
      <c r="DE821" s="524"/>
      <c r="DF821" s="524"/>
      <c r="DG821" s="757"/>
      <c r="DH821" s="524"/>
      <c r="DI821" s="524"/>
      <c r="DJ821" s="757"/>
      <c r="DK821" s="524"/>
      <c r="DL821" s="524"/>
      <c r="DM821" s="757"/>
      <c r="DN821" s="524"/>
      <c r="DO821" s="524"/>
      <c r="DP821" s="757"/>
      <c r="DQ821" s="493">
        <f>SUM(CP821,CQ821,CS821,CU821,CW821,CY821,DA821,DC821,DF821,DI821,DL821,DO821)</f>
        <v>0</v>
      </c>
      <c r="DR821" s="479">
        <f>SUM(CQ821,CR821,CT821,CV821,CX821,CZ821,DB821,DD821,DG821,DJ821,DM821,DP821)</f>
        <v>0</v>
      </c>
      <c r="DS821" s="1019"/>
      <c r="DT821" s="1019"/>
      <c r="DU821" s="1019"/>
      <c r="DV821" s="1019"/>
      <c r="DW821" s="1019"/>
      <c r="DX821" s="1019"/>
      <c r="DY821" s="1019"/>
      <c r="DZ821" s="1019"/>
      <c r="EA821" s="1019"/>
      <c r="EB821" s="1019"/>
      <c r="EC821" s="1019"/>
      <c r="ED821" s="1019"/>
      <c r="EE821" s="1119">
        <f>SUM(DS821,DT821,DU821,DV821,DW821,DX821,DY821,DZ821,EA821,EB821,EC821,ED821)</f>
        <v>0</v>
      </c>
      <c r="EF821" s="443">
        <f>(EE821*1.05)+18246466.1535875</f>
        <v>18246466.153587501</v>
      </c>
      <c r="EG821" s="443">
        <f>(EF821*1.05)+111781049.778443</f>
        <v>130939839.23970987</v>
      </c>
      <c r="EH821" s="443">
        <f>(EG821*1.05)-54540202.5693746</f>
        <v>82946628.632320791</v>
      </c>
      <c r="EI821" s="443">
        <f>(EH821*1.05)-54540202.5693746</f>
        <v>32553757.494562231</v>
      </c>
      <c r="EK821" s="367">
        <v>1</v>
      </c>
    </row>
    <row r="822" spans="1:141" outlineLevel="2">
      <c r="B822" s="378"/>
      <c r="C822" s="370" t="s">
        <v>946</v>
      </c>
      <c r="D822" s="370" t="s">
        <v>40</v>
      </c>
      <c r="E822" s="396" t="s">
        <v>948</v>
      </c>
      <c r="F822" s="380"/>
      <c r="G822" s="189"/>
      <c r="H822" s="13"/>
      <c r="I822" s="185"/>
      <c r="J822" s="185"/>
      <c r="K822" s="185"/>
      <c r="L822" s="185"/>
      <c r="M822" s="185"/>
      <c r="N822" s="185"/>
      <c r="O822" s="7"/>
      <c r="P822" s="7"/>
      <c r="Q822" s="7"/>
      <c r="R822" s="7"/>
      <c r="S822" s="14"/>
      <c r="T822" s="179"/>
      <c r="U822" s="189"/>
      <c r="V822" s="13"/>
      <c r="W822" s="185"/>
      <c r="X822" s="185"/>
      <c r="Y822" s="185"/>
      <c r="Z822" s="185"/>
      <c r="AA822" s="185"/>
      <c r="AB822" s="185"/>
      <c r="AC822" s="7"/>
      <c r="AD822" s="7"/>
      <c r="AE822" s="7"/>
      <c r="AF822" s="7"/>
      <c r="AG822" s="759"/>
      <c r="AH822" s="788"/>
      <c r="AI822" s="189"/>
      <c r="AJ822" s="810"/>
      <c r="AK822" s="758"/>
      <c r="AL822" s="758"/>
      <c r="AM822" s="758"/>
      <c r="AN822" s="758"/>
      <c r="AO822" s="758"/>
      <c r="AP822" s="758"/>
      <c r="AQ822" s="518"/>
      <c r="AR822" s="518"/>
      <c r="AS822" s="518"/>
      <c r="AT822" s="518"/>
      <c r="AU822" s="518"/>
      <c r="AV822" s="794"/>
      <c r="AW822" s="794"/>
      <c r="AX822" s="518">
        <f>SUM(AI822,AJ822,AK822,AL822,AM822,AN822,AO822,AP822,AQ822,AR822,AS822,AT822)</f>
        <v>0</v>
      </c>
      <c r="AY822" s="788"/>
      <c r="AZ822" s="189"/>
      <c r="BA822" s="810"/>
      <c r="BB822" s="758"/>
      <c r="BC822" s="758"/>
      <c r="BD822" s="758"/>
      <c r="BE822" s="758"/>
      <c r="BF822" s="758"/>
      <c r="BG822" s="518"/>
      <c r="BH822" s="758"/>
      <c r="BI822" s="758"/>
      <c r="BJ822" s="758"/>
      <c r="BK822" s="758"/>
      <c r="BL822" s="759"/>
      <c r="BN822" s="758"/>
      <c r="BO822" s="758"/>
      <c r="BP822" s="758"/>
      <c r="BQ822" s="758"/>
      <c r="BR822" s="758"/>
      <c r="BS822" s="758"/>
      <c r="BT822" s="758"/>
      <c r="BU822" s="758"/>
      <c r="BV822" s="758"/>
      <c r="BW822" s="758"/>
      <c r="BX822" s="758"/>
      <c r="BY822" s="758"/>
      <c r="BZ822" s="791">
        <v>0</v>
      </c>
      <c r="CB822" s="758"/>
      <c r="CC822" s="758"/>
      <c r="CD822" s="758"/>
      <c r="CE822" s="758"/>
      <c r="CF822" s="758"/>
      <c r="CG822" s="758"/>
      <c r="CH822" s="758"/>
      <c r="CI822" s="758"/>
      <c r="CJ822" s="758"/>
      <c r="CK822" s="758"/>
      <c r="CL822" s="758"/>
      <c r="CM822" s="758"/>
      <c r="CN822" s="791">
        <v>0</v>
      </c>
      <c r="CP822" s="653"/>
      <c r="CQ822" s="653"/>
      <c r="CR822" s="524"/>
      <c r="CS822" s="653"/>
      <c r="CT822" s="524"/>
      <c r="CU822" s="653"/>
      <c r="CV822" s="524"/>
      <c r="CW822" s="653"/>
      <c r="CX822" s="524"/>
      <c r="CY822" s="653"/>
      <c r="CZ822" s="524"/>
      <c r="DA822" s="653"/>
      <c r="DB822" s="524"/>
      <c r="DC822" s="653"/>
      <c r="DD822" s="524"/>
      <c r="DE822" s="524"/>
      <c r="DF822" s="524"/>
      <c r="DG822" s="757"/>
      <c r="DH822" s="524"/>
      <c r="DI822" s="524"/>
      <c r="DJ822" s="757"/>
      <c r="DK822" s="524"/>
      <c r="DL822" s="524"/>
      <c r="DM822" s="757"/>
      <c r="DN822" s="524"/>
      <c r="DO822" s="524"/>
      <c r="DP822" s="757"/>
      <c r="DQ822" s="493">
        <f>SUM(CP822,CQ822,CS822,CU822,CW822,CY822,DA822,DC822,DF822,DI822,DL822,DO822)</f>
        <v>0</v>
      </c>
      <c r="DR822" s="479">
        <f>SUM(CQ822,CR822,CT822,CV822,CX822,CZ822,DB822,DD822,DG822,DJ822,DM822,DP822)</f>
        <v>0</v>
      </c>
      <c r="DS822" s="1019"/>
      <c r="DT822" s="1019"/>
      <c r="DU822" s="1019"/>
      <c r="DV822" s="1019"/>
      <c r="DW822" s="1019"/>
      <c r="DX822" s="1019"/>
      <c r="DY822" s="1019"/>
      <c r="DZ822" s="1019"/>
      <c r="EA822" s="1019"/>
      <c r="EB822" s="1019"/>
      <c r="EC822" s="1019"/>
      <c r="ED822" s="1019"/>
      <c r="EE822" s="1119">
        <f>SUM(DS822,DT822,DU822,DV822,DW822,DX822,DY822,DZ822,EA822,EB822,EC822,ED822)</f>
        <v>0</v>
      </c>
      <c r="EF822" s="443">
        <f>EE822*1.05</f>
        <v>0</v>
      </c>
      <c r="EG822" s="443">
        <f>20000000*17*12</f>
        <v>4080000000</v>
      </c>
      <c r="EH822" s="443">
        <f>20000000*25*12</f>
        <v>6000000000</v>
      </c>
      <c r="EI822" s="443">
        <f>20000000*25*12</f>
        <v>6000000000</v>
      </c>
    </row>
    <row r="823" spans="1:141" outlineLevel="2">
      <c r="A823" s="367" t="s">
        <v>39</v>
      </c>
      <c r="B823" s="378"/>
      <c r="C823" s="370" t="s">
        <v>946</v>
      </c>
      <c r="D823" s="370" t="s">
        <v>40</v>
      </c>
      <c r="E823" s="396" t="s">
        <v>949</v>
      </c>
      <c r="F823" s="380"/>
      <c r="G823" s="189"/>
      <c r="H823" s="13"/>
      <c r="I823" s="185"/>
      <c r="J823" s="185"/>
      <c r="K823" s="185"/>
      <c r="L823" s="185"/>
      <c r="M823" s="185"/>
      <c r="N823" s="185"/>
      <c r="O823" s="7"/>
      <c r="P823" s="7"/>
      <c r="Q823" s="7"/>
      <c r="R823" s="7"/>
      <c r="S823" s="14"/>
      <c r="T823" s="179"/>
      <c r="U823" s="189"/>
      <c r="V823" s="13"/>
      <c r="W823" s="185"/>
      <c r="X823" s="185"/>
      <c r="Y823" s="185"/>
      <c r="Z823" s="185"/>
      <c r="AA823" s="185"/>
      <c r="AB823" s="185"/>
      <c r="AC823" s="7"/>
      <c r="AD823" s="7"/>
      <c r="AE823" s="7"/>
      <c r="AF823" s="7"/>
      <c r="AG823" s="759"/>
      <c r="AH823" s="788"/>
      <c r="AI823" s="189"/>
      <c r="AJ823" s="810"/>
      <c r="AK823" s="758"/>
      <c r="AL823" s="758"/>
      <c r="AM823" s="758"/>
      <c r="AN823" s="758"/>
      <c r="AO823" s="758"/>
      <c r="AP823" s="758"/>
      <c r="AQ823" s="518"/>
      <c r="AR823" s="518"/>
      <c r="AS823" s="518"/>
      <c r="AT823" s="518"/>
      <c r="AU823" s="518"/>
      <c r="AV823" s="794"/>
      <c r="AW823" s="794"/>
      <c r="AX823" s="518">
        <f>SUM(AI823,AJ823,AK823,AL823,AM823,AN823,AO823,AP823,AQ823,AR823,AS823,AT823)</f>
        <v>0</v>
      </c>
      <c r="AY823" s="788"/>
      <c r="AZ823" s="189"/>
      <c r="BA823" s="810"/>
      <c r="BB823" s="758"/>
      <c r="BC823" s="758"/>
      <c r="BD823" s="758"/>
      <c r="BE823" s="758"/>
      <c r="BF823" s="758"/>
      <c r="BG823" s="518"/>
      <c r="BH823" s="758"/>
      <c r="BI823" s="758"/>
      <c r="BJ823" s="758"/>
      <c r="BK823" s="758"/>
      <c r="BL823" s="759"/>
      <c r="BN823" s="758"/>
      <c r="BO823" s="758"/>
      <c r="BP823" s="758"/>
      <c r="BQ823" s="758"/>
      <c r="BR823" s="758"/>
      <c r="BS823" s="758"/>
      <c r="BT823" s="758"/>
      <c r="BU823" s="758"/>
      <c r="BV823" s="758"/>
      <c r="BW823" s="758"/>
      <c r="BX823" s="758"/>
      <c r="BY823" s="758"/>
      <c r="BZ823" s="791">
        <v>0</v>
      </c>
      <c r="CB823" s="758"/>
      <c r="CC823" s="758"/>
      <c r="CD823" s="758"/>
      <c r="CE823" s="758"/>
      <c r="CF823" s="758"/>
      <c r="CG823" s="758"/>
      <c r="CH823" s="884">
        <f t="shared" ref="CH823:CM823" si="487">(55000*1.1*20000)-11958408.3333333</f>
        <v>1198041591.666667</v>
      </c>
      <c r="CI823" s="884">
        <f t="shared" si="487"/>
        <v>1198041591.666667</v>
      </c>
      <c r="CJ823" s="884">
        <f t="shared" si="487"/>
        <v>1198041591.666667</v>
      </c>
      <c r="CK823" s="884">
        <f t="shared" si="487"/>
        <v>1198041591.666667</v>
      </c>
      <c r="CL823" s="884">
        <f t="shared" si="487"/>
        <v>1198041591.666667</v>
      </c>
      <c r="CM823" s="884">
        <f t="shared" si="487"/>
        <v>1198041591.666667</v>
      </c>
      <c r="CN823" s="791">
        <v>7188249550.0000019</v>
      </c>
      <c r="CP823" s="653"/>
      <c r="CQ823" s="653"/>
      <c r="CR823" s="524"/>
      <c r="CS823" s="653"/>
      <c r="CT823" s="524"/>
      <c r="CU823" s="653"/>
      <c r="CV823" s="524"/>
      <c r="CW823" s="653"/>
      <c r="CX823" s="524"/>
      <c r="CY823" s="653"/>
      <c r="CZ823" s="524"/>
      <c r="DA823" s="653"/>
      <c r="DB823" s="524"/>
      <c r="DC823" s="653"/>
      <c r="DD823" s="524"/>
      <c r="DE823" s="524"/>
      <c r="DF823" s="524"/>
      <c r="DG823" s="757"/>
      <c r="DH823" s="524"/>
      <c r="DI823" s="524"/>
      <c r="DJ823" s="757"/>
      <c r="DK823" s="524"/>
      <c r="DL823" s="524"/>
      <c r="DM823" s="757"/>
      <c r="DN823" s="524"/>
      <c r="DO823" s="524"/>
      <c r="DP823" s="757"/>
      <c r="DQ823" s="493">
        <f>SUM(CP823,CQ823,CS823,CU823,CW823,CY823,DA823,DC823,DF823,DI823,DL823,DO823)</f>
        <v>0</v>
      </c>
      <c r="DR823" s="479">
        <f>SUM(CP823,CQ823,CS823,CU823,CX823,CZ823,DB823,DD823,DG823,DJ823,DM823,DP823)</f>
        <v>0</v>
      </c>
      <c r="DS823" s="1019"/>
      <c r="DT823" s="1019"/>
      <c r="DU823" s="1019"/>
      <c r="DV823" s="1019"/>
      <c r="DW823" s="1019"/>
      <c r="DX823" s="1019"/>
      <c r="DY823" s="1019"/>
      <c r="DZ823" s="1019"/>
      <c r="EA823" s="1019"/>
      <c r="EB823" s="1019"/>
      <c r="EC823" s="1019"/>
      <c r="ED823" s="1019"/>
      <c r="EE823" s="1119">
        <f>SUM(DS823,DT823,DU823,DV823,DW823,DX823,DY823,DZ823,EA823,EB823,EC823,ED823)</f>
        <v>0</v>
      </c>
      <c r="EF823" s="443"/>
      <c r="EG823" s="443"/>
      <c r="EH823" s="443"/>
      <c r="EI823" s="443"/>
    </row>
    <row r="824" spans="1:141" outlineLevel="2">
      <c r="A824" s="367" t="s">
        <v>950</v>
      </c>
      <c r="B824" s="378"/>
      <c r="C824" s="370" t="s">
        <v>946</v>
      </c>
      <c r="D824" s="370" t="s">
        <v>40</v>
      </c>
      <c r="E824" s="396" t="s">
        <v>951</v>
      </c>
      <c r="F824" s="380"/>
      <c r="G824" s="189"/>
      <c r="H824" s="13"/>
      <c r="I824" s="185"/>
      <c r="J824" s="185"/>
      <c r="K824" s="185"/>
      <c r="L824" s="185"/>
      <c r="M824" s="185"/>
      <c r="N824" s="185"/>
      <c r="O824" s="7"/>
      <c r="P824" s="7"/>
      <c r="Q824" s="7"/>
      <c r="R824" s="7"/>
      <c r="S824" s="14"/>
      <c r="T824" s="179"/>
      <c r="U824" s="189"/>
      <c r="V824" s="13"/>
      <c r="W824" s="185"/>
      <c r="X824" s="185"/>
      <c r="Y824" s="185"/>
      <c r="Z824" s="185"/>
      <c r="AA824" s="185"/>
      <c r="AB824" s="185"/>
      <c r="AC824" s="7"/>
      <c r="AD824" s="7"/>
      <c r="AE824" s="7"/>
      <c r="AF824" s="7"/>
      <c r="AG824" s="759"/>
      <c r="AH824" s="788"/>
      <c r="AI824" s="189"/>
      <c r="AJ824" s="810"/>
      <c r="AK824" s="758"/>
      <c r="AL824" s="758"/>
      <c r="AM824" s="758"/>
      <c r="AN824" s="758"/>
      <c r="AO824" s="758"/>
      <c r="AP824" s="758"/>
      <c r="AQ824" s="518"/>
      <c r="AR824" s="518"/>
      <c r="AS824" s="518"/>
      <c r="AT824" s="518"/>
      <c r="AU824" s="518"/>
      <c r="AV824" s="794"/>
      <c r="AW824" s="794"/>
      <c r="AX824" s="518">
        <f>SUM(AI824,AJ824,AK824,AL824,AM824,AN824,AO824,AP824,AQ824,AR824,AS824,AT824)</f>
        <v>0</v>
      </c>
      <c r="AY824" s="788"/>
      <c r="AZ824" s="189"/>
      <c r="BA824" s="810"/>
      <c r="BB824" s="758"/>
      <c r="BC824" s="758"/>
      <c r="BD824" s="758"/>
      <c r="BE824" s="758"/>
      <c r="BF824" s="758"/>
      <c r="BG824" s="518"/>
      <c r="BH824" s="758"/>
      <c r="BI824" s="758"/>
      <c r="BJ824" s="758"/>
      <c r="BK824" s="758"/>
      <c r="BL824" s="759"/>
      <c r="BN824" s="758"/>
      <c r="BO824" s="758"/>
      <c r="BP824" s="758"/>
      <c r="BQ824" s="758"/>
      <c r="BR824" s="758"/>
      <c r="BS824" s="758"/>
      <c r="BT824" s="758"/>
      <c r="BU824" s="758"/>
      <c r="BV824" s="758"/>
      <c r="BW824" s="758"/>
      <c r="BX824" s="758"/>
      <c r="BY824" s="758"/>
      <c r="BZ824" s="791">
        <v>0</v>
      </c>
      <c r="CB824" s="758"/>
      <c r="CC824" s="758"/>
      <c r="CD824" s="884">
        <v>1300000000</v>
      </c>
      <c r="CE824" s="758"/>
      <c r="CF824" s="758"/>
      <c r="CG824" s="758"/>
      <c r="CH824" s="524"/>
      <c r="CI824" s="884">
        <v>1300000000</v>
      </c>
      <c r="CJ824" s="758"/>
      <c r="CK824" s="758"/>
      <c r="CL824" s="758"/>
      <c r="CM824" s="758"/>
      <c r="CN824" s="791">
        <v>2600000000</v>
      </c>
      <c r="CP824" s="653"/>
      <c r="CQ824" s="653"/>
      <c r="CR824" s="524"/>
      <c r="CS824" s="653"/>
      <c r="CT824" s="524"/>
      <c r="CU824" s="653"/>
      <c r="CV824" s="524"/>
      <c r="CW824" s="653"/>
      <c r="CX824" s="524"/>
      <c r="CY824" s="653"/>
      <c r="CZ824" s="524"/>
      <c r="DA824" s="653"/>
      <c r="DB824" s="524"/>
      <c r="DC824" s="653"/>
      <c r="DD824" s="524"/>
      <c r="DE824" s="524"/>
      <c r="DF824" s="524"/>
      <c r="DG824" s="757"/>
      <c r="DH824" s="524"/>
      <c r="DI824" s="524"/>
      <c r="DJ824" s="757"/>
      <c r="DK824" s="524"/>
      <c r="DL824" s="524"/>
      <c r="DM824" s="757"/>
      <c r="DN824" s="524"/>
      <c r="DO824" s="524"/>
      <c r="DP824" s="757"/>
      <c r="DQ824" s="493">
        <f>SUM(CP824,CQ824,CS824,CU824,CW824,CY824,DA824,DC824,DF824,DI824,DL824,DO824)</f>
        <v>0</v>
      </c>
      <c r="DR824" s="479">
        <f>SUM(CP824,CQ824,CS824,CU824,CX824,CZ824,DB824,DD824,DG824,DJ824,DM824,DP824)</f>
        <v>0</v>
      </c>
      <c r="DS824" s="1019"/>
      <c r="DT824" s="1019"/>
      <c r="DU824" s="1019"/>
      <c r="DV824" s="1019"/>
      <c r="DW824" s="1019"/>
      <c r="DX824" s="1019"/>
      <c r="DY824" s="1019"/>
      <c r="DZ824" s="1019"/>
      <c r="EA824" s="1019"/>
      <c r="EB824" s="1019"/>
      <c r="EC824" s="1019"/>
      <c r="ED824" s="1019"/>
      <c r="EE824" s="1119">
        <f>SUM(DS824,DT824,DU824,DV824,DW824,DX824,DY824,DZ824,EA824,EB824,EC824,ED824)</f>
        <v>0</v>
      </c>
      <c r="EF824" s="443"/>
      <c r="EG824" s="443"/>
      <c r="EH824" s="443"/>
      <c r="EI824" s="443"/>
    </row>
    <row r="825" spans="1:141" s="8" customFormat="1" ht="18.5" outlineLevel="2">
      <c r="A825" s="389"/>
      <c r="B825" s="429"/>
      <c r="C825" s="430"/>
      <c r="D825" s="430"/>
      <c r="E825" s="431" t="s">
        <v>474</v>
      </c>
      <c r="F825" s="390"/>
      <c r="G825" s="240"/>
      <c r="H825" s="240"/>
      <c r="I825" s="240"/>
      <c r="J825" s="240"/>
      <c r="K825" s="240"/>
      <c r="L825" s="240"/>
      <c r="M825" s="240"/>
      <c r="N825" s="240"/>
      <c r="O825" s="240"/>
      <c r="P825" s="240"/>
      <c r="Q825" s="240"/>
      <c r="R825" s="240"/>
      <c r="S825" s="49"/>
      <c r="T825" s="179"/>
      <c r="U825" s="240"/>
      <c r="V825" s="240"/>
      <c r="W825" s="240"/>
      <c r="X825" s="240"/>
      <c r="Y825" s="240"/>
      <c r="Z825" s="240"/>
      <c r="AA825" s="240"/>
      <c r="AB825" s="240"/>
      <c r="AC825" s="240"/>
      <c r="AD825" s="240"/>
      <c r="AE825" s="240"/>
      <c r="AF825" s="240"/>
      <c r="AG825" s="774"/>
      <c r="AH825" s="788"/>
      <c r="AI825" s="862"/>
      <c r="AJ825" s="863"/>
      <c r="AK825" s="774"/>
      <c r="AL825" s="774"/>
      <c r="AM825" s="774"/>
      <c r="AN825" s="774"/>
      <c r="AO825" s="774"/>
      <c r="AP825" s="774"/>
      <c r="AQ825" s="774"/>
      <c r="AR825" s="774"/>
      <c r="AS825" s="774"/>
      <c r="AT825" s="774"/>
      <c r="AU825" s="774"/>
      <c r="AV825" s="774"/>
      <c r="AW825" s="774"/>
      <c r="AX825" s="774"/>
      <c r="AY825" s="788"/>
      <c r="AZ825" s="862"/>
      <c r="BA825" s="863"/>
      <c r="BB825" s="774"/>
      <c r="BC825" s="774"/>
      <c r="BD825" s="774"/>
      <c r="BE825" s="774"/>
      <c r="BF825" s="774"/>
      <c r="BG825" s="774"/>
      <c r="BH825" s="774"/>
      <c r="BI825" s="774"/>
      <c r="BJ825" s="774"/>
      <c r="BK825" s="774"/>
      <c r="BL825" s="774"/>
      <c r="BM825" s="3"/>
      <c r="BN825" s="483"/>
      <c r="BO825" s="864"/>
      <c r="BP825" s="774"/>
      <c r="BQ825" s="774"/>
      <c r="BR825" s="774"/>
      <c r="BS825" s="774"/>
      <c r="BT825" s="774"/>
      <c r="BU825" s="774"/>
      <c r="BV825" s="774"/>
      <c r="BW825" s="774"/>
      <c r="BX825" s="774"/>
      <c r="BY825" s="774"/>
      <c r="BZ825" s="865"/>
      <c r="CA825" s="3"/>
      <c r="CB825" s="483"/>
      <c r="CC825" s="864"/>
      <c r="CD825" s="774"/>
      <c r="CE825" s="774"/>
      <c r="CF825" s="774"/>
      <c r="CG825" s="774"/>
      <c r="CH825" s="774"/>
      <c r="CI825" s="774"/>
      <c r="CJ825" s="774"/>
      <c r="CK825" s="774"/>
      <c r="CL825" s="774"/>
      <c r="CM825" s="774"/>
      <c r="CN825" s="865"/>
      <c r="CO825" s="3"/>
      <c r="CP825" s="467">
        <f>SUM(CP826:CP828)</f>
        <v>0</v>
      </c>
      <c r="CQ825" s="467">
        <f t="shared" ref="CQ825:EI825" si="488">SUM(CQ826:CQ828)</f>
        <v>0</v>
      </c>
      <c r="CR825" s="467">
        <f t="shared" si="488"/>
        <v>264000000</v>
      </c>
      <c r="CS825" s="467">
        <f t="shared" si="488"/>
        <v>622418875</v>
      </c>
      <c r="CT825" s="467">
        <f t="shared" si="488"/>
        <v>2027296900</v>
      </c>
      <c r="CU825" s="467">
        <f t="shared" si="488"/>
        <v>1571525466</v>
      </c>
      <c r="CV825" s="467">
        <f t="shared" si="488"/>
        <v>616000000</v>
      </c>
      <c r="CW825" s="467">
        <f t="shared" si="488"/>
        <v>0</v>
      </c>
      <c r="CX825" s="467">
        <f t="shared" si="488"/>
        <v>1038000000</v>
      </c>
      <c r="CY825" s="467">
        <f t="shared" si="488"/>
        <v>0</v>
      </c>
      <c r="CZ825" s="467">
        <f t="shared" si="488"/>
        <v>0</v>
      </c>
      <c r="DA825" s="467">
        <f t="shared" si="488"/>
        <v>0</v>
      </c>
      <c r="DB825" s="467">
        <f t="shared" si="488"/>
        <v>1360000000</v>
      </c>
      <c r="DC825" s="467">
        <f t="shared" si="488"/>
        <v>0</v>
      </c>
      <c r="DD825" s="467">
        <f t="shared" si="488"/>
        <v>0</v>
      </c>
      <c r="DE825" s="467">
        <f t="shared" si="488"/>
        <v>0</v>
      </c>
      <c r="DF825" s="467">
        <f>SUM(DF826:DF828)</f>
        <v>680000000</v>
      </c>
      <c r="DG825" s="467">
        <f t="shared" si="488"/>
        <v>680000000</v>
      </c>
      <c r="DH825" s="467">
        <f t="shared" si="488"/>
        <v>0</v>
      </c>
      <c r="DI825" s="467">
        <f>SUM(DI826:DI828)</f>
        <v>680000000</v>
      </c>
      <c r="DJ825" s="467">
        <f t="shared" si="488"/>
        <v>680000000</v>
      </c>
      <c r="DK825" s="467">
        <f t="shared" si="488"/>
        <v>0</v>
      </c>
      <c r="DL825" s="467">
        <f>SUM(DL826:DL828)</f>
        <v>715000000</v>
      </c>
      <c r="DM825" s="467">
        <f>SUM(DM826:DM828)</f>
        <v>715000000</v>
      </c>
      <c r="DN825" s="467">
        <f t="shared" si="488"/>
        <v>0</v>
      </c>
      <c r="DO825" s="467">
        <f>SUM(DO826:DO828)</f>
        <v>0</v>
      </c>
      <c r="DP825" s="467">
        <f t="shared" si="488"/>
        <v>0</v>
      </c>
      <c r="DQ825" s="467">
        <f>SUM(DQ826:DQ828)</f>
        <v>4268944341</v>
      </c>
      <c r="DR825" s="467">
        <f>SUM(DR826:DR828)</f>
        <v>6666944341</v>
      </c>
      <c r="DS825" s="444">
        <f t="shared" si="488"/>
        <v>400000000</v>
      </c>
      <c r="DT825" s="444">
        <f t="shared" si="488"/>
        <v>400000000</v>
      </c>
      <c r="DU825" s="444">
        <f t="shared" si="488"/>
        <v>500000000</v>
      </c>
      <c r="DV825" s="444">
        <f t="shared" si="488"/>
        <v>400000000</v>
      </c>
      <c r="DW825" s="444">
        <f t="shared" si="488"/>
        <v>400000000</v>
      </c>
      <c r="DX825" s="444">
        <f t="shared" si="488"/>
        <v>500000000</v>
      </c>
      <c r="DY825" s="444">
        <f t="shared" si="488"/>
        <v>400000000</v>
      </c>
      <c r="DZ825" s="444">
        <f t="shared" si="488"/>
        <v>500000000</v>
      </c>
      <c r="EA825" s="444">
        <f t="shared" si="488"/>
        <v>400000000</v>
      </c>
      <c r="EB825" s="444">
        <f t="shared" si="488"/>
        <v>500000000</v>
      </c>
      <c r="EC825" s="444">
        <f t="shared" si="488"/>
        <v>400000000</v>
      </c>
      <c r="ED825" s="444">
        <f t="shared" si="488"/>
        <v>400000000</v>
      </c>
      <c r="EE825" s="1125">
        <f>SUM(EE826:EE828)</f>
        <v>5200000000</v>
      </c>
      <c r="EF825" s="444">
        <f t="shared" si="488"/>
        <v>5460000000</v>
      </c>
      <c r="EG825" s="444">
        <f t="shared" si="488"/>
        <v>10092000000</v>
      </c>
      <c r="EH825" s="444">
        <f t="shared" si="488"/>
        <v>12756600000</v>
      </c>
      <c r="EI825" s="444">
        <f t="shared" si="488"/>
        <v>13034430000</v>
      </c>
      <c r="EJ825" s="389"/>
      <c r="EK825" s="389"/>
    </row>
    <row r="826" spans="1:141" outlineLevel="2">
      <c r="A826" s="367" t="s">
        <v>950</v>
      </c>
      <c r="B826" s="378"/>
      <c r="C826" s="370" t="s">
        <v>946</v>
      </c>
      <c r="D826" s="370" t="s">
        <v>108</v>
      </c>
      <c r="E826" s="396" t="s">
        <v>257</v>
      </c>
      <c r="F826" s="380">
        <v>3000004561</v>
      </c>
      <c r="G826" s="189"/>
      <c r="H826" s="13"/>
      <c r="I826" s="185"/>
      <c r="J826" s="185"/>
      <c r="K826" s="185"/>
      <c r="L826" s="185"/>
      <c r="M826" s="185"/>
      <c r="N826" s="185"/>
      <c r="O826" s="7"/>
      <c r="P826" s="7"/>
      <c r="Q826" s="7"/>
      <c r="R826" s="7"/>
      <c r="S826" s="14"/>
      <c r="T826" s="179"/>
      <c r="U826" s="189"/>
      <c r="V826" s="13"/>
      <c r="W826" s="185"/>
      <c r="X826" s="185"/>
      <c r="Y826" s="185"/>
      <c r="Z826" s="185"/>
      <c r="AA826" s="185"/>
      <c r="AB826" s="185"/>
      <c r="AC826" s="7"/>
      <c r="AD826" s="7"/>
      <c r="AE826" s="7"/>
      <c r="AF826" s="7"/>
      <c r="AG826" s="759"/>
      <c r="AH826" s="788"/>
      <c r="AI826" s="189"/>
      <c r="AJ826" s="810"/>
      <c r="AK826" s="758"/>
      <c r="AL826" s="758"/>
      <c r="AM826" s="758"/>
      <c r="AN826" s="758"/>
      <c r="AO826" s="758"/>
      <c r="AP826" s="758"/>
      <c r="AQ826" s="518"/>
      <c r="AR826" s="518"/>
      <c r="AS826" s="518"/>
      <c r="AT826" s="518"/>
      <c r="AU826" s="518"/>
      <c r="AV826" s="794"/>
      <c r="AW826" s="794"/>
      <c r="AX826" s="518">
        <f>SUM(AI826,AJ826,AK826,AL826,AM826,AN826,AO826,AP826,AQ826,AR826,AS826,AT826)</f>
        <v>0</v>
      </c>
      <c r="AY826" s="788"/>
      <c r="AZ826" s="189"/>
      <c r="BA826" s="810"/>
      <c r="BB826" s="758"/>
      <c r="BC826" s="758"/>
      <c r="BD826" s="758"/>
      <c r="BE826" s="758"/>
      <c r="BF826" s="758"/>
      <c r="BG826" s="518"/>
      <c r="BH826" s="758"/>
      <c r="BI826" s="758"/>
      <c r="BJ826" s="758"/>
      <c r="BK826" s="758"/>
      <c r="BL826" s="759"/>
      <c r="BN826" s="758"/>
      <c r="BO826" s="758"/>
      <c r="BP826" s="758"/>
      <c r="BQ826" s="758"/>
      <c r="BR826" s="758"/>
      <c r="BS826" s="758"/>
      <c r="BT826" s="758"/>
      <c r="BU826" s="758"/>
      <c r="BV826" s="758"/>
      <c r="BW826" s="758"/>
      <c r="BX826" s="758"/>
      <c r="BY826" s="758"/>
      <c r="BZ826" s="791">
        <v>0</v>
      </c>
      <c r="CB826" s="758"/>
      <c r="CC826" s="758"/>
      <c r="CD826" s="884">
        <f>1096000000</f>
        <v>1096000000</v>
      </c>
      <c r="CE826" s="884">
        <f>1096000000</f>
        <v>1096000000</v>
      </c>
      <c r="CF826" s="884"/>
      <c r="CG826" s="884">
        <f>1150000000+1400000000</f>
        <v>2550000000</v>
      </c>
      <c r="CH826" s="884">
        <f>1150000000</f>
        <v>1150000000</v>
      </c>
      <c r="CI826" s="758"/>
      <c r="CJ826" s="758"/>
      <c r="CK826" s="758"/>
      <c r="CL826" s="884">
        <v>1400000000</v>
      </c>
      <c r="CM826" s="758"/>
      <c r="CN826" s="791">
        <v>7292000000</v>
      </c>
      <c r="CP826" s="653"/>
      <c r="CQ826" s="653"/>
      <c r="CR826" s="524">
        <f>264000000</f>
        <v>264000000</v>
      </c>
      <c r="CS826" s="653"/>
      <c r="CT826" s="524">
        <f>(4859*129100)+1400000000</f>
        <v>2027296900</v>
      </c>
      <c r="CU826" s="653">
        <v>627330466</v>
      </c>
      <c r="CV826" s="524"/>
      <c r="CW826" s="653"/>
      <c r="CX826" s="524" t="s">
        <v>266</v>
      </c>
      <c r="CY826" s="653"/>
      <c r="CZ826" s="524">
        <v>0</v>
      </c>
      <c r="DA826" s="653"/>
      <c r="DB826" s="524">
        <f>10000*136000</f>
        <v>1360000000</v>
      </c>
      <c r="DC826" s="653"/>
      <c r="DD826" s="524"/>
      <c r="DE826" s="524"/>
      <c r="DF826" s="524">
        <f>5000*136000</f>
        <v>680000000</v>
      </c>
      <c r="DG826" s="757">
        <f>5000*136000</f>
        <v>680000000</v>
      </c>
      <c r="DH826" s="524"/>
      <c r="DI826" s="524">
        <f>5000*136000</f>
        <v>680000000</v>
      </c>
      <c r="DJ826" s="757">
        <f>5000*136000</f>
        <v>680000000</v>
      </c>
      <c r="DK826" s="524"/>
      <c r="DL826" s="524">
        <f>5000*143000</f>
        <v>715000000</v>
      </c>
      <c r="DM826" s="757">
        <f>5000*143000</f>
        <v>715000000</v>
      </c>
      <c r="DN826" s="524"/>
      <c r="DO826" s="524"/>
      <c r="DP826" s="757"/>
      <c r="DQ826" s="493">
        <f>SUM(CP826,CQ826,CS826,CU826,CW826,CY826,DA826,DC826,DF826,DI826,DL826,DO826)</f>
        <v>2702330466</v>
      </c>
      <c r="DR826" s="479">
        <f>SUM(CP826,CQ826,CS826,CU826,CX826,CZ826,DB826,DD826,DG826,DJ826,DM826,DP826)</f>
        <v>4062330466</v>
      </c>
      <c r="DS826" s="1019">
        <v>400000000</v>
      </c>
      <c r="DT826" s="1019">
        <v>400000000</v>
      </c>
      <c r="DU826" s="1019">
        <v>400000000</v>
      </c>
      <c r="DV826" s="1019">
        <v>400000000</v>
      </c>
      <c r="DW826" s="1019">
        <v>400000000</v>
      </c>
      <c r="DX826" s="1019">
        <v>400000000</v>
      </c>
      <c r="DY826" s="1019">
        <v>400000000</v>
      </c>
      <c r="DZ826" s="1019">
        <v>400000000</v>
      </c>
      <c r="EA826" s="1019">
        <v>400000000</v>
      </c>
      <c r="EB826" s="1019">
        <v>400000000</v>
      </c>
      <c r="EC826" s="1019">
        <v>400000000</v>
      </c>
      <c r="ED826" s="1019">
        <v>400000000</v>
      </c>
      <c r="EE826" s="1119">
        <f>SUM(DS826,DT826,DU826,DV826,DW826,DX826,DY826,DZ826,EA826,EB826,EC826,ED826)</f>
        <v>4800000000</v>
      </c>
      <c r="EF826" s="443">
        <f>EE826*1.05</f>
        <v>5040000000</v>
      </c>
      <c r="EG826" s="443">
        <f>EF826*1.05</f>
        <v>5292000000</v>
      </c>
      <c r="EH826" s="443">
        <f>EG826*1.05</f>
        <v>5556600000</v>
      </c>
      <c r="EI826" s="443">
        <f>EH826*1.05</f>
        <v>5834430000</v>
      </c>
    </row>
    <row r="827" spans="1:141" outlineLevel="2">
      <c r="A827" s="438" t="s">
        <v>952</v>
      </c>
      <c r="B827" s="378"/>
      <c r="C827" s="370" t="s">
        <v>946</v>
      </c>
      <c r="D827" s="370" t="s">
        <v>108</v>
      </c>
      <c r="E827" s="396" t="s">
        <v>374</v>
      </c>
      <c r="F827" s="380">
        <v>3000013259</v>
      </c>
      <c r="G827" s="189"/>
      <c r="H827" s="13"/>
      <c r="I827" s="185"/>
      <c r="J827" s="185"/>
      <c r="K827" s="185"/>
      <c r="L827" s="185"/>
      <c r="M827" s="185"/>
      <c r="N827" s="185"/>
      <c r="O827" s="7"/>
      <c r="P827" s="7"/>
      <c r="Q827" s="7"/>
      <c r="R827" s="7"/>
      <c r="S827" s="14"/>
      <c r="T827" s="179"/>
      <c r="U827" s="189"/>
      <c r="V827" s="13"/>
      <c r="W827" s="185"/>
      <c r="X827" s="185"/>
      <c r="Y827" s="185"/>
      <c r="Z827" s="185"/>
      <c r="AA827" s="185"/>
      <c r="AB827" s="185"/>
      <c r="AC827" s="7"/>
      <c r="AD827" s="7"/>
      <c r="AE827" s="7"/>
      <c r="AF827" s="7"/>
      <c r="AG827" s="759"/>
      <c r="AH827" s="788"/>
      <c r="AI827" s="189"/>
      <c r="AJ827" s="810"/>
      <c r="AK827" s="758"/>
      <c r="AL827" s="758"/>
      <c r="AM827" s="758"/>
      <c r="AN827" s="758"/>
      <c r="AO827" s="758"/>
      <c r="AP827" s="758"/>
      <c r="AQ827" s="518"/>
      <c r="AR827" s="518"/>
      <c r="AS827" s="518"/>
      <c r="AT827" s="518"/>
      <c r="AU827" s="518"/>
      <c r="AV827" s="794"/>
      <c r="AW827" s="794"/>
      <c r="AX827" s="518">
        <f>SUM(AI827,AJ827,AK827,AL827,AM827,AN827,AO827,AP827,AQ827,AR827,AS827,AT827)</f>
        <v>0</v>
      </c>
      <c r="AY827" s="788"/>
      <c r="AZ827" s="189"/>
      <c r="BA827" s="810"/>
      <c r="BB827" s="758"/>
      <c r="BC827" s="758"/>
      <c r="BD827" s="758"/>
      <c r="BE827" s="758"/>
      <c r="BF827" s="758"/>
      <c r="BG827" s="518"/>
      <c r="BH827" s="758"/>
      <c r="BI827" s="758"/>
      <c r="BJ827" s="758"/>
      <c r="BK827" s="758"/>
      <c r="BL827" s="759"/>
      <c r="BN827" s="758"/>
      <c r="BO827" s="758"/>
      <c r="BP827" s="758"/>
      <c r="BQ827" s="758"/>
      <c r="BR827" s="758"/>
      <c r="BS827" s="758"/>
      <c r="BT827" s="758"/>
      <c r="BU827" s="758"/>
      <c r="BV827" s="758"/>
      <c r="BW827" s="758"/>
      <c r="BX827" s="758"/>
      <c r="BY827" s="758"/>
      <c r="BZ827" s="791">
        <v>0</v>
      </c>
      <c r="CB827" s="758"/>
      <c r="CC827" s="758"/>
      <c r="CD827" s="758"/>
      <c r="CE827" s="758"/>
      <c r="CF827" s="758"/>
      <c r="CG827" s="758"/>
      <c r="CH827" s="758"/>
      <c r="CI827" s="758"/>
      <c r="CJ827" s="758"/>
      <c r="CK827" s="758"/>
      <c r="CL827" s="758"/>
      <c r="CM827" s="758"/>
      <c r="CN827" s="791">
        <v>0</v>
      </c>
      <c r="CP827" s="653"/>
      <c r="CQ827" s="653"/>
      <c r="CR827" s="524"/>
      <c r="CS827" s="653">
        <v>560000000</v>
      </c>
      <c r="CT827" s="524"/>
      <c r="CU827" s="653">
        <v>944195000</v>
      </c>
      <c r="CV827" s="524">
        <v>616000000</v>
      </c>
      <c r="CW827" s="653"/>
      <c r="CX827" s="524">
        <v>1038000000</v>
      </c>
      <c r="CY827" s="653"/>
      <c r="CZ827" s="524">
        <v>0</v>
      </c>
      <c r="DA827" s="653"/>
      <c r="DB827" s="524"/>
      <c r="DC827" s="653"/>
      <c r="DD827" s="524"/>
      <c r="DE827" s="524"/>
      <c r="DF827" s="524"/>
      <c r="DG827" s="757"/>
      <c r="DH827" s="524"/>
      <c r="DI827" s="524"/>
      <c r="DJ827" s="757"/>
      <c r="DK827" s="524"/>
      <c r="DL827" s="524"/>
      <c r="DM827" s="757"/>
      <c r="DN827" s="524"/>
      <c r="DO827" s="524"/>
      <c r="DP827" s="757"/>
      <c r="DQ827" s="493">
        <f>SUM(CP827,CQ827,CS827,CU827,CW827,CY827,DA827,DC827,DF827,DI827,DL827,DO827)</f>
        <v>1504195000</v>
      </c>
      <c r="DR827" s="479">
        <f>SUM(CP827,CQ827,CS827,CU827,CX827,CZ827,DB827,DD827,DG827,DJ827,DM827,DP827)</f>
        <v>2542195000</v>
      </c>
      <c r="DS827" s="1019"/>
      <c r="DT827" s="1019"/>
      <c r="DU827" s="1019"/>
      <c r="DV827" s="1019"/>
      <c r="DW827" s="1019"/>
      <c r="DX827" s="1019"/>
      <c r="DY827" s="1019"/>
      <c r="DZ827" s="1019"/>
      <c r="EA827" s="1019"/>
      <c r="EB827" s="1019"/>
      <c r="EC827" s="1019"/>
      <c r="ED827" s="1019"/>
      <c r="EE827" s="1119">
        <f>SUM(DS827,DT827,DU827,DV827,DW827,DX827,DY827,DZ827,EA827,EB827,EC827,ED827)</f>
        <v>0</v>
      </c>
      <c r="EF827" s="443">
        <f>EE827*1.05</f>
        <v>0</v>
      </c>
      <c r="EG827" s="443"/>
      <c r="EH827" s="443"/>
      <c r="EI827" s="443"/>
    </row>
    <row r="828" spans="1:141" outlineLevel="2">
      <c r="A828" s="438" t="s">
        <v>950</v>
      </c>
      <c r="B828" s="378"/>
      <c r="C828" s="370" t="s">
        <v>946</v>
      </c>
      <c r="D828" s="370" t="s">
        <v>108</v>
      </c>
      <c r="E828" s="396" t="s">
        <v>260</v>
      </c>
      <c r="F828" s="380">
        <v>3000008984</v>
      </c>
      <c r="G828" s="189"/>
      <c r="H828" s="13"/>
      <c r="I828" s="185"/>
      <c r="J828" s="185"/>
      <c r="K828" s="185"/>
      <c r="L828" s="185"/>
      <c r="M828" s="185"/>
      <c r="N828" s="185"/>
      <c r="O828" s="7"/>
      <c r="P828" s="7"/>
      <c r="Q828" s="7"/>
      <c r="R828" s="7"/>
      <c r="S828" s="14"/>
      <c r="T828" s="179"/>
      <c r="U828" s="189"/>
      <c r="V828" s="13"/>
      <c r="W828" s="185"/>
      <c r="X828" s="185"/>
      <c r="Y828" s="185"/>
      <c r="Z828" s="185"/>
      <c r="AA828" s="185"/>
      <c r="AB828" s="185"/>
      <c r="AC828" s="7"/>
      <c r="AD828" s="7"/>
      <c r="AE828" s="7"/>
      <c r="AF828" s="7"/>
      <c r="AG828" s="759"/>
      <c r="AH828" s="788"/>
      <c r="AI828" s="189"/>
      <c r="AJ828" s="810"/>
      <c r="AK828" s="758"/>
      <c r="AL828" s="758"/>
      <c r="AM828" s="758"/>
      <c r="AN828" s="758"/>
      <c r="AO828" s="758"/>
      <c r="AP828" s="758"/>
      <c r="AQ828" s="518"/>
      <c r="AR828" s="518"/>
      <c r="AS828" s="518"/>
      <c r="AT828" s="518"/>
      <c r="AU828" s="518"/>
      <c r="AV828" s="794"/>
      <c r="AW828" s="794"/>
      <c r="AX828" s="518">
        <f>SUM(AI828,AJ828,AK828,AL828,AM828,AN828,AO828,AP828,AQ828,AR828,AS828,AT828)</f>
        <v>0</v>
      </c>
      <c r="AY828" s="788"/>
      <c r="AZ828" s="189"/>
      <c r="BA828" s="810"/>
      <c r="BB828" s="758"/>
      <c r="BC828" s="758"/>
      <c r="BD828" s="758"/>
      <c r="BE828" s="758"/>
      <c r="BF828" s="758"/>
      <c r="BG828" s="518"/>
      <c r="BH828" s="758"/>
      <c r="BI828" s="758"/>
      <c r="BJ828" s="758"/>
      <c r="BK828" s="758"/>
      <c r="BL828" s="759"/>
      <c r="BN828" s="758"/>
      <c r="BO828" s="758"/>
      <c r="BP828" s="758"/>
      <c r="BQ828" s="758"/>
      <c r="BR828" s="758"/>
      <c r="BS828" s="758"/>
      <c r="BT828" s="758"/>
      <c r="BU828" s="758"/>
      <c r="BV828" s="758"/>
      <c r="BW828" s="758"/>
      <c r="BX828" s="758"/>
      <c r="BY828" s="758"/>
      <c r="BZ828" s="791">
        <v>0</v>
      </c>
      <c r="CB828" s="758"/>
      <c r="CC828" s="758"/>
      <c r="CD828" s="758"/>
      <c r="CE828" s="758"/>
      <c r="CF828" s="758"/>
      <c r="CG828" s="758"/>
      <c r="CH828" s="758"/>
      <c r="CI828" s="758"/>
      <c r="CJ828" s="758"/>
      <c r="CK828" s="758"/>
      <c r="CL828" s="758"/>
      <c r="CM828" s="758"/>
      <c r="CN828" s="791">
        <v>0</v>
      </c>
      <c r="CP828" s="653"/>
      <c r="CQ828" s="653"/>
      <c r="CR828" s="524"/>
      <c r="CS828" s="653">
        <v>62418875</v>
      </c>
      <c r="CT828" s="524"/>
      <c r="CU828" s="653"/>
      <c r="CV828" s="524"/>
      <c r="CW828" s="653"/>
      <c r="CX828" s="524"/>
      <c r="CY828" s="653"/>
      <c r="CZ828" s="524"/>
      <c r="DA828" s="653"/>
      <c r="DB828" s="524"/>
      <c r="DC828" s="653"/>
      <c r="DD828" s="524"/>
      <c r="DE828" s="758"/>
      <c r="DF828" s="524"/>
      <c r="DG828" s="757"/>
      <c r="DH828" s="758"/>
      <c r="DI828" s="524"/>
      <c r="DJ828" s="757"/>
      <c r="DK828" s="758"/>
      <c r="DL828" s="524"/>
      <c r="DM828" s="757"/>
      <c r="DN828" s="758"/>
      <c r="DO828" s="524"/>
      <c r="DP828" s="757"/>
      <c r="DQ828" s="493">
        <f>SUM(CP828,CQ828,CS828,CU828,CW828,CY828,DA828,DC828,DF828,DI828,DL828,DO828)</f>
        <v>62418875</v>
      </c>
      <c r="DR828" s="479">
        <f>SUM(CP828,CQ828,CS828,CU828,CX828,CZ828,DB828,DD828,DG828,DJ828,DM828,DP828)</f>
        <v>62418875</v>
      </c>
      <c r="DS828" s="1019"/>
      <c r="DT828" s="1019"/>
      <c r="DU828" s="1019">
        <v>100000000</v>
      </c>
      <c r="DV828" s="1019"/>
      <c r="DW828" s="1019"/>
      <c r="DX828" s="1019">
        <v>100000000</v>
      </c>
      <c r="DY828" s="1019"/>
      <c r="DZ828" s="1019">
        <v>100000000</v>
      </c>
      <c r="EA828" s="1019"/>
      <c r="EB828" s="1019">
        <v>100000000</v>
      </c>
      <c r="EC828" s="1019"/>
      <c r="ED828" s="1019"/>
      <c r="EE828" s="1119">
        <f>SUM(DS828,DT828,DU828,DV828,DW828,DX828,DY828,DZ828,EA828,EB828,EC828,ED828)</f>
        <v>400000000</v>
      </c>
      <c r="EF828" s="443">
        <f>EE828*1.05</f>
        <v>420000000</v>
      </c>
      <c r="EG828" s="443">
        <f>20000000*20*12</f>
        <v>4800000000</v>
      </c>
      <c r="EH828" s="443">
        <f>20000000*30*12</f>
        <v>7200000000</v>
      </c>
      <c r="EI828" s="443">
        <f>20000000*30*12</f>
        <v>7200000000</v>
      </c>
    </row>
    <row r="829" spans="1:141" s="241" customFormat="1" ht="18.5" outlineLevel="2">
      <c r="A829" s="413"/>
      <c r="B829" s="414"/>
      <c r="C829" s="415"/>
      <c r="D829" s="415"/>
      <c r="E829" s="416" t="s">
        <v>531</v>
      </c>
      <c r="F829" s="417"/>
      <c r="G829" s="242"/>
      <c r="H829" s="242"/>
      <c r="I829" s="242"/>
      <c r="J829" s="242"/>
      <c r="K829" s="242"/>
      <c r="L829" s="242"/>
      <c r="M829" s="242"/>
      <c r="N829" s="242"/>
      <c r="O829" s="242"/>
      <c r="P829" s="242"/>
      <c r="Q829" s="242"/>
      <c r="R829" s="242"/>
      <c r="S829" s="243"/>
      <c r="T829" s="244"/>
      <c r="U829" s="242"/>
      <c r="V829" s="242"/>
      <c r="W829" s="242"/>
      <c r="X829" s="242"/>
      <c r="Y829" s="242"/>
      <c r="Z829" s="242"/>
      <c r="AA829" s="242"/>
      <c r="AB829" s="242"/>
      <c r="AC829" s="242"/>
      <c r="AD829" s="242"/>
      <c r="AE829" s="242"/>
      <c r="AF829" s="242"/>
      <c r="AG829" s="844"/>
      <c r="AH829" s="788"/>
      <c r="AI829" s="845"/>
      <c r="AJ829" s="846"/>
      <c r="AK829" s="844"/>
      <c r="AL829" s="844"/>
      <c r="AM829" s="844"/>
      <c r="AN829" s="844"/>
      <c r="AO829" s="844"/>
      <c r="AP829" s="844"/>
      <c r="AQ829" s="844"/>
      <c r="AR829" s="844"/>
      <c r="AS829" s="844"/>
      <c r="AT829" s="844"/>
      <c r="AU829" s="844"/>
      <c r="AV829" s="844"/>
      <c r="AW829" s="844"/>
      <c r="AX829" s="844"/>
      <c r="AY829" s="788"/>
      <c r="AZ829" s="845"/>
      <c r="BA829" s="846"/>
      <c r="BB829" s="844"/>
      <c r="BC829" s="844"/>
      <c r="BD829" s="844"/>
      <c r="BE829" s="844"/>
      <c r="BF829" s="844"/>
      <c r="BG829" s="844"/>
      <c r="BH829" s="844"/>
      <c r="BI829" s="844"/>
      <c r="BJ829" s="844"/>
      <c r="BK829" s="844"/>
      <c r="BL829" s="844"/>
      <c r="BM829" s="3"/>
      <c r="BN829" s="468">
        <f t="shared" ref="BN829:BZ829" si="489">SUM(BN830:BN832)</f>
        <v>0</v>
      </c>
      <c r="BO829" s="468">
        <f t="shared" si="489"/>
        <v>0</v>
      </c>
      <c r="BP829" s="468">
        <f t="shared" si="489"/>
        <v>0</v>
      </c>
      <c r="BQ829" s="468">
        <f t="shared" si="489"/>
        <v>0</v>
      </c>
      <c r="BR829" s="468">
        <f t="shared" si="489"/>
        <v>0</v>
      </c>
      <c r="BS829" s="468">
        <f t="shared" si="489"/>
        <v>0</v>
      </c>
      <c r="BT829" s="468">
        <f t="shared" si="489"/>
        <v>0</v>
      </c>
      <c r="BU829" s="468">
        <f t="shared" si="489"/>
        <v>0</v>
      </c>
      <c r="BV829" s="468">
        <f t="shared" si="489"/>
        <v>0</v>
      </c>
      <c r="BW829" s="468">
        <f t="shared" si="489"/>
        <v>0</v>
      </c>
      <c r="BX829" s="468">
        <f t="shared" si="489"/>
        <v>0</v>
      </c>
      <c r="BY829" s="468">
        <f t="shared" si="489"/>
        <v>0</v>
      </c>
      <c r="BZ829" s="468">
        <f t="shared" si="489"/>
        <v>0</v>
      </c>
      <c r="CA829" s="3"/>
      <c r="CB829" s="866"/>
      <c r="CC829" s="867"/>
      <c r="CD829" s="844"/>
      <c r="CE829" s="844"/>
      <c r="CF829" s="844"/>
      <c r="CG829" s="844"/>
      <c r="CH829" s="844"/>
      <c r="CI829" s="844"/>
      <c r="CJ829" s="844"/>
      <c r="CK829" s="844"/>
      <c r="CL829" s="844"/>
      <c r="CM829" s="844"/>
      <c r="CN829" s="868"/>
      <c r="CO829" s="3"/>
      <c r="CP829" s="468">
        <f>SUM(CP830:CP832)</f>
        <v>0</v>
      </c>
      <c r="CQ829" s="468">
        <f t="shared" ref="CQ829:EI829" si="490">SUM(CQ830:CQ832)</f>
        <v>0</v>
      </c>
      <c r="CR829" s="468">
        <f t="shared" si="490"/>
        <v>0</v>
      </c>
      <c r="CS829" s="468">
        <f t="shared" si="490"/>
        <v>0</v>
      </c>
      <c r="CT829" s="468">
        <f t="shared" si="490"/>
        <v>0</v>
      </c>
      <c r="CU829" s="468">
        <f t="shared" si="490"/>
        <v>0</v>
      </c>
      <c r="CV829" s="468">
        <f t="shared" si="490"/>
        <v>0</v>
      </c>
      <c r="CW829" s="468">
        <f t="shared" si="490"/>
        <v>0</v>
      </c>
      <c r="CX829" s="468">
        <f t="shared" si="490"/>
        <v>126000000</v>
      </c>
      <c r="CY829" s="468">
        <f t="shared" si="490"/>
        <v>132200000</v>
      </c>
      <c r="CZ829" s="468">
        <f t="shared" si="490"/>
        <v>200000000</v>
      </c>
      <c r="DA829" s="468">
        <f t="shared" si="490"/>
        <v>0</v>
      </c>
      <c r="DB829" s="468">
        <f t="shared" si="490"/>
        <v>370000000</v>
      </c>
      <c r="DC829" s="468">
        <f t="shared" si="490"/>
        <v>80000000</v>
      </c>
      <c r="DD829" s="468">
        <f t="shared" si="490"/>
        <v>1000000000</v>
      </c>
      <c r="DE829" s="468">
        <f t="shared" si="490"/>
        <v>0</v>
      </c>
      <c r="DF829" s="468">
        <f>SUM(DF830:DF832)</f>
        <v>1500000000</v>
      </c>
      <c r="DG829" s="468">
        <f t="shared" si="490"/>
        <v>800000000</v>
      </c>
      <c r="DH829" s="468">
        <f t="shared" si="490"/>
        <v>0</v>
      </c>
      <c r="DI829" s="468">
        <f>SUM(DI830:DI832)</f>
        <v>1500000000</v>
      </c>
      <c r="DJ829" s="468">
        <f t="shared" si="490"/>
        <v>1000000000</v>
      </c>
      <c r="DK829" s="468">
        <f t="shared" si="490"/>
        <v>0</v>
      </c>
      <c r="DL829" s="468">
        <f>SUM(DL830:DL832)</f>
        <v>1500000000</v>
      </c>
      <c r="DM829" s="468">
        <f>SUM(DM830:DM832)</f>
        <v>1000000000</v>
      </c>
      <c r="DN829" s="468">
        <f t="shared" si="490"/>
        <v>0</v>
      </c>
      <c r="DO829" s="468">
        <f>SUM(DO830:DO832)</f>
        <v>1350000000</v>
      </c>
      <c r="DP829" s="468">
        <f t="shared" si="490"/>
        <v>1350000000</v>
      </c>
      <c r="DQ829" s="468">
        <f>SUM(DQ830:DQ832)</f>
        <v>6062200000</v>
      </c>
      <c r="DR829" s="468">
        <f>SUM(DR830:DR832)</f>
        <v>5846000000</v>
      </c>
      <c r="DS829" s="445">
        <f t="shared" si="490"/>
        <v>350000000</v>
      </c>
      <c r="DT829" s="445">
        <f t="shared" si="490"/>
        <v>450000000</v>
      </c>
      <c r="DU829" s="445">
        <f t="shared" si="490"/>
        <v>350000000</v>
      </c>
      <c r="DV829" s="445">
        <f t="shared" si="490"/>
        <v>450000000</v>
      </c>
      <c r="DW829" s="445">
        <f t="shared" si="490"/>
        <v>350000000</v>
      </c>
      <c r="DX829" s="445">
        <f t="shared" si="490"/>
        <v>450000000</v>
      </c>
      <c r="DY829" s="445">
        <f t="shared" si="490"/>
        <v>350000000</v>
      </c>
      <c r="DZ829" s="445">
        <f t="shared" si="490"/>
        <v>450000000</v>
      </c>
      <c r="EA829" s="445">
        <f t="shared" si="490"/>
        <v>350000000</v>
      </c>
      <c r="EB829" s="445">
        <f t="shared" si="490"/>
        <v>450000000</v>
      </c>
      <c r="EC829" s="445">
        <f t="shared" si="490"/>
        <v>350000000</v>
      </c>
      <c r="ED829" s="445">
        <f t="shared" si="490"/>
        <v>450000000</v>
      </c>
      <c r="EE829" s="1120">
        <f>SUM(EE830:EE832)</f>
        <v>4800000000</v>
      </c>
      <c r="EF829" s="445">
        <f t="shared" si="490"/>
        <v>4620000000</v>
      </c>
      <c r="EG829" s="445">
        <f t="shared" si="490"/>
        <v>5082000000</v>
      </c>
      <c r="EH829" s="445">
        <f t="shared" si="490"/>
        <v>9190200000</v>
      </c>
      <c r="EI829" s="445">
        <f t="shared" si="490"/>
        <v>9749220000</v>
      </c>
      <c r="EJ829" s="413"/>
      <c r="EK829" s="413"/>
    </row>
    <row r="830" spans="1:141" outlineLevel="2">
      <c r="A830" s="440"/>
      <c r="B830" s="378"/>
      <c r="C830" s="370" t="s">
        <v>946</v>
      </c>
      <c r="D830" s="297" t="s">
        <v>121</v>
      </c>
      <c r="E830" s="396" t="s">
        <v>953</v>
      </c>
      <c r="F830" s="380"/>
      <c r="G830" s="189"/>
      <c r="H830" s="13"/>
      <c r="I830" s="185"/>
      <c r="J830" s="185"/>
      <c r="K830" s="185"/>
      <c r="L830" s="185"/>
      <c r="M830" s="185"/>
      <c r="N830" s="185"/>
      <c r="O830" s="7"/>
      <c r="P830" s="7"/>
      <c r="Q830" s="7"/>
      <c r="R830" s="7"/>
      <c r="S830" s="14"/>
      <c r="T830" s="179"/>
      <c r="U830" s="189"/>
      <c r="V830" s="13"/>
      <c r="W830" s="185"/>
      <c r="X830" s="185"/>
      <c r="Y830" s="185"/>
      <c r="Z830" s="185"/>
      <c r="AA830" s="185"/>
      <c r="AB830" s="185"/>
      <c r="AC830" s="7"/>
      <c r="AD830" s="7"/>
      <c r="AE830" s="7"/>
      <c r="AF830" s="7"/>
      <c r="AG830" s="759"/>
      <c r="AH830" s="788"/>
      <c r="AI830" s="189"/>
      <c r="AJ830" s="810"/>
      <c r="AK830" s="758"/>
      <c r="AL830" s="758"/>
      <c r="AM830" s="758"/>
      <c r="AN830" s="758"/>
      <c r="AO830" s="758"/>
      <c r="AP830" s="758"/>
      <c r="AQ830" s="518"/>
      <c r="AR830" s="518"/>
      <c r="AS830" s="518"/>
      <c r="AT830" s="518"/>
      <c r="AU830" s="518"/>
      <c r="AV830" s="794"/>
      <c r="AW830" s="794"/>
      <c r="AX830" s="518"/>
      <c r="AY830" s="788"/>
      <c r="AZ830" s="189"/>
      <c r="BA830" s="810"/>
      <c r="BB830" s="758"/>
      <c r="BC830" s="758"/>
      <c r="BD830" s="758"/>
      <c r="BE830" s="758"/>
      <c r="BF830" s="758"/>
      <c r="BG830" s="518"/>
      <c r="BH830" s="758"/>
      <c r="BI830" s="758"/>
      <c r="BJ830" s="758"/>
      <c r="BK830" s="758"/>
      <c r="BL830" s="759"/>
      <c r="BN830" s="758"/>
      <c r="BO830" s="758"/>
      <c r="BP830" s="758"/>
      <c r="BQ830" s="758"/>
      <c r="BR830" s="758"/>
      <c r="BS830" s="758"/>
      <c r="BT830" s="758"/>
      <c r="BU830" s="758"/>
      <c r="BV830" s="758"/>
      <c r="BW830" s="758"/>
      <c r="BX830" s="758"/>
      <c r="BY830" s="758"/>
      <c r="BZ830" s="791"/>
      <c r="CB830" s="758"/>
      <c r="CC830" s="758"/>
      <c r="CD830" s="758"/>
      <c r="CE830" s="758"/>
      <c r="CF830" s="758"/>
      <c r="CG830" s="758"/>
      <c r="CH830" s="758"/>
      <c r="CI830" s="758"/>
      <c r="CJ830" s="758"/>
      <c r="CK830" s="758"/>
      <c r="CL830" s="758"/>
      <c r="CM830" s="758"/>
      <c r="CN830" s="791"/>
      <c r="CP830" s="653"/>
      <c r="CQ830" s="653"/>
      <c r="CR830" s="524"/>
      <c r="CS830" s="653"/>
      <c r="CT830" s="524"/>
      <c r="CU830" s="653"/>
      <c r="CV830" s="524"/>
      <c r="CW830" s="653"/>
      <c r="CX830" s="524"/>
      <c r="CY830" s="653"/>
      <c r="CZ830" s="524"/>
      <c r="DA830" s="653"/>
      <c r="DB830" s="524"/>
      <c r="DC830" s="653"/>
      <c r="DD830" s="524">
        <v>500000000</v>
      </c>
      <c r="DE830" s="758"/>
      <c r="DF830" s="524">
        <v>1000000000</v>
      </c>
      <c r="DG830" s="757">
        <v>300000000</v>
      </c>
      <c r="DH830" s="758"/>
      <c r="DI830" s="524">
        <v>1000000000</v>
      </c>
      <c r="DJ830" s="757">
        <v>500000000</v>
      </c>
      <c r="DK830" s="758"/>
      <c r="DL830" s="524">
        <v>1000000000</v>
      </c>
      <c r="DM830" s="757">
        <v>500000000</v>
      </c>
      <c r="DN830" s="758"/>
      <c r="DO830" s="524">
        <v>1000000000</v>
      </c>
      <c r="DP830" s="757">
        <v>1000000000</v>
      </c>
      <c r="DQ830" s="493">
        <f>SUM(CP830,CQ830,CS830,CU830,CW830,CY830,DA830,DC830,DF830,DI830,DL830,DO830)</f>
        <v>4000000000</v>
      </c>
      <c r="DR830" s="479">
        <f t="shared" ref="DR830:DR831" si="491">SUM(CP830,CQ830,CS830,CU830,CX830,CZ830,DB830,DD830,DG830,DJ830,DM830,DP830)</f>
        <v>2800000000</v>
      </c>
      <c r="DS830" s="1193">
        <v>350000000</v>
      </c>
      <c r="DT830" s="1193">
        <v>350000000</v>
      </c>
      <c r="DU830" s="1193">
        <v>350000000</v>
      </c>
      <c r="DV830" s="1193">
        <v>350000000</v>
      </c>
      <c r="DW830" s="1193">
        <v>350000000</v>
      </c>
      <c r="DX830" s="1193">
        <v>350000000</v>
      </c>
      <c r="DY830" s="1193">
        <v>350000000</v>
      </c>
      <c r="DZ830" s="1193">
        <v>350000000</v>
      </c>
      <c r="EA830" s="1193">
        <v>350000000</v>
      </c>
      <c r="EB830" s="1193">
        <v>350000000</v>
      </c>
      <c r="EC830" s="1193">
        <v>350000000</v>
      </c>
      <c r="ED830" s="1193">
        <v>350000000</v>
      </c>
      <c r="EE830" s="1194">
        <f>SUM(DS830,DT830,DU830,DV830,DW830,DX830,DY830,DZ830,EA830,EB830,EC830,ED830)</f>
        <v>4200000000</v>
      </c>
      <c r="EF830" s="443">
        <f>EE830*1.1</f>
        <v>4620000000</v>
      </c>
      <c r="EG830" s="443">
        <f>EF830*1.1</f>
        <v>5082000000</v>
      </c>
      <c r="EH830" s="443">
        <f>EG830*1.1</f>
        <v>5590200000</v>
      </c>
      <c r="EI830" s="443">
        <f>EH830*1.1</f>
        <v>6149220000.000001</v>
      </c>
    </row>
    <row r="831" spans="1:141" outlineLevel="2">
      <c r="A831" s="440"/>
      <c r="B831" s="378"/>
      <c r="D831" s="297"/>
      <c r="E831" s="396"/>
      <c r="F831" s="380"/>
      <c r="G831" s="189"/>
      <c r="H831" s="13"/>
      <c r="I831" s="185"/>
      <c r="J831" s="185"/>
      <c r="K831" s="185"/>
      <c r="L831" s="185"/>
      <c r="M831" s="185"/>
      <c r="N831" s="185"/>
      <c r="O831" s="7"/>
      <c r="P831" s="7"/>
      <c r="Q831" s="7"/>
      <c r="R831" s="7"/>
      <c r="S831" s="14"/>
      <c r="T831" s="179"/>
      <c r="U831" s="189"/>
      <c r="V831" s="13"/>
      <c r="W831" s="185"/>
      <c r="X831" s="185"/>
      <c r="Y831" s="185"/>
      <c r="Z831" s="185"/>
      <c r="AA831" s="185"/>
      <c r="AB831" s="185"/>
      <c r="AC831" s="7"/>
      <c r="AD831" s="7"/>
      <c r="AE831" s="7"/>
      <c r="AF831" s="7"/>
      <c r="AG831" s="759"/>
      <c r="AH831" s="788"/>
      <c r="AI831" s="189"/>
      <c r="AJ831" s="810"/>
      <c r="AK831" s="758"/>
      <c r="AL831" s="758"/>
      <c r="AM831" s="758"/>
      <c r="AN831" s="758"/>
      <c r="AO831" s="758"/>
      <c r="AP831" s="758"/>
      <c r="AQ831" s="518"/>
      <c r="AR831" s="518"/>
      <c r="AS831" s="518"/>
      <c r="AT831" s="518"/>
      <c r="AU831" s="518"/>
      <c r="AV831" s="794"/>
      <c r="AW831" s="794"/>
      <c r="AX831" s="518"/>
      <c r="AY831" s="788"/>
      <c r="AZ831" s="189"/>
      <c r="BA831" s="810"/>
      <c r="BB831" s="758"/>
      <c r="BC831" s="758"/>
      <c r="BD831" s="758"/>
      <c r="BE831" s="758"/>
      <c r="BF831" s="758"/>
      <c r="BG831" s="518"/>
      <c r="BH831" s="758"/>
      <c r="BI831" s="758"/>
      <c r="BJ831" s="758"/>
      <c r="BK831" s="758"/>
      <c r="BL831" s="759"/>
      <c r="BN831" s="758"/>
      <c r="BO831" s="758"/>
      <c r="BP831" s="758"/>
      <c r="BQ831" s="758"/>
      <c r="BR831" s="758"/>
      <c r="BS831" s="758"/>
      <c r="BT831" s="758"/>
      <c r="BU831" s="758"/>
      <c r="BV831" s="758"/>
      <c r="BW831" s="758"/>
      <c r="BX831" s="758"/>
      <c r="BY831" s="758"/>
      <c r="BZ831" s="791"/>
      <c r="CB831" s="758"/>
      <c r="CC831" s="758"/>
      <c r="CD831" s="758"/>
      <c r="CE831" s="758"/>
      <c r="CF831" s="758"/>
      <c r="CG831" s="758"/>
      <c r="CH831" s="758"/>
      <c r="CI831" s="758"/>
      <c r="CJ831" s="758"/>
      <c r="CK831" s="758"/>
      <c r="CL831" s="758"/>
      <c r="CM831" s="758"/>
      <c r="CN831" s="791"/>
      <c r="CP831" s="653"/>
      <c r="CQ831" s="653"/>
      <c r="CR831" s="524"/>
      <c r="CS831" s="653"/>
      <c r="CT831" s="524"/>
      <c r="CU831" s="653"/>
      <c r="CV831" s="524"/>
      <c r="CW831" s="653"/>
      <c r="CX831" s="524"/>
      <c r="CY831" s="653"/>
      <c r="CZ831" s="524"/>
      <c r="DA831" s="653"/>
      <c r="DB831" s="524"/>
      <c r="DC831" s="653"/>
      <c r="DD831" s="524"/>
      <c r="DE831" s="758"/>
      <c r="DF831" s="524"/>
      <c r="DG831" s="757"/>
      <c r="DH831" s="758"/>
      <c r="DI831" s="524"/>
      <c r="DJ831" s="757"/>
      <c r="DK831" s="758"/>
      <c r="DL831" s="524"/>
      <c r="DM831" s="757"/>
      <c r="DN831" s="758"/>
      <c r="DO831" s="524"/>
      <c r="DP831" s="757"/>
      <c r="DQ831" s="493"/>
      <c r="DR831" s="479">
        <f t="shared" si="491"/>
        <v>0</v>
      </c>
      <c r="DS831" s="1019"/>
      <c r="DT831" s="1019"/>
      <c r="DU831" s="1019"/>
      <c r="DV831" s="1019"/>
      <c r="DW831" s="1019"/>
      <c r="DX831" s="1019"/>
      <c r="DY831" s="1019"/>
      <c r="DZ831" s="1019"/>
      <c r="EA831" s="1019"/>
      <c r="EB831" s="1019"/>
      <c r="EC831" s="1019"/>
      <c r="ED831" s="1019"/>
      <c r="EE831" s="1119">
        <f>SUM(DS831,DT831,DU831,DV831,DW831,DX831,DY831,DZ831,EA831,EB831,EC831,ED831)</f>
        <v>0</v>
      </c>
      <c r="EF831" s="443"/>
      <c r="EG831" s="443"/>
      <c r="EH831" s="443"/>
      <c r="EI831" s="443"/>
    </row>
    <row r="832" spans="1:141" outlineLevel="2">
      <c r="A832" s="440" t="s">
        <v>950</v>
      </c>
      <c r="B832" s="378"/>
      <c r="C832" s="370" t="s">
        <v>946</v>
      </c>
      <c r="D832" s="370" t="s">
        <v>108</v>
      </c>
      <c r="E832" s="396" t="s">
        <v>954</v>
      </c>
      <c r="F832" s="380" t="s">
        <v>955</v>
      </c>
      <c r="G832" s="189"/>
      <c r="H832" s="13"/>
      <c r="I832" s="185"/>
      <c r="J832" s="185"/>
      <c r="K832" s="185"/>
      <c r="L832" s="185"/>
      <c r="M832" s="185"/>
      <c r="N832" s="185"/>
      <c r="O832" s="7"/>
      <c r="P832" s="7"/>
      <c r="Q832" s="7"/>
      <c r="R832" s="7"/>
      <c r="S832" s="14"/>
      <c r="T832" s="179"/>
      <c r="U832" s="189"/>
      <c r="V832" s="13"/>
      <c r="W832" s="185"/>
      <c r="X832" s="185"/>
      <c r="Y832" s="185"/>
      <c r="Z832" s="185"/>
      <c r="AA832" s="185"/>
      <c r="AB832" s="185"/>
      <c r="AC832" s="7"/>
      <c r="AD832" s="7"/>
      <c r="AE832" s="7"/>
      <c r="AF832" s="7"/>
      <c r="AG832" s="759"/>
      <c r="AH832" s="788"/>
      <c r="AI832" s="189"/>
      <c r="AJ832" s="810"/>
      <c r="AK832" s="758"/>
      <c r="AL832" s="758"/>
      <c r="AM832" s="758"/>
      <c r="AN832" s="758"/>
      <c r="AO832" s="758"/>
      <c r="AP832" s="758"/>
      <c r="AQ832" s="518"/>
      <c r="AR832" s="518"/>
      <c r="AS832" s="518"/>
      <c r="AT832" s="518"/>
      <c r="AU832" s="518"/>
      <c r="AV832" s="794"/>
      <c r="AW832" s="794"/>
      <c r="AX832" s="759"/>
      <c r="AY832" s="788"/>
      <c r="AZ832" s="189"/>
      <c r="BA832" s="810"/>
      <c r="BB832" s="758"/>
      <c r="BC832" s="758"/>
      <c r="BD832" s="758"/>
      <c r="BE832" s="758"/>
      <c r="BF832" s="758"/>
      <c r="BG832" s="518"/>
      <c r="BH832" s="758"/>
      <c r="BI832" s="758"/>
      <c r="BJ832" s="758"/>
      <c r="BK832" s="758"/>
      <c r="BL832" s="759"/>
      <c r="BN832" s="758"/>
      <c r="BO832" s="758"/>
      <c r="BP832" s="758"/>
      <c r="BQ832" s="758"/>
      <c r="BR832" s="758"/>
      <c r="BS832" s="758"/>
      <c r="BT832" s="758"/>
      <c r="BU832" s="758"/>
      <c r="BV832" s="758"/>
      <c r="BW832" s="758"/>
      <c r="BX832" s="758"/>
      <c r="BY832" s="758"/>
      <c r="BZ832" s="791">
        <v>0</v>
      </c>
      <c r="CB832" s="758"/>
      <c r="CC832" s="758"/>
      <c r="CD832" s="758"/>
      <c r="CE832" s="758"/>
      <c r="CF832" s="758"/>
      <c r="CG832" s="758"/>
      <c r="CH832" s="758"/>
      <c r="CI832" s="758"/>
      <c r="CJ832" s="758"/>
      <c r="CK832" s="758"/>
      <c r="CL832" s="758"/>
      <c r="CM832" s="758"/>
      <c r="CN832" s="791">
        <v>0</v>
      </c>
      <c r="CP832" s="653"/>
      <c r="CQ832" s="653"/>
      <c r="CR832" s="524"/>
      <c r="CS832" s="653"/>
      <c r="CT832" s="524"/>
      <c r="CU832" s="653"/>
      <c r="CV832" s="524"/>
      <c r="CW832" s="653"/>
      <c r="CX832" s="524">
        <v>126000000</v>
      </c>
      <c r="CY832" s="653">
        <v>132200000</v>
      </c>
      <c r="CZ832" s="524">
        <v>200000000</v>
      </c>
      <c r="DA832" s="653"/>
      <c r="DB832" s="524">
        <v>370000000</v>
      </c>
      <c r="DC832" s="653">
        <v>80000000</v>
      </c>
      <c r="DD832" s="524">
        <v>500000000</v>
      </c>
      <c r="DE832" s="758"/>
      <c r="DF832" s="524">
        <v>500000000</v>
      </c>
      <c r="DG832" s="757">
        <v>500000000</v>
      </c>
      <c r="DH832" s="758"/>
      <c r="DI832" s="524">
        <v>500000000</v>
      </c>
      <c r="DJ832" s="757">
        <v>500000000</v>
      </c>
      <c r="DK832" s="758"/>
      <c r="DL832" s="524">
        <v>500000000</v>
      </c>
      <c r="DM832" s="757">
        <v>500000000</v>
      </c>
      <c r="DN832" s="758"/>
      <c r="DO832" s="524">
        <v>350000000</v>
      </c>
      <c r="DP832" s="757">
        <v>350000000</v>
      </c>
      <c r="DQ832" s="493">
        <f>SUM(CP832,CQ832,CS832,CU832,CW832,CY832,DA832,DC832,DF832,DI832,DL832,DO832)</f>
        <v>2062200000</v>
      </c>
      <c r="DR832" s="479">
        <f>SUM(CP832,CQ832,CS832,CU832,CX832,CZ832,DB832,DD832,DG832,DJ832,DM832,DP832)</f>
        <v>3046000000</v>
      </c>
      <c r="DS832" s="1019" t="s">
        <v>266</v>
      </c>
      <c r="DT832" s="1019">
        <v>100000000</v>
      </c>
      <c r="DU832" s="1019" t="s">
        <v>266</v>
      </c>
      <c r="DV832" s="1019">
        <v>100000000</v>
      </c>
      <c r="DW832" s="1019" t="s">
        <v>266</v>
      </c>
      <c r="DX832" s="1019">
        <v>100000000</v>
      </c>
      <c r="DY832" s="1019" t="s">
        <v>266</v>
      </c>
      <c r="DZ832" s="1019">
        <v>100000000</v>
      </c>
      <c r="EA832" s="1019" t="s">
        <v>266</v>
      </c>
      <c r="EB832" s="1019">
        <v>100000000</v>
      </c>
      <c r="EC832" s="1019" t="s">
        <v>266</v>
      </c>
      <c r="ED832" s="1019">
        <v>100000000</v>
      </c>
      <c r="EE832" s="1119">
        <f>SUM(DS832,DT832,DU832,DV832,DW832,DX832,DY832,DZ832,EA832,EB832,EC832,ED832)</f>
        <v>600000000</v>
      </c>
      <c r="EF832" s="443"/>
      <c r="EG832" s="443"/>
      <c r="EH832" s="443">
        <f>20000000*15*12</f>
        <v>3600000000</v>
      </c>
      <c r="EI832" s="443">
        <f>20000000*15*12</f>
        <v>3600000000</v>
      </c>
    </row>
    <row r="833" spans="1:141" ht="15" outlineLevel="1" thickBot="1">
      <c r="B833" s="378"/>
      <c r="E833" s="383"/>
      <c r="F833" s="380"/>
      <c r="G833" s="32">
        <f>SUM(G818:G832)</f>
        <v>0</v>
      </c>
      <c r="H833" s="33">
        <f t="shared" ref="H833:S833" si="492">SUM(H818:H832)</f>
        <v>0</v>
      </c>
      <c r="I833" s="32">
        <f t="shared" si="492"/>
        <v>0</v>
      </c>
      <c r="J833" s="32">
        <f t="shared" si="492"/>
        <v>0</v>
      </c>
      <c r="K833" s="32">
        <f t="shared" si="492"/>
        <v>0</v>
      </c>
      <c r="L833" s="32">
        <f t="shared" si="492"/>
        <v>0</v>
      </c>
      <c r="M833" s="32">
        <f t="shared" si="492"/>
        <v>0</v>
      </c>
      <c r="N833" s="32">
        <f t="shared" si="492"/>
        <v>0</v>
      </c>
      <c r="O833" s="32">
        <f t="shared" si="492"/>
        <v>0</v>
      </c>
      <c r="P833" s="32">
        <f t="shared" si="492"/>
        <v>0</v>
      </c>
      <c r="Q833" s="32">
        <f t="shared" si="492"/>
        <v>0</v>
      </c>
      <c r="R833" s="32">
        <f t="shared" si="492"/>
        <v>0</v>
      </c>
      <c r="S833" s="32">
        <f t="shared" si="492"/>
        <v>0</v>
      </c>
      <c r="T833" s="34"/>
      <c r="U833" s="32">
        <f t="shared" ref="U833:AG833" si="493">SUM(U818:U832)</f>
        <v>0</v>
      </c>
      <c r="V833" s="33">
        <f t="shared" si="493"/>
        <v>0</v>
      </c>
      <c r="W833" s="32">
        <f t="shared" si="493"/>
        <v>0</v>
      </c>
      <c r="X833" s="32">
        <f t="shared" si="493"/>
        <v>0</v>
      </c>
      <c r="Y833" s="32">
        <f t="shared" si="493"/>
        <v>0</v>
      </c>
      <c r="Z833" s="32">
        <f t="shared" si="493"/>
        <v>0</v>
      </c>
      <c r="AA833" s="32">
        <f t="shared" si="493"/>
        <v>0</v>
      </c>
      <c r="AB833" s="32">
        <f t="shared" si="493"/>
        <v>0</v>
      </c>
      <c r="AC833" s="32">
        <f t="shared" si="493"/>
        <v>0</v>
      </c>
      <c r="AD833" s="32">
        <f t="shared" si="493"/>
        <v>0</v>
      </c>
      <c r="AE833" s="32">
        <f t="shared" si="493"/>
        <v>0</v>
      </c>
      <c r="AF833" s="32">
        <f t="shared" si="493"/>
        <v>0</v>
      </c>
      <c r="AG833" s="484">
        <f t="shared" si="493"/>
        <v>0</v>
      </c>
      <c r="AH833" s="869"/>
      <c r="AI833" s="484">
        <f t="shared" ref="AI833:AQ833" si="494">SUM(AI818:AI832)</f>
        <v>0</v>
      </c>
      <c r="AJ833" s="870">
        <f t="shared" si="494"/>
        <v>0</v>
      </c>
      <c r="AK833" s="484">
        <f t="shared" si="494"/>
        <v>0</v>
      </c>
      <c r="AL833" s="484">
        <f t="shared" si="494"/>
        <v>0</v>
      </c>
      <c r="AM833" s="484">
        <f t="shared" si="494"/>
        <v>0</v>
      </c>
      <c r="AN833" s="484">
        <f t="shared" si="494"/>
        <v>0</v>
      </c>
      <c r="AO833" s="484">
        <f t="shared" si="494"/>
        <v>0</v>
      </c>
      <c r="AP833" s="484">
        <f t="shared" si="494"/>
        <v>0</v>
      </c>
      <c r="AQ833" s="484">
        <f t="shared" si="494"/>
        <v>0</v>
      </c>
      <c r="AR833" s="484"/>
      <c r="AS833" s="484"/>
      <c r="AT833" s="484"/>
      <c r="AU833" s="484">
        <f>SUM(AU818:AU832)</f>
        <v>0</v>
      </c>
      <c r="AV833" s="484">
        <f>SUM(AV818:AV832)</f>
        <v>0</v>
      </c>
      <c r="AW833" s="484">
        <f>SUM(AW818:AW832)</f>
        <v>0</v>
      </c>
      <c r="AX833" s="484">
        <f>SUM(AX820:AX832)</f>
        <v>0</v>
      </c>
      <c r="AY833" s="869"/>
      <c r="AZ833" s="484">
        <f t="shared" ref="AZ833:BL833" si="495">SUM(AZ818:AZ832)</f>
        <v>0</v>
      </c>
      <c r="BA833" s="870">
        <f t="shared" si="495"/>
        <v>0</v>
      </c>
      <c r="BB833" s="484">
        <f t="shared" si="495"/>
        <v>0</v>
      </c>
      <c r="BC833" s="484">
        <f t="shared" si="495"/>
        <v>0</v>
      </c>
      <c r="BD833" s="484">
        <f t="shared" si="495"/>
        <v>0</v>
      </c>
      <c r="BE833" s="484">
        <f t="shared" si="495"/>
        <v>0</v>
      </c>
      <c r="BF833" s="484">
        <f t="shared" si="495"/>
        <v>0</v>
      </c>
      <c r="BG833" s="484">
        <f t="shared" si="495"/>
        <v>0</v>
      </c>
      <c r="BH833" s="484">
        <f t="shared" si="495"/>
        <v>0</v>
      </c>
      <c r="BI833" s="484">
        <f t="shared" si="495"/>
        <v>0</v>
      </c>
      <c r="BJ833" s="484">
        <f t="shared" si="495"/>
        <v>0</v>
      </c>
      <c r="BK833" s="484">
        <f t="shared" si="495"/>
        <v>0</v>
      </c>
      <c r="BL833" s="484">
        <f t="shared" si="495"/>
        <v>0</v>
      </c>
      <c r="BN833" s="484">
        <f t="shared" ref="BN833:BZ833" si="496">BN820+BN825+BN829</f>
        <v>0</v>
      </c>
      <c r="BO833" s="484">
        <f t="shared" si="496"/>
        <v>0</v>
      </c>
      <c r="BP833" s="484">
        <f t="shared" si="496"/>
        <v>0</v>
      </c>
      <c r="BQ833" s="484">
        <f t="shared" si="496"/>
        <v>0</v>
      </c>
      <c r="BR833" s="484">
        <f t="shared" si="496"/>
        <v>0</v>
      </c>
      <c r="BS833" s="484">
        <f t="shared" si="496"/>
        <v>0</v>
      </c>
      <c r="BT833" s="484">
        <f t="shared" si="496"/>
        <v>0</v>
      </c>
      <c r="BU833" s="484">
        <f t="shared" si="496"/>
        <v>0</v>
      </c>
      <c r="BV833" s="484">
        <f t="shared" si="496"/>
        <v>0</v>
      </c>
      <c r="BW833" s="484">
        <f t="shared" si="496"/>
        <v>0</v>
      </c>
      <c r="BX833" s="484">
        <f t="shared" si="496"/>
        <v>0</v>
      </c>
      <c r="BY833" s="484">
        <f t="shared" si="496"/>
        <v>0</v>
      </c>
      <c r="BZ833" s="484">
        <f t="shared" si="496"/>
        <v>0</v>
      </c>
      <c r="CB833" s="484">
        <f t="shared" ref="CB833:CM833" si="497">SUM(CB821:CB832)</f>
        <v>0</v>
      </c>
      <c r="CC833" s="484">
        <f t="shared" si="497"/>
        <v>0</v>
      </c>
      <c r="CD833" s="484">
        <f t="shared" si="497"/>
        <v>2396000000</v>
      </c>
      <c r="CE833" s="484">
        <f t="shared" si="497"/>
        <v>1096000000</v>
      </c>
      <c r="CF833" s="484">
        <f t="shared" si="497"/>
        <v>0</v>
      </c>
      <c r="CG833" s="484">
        <f t="shared" si="497"/>
        <v>2550000000</v>
      </c>
      <c r="CH833" s="484">
        <f t="shared" si="497"/>
        <v>2348041591.666667</v>
      </c>
      <c r="CI833" s="484">
        <f t="shared" si="497"/>
        <v>2498041591.666667</v>
      </c>
      <c r="CJ833" s="484">
        <f t="shared" si="497"/>
        <v>1198041591.666667</v>
      </c>
      <c r="CK833" s="484">
        <f t="shared" si="497"/>
        <v>1198041591.666667</v>
      </c>
      <c r="CL833" s="484">
        <f t="shared" si="497"/>
        <v>2598041591.666667</v>
      </c>
      <c r="CM833" s="484">
        <f t="shared" si="497"/>
        <v>1198041591.666667</v>
      </c>
      <c r="CN833" s="618">
        <v>17080249550.000002</v>
      </c>
      <c r="CP833" s="484">
        <f>CP820+CP825+CP829</f>
        <v>0</v>
      </c>
      <c r="CQ833" s="484">
        <f t="shared" ref="CQ833:EI833" si="498">CQ820+CQ825+CQ829</f>
        <v>0</v>
      </c>
      <c r="CR833" s="618">
        <f t="shared" si="498"/>
        <v>264000000</v>
      </c>
      <c r="CS833" s="484">
        <f t="shared" si="498"/>
        <v>622418875</v>
      </c>
      <c r="CT833" s="618">
        <f t="shared" si="498"/>
        <v>2027296900</v>
      </c>
      <c r="CU833" s="484">
        <f t="shared" si="498"/>
        <v>1571525466</v>
      </c>
      <c r="CV833" s="618">
        <f t="shared" si="498"/>
        <v>616000000</v>
      </c>
      <c r="CW833" s="484">
        <f t="shared" si="498"/>
        <v>0</v>
      </c>
      <c r="CX833" s="618">
        <f t="shared" si="498"/>
        <v>1164000000</v>
      </c>
      <c r="CY833" s="484">
        <f t="shared" si="498"/>
        <v>132200000</v>
      </c>
      <c r="CZ833" s="618">
        <f t="shared" si="498"/>
        <v>200000000</v>
      </c>
      <c r="DA833" s="484">
        <f t="shared" si="498"/>
        <v>0</v>
      </c>
      <c r="DB833" s="618">
        <f t="shared" si="498"/>
        <v>1730000000</v>
      </c>
      <c r="DC833" s="484">
        <f t="shared" si="498"/>
        <v>80000000</v>
      </c>
      <c r="DD833" s="618">
        <f t="shared" si="498"/>
        <v>1000000000</v>
      </c>
      <c r="DE833" s="484">
        <f t="shared" si="498"/>
        <v>0</v>
      </c>
      <c r="DF833" s="618">
        <f>DF820+DF825+DF829</f>
        <v>2180000000</v>
      </c>
      <c r="DG833" s="484">
        <f t="shared" si="498"/>
        <v>1480000000</v>
      </c>
      <c r="DH833" s="484">
        <f t="shared" si="498"/>
        <v>0</v>
      </c>
      <c r="DI833" s="618">
        <f>DI820+DI825+DI829</f>
        <v>2180000000</v>
      </c>
      <c r="DJ833" s="484">
        <f t="shared" si="498"/>
        <v>1680000000</v>
      </c>
      <c r="DK833" s="484">
        <f t="shared" si="498"/>
        <v>0</v>
      </c>
      <c r="DL833" s="618">
        <f>DL820+DL825+DL829</f>
        <v>2215000000</v>
      </c>
      <c r="DM833" s="484">
        <f>DM820+DM825+DM829</f>
        <v>1715000000</v>
      </c>
      <c r="DN833" s="484">
        <f t="shared" si="498"/>
        <v>0</v>
      </c>
      <c r="DO833" s="618">
        <f>DO820+DO825+DO829</f>
        <v>1350000000</v>
      </c>
      <c r="DP833" s="484">
        <f t="shared" si="498"/>
        <v>1350000000</v>
      </c>
      <c r="DQ833" s="484">
        <f t="shared" si="498"/>
        <v>10331144341</v>
      </c>
      <c r="DR833" s="484">
        <f>DR820+DR825+DR829</f>
        <v>12512944341</v>
      </c>
      <c r="DS833" s="1182">
        <f t="shared" si="498"/>
        <v>750000000</v>
      </c>
      <c r="DT833" s="1182">
        <f t="shared" si="498"/>
        <v>850000000</v>
      </c>
      <c r="DU833" s="1182">
        <f t="shared" si="498"/>
        <v>850000000</v>
      </c>
      <c r="DV833" s="1182">
        <f t="shared" si="498"/>
        <v>850000000</v>
      </c>
      <c r="DW833" s="1182">
        <f t="shared" si="498"/>
        <v>750000000</v>
      </c>
      <c r="DX833" s="1182">
        <f t="shared" si="498"/>
        <v>950000000</v>
      </c>
      <c r="DY833" s="1182">
        <f t="shared" si="498"/>
        <v>750000000</v>
      </c>
      <c r="DZ833" s="1182">
        <f t="shared" si="498"/>
        <v>950000000</v>
      </c>
      <c r="EA833" s="1182">
        <f t="shared" si="498"/>
        <v>750000000</v>
      </c>
      <c r="EB833" s="1182">
        <f t="shared" si="498"/>
        <v>950000000</v>
      </c>
      <c r="EC833" s="1182">
        <f t="shared" si="498"/>
        <v>750000000</v>
      </c>
      <c r="ED833" s="1182">
        <f t="shared" si="498"/>
        <v>850000000</v>
      </c>
      <c r="EE833" s="1148">
        <f>EE820+EE825+EE829</f>
        <v>10000000000</v>
      </c>
      <c r="EF833" s="1027">
        <f t="shared" si="498"/>
        <v>10098246466.153587</v>
      </c>
      <c r="EG833" s="1027">
        <f t="shared" si="498"/>
        <v>19384939839.239708</v>
      </c>
      <c r="EH833" s="1027">
        <f t="shared" si="498"/>
        <v>28029746628.63232</v>
      </c>
      <c r="EI833" s="1027">
        <f t="shared" si="498"/>
        <v>28816203757.49456</v>
      </c>
      <c r="EJ833" s="367" t="e">
        <v>#N/A</v>
      </c>
    </row>
    <row r="834" spans="1:141" ht="11.25" customHeight="1" outlineLevel="1" thickTop="1">
      <c r="B834" s="378"/>
      <c r="E834" s="383"/>
      <c r="F834" s="386"/>
      <c r="G834" s="189"/>
      <c r="H834" s="13"/>
      <c r="I834" s="185"/>
      <c r="J834" s="185"/>
      <c r="K834" s="185"/>
      <c r="L834" s="185"/>
      <c r="M834" s="185"/>
      <c r="N834" s="185"/>
      <c r="O834" s="7"/>
      <c r="P834" s="7"/>
      <c r="Q834" s="7"/>
      <c r="R834" s="7"/>
      <c r="S834" s="14"/>
      <c r="T834" s="179"/>
      <c r="U834" s="189"/>
      <c r="V834" s="13"/>
      <c r="W834" s="185"/>
      <c r="X834" s="185"/>
      <c r="Y834" s="185"/>
      <c r="Z834" s="185"/>
      <c r="AA834" s="185"/>
      <c r="AB834" s="185"/>
      <c r="AC834" s="7"/>
      <c r="AD834" s="7"/>
      <c r="AE834" s="7"/>
      <c r="AF834" s="7"/>
      <c r="AG834" s="759"/>
      <c r="AH834" s="788"/>
      <c r="AI834" s="189"/>
      <c r="AJ834" s="810"/>
      <c r="AK834" s="758"/>
      <c r="AL834" s="758"/>
      <c r="AM834" s="758"/>
      <c r="AN834" s="758"/>
      <c r="AO834" s="758"/>
      <c r="AP834" s="758"/>
      <c r="AQ834" s="518"/>
      <c r="AR834" s="518"/>
      <c r="AS834" s="518"/>
      <c r="AT834" s="518"/>
      <c r="AU834" s="518"/>
      <c r="AV834" s="794"/>
      <c r="AW834" s="794"/>
      <c r="AX834" s="759"/>
      <c r="AY834" s="788"/>
      <c r="AZ834" s="189"/>
      <c r="BA834" s="810"/>
      <c r="BB834" s="758"/>
      <c r="BC834" s="758"/>
      <c r="BD834" s="758"/>
      <c r="BE834" s="758"/>
      <c r="BF834" s="758"/>
      <c r="BG834" s="518"/>
      <c r="BH834" s="758"/>
      <c r="BI834" s="758"/>
      <c r="BJ834" s="758"/>
      <c r="BK834" s="758"/>
      <c r="BL834" s="759"/>
      <c r="BN834" s="530"/>
      <c r="BO834" s="530"/>
      <c r="BP834" s="530"/>
      <c r="BQ834" s="530"/>
      <c r="BR834" s="530"/>
      <c r="BS834" s="530"/>
      <c r="BT834" s="530"/>
      <c r="BU834" s="530"/>
      <c r="BV834" s="530"/>
      <c r="BW834" s="530"/>
      <c r="BX834" s="530"/>
      <c r="BY834" s="530"/>
      <c r="BZ834" s="493"/>
      <c r="CB834" s="530"/>
      <c r="CC834" s="530"/>
      <c r="CD834" s="530"/>
      <c r="CE834" s="530"/>
      <c r="CF834" s="530"/>
      <c r="CG834" s="530"/>
      <c r="CH834" s="530"/>
      <c r="CI834" s="530"/>
      <c r="CJ834" s="530"/>
      <c r="CK834" s="530"/>
      <c r="CL834" s="530"/>
      <c r="CM834" s="530"/>
      <c r="CN834" s="518"/>
      <c r="CP834" s="530"/>
      <c r="CQ834" s="530"/>
      <c r="CR834" s="530"/>
      <c r="CS834" s="530"/>
      <c r="CT834" s="530"/>
      <c r="CU834" s="530"/>
      <c r="CV834" s="530"/>
      <c r="CW834" s="530"/>
      <c r="CX834" s="530"/>
      <c r="CY834" s="530"/>
      <c r="CZ834" s="530"/>
      <c r="DA834" s="530"/>
      <c r="DB834" s="530"/>
      <c r="DC834" s="530"/>
      <c r="DD834" s="530"/>
      <c r="DE834" s="530"/>
      <c r="DF834" s="530"/>
      <c r="DG834" s="775"/>
      <c r="DH834" s="530"/>
      <c r="DI834" s="530"/>
      <c r="DJ834" s="775"/>
      <c r="DK834" s="530"/>
      <c r="DL834" s="530"/>
      <c r="DM834" s="775"/>
      <c r="DN834" s="530"/>
      <c r="DO834" s="530"/>
      <c r="DP834" s="748"/>
      <c r="DQ834" s="493"/>
      <c r="DR834" s="479"/>
      <c r="DS834" s="1184"/>
      <c r="DT834" s="1184"/>
      <c r="DU834" s="1184"/>
      <c r="DV834" s="1184"/>
      <c r="DW834" s="1184"/>
      <c r="DX834" s="1184"/>
      <c r="DY834" s="1184"/>
      <c r="DZ834" s="1184"/>
      <c r="EA834" s="1184"/>
      <c r="EB834" s="1184"/>
      <c r="EC834" s="1184"/>
      <c r="ED834" s="1184"/>
      <c r="EE834" s="1152"/>
      <c r="EF834" s="443"/>
      <c r="EG834" s="443"/>
      <c r="EH834" s="443"/>
      <c r="EI834" s="443"/>
    </row>
    <row r="835" spans="1:141" outlineLevel="1">
      <c r="B835" s="402" t="s">
        <v>318</v>
      </c>
      <c r="C835" s="368"/>
      <c r="D835" s="368"/>
      <c r="E835" s="383"/>
      <c r="F835" s="380"/>
      <c r="G835" s="436">
        <f t="shared" ref="G835:BR835" si="499">SUM(G836:G837)</f>
        <v>0</v>
      </c>
      <c r="H835" s="436">
        <f t="shared" si="499"/>
        <v>0</v>
      </c>
      <c r="I835" s="436">
        <f t="shared" si="499"/>
        <v>0</v>
      </c>
      <c r="J835" s="436">
        <f t="shared" si="499"/>
        <v>0</v>
      </c>
      <c r="K835" s="436">
        <f t="shared" si="499"/>
        <v>0</v>
      </c>
      <c r="L835" s="436">
        <f t="shared" si="499"/>
        <v>0</v>
      </c>
      <c r="M835" s="436">
        <f t="shared" si="499"/>
        <v>0</v>
      </c>
      <c r="N835" s="436">
        <f t="shared" si="499"/>
        <v>0</v>
      </c>
      <c r="O835" s="436">
        <f t="shared" si="499"/>
        <v>0</v>
      </c>
      <c r="P835" s="436">
        <f t="shared" si="499"/>
        <v>0</v>
      </c>
      <c r="Q835" s="436">
        <f t="shared" si="499"/>
        <v>0</v>
      </c>
      <c r="R835" s="436">
        <f t="shared" si="499"/>
        <v>0</v>
      </c>
      <c r="S835" s="436">
        <f t="shared" si="499"/>
        <v>0</v>
      </c>
      <c r="T835" s="436">
        <f t="shared" si="499"/>
        <v>0</v>
      </c>
      <c r="U835" s="436">
        <f t="shared" si="499"/>
        <v>0</v>
      </c>
      <c r="V835" s="436">
        <f t="shared" si="499"/>
        <v>0</v>
      </c>
      <c r="W835" s="436">
        <f t="shared" si="499"/>
        <v>0</v>
      </c>
      <c r="X835" s="436">
        <f t="shared" si="499"/>
        <v>0</v>
      </c>
      <c r="Y835" s="436">
        <f t="shared" si="499"/>
        <v>0</v>
      </c>
      <c r="Z835" s="436">
        <f t="shared" si="499"/>
        <v>0</v>
      </c>
      <c r="AA835" s="436">
        <f t="shared" si="499"/>
        <v>0</v>
      </c>
      <c r="AB835" s="436">
        <f t="shared" si="499"/>
        <v>0</v>
      </c>
      <c r="AC835" s="436">
        <f t="shared" si="499"/>
        <v>0</v>
      </c>
      <c r="AD835" s="436">
        <f t="shared" si="499"/>
        <v>0</v>
      </c>
      <c r="AE835" s="436">
        <f t="shared" si="499"/>
        <v>0</v>
      </c>
      <c r="AF835" s="436">
        <f t="shared" si="499"/>
        <v>0</v>
      </c>
      <c r="AG835" s="436">
        <f t="shared" si="499"/>
        <v>0</v>
      </c>
      <c r="AH835" s="788"/>
      <c r="AI835" s="436">
        <f t="shared" si="499"/>
        <v>0</v>
      </c>
      <c r="AJ835" s="436">
        <f t="shared" si="499"/>
        <v>0</v>
      </c>
      <c r="AK835" s="436">
        <f t="shared" si="499"/>
        <v>0</v>
      </c>
      <c r="AL835" s="436">
        <f t="shared" si="499"/>
        <v>0</v>
      </c>
      <c r="AM835" s="436">
        <f t="shared" si="499"/>
        <v>0</v>
      </c>
      <c r="AN835" s="436">
        <f t="shared" si="499"/>
        <v>0</v>
      </c>
      <c r="AO835" s="436">
        <f t="shared" si="499"/>
        <v>0</v>
      </c>
      <c r="AP835" s="436">
        <f t="shared" si="499"/>
        <v>0</v>
      </c>
      <c r="AQ835" s="436">
        <f t="shared" si="499"/>
        <v>0</v>
      </c>
      <c r="AR835" s="436">
        <f t="shared" si="499"/>
        <v>0</v>
      </c>
      <c r="AS835" s="436">
        <f t="shared" si="499"/>
        <v>0</v>
      </c>
      <c r="AT835" s="436">
        <f t="shared" si="499"/>
        <v>0</v>
      </c>
      <c r="AU835" s="436">
        <f t="shared" si="499"/>
        <v>0</v>
      </c>
      <c r="AV835" s="436">
        <f t="shared" si="499"/>
        <v>0</v>
      </c>
      <c r="AW835" s="436">
        <f t="shared" si="499"/>
        <v>0</v>
      </c>
      <c r="AX835" s="436">
        <f t="shared" si="499"/>
        <v>0</v>
      </c>
      <c r="AY835" s="788"/>
      <c r="AZ835" s="436">
        <f t="shared" si="499"/>
        <v>0</v>
      </c>
      <c r="BA835" s="436">
        <f t="shared" si="499"/>
        <v>0</v>
      </c>
      <c r="BB835" s="436">
        <f t="shared" si="499"/>
        <v>0</v>
      </c>
      <c r="BC835" s="436">
        <f t="shared" si="499"/>
        <v>0</v>
      </c>
      <c r="BD835" s="436">
        <f t="shared" si="499"/>
        <v>0</v>
      </c>
      <c r="BE835" s="436">
        <f t="shared" si="499"/>
        <v>0</v>
      </c>
      <c r="BF835" s="436">
        <f t="shared" si="499"/>
        <v>0</v>
      </c>
      <c r="BG835" s="436">
        <f t="shared" si="499"/>
        <v>0</v>
      </c>
      <c r="BH835" s="436">
        <f t="shared" si="499"/>
        <v>0</v>
      </c>
      <c r="BI835" s="436">
        <f t="shared" si="499"/>
        <v>0</v>
      </c>
      <c r="BJ835" s="436">
        <f t="shared" si="499"/>
        <v>0</v>
      </c>
      <c r="BK835" s="436">
        <f t="shared" si="499"/>
        <v>0</v>
      </c>
      <c r="BL835" s="436">
        <f t="shared" si="499"/>
        <v>0</v>
      </c>
      <c r="BM835" s="436">
        <f t="shared" si="499"/>
        <v>0</v>
      </c>
      <c r="BN835" s="436">
        <f t="shared" si="499"/>
        <v>0</v>
      </c>
      <c r="BO835" s="436">
        <f t="shared" si="499"/>
        <v>0</v>
      </c>
      <c r="BP835" s="436">
        <f t="shared" si="499"/>
        <v>0</v>
      </c>
      <c r="BQ835" s="436">
        <f t="shared" si="499"/>
        <v>0</v>
      </c>
      <c r="BR835" s="436">
        <f t="shared" si="499"/>
        <v>0</v>
      </c>
      <c r="BS835" s="436">
        <f t="shared" ref="BS835:EC835" si="500">SUM(BS836:BS837)</f>
        <v>0</v>
      </c>
      <c r="BT835" s="436">
        <f t="shared" si="500"/>
        <v>0</v>
      </c>
      <c r="BU835" s="436">
        <f t="shared" si="500"/>
        <v>0</v>
      </c>
      <c r="BV835" s="436">
        <f t="shared" si="500"/>
        <v>0</v>
      </c>
      <c r="BW835" s="436">
        <f t="shared" si="500"/>
        <v>0</v>
      </c>
      <c r="BX835" s="436">
        <f t="shared" si="500"/>
        <v>0</v>
      </c>
      <c r="BY835" s="436">
        <f t="shared" si="500"/>
        <v>0</v>
      </c>
      <c r="BZ835" s="436">
        <f t="shared" si="500"/>
        <v>0</v>
      </c>
      <c r="CB835" s="436">
        <f t="shared" si="500"/>
        <v>0</v>
      </c>
      <c r="CC835" s="436">
        <f t="shared" si="500"/>
        <v>0</v>
      </c>
      <c r="CD835" s="436">
        <f t="shared" si="500"/>
        <v>0</v>
      </c>
      <c r="CE835" s="436">
        <f t="shared" si="500"/>
        <v>0</v>
      </c>
      <c r="CF835" s="436">
        <f t="shared" si="500"/>
        <v>0</v>
      </c>
      <c r="CG835" s="436">
        <f t="shared" si="500"/>
        <v>0</v>
      </c>
      <c r="CH835" s="436">
        <f t="shared" si="500"/>
        <v>0</v>
      </c>
      <c r="CI835" s="436">
        <f t="shared" si="500"/>
        <v>0</v>
      </c>
      <c r="CJ835" s="436">
        <f t="shared" si="500"/>
        <v>0</v>
      </c>
      <c r="CK835" s="436">
        <f t="shared" si="500"/>
        <v>0</v>
      </c>
      <c r="CL835" s="436">
        <f t="shared" si="500"/>
        <v>0</v>
      </c>
      <c r="CM835" s="436">
        <f t="shared" si="500"/>
        <v>0</v>
      </c>
      <c r="CN835" s="436">
        <f t="shared" si="500"/>
        <v>0</v>
      </c>
      <c r="CO835" s="436">
        <f t="shared" si="500"/>
        <v>0</v>
      </c>
      <c r="CP835" s="436">
        <f t="shared" si="500"/>
        <v>0</v>
      </c>
      <c r="CQ835" s="436">
        <f t="shared" si="500"/>
        <v>0</v>
      </c>
      <c r="CR835" s="436">
        <f t="shared" si="500"/>
        <v>0</v>
      </c>
      <c r="CS835" s="436">
        <f t="shared" si="500"/>
        <v>0</v>
      </c>
      <c r="CT835" s="436">
        <f t="shared" si="500"/>
        <v>0</v>
      </c>
      <c r="CU835" s="436">
        <f t="shared" si="500"/>
        <v>0</v>
      </c>
      <c r="CV835" s="436">
        <f t="shared" si="500"/>
        <v>0</v>
      </c>
      <c r="CW835" s="436">
        <f t="shared" si="500"/>
        <v>0</v>
      </c>
      <c r="CX835" s="436">
        <f t="shared" si="500"/>
        <v>0</v>
      </c>
      <c r="CY835" s="436">
        <f t="shared" si="500"/>
        <v>0</v>
      </c>
      <c r="CZ835" s="436">
        <f t="shared" si="500"/>
        <v>0</v>
      </c>
      <c r="DA835" s="436">
        <f t="shared" si="500"/>
        <v>0</v>
      </c>
      <c r="DB835" s="436">
        <f t="shared" si="500"/>
        <v>0</v>
      </c>
      <c r="DC835" s="436">
        <f t="shared" si="500"/>
        <v>0</v>
      </c>
      <c r="DD835" s="436">
        <f t="shared" si="500"/>
        <v>0</v>
      </c>
      <c r="DE835" s="436">
        <f t="shared" si="500"/>
        <v>0</v>
      </c>
      <c r="DF835" s="436">
        <f t="shared" si="500"/>
        <v>0</v>
      </c>
      <c r="DG835" s="436">
        <f t="shared" si="500"/>
        <v>0</v>
      </c>
      <c r="DH835" s="436">
        <f t="shared" si="500"/>
        <v>0</v>
      </c>
      <c r="DI835" s="436">
        <f t="shared" si="500"/>
        <v>0</v>
      </c>
      <c r="DJ835" s="436">
        <f t="shared" si="500"/>
        <v>0</v>
      </c>
      <c r="DK835" s="436">
        <f t="shared" si="500"/>
        <v>0</v>
      </c>
      <c r="DL835" s="436">
        <f t="shared" si="500"/>
        <v>0</v>
      </c>
      <c r="DM835" s="436">
        <f t="shared" si="500"/>
        <v>0</v>
      </c>
      <c r="DN835" s="436">
        <f t="shared" si="500"/>
        <v>0</v>
      </c>
      <c r="DO835" s="436">
        <f t="shared" si="500"/>
        <v>0</v>
      </c>
      <c r="DP835" s="436">
        <f t="shared" si="500"/>
        <v>0</v>
      </c>
      <c r="DQ835" s="436">
        <f t="shared" si="500"/>
        <v>0</v>
      </c>
      <c r="DR835" s="436">
        <f t="shared" si="500"/>
        <v>0</v>
      </c>
      <c r="DS835" s="1183">
        <f t="shared" si="500"/>
        <v>0</v>
      </c>
      <c r="DT835" s="1183">
        <f t="shared" si="500"/>
        <v>0</v>
      </c>
      <c r="DU835" s="1183">
        <f t="shared" si="500"/>
        <v>0</v>
      </c>
      <c r="DV835" s="1183">
        <f t="shared" si="500"/>
        <v>0</v>
      </c>
      <c r="DW835" s="1183">
        <f t="shared" si="500"/>
        <v>0</v>
      </c>
      <c r="DX835" s="1183">
        <f t="shared" si="500"/>
        <v>0</v>
      </c>
      <c r="DY835" s="1183">
        <f t="shared" si="500"/>
        <v>0</v>
      </c>
      <c r="DZ835" s="1183">
        <f t="shared" si="500"/>
        <v>0</v>
      </c>
      <c r="EA835" s="1183">
        <f t="shared" si="500"/>
        <v>0</v>
      </c>
      <c r="EB835" s="1183">
        <f t="shared" si="500"/>
        <v>0</v>
      </c>
      <c r="EC835" s="1183">
        <f t="shared" si="500"/>
        <v>0</v>
      </c>
      <c r="ED835" s="1183">
        <f t="shared" ref="ED835:EI835" si="501">SUM(ED836:ED837)</f>
        <v>0</v>
      </c>
      <c r="EE835" s="436">
        <f t="shared" si="501"/>
        <v>0</v>
      </c>
      <c r="EF835" s="436">
        <f t="shared" si="501"/>
        <v>0</v>
      </c>
      <c r="EG835" s="436">
        <f t="shared" si="501"/>
        <v>0</v>
      </c>
      <c r="EH835" s="436">
        <f t="shared" si="501"/>
        <v>0</v>
      </c>
      <c r="EI835" s="436">
        <f t="shared" si="501"/>
        <v>0</v>
      </c>
    </row>
    <row r="836" spans="1:141" outlineLevel="1">
      <c r="B836" s="378"/>
      <c r="E836" s="383"/>
      <c r="F836" s="380"/>
      <c r="G836" s="189"/>
      <c r="H836" s="13"/>
      <c r="I836" s="185"/>
      <c r="J836" s="185"/>
      <c r="K836" s="185"/>
      <c r="L836" s="185"/>
      <c r="M836" s="185"/>
      <c r="N836" s="185"/>
      <c r="O836" s="7"/>
      <c r="P836" s="7"/>
      <c r="Q836" s="7"/>
      <c r="R836" s="7"/>
      <c r="S836" s="14"/>
      <c r="T836" s="179"/>
      <c r="U836" s="189"/>
      <c r="V836" s="13"/>
      <c r="W836" s="185"/>
      <c r="X836" s="185"/>
      <c r="Y836" s="185"/>
      <c r="Z836" s="185"/>
      <c r="AA836" s="185"/>
      <c r="AB836" s="185"/>
      <c r="AC836" s="7"/>
      <c r="AD836" s="7"/>
      <c r="AE836" s="7"/>
      <c r="AF836" s="7"/>
      <c r="AG836" s="759"/>
      <c r="AH836" s="788"/>
      <c r="AI836" s="189"/>
      <c r="AJ836" s="810"/>
      <c r="AK836" s="758"/>
      <c r="AL836" s="758"/>
      <c r="AM836" s="758"/>
      <c r="AN836" s="758"/>
      <c r="AO836" s="758"/>
      <c r="AP836" s="758"/>
      <c r="AQ836" s="518"/>
      <c r="AR836" s="518"/>
      <c r="AS836" s="518"/>
      <c r="AT836" s="518"/>
      <c r="AU836" s="518"/>
      <c r="AV836" s="794"/>
      <c r="AW836" s="794"/>
      <c r="AX836" s="759"/>
      <c r="AY836" s="788"/>
      <c r="AZ836" s="189"/>
      <c r="BA836" s="810"/>
      <c r="BB836" s="758"/>
      <c r="BC836" s="758"/>
      <c r="BD836" s="758"/>
      <c r="BE836" s="758"/>
      <c r="BF836" s="758"/>
      <c r="BG836" s="518"/>
      <c r="BH836" s="758"/>
      <c r="BI836" s="758"/>
      <c r="BJ836" s="758"/>
      <c r="BK836" s="758"/>
      <c r="BL836" s="759"/>
      <c r="BN836" s="518"/>
      <c r="BO836" s="518"/>
      <c r="BP836" s="518"/>
      <c r="BQ836" s="518"/>
      <c r="BR836" s="518"/>
      <c r="BS836" s="518"/>
      <c r="BT836" s="518"/>
      <c r="BU836" s="518"/>
      <c r="BV836" s="518"/>
      <c r="BW836" s="518"/>
      <c r="BX836" s="518"/>
      <c r="BY836" s="518"/>
      <c r="BZ836" s="493"/>
      <c r="CB836" s="617"/>
      <c r="CC836" s="518"/>
      <c r="CD836" s="518"/>
      <c r="CE836" s="518"/>
      <c r="CF836" s="518"/>
      <c r="CG836" s="518"/>
      <c r="CH836" s="518"/>
      <c r="CI836" s="518"/>
      <c r="CJ836" s="518"/>
      <c r="CK836" s="518"/>
      <c r="CL836" s="518"/>
      <c r="CM836" s="518"/>
      <c r="CN836" s="518"/>
      <c r="CP836" s="518"/>
      <c r="CQ836" s="518"/>
      <c r="CR836" s="518"/>
      <c r="CS836" s="518"/>
      <c r="CT836" s="518"/>
      <c r="CU836" s="518"/>
      <c r="CV836" s="518"/>
      <c r="CW836" s="518"/>
      <c r="CX836" s="518"/>
      <c r="CY836" s="518"/>
      <c r="CZ836" s="518"/>
      <c r="DA836" s="518"/>
      <c r="DB836" s="518"/>
      <c r="DC836" s="518"/>
      <c r="DD836" s="518"/>
      <c r="DE836" s="518"/>
      <c r="DF836" s="518"/>
      <c r="DG836" s="748"/>
      <c r="DH836" s="518"/>
      <c r="DI836" s="518"/>
      <c r="DJ836" s="748"/>
      <c r="DK836" s="518"/>
      <c r="DL836" s="518"/>
      <c r="DM836" s="748"/>
      <c r="DN836" s="518"/>
      <c r="DO836" s="518"/>
      <c r="DP836" s="748"/>
      <c r="DQ836" s="493"/>
      <c r="DR836" s="479"/>
      <c r="DS836" s="1185"/>
      <c r="DT836" s="1185"/>
      <c r="DU836" s="1185"/>
      <c r="DV836" s="1185"/>
      <c r="DW836" s="1185"/>
      <c r="DX836" s="1185"/>
      <c r="DY836" s="1185"/>
      <c r="DZ836" s="1185"/>
      <c r="EA836" s="1185"/>
      <c r="EB836" s="1185"/>
      <c r="EC836" s="1185"/>
      <c r="ED836" s="1185"/>
      <c r="EE836" s="1152"/>
      <c r="EF836" s="443"/>
      <c r="EG836" s="443"/>
      <c r="EH836" s="443"/>
      <c r="EI836" s="443"/>
    </row>
    <row r="837" spans="1:141" outlineLevel="1">
      <c r="B837" s="378"/>
      <c r="E837" s="383"/>
      <c r="F837" s="380"/>
      <c r="G837" s="189"/>
      <c r="H837" s="13"/>
      <c r="I837" s="185"/>
      <c r="J837" s="185"/>
      <c r="K837" s="185"/>
      <c r="L837" s="185"/>
      <c r="M837" s="185"/>
      <c r="N837" s="185"/>
      <c r="O837" s="7"/>
      <c r="P837" s="7"/>
      <c r="Q837" s="7"/>
      <c r="R837" s="7"/>
      <c r="S837" s="14"/>
      <c r="T837" s="179"/>
      <c r="U837" s="189"/>
      <c r="V837" s="13"/>
      <c r="W837" s="185"/>
      <c r="X837" s="185"/>
      <c r="Y837" s="185"/>
      <c r="Z837" s="185"/>
      <c r="AA837" s="185"/>
      <c r="AB837" s="185"/>
      <c r="AC837" s="7"/>
      <c r="AD837" s="7"/>
      <c r="AE837" s="7"/>
      <c r="AF837" s="7"/>
      <c r="AG837" s="759"/>
      <c r="AH837" s="788"/>
      <c r="AI837" s="189"/>
      <c r="AJ837" s="810"/>
      <c r="AK837" s="758"/>
      <c r="AL837" s="758"/>
      <c r="AM837" s="758"/>
      <c r="AN837" s="758"/>
      <c r="AO837" s="758"/>
      <c r="AP837" s="758"/>
      <c r="AQ837" s="518"/>
      <c r="AR837" s="518"/>
      <c r="AS837" s="518"/>
      <c r="AT837" s="518"/>
      <c r="AU837" s="518"/>
      <c r="AV837" s="794"/>
      <c r="AW837" s="794"/>
      <c r="AX837" s="759"/>
      <c r="AY837" s="788"/>
      <c r="AZ837" s="189"/>
      <c r="BA837" s="810"/>
      <c r="BB837" s="758"/>
      <c r="BC837" s="758"/>
      <c r="BD837" s="758"/>
      <c r="BE837" s="758"/>
      <c r="BF837" s="758"/>
      <c r="BG837" s="518"/>
      <c r="BH837" s="758"/>
      <c r="BI837" s="758"/>
      <c r="BJ837" s="758"/>
      <c r="BK837" s="758"/>
      <c r="BL837" s="759"/>
      <c r="BN837" s="518"/>
      <c r="BO837" s="518"/>
      <c r="BP837" s="518"/>
      <c r="BQ837" s="518"/>
      <c r="BR837" s="518"/>
      <c r="BS837" s="518"/>
      <c r="BT837" s="518"/>
      <c r="BU837" s="518"/>
      <c r="BV837" s="518"/>
      <c r="BW837" s="518"/>
      <c r="BX837" s="518"/>
      <c r="BY837" s="518"/>
      <c r="BZ837" s="493"/>
      <c r="CB837" s="617"/>
      <c r="CC837" s="518"/>
      <c r="CD837" s="518"/>
      <c r="CE837" s="518"/>
      <c r="CF837" s="518"/>
      <c r="CG837" s="518"/>
      <c r="CH837" s="518"/>
      <c r="CI837" s="518"/>
      <c r="CJ837" s="518"/>
      <c r="CK837" s="518"/>
      <c r="CL837" s="518"/>
      <c r="CM837" s="518"/>
      <c r="CN837" s="518"/>
      <c r="CP837" s="518"/>
      <c r="CQ837" s="518"/>
      <c r="CR837" s="518"/>
      <c r="CS837" s="518"/>
      <c r="CT837" s="518"/>
      <c r="CU837" s="518"/>
      <c r="CV837" s="518"/>
      <c r="CW837" s="518"/>
      <c r="CX837" s="518"/>
      <c r="CY837" s="518"/>
      <c r="CZ837" s="518"/>
      <c r="DA837" s="518"/>
      <c r="DB837" s="518"/>
      <c r="DC837" s="518"/>
      <c r="DD837" s="518"/>
      <c r="DE837" s="518"/>
      <c r="DF837" s="518"/>
      <c r="DG837" s="748"/>
      <c r="DH837" s="518"/>
      <c r="DI837" s="518"/>
      <c r="DJ837" s="748"/>
      <c r="DK837" s="518"/>
      <c r="DL837" s="518"/>
      <c r="DM837" s="748"/>
      <c r="DN837" s="518"/>
      <c r="DO837" s="518"/>
      <c r="DP837" s="748"/>
      <c r="DQ837" s="493"/>
      <c r="DR837" s="479"/>
      <c r="DS837" s="1185"/>
      <c r="DT837" s="1185"/>
      <c r="DU837" s="1185"/>
      <c r="DV837" s="1185"/>
      <c r="DW837" s="1185"/>
      <c r="DX837" s="1185"/>
      <c r="DY837" s="1185"/>
      <c r="DZ837" s="1185"/>
      <c r="EA837" s="1185"/>
      <c r="EB837" s="1185"/>
      <c r="EC837" s="1185"/>
      <c r="ED837" s="1185"/>
      <c r="EE837" s="1152"/>
      <c r="EF837" s="443"/>
      <c r="EG837" s="443"/>
      <c r="EH837" s="443"/>
      <c r="EI837" s="443"/>
    </row>
    <row r="838" spans="1:141" ht="15" outlineLevel="1" thickBot="1">
      <c r="B838" s="378"/>
      <c r="E838" s="383"/>
      <c r="F838" s="380"/>
      <c r="G838" s="32">
        <f t="shared" ref="G838:BR838" si="502">G835</f>
        <v>0</v>
      </c>
      <c r="H838" s="32">
        <f t="shared" si="502"/>
        <v>0</v>
      </c>
      <c r="I838" s="32">
        <f t="shared" si="502"/>
        <v>0</v>
      </c>
      <c r="J838" s="32">
        <f t="shared" si="502"/>
        <v>0</v>
      </c>
      <c r="K838" s="32">
        <f t="shared" si="502"/>
        <v>0</v>
      </c>
      <c r="L838" s="32">
        <f t="shared" si="502"/>
        <v>0</v>
      </c>
      <c r="M838" s="32">
        <f t="shared" si="502"/>
        <v>0</v>
      </c>
      <c r="N838" s="32">
        <f t="shared" si="502"/>
        <v>0</v>
      </c>
      <c r="O838" s="32">
        <f t="shared" si="502"/>
        <v>0</v>
      </c>
      <c r="P838" s="32">
        <f t="shared" si="502"/>
        <v>0</v>
      </c>
      <c r="Q838" s="32">
        <f t="shared" si="502"/>
        <v>0</v>
      </c>
      <c r="R838" s="32">
        <f t="shared" si="502"/>
        <v>0</v>
      </c>
      <c r="S838" s="32">
        <f t="shared" si="502"/>
        <v>0</v>
      </c>
      <c r="T838" s="32">
        <f t="shared" si="502"/>
        <v>0</v>
      </c>
      <c r="U838" s="32">
        <f t="shared" si="502"/>
        <v>0</v>
      </c>
      <c r="V838" s="32">
        <f t="shared" si="502"/>
        <v>0</v>
      </c>
      <c r="W838" s="32">
        <f t="shared" si="502"/>
        <v>0</v>
      </c>
      <c r="X838" s="32">
        <f t="shared" si="502"/>
        <v>0</v>
      </c>
      <c r="Y838" s="32">
        <f t="shared" si="502"/>
        <v>0</v>
      </c>
      <c r="Z838" s="32">
        <f t="shared" si="502"/>
        <v>0</v>
      </c>
      <c r="AA838" s="32">
        <f t="shared" si="502"/>
        <v>0</v>
      </c>
      <c r="AB838" s="32">
        <f t="shared" si="502"/>
        <v>0</v>
      </c>
      <c r="AC838" s="32">
        <f t="shared" si="502"/>
        <v>0</v>
      </c>
      <c r="AD838" s="32">
        <f t="shared" si="502"/>
        <v>0</v>
      </c>
      <c r="AE838" s="32">
        <f t="shared" si="502"/>
        <v>0</v>
      </c>
      <c r="AF838" s="32">
        <f t="shared" si="502"/>
        <v>0</v>
      </c>
      <c r="AG838" s="32">
        <f t="shared" si="502"/>
        <v>0</v>
      </c>
      <c r="AH838" s="788"/>
      <c r="AI838" s="32">
        <f t="shared" si="502"/>
        <v>0</v>
      </c>
      <c r="AJ838" s="32">
        <f t="shared" si="502"/>
        <v>0</v>
      </c>
      <c r="AK838" s="32">
        <f t="shared" si="502"/>
        <v>0</v>
      </c>
      <c r="AL838" s="32">
        <f t="shared" si="502"/>
        <v>0</v>
      </c>
      <c r="AM838" s="32">
        <f t="shared" si="502"/>
        <v>0</v>
      </c>
      <c r="AN838" s="32">
        <f t="shared" si="502"/>
        <v>0</v>
      </c>
      <c r="AO838" s="32">
        <f t="shared" si="502"/>
        <v>0</v>
      </c>
      <c r="AP838" s="32">
        <f t="shared" si="502"/>
        <v>0</v>
      </c>
      <c r="AQ838" s="32">
        <f t="shared" si="502"/>
        <v>0</v>
      </c>
      <c r="AR838" s="32">
        <f t="shared" si="502"/>
        <v>0</v>
      </c>
      <c r="AS838" s="32">
        <f t="shared" si="502"/>
        <v>0</v>
      </c>
      <c r="AT838" s="32">
        <f t="shared" si="502"/>
        <v>0</v>
      </c>
      <c r="AU838" s="32">
        <f t="shared" si="502"/>
        <v>0</v>
      </c>
      <c r="AV838" s="32">
        <f t="shared" si="502"/>
        <v>0</v>
      </c>
      <c r="AW838" s="32">
        <f t="shared" si="502"/>
        <v>0</v>
      </c>
      <c r="AX838" s="32">
        <f t="shared" si="502"/>
        <v>0</v>
      </c>
      <c r="AY838" s="788"/>
      <c r="AZ838" s="32">
        <f t="shared" si="502"/>
        <v>0</v>
      </c>
      <c r="BA838" s="32">
        <f t="shared" si="502"/>
        <v>0</v>
      </c>
      <c r="BB838" s="32">
        <f t="shared" si="502"/>
        <v>0</v>
      </c>
      <c r="BC838" s="32">
        <f t="shared" si="502"/>
        <v>0</v>
      </c>
      <c r="BD838" s="32">
        <f t="shared" si="502"/>
        <v>0</v>
      </c>
      <c r="BE838" s="32">
        <f t="shared" si="502"/>
        <v>0</v>
      </c>
      <c r="BF838" s="32">
        <f t="shared" si="502"/>
        <v>0</v>
      </c>
      <c r="BG838" s="32">
        <f t="shared" si="502"/>
        <v>0</v>
      </c>
      <c r="BH838" s="32">
        <f t="shared" si="502"/>
        <v>0</v>
      </c>
      <c r="BI838" s="32">
        <f t="shared" si="502"/>
        <v>0</v>
      </c>
      <c r="BJ838" s="32">
        <f t="shared" si="502"/>
        <v>0</v>
      </c>
      <c r="BK838" s="32">
        <f t="shared" si="502"/>
        <v>0</v>
      </c>
      <c r="BL838" s="32">
        <f t="shared" si="502"/>
        <v>0</v>
      </c>
      <c r="BM838" s="32">
        <f t="shared" si="502"/>
        <v>0</v>
      </c>
      <c r="BN838" s="32">
        <f t="shared" si="502"/>
        <v>0</v>
      </c>
      <c r="BO838" s="32">
        <f t="shared" si="502"/>
        <v>0</v>
      </c>
      <c r="BP838" s="32">
        <f t="shared" si="502"/>
        <v>0</v>
      </c>
      <c r="BQ838" s="32">
        <f t="shared" si="502"/>
        <v>0</v>
      </c>
      <c r="BR838" s="32">
        <f t="shared" si="502"/>
        <v>0</v>
      </c>
      <c r="BS838" s="32">
        <f t="shared" ref="BS838:EC838" si="503">BS835</f>
        <v>0</v>
      </c>
      <c r="BT838" s="32">
        <f t="shared" si="503"/>
        <v>0</v>
      </c>
      <c r="BU838" s="32">
        <f t="shared" si="503"/>
        <v>0</v>
      </c>
      <c r="BV838" s="32">
        <f t="shared" si="503"/>
        <v>0</v>
      </c>
      <c r="BW838" s="32">
        <f t="shared" si="503"/>
        <v>0</v>
      </c>
      <c r="BX838" s="32">
        <f t="shared" si="503"/>
        <v>0</v>
      </c>
      <c r="BY838" s="32">
        <f t="shared" si="503"/>
        <v>0</v>
      </c>
      <c r="BZ838" s="32">
        <f t="shared" si="503"/>
        <v>0</v>
      </c>
      <c r="CB838" s="32">
        <f t="shared" si="503"/>
        <v>0</v>
      </c>
      <c r="CC838" s="32">
        <f t="shared" si="503"/>
        <v>0</v>
      </c>
      <c r="CD838" s="32">
        <f t="shared" si="503"/>
        <v>0</v>
      </c>
      <c r="CE838" s="32">
        <f t="shared" si="503"/>
        <v>0</v>
      </c>
      <c r="CF838" s="32">
        <f t="shared" si="503"/>
        <v>0</v>
      </c>
      <c r="CG838" s="32">
        <f t="shared" si="503"/>
        <v>0</v>
      </c>
      <c r="CH838" s="32">
        <f t="shared" si="503"/>
        <v>0</v>
      </c>
      <c r="CI838" s="32">
        <f t="shared" si="503"/>
        <v>0</v>
      </c>
      <c r="CJ838" s="32">
        <f t="shared" si="503"/>
        <v>0</v>
      </c>
      <c r="CK838" s="32">
        <f t="shared" si="503"/>
        <v>0</v>
      </c>
      <c r="CL838" s="32">
        <f t="shared" si="503"/>
        <v>0</v>
      </c>
      <c r="CM838" s="32">
        <f t="shared" si="503"/>
        <v>0</v>
      </c>
      <c r="CN838" s="32">
        <f t="shared" si="503"/>
        <v>0</v>
      </c>
      <c r="CO838" s="32">
        <f t="shared" si="503"/>
        <v>0</v>
      </c>
      <c r="CP838" s="32">
        <f t="shared" si="503"/>
        <v>0</v>
      </c>
      <c r="CQ838" s="32">
        <f t="shared" si="503"/>
        <v>0</v>
      </c>
      <c r="CR838" s="32">
        <f t="shared" si="503"/>
        <v>0</v>
      </c>
      <c r="CS838" s="32">
        <f t="shared" si="503"/>
        <v>0</v>
      </c>
      <c r="CT838" s="32">
        <f t="shared" si="503"/>
        <v>0</v>
      </c>
      <c r="CU838" s="32">
        <f t="shared" si="503"/>
        <v>0</v>
      </c>
      <c r="CV838" s="32">
        <f t="shared" si="503"/>
        <v>0</v>
      </c>
      <c r="CW838" s="32">
        <f t="shared" si="503"/>
        <v>0</v>
      </c>
      <c r="CX838" s="32">
        <f t="shared" si="503"/>
        <v>0</v>
      </c>
      <c r="CY838" s="32">
        <f t="shared" si="503"/>
        <v>0</v>
      </c>
      <c r="CZ838" s="32">
        <f t="shared" si="503"/>
        <v>0</v>
      </c>
      <c r="DA838" s="32">
        <f t="shared" si="503"/>
        <v>0</v>
      </c>
      <c r="DB838" s="32">
        <f t="shared" si="503"/>
        <v>0</v>
      </c>
      <c r="DC838" s="32">
        <f t="shared" si="503"/>
        <v>0</v>
      </c>
      <c r="DD838" s="32">
        <f t="shared" si="503"/>
        <v>0</v>
      </c>
      <c r="DE838" s="32">
        <f t="shared" si="503"/>
        <v>0</v>
      </c>
      <c r="DF838" s="32">
        <f t="shared" si="503"/>
        <v>0</v>
      </c>
      <c r="DG838" s="32">
        <f t="shared" si="503"/>
        <v>0</v>
      </c>
      <c r="DH838" s="32">
        <f t="shared" si="503"/>
        <v>0</v>
      </c>
      <c r="DI838" s="32">
        <f t="shared" si="503"/>
        <v>0</v>
      </c>
      <c r="DJ838" s="32">
        <f t="shared" si="503"/>
        <v>0</v>
      </c>
      <c r="DK838" s="32">
        <f t="shared" si="503"/>
        <v>0</v>
      </c>
      <c r="DL838" s="32">
        <f t="shared" si="503"/>
        <v>0</v>
      </c>
      <c r="DM838" s="32">
        <f t="shared" si="503"/>
        <v>0</v>
      </c>
      <c r="DN838" s="32">
        <f t="shared" si="503"/>
        <v>0</v>
      </c>
      <c r="DO838" s="32">
        <f t="shared" si="503"/>
        <v>0</v>
      </c>
      <c r="DP838" s="32">
        <f t="shared" si="503"/>
        <v>0</v>
      </c>
      <c r="DQ838" s="32">
        <f t="shared" si="503"/>
        <v>0</v>
      </c>
      <c r="DR838" s="32">
        <f t="shared" si="503"/>
        <v>0</v>
      </c>
      <c r="DS838" s="1186">
        <f t="shared" si="503"/>
        <v>0</v>
      </c>
      <c r="DT838" s="1186">
        <f t="shared" si="503"/>
        <v>0</v>
      </c>
      <c r="DU838" s="1186">
        <f t="shared" si="503"/>
        <v>0</v>
      </c>
      <c r="DV838" s="1186">
        <f t="shared" si="503"/>
        <v>0</v>
      </c>
      <c r="DW838" s="1186">
        <f t="shared" si="503"/>
        <v>0</v>
      </c>
      <c r="DX838" s="1186">
        <f t="shared" si="503"/>
        <v>0</v>
      </c>
      <c r="DY838" s="1186">
        <f t="shared" si="503"/>
        <v>0</v>
      </c>
      <c r="DZ838" s="1186">
        <f t="shared" si="503"/>
        <v>0</v>
      </c>
      <c r="EA838" s="1186">
        <f t="shared" si="503"/>
        <v>0</v>
      </c>
      <c r="EB838" s="1186">
        <f t="shared" si="503"/>
        <v>0</v>
      </c>
      <c r="EC838" s="1186">
        <f t="shared" si="503"/>
        <v>0</v>
      </c>
      <c r="ED838" s="1186">
        <f t="shared" ref="ED838:EI838" si="504">ED835</f>
        <v>0</v>
      </c>
      <c r="EE838" s="1153">
        <f t="shared" si="504"/>
        <v>0</v>
      </c>
      <c r="EF838" s="32">
        <f t="shared" si="504"/>
        <v>0</v>
      </c>
      <c r="EG838" s="32">
        <f t="shared" si="504"/>
        <v>0</v>
      </c>
      <c r="EH838" s="32">
        <f t="shared" si="504"/>
        <v>0</v>
      </c>
      <c r="EI838" s="32">
        <f t="shared" si="504"/>
        <v>0</v>
      </c>
      <c r="EJ838" s="367" t="e">
        <v>#N/A</v>
      </c>
    </row>
    <row r="839" spans="1:141" ht="15.5" outlineLevel="1" thickTop="1" thickBot="1">
      <c r="B839" s="378"/>
      <c r="E839" s="383"/>
      <c r="F839" s="380"/>
      <c r="G839" s="189"/>
      <c r="H839" s="13"/>
      <c r="I839" s="185"/>
      <c r="J839" s="185"/>
      <c r="K839" s="185"/>
      <c r="L839" s="185"/>
      <c r="M839" s="185"/>
      <c r="N839" s="185"/>
      <c r="O839" s="7"/>
      <c r="P839" s="7"/>
      <c r="Q839" s="7"/>
      <c r="R839" s="7"/>
      <c r="S839" s="14"/>
      <c r="T839" s="179"/>
      <c r="U839" s="189"/>
      <c r="V839" s="13"/>
      <c r="W839" s="185"/>
      <c r="X839" s="185"/>
      <c r="Y839" s="185"/>
      <c r="Z839" s="185"/>
      <c r="AA839" s="185"/>
      <c r="AB839" s="185"/>
      <c r="AC839" s="7"/>
      <c r="AD839" s="7"/>
      <c r="AE839" s="7"/>
      <c r="AF839" s="7"/>
      <c r="AG839" s="759"/>
      <c r="AH839" s="788"/>
      <c r="AI839" s="189"/>
      <c r="AJ839" s="810"/>
      <c r="AK839" s="758"/>
      <c r="AL839" s="758"/>
      <c r="AM839" s="758"/>
      <c r="AN839" s="758"/>
      <c r="AO839" s="758"/>
      <c r="AP839" s="758"/>
      <c r="AQ839" s="518"/>
      <c r="AR839" s="518"/>
      <c r="AS839" s="518"/>
      <c r="AT839" s="518"/>
      <c r="AU839" s="518"/>
      <c r="AV839" s="794"/>
      <c r="AW839" s="794"/>
      <c r="AX839" s="759"/>
      <c r="AY839" s="788"/>
      <c r="AZ839" s="189"/>
      <c r="BA839" s="810"/>
      <c r="BB839" s="758"/>
      <c r="BC839" s="758"/>
      <c r="BD839" s="758"/>
      <c r="BE839" s="758"/>
      <c r="BF839" s="758"/>
      <c r="BG839" s="518"/>
      <c r="BH839" s="758"/>
      <c r="BI839" s="758"/>
      <c r="BJ839" s="758"/>
      <c r="BK839" s="758"/>
      <c r="BL839" s="759"/>
      <c r="BN839" s="518"/>
      <c r="BO839" s="518"/>
      <c r="BP839" s="518"/>
      <c r="BQ839" s="518"/>
      <c r="BR839" s="518"/>
      <c r="BS839" s="518"/>
      <c r="BT839" s="518"/>
      <c r="BU839" s="518"/>
      <c r="BV839" s="518"/>
      <c r="BW839" s="518"/>
      <c r="BX839" s="518"/>
      <c r="BY839" s="518"/>
      <c r="BZ839" s="493"/>
      <c r="CB839" s="617"/>
      <c r="CC839" s="518"/>
      <c r="CD839" s="518"/>
      <c r="CE839" s="518"/>
      <c r="CF839" s="518"/>
      <c r="CG839" s="518"/>
      <c r="CH839" s="518"/>
      <c r="CI839" s="518"/>
      <c r="CJ839" s="518"/>
      <c r="CK839" s="518"/>
      <c r="CL839" s="518"/>
      <c r="CM839" s="518"/>
      <c r="CN839" s="518"/>
      <c r="CP839" s="518"/>
      <c r="CQ839" s="518"/>
      <c r="CR839" s="518"/>
      <c r="CS839" s="518"/>
      <c r="CT839" s="518"/>
      <c r="CU839" s="518"/>
      <c r="CV839" s="518"/>
      <c r="CW839" s="518"/>
      <c r="CX839" s="518"/>
      <c r="CY839" s="518"/>
      <c r="CZ839" s="518"/>
      <c r="DA839" s="518"/>
      <c r="DB839" s="518"/>
      <c r="DC839" s="518"/>
      <c r="DD839" s="518"/>
      <c r="DE839" s="518"/>
      <c r="DF839" s="518"/>
      <c r="DG839" s="748"/>
      <c r="DH839" s="518"/>
      <c r="DI839" s="518"/>
      <c r="DJ839" s="748"/>
      <c r="DK839" s="518"/>
      <c r="DL839" s="518"/>
      <c r="DM839" s="748"/>
      <c r="DN839" s="518"/>
      <c r="DO839" s="518"/>
      <c r="DP839" s="748"/>
      <c r="DQ839" s="493"/>
      <c r="DR839" s="479"/>
      <c r="DS839" s="1185"/>
      <c r="DT839" s="1185"/>
      <c r="DU839" s="1185"/>
      <c r="DV839" s="1185"/>
      <c r="DW839" s="1185"/>
      <c r="DX839" s="1185"/>
      <c r="DY839" s="1185"/>
      <c r="DZ839" s="1185"/>
      <c r="EA839" s="1185"/>
      <c r="EB839" s="1185"/>
      <c r="EC839" s="1185"/>
      <c r="ED839" s="1185"/>
      <c r="EE839" s="1152"/>
      <c r="EF839" s="443"/>
      <c r="EG839" s="443"/>
      <c r="EH839" s="443"/>
      <c r="EI839" s="443"/>
    </row>
    <row r="840" spans="1:141" outlineLevel="1">
      <c r="B840" s="402" t="s">
        <v>594</v>
      </c>
      <c r="C840" s="368"/>
      <c r="D840" s="368"/>
      <c r="E840" s="383"/>
      <c r="F840" s="380"/>
      <c r="G840" s="1114"/>
      <c r="H840" s="131"/>
      <c r="I840" s="127"/>
      <c r="J840" s="127"/>
      <c r="K840" s="127"/>
      <c r="L840" s="127"/>
      <c r="M840" s="127"/>
      <c r="N840" s="127"/>
      <c r="O840" s="127"/>
      <c r="P840" s="127"/>
      <c r="Q840" s="127"/>
      <c r="R840" s="127"/>
      <c r="S840" s="14"/>
      <c r="T840" s="179"/>
      <c r="U840" s="1114"/>
      <c r="V840" s="131"/>
      <c r="W840" s="127"/>
      <c r="X840" s="127"/>
      <c r="Y840" s="127"/>
      <c r="Z840" s="127"/>
      <c r="AA840" s="127"/>
      <c r="AB840" s="127"/>
      <c r="AC840" s="127"/>
      <c r="AD840" s="127"/>
      <c r="AE840" s="127"/>
      <c r="AF840" s="127"/>
      <c r="AG840" s="759"/>
      <c r="AH840" s="788"/>
      <c r="AI840" s="1114"/>
      <c r="AJ840" s="787"/>
      <c r="AK840" s="127"/>
      <c r="AL840" s="127"/>
      <c r="AM840" s="127"/>
      <c r="AN840" s="127"/>
      <c r="AO840" s="127"/>
      <c r="AP840" s="127"/>
      <c r="AQ840" s="127"/>
      <c r="AR840" s="127"/>
      <c r="AS840" s="127"/>
      <c r="AT840" s="127"/>
      <c r="AU840" s="127"/>
      <c r="AV840" s="127"/>
      <c r="AW840" s="127"/>
      <c r="AX840" s="759"/>
      <c r="AY840" s="788"/>
      <c r="AZ840" s="1114"/>
      <c r="BA840" s="787"/>
      <c r="BB840" s="127"/>
      <c r="BC840" s="127"/>
      <c r="BD840" s="127"/>
      <c r="BE840" s="127"/>
      <c r="BF840" s="127"/>
      <c r="BG840" s="127"/>
      <c r="BH840" s="127"/>
      <c r="BI840" s="127"/>
      <c r="BJ840" s="127"/>
      <c r="BK840" s="127"/>
      <c r="BL840" s="759"/>
      <c r="BN840" s="486">
        <f t="shared" ref="BN840:BZ840" si="505">SUM(BN841:BN847)</f>
        <v>50000000</v>
      </c>
      <c r="BO840" s="486">
        <f t="shared" si="505"/>
        <v>250000000</v>
      </c>
      <c r="BP840" s="486">
        <f t="shared" si="505"/>
        <v>0</v>
      </c>
      <c r="BQ840" s="486">
        <f t="shared" si="505"/>
        <v>50000000</v>
      </c>
      <c r="BR840" s="486">
        <f t="shared" si="505"/>
        <v>300000000</v>
      </c>
      <c r="BS840" s="486">
        <f t="shared" si="505"/>
        <v>0</v>
      </c>
      <c r="BT840" s="486">
        <f t="shared" si="505"/>
        <v>50000000</v>
      </c>
      <c r="BU840" s="486">
        <f t="shared" si="505"/>
        <v>250000000</v>
      </c>
      <c r="BV840" s="486">
        <f t="shared" si="505"/>
        <v>0</v>
      </c>
      <c r="BW840" s="486">
        <f t="shared" si="505"/>
        <v>65000000</v>
      </c>
      <c r="BX840" s="486">
        <f t="shared" si="505"/>
        <v>300000000</v>
      </c>
      <c r="BY840" s="486">
        <f t="shared" si="505"/>
        <v>0</v>
      </c>
      <c r="BZ840" s="486">
        <f t="shared" si="505"/>
        <v>1315000000</v>
      </c>
      <c r="CB840" s="189"/>
      <c r="CC840" s="810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759"/>
      <c r="CP840" s="486">
        <f>SUM(CP841:CP847)</f>
        <v>66419000</v>
      </c>
      <c r="CQ840" s="486">
        <f t="shared" ref="CQ840:EI840" si="506">SUM(CQ841:CQ847)</f>
        <v>219083000</v>
      </c>
      <c r="CR840" s="619">
        <f t="shared" si="506"/>
        <v>125000000</v>
      </c>
      <c r="CS840" s="486">
        <f t="shared" si="506"/>
        <v>113066500</v>
      </c>
      <c r="CT840" s="619">
        <f t="shared" si="506"/>
        <v>125000000</v>
      </c>
      <c r="CU840" s="486">
        <f t="shared" si="506"/>
        <v>355876563</v>
      </c>
      <c r="CV840" s="619">
        <f t="shared" si="506"/>
        <v>315000000</v>
      </c>
      <c r="CW840" s="486">
        <f t="shared" si="506"/>
        <v>338535575</v>
      </c>
      <c r="CX840" s="619">
        <f t="shared" si="506"/>
        <v>405000000</v>
      </c>
      <c r="CY840" s="486">
        <f t="shared" si="506"/>
        <v>153413225</v>
      </c>
      <c r="CZ840" s="619">
        <f t="shared" si="506"/>
        <v>420000000</v>
      </c>
      <c r="DA840" s="486">
        <f t="shared" si="506"/>
        <v>32480000</v>
      </c>
      <c r="DB840" s="619">
        <f t="shared" si="506"/>
        <v>2862000000</v>
      </c>
      <c r="DC840" s="486">
        <f t="shared" si="506"/>
        <v>467073727</v>
      </c>
      <c r="DD840" s="619">
        <f t="shared" si="506"/>
        <v>270000000</v>
      </c>
      <c r="DE840" s="486">
        <f t="shared" si="506"/>
        <v>0</v>
      </c>
      <c r="DF840" s="619">
        <f>SUM(DF841:DF847)</f>
        <v>195000000</v>
      </c>
      <c r="DG840" s="486">
        <f t="shared" si="506"/>
        <v>195000000</v>
      </c>
      <c r="DH840" s="486">
        <f t="shared" si="506"/>
        <v>0</v>
      </c>
      <c r="DI840" s="619">
        <f>SUM(DI841:DI847)</f>
        <v>370000000</v>
      </c>
      <c r="DJ840" s="486">
        <f t="shared" si="506"/>
        <v>370000000</v>
      </c>
      <c r="DK840" s="486">
        <f t="shared" si="506"/>
        <v>0</v>
      </c>
      <c r="DL840" s="619">
        <f>SUM(DL841:DL847)</f>
        <v>1188000000</v>
      </c>
      <c r="DM840" s="486">
        <f>SUM(DM841:DM847)</f>
        <v>1188000000</v>
      </c>
      <c r="DN840" s="486">
        <f t="shared" si="506"/>
        <v>0</v>
      </c>
      <c r="DO840" s="619">
        <f>SUM(DO841:DO847)</f>
        <v>420000000</v>
      </c>
      <c r="DP840" s="486">
        <f t="shared" si="506"/>
        <v>420000000</v>
      </c>
      <c r="DQ840" s="486">
        <f>SUM(DQ841:DQ847)</f>
        <v>3918947590</v>
      </c>
      <c r="DR840" s="486">
        <f>SUM(DR841:DR847)</f>
        <v>6884445063</v>
      </c>
      <c r="DS840" s="454">
        <f>SUM(DS841:DS847)</f>
        <v>650000000</v>
      </c>
      <c r="DT840" s="454">
        <f t="shared" si="506"/>
        <v>650000000</v>
      </c>
      <c r="DU840" s="454">
        <f t="shared" si="506"/>
        <v>700000000</v>
      </c>
      <c r="DV840" s="454">
        <f t="shared" si="506"/>
        <v>675000000</v>
      </c>
      <c r="DW840" s="454">
        <f t="shared" si="506"/>
        <v>625000000</v>
      </c>
      <c r="DX840" s="454">
        <f t="shared" si="506"/>
        <v>625000000</v>
      </c>
      <c r="DY840" s="454">
        <f t="shared" si="506"/>
        <v>625000000</v>
      </c>
      <c r="DZ840" s="454">
        <f t="shared" si="506"/>
        <v>625000000</v>
      </c>
      <c r="EA840" s="454">
        <f t="shared" si="506"/>
        <v>625000000</v>
      </c>
      <c r="EB840" s="454">
        <f t="shared" si="506"/>
        <v>650000000</v>
      </c>
      <c r="EC840" s="454">
        <f t="shared" si="506"/>
        <v>650000000</v>
      </c>
      <c r="ED840" s="454">
        <f t="shared" si="506"/>
        <v>650000000</v>
      </c>
      <c r="EE840" s="1146">
        <f>SUM(EE841:EE847)</f>
        <v>7750000000</v>
      </c>
      <c r="EF840" s="454">
        <f t="shared" si="506"/>
        <v>8014500000</v>
      </c>
      <c r="EG840" s="454">
        <f t="shared" si="506"/>
        <v>8655660000</v>
      </c>
      <c r="EH840" s="454">
        <f t="shared" si="506"/>
        <v>3913197200</v>
      </c>
      <c r="EI840" s="454">
        <f t="shared" si="506"/>
        <v>3950384948</v>
      </c>
      <c r="EJ840" s="367" t="e">
        <v>#N/A</v>
      </c>
    </row>
    <row r="841" spans="1:141" outlineLevel="2">
      <c r="A841" s="367" t="s">
        <v>196</v>
      </c>
      <c r="B841" s="378"/>
      <c r="C841" s="370" t="s">
        <v>946</v>
      </c>
      <c r="D841" s="370" t="s">
        <v>40</v>
      </c>
      <c r="E841" s="383" t="s">
        <v>66</v>
      </c>
      <c r="F841" s="380">
        <v>8000000015</v>
      </c>
      <c r="G841" s="189"/>
      <c r="H841" s="13"/>
      <c r="I841" s="185"/>
      <c r="J841" s="185"/>
      <c r="K841" s="185"/>
      <c r="L841" s="185"/>
      <c r="M841" s="185"/>
      <c r="N841" s="185"/>
      <c r="O841" s="7"/>
      <c r="P841" s="7"/>
      <c r="Q841" s="7"/>
      <c r="R841" s="7"/>
      <c r="S841" s="14">
        <f>SUM(G841,H841,I841,J841,K841,L841,M841,N841,O841,P841,Q841,R841)</f>
        <v>0</v>
      </c>
      <c r="T841" s="179"/>
      <c r="U841" s="189"/>
      <c r="V841" s="13"/>
      <c r="W841" s="185"/>
      <c r="X841" s="185"/>
      <c r="Y841" s="185"/>
      <c r="Z841" s="185"/>
      <c r="AA841" s="185"/>
      <c r="AB841" s="185"/>
      <c r="AC841" s="7"/>
      <c r="AD841" s="7"/>
      <c r="AE841" s="7"/>
      <c r="AF841" s="7"/>
      <c r="AG841" s="759">
        <f>SUM(U841,V841,W841,X841,Y841,Z841,AA841,AB841,AC841,AD841,AE841,AF841)</f>
        <v>0</v>
      </c>
      <c r="AH841" s="788"/>
      <c r="AI841" s="189"/>
      <c r="AJ841" s="810"/>
      <c r="AK841" s="758">
        <v>89823500</v>
      </c>
      <c r="AL841" s="758">
        <v>24323063</v>
      </c>
      <c r="AM841" s="758">
        <v>0</v>
      </c>
      <c r="AN841" s="758"/>
      <c r="AO841" s="758"/>
      <c r="AP841" s="758"/>
      <c r="AQ841" s="518">
        <f>BH841</f>
        <v>0</v>
      </c>
      <c r="AR841" s="518"/>
      <c r="AS841" s="518"/>
      <c r="AT841" s="518"/>
      <c r="AU841" s="518">
        <f>BI841</f>
        <v>0</v>
      </c>
      <c r="AV841" s="518"/>
      <c r="AW841" s="518">
        <f>BK841</f>
        <v>0</v>
      </c>
      <c r="AX841" s="518">
        <f t="shared" ref="AX841:AX847" si="507">SUM(AI841,AJ841,AK841,AL841,AM841,AN841,AO841,AP841,AQ841,AR841,AS841,AT841)</f>
        <v>114146563</v>
      </c>
      <c r="AY841" s="788"/>
      <c r="AZ841" s="189"/>
      <c r="BA841" s="810"/>
      <c r="BB841" s="758">
        <v>89823500</v>
      </c>
      <c r="BC841" s="758">
        <v>24323063</v>
      </c>
      <c r="BD841" s="758">
        <v>0</v>
      </c>
      <c r="BE841" s="758"/>
      <c r="BF841" s="758"/>
      <c r="BG841" s="518">
        <f>AP841</f>
        <v>0</v>
      </c>
      <c r="BH841" s="758">
        <v>0</v>
      </c>
      <c r="BI841" s="758">
        <v>0</v>
      </c>
      <c r="BJ841" s="758">
        <v>50000000</v>
      </c>
      <c r="BK841" s="758">
        <v>0</v>
      </c>
      <c r="BL841" s="759">
        <f>SUM(AZ841,BA841,BB841,BC841,BD841,BE841,BF841,BG841,BH841,BI841,BJ841,BK841)</f>
        <v>164146563</v>
      </c>
      <c r="BN841" s="189"/>
      <c r="BO841" s="810">
        <v>100000000</v>
      </c>
      <c r="BP841" s="758"/>
      <c r="BQ841" s="758"/>
      <c r="BR841" s="758">
        <v>100000000</v>
      </c>
      <c r="BS841" s="758"/>
      <c r="BT841" s="758"/>
      <c r="BU841" s="758">
        <v>100000000</v>
      </c>
      <c r="BV841" s="758"/>
      <c r="BW841" s="758"/>
      <c r="BX841" s="758">
        <v>100000000</v>
      </c>
      <c r="BY841" s="758"/>
      <c r="BZ841" s="791">
        <v>400000000</v>
      </c>
      <c r="CB841" s="189"/>
      <c r="CC841" s="810">
        <v>100000000</v>
      </c>
      <c r="CD841" s="758"/>
      <c r="CE841" s="758"/>
      <c r="CF841" s="758">
        <v>100000000</v>
      </c>
      <c r="CG841" s="758"/>
      <c r="CH841" s="758"/>
      <c r="CI841" s="758">
        <v>100000000</v>
      </c>
      <c r="CJ841" s="758"/>
      <c r="CK841" s="758"/>
      <c r="CL841" s="758">
        <v>100000000</v>
      </c>
      <c r="CM841" s="758"/>
      <c r="CN841" s="791">
        <v>400000000</v>
      </c>
      <c r="CP841" s="655"/>
      <c r="CQ841" s="655">
        <v>12947000</v>
      </c>
      <c r="CR841" s="531">
        <v>20000000</v>
      </c>
      <c r="CS841" s="655">
        <v>23958000</v>
      </c>
      <c r="CT841" s="531">
        <v>20000000</v>
      </c>
      <c r="CU841" s="655">
        <v>23951813</v>
      </c>
      <c r="CV841" s="531">
        <v>20000000</v>
      </c>
      <c r="CW841" s="655">
        <v>129294875</v>
      </c>
      <c r="CX841" s="531">
        <v>5000000</v>
      </c>
      <c r="CY841" s="655"/>
      <c r="CZ841" s="531">
        <v>20000000</v>
      </c>
      <c r="DA841" s="655"/>
      <c r="DB841" s="531">
        <v>20000000</v>
      </c>
      <c r="DC841" s="655"/>
      <c r="DD841" s="531">
        <v>20000000</v>
      </c>
      <c r="DE841" s="758"/>
      <c r="DF841" s="531">
        <v>20000000</v>
      </c>
      <c r="DG841" s="757">
        <v>20000000</v>
      </c>
      <c r="DH841" s="758"/>
      <c r="DI841" s="531">
        <v>20000000</v>
      </c>
      <c r="DJ841" s="757">
        <v>20000000</v>
      </c>
      <c r="DK841" s="758"/>
      <c r="DL841" s="531">
        <v>20000000</v>
      </c>
      <c r="DM841" s="757">
        <v>20000000</v>
      </c>
      <c r="DN841" s="758"/>
      <c r="DO841" s="531">
        <v>20000000</v>
      </c>
      <c r="DP841" s="757">
        <v>20000000</v>
      </c>
      <c r="DQ841" s="493">
        <f t="shared" ref="DQ841:DQ847" si="508">SUM(CP841,CQ841,CS841,CU841,CW841,CY841,DA841,DC841,DF841,DI841,DL841,DO841)</f>
        <v>270151688</v>
      </c>
      <c r="DR841" s="479">
        <f t="shared" ref="DR841:DR847" si="509">SUM(CP841,CQ841,CS841,CU841,CX841,CZ841,DB841,DD841,DG841,DJ841,DM841,DP841)</f>
        <v>205856813</v>
      </c>
      <c r="DS841" s="1019">
        <v>25000000</v>
      </c>
      <c r="DT841" s="1019">
        <v>25000000</v>
      </c>
      <c r="DU841" s="1019">
        <v>25000000</v>
      </c>
      <c r="DV841" s="1019">
        <v>25000000</v>
      </c>
      <c r="DW841" s="1019">
        <v>25000000</v>
      </c>
      <c r="DX841" s="1019">
        <v>25000000</v>
      </c>
      <c r="DY841" s="1019">
        <v>25000000</v>
      </c>
      <c r="DZ841" s="1019">
        <v>25000000</v>
      </c>
      <c r="EA841" s="1019">
        <v>25000000</v>
      </c>
      <c r="EB841" s="1019">
        <v>25000000</v>
      </c>
      <c r="EC841" s="1019">
        <v>25000000</v>
      </c>
      <c r="ED841" s="1019">
        <v>25000000</v>
      </c>
      <c r="EE841" s="1119">
        <f t="shared" ref="EE841:EE847" si="510">SUM(DS841,DT841,DU841,DV841,DW841,DX841,DY841,DZ841,EA841,EB841,EC841,ED841)</f>
        <v>300000000</v>
      </c>
      <c r="EF841" s="443">
        <f>EE841*1.17</f>
        <v>351000000</v>
      </c>
      <c r="EG841" s="443">
        <f>EF841*1.08</f>
        <v>379080000</v>
      </c>
      <c r="EH841" s="443">
        <f>EG841*1.09</f>
        <v>413197200.00000006</v>
      </c>
      <c r="EI841" s="443">
        <f>EH841*1.09</f>
        <v>450384948.00000012</v>
      </c>
      <c r="EJ841" s="367">
        <v>8000000015</v>
      </c>
    </row>
    <row r="842" spans="1:141" outlineLevel="2">
      <c r="A842" s="367" t="s">
        <v>194</v>
      </c>
      <c r="B842" s="378"/>
      <c r="C842" s="370" t="s">
        <v>946</v>
      </c>
      <c r="D842" s="370" t="s">
        <v>40</v>
      </c>
      <c r="E842" s="383" t="s">
        <v>956</v>
      </c>
      <c r="F842" s="380">
        <v>3000010040</v>
      </c>
      <c r="G842" s="189"/>
      <c r="H842" s="13"/>
      <c r="I842" s="185"/>
      <c r="J842" s="185"/>
      <c r="K842" s="185"/>
      <c r="L842" s="185"/>
      <c r="M842" s="185"/>
      <c r="N842" s="185"/>
      <c r="O842" s="7"/>
      <c r="P842" s="7"/>
      <c r="Q842" s="7"/>
      <c r="R842" s="7"/>
      <c r="S842" s="14">
        <f>SUM(G842,H842,I842,J842,K842,L842,M842,N842,O842,P842,Q842,R842)</f>
        <v>0</v>
      </c>
      <c r="T842" s="179"/>
      <c r="U842" s="189"/>
      <c r="V842" s="13"/>
      <c r="W842" s="185"/>
      <c r="X842" s="185"/>
      <c r="Y842" s="185"/>
      <c r="Z842" s="185"/>
      <c r="AA842" s="185"/>
      <c r="AB842" s="185"/>
      <c r="AC842" s="7"/>
      <c r="AD842" s="7"/>
      <c r="AE842" s="7"/>
      <c r="AF842" s="7"/>
      <c r="AG842" s="759">
        <f>SUM(U842,V842,W842,X842,Y842,Z842,AA842,AB842,AC842,AD842,AE842,AF842)</f>
        <v>0</v>
      </c>
      <c r="AH842" s="788"/>
      <c r="AI842" s="189"/>
      <c r="AJ842" s="810"/>
      <c r="AK842" s="758"/>
      <c r="AL842" s="758"/>
      <c r="AM842" s="758"/>
      <c r="AN842" s="758"/>
      <c r="AO842" s="758"/>
      <c r="AP842" s="758"/>
      <c r="AQ842" s="518">
        <f>BH842</f>
        <v>0</v>
      </c>
      <c r="AR842" s="518"/>
      <c r="AS842" s="518"/>
      <c r="AT842" s="518"/>
      <c r="AU842" s="518"/>
      <c r="AV842" s="518"/>
      <c r="AW842" s="518"/>
      <c r="AX842" s="518">
        <f t="shared" si="507"/>
        <v>0</v>
      </c>
      <c r="AY842" s="788"/>
      <c r="AZ842" s="189"/>
      <c r="BA842" s="810"/>
      <c r="BB842" s="758"/>
      <c r="BC842" s="758"/>
      <c r="BD842" s="758"/>
      <c r="BE842" s="758"/>
      <c r="BF842" s="758"/>
      <c r="BG842" s="518">
        <f>AP842</f>
        <v>0</v>
      </c>
      <c r="BH842" s="758"/>
      <c r="BI842" s="758">
        <v>600000000</v>
      </c>
      <c r="BJ842" s="758">
        <v>600000000</v>
      </c>
      <c r="BK842" s="758">
        <v>600000000</v>
      </c>
      <c r="BL842" s="759">
        <f>SUM(AZ842,BA842,BB842,BC842,BD842,BE842,BF842,BG842,BH842,BI842,BJ842,BK842)</f>
        <v>1800000000</v>
      </c>
      <c r="BN842" s="189"/>
      <c r="BO842" s="810"/>
      <c r="BP842" s="758"/>
      <c r="BQ842" s="758"/>
      <c r="BR842" s="758"/>
      <c r="BS842" s="758"/>
      <c r="BT842" s="758"/>
      <c r="BU842" s="758"/>
      <c r="BV842" s="758"/>
      <c r="BW842" s="758"/>
      <c r="BX842" s="758"/>
      <c r="BY842" s="758"/>
      <c r="BZ842" s="791">
        <v>0</v>
      </c>
      <c r="CB842" s="189"/>
      <c r="CC842" s="810"/>
      <c r="CD842" s="758"/>
      <c r="CE842" s="758"/>
      <c r="CF842" s="758"/>
      <c r="CG842" s="758"/>
      <c r="CH842" s="758"/>
      <c r="CI842" s="758"/>
      <c r="CJ842" s="758"/>
      <c r="CK842" s="758"/>
      <c r="CL842" s="758"/>
      <c r="CM842" s="758"/>
      <c r="CN842" s="791">
        <v>0</v>
      </c>
      <c r="CP842" s="664"/>
      <c r="CQ842" s="664"/>
      <c r="CR842" s="532"/>
      <c r="CS842" s="664"/>
      <c r="CT842" s="532"/>
      <c r="CU842" s="664"/>
      <c r="CV842" s="532"/>
      <c r="CW842" s="664"/>
      <c r="CX842" s="532"/>
      <c r="CY842" s="664"/>
      <c r="CZ842" s="532"/>
      <c r="DA842" s="664"/>
      <c r="DB842" s="532"/>
      <c r="DC842" s="664"/>
      <c r="DD842" s="532"/>
      <c r="DE842" s="758"/>
      <c r="DF842" s="532"/>
      <c r="DG842" s="757"/>
      <c r="DH842" s="758"/>
      <c r="DI842" s="532"/>
      <c r="DJ842" s="757"/>
      <c r="DK842" s="758"/>
      <c r="DL842" s="532"/>
      <c r="DM842" s="757"/>
      <c r="DN842" s="758"/>
      <c r="DO842" s="532"/>
      <c r="DP842" s="757"/>
      <c r="DQ842" s="493">
        <f t="shared" si="508"/>
        <v>0</v>
      </c>
      <c r="DR842" s="479">
        <f t="shared" si="509"/>
        <v>0</v>
      </c>
      <c r="DS842" s="1187"/>
      <c r="DT842" s="1187"/>
      <c r="DU842" s="1187"/>
      <c r="DV842" s="1187"/>
      <c r="DW842" s="1187"/>
      <c r="DX842" s="1187"/>
      <c r="DY842" s="1187"/>
      <c r="DZ842" s="1187"/>
      <c r="EA842" s="1187"/>
      <c r="EB842" s="1187"/>
      <c r="EC842" s="1187"/>
      <c r="ED842" s="1187"/>
      <c r="EE842" s="1119">
        <f t="shared" si="510"/>
        <v>0</v>
      </c>
      <c r="EF842" s="443">
        <f>EE842*1.17</f>
        <v>0</v>
      </c>
      <c r="EG842" s="443">
        <f>EF842*1.08</f>
        <v>0</v>
      </c>
      <c r="EH842" s="443">
        <f>EG842*1.09</f>
        <v>0</v>
      </c>
      <c r="EI842" s="443">
        <f>EH842*1.09</f>
        <v>0</v>
      </c>
      <c r="EJ842" s="367">
        <v>3000010040</v>
      </c>
    </row>
    <row r="843" spans="1:141" outlineLevel="2">
      <c r="A843" s="367" t="s">
        <v>194</v>
      </c>
      <c r="B843" s="378"/>
      <c r="C843" s="370" t="s">
        <v>946</v>
      </c>
      <c r="D843" s="370" t="s">
        <v>40</v>
      </c>
      <c r="E843" s="383" t="s">
        <v>83</v>
      </c>
      <c r="F843" s="380">
        <v>8000000010</v>
      </c>
      <c r="G843" s="189"/>
      <c r="H843" s="13"/>
      <c r="I843" s="185"/>
      <c r="J843" s="185"/>
      <c r="K843" s="185"/>
      <c r="L843" s="185"/>
      <c r="M843" s="185"/>
      <c r="N843" s="185"/>
      <c r="O843" s="7"/>
      <c r="P843" s="7"/>
      <c r="Q843" s="7"/>
      <c r="R843" s="7"/>
      <c r="S843" s="14"/>
      <c r="T843" s="179"/>
      <c r="U843" s="189"/>
      <c r="V843" s="13"/>
      <c r="W843" s="185"/>
      <c r="X843" s="185"/>
      <c r="Y843" s="185"/>
      <c r="Z843" s="185"/>
      <c r="AA843" s="185"/>
      <c r="AB843" s="185"/>
      <c r="AC843" s="7"/>
      <c r="AD843" s="7"/>
      <c r="AE843" s="7"/>
      <c r="AF843" s="7"/>
      <c r="AG843" s="759"/>
      <c r="AH843" s="788"/>
      <c r="AI843" s="189"/>
      <c r="AJ843" s="810"/>
      <c r="AK843" s="758"/>
      <c r="AL843" s="758"/>
      <c r="AM843" s="758"/>
      <c r="AN843" s="758"/>
      <c r="AO843" s="758"/>
      <c r="AP843" s="758"/>
      <c r="AQ843" s="518">
        <f>BH843</f>
        <v>0</v>
      </c>
      <c r="AR843" s="813">
        <v>52500000</v>
      </c>
      <c r="AS843" s="813">
        <v>0</v>
      </c>
      <c r="AT843" s="813">
        <v>79065000</v>
      </c>
      <c r="AU843" s="518">
        <f>BI843</f>
        <v>0</v>
      </c>
      <c r="AV843" s="518">
        <f>BJ843</f>
        <v>0</v>
      </c>
      <c r="AW843" s="518">
        <f>BK843</f>
        <v>0</v>
      </c>
      <c r="AX843" s="518">
        <f t="shared" si="507"/>
        <v>131565000</v>
      </c>
      <c r="AY843" s="788"/>
      <c r="AZ843" s="189"/>
      <c r="BA843" s="810"/>
      <c r="BB843" s="758"/>
      <c r="BC843" s="758"/>
      <c r="BD843" s="758"/>
      <c r="BE843" s="758"/>
      <c r="BF843" s="758"/>
      <c r="BG843" s="518">
        <f>AP843</f>
        <v>0</v>
      </c>
      <c r="BH843" s="758">
        <v>0</v>
      </c>
      <c r="BI843" s="758">
        <v>0</v>
      </c>
      <c r="BJ843" s="758">
        <v>0</v>
      </c>
      <c r="BK843" s="758">
        <v>0</v>
      </c>
      <c r="BL843" s="759">
        <f>SUM(AZ843,BA843,BB843,BC843,BD843,BE843,BF843,BG843,BH843,BI843,BJ843,BK843)</f>
        <v>0</v>
      </c>
      <c r="BN843" s="189">
        <v>50000000</v>
      </c>
      <c r="BO843" s="810"/>
      <c r="BP843" s="758"/>
      <c r="BQ843" s="758">
        <v>50000000</v>
      </c>
      <c r="BR843" s="758"/>
      <c r="BS843" s="758"/>
      <c r="BT843" s="758">
        <v>50000000</v>
      </c>
      <c r="BU843" s="758"/>
      <c r="BV843" s="758"/>
      <c r="BW843" s="758">
        <v>65000000</v>
      </c>
      <c r="BX843" s="758"/>
      <c r="BY843" s="758"/>
      <c r="BZ843" s="791">
        <v>215000000</v>
      </c>
      <c r="CB843" s="189">
        <v>50000000</v>
      </c>
      <c r="CC843" s="810"/>
      <c r="CD843" s="758"/>
      <c r="CE843" s="758">
        <v>50000000</v>
      </c>
      <c r="CF843" s="758"/>
      <c r="CG843" s="758"/>
      <c r="CH843" s="758">
        <v>50000000</v>
      </c>
      <c r="CI843" s="758"/>
      <c r="CJ843" s="758"/>
      <c r="CK843" s="758">
        <v>65000000</v>
      </c>
      <c r="CL843" s="758"/>
      <c r="CM843" s="758"/>
      <c r="CN843" s="791">
        <v>215000000</v>
      </c>
      <c r="CP843" s="664">
        <v>10419000</v>
      </c>
      <c r="CQ843" s="664"/>
      <c r="CR843" s="532">
        <v>10000000</v>
      </c>
      <c r="CS843" s="664"/>
      <c r="CT843" s="532">
        <v>10000000</v>
      </c>
      <c r="CU843" s="664">
        <v>266964750</v>
      </c>
      <c r="CV843" s="532">
        <v>200000000</v>
      </c>
      <c r="CW843" s="664"/>
      <c r="CX843" s="532">
        <v>200000000</v>
      </c>
      <c r="CY843" s="664"/>
      <c r="CZ843" s="532">
        <v>200000000</v>
      </c>
      <c r="DA843" s="664"/>
      <c r="DB843" s="532">
        <v>50000000</v>
      </c>
      <c r="DC843" s="664">
        <v>84000000</v>
      </c>
      <c r="DD843" s="532">
        <v>50000000</v>
      </c>
      <c r="DE843" s="758"/>
      <c r="DF843" s="532">
        <v>50000000</v>
      </c>
      <c r="DG843" s="757">
        <v>50000000</v>
      </c>
      <c r="DH843" s="758"/>
      <c r="DI843" s="532">
        <v>200000000</v>
      </c>
      <c r="DJ843" s="757">
        <v>200000000</v>
      </c>
      <c r="DK843" s="758"/>
      <c r="DL843" s="532">
        <v>200000000</v>
      </c>
      <c r="DM843" s="757">
        <v>200000000</v>
      </c>
      <c r="DN843" s="758"/>
      <c r="DO843" s="532">
        <v>200000000</v>
      </c>
      <c r="DP843" s="757">
        <v>200000000</v>
      </c>
      <c r="DQ843" s="493">
        <f t="shared" si="508"/>
        <v>1011383750</v>
      </c>
      <c r="DR843" s="479">
        <f t="shared" si="509"/>
        <v>1427383750</v>
      </c>
      <c r="DS843" s="1187">
        <v>200000000</v>
      </c>
      <c r="DT843" s="1187">
        <v>200000000</v>
      </c>
      <c r="DU843" s="1187">
        <v>250000000</v>
      </c>
      <c r="DV843" s="1187">
        <v>250000000</v>
      </c>
      <c r="DW843" s="1187">
        <v>200000000</v>
      </c>
      <c r="DX843" s="1187">
        <v>200000000</v>
      </c>
      <c r="DY843" s="1187">
        <v>200000000</v>
      </c>
      <c r="DZ843" s="1187">
        <v>200000000</v>
      </c>
      <c r="EA843" s="1187">
        <v>200000000</v>
      </c>
      <c r="EB843" s="1187">
        <v>200000000</v>
      </c>
      <c r="EC843" s="1187">
        <v>200000000</v>
      </c>
      <c r="ED843" s="1187">
        <v>200000000</v>
      </c>
      <c r="EE843" s="1119">
        <f t="shared" si="510"/>
        <v>2500000000</v>
      </c>
      <c r="EF843" s="443">
        <f>EE843*1.17</f>
        <v>2925000000</v>
      </c>
      <c r="EG843" s="443">
        <f>EF843*1.08</f>
        <v>3159000000</v>
      </c>
      <c r="EH843" s="453">
        <v>1500000000</v>
      </c>
      <c r="EI843" s="453">
        <v>1500000000</v>
      </c>
      <c r="EJ843" s="367">
        <v>8000000010</v>
      </c>
    </row>
    <row r="844" spans="1:141" outlineLevel="2">
      <c r="A844" s="367" t="s">
        <v>194</v>
      </c>
      <c r="B844" s="378"/>
      <c r="C844" s="370" t="s">
        <v>946</v>
      </c>
      <c r="D844" s="370" t="s">
        <v>40</v>
      </c>
      <c r="E844" s="383" t="s">
        <v>423</v>
      </c>
      <c r="F844" s="380">
        <v>3000004389</v>
      </c>
      <c r="G844" s="189"/>
      <c r="H844" s="13"/>
      <c r="I844" s="185"/>
      <c r="J844" s="185"/>
      <c r="K844" s="185"/>
      <c r="L844" s="185"/>
      <c r="M844" s="185"/>
      <c r="N844" s="185"/>
      <c r="O844" s="7"/>
      <c r="P844" s="7"/>
      <c r="Q844" s="7"/>
      <c r="R844" s="7"/>
      <c r="S844" s="14"/>
      <c r="T844" s="179"/>
      <c r="U844" s="189"/>
      <c r="V844" s="13"/>
      <c r="W844" s="185"/>
      <c r="X844" s="185"/>
      <c r="Y844" s="185"/>
      <c r="Z844" s="185"/>
      <c r="AA844" s="185"/>
      <c r="AB844" s="185"/>
      <c r="AC844" s="7"/>
      <c r="AD844" s="7"/>
      <c r="AE844" s="7"/>
      <c r="AF844" s="7"/>
      <c r="AG844" s="759"/>
      <c r="AH844" s="788"/>
      <c r="AI844" s="189"/>
      <c r="AJ844" s="810"/>
      <c r="AK844" s="758"/>
      <c r="AL844" s="758"/>
      <c r="AM844" s="758"/>
      <c r="AN844" s="758"/>
      <c r="AO844" s="758"/>
      <c r="AP844" s="758"/>
      <c r="AQ844" s="518"/>
      <c r="AR844" s="518"/>
      <c r="AS844" s="518"/>
      <c r="AT844" s="885">
        <v>32480000</v>
      </c>
      <c r="AU844" s="518"/>
      <c r="AV844" s="518"/>
      <c r="AW844" s="518"/>
      <c r="AX844" s="518">
        <f t="shared" si="507"/>
        <v>32480000</v>
      </c>
      <c r="AY844" s="788"/>
      <c r="AZ844" s="189"/>
      <c r="BA844" s="810"/>
      <c r="BB844" s="758"/>
      <c r="BC844" s="758"/>
      <c r="BD844" s="758"/>
      <c r="BE844" s="758"/>
      <c r="BF844" s="758"/>
      <c r="BG844" s="518"/>
      <c r="BH844" s="758"/>
      <c r="BI844" s="758"/>
      <c r="BJ844" s="758"/>
      <c r="BK844" s="758"/>
      <c r="BL844" s="759"/>
      <c r="BN844" s="189"/>
      <c r="BO844" s="810"/>
      <c r="BP844" s="758"/>
      <c r="BQ844" s="758"/>
      <c r="BR844" s="758"/>
      <c r="BS844" s="758"/>
      <c r="BT844" s="758"/>
      <c r="BU844" s="758"/>
      <c r="BV844" s="758"/>
      <c r="BW844" s="758"/>
      <c r="BX844" s="758"/>
      <c r="BY844" s="758"/>
      <c r="BZ844" s="791">
        <v>0</v>
      </c>
      <c r="CB844" s="189"/>
      <c r="CC844" s="810"/>
      <c r="CD844" s="758"/>
      <c r="CE844" s="758"/>
      <c r="CF844" s="758"/>
      <c r="CG844" s="758"/>
      <c r="CH844" s="758"/>
      <c r="CI844" s="758"/>
      <c r="CJ844" s="758"/>
      <c r="CK844" s="758"/>
      <c r="CL844" s="758"/>
      <c r="CM844" s="758"/>
      <c r="CN844" s="791">
        <v>0</v>
      </c>
      <c r="CP844" s="664">
        <v>56000000</v>
      </c>
      <c r="CQ844" s="664">
        <v>75040000</v>
      </c>
      <c r="CR844" s="532">
        <v>75000000</v>
      </c>
      <c r="CS844" s="664">
        <v>80640000</v>
      </c>
      <c r="CT844" s="532">
        <v>75000000</v>
      </c>
      <c r="CU844" s="664">
        <v>64960000</v>
      </c>
      <c r="CV844" s="532">
        <v>75000000</v>
      </c>
      <c r="CW844" s="664">
        <v>20160000</v>
      </c>
      <c r="CX844" s="532">
        <v>75000000</v>
      </c>
      <c r="CY844" s="664">
        <v>69440000</v>
      </c>
      <c r="CZ844" s="532">
        <v>75000000</v>
      </c>
      <c r="DA844" s="664">
        <v>32480000</v>
      </c>
      <c r="DB844" s="532">
        <v>75000000</v>
      </c>
      <c r="DC844" s="664">
        <v>17920000</v>
      </c>
      <c r="DD844" s="532">
        <v>75000000</v>
      </c>
      <c r="DE844" s="524"/>
      <c r="DF844" s="532">
        <v>75000000</v>
      </c>
      <c r="DG844" s="757">
        <v>75000000</v>
      </c>
      <c r="DH844" s="524"/>
      <c r="DI844" s="532">
        <v>75000000</v>
      </c>
      <c r="DJ844" s="757">
        <v>75000000</v>
      </c>
      <c r="DK844" s="524"/>
      <c r="DL844" s="532">
        <v>75000000</v>
      </c>
      <c r="DM844" s="757">
        <v>75000000</v>
      </c>
      <c r="DN844" s="524"/>
      <c r="DO844" s="532">
        <v>75000000</v>
      </c>
      <c r="DP844" s="757">
        <v>75000000</v>
      </c>
      <c r="DQ844" s="493">
        <f t="shared" si="508"/>
        <v>716640000</v>
      </c>
      <c r="DR844" s="479">
        <f t="shared" si="509"/>
        <v>876640000</v>
      </c>
      <c r="DS844" s="1187">
        <v>75000000</v>
      </c>
      <c r="DT844" s="1187">
        <v>75000000</v>
      </c>
      <c r="DU844" s="1187">
        <v>75000000</v>
      </c>
      <c r="DV844" s="1187">
        <v>75000000</v>
      </c>
      <c r="DW844" s="1187">
        <v>75000000</v>
      </c>
      <c r="DX844" s="1187">
        <v>75000000</v>
      </c>
      <c r="DY844" s="1187">
        <v>75000000</v>
      </c>
      <c r="DZ844" s="1187">
        <v>75000000</v>
      </c>
      <c r="EA844" s="1187">
        <v>75000000</v>
      </c>
      <c r="EB844" s="1187">
        <v>75000000</v>
      </c>
      <c r="EC844" s="1187">
        <v>75000000</v>
      </c>
      <c r="ED844" s="1187">
        <v>75000000</v>
      </c>
      <c r="EE844" s="1119">
        <f t="shared" si="510"/>
        <v>900000000</v>
      </c>
      <c r="EF844" s="443"/>
      <c r="EG844" s="443"/>
      <c r="EH844" s="443"/>
      <c r="EI844" s="443"/>
    </row>
    <row r="845" spans="1:141" ht="15" customHeight="1" outlineLevel="2">
      <c r="A845" s="367" t="s">
        <v>196</v>
      </c>
      <c r="B845" s="378"/>
      <c r="C845" s="370" t="s">
        <v>946</v>
      </c>
      <c r="D845" s="370" t="s">
        <v>40</v>
      </c>
      <c r="E845" s="383" t="s">
        <v>274</v>
      </c>
      <c r="F845" s="380">
        <v>3000011817</v>
      </c>
      <c r="G845" s="189"/>
      <c r="H845" s="13"/>
      <c r="I845" s="185"/>
      <c r="J845" s="185"/>
      <c r="K845" s="185"/>
      <c r="L845" s="185"/>
      <c r="M845" s="185"/>
      <c r="N845" s="185"/>
      <c r="O845" s="7"/>
      <c r="P845" s="7"/>
      <c r="Q845" s="7"/>
      <c r="R845" s="7"/>
      <c r="S845" s="14">
        <f>SUM(G845,H845,I845,J845,K845,L845,M845,N845,O845,P845,Q845,R845)</f>
        <v>0</v>
      </c>
      <c r="T845" s="179"/>
      <c r="U845" s="189"/>
      <c r="V845" s="13"/>
      <c r="W845" s="185"/>
      <c r="X845" s="185"/>
      <c r="Y845" s="185"/>
      <c r="Z845" s="185"/>
      <c r="AA845" s="185"/>
      <c r="AB845" s="185"/>
      <c r="AC845" s="7"/>
      <c r="AD845" s="7"/>
      <c r="AE845" s="7"/>
      <c r="AF845" s="7"/>
      <c r="AG845" s="759">
        <f>SUM(U845,V845,W845,X845,Y845,Z845,AA845,AB845,AC845,AD845,AE845,AF845)</f>
        <v>0</v>
      </c>
      <c r="AH845" s="788"/>
      <c r="AI845" s="189"/>
      <c r="AJ845" s="810">
        <v>115038200</v>
      </c>
      <c r="AK845" s="758">
        <v>36869519</v>
      </c>
      <c r="AL845" s="758">
        <v>419067900</v>
      </c>
      <c r="AM845" s="758">
        <v>0</v>
      </c>
      <c r="AN845" s="758">
        <v>296711550</v>
      </c>
      <c r="AO845" s="758"/>
      <c r="AP845" s="758">
        <v>30000000</v>
      </c>
      <c r="AQ845" s="518">
        <v>0</v>
      </c>
      <c r="AR845" s="518"/>
      <c r="AS845" s="518"/>
      <c r="AT845" s="518"/>
      <c r="AU845" s="518">
        <f>BI845</f>
        <v>0</v>
      </c>
      <c r="AV845" s="794">
        <v>0</v>
      </c>
      <c r="AW845" s="518">
        <f>BK845</f>
        <v>0</v>
      </c>
      <c r="AX845" s="518">
        <f t="shared" si="507"/>
        <v>897687169</v>
      </c>
      <c r="AY845" s="788"/>
      <c r="AZ845" s="189"/>
      <c r="BA845" s="810">
        <v>115038200</v>
      </c>
      <c r="BB845" s="758">
        <v>36869519</v>
      </c>
      <c r="BC845" s="758">
        <v>419067900</v>
      </c>
      <c r="BD845" s="758">
        <v>0</v>
      </c>
      <c r="BE845" s="758">
        <v>296711550</v>
      </c>
      <c r="BF845" s="758"/>
      <c r="BG845" s="518">
        <f>AP845</f>
        <v>30000000</v>
      </c>
      <c r="BH845" s="758">
        <v>150000000</v>
      </c>
      <c r="BI845" s="758"/>
      <c r="BJ845" s="758">
        <v>100000000</v>
      </c>
      <c r="BK845" s="758">
        <v>0</v>
      </c>
      <c r="BL845" s="759">
        <f>SUM(AZ845,BA845,BB845,BC845,BD845,BE845,BF845,BG845,BH845,BI845,BJ845,BK845)</f>
        <v>1147687169</v>
      </c>
      <c r="BN845" s="189"/>
      <c r="BO845" s="810">
        <v>150000000</v>
      </c>
      <c r="BP845" s="758"/>
      <c r="BQ845" s="758"/>
      <c r="BR845" s="758">
        <v>200000000</v>
      </c>
      <c r="BS845" s="758"/>
      <c r="BT845" s="758"/>
      <c r="BU845" s="758">
        <v>150000000</v>
      </c>
      <c r="BV845" s="758"/>
      <c r="BW845" s="758"/>
      <c r="BX845" s="758">
        <v>200000000</v>
      </c>
      <c r="BY845" s="758"/>
      <c r="BZ845" s="791">
        <v>700000000</v>
      </c>
      <c r="CB845" s="189"/>
      <c r="CC845" s="810">
        <v>150000000</v>
      </c>
      <c r="CD845" s="758"/>
      <c r="CE845" s="758"/>
      <c r="CF845" s="758">
        <v>200000000</v>
      </c>
      <c r="CG845" s="758"/>
      <c r="CH845" s="758"/>
      <c r="CI845" s="758">
        <v>150000000</v>
      </c>
      <c r="CJ845" s="758"/>
      <c r="CK845" s="758"/>
      <c r="CL845" s="758">
        <v>200000000</v>
      </c>
      <c r="CM845" s="758"/>
      <c r="CN845" s="791">
        <v>700000000</v>
      </c>
      <c r="CP845" s="655"/>
      <c r="CQ845" s="655">
        <v>131096000</v>
      </c>
      <c r="CR845" s="531">
        <v>20000000</v>
      </c>
      <c r="CS845" s="655">
        <v>8468500</v>
      </c>
      <c r="CT845" s="531">
        <v>20000000</v>
      </c>
      <c r="CU845" s="655"/>
      <c r="CV845" s="531">
        <v>20000000</v>
      </c>
      <c r="CW845" s="655">
        <v>189080700</v>
      </c>
      <c r="CX845" s="531">
        <f>500*500000/2</f>
        <v>125000000</v>
      </c>
      <c r="CY845" s="655">
        <v>83973225</v>
      </c>
      <c r="CZ845" s="531">
        <f>500*500000/2</f>
        <v>125000000</v>
      </c>
      <c r="DA845" s="655"/>
      <c r="DB845" s="531">
        <f>500*500000/2+(27000*96000)</f>
        <v>2717000000</v>
      </c>
      <c r="DC845" s="655">
        <v>365153727</v>
      </c>
      <c r="DD845" s="531">
        <f>500*500000/2</f>
        <v>125000000</v>
      </c>
      <c r="DE845" s="531"/>
      <c r="DF845" s="531">
        <v>50000000</v>
      </c>
      <c r="DG845" s="757">
        <v>50000000</v>
      </c>
      <c r="DH845" s="531"/>
      <c r="DI845" s="531">
        <v>75000000</v>
      </c>
      <c r="DJ845" s="757">
        <v>75000000</v>
      </c>
      <c r="DK845" s="531"/>
      <c r="DL845" s="531">
        <v>125000000</v>
      </c>
      <c r="DM845" s="757">
        <v>125000000</v>
      </c>
      <c r="DN845" s="531"/>
      <c r="DO845" s="531">
        <v>125000000</v>
      </c>
      <c r="DP845" s="757">
        <v>125000000</v>
      </c>
      <c r="DQ845" s="493">
        <f t="shared" si="508"/>
        <v>1152772152</v>
      </c>
      <c r="DR845" s="479">
        <f t="shared" si="509"/>
        <v>3606564500</v>
      </c>
      <c r="DS845" s="1019">
        <v>350000000</v>
      </c>
      <c r="DT845" s="1019">
        <v>350000000</v>
      </c>
      <c r="DU845" s="1019">
        <v>350000000</v>
      </c>
      <c r="DV845" s="1019">
        <v>325000000</v>
      </c>
      <c r="DW845" s="1019">
        <v>325000000</v>
      </c>
      <c r="DX845" s="1019">
        <v>325000000</v>
      </c>
      <c r="DY845" s="1019">
        <v>325000000</v>
      </c>
      <c r="DZ845" s="1019">
        <v>325000000</v>
      </c>
      <c r="EA845" s="1019">
        <v>325000000</v>
      </c>
      <c r="EB845" s="1019">
        <v>350000000</v>
      </c>
      <c r="EC845" s="1019">
        <v>350000000</v>
      </c>
      <c r="ED845" s="1019">
        <v>350000000</v>
      </c>
      <c r="EE845" s="1119">
        <f t="shared" si="510"/>
        <v>4050000000</v>
      </c>
      <c r="EF845" s="443">
        <f>EE845*1.17</f>
        <v>4738500000</v>
      </c>
      <c r="EG845" s="443">
        <f>EF845*1.08</f>
        <v>5117580000</v>
      </c>
      <c r="EH845" s="453">
        <v>2000000000</v>
      </c>
      <c r="EI845" s="453">
        <v>2000000000</v>
      </c>
      <c r="EJ845" s="367">
        <v>3000011817</v>
      </c>
    </row>
    <row r="846" spans="1:141" ht="15" customHeight="1" outlineLevel="2">
      <c r="A846" s="367" t="s">
        <v>194</v>
      </c>
      <c r="B846" s="378"/>
      <c r="C846" s="370" t="s">
        <v>946</v>
      </c>
      <c r="D846" s="370" t="s">
        <v>40</v>
      </c>
      <c r="E846" s="383" t="s">
        <v>888</v>
      </c>
      <c r="F846" s="380">
        <v>3000005420</v>
      </c>
      <c r="G846" s="189"/>
      <c r="H846" s="13"/>
      <c r="I846" s="185"/>
      <c r="J846" s="185"/>
      <c r="K846" s="185"/>
      <c r="L846" s="185"/>
      <c r="M846" s="185"/>
      <c r="N846" s="185"/>
      <c r="O846" s="7"/>
      <c r="P846" s="7"/>
      <c r="Q846" s="7"/>
      <c r="R846" s="7"/>
      <c r="S846" s="14">
        <f>SUM(G846,H846,I846,J846,K846,L846,M846,N846,O846,P846,Q846,R846)</f>
        <v>0</v>
      </c>
      <c r="T846" s="179"/>
      <c r="U846" s="189"/>
      <c r="V846" s="13"/>
      <c r="W846" s="185"/>
      <c r="X846" s="185"/>
      <c r="Y846" s="185"/>
      <c r="Z846" s="185"/>
      <c r="AA846" s="185"/>
      <c r="AB846" s="185"/>
      <c r="AC846" s="7"/>
      <c r="AD846" s="7"/>
      <c r="AE846" s="7"/>
      <c r="AF846" s="7"/>
      <c r="AG846" s="759">
        <f>SUM(U846,V846,W846,X846,Y846,Z846,AA846,AB846,AC846,AD846,AE846,AF846)</f>
        <v>0</v>
      </c>
      <c r="AH846" s="788"/>
      <c r="AI846" s="189"/>
      <c r="AJ846" s="810"/>
      <c r="AK846" s="758"/>
      <c r="AL846" s="758"/>
      <c r="AM846" s="758"/>
      <c r="AN846" s="758"/>
      <c r="AO846" s="758">
        <v>38250000</v>
      </c>
      <c r="AP846" s="758"/>
      <c r="AQ846" s="518">
        <v>-38250000</v>
      </c>
      <c r="AR846" s="518"/>
      <c r="AS846" s="518"/>
      <c r="AT846" s="518"/>
      <c r="AU846" s="518">
        <f>BI846</f>
        <v>0</v>
      </c>
      <c r="AV846" s="518">
        <f>BJ846</f>
        <v>0</v>
      </c>
      <c r="AW846" s="518">
        <f>BK846</f>
        <v>0</v>
      </c>
      <c r="AX846" s="518">
        <f t="shared" si="507"/>
        <v>0</v>
      </c>
      <c r="AY846" s="788"/>
      <c r="AZ846" s="189"/>
      <c r="BA846" s="810"/>
      <c r="BB846" s="758"/>
      <c r="BC846" s="758"/>
      <c r="BD846" s="758"/>
      <c r="BE846" s="758"/>
      <c r="BF846" s="758">
        <v>38250000</v>
      </c>
      <c r="BG846" s="518">
        <f>AP846</f>
        <v>0</v>
      </c>
      <c r="BH846" s="758"/>
      <c r="BI846" s="758"/>
      <c r="BJ846" s="758"/>
      <c r="BK846" s="758"/>
      <c r="BL846" s="759">
        <f>SUM(AZ846,BA846,BB846,BC846,BD846,BE846,BF846,BG846,BH846,BI846,BJ846,BK846)</f>
        <v>38250000</v>
      </c>
      <c r="BN846" s="189"/>
      <c r="BO846" s="810"/>
      <c r="BP846" s="758"/>
      <c r="BQ846" s="758"/>
      <c r="BR846" s="758"/>
      <c r="BS846" s="758"/>
      <c r="BT846" s="758"/>
      <c r="BU846" s="758"/>
      <c r="BV846" s="758"/>
      <c r="BW846" s="758"/>
      <c r="BX846" s="758"/>
      <c r="BY846" s="758"/>
      <c r="BZ846" s="791">
        <v>0</v>
      </c>
      <c r="CB846" s="189"/>
      <c r="CC846" s="810"/>
      <c r="CD846" s="758"/>
      <c r="CE846" s="758"/>
      <c r="CF846" s="758"/>
      <c r="CG846" s="758"/>
      <c r="CH846" s="758"/>
      <c r="CI846" s="758"/>
      <c r="CJ846" s="758"/>
      <c r="CK846" s="758"/>
      <c r="CL846" s="758"/>
      <c r="CM846" s="758"/>
      <c r="CN846" s="791">
        <v>0</v>
      </c>
      <c r="CP846" s="664"/>
      <c r="CQ846" s="664"/>
      <c r="CR846" s="532"/>
      <c r="CS846" s="664"/>
      <c r="CT846" s="532"/>
      <c r="CU846" s="664"/>
      <c r="CV846" s="532"/>
      <c r="CW846" s="664"/>
      <c r="CX846" s="532"/>
      <c r="CY846" s="664"/>
      <c r="CZ846" s="532"/>
      <c r="DA846" s="664"/>
      <c r="DB846" s="532"/>
      <c r="DC846" s="664"/>
      <c r="DD846" s="532"/>
      <c r="DE846" s="758"/>
      <c r="DF846" s="532"/>
      <c r="DG846" s="757"/>
      <c r="DH846" s="758"/>
      <c r="DI846" s="532"/>
      <c r="DJ846" s="757"/>
      <c r="DK846" s="758"/>
      <c r="DL846" s="532"/>
      <c r="DM846" s="757"/>
      <c r="DN846" s="758"/>
      <c r="DO846" s="532"/>
      <c r="DP846" s="757"/>
      <c r="DQ846" s="493">
        <f t="shared" si="508"/>
        <v>0</v>
      </c>
      <c r="DR846" s="479">
        <f t="shared" si="509"/>
        <v>0</v>
      </c>
      <c r="DS846" s="1187"/>
      <c r="DT846" s="1187"/>
      <c r="DU846" s="1187"/>
      <c r="DV846" s="1187"/>
      <c r="DW846" s="1187"/>
      <c r="DX846" s="1187"/>
      <c r="DY846" s="1187"/>
      <c r="DZ846" s="1187"/>
      <c r="EA846" s="1187"/>
      <c r="EB846" s="1187"/>
      <c r="EC846" s="1187"/>
      <c r="ED846" s="1187"/>
      <c r="EE846" s="1119">
        <f t="shared" si="510"/>
        <v>0</v>
      </c>
      <c r="EF846" s="443">
        <f>EE846*1.17</f>
        <v>0</v>
      </c>
      <c r="EG846" s="443">
        <f>EF846*1.08</f>
        <v>0</v>
      </c>
      <c r="EH846" s="443">
        <f>EG846*1.09</f>
        <v>0</v>
      </c>
      <c r="EI846" s="443">
        <f>EH846*1.09</f>
        <v>0</v>
      </c>
      <c r="EJ846" s="367">
        <v>3000005420</v>
      </c>
    </row>
    <row r="847" spans="1:141" outlineLevel="2">
      <c r="A847" s="367" t="s">
        <v>276</v>
      </c>
      <c r="B847" s="378"/>
      <c r="C847" s="370" t="s">
        <v>946</v>
      </c>
      <c r="D847" s="370" t="s">
        <v>40</v>
      </c>
      <c r="E847" s="383" t="s">
        <v>277</v>
      </c>
      <c r="F847" s="390"/>
      <c r="G847" s="189"/>
      <c r="H847" s="13"/>
      <c r="I847" s="185"/>
      <c r="J847" s="185"/>
      <c r="K847" s="185"/>
      <c r="L847" s="185"/>
      <c r="M847" s="185"/>
      <c r="N847" s="185"/>
      <c r="O847" s="7"/>
      <c r="P847" s="7"/>
      <c r="Q847" s="7"/>
      <c r="R847" s="7"/>
      <c r="S847" s="14"/>
      <c r="T847" s="179"/>
      <c r="U847" s="189"/>
      <c r="V847" s="13"/>
      <c r="W847" s="185"/>
      <c r="X847" s="185"/>
      <c r="Y847" s="185"/>
      <c r="Z847" s="185"/>
      <c r="AA847" s="185"/>
      <c r="AB847" s="185"/>
      <c r="AC847" s="7"/>
      <c r="AD847" s="7"/>
      <c r="AE847" s="7"/>
      <c r="AF847" s="7"/>
      <c r="AG847" s="759"/>
      <c r="AH847" s="788"/>
      <c r="AI847" s="189"/>
      <c r="AJ847" s="810"/>
      <c r="AK847" s="758"/>
      <c r="AL847" s="758"/>
      <c r="AM847" s="758"/>
      <c r="AN847" s="758"/>
      <c r="AO847" s="758"/>
      <c r="AP847" s="758"/>
      <c r="AQ847" s="518"/>
      <c r="AR847" s="518"/>
      <c r="AS847" s="518"/>
      <c r="AT847" s="885">
        <v>32480000</v>
      </c>
      <c r="AU847" s="518"/>
      <c r="AV847" s="518"/>
      <c r="AW847" s="518"/>
      <c r="AX847" s="518">
        <f t="shared" si="507"/>
        <v>32480000</v>
      </c>
      <c r="AY847" s="788"/>
      <c r="AZ847" s="189"/>
      <c r="BA847" s="810"/>
      <c r="BB847" s="758"/>
      <c r="BC847" s="758"/>
      <c r="BD847" s="758"/>
      <c r="BE847" s="758"/>
      <c r="BF847" s="758"/>
      <c r="BG847" s="518"/>
      <c r="BH847" s="758"/>
      <c r="BI847" s="758"/>
      <c r="BJ847" s="758"/>
      <c r="BK847" s="758"/>
      <c r="BL847" s="759"/>
      <c r="BN847" s="189"/>
      <c r="BO847" s="810"/>
      <c r="BP847" s="758"/>
      <c r="BQ847" s="758"/>
      <c r="BR847" s="758"/>
      <c r="BS847" s="758"/>
      <c r="BT847" s="758"/>
      <c r="BU847" s="758"/>
      <c r="BV847" s="758"/>
      <c r="BW847" s="758"/>
      <c r="BX847" s="758"/>
      <c r="BY847" s="758"/>
      <c r="BZ847" s="791">
        <v>0</v>
      </c>
      <c r="CB847" s="189"/>
      <c r="CC847" s="810"/>
      <c r="CD847" s="758"/>
      <c r="CE847" s="758"/>
      <c r="CF847" s="758"/>
      <c r="CG847" s="758"/>
      <c r="CH847" s="758"/>
      <c r="CI847" s="758"/>
      <c r="CJ847" s="758"/>
      <c r="CK847" s="758"/>
      <c r="CL847" s="758"/>
      <c r="CM847" s="758"/>
      <c r="CN847" s="791">
        <v>0</v>
      </c>
      <c r="CP847" s="664"/>
      <c r="CQ847" s="664"/>
      <c r="CR847" s="532"/>
      <c r="CS847" s="664"/>
      <c r="CT847" s="532"/>
      <c r="CU847" s="664"/>
      <c r="CV847" s="532"/>
      <c r="CW847" s="664"/>
      <c r="CX847" s="532">
        <v>0</v>
      </c>
      <c r="CY847" s="664"/>
      <c r="CZ847" s="532">
        <v>0</v>
      </c>
      <c r="DA847" s="664"/>
      <c r="DB847" s="532"/>
      <c r="DC847" s="664"/>
      <c r="DD847" s="532"/>
      <c r="DE847" s="532"/>
      <c r="DF847" s="532"/>
      <c r="DG847" s="757"/>
      <c r="DH847" s="532"/>
      <c r="DI847" s="532"/>
      <c r="DJ847" s="757"/>
      <c r="DK847" s="532"/>
      <c r="DL847" s="532">
        <f>8000*96000</f>
        <v>768000000</v>
      </c>
      <c r="DM847" s="757">
        <f>8000*96000</f>
        <v>768000000</v>
      </c>
      <c r="DN847" s="532"/>
      <c r="DO847" s="532"/>
      <c r="DP847" s="757"/>
      <c r="DQ847" s="493">
        <f t="shared" si="508"/>
        <v>768000000</v>
      </c>
      <c r="DR847" s="479">
        <f t="shared" si="509"/>
        <v>768000000</v>
      </c>
      <c r="DS847" s="1187"/>
      <c r="DT847" s="1187"/>
      <c r="DU847" s="1187"/>
      <c r="DV847" s="1187"/>
      <c r="DW847" s="1187"/>
      <c r="DX847" s="1187"/>
      <c r="DY847" s="1187"/>
      <c r="DZ847" s="1187"/>
      <c r="EA847" s="1187"/>
      <c r="EB847" s="1187"/>
      <c r="EC847" s="1187"/>
      <c r="ED847" s="1187"/>
      <c r="EE847" s="1119">
        <f t="shared" si="510"/>
        <v>0</v>
      </c>
      <c r="EF847" s="443"/>
      <c r="EG847" s="443"/>
      <c r="EH847" s="443"/>
      <c r="EI847" s="443"/>
    </row>
    <row r="848" spans="1:141" s="8" customFormat="1" ht="18.5" outlineLevel="2">
      <c r="A848" s="389"/>
      <c r="B848" s="429"/>
      <c r="C848" s="430"/>
      <c r="D848" s="430"/>
      <c r="E848" s="431" t="s">
        <v>474</v>
      </c>
      <c r="F848" s="390"/>
      <c r="G848" s="240"/>
      <c r="H848" s="240"/>
      <c r="I848" s="240"/>
      <c r="J848" s="240"/>
      <c r="K848" s="240"/>
      <c r="L848" s="240"/>
      <c r="M848" s="240"/>
      <c r="N848" s="240"/>
      <c r="O848" s="240"/>
      <c r="P848" s="240"/>
      <c r="Q848" s="240"/>
      <c r="R848" s="240"/>
      <c r="S848" s="49"/>
      <c r="T848" s="179"/>
      <c r="U848" s="240"/>
      <c r="V848" s="240"/>
      <c r="W848" s="240"/>
      <c r="X848" s="240"/>
      <c r="Y848" s="240"/>
      <c r="Z848" s="240"/>
      <c r="AA848" s="240"/>
      <c r="AB848" s="240"/>
      <c r="AC848" s="240"/>
      <c r="AD848" s="240"/>
      <c r="AE848" s="240"/>
      <c r="AF848" s="240"/>
      <c r="AG848" s="774"/>
      <c r="AH848" s="788"/>
      <c r="AI848" s="862"/>
      <c r="AJ848" s="863"/>
      <c r="AK848" s="774"/>
      <c r="AL848" s="774"/>
      <c r="AM848" s="774"/>
      <c r="AN848" s="774"/>
      <c r="AO848" s="774"/>
      <c r="AP848" s="774"/>
      <c r="AQ848" s="774"/>
      <c r="AR848" s="774"/>
      <c r="AS848" s="774"/>
      <c r="AT848" s="774"/>
      <c r="AU848" s="774"/>
      <c r="AV848" s="774"/>
      <c r="AW848" s="774"/>
      <c r="AX848" s="774"/>
      <c r="AY848" s="788"/>
      <c r="AZ848" s="862"/>
      <c r="BA848" s="863"/>
      <c r="BB848" s="774"/>
      <c r="BC848" s="774"/>
      <c r="BD848" s="774"/>
      <c r="BE848" s="774"/>
      <c r="BF848" s="774"/>
      <c r="BG848" s="774"/>
      <c r="BH848" s="774"/>
      <c r="BI848" s="774"/>
      <c r="BJ848" s="774"/>
      <c r="BK848" s="774"/>
      <c r="BL848" s="774"/>
      <c r="BM848" s="3"/>
      <c r="BN848" s="483"/>
      <c r="BO848" s="864"/>
      <c r="BP848" s="774"/>
      <c r="BQ848" s="774"/>
      <c r="BR848" s="774"/>
      <c r="BS848" s="774"/>
      <c r="BT848" s="774"/>
      <c r="BU848" s="774"/>
      <c r="BV848" s="774"/>
      <c r="BW848" s="774"/>
      <c r="BX848" s="774"/>
      <c r="BY848" s="774"/>
      <c r="BZ848" s="865"/>
      <c r="CA848" s="3"/>
      <c r="CB848" s="483"/>
      <c r="CC848" s="864"/>
      <c r="CD848" s="774"/>
      <c r="CE848" s="774"/>
      <c r="CF848" s="774"/>
      <c r="CG848" s="774"/>
      <c r="CH848" s="774"/>
      <c r="CI848" s="774"/>
      <c r="CJ848" s="774"/>
      <c r="CK848" s="774"/>
      <c r="CL848" s="774"/>
      <c r="CM848" s="774"/>
      <c r="CN848" s="865"/>
      <c r="CO848" s="3"/>
      <c r="CP848" s="483"/>
      <c r="CQ848" s="483"/>
      <c r="CR848" s="483"/>
      <c r="CS848" s="483"/>
      <c r="CT848" s="483"/>
      <c r="CU848" s="483"/>
      <c r="CV848" s="483"/>
      <c r="CW848" s="483"/>
      <c r="CX848" s="483"/>
      <c r="CY848" s="483"/>
      <c r="CZ848" s="483"/>
      <c r="DA848" s="483"/>
      <c r="DB848" s="483"/>
      <c r="DC848" s="483"/>
      <c r="DD848" s="483"/>
      <c r="DE848" s="774"/>
      <c r="DF848" s="483"/>
      <c r="DG848" s="483"/>
      <c r="DH848" s="774"/>
      <c r="DI848" s="483"/>
      <c r="DJ848" s="483"/>
      <c r="DK848" s="774"/>
      <c r="DL848" s="483"/>
      <c r="DM848" s="483"/>
      <c r="DN848" s="774"/>
      <c r="DO848" s="483"/>
      <c r="DP848" s="483"/>
      <c r="DQ848" s="500"/>
      <c r="DR848" s="500"/>
      <c r="DS848" s="1181"/>
      <c r="DT848" s="1181"/>
      <c r="DU848" s="1181"/>
      <c r="DV848" s="1181"/>
      <c r="DW848" s="1181"/>
      <c r="DX848" s="1181"/>
      <c r="DY848" s="1181"/>
      <c r="DZ848" s="1181"/>
      <c r="EA848" s="1181"/>
      <c r="EB848" s="1181"/>
      <c r="EC848" s="1181"/>
      <c r="ED848" s="1181"/>
      <c r="EE848" s="1147"/>
      <c r="EF848" s="453"/>
      <c r="EG848" s="453"/>
      <c r="EH848" s="453"/>
      <c r="EI848" s="453"/>
      <c r="EJ848" s="389"/>
      <c r="EK848" s="389"/>
    </row>
    <row r="849" spans="1:141" s="241" customFormat="1" ht="18.5" outlineLevel="2">
      <c r="A849" s="413"/>
      <c r="B849" s="414"/>
      <c r="C849" s="415"/>
      <c r="D849" s="415"/>
      <c r="E849" s="416" t="s">
        <v>531</v>
      </c>
      <c r="F849" s="417"/>
      <c r="G849" s="242"/>
      <c r="H849" s="242"/>
      <c r="I849" s="242"/>
      <c r="J849" s="242"/>
      <c r="K849" s="242"/>
      <c r="L849" s="242"/>
      <c r="M849" s="242"/>
      <c r="N849" s="242"/>
      <c r="O849" s="242"/>
      <c r="P849" s="242"/>
      <c r="Q849" s="242"/>
      <c r="R849" s="242"/>
      <c r="S849" s="243"/>
      <c r="T849" s="244"/>
      <c r="U849" s="242"/>
      <c r="V849" s="242"/>
      <c r="W849" s="242"/>
      <c r="X849" s="242"/>
      <c r="Y849" s="242"/>
      <c r="Z849" s="242"/>
      <c r="AA849" s="242"/>
      <c r="AB849" s="242"/>
      <c r="AC849" s="242"/>
      <c r="AD849" s="242"/>
      <c r="AE849" s="242"/>
      <c r="AF849" s="242"/>
      <c r="AG849" s="844"/>
      <c r="AH849" s="788"/>
      <c r="AI849" s="845"/>
      <c r="AJ849" s="846"/>
      <c r="AK849" s="844"/>
      <c r="AL849" s="844"/>
      <c r="AM849" s="844"/>
      <c r="AN849" s="844"/>
      <c r="AO849" s="844"/>
      <c r="AP849" s="844"/>
      <c r="AQ849" s="844"/>
      <c r="AR849" s="844"/>
      <c r="AS849" s="844"/>
      <c r="AT849" s="844"/>
      <c r="AU849" s="844"/>
      <c r="AV849" s="844"/>
      <c r="AW849" s="844"/>
      <c r="AX849" s="844"/>
      <c r="AY849" s="788"/>
      <c r="AZ849" s="845"/>
      <c r="BA849" s="846"/>
      <c r="BB849" s="844"/>
      <c r="BC849" s="844"/>
      <c r="BD849" s="844"/>
      <c r="BE849" s="844"/>
      <c r="BF849" s="844"/>
      <c r="BG849" s="844"/>
      <c r="BH849" s="844"/>
      <c r="BI849" s="844"/>
      <c r="BJ849" s="844"/>
      <c r="BK849" s="844"/>
      <c r="BL849" s="844"/>
      <c r="BM849" s="3"/>
      <c r="BN849" s="468">
        <f t="shared" ref="BN849:BZ849" si="511">SUM(BN850:BN852)</f>
        <v>195000000</v>
      </c>
      <c r="BO849" s="468">
        <f t="shared" si="511"/>
        <v>235000000</v>
      </c>
      <c r="BP849" s="468">
        <f t="shared" si="511"/>
        <v>235000000</v>
      </c>
      <c r="BQ849" s="468">
        <f t="shared" si="511"/>
        <v>235000000</v>
      </c>
      <c r="BR849" s="468">
        <f t="shared" si="511"/>
        <v>235000000</v>
      </c>
      <c r="BS849" s="468">
        <f t="shared" si="511"/>
        <v>235000000</v>
      </c>
      <c r="BT849" s="468">
        <f t="shared" si="511"/>
        <v>235000000</v>
      </c>
      <c r="BU849" s="468">
        <f t="shared" si="511"/>
        <v>235000000</v>
      </c>
      <c r="BV849" s="468">
        <f t="shared" si="511"/>
        <v>235000000</v>
      </c>
      <c r="BW849" s="468">
        <f t="shared" si="511"/>
        <v>235000000</v>
      </c>
      <c r="BX849" s="468">
        <f t="shared" si="511"/>
        <v>235000000</v>
      </c>
      <c r="BY849" s="468">
        <f t="shared" si="511"/>
        <v>235000000</v>
      </c>
      <c r="BZ849" s="468">
        <f t="shared" si="511"/>
        <v>2780000000</v>
      </c>
      <c r="CA849" s="3"/>
      <c r="CB849" s="866"/>
      <c r="CC849" s="867"/>
      <c r="CD849" s="844"/>
      <c r="CE849" s="844"/>
      <c r="CF849" s="844"/>
      <c r="CG849" s="844"/>
      <c r="CH849" s="844"/>
      <c r="CI849" s="844"/>
      <c r="CJ849" s="844"/>
      <c r="CK849" s="844"/>
      <c r="CL849" s="844"/>
      <c r="CM849" s="844"/>
      <c r="CN849" s="868"/>
      <c r="CO849" s="3"/>
      <c r="CP849" s="468">
        <f>SUM(CP850:CP852)</f>
        <v>0</v>
      </c>
      <c r="CQ849" s="468">
        <f t="shared" ref="CQ849:EI849" si="512">SUM(CQ850:CQ852)</f>
        <v>0</v>
      </c>
      <c r="CR849" s="468">
        <f t="shared" si="512"/>
        <v>0</v>
      </c>
      <c r="CS849" s="468">
        <f t="shared" si="512"/>
        <v>0</v>
      </c>
      <c r="CT849" s="468">
        <f t="shared" si="512"/>
        <v>0</v>
      </c>
      <c r="CU849" s="468">
        <f t="shared" si="512"/>
        <v>0</v>
      </c>
      <c r="CV849" s="468">
        <f t="shared" si="512"/>
        <v>0</v>
      </c>
      <c r="CW849" s="468">
        <f t="shared" si="512"/>
        <v>0</v>
      </c>
      <c r="CX849" s="468">
        <f t="shared" si="512"/>
        <v>0</v>
      </c>
      <c r="CY849" s="468">
        <f t="shared" si="512"/>
        <v>0</v>
      </c>
      <c r="CZ849" s="468">
        <f t="shared" si="512"/>
        <v>0</v>
      </c>
      <c r="DA849" s="468">
        <f t="shared" si="512"/>
        <v>0</v>
      </c>
      <c r="DB849" s="468">
        <f t="shared" si="512"/>
        <v>0</v>
      </c>
      <c r="DC849" s="468">
        <f t="shared" si="512"/>
        <v>0</v>
      </c>
      <c r="DD849" s="468">
        <f t="shared" si="512"/>
        <v>0</v>
      </c>
      <c r="DE849" s="468">
        <f t="shared" si="512"/>
        <v>0</v>
      </c>
      <c r="DF849" s="468">
        <f>SUM(DF850:DF852)</f>
        <v>0</v>
      </c>
      <c r="DG849" s="468">
        <f t="shared" si="512"/>
        <v>0</v>
      </c>
      <c r="DH849" s="468">
        <f t="shared" si="512"/>
        <v>0</v>
      </c>
      <c r="DI849" s="468">
        <f>SUM(DI850:DI852)</f>
        <v>0</v>
      </c>
      <c r="DJ849" s="468">
        <f t="shared" si="512"/>
        <v>0</v>
      </c>
      <c r="DK849" s="468">
        <f t="shared" si="512"/>
        <v>0</v>
      </c>
      <c r="DL849" s="468">
        <f>SUM(DL850:DL852)</f>
        <v>0</v>
      </c>
      <c r="DM849" s="468">
        <f>SUM(DM850:DM852)</f>
        <v>0</v>
      </c>
      <c r="DN849" s="468">
        <f t="shared" si="512"/>
        <v>0</v>
      </c>
      <c r="DO849" s="468">
        <f>SUM(DO850:DO852)</f>
        <v>0</v>
      </c>
      <c r="DP849" s="468">
        <f t="shared" si="512"/>
        <v>0</v>
      </c>
      <c r="DQ849" s="468">
        <f t="shared" si="512"/>
        <v>0</v>
      </c>
      <c r="DR849" s="468">
        <f t="shared" si="512"/>
        <v>0</v>
      </c>
      <c r="DS849" s="445">
        <f t="shared" ref="DS849" si="513">SUM(DS850:DS852)</f>
        <v>0</v>
      </c>
      <c r="DT849" s="445">
        <f t="shared" si="512"/>
        <v>0</v>
      </c>
      <c r="DU849" s="445">
        <f t="shared" si="512"/>
        <v>0</v>
      </c>
      <c r="DV849" s="445">
        <f t="shared" si="512"/>
        <v>0</v>
      </c>
      <c r="DW849" s="445">
        <f t="shared" si="512"/>
        <v>0</v>
      </c>
      <c r="DX849" s="445">
        <f t="shared" si="512"/>
        <v>0</v>
      </c>
      <c r="DY849" s="445">
        <f t="shared" si="512"/>
        <v>0</v>
      </c>
      <c r="DZ849" s="445">
        <f t="shared" si="512"/>
        <v>0</v>
      </c>
      <c r="EA849" s="445">
        <f t="shared" si="512"/>
        <v>0</v>
      </c>
      <c r="EB849" s="445">
        <f t="shared" si="512"/>
        <v>0</v>
      </c>
      <c r="EC849" s="445">
        <f t="shared" si="512"/>
        <v>0</v>
      </c>
      <c r="ED849" s="445">
        <f t="shared" si="512"/>
        <v>0</v>
      </c>
      <c r="EE849" s="1120"/>
      <c r="EF849" s="445">
        <f t="shared" si="512"/>
        <v>0</v>
      </c>
      <c r="EG849" s="445">
        <f t="shared" si="512"/>
        <v>0</v>
      </c>
      <c r="EH849" s="445">
        <f t="shared" si="512"/>
        <v>0</v>
      </c>
      <c r="EI849" s="445">
        <f t="shared" si="512"/>
        <v>0</v>
      </c>
      <c r="EJ849" s="413"/>
      <c r="EK849" s="413"/>
    </row>
    <row r="850" spans="1:141" outlineLevel="2">
      <c r="A850" s="367" t="s">
        <v>194</v>
      </c>
      <c r="B850" s="378"/>
      <c r="C850" s="370" t="s">
        <v>946</v>
      </c>
      <c r="D850" s="297" t="s">
        <v>121</v>
      </c>
      <c r="E850" s="383" t="s">
        <v>655</v>
      </c>
      <c r="F850" s="380" t="s">
        <v>656</v>
      </c>
      <c r="G850" s="189"/>
      <c r="H850" s="13"/>
      <c r="I850" s="185"/>
      <c r="J850" s="185"/>
      <c r="K850" s="185"/>
      <c r="L850" s="185"/>
      <c r="M850" s="185"/>
      <c r="N850" s="185"/>
      <c r="O850" s="7"/>
      <c r="P850" s="7"/>
      <c r="Q850" s="7"/>
      <c r="R850" s="7"/>
      <c r="S850" s="14">
        <f>SUM(G850,H850,I850,J850,K850,L850,M850,N850,O850,P850,Q850,R850)</f>
        <v>0</v>
      </c>
      <c r="T850" s="179"/>
      <c r="U850" s="189"/>
      <c r="V850" s="13"/>
      <c r="W850" s="185"/>
      <c r="X850" s="185"/>
      <c r="Y850" s="185"/>
      <c r="Z850" s="185"/>
      <c r="AA850" s="185"/>
      <c r="AB850" s="185"/>
      <c r="AC850" s="7"/>
      <c r="AD850" s="7"/>
      <c r="AE850" s="7"/>
      <c r="AF850" s="7"/>
      <c r="AG850" s="759">
        <f>SUM(U850,V850,W850,X850,Y850,Z850,AA850,AB850,AC850,AD850,AE850,AF850)</f>
        <v>0</v>
      </c>
      <c r="AH850" s="788"/>
      <c r="AI850" s="189"/>
      <c r="AJ850" s="810"/>
      <c r="AK850" s="758"/>
      <c r="AL850" s="758"/>
      <c r="AM850" s="758"/>
      <c r="AN850" s="758"/>
      <c r="AO850" s="758"/>
      <c r="AP850" s="758"/>
      <c r="AQ850" s="518">
        <f>BH850</f>
        <v>0</v>
      </c>
      <c r="AR850" s="518"/>
      <c r="AS850" s="518"/>
      <c r="AT850" s="518"/>
      <c r="AU850" s="518">
        <f>BI850</f>
        <v>0</v>
      </c>
      <c r="AV850" s="794">
        <f>75000000</f>
        <v>75000000</v>
      </c>
      <c r="AW850" s="794">
        <f>75000000</f>
        <v>75000000</v>
      </c>
      <c r="AX850" s="518">
        <f>SUM(AI850,AJ850,AK850,AL850,AM850,AN850,AO850,AP850,AQ850,AR850,AS850,AT850)</f>
        <v>0</v>
      </c>
      <c r="AY850" s="788"/>
      <c r="AZ850" s="189"/>
      <c r="BA850" s="810"/>
      <c r="BB850" s="758"/>
      <c r="BC850" s="758"/>
      <c r="BD850" s="758"/>
      <c r="BE850" s="758"/>
      <c r="BF850" s="758"/>
      <c r="BG850" s="518">
        <f>AP850</f>
        <v>0</v>
      </c>
      <c r="BH850" s="758"/>
      <c r="BI850" s="758"/>
      <c r="BJ850" s="758"/>
      <c r="BK850" s="758"/>
      <c r="BL850" s="759">
        <f>SUM(AZ850,BA850,BB850,BC850,BD850,BE850,BF850,BG850,BH850,BI850,BJ850,BK850)</f>
        <v>0</v>
      </c>
      <c r="BN850" s="886">
        <v>130000000</v>
      </c>
      <c r="BO850" s="810">
        <v>130000000</v>
      </c>
      <c r="BP850" s="758">
        <v>130000000</v>
      </c>
      <c r="BQ850" s="758">
        <v>130000000</v>
      </c>
      <c r="BR850" s="758">
        <v>130000000</v>
      </c>
      <c r="BS850" s="758">
        <v>130000000</v>
      </c>
      <c r="BT850" s="758">
        <v>130000000</v>
      </c>
      <c r="BU850" s="758">
        <v>130000000</v>
      </c>
      <c r="BV850" s="758">
        <v>130000000</v>
      </c>
      <c r="BW850" s="758">
        <v>130000000</v>
      </c>
      <c r="BX850" s="758">
        <v>130000000</v>
      </c>
      <c r="BY850" s="758">
        <v>130000000</v>
      </c>
      <c r="BZ850" s="791">
        <v>1560000000</v>
      </c>
      <c r="CB850" s="886">
        <v>130000000</v>
      </c>
      <c r="CC850" s="810">
        <v>130000000</v>
      </c>
      <c r="CD850" s="758">
        <v>130000000</v>
      </c>
      <c r="CE850" s="758">
        <v>130000000</v>
      </c>
      <c r="CF850" s="758">
        <v>130000000</v>
      </c>
      <c r="CG850" s="758">
        <v>130000000</v>
      </c>
      <c r="CH850" s="758">
        <v>130000000</v>
      </c>
      <c r="CI850" s="758">
        <v>130000000</v>
      </c>
      <c r="CJ850" s="758">
        <v>130000000</v>
      </c>
      <c r="CK850" s="758">
        <v>130000000</v>
      </c>
      <c r="CL850" s="758">
        <v>130000000</v>
      </c>
      <c r="CM850" s="758">
        <v>130000000</v>
      </c>
      <c r="CN850" s="791">
        <v>1560000000</v>
      </c>
      <c r="CP850" s="664"/>
      <c r="CQ850" s="664"/>
      <c r="CR850" s="532">
        <v>0</v>
      </c>
      <c r="CS850" s="664"/>
      <c r="CT850" s="532">
        <v>0</v>
      </c>
      <c r="CU850" s="664"/>
      <c r="CV850" s="532"/>
      <c r="CW850" s="664"/>
      <c r="CX850" s="532"/>
      <c r="CY850" s="664"/>
      <c r="CZ850" s="532"/>
      <c r="DA850" s="664"/>
      <c r="DB850" s="532"/>
      <c r="DC850" s="664"/>
      <c r="DD850" s="532"/>
      <c r="DE850" s="758"/>
      <c r="DF850" s="532"/>
      <c r="DG850" s="757"/>
      <c r="DH850" s="758"/>
      <c r="DI850" s="532"/>
      <c r="DJ850" s="757"/>
      <c r="DK850" s="758"/>
      <c r="DL850" s="532"/>
      <c r="DM850" s="757"/>
      <c r="DN850" s="758"/>
      <c r="DO850" s="532"/>
      <c r="DP850" s="757"/>
      <c r="DQ850" s="493">
        <f>SUM(CP850,CQ850,CS850,CU850,CW850,CY850,DA850,DC850,DF850,DI850,DL850,DO850)</f>
        <v>0</v>
      </c>
      <c r="DS850" s="1187"/>
      <c r="DT850" s="1187"/>
      <c r="DU850" s="1187"/>
      <c r="DV850" s="1187"/>
      <c r="DW850" s="1187"/>
      <c r="DX850" s="1187"/>
      <c r="DY850" s="1187"/>
      <c r="DZ850" s="1187"/>
      <c r="EA850" s="1187"/>
      <c r="EB850" s="1187"/>
      <c r="EC850" s="1187"/>
      <c r="ED850" s="1187"/>
      <c r="EE850" s="1119">
        <f>SUM(DS850,DT850,DU850,DV850,DW850,DX850,DY850,DZ850,EA850,EB850,EC850,ED850)</f>
        <v>0</v>
      </c>
      <c r="EF850" s="443"/>
      <c r="EG850" s="443"/>
      <c r="EH850" s="453"/>
      <c r="EI850" s="453"/>
      <c r="EJ850" s="367" t="s">
        <v>656</v>
      </c>
      <c r="EK850" s="367">
        <v>1</v>
      </c>
    </row>
    <row r="851" spans="1:141" outlineLevel="2">
      <c r="A851" s="367" t="s">
        <v>194</v>
      </c>
      <c r="B851" s="378"/>
      <c r="C851" s="370" t="s">
        <v>946</v>
      </c>
      <c r="D851" s="297" t="s">
        <v>121</v>
      </c>
      <c r="E851" s="383" t="s">
        <v>957</v>
      </c>
      <c r="F851" s="380">
        <v>3000006568</v>
      </c>
      <c r="G851" s="189"/>
      <c r="H851" s="13"/>
      <c r="I851" s="185"/>
      <c r="J851" s="185"/>
      <c r="K851" s="185"/>
      <c r="L851" s="185"/>
      <c r="M851" s="185"/>
      <c r="N851" s="185"/>
      <c r="O851" s="7"/>
      <c r="P851" s="7"/>
      <c r="Q851" s="7"/>
      <c r="R851" s="7"/>
      <c r="S851" s="14"/>
      <c r="T851" s="179"/>
      <c r="U851" s="189"/>
      <c r="V851" s="13"/>
      <c r="W851" s="185"/>
      <c r="X851" s="185"/>
      <c r="Y851" s="185"/>
      <c r="Z851" s="185"/>
      <c r="AA851" s="185"/>
      <c r="AB851" s="185"/>
      <c r="AC851" s="7"/>
      <c r="AD851" s="7"/>
      <c r="AE851" s="7"/>
      <c r="AF851" s="7"/>
      <c r="AG851" s="759"/>
      <c r="AH851" s="788"/>
      <c r="AI851" s="189"/>
      <c r="AJ851" s="810"/>
      <c r="AK851" s="758"/>
      <c r="AL851" s="758"/>
      <c r="AM851" s="758"/>
      <c r="AN851" s="758"/>
      <c r="AO851" s="758"/>
      <c r="AP851" s="758"/>
      <c r="AQ851" s="518"/>
      <c r="AR851" s="518"/>
      <c r="AS851" s="518"/>
      <c r="AT851" s="518"/>
      <c r="AU851" s="518"/>
      <c r="AV851" s="518"/>
      <c r="AW851" s="518"/>
      <c r="AX851" s="518">
        <f>SUM(AI851,AJ851,AK851,AL851,AM851,AN851,AO851,AP851,AQ851,AR851,AS851,AT851)</f>
        <v>0</v>
      </c>
      <c r="AY851" s="788"/>
      <c r="AZ851" s="189"/>
      <c r="BA851" s="810"/>
      <c r="BB851" s="758"/>
      <c r="BC851" s="758"/>
      <c r="BD851" s="758"/>
      <c r="BE851" s="758"/>
      <c r="BF851" s="758"/>
      <c r="BG851" s="518"/>
      <c r="BH851" s="758"/>
      <c r="BI851" s="758"/>
      <c r="BJ851" s="758"/>
      <c r="BK851" s="758"/>
      <c r="BL851" s="759"/>
      <c r="BN851" s="189">
        <v>65000000</v>
      </c>
      <c r="BO851" s="810">
        <v>105000000</v>
      </c>
      <c r="BP851" s="758">
        <v>105000000</v>
      </c>
      <c r="BQ851" s="758">
        <v>105000000</v>
      </c>
      <c r="BR851" s="758">
        <v>105000000</v>
      </c>
      <c r="BS851" s="758">
        <v>105000000</v>
      </c>
      <c r="BT851" s="758">
        <v>105000000</v>
      </c>
      <c r="BU851" s="758">
        <v>105000000</v>
      </c>
      <c r="BV851" s="758">
        <v>105000000</v>
      </c>
      <c r="BW851" s="758">
        <v>105000000</v>
      </c>
      <c r="BX851" s="758">
        <v>105000000</v>
      </c>
      <c r="BY851" s="758">
        <v>105000000</v>
      </c>
      <c r="BZ851" s="791">
        <v>1220000000</v>
      </c>
      <c r="CB851" s="189">
        <v>65000000</v>
      </c>
      <c r="CC851" s="810">
        <v>105000000</v>
      </c>
      <c r="CD851" s="758">
        <v>105000000</v>
      </c>
      <c r="CE851" s="758">
        <v>105000000</v>
      </c>
      <c r="CF851" s="758">
        <v>105000000</v>
      </c>
      <c r="CG851" s="758">
        <v>105000000</v>
      </c>
      <c r="CH851" s="758">
        <v>105000000</v>
      </c>
      <c r="CI851" s="758">
        <v>105000000</v>
      </c>
      <c r="CJ851" s="758">
        <v>105000000</v>
      </c>
      <c r="CK851" s="758">
        <v>105000000</v>
      </c>
      <c r="CL851" s="758">
        <v>105000000</v>
      </c>
      <c r="CM851" s="758">
        <v>105000000</v>
      </c>
      <c r="CN851" s="791">
        <v>1220000000</v>
      </c>
      <c r="CP851" s="664"/>
      <c r="CQ851" s="664"/>
      <c r="CR851" s="532"/>
      <c r="CS851" s="664"/>
      <c r="CT851" s="532"/>
      <c r="CU851" s="664"/>
      <c r="CV851" s="532"/>
      <c r="CW851" s="664"/>
      <c r="CX851" s="532"/>
      <c r="CY851" s="664"/>
      <c r="CZ851" s="532"/>
      <c r="DA851" s="664"/>
      <c r="DB851" s="532"/>
      <c r="DC851" s="664"/>
      <c r="DD851" s="532"/>
      <c r="DE851" s="758"/>
      <c r="DF851" s="532"/>
      <c r="DG851" s="757"/>
      <c r="DH851" s="758"/>
      <c r="DI851" s="532"/>
      <c r="DJ851" s="757"/>
      <c r="DK851" s="758"/>
      <c r="DL851" s="532"/>
      <c r="DM851" s="757"/>
      <c r="DN851" s="758"/>
      <c r="DO851" s="532"/>
      <c r="DP851" s="757"/>
      <c r="DQ851" s="493">
        <f>SUM(CP851,CQ851,CS851,CU851,CW851,CY851,DA851,DC851,DF851,DI851,DL851,DO851)</f>
        <v>0</v>
      </c>
      <c r="DS851" s="1187"/>
      <c r="DT851" s="1187"/>
      <c r="DU851" s="1187"/>
      <c r="DV851" s="1187"/>
      <c r="DW851" s="1187"/>
      <c r="DX851" s="1187"/>
      <c r="DY851" s="1187"/>
      <c r="DZ851" s="1187"/>
      <c r="EA851" s="1187"/>
      <c r="EB851" s="1187"/>
      <c r="EC851" s="1187"/>
      <c r="ED851" s="1187"/>
      <c r="EE851" s="1119">
        <f>SUM(DS851,DT851,DU851,DV851,DW851,DX851,DY851,DZ851,EA851,EB851,EC851,ED851)</f>
        <v>0</v>
      </c>
      <c r="EF851" s="443"/>
      <c r="EG851" s="443"/>
      <c r="EH851" s="443"/>
      <c r="EI851" s="443"/>
      <c r="EJ851" s="367">
        <v>3000006568</v>
      </c>
    </row>
    <row r="852" spans="1:141" outlineLevel="2">
      <c r="B852" s="378"/>
      <c r="E852" s="383"/>
      <c r="F852" s="380"/>
      <c r="G852" s="189"/>
      <c r="H852" s="1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14">
        <f>SUM(G852,H852,I852,J852,K852,L852,M852,N852,O852,P852,Q852,R852)</f>
        <v>0</v>
      </c>
      <c r="T852" s="179"/>
      <c r="U852" s="189"/>
      <c r="V852" s="13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759">
        <f>SUM(U852,V852,W852,X852,Y852,Z852,AA852,AB852,AC852,AD852,AE852,AF852)</f>
        <v>0</v>
      </c>
      <c r="AH852" s="788"/>
      <c r="AI852" s="189"/>
      <c r="AJ852" s="810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759">
        <f>SUM(AI852,AJ852,AK852,AL852,AM852,AN852,AO852,AP852,AQ852,AU852,AV852,AW852)</f>
        <v>0</v>
      </c>
      <c r="AY852" s="788"/>
      <c r="AZ852" s="189"/>
      <c r="BA852" s="810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759">
        <f>SUM(AZ852,BA852,BB852,BC852,BD852,BE852,BF852,BG852,BH852,BI852,BJ852,BK852)</f>
        <v>0</v>
      </c>
      <c r="BN852" s="189"/>
      <c r="BO852" s="810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496">
        <v>0</v>
      </c>
      <c r="CB852" s="189"/>
      <c r="CC852" s="810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791">
        <v>0</v>
      </c>
      <c r="CP852" s="533"/>
      <c r="CQ852" s="533"/>
      <c r="CR852" s="6"/>
      <c r="CS852" s="533"/>
      <c r="CT852" s="6"/>
      <c r="CU852" s="533"/>
      <c r="CV852" s="6"/>
      <c r="CW852" s="533"/>
      <c r="CX852" s="6"/>
      <c r="CY852" s="533"/>
      <c r="CZ852" s="6"/>
      <c r="DA852" s="533"/>
      <c r="DB852" s="6"/>
      <c r="DC852" s="533"/>
      <c r="DD852" s="6"/>
      <c r="DE852" s="6"/>
      <c r="DF852" s="6"/>
      <c r="DG852" s="752"/>
      <c r="DH852" s="6"/>
      <c r="DI852" s="6"/>
      <c r="DJ852" s="752"/>
      <c r="DK852" s="6"/>
      <c r="DL852" s="6"/>
      <c r="DM852" s="752"/>
      <c r="DN852" s="6"/>
      <c r="DO852" s="6"/>
      <c r="DP852" s="752"/>
      <c r="DQ852" s="493">
        <f>SUM(CP852,CQ852,CS852,CU852,CW852,CY852,DA852,DC852,DF852,DI852,DL852,DO852)</f>
        <v>0</v>
      </c>
      <c r="DR852" s="479">
        <f>SUM(CP852,CQ852,CS852,CU852,CX852,CZ852,DB852,DD852,DG852,DJ852,DM852,DP852)</f>
        <v>0</v>
      </c>
      <c r="DS852" s="1202"/>
      <c r="DT852" s="1202"/>
      <c r="DU852" s="1202"/>
      <c r="DV852" s="1202"/>
      <c r="DW852" s="1202"/>
      <c r="DX852" s="1202"/>
      <c r="DY852" s="1202"/>
      <c r="DZ852" s="1202"/>
      <c r="EA852" s="1202"/>
      <c r="EB852" s="1202"/>
      <c r="EC852" s="1202"/>
      <c r="ED852" s="1202"/>
      <c r="EE852" s="1119">
        <f>SUM(DS852,DT852,DU852,DV852,DW852,DX852,DY852,DZ852,EA852,EB852,EC852,ED852)</f>
        <v>0</v>
      </c>
      <c r="EF852" s="457">
        <f>EE852*1.05</f>
        <v>0</v>
      </c>
      <c r="EG852" s="457">
        <f>EF852*1.05</f>
        <v>0</v>
      </c>
      <c r="EH852" s="457">
        <f>EG852*1.05</f>
        <v>0</v>
      </c>
      <c r="EI852" s="457">
        <f>EH852*1.05</f>
        <v>0</v>
      </c>
      <c r="EJ852" s="367" t="e">
        <v>#N/A</v>
      </c>
    </row>
    <row r="853" spans="1:141" ht="15" outlineLevel="1" thickBot="1">
      <c r="B853" s="378"/>
      <c r="E853" s="383"/>
      <c r="F853" s="380"/>
      <c r="G853" s="32">
        <f t="shared" ref="G853:S853" si="514">SUM(G840:G852)</f>
        <v>0</v>
      </c>
      <c r="H853" s="33">
        <f t="shared" si="514"/>
        <v>0</v>
      </c>
      <c r="I853" s="32">
        <f t="shared" si="514"/>
        <v>0</v>
      </c>
      <c r="J853" s="32">
        <f t="shared" si="514"/>
        <v>0</v>
      </c>
      <c r="K853" s="32">
        <f t="shared" si="514"/>
        <v>0</v>
      </c>
      <c r="L853" s="32">
        <f t="shared" si="514"/>
        <v>0</v>
      </c>
      <c r="M853" s="32">
        <f t="shared" si="514"/>
        <v>0</v>
      </c>
      <c r="N853" s="32">
        <f t="shared" si="514"/>
        <v>0</v>
      </c>
      <c r="O853" s="32">
        <f t="shared" si="514"/>
        <v>0</v>
      </c>
      <c r="P853" s="32">
        <f t="shared" si="514"/>
        <v>0</v>
      </c>
      <c r="Q853" s="32">
        <f t="shared" si="514"/>
        <v>0</v>
      </c>
      <c r="R853" s="32">
        <f t="shared" si="514"/>
        <v>0</v>
      </c>
      <c r="S853" s="32">
        <f t="shared" si="514"/>
        <v>0</v>
      </c>
      <c r="T853" s="34"/>
      <c r="U853" s="32">
        <f t="shared" ref="U853:AG853" si="515">SUM(U840:U852)</f>
        <v>0</v>
      </c>
      <c r="V853" s="33">
        <f t="shared" si="515"/>
        <v>0</v>
      </c>
      <c r="W853" s="32">
        <f t="shared" si="515"/>
        <v>0</v>
      </c>
      <c r="X853" s="32">
        <f t="shared" si="515"/>
        <v>0</v>
      </c>
      <c r="Y853" s="32">
        <f t="shared" si="515"/>
        <v>0</v>
      </c>
      <c r="Z853" s="32">
        <f t="shared" si="515"/>
        <v>0</v>
      </c>
      <c r="AA853" s="32">
        <f t="shared" si="515"/>
        <v>0</v>
      </c>
      <c r="AB853" s="32">
        <f t="shared" si="515"/>
        <v>0</v>
      </c>
      <c r="AC853" s="32">
        <f t="shared" si="515"/>
        <v>0</v>
      </c>
      <c r="AD853" s="32">
        <f t="shared" si="515"/>
        <v>0</v>
      </c>
      <c r="AE853" s="32">
        <f t="shared" si="515"/>
        <v>0</v>
      </c>
      <c r="AF853" s="32">
        <f t="shared" si="515"/>
        <v>0</v>
      </c>
      <c r="AG853" s="484">
        <f t="shared" si="515"/>
        <v>0</v>
      </c>
      <c r="AH853" s="869"/>
      <c r="AI853" s="484">
        <f t="shared" ref="AI853:AX853" si="516">SUM(AI840:AI852)</f>
        <v>0</v>
      </c>
      <c r="AJ853" s="870">
        <f t="shared" si="516"/>
        <v>115038200</v>
      </c>
      <c r="AK853" s="484">
        <f t="shared" si="516"/>
        <v>126693019</v>
      </c>
      <c r="AL853" s="484">
        <f t="shared" si="516"/>
        <v>443390963</v>
      </c>
      <c r="AM853" s="484">
        <f t="shared" si="516"/>
        <v>0</v>
      </c>
      <c r="AN853" s="484">
        <f t="shared" si="516"/>
        <v>296711550</v>
      </c>
      <c r="AO853" s="484">
        <f t="shared" si="516"/>
        <v>38250000</v>
      </c>
      <c r="AP853" s="484">
        <f t="shared" si="516"/>
        <v>30000000</v>
      </c>
      <c r="AQ853" s="484">
        <f t="shared" si="516"/>
        <v>-38250000</v>
      </c>
      <c r="AR853" s="484">
        <f t="shared" si="516"/>
        <v>52500000</v>
      </c>
      <c r="AS853" s="484">
        <f t="shared" si="516"/>
        <v>0</v>
      </c>
      <c r="AT853" s="484">
        <f t="shared" si="516"/>
        <v>144025000</v>
      </c>
      <c r="AU853" s="484">
        <f t="shared" si="516"/>
        <v>0</v>
      </c>
      <c r="AV853" s="484">
        <f t="shared" si="516"/>
        <v>75000000</v>
      </c>
      <c r="AW853" s="484">
        <f t="shared" si="516"/>
        <v>75000000</v>
      </c>
      <c r="AX853" s="484">
        <f t="shared" si="516"/>
        <v>1208358732</v>
      </c>
      <c r="AY853" s="869"/>
      <c r="AZ853" s="484">
        <f t="shared" ref="AZ853:BL853" si="517">SUM(AZ840:AZ852)</f>
        <v>0</v>
      </c>
      <c r="BA853" s="870">
        <f t="shared" si="517"/>
        <v>115038200</v>
      </c>
      <c r="BB853" s="484">
        <f t="shared" si="517"/>
        <v>126693019</v>
      </c>
      <c r="BC853" s="484">
        <f t="shared" si="517"/>
        <v>443390963</v>
      </c>
      <c r="BD853" s="484">
        <f t="shared" si="517"/>
        <v>0</v>
      </c>
      <c r="BE853" s="484">
        <f t="shared" si="517"/>
        <v>296711550</v>
      </c>
      <c r="BF853" s="484">
        <f t="shared" si="517"/>
        <v>38250000</v>
      </c>
      <c r="BG853" s="484">
        <f t="shared" si="517"/>
        <v>30000000</v>
      </c>
      <c r="BH853" s="484">
        <f t="shared" si="517"/>
        <v>150000000</v>
      </c>
      <c r="BI853" s="484">
        <f t="shared" si="517"/>
        <v>600000000</v>
      </c>
      <c r="BJ853" s="484">
        <f t="shared" si="517"/>
        <v>750000000</v>
      </c>
      <c r="BK853" s="484">
        <f t="shared" si="517"/>
        <v>600000000</v>
      </c>
      <c r="BL853" s="484">
        <f t="shared" si="517"/>
        <v>3150083732</v>
      </c>
      <c r="BN853" s="484">
        <f t="shared" ref="BN853:BY853" si="518">BN840+BN848+BN849</f>
        <v>245000000</v>
      </c>
      <c r="BO853" s="484">
        <f t="shared" si="518"/>
        <v>485000000</v>
      </c>
      <c r="BP853" s="484">
        <f t="shared" si="518"/>
        <v>235000000</v>
      </c>
      <c r="BQ853" s="484">
        <f t="shared" si="518"/>
        <v>285000000</v>
      </c>
      <c r="BR853" s="484">
        <f t="shared" si="518"/>
        <v>535000000</v>
      </c>
      <c r="BS853" s="484">
        <f t="shared" si="518"/>
        <v>235000000</v>
      </c>
      <c r="BT853" s="484">
        <f t="shared" si="518"/>
        <v>285000000</v>
      </c>
      <c r="BU853" s="484">
        <f t="shared" si="518"/>
        <v>485000000</v>
      </c>
      <c r="BV853" s="484">
        <f t="shared" si="518"/>
        <v>235000000</v>
      </c>
      <c r="BW853" s="484">
        <f t="shared" si="518"/>
        <v>300000000</v>
      </c>
      <c r="BX853" s="484">
        <f t="shared" si="518"/>
        <v>535000000</v>
      </c>
      <c r="BY853" s="484">
        <f t="shared" si="518"/>
        <v>235000000</v>
      </c>
      <c r="BZ853" s="484">
        <f>BZ840+BZ848+BZ849</f>
        <v>4095000000</v>
      </c>
      <c r="CB853" s="484">
        <f t="shared" ref="CB853:CM853" si="519">SUM(CB840:CB852)</f>
        <v>245000000</v>
      </c>
      <c r="CC853" s="870">
        <f t="shared" si="519"/>
        <v>485000000</v>
      </c>
      <c r="CD853" s="484">
        <f t="shared" si="519"/>
        <v>235000000</v>
      </c>
      <c r="CE853" s="484">
        <f t="shared" si="519"/>
        <v>285000000</v>
      </c>
      <c r="CF853" s="484">
        <f t="shared" si="519"/>
        <v>535000000</v>
      </c>
      <c r="CG853" s="484">
        <f t="shared" si="519"/>
        <v>235000000</v>
      </c>
      <c r="CH853" s="484">
        <f t="shared" si="519"/>
        <v>285000000</v>
      </c>
      <c r="CI853" s="484">
        <f t="shared" si="519"/>
        <v>485000000</v>
      </c>
      <c r="CJ853" s="484">
        <f t="shared" si="519"/>
        <v>235000000</v>
      </c>
      <c r="CK853" s="484">
        <f t="shared" si="519"/>
        <v>300000000</v>
      </c>
      <c r="CL853" s="484">
        <f t="shared" si="519"/>
        <v>535000000</v>
      </c>
      <c r="CM853" s="484">
        <f t="shared" si="519"/>
        <v>235000000</v>
      </c>
      <c r="CN853" s="484">
        <v>4095000000</v>
      </c>
      <c r="CP853" s="484">
        <f>CP840+CP848+CP849</f>
        <v>66419000</v>
      </c>
      <c r="CQ853" s="484">
        <f t="shared" ref="CQ853:DR853" si="520">CQ840+CQ848+CQ849</f>
        <v>219083000</v>
      </c>
      <c r="CR853" s="618">
        <f t="shared" si="520"/>
        <v>125000000</v>
      </c>
      <c r="CS853" s="484">
        <f t="shared" si="520"/>
        <v>113066500</v>
      </c>
      <c r="CT853" s="618">
        <f t="shared" si="520"/>
        <v>125000000</v>
      </c>
      <c r="CU853" s="484">
        <f t="shared" si="520"/>
        <v>355876563</v>
      </c>
      <c r="CV853" s="618">
        <f t="shared" si="520"/>
        <v>315000000</v>
      </c>
      <c r="CW853" s="484">
        <f t="shared" si="520"/>
        <v>338535575</v>
      </c>
      <c r="CX853" s="618">
        <f t="shared" si="520"/>
        <v>405000000</v>
      </c>
      <c r="CY853" s="484">
        <f t="shared" si="520"/>
        <v>153413225</v>
      </c>
      <c r="CZ853" s="618">
        <f t="shared" si="520"/>
        <v>420000000</v>
      </c>
      <c r="DA853" s="484">
        <f t="shared" si="520"/>
        <v>32480000</v>
      </c>
      <c r="DB853" s="618">
        <f t="shared" si="520"/>
        <v>2862000000</v>
      </c>
      <c r="DC853" s="484">
        <f t="shared" si="520"/>
        <v>467073727</v>
      </c>
      <c r="DD853" s="618">
        <f t="shared" si="520"/>
        <v>270000000</v>
      </c>
      <c r="DE853" s="484">
        <f t="shared" si="520"/>
        <v>0</v>
      </c>
      <c r="DF853" s="618">
        <f>DF840+DF848+DF849</f>
        <v>195000000</v>
      </c>
      <c r="DG853" s="484">
        <f t="shared" si="520"/>
        <v>195000000</v>
      </c>
      <c r="DH853" s="484">
        <f t="shared" si="520"/>
        <v>0</v>
      </c>
      <c r="DI853" s="618">
        <f>DI840+DI848+DI849</f>
        <v>370000000</v>
      </c>
      <c r="DJ853" s="484">
        <f t="shared" si="520"/>
        <v>370000000</v>
      </c>
      <c r="DK853" s="484">
        <f t="shared" si="520"/>
        <v>0</v>
      </c>
      <c r="DL853" s="618">
        <f>DL840+DL848+DL849</f>
        <v>1188000000</v>
      </c>
      <c r="DM853" s="484">
        <f>DM840+DM848+DM849</f>
        <v>1188000000</v>
      </c>
      <c r="DN853" s="484">
        <f t="shared" si="520"/>
        <v>0</v>
      </c>
      <c r="DO853" s="618">
        <f>DO840+DO848+DO849</f>
        <v>420000000</v>
      </c>
      <c r="DP853" s="484">
        <f t="shared" si="520"/>
        <v>420000000</v>
      </c>
      <c r="DQ853" s="484">
        <f t="shared" si="520"/>
        <v>3918947590</v>
      </c>
      <c r="DR853" s="484">
        <f t="shared" si="520"/>
        <v>6884445063</v>
      </c>
      <c r="DS853" s="1182">
        <f>DS840+DS848+DS849</f>
        <v>650000000</v>
      </c>
      <c r="DT853" s="1182">
        <f t="shared" ref="DT853:EI853" si="521">DT840+DT848+DT849</f>
        <v>650000000</v>
      </c>
      <c r="DU853" s="1182">
        <f t="shared" si="521"/>
        <v>700000000</v>
      </c>
      <c r="DV853" s="1182">
        <f t="shared" si="521"/>
        <v>675000000</v>
      </c>
      <c r="DW853" s="1182">
        <f t="shared" si="521"/>
        <v>625000000</v>
      </c>
      <c r="DX853" s="1182">
        <f t="shared" si="521"/>
        <v>625000000</v>
      </c>
      <c r="DY853" s="1182">
        <f t="shared" si="521"/>
        <v>625000000</v>
      </c>
      <c r="DZ853" s="1182">
        <f t="shared" si="521"/>
        <v>625000000</v>
      </c>
      <c r="EA853" s="1182">
        <f t="shared" si="521"/>
        <v>625000000</v>
      </c>
      <c r="EB853" s="1182">
        <f t="shared" si="521"/>
        <v>650000000</v>
      </c>
      <c r="EC853" s="1182">
        <f t="shared" si="521"/>
        <v>650000000</v>
      </c>
      <c r="ED853" s="1182">
        <f t="shared" si="521"/>
        <v>650000000</v>
      </c>
      <c r="EE853" s="1148">
        <f>EE840+EE848+EE849</f>
        <v>7750000000</v>
      </c>
      <c r="EF853" s="1027">
        <f t="shared" si="521"/>
        <v>8014500000</v>
      </c>
      <c r="EG853" s="1027">
        <f t="shared" si="521"/>
        <v>8655660000</v>
      </c>
      <c r="EH853" s="1027">
        <f t="shared" si="521"/>
        <v>3913197200</v>
      </c>
      <c r="EI853" s="1027">
        <f t="shared" si="521"/>
        <v>3950384948</v>
      </c>
      <c r="EJ853" s="367" t="e">
        <v>#N/A</v>
      </c>
    </row>
    <row r="854" spans="1:141" ht="15" outlineLevel="1" thickTop="1">
      <c r="B854" s="378"/>
      <c r="E854" s="383"/>
      <c r="F854" s="380"/>
      <c r="G854" s="189"/>
      <c r="H854" s="1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14"/>
      <c r="T854" s="179"/>
      <c r="U854" s="189"/>
      <c r="V854" s="13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759"/>
      <c r="AH854" s="788"/>
      <c r="AI854" s="189"/>
      <c r="AJ854" s="810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759"/>
      <c r="AY854" s="788"/>
      <c r="AZ854" s="189"/>
      <c r="BA854" s="810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759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49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759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752"/>
      <c r="DH854" s="6"/>
      <c r="DI854" s="6"/>
      <c r="DJ854" s="752"/>
      <c r="DK854" s="6"/>
      <c r="DL854" s="6"/>
      <c r="DM854" s="752"/>
      <c r="DN854" s="6"/>
      <c r="DO854" s="6"/>
      <c r="DP854" s="752"/>
      <c r="DQ854" s="496"/>
      <c r="DR854" s="479"/>
      <c r="DS854" s="1165"/>
      <c r="DT854" s="1165"/>
      <c r="DU854" s="1165"/>
      <c r="DV854" s="1165"/>
      <c r="DW854" s="1165"/>
      <c r="DX854" s="1165"/>
      <c r="DY854" s="1165"/>
      <c r="DZ854" s="1165"/>
      <c r="EA854" s="1165"/>
      <c r="EB854" s="1165"/>
      <c r="EC854" s="1165"/>
      <c r="ED854" s="1165"/>
      <c r="EE854" s="1133"/>
      <c r="EF854" s="1017"/>
      <c r="EG854" s="1017"/>
      <c r="EH854" s="1017"/>
      <c r="EI854" s="1017"/>
      <c r="EJ854" s="367" t="e">
        <v>#N/A</v>
      </c>
    </row>
    <row r="855" spans="1:141" outlineLevel="1">
      <c r="B855" s="402" t="s">
        <v>668</v>
      </c>
      <c r="C855" s="368"/>
      <c r="D855" s="368"/>
      <c r="E855" s="383"/>
      <c r="F855" s="380"/>
      <c r="G855" s="189"/>
      <c r="H855" s="1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14"/>
      <c r="T855" s="179"/>
      <c r="U855" s="189"/>
      <c r="V855" s="13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759"/>
      <c r="AH855" s="788"/>
      <c r="AI855" s="189"/>
      <c r="AJ855" s="810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759"/>
      <c r="AY855" s="788"/>
      <c r="AZ855" s="189"/>
      <c r="BA855" s="810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759"/>
      <c r="BM855" s="487"/>
      <c r="BN855" s="487">
        <f t="shared" ref="BN855:BZ855" si="522">SUM(BN856:BN874)</f>
        <v>942000000</v>
      </c>
      <c r="BO855" s="487">
        <f t="shared" si="522"/>
        <v>1528500000</v>
      </c>
      <c r="BP855" s="487">
        <f t="shared" si="522"/>
        <v>2544310000</v>
      </c>
      <c r="BQ855" s="487">
        <f t="shared" si="522"/>
        <v>2181115450</v>
      </c>
      <c r="BR855" s="487">
        <f t="shared" si="522"/>
        <v>2052565000</v>
      </c>
      <c r="BS855" s="487">
        <f t="shared" si="522"/>
        <v>1624665000</v>
      </c>
      <c r="BT855" s="487">
        <f t="shared" si="522"/>
        <v>614820000</v>
      </c>
      <c r="BU855" s="487">
        <f t="shared" si="522"/>
        <v>2595185000</v>
      </c>
      <c r="BV855" s="487">
        <f t="shared" si="522"/>
        <v>2261275000</v>
      </c>
      <c r="BW855" s="487">
        <f t="shared" si="522"/>
        <v>2234215000</v>
      </c>
      <c r="BX855" s="487">
        <f t="shared" si="522"/>
        <v>2124500000</v>
      </c>
      <c r="BY855" s="487">
        <f t="shared" si="522"/>
        <v>1275000000</v>
      </c>
      <c r="BZ855" s="487">
        <f t="shared" si="522"/>
        <v>21978150450</v>
      </c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759"/>
      <c r="CP855" s="487">
        <f>SUM(CP856:CP874)</f>
        <v>1032442010</v>
      </c>
      <c r="CQ855" s="487">
        <f t="shared" ref="CQ855:DP855" si="523">SUM(CQ856:CQ874)</f>
        <v>2237015794</v>
      </c>
      <c r="CR855" s="487">
        <f t="shared" si="523"/>
        <v>2012215794</v>
      </c>
      <c r="CS855" s="487">
        <f t="shared" si="523"/>
        <v>2902579040</v>
      </c>
      <c r="CT855" s="487">
        <f t="shared" si="523"/>
        <v>1920500000</v>
      </c>
      <c r="CU855" s="487">
        <f t="shared" si="523"/>
        <v>1584823860</v>
      </c>
      <c r="CV855" s="487">
        <f t="shared" si="523"/>
        <v>2486000000</v>
      </c>
      <c r="CW855" s="487">
        <f t="shared" si="523"/>
        <v>585110600</v>
      </c>
      <c r="CX855" s="487">
        <f t="shared" si="523"/>
        <v>808000000</v>
      </c>
      <c r="CY855" s="487">
        <f t="shared" si="523"/>
        <v>389076400</v>
      </c>
      <c r="CZ855" s="487">
        <f t="shared" si="523"/>
        <v>1218000000</v>
      </c>
      <c r="DA855" s="487">
        <f t="shared" si="523"/>
        <v>1033532430</v>
      </c>
      <c r="DB855" s="487">
        <f t="shared" si="523"/>
        <v>1028000000</v>
      </c>
      <c r="DC855" s="487">
        <f t="shared" si="523"/>
        <v>1652743010</v>
      </c>
      <c r="DD855" s="487">
        <f t="shared" si="523"/>
        <v>943000000</v>
      </c>
      <c r="DE855" s="487">
        <f t="shared" si="523"/>
        <v>0</v>
      </c>
      <c r="DF855" s="487">
        <f>SUM(DF856:DF874)</f>
        <v>300000000</v>
      </c>
      <c r="DG855" s="487">
        <f t="shared" si="523"/>
        <v>300000000</v>
      </c>
      <c r="DH855" s="487">
        <f t="shared" si="523"/>
        <v>0</v>
      </c>
      <c r="DI855" s="487">
        <f>SUM(DI856:DI874)</f>
        <v>100000000</v>
      </c>
      <c r="DJ855" s="487">
        <f t="shared" si="523"/>
        <v>100000000</v>
      </c>
      <c r="DK855" s="487">
        <f t="shared" si="523"/>
        <v>0</v>
      </c>
      <c r="DL855" s="487">
        <f>SUM(DL856:DL874)</f>
        <v>768000000</v>
      </c>
      <c r="DM855" s="487">
        <f>SUM(DM856:DM874)</f>
        <v>768000000</v>
      </c>
      <c r="DN855" s="487">
        <f t="shared" si="523"/>
        <v>0</v>
      </c>
      <c r="DO855" s="487">
        <f>SUM(DO856:DO874)</f>
        <v>768000000</v>
      </c>
      <c r="DP855" s="487">
        <f t="shared" si="523"/>
        <v>768000000</v>
      </c>
      <c r="DQ855" s="487">
        <f>SUM(DQ856:DQ874)</f>
        <v>13353323144</v>
      </c>
      <c r="DR855" s="487">
        <f>SUM(DR856:DR874)</f>
        <v>13353323144</v>
      </c>
      <c r="DS855" s="454">
        <f>SUM(DS856:DS874)</f>
        <v>1152000000</v>
      </c>
      <c r="DT855" s="454">
        <f t="shared" ref="DT855:EI855" si="524">SUM(DT856:DT874)</f>
        <v>2368200000</v>
      </c>
      <c r="DU855" s="454">
        <f t="shared" si="524"/>
        <v>1569600000</v>
      </c>
      <c r="DV855" s="454">
        <f t="shared" si="524"/>
        <v>1694400000</v>
      </c>
      <c r="DW855" s="454">
        <f t="shared" si="524"/>
        <v>649000000</v>
      </c>
      <c r="DX855" s="454">
        <f t="shared" si="524"/>
        <v>1954000000</v>
      </c>
      <c r="DY855" s="454">
        <f t="shared" si="524"/>
        <v>1761000000</v>
      </c>
      <c r="DZ855" s="454">
        <f t="shared" si="524"/>
        <v>1914051000</v>
      </c>
      <c r="EA855" s="454">
        <f t="shared" si="524"/>
        <v>1061000000</v>
      </c>
      <c r="EB855" s="454">
        <f t="shared" si="524"/>
        <v>1742000000</v>
      </c>
      <c r="EC855" s="454">
        <f t="shared" si="524"/>
        <v>1653000000</v>
      </c>
      <c r="ED855" s="454">
        <f t="shared" si="524"/>
        <v>750000000</v>
      </c>
      <c r="EE855" s="1154">
        <f>SUM(EE856:EE874)</f>
        <v>18268251000</v>
      </c>
      <c r="EF855" s="1030">
        <f t="shared" si="524"/>
        <v>20260072273.107044</v>
      </c>
      <c r="EG855" s="1030">
        <f t="shared" si="524"/>
        <v>22339229931.306076</v>
      </c>
      <c r="EH855" s="1030">
        <f t="shared" si="524"/>
        <v>28125142143.29586</v>
      </c>
      <c r="EI855" s="1030">
        <f t="shared" si="524"/>
        <v>29694765918.364731</v>
      </c>
      <c r="EJ855" s="367" t="e">
        <v>#N/A</v>
      </c>
    </row>
    <row r="856" spans="1:141" outlineLevel="2">
      <c r="A856" s="367" t="s">
        <v>281</v>
      </c>
      <c r="B856" s="378"/>
      <c r="C856" s="370" t="s">
        <v>946</v>
      </c>
      <c r="D856" s="370" t="s">
        <v>40</v>
      </c>
      <c r="E856" s="383" t="s">
        <v>958</v>
      </c>
      <c r="F856" s="380">
        <v>3000013716</v>
      </c>
      <c r="G856" s="189"/>
      <c r="H856" s="13"/>
      <c r="I856" s="185"/>
      <c r="J856" s="185"/>
      <c r="K856" s="185"/>
      <c r="L856" s="185"/>
      <c r="M856" s="185"/>
      <c r="N856" s="185"/>
      <c r="O856" s="7"/>
      <c r="P856" s="7"/>
      <c r="Q856" s="7"/>
      <c r="R856" s="7"/>
      <c r="S856" s="14">
        <f>SUM(G856,H856,I856,J856,K856,L856,M856,N856,O856,P856,Q856,R856)</f>
        <v>0</v>
      </c>
      <c r="T856" s="179"/>
      <c r="U856" s="189"/>
      <c r="V856" s="13"/>
      <c r="W856" s="185"/>
      <c r="X856" s="185"/>
      <c r="Y856" s="185"/>
      <c r="Z856" s="185"/>
      <c r="AA856" s="185"/>
      <c r="AB856" s="185"/>
      <c r="AC856" s="7"/>
      <c r="AD856" s="7"/>
      <c r="AE856" s="7"/>
      <c r="AF856" s="7"/>
      <c r="AG856" s="759">
        <f>SUM(U856,V856,W856,X856,Y856,Z856,AA856,AB856,AC856,AD856,AE856,AF856)</f>
        <v>0</v>
      </c>
      <c r="AH856" s="788"/>
      <c r="AI856" s="189"/>
      <c r="AJ856" s="810">
        <v>457524260</v>
      </c>
      <c r="AK856" s="758">
        <v>2492652335</v>
      </c>
      <c r="AL856" s="758">
        <v>500548890</v>
      </c>
      <c r="AM856" s="758">
        <v>464003650</v>
      </c>
      <c r="AN856" s="758">
        <v>1093408885</v>
      </c>
      <c r="AO856" s="758">
        <v>0</v>
      </c>
      <c r="AP856" s="758">
        <v>1488913470</v>
      </c>
      <c r="AQ856" s="518">
        <v>545083550</v>
      </c>
      <c r="AR856" s="813">
        <v>0</v>
      </c>
      <c r="AS856" s="813">
        <v>826787850</v>
      </c>
      <c r="AT856" s="813">
        <v>328917800</v>
      </c>
      <c r="AU856" s="794">
        <f>400000000</f>
        <v>400000000</v>
      </c>
      <c r="AV856" s="794">
        <f>600000000</f>
        <v>600000000</v>
      </c>
      <c r="AW856" s="794">
        <f>600000000</f>
        <v>600000000</v>
      </c>
      <c r="AX856" s="518">
        <f>SUM(AI856,AJ856,AK856,AL856,AM856,AN856,AO856,AP856,AQ856,AR856,AS856,AT856)</f>
        <v>8197840690</v>
      </c>
      <c r="AY856" s="788"/>
      <c r="AZ856" s="189"/>
      <c r="BA856" s="810">
        <v>457524260</v>
      </c>
      <c r="BB856" s="758">
        <v>2492652335</v>
      </c>
      <c r="BC856" s="758">
        <v>500548890</v>
      </c>
      <c r="BD856" s="758">
        <v>464003650</v>
      </c>
      <c r="BE856" s="758">
        <v>1093408885</v>
      </c>
      <c r="BF856" s="758">
        <v>0</v>
      </c>
      <c r="BG856" s="518">
        <f>AP856</f>
        <v>1488913470</v>
      </c>
      <c r="BH856" s="758">
        <v>1700000000</v>
      </c>
      <c r="BI856" s="758">
        <v>1700000000</v>
      </c>
      <c r="BJ856" s="758">
        <v>1700000000</v>
      </c>
      <c r="BK856" s="758">
        <v>1700000000</v>
      </c>
      <c r="BL856" s="759">
        <f>SUM(AZ856,BA856,BB856,BC856,BD856,BE856,BF856,BG856,BH856,BI856,BJ856,BK856)</f>
        <v>13297051490</v>
      </c>
      <c r="BN856" s="758">
        <f>600000000</f>
        <v>600000000</v>
      </c>
      <c r="BO856" s="778">
        <f>400000000</f>
        <v>400000000</v>
      </c>
      <c r="BP856" s="758">
        <v>850000000</v>
      </c>
      <c r="BQ856" s="758">
        <v>850000000</v>
      </c>
      <c r="BR856" s="758">
        <v>850000000</v>
      </c>
      <c r="BS856" s="758">
        <v>850000000</v>
      </c>
      <c r="BT856" s="758">
        <v>0</v>
      </c>
      <c r="BU856" s="758">
        <v>850000000</v>
      </c>
      <c r="BV856" s="758">
        <v>850000000</v>
      </c>
      <c r="BW856" s="758">
        <v>850000000</v>
      </c>
      <c r="BX856" s="758">
        <v>850000000</v>
      </c>
      <c r="BY856" s="758">
        <v>850000000</v>
      </c>
      <c r="BZ856" s="791">
        <v>8650000000</v>
      </c>
      <c r="CB856" s="758">
        <f>600000000</f>
        <v>600000000</v>
      </c>
      <c r="CC856" s="778">
        <f>400000000</f>
        <v>400000000</v>
      </c>
      <c r="CD856" s="758">
        <v>850000000</v>
      </c>
      <c r="CE856" s="758">
        <v>850000000</v>
      </c>
      <c r="CF856" s="758">
        <v>850000000</v>
      </c>
      <c r="CG856" s="758">
        <v>850000000</v>
      </c>
      <c r="CH856" s="758">
        <v>0</v>
      </c>
      <c r="CI856" s="758">
        <v>850000000</v>
      </c>
      <c r="CJ856" s="758">
        <v>850000000</v>
      </c>
      <c r="CK856" s="758">
        <v>850000000</v>
      </c>
      <c r="CL856" s="758">
        <v>850000000</v>
      </c>
      <c r="CM856" s="758">
        <v>850000000</v>
      </c>
      <c r="CN856" s="791">
        <v>8650000000</v>
      </c>
      <c r="CP856" s="653">
        <v>356250300</v>
      </c>
      <c r="CQ856" s="653"/>
      <c r="CR856" s="620"/>
      <c r="CS856" s="653">
        <v>339369600</v>
      </c>
      <c r="CT856" s="620">
        <v>500000000</v>
      </c>
      <c r="CU856" s="653">
        <v>315233400</v>
      </c>
      <c r="CV856" s="620">
        <v>500000000</v>
      </c>
      <c r="CW856" s="653"/>
      <c r="CX856" s="620">
        <v>200000000</v>
      </c>
      <c r="CY856" s="653">
        <v>71454100</v>
      </c>
      <c r="CZ856" s="620">
        <v>300000000</v>
      </c>
      <c r="DA856" s="653">
        <v>348254000</v>
      </c>
      <c r="DB856" s="620">
        <v>300000000</v>
      </c>
      <c r="DC856" s="653"/>
      <c r="DD856" s="620">
        <v>300000000</v>
      </c>
      <c r="DE856" s="524"/>
      <c r="DF856" s="620">
        <v>200000000</v>
      </c>
      <c r="DG856" s="757">
        <v>200000000</v>
      </c>
      <c r="DH856" s="524"/>
      <c r="DI856" s="620" t="s">
        <v>266</v>
      </c>
      <c r="DJ856" s="757" t="s">
        <v>266</v>
      </c>
      <c r="DK856" s="524"/>
      <c r="DL856" s="620">
        <v>200000000</v>
      </c>
      <c r="DM856" s="757">
        <v>200000000</v>
      </c>
      <c r="DN856" s="524"/>
      <c r="DO856" s="620">
        <v>200000000</v>
      </c>
      <c r="DP856" s="757">
        <v>200000000</v>
      </c>
      <c r="DQ856" s="493">
        <f t="shared" ref="DQ856:DQ874" si="525">SUM(CP856,CQ856,CS856,CU856,CW856,CY856,DA856,DC856,DF856,DI856,DL856,DO856)</f>
        <v>2030561400</v>
      </c>
      <c r="DR856" s="479">
        <f t="shared" ref="DR856:DR874" si="526">SUM(CP856,CQ856,CS856,CU856,CW856,CY856,DA856,DC856,DG856,DJ856,DM856,DP856)</f>
        <v>2030561400</v>
      </c>
      <c r="DS856" s="1019">
        <v>266000000</v>
      </c>
      <c r="DT856" s="1019">
        <v>266000000</v>
      </c>
      <c r="DU856" s="1019">
        <v>266000000</v>
      </c>
      <c r="DV856" s="1019">
        <v>266000000</v>
      </c>
      <c r="DW856" s="1019" t="s">
        <v>266</v>
      </c>
      <c r="DX856" s="1019">
        <f>266000000*2</f>
        <v>532000000</v>
      </c>
      <c r="DY856" s="1019">
        <v>266000000</v>
      </c>
      <c r="DZ856" s="1019">
        <v>266000000</v>
      </c>
      <c r="EA856" s="1019">
        <v>266000000</v>
      </c>
      <c r="EB856" s="1019">
        <v>266000000</v>
      </c>
      <c r="EC856" s="1019">
        <f>266000000*2</f>
        <v>532000000</v>
      </c>
      <c r="ED856" s="1019"/>
      <c r="EE856" s="1119">
        <f t="shared" ref="EE856:EE874" si="527">SUM(DS856,DT856,DU856,DV856,DW856,DX856,DY856,DZ856,EA856,EB856,EC856,ED856)</f>
        <v>3192000000</v>
      </c>
      <c r="EF856" s="443">
        <f>(EE856*1.17)+74818603.1070444</f>
        <v>3809458603.1070442</v>
      </c>
      <c r="EG856" s="443">
        <f>(EF856*1.08)+458351876.350469</f>
        <v>4572567167.7060766</v>
      </c>
      <c r="EH856" s="443">
        <f>(EG856*1.09)-223639017.827764</f>
        <v>4760459194.9718599</v>
      </c>
      <c r="EI856" s="443">
        <f>(EH856*1.09)-223639017.827764</f>
        <v>4965261504.6915646</v>
      </c>
      <c r="EJ856" s="367">
        <v>3000013716</v>
      </c>
      <c r="EK856" s="367">
        <v>1</v>
      </c>
    </row>
    <row r="857" spans="1:141" outlineLevel="2">
      <c r="A857" s="367" t="s">
        <v>281</v>
      </c>
      <c r="B857" s="378"/>
      <c r="C857" s="370" t="s">
        <v>946</v>
      </c>
      <c r="D857" s="370" t="s">
        <v>40</v>
      </c>
      <c r="E857" s="383" t="s">
        <v>959</v>
      </c>
      <c r="F857" s="380">
        <v>3000007274</v>
      </c>
      <c r="G857" s="189"/>
      <c r="H857" s="13"/>
      <c r="I857" s="185"/>
      <c r="J857" s="185"/>
      <c r="K857" s="185"/>
      <c r="L857" s="185"/>
      <c r="M857" s="185"/>
      <c r="N857" s="185"/>
      <c r="O857" s="7"/>
      <c r="P857" s="7"/>
      <c r="Q857" s="7"/>
      <c r="R857" s="7"/>
      <c r="S857" s="14">
        <f>SUM(G857,H857,I857,J857,K857,L857,M857,N857,O857,P857,Q857,R857)</f>
        <v>0</v>
      </c>
      <c r="T857" s="179"/>
      <c r="U857" s="189"/>
      <c r="V857" s="13"/>
      <c r="W857" s="185"/>
      <c r="X857" s="185"/>
      <c r="Y857" s="185"/>
      <c r="Z857" s="185"/>
      <c r="AA857" s="185"/>
      <c r="AB857" s="185"/>
      <c r="AC857" s="7"/>
      <c r="AD857" s="7"/>
      <c r="AE857" s="7"/>
      <c r="AF857" s="7"/>
      <c r="AG857" s="759">
        <f>SUM(U857,V857,W857,X857,Y857,Z857,AA857,AB857,AC857,AD857,AE857,AF857)</f>
        <v>0</v>
      </c>
      <c r="AH857" s="788"/>
      <c r="AI857" s="189"/>
      <c r="AJ857" s="810"/>
      <c r="AK857" s="758"/>
      <c r="AL857" s="758">
        <v>0</v>
      </c>
      <c r="AM857" s="758">
        <v>0</v>
      </c>
      <c r="AN857" s="758">
        <v>0</v>
      </c>
      <c r="AO857" s="758">
        <v>34635140</v>
      </c>
      <c r="AP857" s="758">
        <v>0</v>
      </c>
      <c r="AQ857" s="518">
        <v>0</v>
      </c>
      <c r="AR857" s="813">
        <v>0</v>
      </c>
      <c r="AS857" s="813"/>
      <c r="AT857" s="813">
        <v>143948910</v>
      </c>
      <c r="AU857" s="794">
        <v>0</v>
      </c>
      <c r="AV857" s="518">
        <f>BJ857</f>
        <v>0</v>
      </c>
      <c r="AW857" s="518">
        <f>BK857</f>
        <v>0</v>
      </c>
      <c r="AX857" s="518">
        <f>SUM(AI857,AJ857,AK857,AL857,AM857,AN857,AO857,AP857,AQ857,AR857,AS857,AT857)</f>
        <v>178584050</v>
      </c>
      <c r="AY857" s="788"/>
      <c r="AZ857" s="189"/>
      <c r="BA857" s="810"/>
      <c r="BB857" s="758"/>
      <c r="BC857" s="758">
        <v>0</v>
      </c>
      <c r="BD857" s="758">
        <v>0</v>
      </c>
      <c r="BE857" s="758">
        <v>0</v>
      </c>
      <c r="BF857" s="758">
        <v>34635140</v>
      </c>
      <c r="BG857" s="518">
        <f>AP857</f>
        <v>0</v>
      </c>
      <c r="BH857" s="758">
        <v>0</v>
      </c>
      <c r="BI857" s="758">
        <v>75000000</v>
      </c>
      <c r="BJ857" s="758">
        <v>0</v>
      </c>
      <c r="BK857" s="758">
        <v>0</v>
      </c>
      <c r="BL857" s="759">
        <f>SUM(AZ857,BA857,BB857,BC857,BD857,BE857,BF857,BG857,BH857,BI857,BJ857,BK857)</f>
        <v>109635140</v>
      </c>
      <c r="BN857" s="758">
        <v>0</v>
      </c>
      <c r="BO857" s="758">
        <v>0</v>
      </c>
      <c r="BP857" s="758">
        <v>19000000</v>
      </c>
      <c r="BQ857" s="758">
        <v>0</v>
      </c>
      <c r="BR857" s="758">
        <v>0</v>
      </c>
      <c r="BS857" s="758">
        <v>0</v>
      </c>
      <c r="BT857" s="758">
        <v>19000000</v>
      </c>
      <c r="BU857" s="758">
        <v>0</v>
      </c>
      <c r="BV857" s="758">
        <v>0</v>
      </c>
      <c r="BW857" s="758">
        <v>0</v>
      </c>
      <c r="BX857" s="758">
        <v>0</v>
      </c>
      <c r="BY857" s="758">
        <v>0</v>
      </c>
      <c r="BZ857" s="791">
        <v>38000000</v>
      </c>
      <c r="CB857" s="758">
        <v>0</v>
      </c>
      <c r="CC857" s="758">
        <v>0</v>
      </c>
      <c r="CD857" s="758">
        <v>19000000</v>
      </c>
      <c r="CE857" s="758">
        <v>0</v>
      </c>
      <c r="CF857" s="758">
        <v>0</v>
      </c>
      <c r="CG857" s="758">
        <v>0</v>
      </c>
      <c r="CH857" s="758">
        <v>19000000</v>
      </c>
      <c r="CI857" s="758">
        <v>0</v>
      </c>
      <c r="CJ857" s="758">
        <v>0</v>
      </c>
      <c r="CK857" s="758">
        <v>0</v>
      </c>
      <c r="CL857" s="758">
        <v>0</v>
      </c>
      <c r="CM857" s="758">
        <v>0</v>
      </c>
      <c r="CN857" s="791">
        <v>38000000</v>
      </c>
      <c r="CP857" s="653">
        <v>118521330</v>
      </c>
      <c r="CQ857" s="653">
        <v>162124795</v>
      </c>
      <c r="CR857" s="524">
        <v>162124795</v>
      </c>
      <c r="CS857" s="653"/>
      <c r="CT857" s="524"/>
      <c r="CU857" s="653"/>
      <c r="CV857" s="524">
        <v>15000000</v>
      </c>
      <c r="CW857" s="653"/>
      <c r="CX857" s="524" t="s">
        <v>266</v>
      </c>
      <c r="CY857" s="653"/>
      <c r="CZ857" s="524">
        <v>160000000</v>
      </c>
      <c r="DA857" s="653"/>
      <c r="DB857" s="524" t="s">
        <v>266</v>
      </c>
      <c r="DC857" s="653"/>
      <c r="DD857" s="524" t="s">
        <v>266</v>
      </c>
      <c r="DE857" s="524"/>
      <c r="DF857" s="524"/>
      <c r="DG857" s="757"/>
      <c r="DH857" s="524"/>
      <c r="DI857" s="524"/>
      <c r="DJ857" s="757"/>
      <c r="DK857" s="524"/>
      <c r="DL857" s="524" t="s">
        <v>266</v>
      </c>
      <c r="DM857" s="757" t="s">
        <v>266</v>
      </c>
      <c r="DN857" s="524"/>
      <c r="DO857" s="524" t="s">
        <v>266</v>
      </c>
      <c r="DP857" s="757" t="s">
        <v>266</v>
      </c>
      <c r="DQ857" s="493">
        <f t="shared" si="525"/>
        <v>280646125</v>
      </c>
      <c r="DR857" s="479">
        <f t="shared" si="526"/>
        <v>280646125</v>
      </c>
      <c r="DS857" s="1019">
        <v>44000000</v>
      </c>
      <c r="DT857" s="1019">
        <v>44000000</v>
      </c>
      <c r="DU857" s="1019">
        <v>44000000</v>
      </c>
      <c r="DV857" s="1019">
        <v>44000000</v>
      </c>
      <c r="DW857" s="1019"/>
      <c r="DX857" s="1019">
        <f>44000000*2</f>
        <v>88000000</v>
      </c>
      <c r="DY857" s="1019">
        <v>44000000</v>
      </c>
      <c r="DZ857" s="1019">
        <v>44000000</v>
      </c>
      <c r="EA857" s="1019">
        <v>44000000</v>
      </c>
      <c r="EB857" s="1019">
        <v>44000000</v>
      </c>
      <c r="EC857" s="1019"/>
      <c r="ED857" s="1019">
        <v>88000000</v>
      </c>
      <c r="EE857" s="1119">
        <f t="shared" si="527"/>
        <v>528000000</v>
      </c>
      <c r="EF857" s="443">
        <f>EE857*1.17</f>
        <v>617760000</v>
      </c>
      <c r="EG857" s="443">
        <f>EF857*1.08</f>
        <v>667180800</v>
      </c>
      <c r="EH857" s="443">
        <f>EG857*1.09</f>
        <v>727227072</v>
      </c>
      <c r="EI857" s="443">
        <f>EH857*1.09</f>
        <v>792677508.48000002</v>
      </c>
      <c r="EJ857" s="367">
        <v>3000007274</v>
      </c>
    </row>
    <row r="858" spans="1:141" outlineLevel="2">
      <c r="A858" s="367" t="s">
        <v>281</v>
      </c>
      <c r="B858" s="378"/>
      <c r="C858" s="370" t="s">
        <v>946</v>
      </c>
      <c r="D858" s="370" t="s">
        <v>108</v>
      </c>
      <c r="E858" s="383" t="s">
        <v>960</v>
      </c>
      <c r="F858" s="380">
        <v>3000008819</v>
      </c>
      <c r="G858" s="189"/>
      <c r="H858" s="13"/>
      <c r="I858" s="185"/>
      <c r="J858" s="185"/>
      <c r="K858" s="185"/>
      <c r="L858" s="185"/>
      <c r="M858" s="185"/>
      <c r="N858" s="185"/>
      <c r="O858" s="7"/>
      <c r="P858" s="7"/>
      <c r="Q858" s="7"/>
      <c r="R858" s="7"/>
      <c r="S858" s="14"/>
      <c r="T858" s="179"/>
      <c r="U858" s="189"/>
      <c r="V858" s="13"/>
      <c r="W858" s="185"/>
      <c r="X858" s="185"/>
      <c r="Y858" s="185"/>
      <c r="Z858" s="185"/>
      <c r="AA858" s="185"/>
      <c r="AB858" s="185"/>
      <c r="AC858" s="7"/>
      <c r="AD858" s="7"/>
      <c r="AE858" s="7"/>
      <c r="AF858" s="7"/>
      <c r="AG858" s="759"/>
      <c r="AH858" s="788"/>
      <c r="AI858" s="189"/>
      <c r="AJ858" s="810"/>
      <c r="AK858" s="758"/>
      <c r="AL858" s="758"/>
      <c r="AM858" s="758"/>
      <c r="AN858" s="758"/>
      <c r="AO858" s="758"/>
      <c r="AP858" s="758"/>
      <c r="AQ858" s="518"/>
      <c r="AR858" s="518"/>
      <c r="AS858" s="518"/>
      <c r="AT858" s="813"/>
      <c r="AU858" s="518"/>
      <c r="AV858" s="794"/>
      <c r="AW858" s="794"/>
      <c r="AX858" s="518"/>
      <c r="AY858" s="788"/>
      <c r="AZ858" s="189"/>
      <c r="BA858" s="810"/>
      <c r="BB858" s="758"/>
      <c r="BC858" s="758"/>
      <c r="BD858" s="758"/>
      <c r="BE858" s="758"/>
      <c r="BF858" s="758"/>
      <c r="BG858" s="518"/>
      <c r="BH858" s="758"/>
      <c r="BI858" s="758"/>
      <c r="BJ858" s="758"/>
      <c r="BK858" s="758"/>
      <c r="BL858" s="759"/>
      <c r="BN858" s="758"/>
      <c r="BO858" s="758"/>
      <c r="BP858" s="758"/>
      <c r="BQ858" s="758"/>
      <c r="BR858" s="758"/>
      <c r="BS858" s="758"/>
      <c r="BT858" s="758"/>
      <c r="BU858" s="758"/>
      <c r="BV858" s="758"/>
      <c r="BW858" s="758"/>
      <c r="BX858" s="758"/>
      <c r="BY858" s="758"/>
      <c r="BZ858" s="791"/>
      <c r="CB858" s="6"/>
      <c r="CC858" s="6"/>
      <c r="CD858" s="887"/>
      <c r="CE858" s="888"/>
      <c r="CF858" s="888"/>
      <c r="CG858" s="888"/>
      <c r="CH858" s="888"/>
      <c r="CI858" s="888"/>
      <c r="CJ858" s="888"/>
      <c r="CK858" s="888"/>
      <c r="CL858" s="888"/>
      <c r="CM858" s="888"/>
      <c r="CN858" s="791"/>
      <c r="CP858" s="655"/>
      <c r="CQ858" s="655"/>
      <c r="CR858" s="6"/>
      <c r="CS858" s="655">
        <v>283917200</v>
      </c>
      <c r="CT858" s="6"/>
      <c r="CU858" s="655"/>
      <c r="CV858" s="6">
        <v>280000000</v>
      </c>
      <c r="CW858" s="655"/>
      <c r="CX858" s="6"/>
      <c r="CY858" s="655"/>
      <c r="CZ858" s="6"/>
      <c r="DA858" s="655"/>
      <c r="DB858" s="6"/>
      <c r="DC858" s="655"/>
      <c r="DD858" s="6"/>
      <c r="DE858" s="520"/>
      <c r="DF858" s="6"/>
      <c r="DG858" s="776"/>
      <c r="DH858" s="520"/>
      <c r="DI858" s="6"/>
      <c r="DJ858" s="776"/>
      <c r="DK858" s="520"/>
      <c r="DL858" s="6"/>
      <c r="DM858" s="776"/>
      <c r="DN858" s="520"/>
      <c r="DO858" s="6"/>
      <c r="DP858" s="776"/>
      <c r="DQ858" s="493">
        <f t="shared" si="525"/>
        <v>283917200</v>
      </c>
      <c r="DR858" s="479">
        <f t="shared" si="526"/>
        <v>283917200</v>
      </c>
      <c r="DS858" s="1019"/>
      <c r="DT858" s="1019"/>
      <c r="DU858" s="1019">
        <v>340000000</v>
      </c>
      <c r="DV858" s="1019"/>
      <c r="DW858" s="1019"/>
      <c r="DX858" s="1019"/>
      <c r="DY858" s="1019"/>
      <c r="DZ858" s="1019"/>
      <c r="EA858" s="1019"/>
      <c r="EB858" s="1019"/>
      <c r="EC858" s="1019"/>
      <c r="ED858" s="1019"/>
      <c r="EE858" s="1119">
        <f t="shared" si="527"/>
        <v>340000000</v>
      </c>
      <c r="EF858" s="443"/>
      <c r="EG858" s="443"/>
      <c r="EH858" s="443"/>
      <c r="EI858" s="443"/>
    </row>
    <row r="859" spans="1:141" outlineLevel="2">
      <c r="A859" s="367" t="s">
        <v>281</v>
      </c>
      <c r="B859" s="378"/>
      <c r="C859" s="370" t="s">
        <v>946</v>
      </c>
      <c r="D859" s="370" t="s">
        <v>40</v>
      </c>
      <c r="E859" s="383" t="s">
        <v>961</v>
      </c>
      <c r="F859" s="380">
        <v>3000007314</v>
      </c>
      <c r="G859" s="189"/>
      <c r="H859" s="13"/>
      <c r="I859" s="185"/>
      <c r="J859" s="185"/>
      <c r="K859" s="185"/>
      <c r="L859" s="185"/>
      <c r="M859" s="185"/>
      <c r="N859" s="185"/>
      <c r="O859" s="7"/>
      <c r="P859" s="7"/>
      <c r="Q859" s="7"/>
      <c r="R859" s="7"/>
      <c r="S859" s="14">
        <f>SUM(G859,H859,I859,J859,K859,L859,M859,N859,O859,P859,Q859,R859)</f>
        <v>0</v>
      </c>
      <c r="T859" s="179"/>
      <c r="U859" s="189"/>
      <c r="V859" s="13"/>
      <c r="W859" s="185"/>
      <c r="X859" s="185"/>
      <c r="Y859" s="185"/>
      <c r="Z859" s="185"/>
      <c r="AA859" s="185"/>
      <c r="AB859" s="185"/>
      <c r="AC859" s="7"/>
      <c r="AD859" s="7"/>
      <c r="AE859" s="7"/>
      <c r="AF859" s="7"/>
      <c r="AG859" s="759">
        <f>SUM(U859,V859,W859,X859,Y859,Z859,AA859,AB859,AC859,AD859,AE859,AF859)</f>
        <v>0</v>
      </c>
      <c r="AH859" s="788"/>
      <c r="AI859" s="189"/>
      <c r="AJ859" s="810"/>
      <c r="AK859" s="758"/>
      <c r="AL859" s="758"/>
      <c r="AM859" s="758"/>
      <c r="AN859" s="758"/>
      <c r="AO859" s="758"/>
      <c r="AP859" s="758"/>
      <c r="AQ859" s="518">
        <v>917727625</v>
      </c>
      <c r="AR859" s="813">
        <v>917727625</v>
      </c>
      <c r="AS859" s="813"/>
      <c r="AT859" s="813"/>
      <c r="AU859" s="794">
        <f>450000000</f>
        <v>450000000</v>
      </c>
      <c r="AV859" s="794">
        <f>450000000</f>
        <v>450000000</v>
      </c>
      <c r="AW859" s="518"/>
      <c r="AX859" s="518">
        <f t="shared" ref="AX859:AX874" si="528">SUM(AI859,AJ859,AK859,AL859,AM859,AN859,AO859,AP859,AQ859,AR859,AS859,AT859)</f>
        <v>1835455250</v>
      </c>
      <c r="AY859" s="788"/>
      <c r="AZ859" s="189"/>
      <c r="BA859" s="810"/>
      <c r="BB859" s="758"/>
      <c r="BC859" s="758"/>
      <c r="BD859" s="758"/>
      <c r="BE859" s="758"/>
      <c r="BF859" s="758"/>
      <c r="BG859" s="518">
        <f>AP859</f>
        <v>0</v>
      </c>
      <c r="BH859" s="758">
        <v>900000000</v>
      </c>
      <c r="BI859" s="758">
        <v>900000000</v>
      </c>
      <c r="BJ859" s="758">
        <v>0</v>
      </c>
      <c r="BK859" s="758">
        <v>500000000</v>
      </c>
      <c r="BL859" s="759">
        <f>SUM(AZ859,BA859,BB859,BC859,BD859,BE859,BF859,BG859,BH859,BI859,BJ859,BK859)</f>
        <v>2300000000</v>
      </c>
      <c r="BN859" s="758">
        <v>0</v>
      </c>
      <c r="BO859" s="758">
        <v>500000000</v>
      </c>
      <c r="BP859" s="758">
        <v>500000000</v>
      </c>
      <c r="BQ859" s="758">
        <v>500000000</v>
      </c>
      <c r="BR859" s="758">
        <v>500000000</v>
      </c>
      <c r="BS859" s="758">
        <v>0</v>
      </c>
      <c r="BT859" s="758">
        <v>500000000</v>
      </c>
      <c r="BU859" s="758">
        <v>500000000</v>
      </c>
      <c r="BV859" s="758">
        <v>500000000</v>
      </c>
      <c r="BW859" s="758">
        <v>500000000</v>
      </c>
      <c r="BX859" s="758">
        <v>500000000</v>
      </c>
      <c r="BY859" s="758">
        <v>0</v>
      </c>
      <c r="BZ859" s="791">
        <v>4500000000</v>
      </c>
      <c r="CB859" s="758">
        <v>0</v>
      </c>
      <c r="CC859" s="758">
        <v>500000000</v>
      </c>
      <c r="CD859" s="758">
        <v>500000000</v>
      </c>
      <c r="CE859" s="758">
        <v>500000000</v>
      </c>
      <c r="CF859" s="758">
        <v>500000000</v>
      </c>
      <c r="CG859" s="758">
        <v>0</v>
      </c>
      <c r="CH859" s="758">
        <v>500000000</v>
      </c>
      <c r="CI859" s="758">
        <v>500000000</v>
      </c>
      <c r="CJ859" s="758">
        <v>500000000</v>
      </c>
      <c r="CK859" s="758">
        <v>500000000</v>
      </c>
      <c r="CL859" s="758">
        <v>500000000</v>
      </c>
      <c r="CM859" s="758">
        <v>0</v>
      </c>
      <c r="CN859" s="791">
        <v>4500000000</v>
      </c>
      <c r="CP859" s="653"/>
      <c r="CQ859" s="653"/>
      <c r="CR859" s="524"/>
      <c r="CS859" s="653"/>
      <c r="CT859" s="524"/>
      <c r="CU859" s="653"/>
      <c r="CV859" s="524">
        <v>0</v>
      </c>
      <c r="CW859" s="653"/>
      <c r="CX859" s="524">
        <v>0</v>
      </c>
      <c r="CY859" s="653"/>
      <c r="CZ859" s="524">
        <v>0</v>
      </c>
      <c r="DA859" s="653"/>
      <c r="DB859" s="524"/>
      <c r="DC859" s="653"/>
      <c r="DD859" s="524"/>
      <c r="DE859" s="524"/>
      <c r="DF859" s="524"/>
      <c r="DG859" s="757"/>
      <c r="DH859" s="524"/>
      <c r="DI859" s="524"/>
      <c r="DJ859" s="757"/>
      <c r="DK859" s="524"/>
      <c r="DL859" s="524"/>
      <c r="DM859" s="757"/>
      <c r="DN859" s="524"/>
      <c r="DO859" s="524"/>
      <c r="DP859" s="757"/>
      <c r="DQ859" s="493">
        <f t="shared" si="525"/>
        <v>0</v>
      </c>
      <c r="DR859" s="479">
        <f t="shared" si="526"/>
        <v>0</v>
      </c>
      <c r="DS859" s="1019"/>
      <c r="DT859" s="1019">
        <v>1000000000</v>
      </c>
      <c r="DU859" s="1019">
        <v>0</v>
      </c>
      <c r="DV859" s="1019"/>
      <c r="DW859" s="1019"/>
      <c r="DX859" s="1019"/>
      <c r="DY859" s="1019"/>
      <c r="DZ859" s="1019"/>
      <c r="EA859" s="1019"/>
      <c r="EB859" s="1019">
        <v>1000000000</v>
      </c>
      <c r="EC859" s="1019"/>
      <c r="ED859" s="1019"/>
      <c r="EE859" s="1119">
        <f t="shared" si="527"/>
        <v>2000000000</v>
      </c>
      <c r="EF859" s="443">
        <f>EE859*1.17</f>
        <v>2340000000</v>
      </c>
      <c r="EG859" s="443">
        <f>EF859*1.08</f>
        <v>2527200000</v>
      </c>
      <c r="EH859" s="443">
        <f t="shared" ref="EH859:EI863" si="529">EG859*1.09</f>
        <v>2754648000</v>
      </c>
      <c r="EI859" s="443">
        <f t="shared" si="529"/>
        <v>3002566320</v>
      </c>
      <c r="EJ859" s="367">
        <v>3000007314</v>
      </c>
    </row>
    <row r="860" spans="1:141" outlineLevel="2">
      <c r="A860" s="367" t="s">
        <v>281</v>
      </c>
      <c r="B860" s="378"/>
      <c r="C860" s="370" t="s">
        <v>946</v>
      </c>
      <c r="D860" s="370" t="s">
        <v>40</v>
      </c>
      <c r="E860" s="383" t="s">
        <v>962</v>
      </c>
      <c r="F860" s="380">
        <v>3000014686</v>
      </c>
      <c r="G860" s="189"/>
      <c r="H860" s="13"/>
      <c r="I860" s="185"/>
      <c r="J860" s="185"/>
      <c r="K860" s="185"/>
      <c r="L860" s="185"/>
      <c r="M860" s="185"/>
      <c r="N860" s="185"/>
      <c r="O860" s="7"/>
      <c r="P860" s="7"/>
      <c r="Q860" s="7"/>
      <c r="R860" s="7"/>
      <c r="S860" s="14">
        <f>SUM(G860,H860,I860,J860,K860,L860,M860,N860,O860,P860,Q860,R860)</f>
        <v>0</v>
      </c>
      <c r="T860" s="179"/>
      <c r="U860" s="189"/>
      <c r="V860" s="13"/>
      <c r="W860" s="185"/>
      <c r="X860" s="185"/>
      <c r="Y860" s="185"/>
      <c r="Z860" s="185"/>
      <c r="AA860" s="185"/>
      <c r="AB860" s="185"/>
      <c r="AC860" s="7"/>
      <c r="AD860" s="7"/>
      <c r="AE860" s="7"/>
      <c r="AF860" s="7"/>
      <c r="AG860" s="759">
        <f>SUM(U860,V860,W860,X860,Y860,Z860,AA860,AB860,AC860,AD860,AE860,AF860)</f>
        <v>0</v>
      </c>
      <c r="AH860" s="788"/>
      <c r="AI860" s="189"/>
      <c r="AJ860" s="810"/>
      <c r="AK860" s="758">
        <v>759450</v>
      </c>
      <c r="AL860" s="758">
        <v>0</v>
      </c>
      <c r="AM860" s="758">
        <v>0</v>
      </c>
      <c r="AN860" s="758">
        <v>0</v>
      </c>
      <c r="AO860" s="758">
        <v>0</v>
      </c>
      <c r="AP860" s="758">
        <v>0</v>
      </c>
      <c r="AQ860" s="518">
        <v>45240300</v>
      </c>
      <c r="AR860" s="518"/>
      <c r="AS860" s="518"/>
      <c r="AT860" s="518"/>
      <c r="AU860" s="518">
        <f>BI860</f>
        <v>0</v>
      </c>
      <c r="AV860" s="518">
        <f>BJ860</f>
        <v>0</v>
      </c>
      <c r="AW860" s="518">
        <f>BK860</f>
        <v>0</v>
      </c>
      <c r="AX860" s="518">
        <f t="shared" si="528"/>
        <v>45999750</v>
      </c>
      <c r="AY860" s="788"/>
      <c r="AZ860" s="189"/>
      <c r="BA860" s="810"/>
      <c r="BB860" s="758">
        <v>759450</v>
      </c>
      <c r="BC860" s="758">
        <v>0</v>
      </c>
      <c r="BD860" s="758">
        <v>0</v>
      </c>
      <c r="BE860" s="758">
        <v>0</v>
      </c>
      <c r="BF860" s="758">
        <v>0</v>
      </c>
      <c r="BG860" s="518">
        <f>AP860</f>
        <v>0</v>
      </c>
      <c r="BH860" s="758">
        <v>0</v>
      </c>
      <c r="BI860" s="758">
        <v>0</v>
      </c>
      <c r="BJ860" s="758">
        <v>0</v>
      </c>
      <c r="BK860" s="758">
        <v>0</v>
      </c>
      <c r="BL860" s="759">
        <f>SUM(AZ860,BA860,BB860,BC860,BD860,BE860,BF860,BG860,BH860,BI860,BJ860,BK860)</f>
        <v>759450</v>
      </c>
      <c r="BN860" s="758">
        <v>0</v>
      </c>
      <c r="BO860" s="758">
        <v>0</v>
      </c>
      <c r="BP860" s="758">
        <v>825000</v>
      </c>
      <c r="BQ860" s="758">
        <v>825000</v>
      </c>
      <c r="BR860" s="758">
        <v>0</v>
      </c>
      <c r="BS860" s="758">
        <v>0</v>
      </c>
      <c r="BT860" s="758">
        <v>0</v>
      </c>
      <c r="BU860" s="758">
        <v>825000</v>
      </c>
      <c r="BV860" s="758">
        <v>0</v>
      </c>
      <c r="BW860" s="758">
        <v>0</v>
      </c>
      <c r="BX860" s="758">
        <v>0</v>
      </c>
      <c r="BY860" s="758">
        <v>0</v>
      </c>
      <c r="BZ860" s="791">
        <v>2475000</v>
      </c>
      <c r="CB860" s="758">
        <v>0</v>
      </c>
      <c r="CC860" s="758">
        <v>0</v>
      </c>
      <c r="CD860" s="758">
        <v>825000</v>
      </c>
      <c r="CE860" s="758">
        <v>825000</v>
      </c>
      <c r="CF860" s="758">
        <v>0</v>
      </c>
      <c r="CG860" s="758">
        <v>0</v>
      </c>
      <c r="CH860" s="758">
        <v>0</v>
      </c>
      <c r="CI860" s="758">
        <v>825000</v>
      </c>
      <c r="CJ860" s="758">
        <v>0</v>
      </c>
      <c r="CK860" s="758">
        <v>0</v>
      </c>
      <c r="CL860" s="758">
        <v>0</v>
      </c>
      <c r="CM860" s="758">
        <v>0</v>
      </c>
      <c r="CN860" s="791">
        <v>2475000</v>
      </c>
      <c r="CP860" s="653"/>
      <c r="CQ860" s="653">
        <v>18050000</v>
      </c>
      <c r="CR860" s="524">
        <v>18050000</v>
      </c>
      <c r="CS860" s="653"/>
      <c r="CT860" s="524">
        <v>18000000</v>
      </c>
      <c r="CU860" s="653"/>
      <c r="CV860" s="524">
        <v>18000000</v>
      </c>
      <c r="CW860" s="653"/>
      <c r="CX860" s="524">
        <v>18000000</v>
      </c>
      <c r="CY860" s="653"/>
      <c r="CZ860" s="524">
        <v>18000000</v>
      </c>
      <c r="DA860" s="653"/>
      <c r="DB860" s="524">
        <v>18000000</v>
      </c>
      <c r="DC860" s="653"/>
      <c r="DD860" s="524">
        <v>18000000</v>
      </c>
      <c r="DE860" s="524"/>
      <c r="DF860" s="524"/>
      <c r="DG860" s="757"/>
      <c r="DH860" s="524"/>
      <c r="DI860" s="524"/>
      <c r="DJ860" s="757"/>
      <c r="DK860" s="524"/>
      <c r="DL860" s="524">
        <v>18000000</v>
      </c>
      <c r="DM860" s="757">
        <v>18000000</v>
      </c>
      <c r="DN860" s="524"/>
      <c r="DO860" s="524">
        <v>18000000</v>
      </c>
      <c r="DP860" s="757">
        <v>18000000</v>
      </c>
      <c r="DQ860" s="493">
        <f t="shared" si="525"/>
        <v>54050000</v>
      </c>
      <c r="DR860" s="479">
        <f t="shared" si="526"/>
        <v>54050000</v>
      </c>
      <c r="DS860" s="1019"/>
      <c r="DT860" s="1019">
        <v>21600000</v>
      </c>
      <c r="DU860" s="1019"/>
      <c r="DV860" s="1019"/>
      <c r="DW860" s="1019"/>
      <c r="DX860" s="1019"/>
      <c r="DY860" s="1019"/>
      <c r="DZ860" s="1019"/>
      <c r="EA860" s="1019"/>
      <c r="EB860" s="1019"/>
      <c r="EC860" s="1019"/>
      <c r="ED860" s="1019"/>
      <c r="EE860" s="1119">
        <f t="shared" si="527"/>
        <v>21600000</v>
      </c>
      <c r="EF860" s="443">
        <f>EE860*1.17</f>
        <v>25272000</v>
      </c>
      <c r="EG860" s="443">
        <f>EF860*1.08</f>
        <v>27293760</v>
      </c>
      <c r="EH860" s="443">
        <f t="shared" si="529"/>
        <v>29750198.400000002</v>
      </c>
      <c r="EI860" s="443">
        <f t="shared" si="529"/>
        <v>32427716.256000005</v>
      </c>
      <c r="EJ860" s="367">
        <v>3000014686</v>
      </c>
    </row>
    <row r="861" spans="1:141" outlineLevel="2">
      <c r="A861" s="367" t="s">
        <v>281</v>
      </c>
      <c r="B861" s="378"/>
      <c r="C861" s="370" t="s">
        <v>946</v>
      </c>
      <c r="D861" s="370" t="s">
        <v>40</v>
      </c>
      <c r="E861" s="383" t="s">
        <v>963</v>
      </c>
      <c r="F861" s="380">
        <v>3000014687</v>
      </c>
      <c r="G861" s="189"/>
      <c r="H861" s="13"/>
      <c r="I861" s="185"/>
      <c r="J861" s="185"/>
      <c r="K861" s="185"/>
      <c r="L861" s="185"/>
      <c r="M861" s="185"/>
      <c r="N861" s="185"/>
      <c r="O861" s="7"/>
      <c r="P861" s="7"/>
      <c r="Q861" s="7"/>
      <c r="R861" s="7"/>
      <c r="S861" s="14">
        <f>SUM(G861,H861,I861,J861,K861,L861,M861,N861,O861,P861,Q861,R861)</f>
        <v>0</v>
      </c>
      <c r="T861" s="179"/>
      <c r="U861" s="189"/>
      <c r="V861" s="13"/>
      <c r="W861" s="185"/>
      <c r="X861" s="185"/>
      <c r="Y861" s="185"/>
      <c r="Z861" s="185"/>
      <c r="AA861" s="185"/>
      <c r="AB861" s="185"/>
      <c r="AC861" s="7"/>
      <c r="AD861" s="7"/>
      <c r="AE861" s="7"/>
      <c r="AF861" s="7"/>
      <c r="AG861" s="759">
        <f>SUM(U861,V861,W861,X861,Y861,Z861,AA861,AB861,AC861,AD861,AE861,AF861)</f>
        <v>0</v>
      </c>
      <c r="AH861" s="788"/>
      <c r="AI861" s="189"/>
      <c r="AJ861" s="810"/>
      <c r="AK861" s="758">
        <v>3739150</v>
      </c>
      <c r="AL861" s="758">
        <v>0</v>
      </c>
      <c r="AM861" s="758">
        <v>0</v>
      </c>
      <c r="AN861" s="758">
        <v>0</v>
      </c>
      <c r="AO861" s="758">
        <v>0</v>
      </c>
      <c r="AP861" s="758">
        <v>0</v>
      </c>
      <c r="AQ861" s="518">
        <v>121367250</v>
      </c>
      <c r="AR861" s="518"/>
      <c r="AS861" s="518"/>
      <c r="AT861" s="518"/>
      <c r="AU861" s="518">
        <f t="shared" ref="AU861:AV863" si="530">BI861</f>
        <v>0</v>
      </c>
      <c r="AV861" s="518">
        <f t="shared" si="530"/>
        <v>0</v>
      </c>
      <c r="AW861" s="794">
        <f>55000000</f>
        <v>55000000</v>
      </c>
      <c r="AX861" s="518">
        <f t="shared" si="528"/>
        <v>125106400</v>
      </c>
      <c r="AY861" s="788"/>
      <c r="AZ861" s="189"/>
      <c r="BA861" s="810"/>
      <c r="BB861" s="758">
        <v>3739150</v>
      </c>
      <c r="BC861" s="758">
        <v>0</v>
      </c>
      <c r="BD861" s="758">
        <v>0</v>
      </c>
      <c r="BE861" s="758">
        <v>0</v>
      </c>
      <c r="BF861" s="758">
        <v>0</v>
      </c>
      <c r="BG861" s="518">
        <f>AP861</f>
        <v>0</v>
      </c>
      <c r="BH861" s="758">
        <v>0</v>
      </c>
      <c r="BI861" s="758">
        <v>0</v>
      </c>
      <c r="BJ861" s="758">
        <v>0</v>
      </c>
      <c r="BK861" s="758">
        <v>0</v>
      </c>
      <c r="BL861" s="759">
        <f>SUM(AZ861,BA861,BB861,BC861,BD861,BE861,BF861,BG861,BH861,BI861,BJ861,BK861)</f>
        <v>3739150</v>
      </c>
      <c r="BN861" s="758">
        <v>0</v>
      </c>
      <c r="BO861" s="758">
        <v>0</v>
      </c>
      <c r="BP861" s="758">
        <v>4115000</v>
      </c>
      <c r="BQ861" s="758">
        <v>4115000</v>
      </c>
      <c r="BR861" s="758">
        <v>0</v>
      </c>
      <c r="BS861" s="758">
        <v>0</v>
      </c>
      <c r="BT861" s="758">
        <v>0</v>
      </c>
      <c r="BU861" s="758">
        <v>4115000</v>
      </c>
      <c r="BV861" s="758">
        <v>0</v>
      </c>
      <c r="BW861" s="758">
        <v>0</v>
      </c>
      <c r="BX861" s="758">
        <v>0</v>
      </c>
      <c r="BY861" s="758">
        <v>0</v>
      </c>
      <c r="BZ861" s="791">
        <v>12345000</v>
      </c>
      <c r="CB861" s="758">
        <v>0</v>
      </c>
      <c r="CC861" s="758">
        <v>0</v>
      </c>
      <c r="CD861" s="758">
        <v>4115000</v>
      </c>
      <c r="CE861" s="758">
        <v>4115000</v>
      </c>
      <c r="CF861" s="758">
        <v>0</v>
      </c>
      <c r="CG861" s="758">
        <v>0</v>
      </c>
      <c r="CH861" s="758">
        <v>0</v>
      </c>
      <c r="CI861" s="758">
        <v>4115000</v>
      </c>
      <c r="CJ861" s="758">
        <v>0</v>
      </c>
      <c r="CK861" s="758">
        <v>0</v>
      </c>
      <c r="CL861" s="758">
        <v>0</v>
      </c>
      <c r="CM861" s="758">
        <v>0</v>
      </c>
      <c r="CN861" s="791">
        <v>12345000</v>
      </c>
      <c r="CP861" s="653"/>
      <c r="CQ861" s="653">
        <v>26604560</v>
      </c>
      <c r="CR861" s="524">
        <v>26604560</v>
      </c>
      <c r="CS861" s="653"/>
      <c r="CT861" s="524">
        <v>25000000</v>
      </c>
      <c r="CU861" s="653"/>
      <c r="CV861" s="524">
        <v>25000000</v>
      </c>
      <c r="CW861" s="653"/>
      <c r="CX861" s="524">
        <v>25000000</v>
      </c>
      <c r="CY861" s="653"/>
      <c r="CZ861" s="524">
        <v>25000000</v>
      </c>
      <c r="DA861" s="653"/>
      <c r="DB861" s="524">
        <v>25000000</v>
      </c>
      <c r="DC861" s="653"/>
      <c r="DD861" s="524">
        <v>25000000</v>
      </c>
      <c r="DE861" s="524"/>
      <c r="DF861" s="524"/>
      <c r="DG861" s="757"/>
      <c r="DH861" s="524"/>
      <c r="DI861" s="524"/>
      <c r="DJ861" s="757"/>
      <c r="DK861" s="524"/>
      <c r="DL861" s="524">
        <v>25000000</v>
      </c>
      <c r="DM861" s="757">
        <v>25000000</v>
      </c>
      <c r="DN861" s="524"/>
      <c r="DO861" s="524">
        <v>25000000</v>
      </c>
      <c r="DP861" s="757">
        <v>25000000</v>
      </c>
      <c r="DQ861" s="493">
        <f t="shared" si="525"/>
        <v>76604560</v>
      </c>
      <c r="DR861" s="479">
        <f t="shared" si="526"/>
        <v>76604560</v>
      </c>
      <c r="DS861" s="1019"/>
      <c r="DT861" s="1019">
        <v>31200000</v>
      </c>
      <c r="DU861" s="1019"/>
      <c r="DV861" s="1019"/>
      <c r="DW861" s="1019"/>
      <c r="DX861" s="1019"/>
      <c r="DY861" s="1019"/>
      <c r="DZ861" s="1019"/>
      <c r="EA861" s="1019"/>
      <c r="EB861" s="1019"/>
      <c r="EC861" s="1019"/>
      <c r="ED861" s="1019"/>
      <c r="EE861" s="1119">
        <f t="shared" si="527"/>
        <v>31200000</v>
      </c>
      <c r="EF861" s="443">
        <f>EE861*1.17</f>
        <v>36504000</v>
      </c>
      <c r="EG861" s="443">
        <f>EF861*1.08</f>
        <v>39424320</v>
      </c>
      <c r="EH861" s="443">
        <f t="shared" si="529"/>
        <v>42972508.800000004</v>
      </c>
      <c r="EI861" s="443">
        <f t="shared" si="529"/>
        <v>46840034.592000008</v>
      </c>
      <c r="EJ861" s="367">
        <v>3000014687</v>
      </c>
    </row>
    <row r="862" spans="1:141" outlineLevel="2">
      <c r="A862" s="367" t="s">
        <v>281</v>
      </c>
      <c r="B862" s="378"/>
      <c r="C862" s="370" t="s">
        <v>946</v>
      </c>
      <c r="D862" s="370" t="s">
        <v>40</v>
      </c>
      <c r="E862" s="383" t="s">
        <v>964</v>
      </c>
      <c r="F862" s="380">
        <v>3000018257</v>
      </c>
      <c r="G862" s="189"/>
      <c r="H862" s="13"/>
      <c r="I862" s="185"/>
      <c r="J862" s="185"/>
      <c r="K862" s="185"/>
      <c r="L862" s="185"/>
      <c r="M862" s="185"/>
      <c r="N862" s="185"/>
      <c r="O862" s="7"/>
      <c r="P862" s="7"/>
      <c r="Q862" s="7"/>
      <c r="R862" s="7"/>
      <c r="S862" s="14">
        <f>SUM(G862,H862,I862,J862,K862,L862,M862,N862,O862,P862,Q862,R862)</f>
        <v>0</v>
      </c>
      <c r="T862" s="179"/>
      <c r="U862" s="189"/>
      <c r="V862" s="13"/>
      <c r="W862" s="185"/>
      <c r="X862" s="185"/>
      <c r="Y862" s="185"/>
      <c r="Z862" s="185"/>
      <c r="AA862" s="185"/>
      <c r="AB862" s="185"/>
      <c r="AC862" s="7"/>
      <c r="AD862" s="7"/>
      <c r="AE862" s="7"/>
      <c r="AF862" s="7"/>
      <c r="AG862" s="759">
        <f>SUM(U862,V862,W862,X862,Y862,Z862,AA862,AB862,AC862,AD862,AE862,AF862)</f>
        <v>0</v>
      </c>
      <c r="AH862" s="788"/>
      <c r="AI862" s="189"/>
      <c r="AJ862" s="810"/>
      <c r="AK862" s="758">
        <v>16429650</v>
      </c>
      <c r="AL862" s="758">
        <v>0</v>
      </c>
      <c r="AM862" s="758">
        <v>0</v>
      </c>
      <c r="AN862" s="758">
        <v>0</v>
      </c>
      <c r="AO862" s="758">
        <v>548460</v>
      </c>
      <c r="AP862" s="758">
        <v>0</v>
      </c>
      <c r="AQ862" s="518">
        <v>0</v>
      </c>
      <c r="AR862" s="813">
        <v>61228080</v>
      </c>
      <c r="AS862" s="813"/>
      <c r="AT862" s="813">
        <v>0</v>
      </c>
      <c r="AU862" s="518">
        <f t="shared" si="530"/>
        <v>50000000</v>
      </c>
      <c r="AV862" s="518">
        <f t="shared" si="530"/>
        <v>50000000</v>
      </c>
      <c r="AW862" s="518">
        <f>BK862</f>
        <v>0</v>
      </c>
      <c r="AX862" s="518">
        <f t="shared" si="528"/>
        <v>78206190</v>
      </c>
      <c r="AY862" s="788"/>
      <c r="AZ862" s="189"/>
      <c r="BA862" s="810"/>
      <c r="BB862" s="758">
        <v>16429650</v>
      </c>
      <c r="BC862" s="758">
        <v>0</v>
      </c>
      <c r="BD862" s="758">
        <v>0</v>
      </c>
      <c r="BE862" s="758">
        <v>0</v>
      </c>
      <c r="BF862" s="758">
        <v>548460</v>
      </c>
      <c r="BG862" s="518">
        <f>AP862</f>
        <v>0</v>
      </c>
      <c r="BH862" s="758">
        <v>50000000</v>
      </c>
      <c r="BI862" s="758">
        <v>50000000</v>
      </c>
      <c r="BJ862" s="758">
        <v>50000000</v>
      </c>
      <c r="BK862" s="758">
        <v>0</v>
      </c>
      <c r="BL862" s="759">
        <f>SUM(AZ862,BA862,BB862,BC862,BD862,BE862,BF862,BG862,BH862,BI862,BJ862,BK862)</f>
        <v>166978110</v>
      </c>
      <c r="BN862" s="758">
        <v>0</v>
      </c>
      <c r="BO862" s="758">
        <v>0</v>
      </c>
      <c r="BP862" s="758">
        <v>9300000</v>
      </c>
      <c r="BQ862" s="758">
        <v>0</v>
      </c>
      <c r="BR862" s="758">
        <v>0</v>
      </c>
      <c r="BS862" s="758">
        <v>0</v>
      </c>
      <c r="BT862" s="758">
        <v>9300000</v>
      </c>
      <c r="BU862" s="758">
        <v>0</v>
      </c>
      <c r="BV862" s="758">
        <v>0</v>
      </c>
      <c r="BW862" s="758">
        <v>0</v>
      </c>
      <c r="BX862" s="758">
        <v>0</v>
      </c>
      <c r="BY862" s="758">
        <v>0</v>
      </c>
      <c r="BZ862" s="791">
        <v>18600000</v>
      </c>
      <c r="CB862" s="758">
        <v>0</v>
      </c>
      <c r="CC862" s="758">
        <v>0</v>
      </c>
      <c r="CD862" s="758">
        <v>9300000</v>
      </c>
      <c r="CE862" s="758">
        <v>0</v>
      </c>
      <c r="CF862" s="758">
        <v>0</v>
      </c>
      <c r="CG862" s="758">
        <v>0</v>
      </c>
      <c r="CH862" s="758">
        <v>9300000</v>
      </c>
      <c r="CI862" s="758">
        <v>0</v>
      </c>
      <c r="CJ862" s="758">
        <v>0</v>
      </c>
      <c r="CK862" s="758">
        <v>0</v>
      </c>
      <c r="CL862" s="758">
        <v>0</v>
      </c>
      <c r="CM862" s="758">
        <v>0</v>
      </c>
      <c r="CN862" s="791">
        <v>18600000</v>
      </c>
      <c r="CP862" s="653"/>
      <c r="CQ862" s="653"/>
      <c r="CR862" s="524"/>
      <c r="CS862" s="653">
        <v>17505810</v>
      </c>
      <c r="CT862" s="524"/>
      <c r="CU862" s="653">
        <v>46610100</v>
      </c>
      <c r="CV862" s="524">
        <v>10000000</v>
      </c>
      <c r="CW862" s="653"/>
      <c r="CX862" s="524">
        <v>0</v>
      </c>
      <c r="CY862" s="653"/>
      <c r="CZ862" s="524">
        <v>0</v>
      </c>
      <c r="DA862" s="653"/>
      <c r="DB862" s="524"/>
      <c r="DC862" s="653">
        <v>67679350</v>
      </c>
      <c r="DD862" s="524"/>
      <c r="DE862" s="524"/>
      <c r="DF862" s="524"/>
      <c r="DG862" s="757"/>
      <c r="DH862" s="524"/>
      <c r="DI862" s="524"/>
      <c r="DJ862" s="757"/>
      <c r="DK862" s="524"/>
      <c r="DL862" s="524"/>
      <c r="DM862" s="757"/>
      <c r="DN862" s="524"/>
      <c r="DO862" s="524"/>
      <c r="DP862" s="757"/>
      <c r="DQ862" s="493">
        <f t="shared" si="525"/>
        <v>131795260</v>
      </c>
      <c r="DR862" s="479">
        <f t="shared" si="526"/>
        <v>131795260</v>
      </c>
      <c r="DS862" s="1019"/>
      <c r="DT862" s="1019"/>
      <c r="DU862" s="1019">
        <v>52400000</v>
      </c>
      <c r="DV862" s="1019">
        <v>52400000</v>
      </c>
      <c r="DW862" s="1019"/>
      <c r="DX862" s="1019"/>
      <c r="DY862" s="1019"/>
      <c r="DZ862" s="1019">
        <v>52400000</v>
      </c>
      <c r="EA862" s="1019"/>
      <c r="EB862" s="1019"/>
      <c r="EC862" s="1019"/>
      <c r="ED862" s="1019"/>
      <c r="EE862" s="1119">
        <f t="shared" si="527"/>
        <v>157200000</v>
      </c>
      <c r="EF862" s="443">
        <f>EE862*1.17</f>
        <v>183924000</v>
      </c>
      <c r="EG862" s="443">
        <f>EF862*1.08</f>
        <v>198637920</v>
      </c>
      <c r="EH862" s="443">
        <f t="shared" si="529"/>
        <v>216515332.80000001</v>
      </c>
      <c r="EI862" s="443">
        <f t="shared" si="529"/>
        <v>236001712.75200003</v>
      </c>
      <c r="EJ862" s="367">
        <v>3000018257</v>
      </c>
    </row>
    <row r="863" spans="1:141" outlineLevel="2">
      <c r="A863" s="367" t="s">
        <v>281</v>
      </c>
      <c r="B863" s="378"/>
      <c r="C863" s="370" t="s">
        <v>946</v>
      </c>
      <c r="D863" s="370" t="s">
        <v>40</v>
      </c>
      <c r="E863" s="383" t="s">
        <v>965</v>
      </c>
      <c r="F863" s="380">
        <v>3000019368</v>
      </c>
      <c r="G863" s="189"/>
      <c r="H863" s="13"/>
      <c r="I863" s="185"/>
      <c r="J863" s="185"/>
      <c r="K863" s="185"/>
      <c r="L863" s="185"/>
      <c r="M863" s="185"/>
      <c r="N863" s="185"/>
      <c r="O863" s="7"/>
      <c r="P863" s="7"/>
      <c r="Q863" s="7"/>
      <c r="R863" s="7"/>
      <c r="S863" s="14">
        <f>SUM(G863,H863,I863,J863,K863,L863,M863,N863,O863,P863,Q863,R863)</f>
        <v>0</v>
      </c>
      <c r="T863" s="179"/>
      <c r="U863" s="189"/>
      <c r="V863" s="13"/>
      <c r="W863" s="185"/>
      <c r="X863" s="185"/>
      <c r="Y863" s="185"/>
      <c r="Z863" s="185"/>
      <c r="AA863" s="185"/>
      <c r="AB863" s="185"/>
      <c r="AC863" s="7"/>
      <c r="AD863" s="7"/>
      <c r="AE863" s="7"/>
      <c r="AF863" s="7"/>
      <c r="AG863" s="759">
        <f>SUM(U863,V863,W863,X863,Y863,Z863,AA863,AB863,AC863,AD863,AE863,AF863)</f>
        <v>0</v>
      </c>
      <c r="AH863" s="788"/>
      <c r="AI863" s="189"/>
      <c r="AJ863" s="810"/>
      <c r="AK863" s="758">
        <v>602070</v>
      </c>
      <c r="AL863" s="758">
        <v>0</v>
      </c>
      <c r="AM863" s="758">
        <v>0</v>
      </c>
      <c r="AN863" s="758">
        <v>0</v>
      </c>
      <c r="AO863" s="758">
        <v>166200</v>
      </c>
      <c r="AP863" s="758">
        <v>0</v>
      </c>
      <c r="AQ863" s="518">
        <v>0</v>
      </c>
      <c r="AR863" s="813">
        <v>77873010</v>
      </c>
      <c r="AS863" s="813"/>
      <c r="AT863" s="813">
        <v>0</v>
      </c>
      <c r="AU863" s="518">
        <f t="shared" si="530"/>
        <v>0</v>
      </c>
      <c r="AV863" s="518">
        <f t="shared" si="530"/>
        <v>0</v>
      </c>
      <c r="AW863" s="518">
        <f>BK863</f>
        <v>0</v>
      </c>
      <c r="AX863" s="518">
        <f t="shared" si="528"/>
        <v>78641280</v>
      </c>
      <c r="AY863" s="788"/>
      <c r="AZ863" s="189"/>
      <c r="BA863" s="810"/>
      <c r="BB863" s="758">
        <v>602070</v>
      </c>
      <c r="BC863" s="758">
        <v>0</v>
      </c>
      <c r="BD863" s="758">
        <v>0</v>
      </c>
      <c r="BE863" s="758">
        <v>0</v>
      </c>
      <c r="BF863" s="758">
        <v>166200</v>
      </c>
      <c r="BG863" s="518">
        <f>AP863</f>
        <v>0</v>
      </c>
      <c r="BH863" s="758">
        <v>0</v>
      </c>
      <c r="BI863" s="758">
        <v>0</v>
      </c>
      <c r="BJ863" s="758">
        <v>0</v>
      </c>
      <c r="BK863" s="758">
        <v>0</v>
      </c>
      <c r="BL863" s="759">
        <f>SUM(AZ863,BA863,BB863,BC863,BD863,BE863,BF863,BG863,BH863,BI863,BJ863,BK863)</f>
        <v>768270</v>
      </c>
      <c r="BN863" s="758">
        <v>0</v>
      </c>
      <c r="BO863" s="758">
        <v>0</v>
      </c>
      <c r="BP863" s="758">
        <v>1100000</v>
      </c>
      <c r="BQ863" s="758">
        <v>1100000</v>
      </c>
      <c r="BR863" s="758">
        <v>0</v>
      </c>
      <c r="BS863" s="758">
        <v>0</v>
      </c>
      <c r="BT863" s="758">
        <v>1650000</v>
      </c>
      <c r="BU863" s="758">
        <v>0</v>
      </c>
      <c r="BV863" s="758">
        <v>0</v>
      </c>
      <c r="BW863" s="758">
        <v>1650000</v>
      </c>
      <c r="BX863" s="758">
        <v>0</v>
      </c>
      <c r="BY863" s="758">
        <v>0</v>
      </c>
      <c r="BZ863" s="791">
        <v>5500000</v>
      </c>
      <c r="CB863" s="758">
        <v>0</v>
      </c>
      <c r="CC863" s="758">
        <v>0</v>
      </c>
      <c r="CD863" s="758">
        <v>1100000</v>
      </c>
      <c r="CE863" s="758">
        <v>1100000</v>
      </c>
      <c r="CF863" s="758">
        <v>0</v>
      </c>
      <c r="CG863" s="758">
        <v>0</v>
      </c>
      <c r="CH863" s="758">
        <v>1650000</v>
      </c>
      <c r="CI863" s="758">
        <v>0</v>
      </c>
      <c r="CJ863" s="758">
        <v>0</v>
      </c>
      <c r="CK863" s="758">
        <v>1650000</v>
      </c>
      <c r="CL863" s="758">
        <v>0</v>
      </c>
      <c r="CM863" s="758">
        <v>0</v>
      </c>
      <c r="CN863" s="791">
        <v>5500000</v>
      </c>
      <c r="CP863" s="653"/>
      <c r="CQ863" s="653"/>
      <c r="CR863" s="524"/>
      <c r="CS863" s="653">
        <v>7502490</v>
      </c>
      <c r="CT863" s="524"/>
      <c r="CU863" s="653"/>
      <c r="CV863" s="524">
        <v>10000000</v>
      </c>
      <c r="CW863" s="653"/>
      <c r="CX863" s="524">
        <v>0</v>
      </c>
      <c r="CY863" s="653"/>
      <c r="CZ863" s="524">
        <v>0</v>
      </c>
      <c r="DA863" s="653"/>
      <c r="DB863" s="524"/>
      <c r="DC863" s="653">
        <v>19642280</v>
      </c>
      <c r="DD863" s="524"/>
      <c r="DE863" s="524"/>
      <c r="DF863" s="524"/>
      <c r="DG863" s="757"/>
      <c r="DH863" s="524"/>
      <c r="DI863" s="524"/>
      <c r="DJ863" s="757"/>
      <c r="DK863" s="524"/>
      <c r="DL863" s="524"/>
      <c r="DM863" s="757"/>
      <c r="DN863" s="524"/>
      <c r="DO863" s="524"/>
      <c r="DP863" s="757"/>
      <c r="DQ863" s="493">
        <f t="shared" si="525"/>
        <v>27144770</v>
      </c>
      <c r="DR863" s="479">
        <f t="shared" si="526"/>
        <v>27144770</v>
      </c>
      <c r="DS863" s="1019"/>
      <c r="DT863" s="1019"/>
      <c r="DU863" s="1019">
        <v>16200000</v>
      </c>
      <c r="DV863" s="1019"/>
      <c r="DW863" s="1019"/>
      <c r="DX863" s="1019"/>
      <c r="DY863" s="1019"/>
      <c r="DZ863" s="1019">
        <v>16200000</v>
      </c>
      <c r="EA863" s="1019"/>
      <c r="EB863" s="1019"/>
      <c r="EC863" s="1019"/>
      <c r="ED863" s="1019"/>
      <c r="EE863" s="1119">
        <f t="shared" si="527"/>
        <v>32400000</v>
      </c>
      <c r="EF863" s="443">
        <f>EE863*1.17</f>
        <v>37908000</v>
      </c>
      <c r="EG863" s="443">
        <f>EF863*1.08</f>
        <v>40940640</v>
      </c>
      <c r="EH863" s="443">
        <f t="shared" si="529"/>
        <v>44625297.600000001</v>
      </c>
      <c r="EI863" s="443">
        <f t="shared" si="529"/>
        <v>48641574.384000003</v>
      </c>
      <c r="EJ863" s="367">
        <v>3000019368</v>
      </c>
    </row>
    <row r="864" spans="1:141" outlineLevel="2">
      <c r="A864" s="367" t="s">
        <v>281</v>
      </c>
      <c r="B864" s="378"/>
      <c r="C864" s="370" t="s">
        <v>946</v>
      </c>
      <c r="D864" s="370" t="s">
        <v>40</v>
      </c>
      <c r="E864" s="383" t="s">
        <v>83</v>
      </c>
      <c r="F864" s="380">
        <v>8100000010</v>
      </c>
      <c r="G864" s="189"/>
      <c r="H864" s="13"/>
      <c r="I864" s="185"/>
      <c r="J864" s="185"/>
      <c r="K864" s="185"/>
      <c r="L864" s="185"/>
      <c r="M864" s="185"/>
      <c r="N864" s="185"/>
      <c r="O864" s="7"/>
      <c r="P864" s="7"/>
      <c r="Q864" s="7"/>
      <c r="R864" s="7"/>
      <c r="S864" s="14"/>
      <c r="T864" s="179"/>
      <c r="U864" s="189"/>
      <c r="V864" s="13"/>
      <c r="W864" s="185"/>
      <c r="X864" s="185"/>
      <c r="Y864" s="185"/>
      <c r="Z864" s="185"/>
      <c r="AA864" s="185"/>
      <c r="AB864" s="185"/>
      <c r="AC864" s="7"/>
      <c r="AD864" s="7"/>
      <c r="AE864" s="7"/>
      <c r="AF864" s="7"/>
      <c r="AG864" s="759"/>
      <c r="AH864" s="788"/>
      <c r="AI864" s="189"/>
      <c r="AJ864" s="810"/>
      <c r="AK864" s="758"/>
      <c r="AL864" s="758"/>
      <c r="AM864" s="758"/>
      <c r="AN864" s="758"/>
      <c r="AO864" s="758"/>
      <c r="AP864" s="758"/>
      <c r="AQ864" s="518"/>
      <c r="AR864" s="518"/>
      <c r="AS864" s="518"/>
      <c r="AT864" s="813">
        <v>56843250</v>
      </c>
      <c r="AU864" s="518"/>
      <c r="AV864" s="794"/>
      <c r="AW864" s="794"/>
      <c r="AX864" s="518">
        <f t="shared" si="528"/>
        <v>56843250</v>
      </c>
      <c r="AY864" s="788"/>
      <c r="AZ864" s="189"/>
      <c r="BA864" s="810"/>
      <c r="BB864" s="758"/>
      <c r="BC864" s="758"/>
      <c r="BD864" s="758"/>
      <c r="BE864" s="758"/>
      <c r="BF864" s="758"/>
      <c r="BG864" s="518"/>
      <c r="BH864" s="758"/>
      <c r="BI864" s="758"/>
      <c r="BJ864" s="758"/>
      <c r="BK864" s="758"/>
      <c r="BL864" s="759"/>
      <c r="BN864" s="758"/>
      <c r="BO864" s="758"/>
      <c r="BP864" s="758"/>
      <c r="BQ864" s="758"/>
      <c r="BR864" s="758"/>
      <c r="BS864" s="758"/>
      <c r="BT864" s="758"/>
      <c r="BU864" s="758"/>
      <c r="BV864" s="758"/>
      <c r="BW864" s="758"/>
      <c r="BX864" s="758"/>
      <c r="BY864" s="758"/>
      <c r="BZ864" s="791">
        <v>0</v>
      </c>
      <c r="CB864" s="758"/>
      <c r="CC864" s="758"/>
      <c r="CD864" s="884">
        <v>648000000</v>
      </c>
      <c r="CE864" s="758"/>
      <c r="CF864" s="758"/>
      <c r="CG864" s="758"/>
      <c r="CH864" s="758"/>
      <c r="CI864" s="758"/>
      <c r="CJ864" s="758"/>
      <c r="CK864" s="758"/>
      <c r="CL864" s="758"/>
      <c r="CM864" s="758"/>
      <c r="CN864" s="791">
        <v>648000000</v>
      </c>
      <c r="CP864" s="653"/>
      <c r="CQ864" s="653"/>
      <c r="CR864" s="524"/>
      <c r="CS864" s="653"/>
      <c r="CT864" s="524"/>
      <c r="CU864" s="653"/>
      <c r="CV864" s="524"/>
      <c r="CW864" s="653"/>
      <c r="CX864" s="524"/>
      <c r="CY864" s="653"/>
      <c r="CZ864" s="524"/>
      <c r="DA864" s="653"/>
      <c r="DB864" s="524"/>
      <c r="DC864" s="653"/>
      <c r="DD864" s="524"/>
      <c r="DE864" s="524"/>
      <c r="DF864" s="524"/>
      <c r="DG864" s="757"/>
      <c r="DH864" s="524"/>
      <c r="DI864" s="524"/>
      <c r="DJ864" s="757"/>
      <c r="DK864" s="524"/>
      <c r="DL864" s="524"/>
      <c r="DM864" s="757"/>
      <c r="DN864" s="524"/>
      <c r="DO864" s="524"/>
      <c r="DP864" s="757"/>
      <c r="DQ864" s="493">
        <f t="shared" si="525"/>
        <v>0</v>
      </c>
      <c r="DR864" s="479">
        <f t="shared" si="526"/>
        <v>0</v>
      </c>
      <c r="DS864" s="1019"/>
      <c r="DT864" s="1019"/>
      <c r="DU864" s="1019"/>
      <c r="DV864" s="1019"/>
      <c r="DW864" s="1019"/>
      <c r="DX864" s="1019"/>
      <c r="DY864" s="1019"/>
      <c r="DZ864" s="1019"/>
      <c r="EA864" s="1019"/>
      <c r="EB864" s="1019"/>
      <c r="EC864" s="1019"/>
      <c r="ED864" s="1019"/>
      <c r="EE864" s="1119">
        <f t="shared" si="527"/>
        <v>0</v>
      </c>
      <c r="EF864" s="443"/>
      <c r="EG864" s="443"/>
      <c r="EH864" s="443"/>
      <c r="EI864" s="443"/>
    </row>
    <row r="865" spans="1:141" outlineLevel="2">
      <c r="A865" s="367" t="s">
        <v>281</v>
      </c>
      <c r="B865" s="378"/>
      <c r="C865" s="370" t="s">
        <v>946</v>
      </c>
      <c r="D865" s="370" t="s">
        <v>40</v>
      </c>
      <c r="E865" s="383" t="s">
        <v>966</v>
      </c>
      <c r="F865" s="380">
        <v>3000010251</v>
      </c>
      <c r="G865" s="189"/>
      <c r="H865" s="13"/>
      <c r="I865" s="185"/>
      <c r="J865" s="185"/>
      <c r="K865" s="185"/>
      <c r="L865" s="185"/>
      <c r="M865" s="185"/>
      <c r="N865" s="185"/>
      <c r="O865" s="7"/>
      <c r="P865" s="7"/>
      <c r="Q865" s="7"/>
      <c r="R865" s="7"/>
      <c r="S865" s="14">
        <f t="shared" ref="S865:S874" si="531">SUM(G865,H865,I865,J865,K865,L865,M865,N865,O865,P865,Q865,R865)</f>
        <v>0</v>
      </c>
      <c r="T865" s="179"/>
      <c r="U865" s="189"/>
      <c r="V865" s="13"/>
      <c r="W865" s="185"/>
      <c r="X865" s="185"/>
      <c r="Y865" s="185"/>
      <c r="Z865" s="185"/>
      <c r="AA865" s="185"/>
      <c r="AB865" s="185"/>
      <c r="AC865" s="7"/>
      <c r="AD865" s="7"/>
      <c r="AE865" s="7"/>
      <c r="AF865" s="7"/>
      <c r="AG865" s="759">
        <f t="shared" ref="AG865:AG874" si="532">SUM(U865,V865,W865,X865,Y865,Z865,AA865,AB865,AC865,AD865,AE865,AF865)</f>
        <v>0</v>
      </c>
      <c r="AH865" s="788"/>
      <c r="AI865" s="189"/>
      <c r="AJ865" s="810">
        <v>34122060</v>
      </c>
      <c r="AK865" s="758"/>
      <c r="AL865" s="758">
        <v>0</v>
      </c>
      <c r="AM865" s="758">
        <v>0</v>
      </c>
      <c r="AN865" s="758">
        <v>0</v>
      </c>
      <c r="AO865" s="758">
        <v>18109800</v>
      </c>
      <c r="AP865" s="758">
        <v>0</v>
      </c>
      <c r="AQ865" s="518">
        <v>0</v>
      </c>
      <c r="AR865" s="813">
        <v>271230090</v>
      </c>
      <c r="AS865" s="813"/>
      <c r="AT865" s="813">
        <v>294243540</v>
      </c>
      <c r="AU865" s="794">
        <f>210000000</f>
        <v>210000000</v>
      </c>
      <c r="AV865" s="794">
        <f>200000000</f>
        <v>200000000</v>
      </c>
      <c r="AW865" s="794">
        <f>55000000</f>
        <v>55000000</v>
      </c>
      <c r="AX865" s="518">
        <f t="shared" si="528"/>
        <v>617705490</v>
      </c>
      <c r="AY865" s="788"/>
      <c r="AZ865" s="189"/>
      <c r="BA865" s="810">
        <v>34122060</v>
      </c>
      <c r="BB865" s="758"/>
      <c r="BC865" s="758">
        <v>0</v>
      </c>
      <c r="BD865" s="758">
        <v>0</v>
      </c>
      <c r="BE865" s="758">
        <v>0</v>
      </c>
      <c r="BF865" s="758">
        <v>18109800</v>
      </c>
      <c r="BG865" s="518">
        <f t="shared" ref="BG865:BG874" si="533">AP865</f>
        <v>0</v>
      </c>
      <c r="BH865" s="758">
        <v>0</v>
      </c>
      <c r="BI865" s="758">
        <v>100000000</v>
      </c>
      <c r="BJ865" s="758">
        <v>0</v>
      </c>
      <c r="BK865" s="758">
        <v>0</v>
      </c>
      <c r="BL865" s="759">
        <f t="shared" ref="BL865:BL874" si="534">SUM(AZ865,BA865,BB865,BC865,BD865,BE865,BF865,BG865,BH865,BI865,BJ865,BK865)</f>
        <v>152231860</v>
      </c>
      <c r="BN865" s="758">
        <f>80000000</f>
        <v>80000000</v>
      </c>
      <c r="BO865" s="758">
        <v>0</v>
      </c>
      <c r="BP865" s="758">
        <v>28710000</v>
      </c>
      <c r="BQ865" s="758">
        <v>0</v>
      </c>
      <c r="BR865" s="758">
        <v>0</v>
      </c>
      <c r="BS865" s="758">
        <v>0</v>
      </c>
      <c r="BT865" s="758">
        <v>28710000</v>
      </c>
      <c r="BU865" s="758">
        <v>0</v>
      </c>
      <c r="BV865" s="758">
        <v>28710000</v>
      </c>
      <c r="BW865" s="758">
        <v>0</v>
      </c>
      <c r="BX865" s="758">
        <v>0</v>
      </c>
      <c r="BY865" s="758">
        <f>50000000</f>
        <v>50000000</v>
      </c>
      <c r="BZ865" s="791">
        <v>216130000</v>
      </c>
      <c r="CB865" s="758">
        <f>80000000</f>
        <v>80000000</v>
      </c>
      <c r="CC865" s="758">
        <v>0</v>
      </c>
      <c r="CD865" s="758">
        <v>28710000</v>
      </c>
      <c r="CE865" s="758">
        <v>0</v>
      </c>
      <c r="CF865" s="758">
        <v>0</v>
      </c>
      <c r="CG865" s="758">
        <v>0</v>
      </c>
      <c r="CH865" s="758">
        <v>28710000</v>
      </c>
      <c r="CI865" s="758">
        <v>0</v>
      </c>
      <c r="CJ865" s="758">
        <v>28710000</v>
      </c>
      <c r="CK865" s="758">
        <v>0</v>
      </c>
      <c r="CL865" s="758">
        <v>0</v>
      </c>
      <c r="CM865" s="758">
        <f>50000000</f>
        <v>50000000</v>
      </c>
      <c r="CN865" s="791">
        <v>216130000</v>
      </c>
      <c r="CP865" s="653">
        <v>14165900</v>
      </c>
      <c r="CQ865" s="653">
        <v>17800000</v>
      </c>
      <c r="CR865" s="524"/>
      <c r="CS865" s="653"/>
      <c r="CT865" s="524">
        <v>22500000</v>
      </c>
      <c r="CU865" s="653"/>
      <c r="CV865" s="524">
        <v>23000000</v>
      </c>
      <c r="CW865" s="653"/>
      <c r="CX865" s="524"/>
      <c r="CY865" s="653"/>
      <c r="CZ865" s="524">
        <v>25000000</v>
      </c>
      <c r="DA865" s="653"/>
      <c r="DB865" s="524">
        <v>25000000</v>
      </c>
      <c r="DC865" s="653">
        <v>289985140</v>
      </c>
      <c r="DD865" s="524">
        <v>25000000</v>
      </c>
      <c r="DE865" s="524"/>
      <c r="DF865" s="524"/>
      <c r="DG865" s="757"/>
      <c r="DH865" s="524"/>
      <c r="DI865" s="524"/>
      <c r="DJ865" s="757"/>
      <c r="DK865" s="524"/>
      <c r="DL865" s="524">
        <v>25000000</v>
      </c>
      <c r="DM865" s="757">
        <v>25000000</v>
      </c>
      <c r="DN865" s="524"/>
      <c r="DO865" s="524">
        <v>25000000</v>
      </c>
      <c r="DP865" s="757">
        <v>25000000</v>
      </c>
      <c r="DQ865" s="493">
        <f t="shared" si="525"/>
        <v>371951040</v>
      </c>
      <c r="DR865" s="479">
        <f t="shared" si="526"/>
        <v>371951040</v>
      </c>
      <c r="DS865" s="1019">
        <v>32000000</v>
      </c>
      <c r="DT865" s="1019">
        <v>32000000</v>
      </c>
      <c r="DU865" s="1019">
        <v>32000000</v>
      </c>
      <c r="DV865" s="1019">
        <v>32000000</v>
      </c>
      <c r="DW865" s="1019"/>
      <c r="DX865" s="1019">
        <v>64000000</v>
      </c>
      <c r="DY865" s="1019">
        <v>32000000</v>
      </c>
      <c r="DZ865" s="1019">
        <v>32000000</v>
      </c>
      <c r="EA865" s="1019">
        <v>32000000</v>
      </c>
      <c r="EB865" s="1019">
        <v>32000000</v>
      </c>
      <c r="EC865" s="1019">
        <v>0</v>
      </c>
      <c r="ED865" s="1019">
        <v>64000000</v>
      </c>
      <c r="EE865" s="1119">
        <f t="shared" si="527"/>
        <v>384000000</v>
      </c>
      <c r="EF865" s="443">
        <f>EE865*1.17</f>
        <v>449280000</v>
      </c>
      <c r="EG865" s="443">
        <f t="shared" ref="EG865:EG874" si="535">EF865*1.08</f>
        <v>485222400.00000006</v>
      </c>
      <c r="EH865" s="443">
        <f>EG865*1.09</f>
        <v>528892416.00000012</v>
      </c>
      <c r="EI865" s="443">
        <f>EH865*1.09</f>
        <v>576492733.44000018</v>
      </c>
      <c r="EJ865" s="367">
        <v>3000010251</v>
      </c>
    </row>
    <row r="866" spans="1:141" outlineLevel="2">
      <c r="A866" s="367" t="s">
        <v>281</v>
      </c>
      <c r="B866" s="378"/>
      <c r="C866" s="370" t="s">
        <v>946</v>
      </c>
      <c r="D866" s="370" t="s">
        <v>40</v>
      </c>
      <c r="E866" s="383" t="s">
        <v>967</v>
      </c>
      <c r="F866" s="380">
        <v>3000003478</v>
      </c>
      <c r="G866" s="189"/>
      <c r="H866" s="13"/>
      <c r="I866" s="185"/>
      <c r="J866" s="185"/>
      <c r="K866" s="185"/>
      <c r="L866" s="185"/>
      <c r="M866" s="185"/>
      <c r="N866" s="185"/>
      <c r="O866" s="7"/>
      <c r="P866" s="7"/>
      <c r="Q866" s="7"/>
      <c r="R866" s="7"/>
      <c r="S866" s="14">
        <f t="shared" si="531"/>
        <v>0</v>
      </c>
      <c r="T866" s="179"/>
      <c r="U866" s="189"/>
      <c r="V866" s="13"/>
      <c r="W866" s="185"/>
      <c r="X866" s="185"/>
      <c r="Y866" s="185"/>
      <c r="Z866" s="185"/>
      <c r="AA866" s="185"/>
      <c r="AB866" s="185"/>
      <c r="AC866" s="7"/>
      <c r="AD866" s="7"/>
      <c r="AE866" s="7"/>
      <c r="AF866" s="7"/>
      <c r="AG866" s="759">
        <f t="shared" si="532"/>
        <v>0</v>
      </c>
      <c r="AH866" s="788"/>
      <c r="AI866" s="189"/>
      <c r="AJ866" s="810">
        <v>732493440</v>
      </c>
      <c r="AK866" s="758"/>
      <c r="AL866" s="758">
        <v>0</v>
      </c>
      <c r="AM866" s="758">
        <v>0</v>
      </c>
      <c r="AN866" s="758">
        <v>79768770</v>
      </c>
      <c r="AO866" s="758">
        <v>0</v>
      </c>
      <c r="AP866" s="758">
        <v>0</v>
      </c>
      <c r="AQ866" s="518">
        <v>0</v>
      </c>
      <c r="AR866" s="813">
        <v>0</v>
      </c>
      <c r="AS866" s="813"/>
      <c r="AT866" s="813">
        <v>47872470</v>
      </c>
      <c r="AU866" s="518">
        <f>BI866</f>
        <v>0</v>
      </c>
      <c r="AV866" s="794">
        <f>75000000</f>
        <v>75000000</v>
      </c>
      <c r="AW866" s="794">
        <f>75000000</f>
        <v>75000000</v>
      </c>
      <c r="AX866" s="518">
        <f t="shared" si="528"/>
        <v>860134680</v>
      </c>
      <c r="AY866" s="788"/>
      <c r="AZ866" s="189"/>
      <c r="BA866" s="810">
        <v>732493440</v>
      </c>
      <c r="BB866" s="758"/>
      <c r="BC866" s="758">
        <v>0</v>
      </c>
      <c r="BD866" s="758">
        <v>0</v>
      </c>
      <c r="BE866" s="758">
        <v>79768770</v>
      </c>
      <c r="BF866" s="758">
        <v>0</v>
      </c>
      <c r="BG866" s="518">
        <f t="shared" si="533"/>
        <v>0</v>
      </c>
      <c r="BH866" s="758">
        <v>500000000</v>
      </c>
      <c r="BI866" s="758">
        <v>0</v>
      </c>
      <c r="BJ866" s="758">
        <v>300000000</v>
      </c>
      <c r="BK866" s="758">
        <v>500000000</v>
      </c>
      <c r="BL866" s="759">
        <f t="shared" si="534"/>
        <v>2112262210</v>
      </c>
      <c r="BN866" s="758">
        <v>0</v>
      </c>
      <c r="BO866" s="758">
        <v>0</v>
      </c>
      <c r="BP866" s="758">
        <v>446600000</v>
      </c>
      <c r="BQ866" s="758">
        <v>0</v>
      </c>
      <c r="BR866" s="758">
        <v>0</v>
      </c>
      <c r="BS866" s="758">
        <v>446600000</v>
      </c>
      <c r="BT866" s="758">
        <v>0</v>
      </c>
      <c r="BU866" s="758">
        <v>0</v>
      </c>
      <c r="BV866" s="758">
        <v>0</v>
      </c>
      <c r="BW866" s="758">
        <v>0</v>
      </c>
      <c r="BX866" s="758">
        <v>0</v>
      </c>
      <c r="BY866" s="758">
        <v>0</v>
      </c>
      <c r="BZ866" s="791">
        <v>893200000</v>
      </c>
      <c r="CB866" s="758">
        <v>0</v>
      </c>
      <c r="CC866" s="758">
        <v>0</v>
      </c>
      <c r="CD866" s="758">
        <v>446600000</v>
      </c>
      <c r="CE866" s="758">
        <v>0</v>
      </c>
      <c r="CF866" s="758">
        <v>0</v>
      </c>
      <c r="CG866" s="758">
        <v>446600000</v>
      </c>
      <c r="CH866" s="758">
        <v>0</v>
      </c>
      <c r="CI866" s="758">
        <v>0</v>
      </c>
      <c r="CJ866" s="758">
        <v>0</v>
      </c>
      <c r="CK866" s="884">
        <v>446600000</v>
      </c>
      <c r="CL866" s="758">
        <v>0</v>
      </c>
      <c r="CM866" s="758">
        <v>0</v>
      </c>
      <c r="CN866" s="791">
        <v>1339800000</v>
      </c>
      <c r="CP866" s="653">
        <v>230602560</v>
      </c>
      <c r="CQ866" s="653">
        <v>1063856460</v>
      </c>
      <c r="CR866" s="524">
        <v>1063856460</v>
      </c>
      <c r="CS866" s="653">
        <v>1018305640</v>
      </c>
      <c r="CT866" s="524">
        <v>300000000</v>
      </c>
      <c r="CU866" s="653">
        <v>348163200</v>
      </c>
      <c r="CV866" s="524">
        <v>300000000</v>
      </c>
      <c r="CW866" s="653"/>
      <c r="CX866" s="524">
        <v>200000000</v>
      </c>
      <c r="CY866" s="653"/>
      <c r="CZ866" s="524">
        <v>300000000</v>
      </c>
      <c r="DA866" s="653"/>
      <c r="DB866" s="524">
        <v>300000000</v>
      </c>
      <c r="DC866" s="653"/>
      <c r="DD866" s="524">
        <v>300000000</v>
      </c>
      <c r="DE866" s="524"/>
      <c r="DF866" s="524"/>
      <c r="DG866" s="757"/>
      <c r="DH866" s="524"/>
      <c r="DI866" s="524"/>
      <c r="DJ866" s="757"/>
      <c r="DK866" s="524"/>
      <c r="DL866" s="524">
        <v>100000000</v>
      </c>
      <c r="DM866" s="757">
        <v>100000000</v>
      </c>
      <c r="DN866" s="524"/>
      <c r="DO866" s="524">
        <v>100000000</v>
      </c>
      <c r="DP866" s="757">
        <v>100000000</v>
      </c>
      <c r="DQ866" s="493">
        <f t="shared" si="525"/>
        <v>2860927860</v>
      </c>
      <c r="DR866" s="479">
        <f t="shared" si="526"/>
        <v>2860927860</v>
      </c>
      <c r="DS866" s="1019">
        <v>270000000</v>
      </c>
      <c r="DT866" s="1019">
        <v>270000000</v>
      </c>
      <c r="DU866" s="1019">
        <v>270000000</v>
      </c>
      <c r="DV866" s="1019">
        <v>270000000</v>
      </c>
      <c r="DW866" s="1019"/>
      <c r="DX866" s="1019">
        <f>270000000*2</f>
        <v>540000000</v>
      </c>
      <c r="DY866" s="1019">
        <v>270000000</v>
      </c>
      <c r="DZ866" s="1019">
        <v>270000000</v>
      </c>
      <c r="EA866" s="1019">
        <v>270000000</v>
      </c>
      <c r="EB866" s="1019">
        <v>270000000</v>
      </c>
      <c r="EC866" s="1019">
        <v>540000000</v>
      </c>
      <c r="ED866" s="1019"/>
      <c r="EE866" s="1119">
        <f t="shared" si="527"/>
        <v>3240000000</v>
      </c>
      <c r="EF866" s="443">
        <f>300000000*10</f>
        <v>3000000000</v>
      </c>
      <c r="EG866" s="443">
        <f t="shared" si="535"/>
        <v>3240000000</v>
      </c>
      <c r="EH866" s="443">
        <v>7200000000</v>
      </c>
      <c r="EI866" s="443">
        <v>7200000000</v>
      </c>
      <c r="EJ866" s="367">
        <v>3000003478</v>
      </c>
    </row>
    <row r="867" spans="1:141" outlineLevel="2">
      <c r="A867" s="367" t="s">
        <v>281</v>
      </c>
      <c r="B867" s="378"/>
      <c r="C867" s="370" t="s">
        <v>946</v>
      </c>
      <c r="D867" s="370" t="s">
        <v>40</v>
      </c>
      <c r="E867" s="383" t="s">
        <v>968</v>
      </c>
      <c r="F867" s="380">
        <v>3000010295</v>
      </c>
      <c r="G867" s="189"/>
      <c r="H867" s="13"/>
      <c r="I867" s="185"/>
      <c r="J867" s="185"/>
      <c r="K867" s="185"/>
      <c r="L867" s="185"/>
      <c r="M867" s="185"/>
      <c r="N867" s="185"/>
      <c r="O867" s="7"/>
      <c r="P867" s="7"/>
      <c r="Q867" s="7"/>
      <c r="R867" s="7"/>
      <c r="S867" s="14">
        <f t="shared" si="531"/>
        <v>0</v>
      </c>
      <c r="T867" s="179"/>
      <c r="U867" s="189"/>
      <c r="V867" s="13"/>
      <c r="W867" s="185"/>
      <c r="X867" s="185"/>
      <c r="Y867" s="185"/>
      <c r="Z867" s="185"/>
      <c r="AA867" s="185"/>
      <c r="AB867" s="185"/>
      <c r="AC867" s="7"/>
      <c r="AD867" s="7"/>
      <c r="AE867" s="7"/>
      <c r="AF867" s="7"/>
      <c r="AG867" s="759">
        <f t="shared" si="532"/>
        <v>0</v>
      </c>
      <c r="AH867" s="788"/>
      <c r="AI867" s="189"/>
      <c r="AJ867" s="810">
        <v>6128920</v>
      </c>
      <c r="AK867" s="758"/>
      <c r="AL867" s="758">
        <v>0</v>
      </c>
      <c r="AM867" s="758">
        <v>0</v>
      </c>
      <c r="AN867" s="758">
        <v>0</v>
      </c>
      <c r="AO867" s="758">
        <v>5019240</v>
      </c>
      <c r="AP867" s="758">
        <v>0</v>
      </c>
      <c r="AQ867" s="518">
        <v>0</v>
      </c>
      <c r="AR867" s="813">
        <v>0</v>
      </c>
      <c r="AS867" s="813"/>
      <c r="AT867" s="813">
        <v>3795030</v>
      </c>
      <c r="AU867" s="518">
        <f>BI867</f>
        <v>0</v>
      </c>
      <c r="AV867" s="518">
        <f>BJ867</f>
        <v>0</v>
      </c>
      <c r="AW867" s="518">
        <f>BK867</f>
        <v>0</v>
      </c>
      <c r="AX867" s="518">
        <f t="shared" si="528"/>
        <v>14943190</v>
      </c>
      <c r="AY867" s="788"/>
      <c r="AZ867" s="189"/>
      <c r="BA867" s="810">
        <v>6128920</v>
      </c>
      <c r="BB867" s="758"/>
      <c r="BC867" s="758">
        <v>0</v>
      </c>
      <c r="BD867" s="758">
        <v>0</v>
      </c>
      <c r="BE867" s="758">
        <v>0</v>
      </c>
      <c r="BF867" s="758">
        <v>5019240</v>
      </c>
      <c r="BG867" s="518">
        <f t="shared" si="533"/>
        <v>0</v>
      </c>
      <c r="BH867" s="758">
        <v>0</v>
      </c>
      <c r="BI867" s="758">
        <v>0</v>
      </c>
      <c r="BJ867" s="758">
        <v>0</v>
      </c>
      <c r="BK867" s="758">
        <v>0</v>
      </c>
      <c r="BL867" s="759">
        <f t="shared" si="534"/>
        <v>11148160</v>
      </c>
      <c r="BN867" s="758">
        <v>0</v>
      </c>
      <c r="BO867" s="758">
        <v>0</v>
      </c>
      <c r="BP867" s="758">
        <v>6160000</v>
      </c>
      <c r="BQ867" s="758">
        <v>0</v>
      </c>
      <c r="BR867" s="758">
        <v>0</v>
      </c>
      <c r="BS867" s="758">
        <v>0</v>
      </c>
      <c r="BT867" s="758">
        <v>6160000</v>
      </c>
      <c r="BU867" s="758">
        <v>0</v>
      </c>
      <c r="BV867" s="758">
        <v>0</v>
      </c>
      <c r="BW867" s="758">
        <v>0</v>
      </c>
      <c r="BX867" s="758">
        <v>0</v>
      </c>
      <c r="BY867" s="758">
        <v>0</v>
      </c>
      <c r="BZ867" s="791">
        <v>12320000</v>
      </c>
      <c r="CB867" s="758">
        <v>0</v>
      </c>
      <c r="CC867" s="758">
        <v>0</v>
      </c>
      <c r="CD867" s="758">
        <v>6160000</v>
      </c>
      <c r="CE867" s="758">
        <v>0</v>
      </c>
      <c r="CF867" s="758">
        <v>0</v>
      </c>
      <c r="CG867" s="758">
        <v>0</v>
      </c>
      <c r="CH867" s="758">
        <v>6160000</v>
      </c>
      <c r="CI867" s="758">
        <v>0</v>
      </c>
      <c r="CJ867" s="758">
        <v>0</v>
      </c>
      <c r="CK867" s="758">
        <v>0</v>
      </c>
      <c r="CL867" s="758">
        <v>0</v>
      </c>
      <c r="CM867" s="758">
        <v>0</v>
      </c>
      <c r="CN867" s="791">
        <v>12320000</v>
      </c>
      <c r="CP867" s="653">
        <v>15049720</v>
      </c>
      <c r="CQ867" s="653"/>
      <c r="CR867" s="524"/>
      <c r="CS867" s="653"/>
      <c r="CT867" s="524">
        <v>15000000</v>
      </c>
      <c r="CU867" s="653"/>
      <c r="CV867" s="524">
        <v>20000000</v>
      </c>
      <c r="CW867" s="653"/>
      <c r="CX867" s="524">
        <v>0</v>
      </c>
      <c r="CY867" s="653"/>
      <c r="CZ867" s="524">
        <v>0</v>
      </c>
      <c r="DA867" s="653"/>
      <c r="DB867" s="524"/>
      <c r="DC867" s="653">
        <v>3451170</v>
      </c>
      <c r="DD867" s="524"/>
      <c r="DE867" s="524"/>
      <c r="DF867" s="524"/>
      <c r="DG867" s="757"/>
      <c r="DH867" s="524"/>
      <c r="DI867" s="524"/>
      <c r="DJ867" s="757"/>
      <c r="DK867" s="524"/>
      <c r="DL867" s="524"/>
      <c r="DM867" s="757"/>
      <c r="DN867" s="524"/>
      <c r="DO867" s="524"/>
      <c r="DP867" s="757"/>
      <c r="DQ867" s="493">
        <f t="shared" si="525"/>
        <v>18500890</v>
      </c>
      <c r="DR867" s="479">
        <f t="shared" si="526"/>
        <v>18500890</v>
      </c>
      <c r="DS867" s="1019">
        <v>18000000</v>
      </c>
      <c r="DT867" s="1019"/>
      <c r="DU867" s="1019"/>
      <c r="DV867" s="1019"/>
      <c r="DW867" s="1019"/>
      <c r="DX867" s="1019"/>
      <c r="DY867" s="1019"/>
      <c r="DZ867" s="1019">
        <v>3451000</v>
      </c>
      <c r="EA867" s="1019"/>
      <c r="EB867" s="1019"/>
      <c r="EC867" s="1019"/>
      <c r="ED867" s="1019"/>
      <c r="EE867" s="1119">
        <f t="shared" si="527"/>
        <v>21451000</v>
      </c>
      <c r="EF867" s="443">
        <f t="shared" ref="EF867:EF874" si="536">EE867*1.17</f>
        <v>25097670</v>
      </c>
      <c r="EG867" s="443">
        <f t="shared" si="535"/>
        <v>27105483.600000001</v>
      </c>
      <c r="EH867" s="443">
        <f t="shared" ref="EH867:EI869" si="537">EG867*1.09</f>
        <v>29544977.124000005</v>
      </c>
      <c r="EI867" s="443">
        <f t="shared" si="537"/>
        <v>32204025.06516001</v>
      </c>
      <c r="EJ867" s="367">
        <v>3000010295</v>
      </c>
    </row>
    <row r="868" spans="1:141" outlineLevel="2">
      <c r="A868" s="367" t="s">
        <v>281</v>
      </c>
      <c r="B868" s="378"/>
      <c r="C868" s="370" t="s">
        <v>946</v>
      </c>
      <c r="D868" s="370" t="s">
        <v>40</v>
      </c>
      <c r="E868" s="383" t="s">
        <v>969</v>
      </c>
      <c r="F868" s="380">
        <v>3000007523</v>
      </c>
      <c r="G868" s="189"/>
      <c r="H868" s="13"/>
      <c r="I868" s="185"/>
      <c r="J868" s="185"/>
      <c r="K868" s="185"/>
      <c r="L868" s="185"/>
      <c r="M868" s="185"/>
      <c r="N868" s="185"/>
      <c r="O868" s="7"/>
      <c r="P868" s="7"/>
      <c r="Q868" s="7"/>
      <c r="R868" s="7"/>
      <c r="S868" s="14">
        <f t="shared" si="531"/>
        <v>0</v>
      </c>
      <c r="T868" s="179"/>
      <c r="U868" s="189"/>
      <c r="V868" s="13"/>
      <c r="W868" s="185"/>
      <c r="X868" s="185"/>
      <c r="Y868" s="185"/>
      <c r="Z868" s="185"/>
      <c r="AA868" s="185"/>
      <c r="AB868" s="185"/>
      <c r="AC868" s="7"/>
      <c r="AD868" s="7"/>
      <c r="AE868" s="7"/>
      <c r="AF868" s="7"/>
      <c r="AG868" s="759">
        <f t="shared" si="532"/>
        <v>0</v>
      </c>
      <c r="AH868" s="788"/>
      <c r="AI868" s="189"/>
      <c r="AJ868" s="810"/>
      <c r="AK868" s="758"/>
      <c r="AL868" s="758">
        <v>0</v>
      </c>
      <c r="AM868" s="758">
        <v>0</v>
      </c>
      <c r="AN868" s="758">
        <v>0</v>
      </c>
      <c r="AO868" s="758">
        <v>0</v>
      </c>
      <c r="AP868" s="758">
        <v>100578400</v>
      </c>
      <c r="AQ868" s="518">
        <v>38072200</v>
      </c>
      <c r="AR868" s="813">
        <v>73661250</v>
      </c>
      <c r="AS868" s="813"/>
      <c r="AT868" s="813">
        <v>27625800</v>
      </c>
      <c r="AU868" s="518">
        <f>BI868</f>
        <v>0</v>
      </c>
      <c r="AV868" s="518">
        <f>BJ868</f>
        <v>0</v>
      </c>
      <c r="AW868" s="518">
        <f>BK868</f>
        <v>0</v>
      </c>
      <c r="AX868" s="518">
        <f t="shared" si="528"/>
        <v>239937650</v>
      </c>
      <c r="AY868" s="788"/>
      <c r="AZ868" s="189"/>
      <c r="BA868" s="810"/>
      <c r="BB868" s="758"/>
      <c r="BC868" s="758">
        <v>0</v>
      </c>
      <c r="BD868" s="758">
        <v>0</v>
      </c>
      <c r="BE868" s="758">
        <v>0</v>
      </c>
      <c r="BF868" s="758">
        <v>0</v>
      </c>
      <c r="BG868" s="518">
        <f t="shared" si="533"/>
        <v>100578400</v>
      </c>
      <c r="BH868" s="758">
        <v>0</v>
      </c>
      <c r="BI868" s="758">
        <v>0</v>
      </c>
      <c r="BJ868" s="758">
        <v>0</v>
      </c>
      <c r="BK868" s="758">
        <v>0</v>
      </c>
      <c r="BL868" s="759">
        <f t="shared" si="534"/>
        <v>100578400</v>
      </c>
      <c r="BN868" s="758">
        <v>0</v>
      </c>
      <c r="BO868" s="758">
        <v>0</v>
      </c>
      <c r="BP868" s="758">
        <v>0</v>
      </c>
      <c r="BQ868" s="758">
        <v>55310000</v>
      </c>
      <c r="BR868" s="758">
        <v>0</v>
      </c>
      <c r="BS868" s="758">
        <v>0</v>
      </c>
      <c r="BT868" s="758">
        <v>0</v>
      </c>
      <c r="BU868" s="758">
        <v>55310000</v>
      </c>
      <c r="BV868" s="758">
        <v>0</v>
      </c>
      <c r="BW868" s="758">
        <v>0</v>
      </c>
      <c r="BX868" s="758">
        <v>0</v>
      </c>
      <c r="BY868" s="758">
        <v>0</v>
      </c>
      <c r="BZ868" s="791">
        <v>110620000</v>
      </c>
      <c r="CB868" s="758">
        <v>0</v>
      </c>
      <c r="CC868" s="758">
        <v>0</v>
      </c>
      <c r="CD868" s="758">
        <v>0</v>
      </c>
      <c r="CE868" s="758">
        <v>55310000</v>
      </c>
      <c r="CF868" s="758">
        <v>0</v>
      </c>
      <c r="CG868" s="758">
        <v>0</v>
      </c>
      <c r="CH868" s="758">
        <v>0</v>
      </c>
      <c r="CI868" s="758">
        <v>55310000</v>
      </c>
      <c r="CJ868" s="758">
        <v>0</v>
      </c>
      <c r="CK868" s="758">
        <v>0</v>
      </c>
      <c r="CL868" s="758">
        <v>0</v>
      </c>
      <c r="CM868" s="758">
        <v>0</v>
      </c>
      <c r="CN868" s="791">
        <v>110620000</v>
      </c>
      <c r="CP868" s="653"/>
      <c r="CQ868" s="653">
        <v>2099900</v>
      </c>
      <c r="CR868" s="524">
        <v>2099900</v>
      </c>
      <c r="CS868" s="653"/>
      <c r="CT868" s="524">
        <v>5000000</v>
      </c>
      <c r="CU868" s="653"/>
      <c r="CV868" s="524">
        <v>45000000</v>
      </c>
      <c r="CW868" s="653"/>
      <c r="CX868" s="524">
        <v>0</v>
      </c>
      <c r="CY868" s="653"/>
      <c r="CZ868" s="524">
        <v>40000000</v>
      </c>
      <c r="DA868" s="653"/>
      <c r="DB868" s="524">
        <v>40000000</v>
      </c>
      <c r="DC868" s="653"/>
      <c r="DD868" s="524"/>
      <c r="DE868" s="524"/>
      <c r="DF868" s="524"/>
      <c r="DG868" s="757"/>
      <c r="DH868" s="524"/>
      <c r="DI868" s="524"/>
      <c r="DJ868" s="757"/>
      <c r="DK868" s="524"/>
      <c r="DL868" s="524"/>
      <c r="DM868" s="757"/>
      <c r="DN868" s="524"/>
      <c r="DO868" s="524"/>
      <c r="DP868" s="757"/>
      <c r="DQ868" s="493">
        <f t="shared" si="525"/>
        <v>2099900</v>
      </c>
      <c r="DR868" s="479">
        <f t="shared" si="526"/>
        <v>2099900</v>
      </c>
      <c r="DS868" s="1019"/>
      <c r="DT868" s="1019">
        <v>2400000</v>
      </c>
      <c r="DU868" s="1019"/>
      <c r="DV868" s="1019"/>
      <c r="DW868" s="1019"/>
      <c r="DX868" s="1019"/>
      <c r="DY868" s="1019"/>
      <c r="DZ868" s="1019"/>
      <c r="EA868" s="1019"/>
      <c r="EB868" s="1019"/>
      <c r="EC868" s="1019"/>
      <c r="ED868" s="1019"/>
      <c r="EE868" s="1119">
        <f t="shared" si="527"/>
        <v>2400000</v>
      </c>
      <c r="EF868" s="443">
        <f t="shared" si="536"/>
        <v>2808000</v>
      </c>
      <c r="EG868" s="443">
        <f t="shared" si="535"/>
        <v>3032640</v>
      </c>
      <c r="EH868" s="443">
        <f t="shared" si="537"/>
        <v>3305577.6</v>
      </c>
      <c r="EI868" s="443">
        <f t="shared" si="537"/>
        <v>3603079.5840000003</v>
      </c>
      <c r="EJ868" s="367">
        <v>3000007523</v>
      </c>
    </row>
    <row r="869" spans="1:141" outlineLevel="2">
      <c r="A869" s="367" t="s">
        <v>281</v>
      </c>
      <c r="B869" s="378"/>
      <c r="C869" s="370" t="s">
        <v>946</v>
      </c>
      <c r="D869" s="370" t="s">
        <v>40</v>
      </c>
      <c r="E869" s="383" t="s">
        <v>970</v>
      </c>
      <c r="F869" s="380">
        <v>3000008761</v>
      </c>
      <c r="G869" s="189"/>
      <c r="H869" s="13"/>
      <c r="I869" s="185"/>
      <c r="J869" s="185"/>
      <c r="K869" s="185"/>
      <c r="L869" s="185"/>
      <c r="M869" s="185"/>
      <c r="N869" s="185"/>
      <c r="O869" s="7"/>
      <c r="P869" s="7"/>
      <c r="Q869" s="7"/>
      <c r="R869" s="7"/>
      <c r="S869" s="14">
        <f t="shared" si="531"/>
        <v>0</v>
      </c>
      <c r="T869" s="179"/>
      <c r="U869" s="189"/>
      <c r="V869" s="13"/>
      <c r="W869" s="185"/>
      <c r="X869" s="185"/>
      <c r="Y869" s="185"/>
      <c r="Z869" s="185"/>
      <c r="AA869" s="185"/>
      <c r="AB869" s="185"/>
      <c r="AC869" s="7"/>
      <c r="AD869" s="7"/>
      <c r="AE869" s="7"/>
      <c r="AF869" s="7"/>
      <c r="AG869" s="759">
        <f t="shared" si="532"/>
        <v>0</v>
      </c>
      <c r="AH869" s="788"/>
      <c r="AI869" s="189"/>
      <c r="AJ869" s="810"/>
      <c r="AK869" s="758"/>
      <c r="AL869" s="758">
        <v>0</v>
      </c>
      <c r="AM869" s="758">
        <v>0</v>
      </c>
      <c r="AN869" s="758">
        <v>0</v>
      </c>
      <c r="AO869" s="758">
        <v>215218350</v>
      </c>
      <c r="AP869" s="758">
        <v>0</v>
      </c>
      <c r="AQ869" s="518">
        <v>0</v>
      </c>
      <c r="AR869" s="813">
        <v>0</v>
      </c>
      <c r="AS869" s="813">
        <v>102951030</v>
      </c>
      <c r="AT869" s="813">
        <v>0</v>
      </c>
      <c r="AU869" s="518">
        <f>BI869</f>
        <v>0</v>
      </c>
      <c r="AV869" s="518"/>
      <c r="AW869" s="794">
        <f>215000000</f>
        <v>215000000</v>
      </c>
      <c r="AX869" s="518">
        <f t="shared" si="528"/>
        <v>318169380</v>
      </c>
      <c r="AY869" s="788"/>
      <c r="AZ869" s="189"/>
      <c r="BA869" s="810"/>
      <c r="BB869" s="758"/>
      <c r="BC869" s="758">
        <v>0</v>
      </c>
      <c r="BD869" s="758">
        <v>0</v>
      </c>
      <c r="BE869" s="758">
        <v>0</v>
      </c>
      <c r="BF869" s="758">
        <v>215218350</v>
      </c>
      <c r="BG869" s="518">
        <f t="shared" si="533"/>
        <v>0</v>
      </c>
      <c r="BH869" s="758">
        <v>150000000</v>
      </c>
      <c r="BI869" s="758">
        <v>0</v>
      </c>
      <c r="BJ869" s="758">
        <v>100000000</v>
      </c>
      <c r="BK869" s="758">
        <v>0</v>
      </c>
      <c r="BL869" s="759">
        <f t="shared" si="534"/>
        <v>465218350</v>
      </c>
      <c r="BN869" s="758">
        <v>0</v>
      </c>
      <c r="BO869" s="758">
        <v>0</v>
      </c>
      <c r="BP869" s="758">
        <v>0</v>
      </c>
      <c r="BQ869" s="758">
        <f>118370000-1169550</f>
        <v>117200450</v>
      </c>
      <c r="BR869" s="758">
        <v>0</v>
      </c>
      <c r="BS869" s="758">
        <v>0</v>
      </c>
      <c r="BT869" s="758">
        <v>0</v>
      </c>
      <c r="BU869" s="758">
        <v>118370000</v>
      </c>
      <c r="BV869" s="758">
        <v>0</v>
      </c>
      <c r="BW869" s="758">
        <v>0</v>
      </c>
      <c r="BX869" s="758">
        <v>0</v>
      </c>
      <c r="BY869" s="758">
        <v>0</v>
      </c>
      <c r="BZ869" s="791">
        <v>235570450</v>
      </c>
      <c r="CB869" s="758">
        <v>0</v>
      </c>
      <c r="CC869" s="758">
        <v>0</v>
      </c>
      <c r="CD869" s="758">
        <v>0</v>
      </c>
      <c r="CE869" s="758">
        <f>118370000-1169550</f>
        <v>117200450</v>
      </c>
      <c r="CF869" s="758">
        <v>0</v>
      </c>
      <c r="CG869" s="758">
        <v>0</v>
      </c>
      <c r="CH869" s="758">
        <v>0</v>
      </c>
      <c r="CI869" s="758">
        <v>118370000</v>
      </c>
      <c r="CJ869" s="758">
        <v>0</v>
      </c>
      <c r="CK869" s="758">
        <v>0</v>
      </c>
      <c r="CL869" s="758">
        <v>0</v>
      </c>
      <c r="CM869" s="758">
        <v>0</v>
      </c>
      <c r="CN869" s="791">
        <v>235570450</v>
      </c>
      <c r="CP869" s="653">
        <v>17800000</v>
      </c>
      <c r="CQ869" s="653"/>
      <c r="CR869" s="524"/>
      <c r="CS869" s="653">
        <v>393020480</v>
      </c>
      <c r="CT869" s="524">
        <v>15000000</v>
      </c>
      <c r="CU869" s="653"/>
      <c r="CV869" s="524">
        <v>75000000</v>
      </c>
      <c r="CW869" s="653">
        <v>78070800</v>
      </c>
      <c r="CX869" s="524">
        <v>50000000</v>
      </c>
      <c r="CY869" s="653"/>
      <c r="CZ869" s="524">
        <v>20000000</v>
      </c>
      <c r="DA869" s="653"/>
      <c r="DB869" s="524">
        <v>20000000</v>
      </c>
      <c r="DC869" s="653"/>
      <c r="DD869" s="524"/>
      <c r="DE869" s="524"/>
      <c r="DF869" s="524"/>
      <c r="DG869" s="757"/>
      <c r="DH869" s="524"/>
      <c r="DI869" s="524"/>
      <c r="DJ869" s="757"/>
      <c r="DK869" s="524"/>
      <c r="DL869" s="524">
        <v>50000000</v>
      </c>
      <c r="DM869" s="757">
        <v>50000000</v>
      </c>
      <c r="DN869" s="524"/>
      <c r="DO869" s="524">
        <v>50000000</v>
      </c>
      <c r="DP869" s="757">
        <v>50000000</v>
      </c>
      <c r="DQ869" s="493">
        <f t="shared" si="525"/>
        <v>588891280</v>
      </c>
      <c r="DR869" s="479">
        <f t="shared" si="526"/>
        <v>588891280</v>
      </c>
      <c r="DS869" s="1019"/>
      <c r="DT869" s="1019">
        <v>98000000</v>
      </c>
      <c r="DU869" s="1019">
        <v>49000000</v>
      </c>
      <c r="DV869" s="1019">
        <v>49000000</v>
      </c>
      <c r="DW869" s="1019">
        <v>49000000</v>
      </c>
      <c r="DX869" s="1019">
        <v>49000000</v>
      </c>
      <c r="DY869" s="1019">
        <v>49000000</v>
      </c>
      <c r="DZ869" s="1019">
        <v>49000000</v>
      </c>
      <c r="EA869" s="1019">
        <v>49000000</v>
      </c>
      <c r="EB869" s="1019">
        <v>49000000</v>
      </c>
      <c r="EC869" s="1019">
        <v>0</v>
      </c>
      <c r="ED869" s="1019">
        <f>49000000*2</f>
        <v>98000000</v>
      </c>
      <c r="EE869" s="1119">
        <f t="shared" si="527"/>
        <v>588000000</v>
      </c>
      <c r="EF869" s="443">
        <f t="shared" si="536"/>
        <v>687960000</v>
      </c>
      <c r="EG869" s="443">
        <f t="shared" si="535"/>
        <v>742996800</v>
      </c>
      <c r="EH869" s="443">
        <f t="shared" si="537"/>
        <v>809866512</v>
      </c>
      <c r="EI869" s="443">
        <f t="shared" si="537"/>
        <v>882754498.08000004</v>
      </c>
      <c r="EJ869" s="367">
        <v>3000008761</v>
      </c>
    </row>
    <row r="870" spans="1:141" outlineLevel="2">
      <c r="A870" s="367" t="s">
        <v>242</v>
      </c>
      <c r="B870" s="378"/>
      <c r="C870" s="370" t="s">
        <v>946</v>
      </c>
      <c r="D870" s="370" t="s">
        <v>40</v>
      </c>
      <c r="E870" s="396" t="s">
        <v>260</v>
      </c>
      <c r="F870" s="380">
        <v>3000008984</v>
      </c>
      <c r="G870" s="189"/>
      <c r="H870" s="13"/>
      <c r="I870" s="185"/>
      <c r="J870" s="185"/>
      <c r="K870" s="185"/>
      <c r="L870" s="185"/>
      <c r="M870" s="185"/>
      <c r="N870" s="185"/>
      <c r="O870" s="7"/>
      <c r="P870" s="7"/>
      <c r="Q870" s="7"/>
      <c r="R870" s="7"/>
      <c r="S870" s="14">
        <f t="shared" si="531"/>
        <v>0</v>
      </c>
      <c r="T870" s="179"/>
      <c r="U870" s="189"/>
      <c r="V870" s="13"/>
      <c r="W870" s="185"/>
      <c r="X870" s="185"/>
      <c r="Y870" s="185"/>
      <c r="Z870" s="185"/>
      <c r="AA870" s="185"/>
      <c r="AB870" s="185"/>
      <c r="AC870" s="7"/>
      <c r="AD870" s="7"/>
      <c r="AE870" s="7"/>
      <c r="AF870" s="7"/>
      <c r="AG870" s="759">
        <f t="shared" si="532"/>
        <v>0</v>
      </c>
      <c r="AH870" s="788"/>
      <c r="AI870" s="189"/>
      <c r="AJ870" s="810"/>
      <c r="AK870" s="758"/>
      <c r="AL870" s="758"/>
      <c r="AM870" s="758"/>
      <c r="AN870" s="758"/>
      <c r="AO870" s="758"/>
      <c r="AP870" s="758"/>
      <c r="AQ870" s="518">
        <v>0</v>
      </c>
      <c r="AR870" s="813">
        <v>648200000</v>
      </c>
      <c r="AS870" s="813">
        <v>556800000</v>
      </c>
      <c r="AT870" s="813">
        <v>212600000</v>
      </c>
      <c r="AU870" s="518">
        <f>512000000</f>
        <v>512000000</v>
      </c>
      <c r="AV870" s="518">
        <f>300000000</f>
        <v>300000000</v>
      </c>
      <c r="AW870" s="518">
        <v>0</v>
      </c>
      <c r="AX870" s="518">
        <f t="shared" si="528"/>
        <v>1417600000</v>
      </c>
      <c r="AY870" s="788"/>
      <c r="AZ870" s="189"/>
      <c r="BA870" s="810"/>
      <c r="BB870" s="758"/>
      <c r="BC870" s="758"/>
      <c r="BD870" s="758"/>
      <c r="BE870" s="758"/>
      <c r="BF870" s="758"/>
      <c r="BG870" s="518">
        <f t="shared" si="533"/>
        <v>0</v>
      </c>
      <c r="BH870" s="758">
        <v>260000000</v>
      </c>
      <c r="BI870" s="758">
        <v>100000000</v>
      </c>
      <c r="BJ870" s="758">
        <v>0</v>
      </c>
      <c r="BK870" s="758">
        <v>200000000</v>
      </c>
      <c r="BL870" s="759">
        <f t="shared" si="534"/>
        <v>560000000</v>
      </c>
      <c r="BN870" s="758">
        <v>0</v>
      </c>
      <c r="BO870" s="758">
        <v>0</v>
      </c>
      <c r="BP870" s="758">
        <v>50000000</v>
      </c>
      <c r="BQ870" s="758">
        <v>50000000</v>
      </c>
      <c r="BR870" s="758">
        <v>0</v>
      </c>
      <c r="BS870" s="758">
        <v>0</v>
      </c>
      <c r="BT870" s="758">
        <v>50000000</v>
      </c>
      <c r="BU870" s="758">
        <v>50000000</v>
      </c>
      <c r="BV870" s="758">
        <v>0</v>
      </c>
      <c r="BW870" s="758">
        <v>0</v>
      </c>
      <c r="BX870" s="758">
        <v>0</v>
      </c>
      <c r="BY870" s="758">
        <v>0</v>
      </c>
      <c r="BZ870" s="791">
        <v>200000000</v>
      </c>
      <c r="CB870" s="758">
        <v>0</v>
      </c>
      <c r="CC870" s="758">
        <v>0</v>
      </c>
      <c r="CD870" s="758">
        <v>50000000</v>
      </c>
      <c r="CE870" s="758">
        <v>50000000</v>
      </c>
      <c r="CF870" s="758">
        <v>0</v>
      </c>
      <c r="CG870" s="758">
        <v>0</v>
      </c>
      <c r="CH870" s="758">
        <v>50000000</v>
      </c>
      <c r="CI870" s="758">
        <v>50000000</v>
      </c>
      <c r="CJ870" s="758">
        <v>0</v>
      </c>
      <c r="CK870" s="758">
        <v>0</v>
      </c>
      <c r="CL870" s="758">
        <v>0</v>
      </c>
      <c r="CM870" s="758">
        <v>0</v>
      </c>
      <c r="CN870" s="791">
        <v>200000000</v>
      </c>
      <c r="CP870" s="653"/>
      <c r="CQ870" s="653">
        <v>207000000</v>
      </c>
      <c r="CR870" s="524"/>
      <c r="CS870" s="653">
        <v>280000000</v>
      </c>
      <c r="CT870" s="524">
        <v>0</v>
      </c>
      <c r="CU870" s="653"/>
      <c r="CV870" s="524">
        <v>280000000</v>
      </c>
      <c r="CW870" s="653"/>
      <c r="CX870" s="524"/>
      <c r="CY870" s="653"/>
      <c r="CZ870" s="524"/>
      <c r="DA870" s="653"/>
      <c r="DB870" s="524"/>
      <c r="DC870" s="653"/>
      <c r="DD870" s="524"/>
      <c r="DE870" s="524"/>
      <c r="DF870" s="524"/>
      <c r="DG870" s="757"/>
      <c r="DH870" s="524"/>
      <c r="DI870" s="524"/>
      <c r="DJ870" s="757"/>
      <c r="DK870" s="524"/>
      <c r="DL870" s="524"/>
      <c r="DM870" s="757"/>
      <c r="DN870" s="524"/>
      <c r="DO870" s="524"/>
      <c r="DP870" s="757"/>
      <c r="DQ870" s="493">
        <f t="shared" si="525"/>
        <v>487000000</v>
      </c>
      <c r="DR870" s="479">
        <f t="shared" si="526"/>
        <v>487000000</v>
      </c>
      <c r="DS870" s="1019"/>
      <c r="DT870" s="1019">
        <v>81000000</v>
      </c>
      <c r="DU870" s="1019"/>
      <c r="DV870" s="1019">
        <v>81000000</v>
      </c>
      <c r="DW870" s="1019"/>
      <c r="DX870" s="1019">
        <v>81000000</v>
      </c>
      <c r="DY870" s="1019"/>
      <c r="DZ870" s="1019">
        <v>81000000</v>
      </c>
      <c r="EA870" s="1019"/>
      <c r="EB870" s="1019">
        <v>81000000</v>
      </c>
      <c r="EC870" s="1019">
        <v>81000000</v>
      </c>
      <c r="ED870" s="1019"/>
      <c r="EE870" s="1119">
        <f t="shared" si="527"/>
        <v>486000000</v>
      </c>
      <c r="EF870" s="443">
        <f t="shared" si="536"/>
        <v>568620000</v>
      </c>
      <c r="EG870" s="443">
        <f t="shared" si="535"/>
        <v>614109600</v>
      </c>
      <c r="EH870" s="443">
        <f>100000000*10</f>
        <v>1000000000</v>
      </c>
      <c r="EI870" s="443">
        <f>100000000*10</f>
        <v>1000000000</v>
      </c>
      <c r="EJ870" s="367">
        <v>3000008984</v>
      </c>
    </row>
    <row r="871" spans="1:141" outlineLevel="2">
      <c r="A871" s="367" t="s">
        <v>281</v>
      </c>
      <c r="B871" s="378"/>
      <c r="C871" s="370" t="s">
        <v>946</v>
      </c>
      <c r="D871" s="370" t="s">
        <v>40</v>
      </c>
      <c r="E871" s="383" t="s">
        <v>274</v>
      </c>
      <c r="F871" s="380">
        <v>3000011817</v>
      </c>
      <c r="G871" s="189"/>
      <c r="H871" s="13"/>
      <c r="I871" s="185"/>
      <c r="J871" s="185"/>
      <c r="K871" s="185"/>
      <c r="L871" s="185"/>
      <c r="M871" s="185"/>
      <c r="N871" s="185"/>
      <c r="O871" s="7"/>
      <c r="P871" s="7"/>
      <c r="Q871" s="7"/>
      <c r="R871" s="7"/>
      <c r="S871" s="14">
        <f t="shared" si="531"/>
        <v>0</v>
      </c>
      <c r="T871" s="179"/>
      <c r="U871" s="189"/>
      <c r="V871" s="13"/>
      <c r="W871" s="185"/>
      <c r="X871" s="185"/>
      <c r="Y871" s="185"/>
      <c r="Z871" s="185"/>
      <c r="AA871" s="185"/>
      <c r="AB871" s="185"/>
      <c r="AC871" s="7"/>
      <c r="AD871" s="7"/>
      <c r="AE871" s="7"/>
      <c r="AF871" s="7"/>
      <c r="AG871" s="759">
        <f t="shared" si="532"/>
        <v>0</v>
      </c>
      <c r="AH871" s="788"/>
      <c r="AI871" s="189"/>
      <c r="AJ871" s="810"/>
      <c r="AK871" s="758">
        <v>15206500</v>
      </c>
      <c r="AL871" s="758">
        <v>0</v>
      </c>
      <c r="AM871" s="758">
        <v>0</v>
      </c>
      <c r="AN871" s="758">
        <v>0</v>
      </c>
      <c r="AO871" s="758">
        <v>0</v>
      </c>
      <c r="AP871" s="758">
        <v>0</v>
      </c>
      <c r="AQ871" s="518">
        <v>101000000</v>
      </c>
      <c r="AR871" s="813">
        <v>0</v>
      </c>
      <c r="AS871" s="813">
        <v>33950000</v>
      </c>
      <c r="AT871" s="813">
        <v>0</v>
      </c>
      <c r="AU871" s="518">
        <f>BI871</f>
        <v>0</v>
      </c>
      <c r="AV871" s="518"/>
      <c r="AW871" s="794">
        <f>150000000</f>
        <v>150000000</v>
      </c>
      <c r="AX871" s="518">
        <f t="shared" si="528"/>
        <v>150156500</v>
      </c>
      <c r="AY871" s="788"/>
      <c r="AZ871" s="189"/>
      <c r="BA871" s="810"/>
      <c r="BB871" s="758">
        <v>15206500</v>
      </c>
      <c r="BC871" s="758">
        <v>0</v>
      </c>
      <c r="BD871" s="758">
        <v>0</v>
      </c>
      <c r="BE871" s="758">
        <v>0</v>
      </c>
      <c r="BF871" s="758">
        <v>0</v>
      </c>
      <c r="BG871" s="518">
        <f t="shared" si="533"/>
        <v>0</v>
      </c>
      <c r="BH871" s="758">
        <v>0</v>
      </c>
      <c r="BI871" s="758">
        <v>0</v>
      </c>
      <c r="BJ871" s="758">
        <v>500000000</v>
      </c>
      <c r="BK871" s="758">
        <v>500000000</v>
      </c>
      <c r="BL871" s="759">
        <f t="shared" si="534"/>
        <v>1015206500</v>
      </c>
      <c r="BN871" s="758">
        <v>0</v>
      </c>
      <c r="BO871" s="758">
        <f>220000000</f>
        <v>220000000</v>
      </c>
      <c r="BP871" s="758">
        <f>220000000</f>
        <v>220000000</v>
      </c>
      <c r="BQ871" s="758">
        <f>220000000</f>
        <v>220000000</v>
      </c>
      <c r="BR871" s="758">
        <f>220000000</f>
        <v>220000000</v>
      </c>
      <c r="BS871" s="758">
        <f>220000000</f>
        <v>220000000</v>
      </c>
      <c r="BT871" s="758">
        <v>0</v>
      </c>
      <c r="BU871" s="758">
        <f>400000000</f>
        <v>400000000</v>
      </c>
      <c r="BV871" s="758">
        <f>400000000</f>
        <v>400000000</v>
      </c>
      <c r="BW871" s="758">
        <f>400000000</f>
        <v>400000000</v>
      </c>
      <c r="BX871" s="758">
        <f>400000000</f>
        <v>400000000</v>
      </c>
      <c r="BY871" s="758">
        <f>100000000</f>
        <v>100000000</v>
      </c>
      <c r="BZ871" s="791">
        <v>2800000000</v>
      </c>
      <c r="CB871" s="758">
        <v>0</v>
      </c>
      <c r="CC871" s="758">
        <f>220000000</f>
        <v>220000000</v>
      </c>
      <c r="CD871" s="758">
        <f>220000000</f>
        <v>220000000</v>
      </c>
      <c r="CE871" s="758">
        <f>220000000</f>
        <v>220000000</v>
      </c>
      <c r="CF871" s="758">
        <f>220000000</f>
        <v>220000000</v>
      </c>
      <c r="CG871" s="758">
        <f>220000000</f>
        <v>220000000</v>
      </c>
      <c r="CH871" s="758">
        <v>0</v>
      </c>
      <c r="CI871" s="758">
        <f>400000000</f>
        <v>400000000</v>
      </c>
      <c r="CJ871" s="758">
        <f>400000000</f>
        <v>400000000</v>
      </c>
      <c r="CK871" s="758">
        <f>400000000</f>
        <v>400000000</v>
      </c>
      <c r="CL871" s="758">
        <f>400000000</f>
        <v>400000000</v>
      </c>
      <c r="CM871" s="758">
        <f>100000000</f>
        <v>100000000</v>
      </c>
      <c r="CN871" s="791">
        <v>2800000000</v>
      </c>
      <c r="CP871" s="653">
        <v>2500000</v>
      </c>
      <c r="CQ871" s="653"/>
      <c r="CR871" s="524"/>
      <c r="CS871" s="653">
        <v>61505000</v>
      </c>
      <c r="CT871" s="524">
        <v>450000000</v>
      </c>
      <c r="CU871" s="653">
        <v>305371450</v>
      </c>
      <c r="CV871" s="524">
        <v>200000000</v>
      </c>
      <c r="CW871" s="653">
        <v>249039800</v>
      </c>
      <c r="CX871" s="524">
        <v>50000000</v>
      </c>
      <c r="CY871" s="653">
        <v>317622300</v>
      </c>
      <c r="CZ871" s="524">
        <v>30000000</v>
      </c>
      <c r="DA871" s="653">
        <v>61105000</v>
      </c>
      <c r="DB871" s="524">
        <v>50000000</v>
      </c>
      <c r="DC871" s="653"/>
      <c r="DD871" s="524">
        <v>50000000</v>
      </c>
      <c r="DE871" s="524"/>
      <c r="DF871" s="524"/>
      <c r="DG871" s="757"/>
      <c r="DH871" s="524"/>
      <c r="DI871" s="524"/>
      <c r="DJ871" s="757"/>
      <c r="DK871" s="524"/>
      <c r="DL871" s="524">
        <v>50000000</v>
      </c>
      <c r="DM871" s="757">
        <v>50000000</v>
      </c>
      <c r="DN871" s="524"/>
      <c r="DO871" s="524">
        <v>50000000</v>
      </c>
      <c r="DP871" s="757">
        <v>50000000</v>
      </c>
      <c r="DQ871" s="493">
        <f t="shared" si="525"/>
        <v>1097143550</v>
      </c>
      <c r="DR871" s="479">
        <f t="shared" si="526"/>
        <v>1097143550</v>
      </c>
      <c r="DS871" s="1019"/>
      <c r="DT871" s="1019"/>
      <c r="DU871" s="1019"/>
      <c r="DV871" s="1019">
        <v>400000000</v>
      </c>
      <c r="DW871" s="1019">
        <v>100000000</v>
      </c>
      <c r="DX871" s="1019">
        <v>100000000</v>
      </c>
      <c r="DY871" s="1019">
        <v>100000000</v>
      </c>
      <c r="DZ871" s="1019">
        <v>100000000</v>
      </c>
      <c r="EA871" s="1019">
        <v>400000000</v>
      </c>
      <c r="EB871" s="1019"/>
      <c r="EC871" s="1019"/>
      <c r="ED871" s="1019"/>
      <c r="EE871" s="1119">
        <f t="shared" si="527"/>
        <v>1200000000</v>
      </c>
      <c r="EF871" s="443">
        <f t="shared" si="536"/>
        <v>1404000000</v>
      </c>
      <c r="EG871" s="443">
        <f t="shared" si="535"/>
        <v>1516320000</v>
      </c>
      <c r="EH871" s="443">
        <f t="shared" ref="EH871:EI874" si="538">EG871*1.09</f>
        <v>1652788800.0000002</v>
      </c>
      <c r="EI871" s="443">
        <f t="shared" si="538"/>
        <v>1801539792.0000005</v>
      </c>
      <c r="EJ871" s="367">
        <v>3000011817</v>
      </c>
    </row>
    <row r="872" spans="1:141" outlineLevel="2">
      <c r="A872" s="367" t="s">
        <v>281</v>
      </c>
      <c r="B872" s="378"/>
      <c r="C872" s="370" t="s">
        <v>946</v>
      </c>
      <c r="D872" s="370" t="s">
        <v>40</v>
      </c>
      <c r="E872" s="383" t="s">
        <v>971</v>
      </c>
      <c r="F872" s="380">
        <v>3000012628</v>
      </c>
      <c r="G872" s="189"/>
      <c r="H872" s="13"/>
      <c r="I872" s="185"/>
      <c r="J872" s="185"/>
      <c r="K872" s="185"/>
      <c r="L872" s="185"/>
      <c r="M872" s="185"/>
      <c r="N872" s="185"/>
      <c r="O872" s="7"/>
      <c r="P872" s="7"/>
      <c r="Q872" s="7"/>
      <c r="R872" s="7"/>
      <c r="S872" s="14">
        <f t="shared" si="531"/>
        <v>0</v>
      </c>
      <c r="T872" s="179"/>
      <c r="U872" s="189"/>
      <c r="V872" s="13"/>
      <c r="W872" s="185"/>
      <c r="X872" s="185"/>
      <c r="Y872" s="185"/>
      <c r="Z872" s="185"/>
      <c r="AA872" s="185"/>
      <c r="AB872" s="185"/>
      <c r="AC872" s="7"/>
      <c r="AD872" s="7"/>
      <c r="AE872" s="7"/>
      <c r="AF872" s="7"/>
      <c r="AG872" s="759">
        <f t="shared" si="532"/>
        <v>0</v>
      </c>
      <c r="AH872" s="788"/>
      <c r="AI872" s="189"/>
      <c r="AJ872" s="810"/>
      <c r="AK872" s="758"/>
      <c r="AL872" s="758">
        <v>0</v>
      </c>
      <c r="AM872" s="758">
        <v>0</v>
      </c>
      <c r="AN872" s="758">
        <v>0</v>
      </c>
      <c r="AO872" s="758">
        <v>0</v>
      </c>
      <c r="AP872" s="758">
        <v>196482800</v>
      </c>
      <c r="AQ872" s="518">
        <v>342338200</v>
      </c>
      <c r="AR872" s="813">
        <v>212898750</v>
      </c>
      <c r="AS872" s="813"/>
      <c r="AT872" s="813">
        <v>81327600</v>
      </c>
      <c r="AU872" s="518">
        <f>285000000</f>
        <v>285000000</v>
      </c>
      <c r="AV872" s="518"/>
      <c r="AW872" s="518">
        <f>250000000</f>
        <v>250000000</v>
      </c>
      <c r="AX872" s="518">
        <f t="shared" si="528"/>
        <v>833047350</v>
      </c>
      <c r="AY872" s="788"/>
      <c r="AZ872" s="189"/>
      <c r="BA872" s="810"/>
      <c r="BB872" s="758"/>
      <c r="BC872" s="758">
        <v>0</v>
      </c>
      <c r="BD872" s="758">
        <v>0</v>
      </c>
      <c r="BE872" s="758">
        <v>0</v>
      </c>
      <c r="BF872" s="758">
        <v>0</v>
      </c>
      <c r="BG872" s="518">
        <f t="shared" si="533"/>
        <v>196482800</v>
      </c>
      <c r="BH872" s="758">
        <v>300000000</v>
      </c>
      <c r="BI872" s="758">
        <v>300000000</v>
      </c>
      <c r="BJ872" s="758">
        <v>300000000</v>
      </c>
      <c r="BK872" s="758">
        <v>300000000</v>
      </c>
      <c r="BL872" s="759">
        <f t="shared" si="534"/>
        <v>1396482800</v>
      </c>
      <c r="BN872" s="758">
        <v>0</v>
      </c>
      <c r="BO872" s="758">
        <v>0</v>
      </c>
      <c r="BP872" s="758">
        <v>0</v>
      </c>
      <c r="BQ872" s="758">
        <v>108065000</v>
      </c>
      <c r="BR872" s="758">
        <v>108065000</v>
      </c>
      <c r="BS872" s="758">
        <v>108065000</v>
      </c>
      <c r="BT872" s="758">
        <v>0</v>
      </c>
      <c r="BU872" s="758">
        <v>108065000</v>
      </c>
      <c r="BV872" s="758">
        <v>108065000</v>
      </c>
      <c r="BW872" s="758">
        <v>108065000</v>
      </c>
      <c r="BX872" s="758">
        <v>0</v>
      </c>
      <c r="BY872" s="758">
        <v>0</v>
      </c>
      <c r="BZ872" s="791">
        <v>648390000</v>
      </c>
      <c r="CB872" s="758">
        <v>0</v>
      </c>
      <c r="CC872" s="758">
        <v>0</v>
      </c>
      <c r="CD872" s="758">
        <v>0</v>
      </c>
      <c r="CE872" s="758">
        <v>108065000</v>
      </c>
      <c r="CF872" s="758">
        <v>108065000</v>
      </c>
      <c r="CG872" s="758">
        <v>108065000</v>
      </c>
      <c r="CH872" s="758">
        <v>0</v>
      </c>
      <c r="CI872" s="758">
        <v>108065000</v>
      </c>
      <c r="CJ872" s="758">
        <v>108065000</v>
      </c>
      <c r="CK872" s="758">
        <v>108065000</v>
      </c>
      <c r="CL872" s="758">
        <v>0</v>
      </c>
      <c r="CM872" s="758">
        <v>0</v>
      </c>
      <c r="CN872" s="791">
        <v>648390000</v>
      </c>
      <c r="CP872" s="653">
        <v>21188800</v>
      </c>
      <c r="CQ872" s="653">
        <v>16575100</v>
      </c>
      <c r="CR872" s="524">
        <v>16575100</v>
      </c>
      <c r="CS872" s="653"/>
      <c r="CT872" s="524">
        <v>20000000</v>
      </c>
      <c r="CU872" s="653"/>
      <c r="CV872" s="524">
        <v>35000000</v>
      </c>
      <c r="CW872" s="653"/>
      <c r="CX872" s="524">
        <v>0</v>
      </c>
      <c r="CY872" s="653"/>
      <c r="CZ872" s="524">
        <v>0</v>
      </c>
      <c r="DA872" s="653"/>
      <c r="DB872" s="524"/>
      <c r="DC872" s="653"/>
      <c r="DD872" s="524"/>
      <c r="DE872" s="524"/>
      <c r="DF872" s="524"/>
      <c r="DG872" s="757"/>
      <c r="DH872" s="524"/>
      <c r="DI872" s="524"/>
      <c r="DJ872" s="757"/>
      <c r="DK872" s="524"/>
      <c r="DL872" s="524"/>
      <c r="DM872" s="757"/>
      <c r="DN872" s="524"/>
      <c r="DO872" s="524"/>
      <c r="DP872" s="757"/>
      <c r="DQ872" s="493">
        <f t="shared" si="525"/>
        <v>37763900</v>
      </c>
      <c r="DR872" s="479">
        <f t="shared" si="526"/>
        <v>37763900</v>
      </c>
      <c r="DS872" s="1019">
        <v>22000000</v>
      </c>
      <c r="DT872" s="1019">
        <v>22000000</v>
      </c>
      <c r="DU872" s="1019"/>
      <c r="DV872" s="1019"/>
      <c r="DW872" s="1019"/>
      <c r="DX872" s="1019"/>
      <c r="DY872" s="1019"/>
      <c r="DZ872" s="1019"/>
      <c r="EA872" s="1019"/>
      <c r="EB872" s="1019"/>
      <c r="EC872" s="1019"/>
      <c r="ED872" s="1019"/>
      <c r="EE872" s="1119">
        <f t="shared" si="527"/>
        <v>44000000</v>
      </c>
      <c r="EF872" s="443">
        <f t="shared" si="536"/>
        <v>51480000</v>
      </c>
      <c r="EG872" s="443">
        <f t="shared" si="535"/>
        <v>55598400</v>
      </c>
      <c r="EH872" s="443">
        <f t="shared" si="538"/>
        <v>60602256.000000007</v>
      </c>
      <c r="EI872" s="443">
        <f t="shared" si="538"/>
        <v>66056459.040000014</v>
      </c>
      <c r="EJ872" s="367">
        <v>3000012628</v>
      </c>
    </row>
    <row r="873" spans="1:141" outlineLevel="2">
      <c r="A873" s="367" t="s">
        <v>281</v>
      </c>
      <c r="B873" s="378"/>
      <c r="C873" s="370" t="s">
        <v>946</v>
      </c>
      <c r="D873" s="370" t="s">
        <v>40</v>
      </c>
      <c r="E873" s="383" t="s">
        <v>888</v>
      </c>
      <c r="F873" s="380">
        <v>3000005420</v>
      </c>
      <c r="G873" s="189"/>
      <c r="H873" s="13"/>
      <c r="I873" s="185"/>
      <c r="J873" s="185"/>
      <c r="K873" s="185"/>
      <c r="L873" s="185"/>
      <c r="M873" s="185"/>
      <c r="N873" s="185"/>
      <c r="O873" s="7"/>
      <c r="P873" s="7"/>
      <c r="Q873" s="7"/>
      <c r="R873" s="7"/>
      <c r="S873" s="14">
        <f t="shared" si="531"/>
        <v>0</v>
      </c>
      <c r="T873" s="179"/>
      <c r="U873" s="189"/>
      <c r="V873" s="13"/>
      <c r="W873" s="185"/>
      <c r="X873" s="185"/>
      <c r="Y873" s="185"/>
      <c r="Z873" s="185"/>
      <c r="AA873" s="185"/>
      <c r="AB873" s="185"/>
      <c r="AC873" s="7"/>
      <c r="AD873" s="7"/>
      <c r="AE873" s="7"/>
      <c r="AF873" s="7"/>
      <c r="AG873" s="759">
        <f t="shared" si="532"/>
        <v>0</v>
      </c>
      <c r="AH873" s="788"/>
      <c r="AI873" s="189"/>
      <c r="AJ873" s="810">
        <v>862438420</v>
      </c>
      <c r="AK873" s="758"/>
      <c r="AL873" s="758">
        <v>0</v>
      </c>
      <c r="AM873" s="758">
        <v>153000000</v>
      </c>
      <c r="AN873" s="758">
        <v>280590460</v>
      </c>
      <c r="AO873" s="758">
        <v>76500000</v>
      </c>
      <c r="AP873" s="758">
        <v>0</v>
      </c>
      <c r="AQ873" s="518">
        <v>76500000</v>
      </c>
      <c r="AR873" s="813">
        <v>0</v>
      </c>
      <c r="AS873" s="813"/>
      <c r="AT873" s="813">
        <v>128381180</v>
      </c>
      <c r="AU873" s="518"/>
      <c r="AV873" s="518"/>
      <c r="AW873" s="794">
        <f>175000000</f>
        <v>175000000</v>
      </c>
      <c r="AX873" s="518">
        <f t="shared" si="528"/>
        <v>1577410060</v>
      </c>
      <c r="AY873" s="788"/>
      <c r="AZ873" s="189"/>
      <c r="BA873" s="810">
        <v>862438420</v>
      </c>
      <c r="BB873" s="758"/>
      <c r="BC873" s="758">
        <v>0</v>
      </c>
      <c r="BD873" s="758">
        <v>153000000</v>
      </c>
      <c r="BE873" s="758">
        <v>280590460</v>
      </c>
      <c r="BF873" s="758">
        <v>76500000</v>
      </c>
      <c r="BG873" s="518">
        <f t="shared" si="533"/>
        <v>0</v>
      </c>
      <c r="BH873" s="758">
        <v>300000000</v>
      </c>
      <c r="BI873" s="758">
        <v>300000000</v>
      </c>
      <c r="BJ873" s="758">
        <v>100000000</v>
      </c>
      <c r="BK873" s="758">
        <v>300000000</v>
      </c>
      <c r="BL873" s="759">
        <f t="shared" si="534"/>
        <v>2372528880</v>
      </c>
      <c r="BN873" s="758">
        <v>262000000</v>
      </c>
      <c r="BO873" s="758">
        <v>274500000</v>
      </c>
      <c r="BP873" s="758">
        <v>274500000</v>
      </c>
      <c r="BQ873" s="758">
        <v>274500000</v>
      </c>
      <c r="BR873" s="758">
        <v>374500000</v>
      </c>
      <c r="BS873" s="758">
        <v>0</v>
      </c>
      <c r="BT873" s="758">
        <v>0</v>
      </c>
      <c r="BU873" s="758">
        <v>374500000</v>
      </c>
      <c r="BV873" s="758">
        <v>374500000</v>
      </c>
      <c r="BW873" s="758">
        <v>374500000</v>
      </c>
      <c r="BX873" s="758">
        <v>374500000</v>
      </c>
      <c r="BY873" s="758">
        <v>275000000</v>
      </c>
      <c r="BZ873" s="791">
        <v>3233000000</v>
      </c>
      <c r="CB873" s="758">
        <v>262000000</v>
      </c>
      <c r="CC873" s="758">
        <v>274500000</v>
      </c>
      <c r="CD873" s="758">
        <v>274500000</v>
      </c>
      <c r="CE873" s="758">
        <v>274500000</v>
      </c>
      <c r="CF873" s="758">
        <v>374500000</v>
      </c>
      <c r="CG873" s="758">
        <v>0</v>
      </c>
      <c r="CH873" s="758">
        <v>0</v>
      </c>
      <c r="CI873" s="758">
        <v>374500000</v>
      </c>
      <c r="CJ873" s="758">
        <v>374500000</v>
      </c>
      <c r="CK873" s="758">
        <v>374500000</v>
      </c>
      <c r="CL873" s="758">
        <v>374500000</v>
      </c>
      <c r="CM873" s="758">
        <v>275000000</v>
      </c>
      <c r="CN873" s="791">
        <v>3233000000</v>
      </c>
      <c r="CP873" s="653">
        <v>256363400</v>
      </c>
      <c r="CQ873" s="653">
        <v>681807909</v>
      </c>
      <c r="CR873" s="524">
        <v>681807909</v>
      </c>
      <c r="CS873" s="653">
        <v>501452820</v>
      </c>
      <c r="CT873" s="524">
        <v>500000000</v>
      </c>
      <c r="CU873" s="653">
        <v>569445710</v>
      </c>
      <c r="CV873" s="524">
        <v>500000000</v>
      </c>
      <c r="CW873" s="653">
        <v>258000000</v>
      </c>
      <c r="CX873" s="524">
        <v>240000000</v>
      </c>
      <c r="CY873" s="653"/>
      <c r="CZ873" s="524">
        <v>250000000</v>
      </c>
      <c r="DA873" s="653">
        <v>378000000</v>
      </c>
      <c r="DB873" s="524">
        <v>200000000</v>
      </c>
      <c r="DC873" s="653">
        <v>126000000</v>
      </c>
      <c r="DD873" s="524">
        <v>200000000</v>
      </c>
      <c r="DE873" s="524"/>
      <c r="DF873" s="524">
        <v>100000000</v>
      </c>
      <c r="DG873" s="757">
        <v>100000000</v>
      </c>
      <c r="DH873" s="524"/>
      <c r="DI873" s="524">
        <v>100000000</v>
      </c>
      <c r="DJ873" s="757">
        <v>100000000</v>
      </c>
      <c r="DK873" s="524"/>
      <c r="DL873" s="524">
        <v>250000000</v>
      </c>
      <c r="DM873" s="757">
        <v>250000000</v>
      </c>
      <c r="DN873" s="524"/>
      <c r="DO873" s="524">
        <v>250000000</v>
      </c>
      <c r="DP873" s="757">
        <v>250000000</v>
      </c>
      <c r="DQ873" s="493">
        <f t="shared" si="525"/>
        <v>3471069839</v>
      </c>
      <c r="DR873" s="479">
        <f t="shared" si="526"/>
        <v>3471069839</v>
      </c>
      <c r="DS873" s="1019">
        <v>350000000</v>
      </c>
      <c r="DT873" s="1019">
        <v>350000000</v>
      </c>
      <c r="DU873" s="1019">
        <v>350000000</v>
      </c>
      <c r="DV873" s="1019">
        <v>350000000</v>
      </c>
      <c r="DW873" s="1019">
        <v>350000000</v>
      </c>
      <c r="DX873" s="1019">
        <v>350000000</v>
      </c>
      <c r="DY873" s="1019">
        <v>700000000</v>
      </c>
      <c r="DZ873" s="1019">
        <v>700000000</v>
      </c>
      <c r="EA873" s="1019"/>
      <c r="EB873" s="1019"/>
      <c r="EC873" s="1019">
        <v>350000000</v>
      </c>
      <c r="ED873" s="1019">
        <v>350000000</v>
      </c>
      <c r="EE873" s="1119">
        <f t="shared" si="527"/>
        <v>4200000000</v>
      </c>
      <c r="EF873" s="443">
        <f t="shared" si="536"/>
        <v>4914000000</v>
      </c>
      <c r="EG873" s="443">
        <f t="shared" si="535"/>
        <v>5307120000</v>
      </c>
      <c r="EH873" s="443">
        <f t="shared" si="538"/>
        <v>5784760800</v>
      </c>
      <c r="EI873" s="443">
        <f t="shared" si="538"/>
        <v>6305389272</v>
      </c>
      <c r="EJ873" s="367">
        <v>3000005420</v>
      </c>
    </row>
    <row r="874" spans="1:141" outlineLevel="2">
      <c r="A874" s="367" t="s">
        <v>281</v>
      </c>
      <c r="B874" s="378"/>
      <c r="C874" s="370" t="s">
        <v>946</v>
      </c>
      <c r="D874" s="370" t="s">
        <v>40</v>
      </c>
      <c r="E874" s="383" t="s">
        <v>972</v>
      </c>
      <c r="F874" s="380">
        <v>3000006119</v>
      </c>
      <c r="G874" s="189"/>
      <c r="H874" s="13"/>
      <c r="I874" s="185"/>
      <c r="J874" s="185"/>
      <c r="K874" s="185"/>
      <c r="L874" s="185"/>
      <c r="M874" s="185"/>
      <c r="N874" s="185"/>
      <c r="O874" s="7"/>
      <c r="P874" s="7"/>
      <c r="Q874" s="7"/>
      <c r="R874" s="7"/>
      <c r="S874" s="14">
        <f t="shared" si="531"/>
        <v>0</v>
      </c>
      <c r="T874" s="179"/>
      <c r="U874" s="189"/>
      <c r="V874" s="13"/>
      <c r="W874" s="185"/>
      <c r="X874" s="185"/>
      <c r="Y874" s="185"/>
      <c r="Z874" s="185"/>
      <c r="AA874" s="185"/>
      <c r="AB874" s="185"/>
      <c r="AC874" s="7"/>
      <c r="AD874" s="7"/>
      <c r="AE874" s="7"/>
      <c r="AF874" s="7"/>
      <c r="AG874" s="759">
        <f t="shared" si="532"/>
        <v>0</v>
      </c>
      <c r="AH874" s="788"/>
      <c r="AI874" s="189"/>
      <c r="AJ874" s="810"/>
      <c r="AK874" s="758"/>
      <c r="AL874" s="758">
        <v>0</v>
      </c>
      <c r="AM874" s="758">
        <v>147988440</v>
      </c>
      <c r="AN874" s="758">
        <v>186600840</v>
      </c>
      <c r="AO874" s="758">
        <v>0</v>
      </c>
      <c r="AP874" s="758">
        <v>0</v>
      </c>
      <c r="AQ874" s="518">
        <v>114558710</v>
      </c>
      <c r="AR874" s="813">
        <v>23054980</v>
      </c>
      <c r="AS874" s="813"/>
      <c r="AT874" s="813">
        <v>0</v>
      </c>
      <c r="AU874" s="518">
        <f>BI874</f>
        <v>0</v>
      </c>
      <c r="AV874" s="518"/>
      <c r="AW874" s="794">
        <f>100000000</f>
        <v>100000000</v>
      </c>
      <c r="AX874" s="518">
        <f t="shared" si="528"/>
        <v>472202970</v>
      </c>
      <c r="AY874" s="788"/>
      <c r="AZ874" s="189"/>
      <c r="BA874" s="810"/>
      <c r="BB874" s="758"/>
      <c r="BC874" s="758">
        <v>0</v>
      </c>
      <c r="BD874" s="758">
        <v>147988440</v>
      </c>
      <c r="BE874" s="758">
        <v>186600840</v>
      </c>
      <c r="BF874" s="758">
        <v>0</v>
      </c>
      <c r="BG874" s="518">
        <f t="shared" si="533"/>
        <v>0</v>
      </c>
      <c r="BH874" s="758">
        <v>0</v>
      </c>
      <c r="BI874" s="758">
        <v>0</v>
      </c>
      <c r="BJ874" s="758">
        <v>100000000</v>
      </c>
      <c r="BK874" s="758">
        <v>0</v>
      </c>
      <c r="BL874" s="759">
        <f t="shared" si="534"/>
        <v>434589280</v>
      </c>
      <c r="BN874" s="758">
        <v>0</v>
      </c>
      <c r="BO874" s="758">
        <v>134000000</v>
      </c>
      <c r="BP874" s="758">
        <v>134000000</v>
      </c>
      <c r="BQ874" s="758">
        <v>0</v>
      </c>
      <c r="BR874" s="758">
        <v>0</v>
      </c>
      <c r="BS874" s="758">
        <v>0</v>
      </c>
      <c r="BT874" s="758">
        <v>0</v>
      </c>
      <c r="BU874" s="758">
        <v>134000000</v>
      </c>
      <c r="BV874" s="758">
        <v>0</v>
      </c>
      <c r="BW874" s="758">
        <v>0</v>
      </c>
      <c r="BX874" s="758">
        <v>0</v>
      </c>
      <c r="BY874" s="758">
        <v>0</v>
      </c>
      <c r="BZ874" s="791">
        <v>402000000</v>
      </c>
      <c r="CB874" s="758">
        <v>0</v>
      </c>
      <c r="CC874" s="758">
        <v>134000000</v>
      </c>
      <c r="CD874" s="758">
        <v>134000000</v>
      </c>
      <c r="CE874" s="758">
        <v>0</v>
      </c>
      <c r="CF874" s="758">
        <v>0</v>
      </c>
      <c r="CG874" s="758">
        <v>0</v>
      </c>
      <c r="CH874" s="758">
        <v>0</v>
      </c>
      <c r="CI874" s="758">
        <v>134000000</v>
      </c>
      <c r="CJ874" s="758">
        <v>0</v>
      </c>
      <c r="CK874" s="758">
        <v>0</v>
      </c>
      <c r="CL874" s="758">
        <v>0</v>
      </c>
      <c r="CM874" s="758">
        <v>0</v>
      </c>
      <c r="CN874" s="791">
        <v>402000000</v>
      </c>
      <c r="CP874" s="653"/>
      <c r="CQ874" s="653">
        <v>41097070</v>
      </c>
      <c r="CR874" s="524">
        <v>41097070</v>
      </c>
      <c r="CS874" s="653"/>
      <c r="CT874" s="524">
        <v>50000000</v>
      </c>
      <c r="CU874" s="653"/>
      <c r="CV874" s="524">
        <v>150000000</v>
      </c>
      <c r="CW874" s="653"/>
      <c r="CX874" s="524">
        <v>25000000</v>
      </c>
      <c r="CY874" s="653"/>
      <c r="CZ874" s="524">
        <v>50000000</v>
      </c>
      <c r="DA874" s="653">
        <v>246173430</v>
      </c>
      <c r="DB874" s="524">
        <v>50000000</v>
      </c>
      <c r="DC874" s="653">
        <v>1145985070</v>
      </c>
      <c r="DD874" s="524">
        <v>25000000</v>
      </c>
      <c r="DE874" s="524"/>
      <c r="DF874" s="524"/>
      <c r="DG874" s="757"/>
      <c r="DH874" s="524"/>
      <c r="DI874" s="524"/>
      <c r="DJ874" s="757"/>
      <c r="DK874" s="524"/>
      <c r="DL874" s="524">
        <v>50000000</v>
      </c>
      <c r="DM874" s="757">
        <v>50000000</v>
      </c>
      <c r="DN874" s="524"/>
      <c r="DO874" s="524">
        <v>50000000</v>
      </c>
      <c r="DP874" s="757">
        <v>50000000</v>
      </c>
      <c r="DQ874" s="493">
        <f t="shared" si="525"/>
        <v>1533255570</v>
      </c>
      <c r="DR874" s="479">
        <f t="shared" si="526"/>
        <v>1533255570</v>
      </c>
      <c r="DS874" s="1019">
        <v>150000000</v>
      </c>
      <c r="DT874" s="1019">
        <v>150000000</v>
      </c>
      <c r="DU874" s="1019">
        <v>150000000</v>
      </c>
      <c r="DV874" s="1019">
        <v>150000000</v>
      </c>
      <c r="DW874" s="1019">
        <v>150000000</v>
      </c>
      <c r="DX874" s="1019">
        <v>150000000</v>
      </c>
      <c r="DY874" s="1019">
        <v>300000000</v>
      </c>
      <c r="DZ874" s="1019">
        <v>300000000</v>
      </c>
      <c r="EA874" s="1019"/>
      <c r="EB874" s="1019"/>
      <c r="EC874" s="1019">
        <v>150000000</v>
      </c>
      <c r="ED874" s="1019">
        <v>150000000</v>
      </c>
      <c r="EE874" s="1119">
        <f t="shared" si="527"/>
        <v>1800000000</v>
      </c>
      <c r="EF874" s="443">
        <f t="shared" si="536"/>
        <v>2105999999.9999998</v>
      </c>
      <c r="EG874" s="443">
        <f t="shared" si="535"/>
        <v>2274480000</v>
      </c>
      <c r="EH874" s="443">
        <f t="shared" si="538"/>
        <v>2479183200</v>
      </c>
      <c r="EI874" s="443">
        <f t="shared" si="538"/>
        <v>2702309688</v>
      </c>
      <c r="EJ874" s="367">
        <v>3000006119</v>
      </c>
    </row>
    <row r="875" spans="1:141" s="8" customFormat="1" ht="18.5" outlineLevel="2">
      <c r="A875" s="389"/>
      <c r="B875" s="429"/>
      <c r="C875" s="430"/>
      <c r="D875" s="430"/>
      <c r="E875" s="431" t="s">
        <v>973</v>
      </c>
      <c r="F875" s="390"/>
      <c r="G875" s="240"/>
      <c r="H875" s="240"/>
      <c r="I875" s="240"/>
      <c r="J875" s="240"/>
      <c r="K875" s="240"/>
      <c r="L875" s="240"/>
      <c r="M875" s="240"/>
      <c r="N875" s="240"/>
      <c r="O875" s="240"/>
      <c r="P875" s="240"/>
      <c r="Q875" s="240"/>
      <c r="R875" s="240"/>
      <c r="S875" s="49"/>
      <c r="T875" s="179"/>
      <c r="U875" s="240"/>
      <c r="V875" s="240"/>
      <c r="W875" s="240"/>
      <c r="X875" s="240"/>
      <c r="Y875" s="240"/>
      <c r="Z875" s="240"/>
      <c r="AA875" s="240"/>
      <c r="AB875" s="240"/>
      <c r="AC875" s="240"/>
      <c r="AD875" s="240"/>
      <c r="AE875" s="240"/>
      <c r="AF875" s="240"/>
      <c r="AG875" s="774"/>
      <c r="AH875" s="788"/>
      <c r="AI875" s="862"/>
      <c r="AJ875" s="863"/>
      <c r="AK875" s="774"/>
      <c r="AL875" s="774"/>
      <c r="AM875" s="774"/>
      <c r="AN875" s="774"/>
      <c r="AO875" s="774"/>
      <c r="AP875" s="774"/>
      <c r="AQ875" s="774"/>
      <c r="AR875" s="774"/>
      <c r="AS875" s="774"/>
      <c r="AT875" s="774"/>
      <c r="AU875" s="774"/>
      <c r="AV875" s="774"/>
      <c r="AW875" s="774"/>
      <c r="AX875" s="774"/>
      <c r="AY875" s="788"/>
      <c r="AZ875" s="862"/>
      <c r="BA875" s="863"/>
      <c r="BB875" s="774"/>
      <c r="BC875" s="774"/>
      <c r="BD875" s="774"/>
      <c r="BE875" s="774"/>
      <c r="BF875" s="774"/>
      <c r="BG875" s="774"/>
      <c r="BH875" s="774"/>
      <c r="BI875" s="774"/>
      <c r="BJ875" s="774"/>
      <c r="BK875" s="774"/>
      <c r="BL875" s="774"/>
      <c r="BM875" s="3"/>
      <c r="BN875" s="467">
        <f t="shared" ref="BN875:BZ875" si="539">SUM(BN877:BN879)</f>
        <v>0</v>
      </c>
      <c r="BO875" s="467">
        <f t="shared" si="539"/>
        <v>0</v>
      </c>
      <c r="BP875" s="467">
        <f t="shared" si="539"/>
        <v>150000000</v>
      </c>
      <c r="BQ875" s="467">
        <f t="shared" si="539"/>
        <v>0</v>
      </c>
      <c r="BR875" s="467">
        <f t="shared" si="539"/>
        <v>0</v>
      </c>
      <c r="BS875" s="467">
        <f t="shared" si="539"/>
        <v>150000000</v>
      </c>
      <c r="BT875" s="467">
        <f t="shared" si="539"/>
        <v>0</v>
      </c>
      <c r="BU875" s="467">
        <f t="shared" si="539"/>
        <v>0</v>
      </c>
      <c r="BV875" s="467">
        <f t="shared" si="539"/>
        <v>150000000</v>
      </c>
      <c r="BW875" s="467">
        <f t="shared" si="539"/>
        <v>0</v>
      </c>
      <c r="BX875" s="467">
        <f t="shared" si="539"/>
        <v>150000000</v>
      </c>
      <c r="BY875" s="467">
        <f t="shared" si="539"/>
        <v>0</v>
      </c>
      <c r="BZ875" s="467">
        <f t="shared" si="539"/>
        <v>600000000</v>
      </c>
      <c r="CA875" s="3"/>
      <c r="CB875" s="483"/>
      <c r="CC875" s="864"/>
      <c r="CD875" s="774"/>
      <c r="CE875" s="774"/>
      <c r="CF875" s="774"/>
      <c r="CG875" s="774"/>
      <c r="CH875" s="774"/>
      <c r="CI875" s="774"/>
      <c r="CJ875" s="774"/>
      <c r="CK875" s="774"/>
      <c r="CL875" s="774"/>
      <c r="CM875" s="774"/>
      <c r="CN875" s="865"/>
      <c r="CO875" s="3"/>
      <c r="CP875" s="467">
        <f>SUM(CP876:CP880)</f>
        <v>42480000</v>
      </c>
      <c r="CQ875" s="467">
        <f t="shared" ref="CQ875:CZ875" si="540">SUM(CQ876:CQ880)</f>
        <v>272093100</v>
      </c>
      <c r="CR875" s="467">
        <f t="shared" si="540"/>
        <v>272093100</v>
      </c>
      <c r="CS875" s="467">
        <f t="shared" si="540"/>
        <v>153149100</v>
      </c>
      <c r="CT875" s="467">
        <f t="shared" si="540"/>
        <v>407000000</v>
      </c>
      <c r="CU875" s="467">
        <f t="shared" si="540"/>
        <v>318894800</v>
      </c>
      <c r="CV875" s="467">
        <f t="shared" si="540"/>
        <v>30000000</v>
      </c>
      <c r="CW875" s="467">
        <f t="shared" si="540"/>
        <v>8496000</v>
      </c>
      <c r="CX875" s="467">
        <f t="shared" si="540"/>
        <v>0</v>
      </c>
      <c r="CY875" s="467">
        <f t="shared" si="540"/>
        <v>1957551590</v>
      </c>
      <c r="CZ875" s="467">
        <f t="shared" si="540"/>
        <v>1717000000</v>
      </c>
      <c r="DA875" s="467">
        <f>SUM(DA876:DA881)</f>
        <v>1855492390</v>
      </c>
      <c r="DB875" s="467">
        <f t="shared" ref="DB875:DP875" si="541">SUM(DB876:DB881)</f>
        <v>1687000000</v>
      </c>
      <c r="DC875" s="467">
        <f t="shared" si="541"/>
        <v>2186486920</v>
      </c>
      <c r="DD875" s="467">
        <f t="shared" si="541"/>
        <v>1446000000</v>
      </c>
      <c r="DE875" s="467">
        <f t="shared" si="541"/>
        <v>0</v>
      </c>
      <c r="DF875" s="467">
        <f>SUM(DF876:DF881)</f>
        <v>0</v>
      </c>
      <c r="DG875" s="467">
        <f t="shared" si="541"/>
        <v>1500000000</v>
      </c>
      <c r="DH875" s="467">
        <f t="shared" si="541"/>
        <v>0</v>
      </c>
      <c r="DI875" s="467">
        <f>SUM(DI876:DI881)</f>
        <v>0</v>
      </c>
      <c r="DJ875" s="467">
        <f t="shared" si="541"/>
        <v>1500000000</v>
      </c>
      <c r="DK875" s="467">
        <f t="shared" si="541"/>
        <v>0</v>
      </c>
      <c r="DL875" s="467">
        <f>SUM(DL876:DL881)</f>
        <v>1687000000</v>
      </c>
      <c r="DM875" s="467">
        <f>SUM(DM876:DM881)</f>
        <v>1687000000</v>
      </c>
      <c r="DN875" s="467">
        <f t="shared" si="541"/>
        <v>0</v>
      </c>
      <c r="DO875" s="467">
        <f>SUM(DO876:DO881)</f>
        <v>1687000000</v>
      </c>
      <c r="DP875" s="467">
        <f t="shared" si="541"/>
        <v>1687000000</v>
      </c>
      <c r="DQ875" s="467">
        <f>SUM(DQ876:DQ881)</f>
        <v>10168643900</v>
      </c>
      <c r="DR875" s="467">
        <f>SUM(DR876:DR881)</f>
        <v>13168643900</v>
      </c>
      <c r="DS875" s="444">
        <f>SUM(DS876:DS881)</f>
        <v>630000000</v>
      </c>
      <c r="DT875" s="444">
        <f t="shared" ref="DT875:EI875" si="542">SUM(DT876:DT881)</f>
        <v>960000000</v>
      </c>
      <c r="DU875" s="444">
        <f t="shared" si="542"/>
        <v>630000000</v>
      </c>
      <c r="DV875" s="444">
        <f t="shared" si="542"/>
        <v>667600000</v>
      </c>
      <c r="DW875" s="444">
        <f t="shared" si="542"/>
        <v>630000000</v>
      </c>
      <c r="DX875" s="444">
        <f t="shared" si="542"/>
        <v>1008000000</v>
      </c>
      <c r="DY875" s="444">
        <f t="shared" si="542"/>
        <v>667600000</v>
      </c>
      <c r="DZ875" s="444">
        <f t="shared" si="542"/>
        <v>678000000</v>
      </c>
      <c r="EA875" s="444">
        <f t="shared" si="542"/>
        <v>960000000</v>
      </c>
      <c r="EB875" s="444">
        <f t="shared" si="542"/>
        <v>630000000</v>
      </c>
      <c r="EC875" s="444">
        <f t="shared" si="542"/>
        <v>715600000</v>
      </c>
      <c r="ED875" s="444">
        <f t="shared" si="542"/>
        <v>930000000</v>
      </c>
      <c r="EE875" s="1125">
        <f>SUM(EE876:EE881)</f>
        <v>9106800000</v>
      </c>
      <c r="EF875" s="444">
        <f t="shared" si="542"/>
        <v>8423999999.999999</v>
      </c>
      <c r="EG875" s="444">
        <f t="shared" si="542"/>
        <v>9097920000</v>
      </c>
      <c r="EH875" s="444">
        <f t="shared" si="542"/>
        <v>9916732800</v>
      </c>
      <c r="EI875" s="444">
        <f t="shared" si="542"/>
        <v>10809238752</v>
      </c>
      <c r="EJ875" s="389"/>
      <c r="EK875" s="389"/>
    </row>
    <row r="876" spans="1:141" outlineLevel="2">
      <c r="A876" s="367" t="s">
        <v>242</v>
      </c>
      <c r="B876" s="378"/>
      <c r="C876" s="370" t="s">
        <v>946</v>
      </c>
      <c r="D876" s="370" t="s">
        <v>108</v>
      </c>
      <c r="E876" s="396" t="s">
        <v>974</v>
      </c>
      <c r="F876" s="380" t="s">
        <v>975</v>
      </c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7"/>
      <c r="T876" s="266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518"/>
      <c r="AH876" s="788"/>
      <c r="AI876" s="789"/>
      <c r="AJ876" s="790"/>
      <c r="AK876" s="518"/>
      <c r="AL876" s="518"/>
      <c r="AM876" s="518"/>
      <c r="AN876" s="518"/>
      <c r="AO876" s="518"/>
      <c r="AP876" s="518"/>
      <c r="AQ876" s="518"/>
      <c r="AR876" s="518"/>
      <c r="AS876" s="518"/>
      <c r="AT876" s="518"/>
      <c r="AU876" s="518"/>
      <c r="AV876" s="518"/>
      <c r="AW876" s="518"/>
      <c r="AX876" s="518"/>
      <c r="AY876" s="788"/>
      <c r="AZ876" s="789"/>
      <c r="BA876" s="790"/>
      <c r="BB876" s="518"/>
      <c r="BC876" s="518"/>
      <c r="BD876" s="518"/>
      <c r="BE876" s="518"/>
      <c r="BF876" s="518"/>
      <c r="BG876" s="518"/>
      <c r="BH876" s="518"/>
      <c r="BI876" s="518"/>
      <c r="BJ876" s="518"/>
      <c r="BK876" s="518"/>
      <c r="BL876" s="518"/>
      <c r="BM876" s="1"/>
      <c r="BN876" s="477"/>
      <c r="BO876" s="477"/>
      <c r="BP876" s="477"/>
      <c r="BQ876" s="477"/>
      <c r="BR876" s="477"/>
      <c r="BS876" s="477"/>
      <c r="BT876" s="477"/>
      <c r="BU876" s="477"/>
      <c r="BV876" s="477"/>
      <c r="BW876" s="477"/>
      <c r="BX876" s="477"/>
      <c r="BY876" s="477"/>
      <c r="BZ876" s="477"/>
      <c r="CB876" s="516"/>
      <c r="CC876" s="517"/>
      <c r="CD876" s="518"/>
      <c r="CE876" s="518"/>
      <c r="CF876" s="518"/>
      <c r="CG876" s="518"/>
      <c r="CH876" s="518"/>
      <c r="CI876" s="518"/>
      <c r="CJ876" s="518"/>
      <c r="CK876" s="518"/>
      <c r="CL876" s="518"/>
      <c r="CM876" s="518"/>
      <c r="CN876" s="791"/>
      <c r="CO876" s="1"/>
      <c r="CP876" s="652"/>
      <c r="CQ876" s="652"/>
      <c r="CR876" s="524"/>
      <c r="CS876" s="652"/>
      <c r="CT876" s="524"/>
      <c r="CU876" s="652"/>
      <c r="CV876" s="524"/>
      <c r="CW876" s="652"/>
      <c r="CX876" s="524"/>
      <c r="CY876" s="652">
        <v>40190000</v>
      </c>
      <c r="CZ876" s="524"/>
      <c r="DA876" s="652"/>
      <c r="DB876" s="524"/>
      <c r="DC876" s="652">
        <v>106128500</v>
      </c>
      <c r="DD876" s="524"/>
      <c r="DE876" s="477"/>
      <c r="DF876" s="524"/>
      <c r="DG876" s="757"/>
      <c r="DH876" s="477"/>
      <c r="DI876" s="524"/>
      <c r="DJ876" s="757"/>
      <c r="DK876" s="477"/>
      <c r="DL876" s="524"/>
      <c r="DM876" s="757"/>
      <c r="DN876" s="477"/>
      <c r="DO876" s="524"/>
      <c r="DP876" s="757"/>
      <c r="DQ876" s="493">
        <f t="shared" ref="DQ876:DQ881" si="543">SUM(CP876,CQ876,CS876,CU876,CW876,CY876,DA876,DC876,DF876,DI876,DL876,DO876)</f>
        <v>146318500</v>
      </c>
      <c r="DR876" s="479">
        <f t="shared" ref="DR876:DR881" si="544">SUM(CP876,CQ876,CS876,CU876,CW876,CY876,DA876,DC876,DG876,DJ876,DM876,DP876)</f>
        <v>146318500</v>
      </c>
      <c r="DS876" s="1011"/>
      <c r="DT876" s="1011"/>
      <c r="DU876" s="1011"/>
      <c r="DV876" s="1011"/>
      <c r="DW876" s="1011"/>
      <c r="DX876" s="1011"/>
      <c r="DY876" s="1011"/>
      <c r="DZ876" s="1011"/>
      <c r="EA876" s="1011"/>
      <c r="EB876" s="1011"/>
      <c r="EC876" s="1011"/>
      <c r="ED876" s="1011"/>
      <c r="EE876" s="1119">
        <f t="shared" ref="EE876:EE881" si="545">SUM(DS876,DT876,DU876,DV876,DW876,DX876,DY876,DZ876,EA876,EB876,EC876,ED876)</f>
        <v>0</v>
      </c>
      <c r="EF876" s="446"/>
      <c r="EG876" s="446"/>
      <c r="EH876" s="446"/>
      <c r="EI876" s="446"/>
    </row>
    <row r="877" spans="1:141" outlineLevel="2">
      <c r="A877" s="367" t="s">
        <v>242</v>
      </c>
      <c r="B877" s="378"/>
      <c r="C877" s="370" t="s">
        <v>946</v>
      </c>
      <c r="D877" s="370" t="s">
        <v>108</v>
      </c>
      <c r="E877" s="383" t="s">
        <v>956</v>
      </c>
      <c r="F877" s="380">
        <v>3000020686</v>
      </c>
      <c r="G877" s="189"/>
      <c r="H877" s="13"/>
      <c r="I877" s="185"/>
      <c r="J877" s="185"/>
      <c r="K877" s="185"/>
      <c r="L877" s="185"/>
      <c r="M877" s="185"/>
      <c r="N877" s="185"/>
      <c r="O877" s="7"/>
      <c r="P877" s="7"/>
      <c r="Q877" s="7"/>
      <c r="R877" s="7"/>
      <c r="S877" s="14">
        <f>SUM(G877,H877,I877,J877,K877,L877,M877,N877,O877,P877,Q877,R877)</f>
        <v>0</v>
      </c>
      <c r="T877" s="179"/>
      <c r="U877" s="189"/>
      <c r="V877" s="13"/>
      <c r="W877" s="185"/>
      <c r="X877" s="185"/>
      <c r="Y877" s="185"/>
      <c r="Z877" s="185"/>
      <c r="AA877" s="185"/>
      <c r="AB877" s="185"/>
      <c r="AC877" s="7"/>
      <c r="AD877" s="7"/>
      <c r="AE877" s="7"/>
      <c r="AF877" s="7"/>
      <c r="AG877" s="759">
        <f>SUM(U877,V877,W877,X877,Y877,Z877,AA877,AB877,AC877,AD877,AE877,AF877)</f>
        <v>0</v>
      </c>
      <c r="AH877" s="788"/>
      <c r="AI877" s="189"/>
      <c r="AJ877" s="810"/>
      <c r="AK877" s="758"/>
      <c r="AL877" s="758"/>
      <c r="AM877" s="758"/>
      <c r="AN877" s="758"/>
      <c r="AO877" s="758"/>
      <c r="AP877" s="758"/>
      <c r="AQ877" s="518">
        <v>0</v>
      </c>
      <c r="AR877" s="518"/>
      <c r="AS877" s="518"/>
      <c r="AT877" s="518"/>
      <c r="AU877" s="794"/>
      <c r="AV877" s="794"/>
      <c r="AW877" s="794"/>
      <c r="AX877" s="518">
        <f>SUM(AI877,AJ877,AK877,AL877,AM877,AN877,AO877,AP877,AQ877,AR877,AS877,AT877)</f>
        <v>0</v>
      </c>
      <c r="AY877" s="788"/>
      <c r="AZ877" s="189"/>
      <c r="BA877" s="810"/>
      <c r="BB877" s="758"/>
      <c r="BC877" s="758"/>
      <c r="BD877" s="758"/>
      <c r="BE877" s="758"/>
      <c r="BF877" s="758"/>
      <c r="BG877" s="518">
        <f>AP877</f>
        <v>0</v>
      </c>
      <c r="BH877" s="758">
        <v>0</v>
      </c>
      <c r="BI877" s="758">
        <v>900000000</v>
      </c>
      <c r="BJ877" s="758">
        <v>900000000</v>
      </c>
      <c r="BK877" s="758">
        <v>900000000</v>
      </c>
      <c r="BL877" s="759">
        <f>SUM(AZ877,BA877,BB877,BC877,BD877,BE877,BF877,BG877,BH877,BI877,BJ877,BK877)</f>
        <v>2700000000</v>
      </c>
      <c r="BN877" s="758">
        <v>0</v>
      </c>
      <c r="BO877" s="758">
        <v>0</v>
      </c>
      <c r="BP877" s="758">
        <v>150000000</v>
      </c>
      <c r="BQ877" s="758">
        <v>0</v>
      </c>
      <c r="BR877" s="758">
        <v>0</v>
      </c>
      <c r="BS877" s="758">
        <v>150000000</v>
      </c>
      <c r="BT877" s="758">
        <v>0</v>
      </c>
      <c r="BU877" s="758">
        <v>0</v>
      </c>
      <c r="BV877" s="758">
        <v>150000000</v>
      </c>
      <c r="BW877" s="758">
        <v>0</v>
      </c>
      <c r="BX877" s="758">
        <v>150000000</v>
      </c>
      <c r="BY877" s="758">
        <v>0</v>
      </c>
      <c r="BZ877" s="791">
        <v>600000000</v>
      </c>
      <c r="CB877" s="758">
        <v>0</v>
      </c>
      <c r="CC877" s="758">
        <v>0</v>
      </c>
      <c r="CD877" s="758">
        <v>150000000</v>
      </c>
      <c r="CE877" s="758">
        <v>0</v>
      </c>
      <c r="CF877" s="758">
        <v>0</v>
      </c>
      <c r="CG877" s="758">
        <v>150000000</v>
      </c>
      <c r="CH877" s="758">
        <v>0</v>
      </c>
      <c r="CI877" s="758">
        <v>0</v>
      </c>
      <c r="CJ877" s="758">
        <v>150000000</v>
      </c>
      <c r="CK877" s="758">
        <v>0</v>
      </c>
      <c r="CL877" s="758">
        <v>150000000</v>
      </c>
      <c r="CM877" s="758">
        <v>0</v>
      </c>
      <c r="CN877" s="791">
        <v>600000000</v>
      </c>
      <c r="CP877" s="653"/>
      <c r="CQ877" s="653">
        <v>153149100</v>
      </c>
      <c r="CR877" s="524">
        <v>153149100</v>
      </c>
      <c r="CS877" s="653">
        <v>153149100</v>
      </c>
      <c r="CT877" s="524">
        <v>347000000</v>
      </c>
      <c r="CU877" s="653">
        <v>204198800</v>
      </c>
      <c r="CV877" s="524">
        <v>0</v>
      </c>
      <c r="CW877" s="653"/>
      <c r="CX877" s="524"/>
      <c r="CY877" s="653">
        <v>1803211590</v>
      </c>
      <c r="CZ877" s="524">
        <f>3500*482000</f>
        <v>1687000000</v>
      </c>
      <c r="DA877" s="653">
        <v>1803211590</v>
      </c>
      <c r="DB877" s="524">
        <f>3500*482000</f>
        <v>1687000000</v>
      </c>
      <c r="DC877" s="653">
        <v>1909712920</v>
      </c>
      <c r="DD877" s="524">
        <f>3000*482000</f>
        <v>1446000000</v>
      </c>
      <c r="DE877" s="524"/>
      <c r="DF877" s="524"/>
      <c r="DG877" s="757">
        <v>1500000000</v>
      </c>
      <c r="DH877" s="524"/>
      <c r="DI877" s="524"/>
      <c r="DJ877" s="757">
        <v>1500000000</v>
      </c>
      <c r="DK877" s="524"/>
      <c r="DL877" s="524">
        <f>3500*482000</f>
        <v>1687000000</v>
      </c>
      <c r="DM877" s="757">
        <f>3500*482000</f>
        <v>1687000000</v>
      </c>
      <c r="DN877" s="524"/>
      <c r="DO877" s="524">
        <f>3500*482000</f>
        <v>1687000000</v>
      </c>
      <c r="DP877" s="757">
        <f>3500*482000</f>
        <v>1687000000</v>
      </c>
      <c r="DQ877" s="493">
        <f t="shared" si="543"/>
        <v>9400633100</v>
      </c>
      <c r="DR877" s="479">
        <f t="shared" si="544"/>
        <v>12400633100</v>
      </c>
      <c r="DS877" s="1019">
        <v>600000000</v>
      </c>
      <c r="DT877" s="1019">
        <v>600000000</v>
      </c>
      <c r="DU877" s="1019">
        <v>600000000</v>
      </c>
      <c r="DV877" s="1019">
        <v>600000000</v>
      </c>
      <c r="DW877" s="1019">
        <v>600000000</v>
      </c>
      <c r="DX877" s="1019">
        <v>600000000</v>
      </c>
      <c r="DY877" s="1019">
        <v>600000000</v>
      </c>
      <c r="DZ877" s="1019">
        <v>600000000</v>
      </c>
      <c r="EA877" s="1019">
        <v>600000000</v>
      </c>
      <c r="EB877" s="1019">
        <v>600000000</v>
      </c>
      <c r="EC877" s="1019">
        <v>600000000</v>
      </c>
      <c r="ED877" s="1019">
        <v>600000000</v>
      </c>
      <c r="EE877" s="1119">
        <f>SUM(DS877,DT877,DU877,DV877,DW877,DX877,DY877,DZ877,EA877,EB877,EC877,ED877)</f>
        <v>7200000000</v>
      </c>
      <c r="EF877" s="443">
        <f>EE877*1.17</f>
        <v>8423999999.999999</v>
      </c>
      <c r="EG877" s="443">
        <f>EF877*1.08</f>
        <v>9097920000</v>
      </c>
      <c r="EH877" s="443">
        <f>EG877*1.09</f>
        <v>9916732800</v>
      </c>
      <c r="EI877" s="443">
        <f>EH877*1.09</f>
        <v>10809238752</v>
      </c>
      <c r="EJ877" s="367" t="e">
        <v>#N/A</v>
      </c>
    </row>
    <row r="878" spans="1:141" outlineLevel="2">
      <c r="A878" s="367" t="s">
        <v>242</v>
      </c>
      <c r="B878" s="378"/>
      <c r="C878" s="370" t="s">
        <v>946</v>
      </c>
      <c r="D878" s="370" t="s">
        <v>108</v>
      </c>
      <c r="E878" s="396" t="s">
        <v>976</v>
      </c>
      <c r="F878" s="380" t="s">
        <v>977</v>
      </c>
      <c r="G878" s="189"/>
      <c r="H878" s="13"/>
      <c r="I878" s="185"/>
      <c r="J878" s="185"/>
      <c r="K878" s="185"/>
      <c r="L878" s="185"/>
      <c r="M878" s="185"/>
      <c r="N878" s="185"/>
      <c r="O878" s="7"/>
      <c r="P878" s="7"/>
      <c r="Q878" s="7"/>
      <c r="R878" s="7"/>
      <c r="S878" s="14"/>
      <c r="T878" s="179"/>
      <c r="U878" s="189"/>
      <c r="V878" s="13"/>
      <c r="W878" s="185"/>
      <c r="X878" s="185"/>
      <c r="Y878" s="185"/>
      <c r="Z878" s="185"/>
      <c r="AA878" s="185"/>
      <c r="AB878" s="185"/>
      <c r="AC878" s="7"/>
      <c r="AD878" s="7"/>
      <c r="AE878" s="7"/>
      <c r="AF878" s="7"/>
      <c r="AG878" s="759"/>
      <c r="AH878" s="788"/>
      <c r="AI878" s="189"/>
      <c r="AJ878" s="810"/>
      <c r="AK878" s="758"/>
      <c r="AL878" s="758"/>
      <c r="AM878" s="758"/>
      <c r="AN878" s="758"/>
      <c r="AO878" s="758"/>
      <c r="AP878" s="758"/>
      <c r="AQ878" s="518"/>
      <c r="AR878" s="518"/>
      <c r="AS878" s="518"/>
      <c r="AT878" s="518"/>
      <c r="AU878" s="794"/>
      <c r="AV878" s="794"/>
      <c r="AW878" s="794"/>
      <c r="AX878" s="518"/>
      <c r="AY878" s="788"/>
      <c r="AZ878" s="189"/>
      <c r="BA878" s="810"/>
      <c r="BB878" s="758"/>
      <c r="BC878" s="758"/>
      <c r="BD878" s="758"/>
      <c r="BE878" s="758"/>
      <c r="BF878" s="758"/>
      <c r="BG878" s="518"/>
      <c r="BH878" s="758"/>
      <c r="BI878" s="758"/>
      <c r="BJ878" s="758"/>
      <c r="BK878" s="758"/>
      <c r="BL878" s="759"/>
      <c r="BN878" s="758"/>
      <c r="BO878" s="758"/>
      <c r="BP878" s="758"/>
      <c r="BQ878" s="758"/>
      <c r="BR878" s="758"/>
      <c r="BS878" s="758"/>
      <c r="BT878" s="758"/>
      <c r="BU878" s="758"/>
      <c r="BV878" s="758"/>
      <c r="BW878" s="758"/>
      <c r="BX878" s="758"/>
      <c r="BY878" s="758"/>
      <c r="BZ878" s="791"/>
      <c r="CB878" s="758"/>
      <c r="CC878" s="758"/>
      <c r="CD878" s="758"/>
      <c r="CE878" s="758"/>
      <c r="CF878" s="758"/>
      <c r="CG878" s="758"/>
      <c r="CH878" s="758"/>
      <c r="CI878" s="758"/>
      <c r="CJ878" s="758"/>
      <c r="CK878" s="758"/>
      <c r="CL878" s="758"/>
      <c r="CM878" s="758"/>
      <c r="CN878" s="791"/>
      <c r="CP878" s="653"/>
      <c r="CQ878" s="653"/>
      <c r="CR878" s="524"/>
      <c r="CS878" s="653"/>
      <c r="CT878" s="524"/>
      <c r="CU878" s="653"/>
      <c r="CV878" s="524"/>
      <c r="CW878" s="653"/>
      <c r="CX878" s="524"/>
      <c r="CY878" s="653">
        <v>79575000</v>
      </c>
      <c r="CZ878" s="524"/>
      <c r="DA878" s="653"/>
      <c r="DB878" s="524"/>
      <c r="DC878" s="653">
        <v>41000000</v>
      </c>
      <c r="DD878" s="524"/>
      <c r="DE878" s="524"/>
      <c r="DF878" s="524"/>
      <c r="DG878" s="757"/>
      <c r="DH878" s="524"/>
      <c r="DI878" s="524"/>
      <c r="DJ878" s="757"/>
      <c r="DK878" s="524"/>
      <c r="DL878" s="524"/>
      <c r="DM878" s="757"/>
      <c r="DN878" s="524"/>
      <c r="DO878" s="524"/>
      <c r="DP878" s="757"/>
      <c r="DQ878" s="493">
        <f t="shared" si="543"/>
        <v>120575000</v>
      </c>
      <c r="DR878" s="479">
        <f t="shared" si="544"/>
        <v>120575000</v>
      </c>
      <c r="DS878" s="1019"/>
      <c r="DT878" s="1019"/>
      <c r="DU878" s="1019"/>
      <c r="DV878" s="1019"/>
      <c r="DW878" s="1019"/>
      <c r="DX878" s="1019">
        <v>48000000</v>
      </c>
      <c r="DY878" s="1019"/>
      <c r="DZ878" s="1019">
        <v>48000000</v>
      </c>
      <c r="EA878" s="1019"/>
      <c r="EB878" s="1019"/>
      <c r="EC878" s="1019">
        <v>48000000</v>
      </c>
      <c r="ED878" s="1019"/>
      <c r="EE878" s="1119">
        <f t="shared" si="545"/>
        <v>144000000</v>
      </c>
      <c r="EF878" s="443"/>
      <c r="EG878" s="443"/>
      <c r="EH878" s="443"/>
      <c r="EI878" s="443"/>
    </row>
    <row r="879" spans="1:141" outlineLevel="2">
      <c r="A879" s="367" t="s">
        <v>281</v>
      </c>
      <c r="B879" s="378"/>
      <c r="C879" s="370" t="s">
        <v>946</v>
      </c>
      <c r="D879" s="370" t="s">
        <v>108</v>
      </c>
      <c r="E879" s="383" t="s">
        <v>423</v>
      </c>
      <c r="F879" s="380">
        <v>3000004389</v>
      </c>
      <c r="G879" s="189"/>
      <c r="H879" s="13"/>
      <c r="I879" s="185"/>
      <c r="J879" s="185"/>
      <c r="K879" s="185"/>
      <c r="L879" s="185"/>
      <c r="M879" s="185"/>
      <c r="N879" s="185"/>
      <c r="O879" s="7"/>
      <c r="P879" s="7"/>
      <c r="Q879" s="7"/>
      <c r="R879" s="7"/>
      <c r="S879" s="14"/>
      <c r="T879" s="179"/>
      <c r="U879" s="189"/>
      <c r="V879" s="13"/>
      <c r="W879" s="185"/>
      <c r="X879" s="185"/>
      <c r="Y879" s="185"/>
      <c r="Z879" s="185"/>
      <c r="AA879" s="185"/>
      <c r="AB879" s="185"/>
      <c r="AC879" s="7"/>
      <c r="AD879" s="7"/>
      <c r="AE879" s="7"/>
      <c r="AF879" s="7"/>
      <c r="AG879" s="759"/>
      <c r="AH879" s="788"/>
      <c r="AI879" s="189"/>
      <c r="AJ879" s="810"/>
      <c r="AK879" s="758"/>
      <c r="AL879" s="758"/>
      <c r="AM879" s="758"/>
      <c r="AN879" s="758"/>
      <c r="AO879" s="758"/>
      <c r="AP879" s="758"/>
      <c r="AQ879" s="518"/>
      <c r="AR879" s="518"/>
      <c r="AS879" s="518"/>
      <c r="AT879" s="813"/>
      <c r="AU879" s="518"/>
      <c r="AV879" s="794"/>
      <c r="AW879" s="794"/>
      <c r="AX879" s="518"/>
      <c r="AY879" s="788"/>
      <c r="AZ879" s="189"/>
      <c r="BA879" s="810"/>
      <c r="BB879" s="758"/>
      <c r="BC879" s="758"/>
      <c r="BD879" s="758"/>
      <c r="BE879" s="758"/>
      <c r="BF879" s="758"/>
      <c r="BG879" s="518"/>
      <c r="BH879" s="758"/>
      <c r="BI879" s="758"/>
      <c r="BJ879" s="758"/>
      <c r="BK879" s="758"/>
      <c r="BL879" s="759"/>
      <c r="BN879" s="758"/>
      <c r="BO879" s="758"/>
      <c r="BP879" s="758"/>
      <c r="BQ879" s="758"/>
      <c r="BR879" s="758"/>
      <c r="BS879" s="758"/>
      <c r="BT879" s="758"/>
      <c r="BU879" s="758"/>
      <c r="BV879" s="758"/>
      <c r="BW879" s="758"/>
      <c r="BX879" s="758"/>
      <c r="BY879" s="758"/>
      <c r="BZ879" s="791">
        <v>0</v>
      </c>
      <c r="CB879" s="6"/>
      <c r="CC879" s="6"/>
      <c r="CD879" s="887"/>
      <c r="CE879" s="888"/>
      <c r="CF879" s="888"/>
      <c r="CG879" s="888"/>
      <c r="CH879" s="888"/>
      <c r="CI879" s="888"/>
      <c r="CJ879" s="888"/>
      <c r="CK879" s="888"/>
      <c r="CL879" s="888"/>
      <c r="CM879" s="888"/>
      <c r="CN879" s="791">
        <v>0</v>
      </c>
      <c r="CP879" s="656">
        <v>42480000</v>
      </c>
      <c r="CQ879" s="656">
        <v>118944000</v>
      </c>
      <c r="CR879" s="518">
        <v>118944000</v>
      </c>
      <c r="CS879" s="656"/>
      <c r="CT879" s="518">
        <v>60000000</v>
      </c>
      <c r="CU879" s="656">
        <v>114696000</v>
      </c>
      <c r="CV879" s="518">
        <v>30000000</v>
      </c>
      <c r="CW879" s="656">
        <v>8496000</v>
      </c>
      <c r="CX879" s="518">
        <v>0</v>
      </c>
      <c r="CY879" s="656"/>
      <c r="CZ879" s="518">
        <v>30000000</v>
      </c>
      <c r="DA879" s="656"/>
      <c r="DB879" s="518"/>
      <c r="DC879" s="656">
        <v>16992000</v>
      </c>
      <c r="DD879" s="518"/>
      <c r="DE879" s="520"/>
      <c r="DF879" s="518"/>
      <c r="DG879" s="776"/>
      <c r="DH879" s="520"/>
      <c r="DI879" s="518"/>
      <c r="DJ879" s="776"/>
      <c r="DK879" s="520"/>
      <c r="DL879" s="518"/>
      <c r="DM879" s="776"/>
      <c r="DN879" s="520"/>
      <c r="DO879" s="518"/>
      <c r="DP879" s="776"/>
      <c r="DQ879" s="493">
        <f t="shared" si="543"/>
        <v>301608000</v>
      </c>
      <c r="DR879" s="479">
        <f t="shared" si="544"/>
        <v>301608000</v>
      </c>
      <c r="DS879" s="1019">
        <v>30000000</v>
      </c>
      <c r="DT879" s="1019">
        <v>30000000</v>
      </c>
      <c r="DU879" s="1019">
        <v>30000000</v>
      </c>
      <c r="DV879" s="1019">
        <v>30000000</v>
      </c>
      <c r="DW879" s="1019">
        <v>30000000</v>
      </c>
      <c r="DX879" s="1019">
        <v>30000000</v>
      </c>
      <c r="DY879" s="1019">
        <v>30000000</v>
      </c>
      <c r="DZ879" s="1019">
        <v>30000000</v>
      </c>
      <c r="EA879" s="1019">
        <v>30000000</v>
      </c>
      <c r="EB879" s="1019">
        <v>30000000</v>
      </c>
      <c r="EC879" s="1019">
        <v>30000000</v>
      </c>
      <c r="ED879" s="1019"/>
      <c r="EE879" s="1119">
        <f t="shared" si="545"/>
        <v>330000000</v>
      </c>
      <c r="EF879" s="443"/>
      <c r="EG879" s="443"/>
      <c r="EH879" s="443"/>
      <c r="EI879" s="443"/>
    </row>
    <row r="880" spans="1:141" outlineLevel="2">
      <c r="A880" s="367" t="s">
        <v>242</v>
      </c>
      <c r="B880" s="378"/>
      <c r="C880" s="370" t="s">
        <v>946</v>
      </c>
      <c r="D880" s="370" t="s">
        <v>108</v>
      </c>
      <c r="E880" s="396" t="s">
        <v>978</v>
      </c>
      <c r="F880" s="380"/>
      <c r="G880" s="189"/>
      <c r="H880" s="267"/>
      <c r="I880" s="196"/>
      <c r="J880" s="196"/>
      <c r="K880" s="196"/>
      <c r="L880" s="196"/>
      <c r="M880" s="196"/>
      <c r="N880" s="196"/>
      <c r="O880" s="266"/>
      <c r="P880" s="266"/>
      <c r="Q880" s="266"/>
      <c r="R880" s="266"/>
      <c r="S880" s="14"/>
      <c r="T880" s="179"/>
      <c r="U880" s="189"/>
      <c r="V880" s="267"/>
      <c r="W880" s="196"/>
      <c r="X880" s="196"/>
      <c r="Y880" s="196"/>
      <c r="Z880" s="196"/>
      <c r="AA880" s="196"/>
      <c r="AB880" s="196"/>
      <c r="AC880" s="266"/>
      <c r="AD880" s="266"/>
      <c r="AE880" s="266"/>
      <c r="AF880" s="266"/>
      <c r="AG880" s="759"/>
      <c r="AH880" s="788"/>
      <c r="AI880" s="189"/>
      <c r="AJ880" s="824"/>
      <c r="AK880" s="758"/>
      <c r="AL880" s="758"/>
      <c r="AM880" s="758"/>
      <c r="AN880" s="758"/>
      <c r="AO880" s="758"/>
      <c r="AP880" s="758"/>
      <c r="AQ880" s="518"/>
      <c r="AR880" s="518"/>
      <c r="AS880" s="518"/>
      <c r="AT880" s="813"/>
      <c r="AU880" s="518"/>
      <c r="AV880" s="794"/>
      <c r="AW880" s="794"/>
      <c r="AX880" s="518"/>
      <c r="AY880" s="788"/>
      <c r="AZ880" s="189"/>
      <c r="BA880" s="824"/>
      <c r="BB880" s="758"/>
      <c r="BC880" s="758"/>
      <c r="BD880" s="758"/>
      <c r="BE880" s="758"/>
      <c r="BF880" s="758"/>
      <c r="BG880" s="518"/>
      <c r="BH880" s="758"/>
      <c r="BI880" s="758"/>
      <c r="BJ880" s="758"/>
      <c r="BK880" s="758"/>
      <c r="BL880" s="759"/>
      <c r="BN880" s="758"/>
      <c r="BO880" s="758"/>
      <c r="BP880" s="758"/>
      <c r="BQ880" s="758"/>
      <c r="BR880" s="758"/>
      <c r="BS880" s="758"/>
      <c r="BT880" s="758"/>
      <c r="BU880" s="758"/>
      <c r="BV880" s="758"/>
      <c r="BW880" s="758"/>
      <c r="BX880" s="758"/>
      <c r="BY880" s="758"/>
      <c r="BZ880" s="791"/>
      <c r="CB880" s="6"/>
      <c r="CC880" s="6"/>
      <c r="CD880" s="887"/>
      <c r="CE880" s="888"/>
      <c r="CF880" s="888"/>
      <c r="CG880" s="888"/>
      <c r="CH880" s="888"/>
      <c r="CI880" s="888"/>
      <c r="CJ880" s="888"/>
      <c r="CK880" s="888"/>
      <c r="CL880" s="888"/>
      <c r="CM880" s="888"/>
      <c r="CN880" s="791"/>
      <c r="CP880" s="656"/>
      <c r="CQ880" s="656"/>
      <c r="CR880" s="518"/>
      <c r="CS880" s="656"/>
      <c r="CT880" s="518"/>
      <c r="CU880" s="656"/>
      <c r="CV880" s="518"/>
      <c r="CW880" s="656"/>
      <c r="CX880" s="518"/>
      <c r="CY880" s="656">
        <v>34575000</v>
      </c>
      <c r="CZ880" s="518"/>
      <c r="DA880" s="656"/>
      <c r="DB880" s="518"/>
      <c r="DC880" s="656">
        <v>70900000</v>
      </c>
      <c r="DD880" s="518"/>
      <c r="DE880" s="520"/>
      <c r="DF880" s="518"/>
      <c r="DG880" s="776"/>
      <c r="DH880" s="520"/>
      <c r="DI880" s="518"/>
      <c r="DJ880" s="776"/>
      <c r="DK880" s="520"/>
      <c r="DL880" s="518"/>
      <c r="DM880" s="776"/>
      <c r="DN880" s="520"/>
      <c r="DO880" s="518"/>
      <c r="DP880" s="776"/>
      <c r="DQ880" s="493">
        <f t="shared" si="543"/>
        <v>105475000</v>
      </c>
      <c r="DR880" s="479">
        <f t="shared" si="544"/>
        <v>105475000</v>
      </c>
      <c r="DS880" s="1019"/>
      <c r="DT880" s="1019"/>
      <c r="DU880" s="1019"/>
      <c r="DV880" s="1019">
        <v>37600000</v>
      </c>
      <c r="DW880" s="1019"/>
      <c r="DX880" s="1019"/>
      <c r="DY880" s="1019">
        <v>37600000</v>
      </c>
      <c r="DZ880" s="1019"/>
      <c r="EA880" s="1019"/>
      <c r="EB880" s="1019"/>
      <c r="EC880" s="1019">
        <v>37600000</v>
      </c>
      <c r="ED880" s="1019"/>
      <c r="EE880" s="1119">
        <f t="shared" si="545"/>
        <v>112800000</v>
      </c>
      <c r="EF880" s="443"/>
      <c r="EG880" s="443"/>
      <c r="EH880" s="443"/>
      <c r="EI880" s="443"/>
    </row>
    <row r="881" spans="1:141" outlineLevel="2">
      <c r="A881" s="367" t="s">
        <v>242</v>
      </c>
      <c r="B881" s="378"/>
      <c r="C881" s="370" t="s">
        <v>946</v>
      </c>
      <c r="D881" s="370" t="s">
        <v>108</v>
      </c>
      <c r="E881" s="396" t="s">
        <v>979</v>
      </c>
      <c r="F881" s="380" t="s">
        <v>980</v>
      </c>
      <c r="G881" s="189"/>
      <c r="H881" s="267"/>
      <c r="I881" s="196"/>
      <c r="J881" s="196"/>
      <c r="K881" s="196"/>
      <c r="L881" s="196"/>
      <c r="M881" s="196"/>
      <c r="N881" s="196"/>
      <c r="O881" s="266"/>
      <c r="P881" s="266"/>
      <c r="Q881" s="266"/>
      <c r="R881" s="266"/>
      <c r="S881" s="14"/>
      <c r="T881" s="179"/>
      <c r="U881" s="189"/>
      <c r="V881" s="267"/>
      <c r="W881" s="196"/>
      <c r="X881" s="196"/>
      <c r="Y881" s="196"/>
      <c r="Z881" s="196"/>
      <c r="AA881" s="196"/>
      <c r="AB881" s="196"/>
      <c r="AC881" s="266"/>
      <c r="AD881" s="266"/>
      <c r="AE881" s="266"/>
      <c r="AF881" s="266"/>
      <c r="AG881" s="759"/>
      <c r="AH881" s="788"/>
      <c r="AI881" s="189"/>
      <c r="AJ881" s="824"/>
      <c r="AK881" s="758"/>
      <c r="AL881" s="758"/>
      <c r="AM881" s="758"/>
      <c r="AN881" s="758"/>
      <c r="AO881" s="758"/>
      <c r="AP881" s="758"/>
      <c r="AQ881" s="518"/>
      <c r="AR881" s="518"/>
      <c r="AS881" s="518"/>
      <c r="AT881" s="813"/>
      <c r="AU881" s="518"/>
      <c r="AV881" s="794"/>
      <c r="AW881" s="794"/>
      <c r="AX881" s="518"/>
      <c r="AY881" s="788"/>
      <c r="AZ881" s="189"/>
      <c r="BA881" s="824"/>
      <c r="BB881" s="758"/>
      <c r="BC881" s="758"/>
      <c r="BD881" s="758"/>
      <c r="BE881" s="758"/>
      <c r="BF881" s="758"/>
      <c r="BG881" s="518"/>
      <c r="BH881" s="758"/>
      <c r="BI881" s="758"/>
      <c r="BJ881" s="758"/>
      <c r="BK881" s="758"/>
      <c r="BL881" s="759"/>
      <c r="BN881" s="758"/>
      <c r="BO881" s="758"/>
      <c r="BP881" s="758"/>
      <c r="BQ881" s="758"/>
      <c r="BR881" s="758"/>
      <c r="BS881" s="758"/>
      <c r="BT881" s="758"/>
      <c r="BU881" s="758"/>
      <c r="BV881" s="758"/>
      <c r="BW881" s="758"/>
      <c r="BX881" s="758"/>
      <c r="BY881" s="758"/>
      <c r="BZ881" s="791"/>
      <c r="CB881" s="6"/>
      <c r="CC881" s="6"/>
      <c r="CD881" s="887"/>
      <c r="CE881" s="888"/>
      <c r="CF881" s="888"/>
      <c r="CG881" s="888"/>
      <c r="CH881" s="888"/>
      <c r="CI881" s="888"/>
      <c r="CJ881" s="888"/>
      <c r="CK881" s="888"/>
      <c r="CL881" s="888"/>
      <c r="CM881" s="888"/>
      <c r="CN881" s="791"/>
      <c r="CP881" s="656"/>
      <c r="CQ881" s="656"/>
      <c r="CR881" s="518"/>
      <c r="CS881" s="656"/>
      <c r="CT881" s="518"/>
      <c r="CU881" s="656"/>
      <c r="CV881" s="518"/>
      <c r="CW881" s="656"/>
      <c r="CX881" s="518"/>
      <c r="CY881" s="656"/>
      <c r="CZ881" s="518"/>
      <c r="DA881" s="656">
        <v>52280800</v>
      </c>
      <c r="DB881" s="518"/>
      <c r="DC881" s="656">
        <v>41753500</v>
      </c>
      <c r="DD881" s="518"/>
      <c r="DE881" s="520"/>
      <c r="DF881" s="518"/>
      <c r="DG881" s="776"/>
      <c r="DH881" s="520"/>
      <c r="DI881" s="518"/>
      <c r="DJ881" s="776"/>
      <c r="DK881" s="520"/>
      <c r="DL881" s="518"/>
      <c r="DM881" s="776"/>
      <c r="DN881" s="520"/>
      <c r="DO881" s="518"/>
      <c r="DP881" s="776"/>
      <c r="DQ881" s="493">
        <f t="shared" si="543"/>
        <v>94034300</v>
      </c>
      <c r="DR881" s="479">
        <f t="shared" si="544"/>
        <v>94034300</v>
      </c>
      <c r="DS881" s="1019"/>
      <c r="DT881" s="1019">
        <v>330000000</v>
      </c>
      <c r="DU881" s="1019"/>
      <c r="DV881" s="1019"/>
      <c r="DW881" s="1019"/>
      <c r="DX881" s="1019">
        <v>330000000</v>
      </c>
      <c r="DY881" s="1019"/>
      <c r="DZ881" s="1019"/>
      <c r="EA881" s="1019">
        <v>330000000</v>
      </c>
      <c r="EB881" s="1019"/>
      <c r="EC881" s="1019"/>
      <c r="ED881" s="1019">
        <v>330000000</v>
      </c>
      <c r="EE881" s="1119">
        <f t="shared" si="545"/>
        <v>1320000000</v>
      </c>
      <c r="EF881" s="443"/>
      <c r="EG881" s="443"/>
      <c r="EH881" s="443"/>
      <c r="EI881" s="443"/>
    </row>
    <row r="882" spans="1:141" s="241" customFormat="1" ht="18.5" outlineLevel="2">
      <c r="A882" s="413"/>
      <c r="B882" s="414"/>
      <c r="C882" s="415"/>
      <c r="D882" s="415"/>
      <c r="E882" s="416" t="s">
        <v>531</v>
      </c>
      <c r="F882" s="417"/>
      <c r="G882" s="242"/>
      <c r="H882" s="242"/>
      <c r="I882" s="242"/>
      <c r="J882" s="242"/>
      <c r="K882" s="242"/>
      <c r="L882" s="242"/>
      <c r="M882" s="242"/>
      <c r="N882" s="242"/>
      <c r="O882" s="242"/>
      <c r="P882" s="242"/>
      <c r="Q882" s="242"/>
      <c r="R882" s="242"/>
      <c r="S882" s="243"/>
      <c r="T882" s="244"/>
      <c r="U882" s="242"/>
      <c r="V882" s="242"/>
      <c r="W882" s="242"/>
      <c r="X882" s="242"/>
      <c r="Y882" s="242"/>
      <c r="Z882" s="242"/>
      <c r="AA882" s="242"/>
      <c r="AB882" s="242"/>
      <c r="AC882" s="242"/>
      <c r="AD882" s="242"/>
      <c r="AE882" s="242"/>
      <c r="AF882" s="242"/>
      <c r="AG882" s="844"/>
      <c r="AH882" s="788"/>
      <c r="AI882" s="845"/>
      <c r="AJ882" s="846"/>
      <c r="AK882" s="844"/>
      <c r="AL882" s="844"/>
      <c r="AM882" s="844"/>
      <c r="AN882" s="844"/>
      <c r="AO882" s="844"/>
      <c r="AP882" s="844"/>
      <c r="AQ882" s="844"/>
      <c r="AR882" s="844"/>
      <c r="AS882" s="844"/>
      <c r="AT882" s="844"/>
      <c r="AU882" s="844"/>
      <c r="AV882" s="844"/>
      <c r="AW882" s="844"/>
      <c r="AX882" s="844"/>
      <c r="AY882" s="788"/>
      <c r="AZ882" s="845"/>
      <c r="BA882" s="846"/>
      <c r="BB882" s="844"/>
      <c r="BC882" s="844"/>
      <c r="BD882" s="844"/>
      <c r="BE882" s="844"/>
      <c r="BF882" s="844"/>
      <c r="BG882" s="844"/>
      <c r="BH882" s="844"/>
      <c r="BI882" s="844"/>
      <c r="BJ882" s="844"/>
      <c r="BK882" s="844"/>
      <c r="BL882" s="844"/>
      <c r="BM882" s="3"/>
      <c r="BN882" s="468">
        <f t="shared" ref="BN882:BY882" si="546">SUM(BN883:BN890)</f>
        <v>30000000</v>
      </c>
      <c r="BO882" s="468">
        <f t="shared" si="546"/>
        <v>1030000000</v>
      </c>
      <c r="BP882" s="468">
        <f t="shared" si="546"/>
        <v>1230000000</v>
      </c>
      <c r="BQ882" s="468">
        <f t="shared" si="546"/>
        <v>1230000000</v>
      </c>
      <c r="BR882" s="468">
        <f t="shared" si="546"/>
        <v>1030000000</v>
      </c>
      <c r="BS882" s="468">
        <f t="shared" si="546"/>
        <v>30000000</v>
      </c>
      <c r="BT882" s="468">
        <f t="shared" si="546"/>
        <v>230000000</v>
      </c>
      <c r="BU882" s="468">
        <f t="shared" si="546"/>
        <v>730000000</v>
      </c>
      <c r="BV882" s="468">
        <f t="shared" si="546"/>
        <v>730000000</v>
      </c>
      <c r="BW882" s="468">
        <f t="shared" si="546"/>
        <v>1030000000</v>
      </c>
      <c r="BX882" s="468">
        <f t="shared" si="546"/>
        <v>830000000</v>
      </c>
      <c r="BY882" s="468">
        <f t="shared" si="546"/>
        <v>30000000</v>
      </c>
      <c r="BZ882" s="468">
        <f>SUM(BZ883:BZ890)</f>
        <v>8160000000</v>
      </c>
      <c r="CA882" s="3"/>
      <c r="CB882" s="866"/>
      <c r="CC882" s="867"/>
      <c r="CD882" s="844"/>
      <c r="CE882" s="844"/>
      <c r="CF882" s="844"/>
      <c r="CG882" s="844"/>
      <c r="CH882" s="844"/>
      <c r="CI882" s="844"/>
      <c r="CJ882" s="844"/>
      <c r="CK882" s="844"/>
      <c r="CL882" s="844"/>
      <c r="CM882" s="844"/>
      <c r="CN882" s="868"/>
      <c r="CO882" s="3"/>
      <c r="CP882" s="468">
        <f>SUM(CP883:CP890)</f>
        <v>0</v>
      </c>
      <c r="CQ882" s="468">
        <f t="shared" ref="CQ882:EI882" si="547">SUM(CQ883:CQ890)</f>
        <v>0</v>
      </c>
      <c r="CR882" s="468">
        <f t="shared" si="547"/>
        <v>0</v>
      </c>
      <c r="CS882" s="468">
        <f t="shared" si="547"/>
        <v>0</v>
      </c>
      <c r="CT882" s="468">
        <f t="shared" si="547"/>
        <v>0</v>
      </c>
      <c r="CU882" s="468">
        <f t="shared" si="547"/>
        <v>0</v>
      </c>
      <c r="CV882" s="468">
        <f t="shared" si="547"/>
        <v>0</v>
      </c>
      <c r="CW882" s="468">
        <f t="shared" si="547"/>
        <v>0</v>
      </c>
      <c r="CX882" s="468">
        <f t="shared" si="547"/>
        <v>50000000</v>
      </c>
      <c r="CY882" s="468">
        <f t="shared" si="547"/>
        <v>0</v>
      </c>
      <c r="CZ882" s="468">
        <f t="shared" si="547"/>
        <v>150000000</v>
      </c>
      <c r="DA882" s="468">
        <f t="shared" si="547"/>
        <v>447189600</v>
      </c>
      <c r="DB882" s="468">
        <f t="shared" si="547"/>
        <v>400000000</v>
      </c>
      <c r="DC882" s="468">
        <f t="shared" si="547"/>
        <v>305212300</v>
      </c>
      <c r="DD882" s="468">
        <f t="shared" si="547"/>
        <v>0</v>
      </c>
      <c r="DE882" s="468">
        <f t="shared" si="547"/>
        <v>0</v>
      </c>
      <c r="DF882" s="468">
        <f>SUM(DF883:DF890)</f>
        <v>0</v>
      </c>
      <c r="DG882" s="468">
        <f t="shared" si="547"/>
        <v>0</v>
      </c>
      <c r="DH882" s="468">
        <f t="shared" si="547"/>
        <v>0</v>
      </c>
      <c r="DI882" s="468">
        <f>SUM(DI883:DI890)</f>
        <v>0</v>
      </c>
      <c r="DJ882" s="468">
        <f t="shared" si="547"/>
        <v>0</v>
      </c>
      <c r="DK882" s="468">
        <f t="shared" si="547"/>
        <v>0</v>
      </c>
      <c r="DL882" s="468">
        <f>SUM(DL883:DL890)</f>
        <v>100000000</v>
      </c>
      <c r="DM882" s="468">
        <f>SUM(DM883:DM890)</f>
        <v>100000000</v>
      </c>
      <c r="DN882" s="468">
        <f t="shared" si="547"/>
        <v>0</v>
      </c>
      <c r="DO882" s="468">
        <f>SUM(DO883:DO890)</f>
        <v>100000000</v>
      </c>
      <c r="DP882" s="468">
        <f t="shared" si="547"/>
        <v>100000000</v>
      </c>
      <c r="DQ882" s="468">
        <f>SUM(DQ883:DQ890)</f>
        <v>952401900</v>
      </c>
      <c r="DR882" s="468">
        <f>SUM(DR883:DR890)</f>
        <v>952401900</v>
      </c>
      <c r="DS882" s="445">
        <f>SUM(DS883:DS890)</f>
        <v>0</v>
      </c>
      <c r="DT882" s="445">
        <f t="shared" si="547"/>
        <v>0</v>
      </c>
      <c r="DU882" s="445">
        <f t="shared" si="547"/>
        <v>0</v>
      </c>
      <c r="DV882" s="445">
        <f t="shared" si="547"/>
        <v>250000000</v>
      </c>
      <c r="DW882" s="445">
        <f t="shared" si="547"/>
        <v>0</v>
      </c>
      <c r="DX882" s="445">
        <f t="shared" si="547"/>
        <v>0</v>
      </c>
      <c r="DY882" s="445">
        <f t="shared" si="547"/>
        <v>0</v>
      </c>
      <c r="DZ882" s="445">
        <f t="shared" si="547"/>
        <v>0</v>
      </c>
      <c r="EA882" s="445">
        <f t="shared" si="547"/>
        <v>0</v>
      </c>
      <c r="EB882" s="445">
        <f t="shared" si="547"/>
        <v>250000000</v>
      </c>
      <c r="EC882" s="445">
        <f t="shared" si="547"/>
        <v>0</v>
      </c>
      <c r="ED882" s="445">
        <f t="shared" si="547"/>
        <v>0</v>
      </c>
      <c r="EE882" s="1120">
        <f>SUM(EE883:EE890)</f>
        <v>500000000</v>
      </c>
      <c r="EF882" s="445">
        <f t="shared" si="547"/>
        <v>7100000000</v>
      </c>
      <c r="EG882" s="445">
        <f t="shared" si="547"/>
        <v>16668000000</v>
      </c>
      <c r="EH882" s="445">
        <f t="shared" si="547"/>
        <v>18168120000</v>
      </c>
      <c r="EI882" s="445">
        <f t="shared" si="547"/>
        <v>19803250800.000004</v>
      </c>
      <c r="EJ882" s="413"/>
      <c r="EK882" s="413"/>
    </row>
    <row r="883" spans="1:141" outlineLevel="2">
      <c r="A883" s="367" t="s">
        <v>242</v>
      </c>
      <c r="B883" s="378"/>
      <c r="C883" s="370" t="s">
        <v>946</v>
      </c>
      <c r="D883" s="370" t="s">
        <v>108</v>
      </c>
      <c r="E883" s="383" t="s">
        <v>981</v>
      </c>
      <c r="F883" s="380"/>
      <c r="G883" s="189"/>
      <c r="H883" s="13"/>
      <c r="I883" s="185"/>
      <c r="J883" s="185"/>
      <c r="K883" s="185"/>
      <c r="L883" s="185"/>
      <c r="M883" s="185"/>
      <c r="N883" s="185"/>
      <c r="O883" s="7"/>
      <c r="P883" s="7"/>
      <c r="Q883" s="7"/>
      <c r="R883" s="7"/>
      <c r="S883" s="14"/>
      <c r="T883" s="179"/>
      <c r="U883" s="189"/>
      <c r="V883" s="13"/>
      <c r="W883" s="185"/>
      <c r="X883" s="185"/>
      <c r="Y883" s="185"/>
      <c r="Z883" s="185"/>
      <c r="AA883" s="185"/>
      <c r="AB883" s="185"/>
      <c r="AC883" s="7"/>
      <c r="AD883" s="7"/>
      <c r="AE883" s="7"/>
      <c r="AF883" s="7"/>
      <c r="AG883" s="759"/>
      <c r="AH883" s="788"/>
      <c r="AI883" s="189"/>
      <c r="AJ883" s="810"/>
      <c r="AK883" s="758"/>
      <c r="AL883" s="758"/>
      <c r="AM883" s="758"/>
      <c r="AN883" s="758"/>
      <c r="AO883" s="758"/>
      <c r="AP883" s="758"/>
      <c r="AQ883" s="518"/>
      <c r="AR883" s="518"/>
      <c r="AS883" s="518"/>
      <c r="AT883" s="518"/>
      <c r="AU883" s="518"/>
      <c r="AV883" s="794"/>
      <c r="AW883" s="794"/>
      <c r="AX883" s="518">
        <f t="shared" ref="AX883:AX889" si="548">SUM(AI883,AJ883,AK883,AL883,AM883,AN883,AO883,AP883,AQ883,AR883,AS883,AT883)</f>
        <v>0</v>
      </c>
      <c r="AY883" s="788"/>
      <c r="AZ883" s="189"/>
      <c r="BA883" s="810"/>
      <c r="BB883" s="758"/>
      <c r="BC883" s="758"/>
      <c r="BD883" s="758"/>
      <c r="BE883" s="758"/>
      <c r="BF883" s="758"/>
      <c r="BG883" s="518"/>
      <c r="BH883" s="758"/>
      <c r="BI883" s="758"/>
      <c r="BJ883" s="758"/>
      <c r="BK883" s="758"/>
      <c r="BL883" s="759"/>
      <c r="BN883" s="758"/>
      <c r="BO883" s="758"/>
      <c r="BP883" s="758"/>
      <c r="BQ883" s="758"/>
      <c r="BR883" s="758"/>
      <c r="BS883" s="758"/>
      <c r="BT883" s="758"/>
      <c r="BU883" s="758"/>
      <c r="BV883" s="758"/>
      <c r="BW883" s="758"/>
      <c r="BX883" s="758"/>
      <c r="BY883" s="758"/>
      <c r="BZ883" s="791">
        <v>0</v>
      </c>
      <c r="CB883" s="758"/>
      <c r="CC883" s="758"/>
      <c r="CD883" s="758"/>
      <c r="CE883" s="758"/>
      <c r="CF883" s="758"/>
      <c r="CG883" s="758"/>
      <c r="CH883" s="884">
        <v>600000000</v>
      </c>
      <c r="CI883" s="758"/>
      <c r="CJ883" s="884">
        <v>600000000</v>
      </c>
      <c r="CK883" s="758"/>
      <c r="CL883" s="758"/>
      <c r="CM883" s="758"/>
      <c r="CN883" s="791">
        <v>1200000000</v>
      </c>
      <c r="CP883" s="653"/>
      <c r="CQ883" s="653"/>
      <c r="CR883" s="524"/>
      <c r="CS883" s="653"/>
      <c r="CT883" s="524"/>
      <c r="CU883" s="653"/>
      <c r="CV883" s="524"/>
      <c r="CW883" s="653"/>
      <c r="CX883" s="524"/>
      <c r="CY883" s="653"/>
      <c r="CZ883" s="524"/>
      <c r="DA883" s="653"/>
      <c r="DB883" s="524"/>
      <c r="DC883" s="653"/>
      <c r="DD883" s="524"/>
      <c r="DE883" s="524"/>
      <c r="DF883" s="524"/>
      <c r="DG883" s="757"/>
      <c r="DH883" s="524"/>
      <c r="DI883" s="524"/>
      <c r="DJ883" s="757"/>
      <c r="DK883" s="524"/>
      <c r="DL883" s="524"/>
      <c r="DM883" s="757"/>
      <c r="DN883" s="524"/>
      <c r="DO883" s="524"/>
      <c r="DP883" s="757"/>
      <c r="DQ883" s="493">
        <f t="shared" ref="DQ883:DQ889" si="549">SUM(CP883,CQ883,CS883,CU883,CW883,CY883,DA883,DC883,DF883,DI883,DL883,DO883)</f>
        <v>0</v>
      </c>
      <c r="DR883" s="479">
        <f t="shared" ref="DR883:DR888" si="550">SUM(CP883,CQ883,CS883,CU883,CW883,CY883,DA883,DC883,DG883,DJ883,DM883,DP883)</f>
        <v>0</v>
      </c>
      <c r="DS883" s="1019"/>
      <c r="DT883" s="1019"/>
      <c r="DU883" s="1019"/>
      <c r="DV883" s="1019">
        <v>250000000</v>
      </c>
      <c r="DW883" s="1019"/>
      <c r="DX883" s="1019"/>
      <c r="DY883" s="1019"/>
      <c r="DZ883" s="1019"/>
      <c r="EA883" s="1019"/>
      <c r="EB883" s="1019">
        <v>250000000</v>
      </c>
      <c r="EC883" s="1019"/>
      <c r="ED883" s="1019"/>
      <c r="EE883" s="1119">
        <f t="shared" ref="EE883:EE890" si="551">SUM(DS883,DT883,DU883,DV883,DW883,DX883,DY883,DZ883,EA883,EB883,EC883,ED883)</f>
        <v>500000000</v>
      </c>
      <c r="EF883" s="443"/>
      <c r="EG883" s="443"/>
      <c r="EH883" s="443"/>
      <c r="EI883" s="443"/>
    </row>
    <row r="884" spans="1:141" outlineLevel="2">
      <c r="B884" s="378"/>
      <c r="E884" s="383"/>
      <c r="F884" s="380"/>
      <c r="G884" s="189"/>
      <c r="H884" s="13"/>
      <c r="I884" s="185"/>
      <c r="J884" s="185"/>
      <c r="K884" s="185"/>
      <c r="L884" s="185"/>
      <c r="M884" s="185"/>
      <c r="N884" s="185"/>
      <c r="O884" s="7"/>
      <c r="P884" s="7"/>
      <c r="Q884" s="7"/>
      <c r="R884" s="7"/>
      <c r="S884" s="14">
        <f>SUM(G884,H884,I884,J884,K884,L884,M884,N884,O884,P884,Q884,R884)</f>
        <v>0</v>
      </c>
      <c r="T884" s="179"/>
      <c r="U884" s="189"/>
      <c r="V884" s="13"/>
      <c r="W884" s="185"/>
      <c r="X884" s="185"/>
      <c r="Y884" s="185"/>
      <c r="Z884" s="185"/>
      <c r="AA884" s="185"/>
      <c r="AB884" s="185"/>
      <c r="AC884" s="7"/>
      <c r="AD884" s="7"/>
      <c r="AE884" s="7"/>
      <c r="AF884" s="7"/>
      <c r="AG884" s="759">
        <f>SUM(U884,V884,W884,X884,Y884,Z884,AA884,AB884,AC884,AD884,AE884,AF884)</f>
        <v>0</v>
      </c>
      <c r="AH884" s="788"/>
      <c r="AI884" s="189"/>
      <c r="AJ884" s="810"/>
      <c r="AK884" s="758"/>
      <c r="AL884" s="758"/>
      <c r="AM884" s="758"/>
      <c r="AN884" s="758"/>
      <c r="AO884" s="758"/>
      <c r="AP884" s="758"/>
      <c r="AQ884" s="518">
        <v>0</v>
      </c>
      <c r="AR884" s="518"/>
      <c r="AS884" s="518"/>
      <c r="AT884" s="518"/>
      <c r="AU884" s="794"/>
      <c r="AV884" s="518"/>
      <c r="AW884" s="794"/>
      <c r="AX884" s="518">
        <f t="shared" si="548"/>
        <v>0</v>
      </c>
      <c r="AY884" s="788"/>
      <c r="AZ884" s="189"/>
      <c r="BA884" s="810"/>
      <c r="BB884" s="758"/>
      <c r="BC884" s="758"/>
      <c r="BD884" s="758"/>
      <c r="BE884" s="758"/>
      <c r="BF884" s="758"/>
      <c r="BG884" s="518">
        <f>AP884</f>
        <v>0</v>
      </c>
      <c r="BH884" s="758">
        <v>1000000000</v>
      </c>
      <c r="BI884" s="758">
        <v>1800000000</v>
      </c>
      <c r="BJ884" s="758">
        <v>1800000000</v>
      </c>
      <c r="BK884" s="758">
        <v>1800000000</v>
      </c>
      <c r="BL884" s="759">
        <f>SUM(AZ884,BA884,BB884,BC884,BD884,BE884,BF884,BG884,BH884,BI884,BJ884,BK884)</f>
        <v>6400000000</v>
      </c>
      <c r="BN884" s="758">
        <v>0</v>
      </c>
      <c r="BO884" s="758">
        <v>300000000</v>
      </c>
      <c r="BP884" s="758">
        <v>300000000</v>
      </c>
      <c r="BQ884" s="758">
        <v>300000000</v>
      </c>
      <c r="BR884" s="758">
        <v>300000000</v>
      </c>
      <c r="BS884" s="758">
        <v>0</v>
      </c>
      <c r="BT884" s="758">
        <v>0</v>
      </c>
      <c r="BU884" s="758">
        <v>300000000</v>
      </c>
      <c r="BV884" s="758">
        <v>300000000</v>
      </c>
      <c r="BW884" s="758">
        <v>300000000</v>
      </c>
      <c r="BX884" s="758">
        <v>300000000</v>
      </c>
      <c r="BY884" s="758">
        <v>0</v>
      </c>
      <c r="BZ884" s="791">
        <v>2400000000</v>
      </c>
      <c r="CB884" s="758">
        <v>0</v>
      </c>
      <c r="CC884" s="758">
        <v>300000000</v>
      </c>
      <c r="CD884" s="758">
        <v>300000000</v>
      </c>
      <c r="CE884" s="758">
        <v>300000000</v>
      </c>
      <c r="CF884" s="758">
        <v>300000000</v>
      </c>
      <c r="CG884" s="758">
        <v>0</v>
      </c>
      <c r="CH884" s="758">
        <v>0</v>
      </c>
      <c r="CI884" s="758">
        <v>300000000</v>
      </c>
      <c r="CJ884" s="758">
        <v>300000000</v>
      </c>
      <c r="CK884" s="758">
        <v>300000000</v>
      </c>
      <c r="CL884" s="758">
        <v>300000000</v>
      </c>
      <c r="CM884" s="758">
        <v>0</v>
      </c>
      <c r="CN884" s="791">
        <v>2400000000</v>
      </c>
      <c r="CP884" s="653"/>
      <c r="CQ884" s="653"/>
      <c r="CR884" s="524"/>
      <c r="CS884" s="653"/>
      <c r="CT884" s="524"/>
      <c r="CU884" s="653"/>
      <c r="CV884" s="524">
        <v>0</v>
      </c>
      <c r="CW884" s="653"/>
      <c r="CX884" s="524">
        <v>0</v>
      </c>
      <c r="CY884" s="653"/>
      <c r="CZ884" s="524">
        <v>0</v>
      </c>
      <c r="DA884" s="653"/>
      <c r="DB884" s="524"/>
      <c r="DC884" s="653"/>
      <c r="DD884" s="524"/>
      <c r="DE884" s="524"/>
      <c r="DF884" s="524"/>
      <c r="DG884" s="757"/>
      <c r="DH884" s="524"/>
      <c r="DI884" s="524"/>
      <c r="DJ884" s="757"/>
      <c r="DK884" s="524"/>
      <c r="DL884" s="524"/>
      <c r="DM884" s="757"/>
      <c r="DN884" s="524"/>
      <c r="DO884" s="524"/>
      <c r="DP884" s="757"/>
      <c r="DQ884" s="493">
        <f t="shared" si="549"/>
        <v>0</v>
      </c>
      <c r="DR884" s="479">
        <f t="shared" si="550"/>
        <v>0</v>
      </c>
      <c r="DS884" s="1019"/>
      <c r="DT884" s="1019"/>
      <c r="DU884" s="1019"/>
      <c r="DV884" s="1019"/>
      <c r="DW884" s="1019"/>
      <c r="DX884" s="1019"/>
      <c r="DY884" s="1019"/>
      <c r="DZ884" s="1019"/>
      <c r="EA884" s="1019"/>
      <c r="EB884" s="1019"/>
      <c r="EC884" s="1019"/>
      <c r="ED884" s="1019"/>
      <c r="EE884" s="1119">
        <f t="shared" si="551"/>
        <v>0</v>
      </c>
      <c r="EF884" s="443">
        <f>EE884*1.17</f>
        <v>0</v>
      </c>
      <c r="EG884" s="443">
        <f>EF884*1.08</f>
        <v>0</v>
      </c>
      <c r="EH884" s="443">
        <f>EG884*1.09</f>
        <v>0</v>
      </c>
      <c r="EI884" s="443">
        <f>EH884*1.09</f>
        <v>0</v>
      </c>
      <c r="EJ884" s="367">
        <v>3000001096</v>
      </c>
    </row>
    <row r="885" spans="1:141" outlineLevel="2">
      <c r="B885" s="378"/>
      <c r="E885" s="396"/>
      <c r="F885" s="380"/>
      <c r="G885" s="189"/>
      <c r="H885" s="13"/>
      <c r="I885" s="185"/>
      <c r="J885" s="185"/>
      <c r="K885" s="185"/>
      <c r="L885" s="185"/>
      <c r="M885" s="185"/>
      <c r="N885" s="185"/>
      <c r="O885" s="7"/>
      <c r="P885" s="7"/>
      <c r="Q885" s="7"/>
      <c r="R885" s="7"/>
      <c r="S885" s="14">
        <f>SUM(G885,H885,I885,J885,K885,L885,M885,N885,O885,P885,Q885,R885)</f>
        <v>0</v>
      </c>
      <c r="T885" s="179"/>
      <c r="U885" s="189"/>
      <c r="V885" s="13"/>
      <c r="W885" s="185"/>
      <c r="X885" s="185"/>
      <c r="Y885" s="185"/>
      <c r="Z885" s="185"/>
      <c r="AA885" s="185"/>
      <c r="AB885" s="185"/>
      <c r="AC885" s="7"/>
      <c r="AD885" s="7"/>
      <c r="AE885" s="7"/>
      <c r="AF885" s="7"/>
      <c r="AG885" s="759">
        <f>SUM(U885,V885,W885,X885,Y885,Z885,AA885,AB885,AC885,AD885,AE885,AF885)</f>
        <v>0</v>
      </c>
      <c r="AH885" s="788"/>
      <c r="AI885" s="189"/>
      <c r="AJ885" s="810"/>
      <c r="AK885" s="758"/>
      <c r="AL885" s="758"/>
      <c r="AM885" s="758"/>
      <c r="AN885" s="758"/>
      <c r="AO885" s="758"/>
      <c r="AP885" s="758"/>
      <c r="AQ885" s="518">
        <v>0</v>
      </c>
      <c r="AR885" s="518"/>
      <c r="AS885" s="518"/>
      <c r="AT885" s="518"/>
      <c r="AU885" s="794"/>
      <c r="AV885" s="794"/>
      <c r="AW885" s="794"/>
      <c r="AX885" s="518">
        <f t="shared" si="548"/>
        <v>0</v>
      </c>
      <c r="AY885" s="788"/>
      <c r="AZ885" s="189"/>
      <c r="BA885" s="810"/>
      <c r="BB885" s="758"/>
      <c r="BC885" s="758"/>
      <c r="BD885" s="758"/>
      <c r="BE885" s="758"/>
      <c r="BF885" s="758"/>
      <c r="BG885" s="518">
        <f>AP885</f>
        <v>0</v>
      </c>
      <c r="BH885" s="758"/>
      <c r="BI885" s="758"/>
      <c r="BJ885" s="758">
        <v>500000000</v>
      </c>
      <c r="BK885" s="758">
        <v>700000000</v>
      </c>
      <c r="BL885" s="759">
        <f>SUM(AZ885,BA885,BB885,BC885,BD885,BE885,BF885,BG885,BH885,BI885,BJ885,BK885)</f>
        <v>1200000000</v>
      </c>
      <c r="BN885" s="758"/>
      <c r="BO885" s="758">
        <f>500000000</f>
        <v>500000000</v>
      </c>
      <c r="BP885" s="758">
        <f>500000000</f>
        <v>500000000</v>
      </c>
      <c r="BQ885" s="758">
        <f>500000000</f>
        <v>500000000</v>
      </c>
      <c r="BR885" s="758">
        <f>500000000</f>
        <v>500000000</v>
      </c>
      <c r="BS885" s="758"/>
      <c r="BT885" s="758"/>
      <c r="BU885" s="758"/>
      <c r="BV885" s="758"/>
      <c r="BW885" s="758">
        <f>500000000</f>
        <v>500000000</v>
      </c>
      <c r="BX885" s="758">
        <f>500000000</f>
        <v>500000000</v>
      </c>
      <c r="BY885" s="758"/>
      <c r="BZ885" s="791">
        <v>3000000000</v>
      </c>
      <c r="CB885" s="758"/>
      <c r="CC885" s="758">
        <f>500000000</f>
        <v>500000000</v>
      </c>
      <c r="CD885" s="758">
        <f>500000000</f>
        <v>500000000</v>
      </c>
      <c r="CE885" s="758">
        <f>500000000</f>
        <v>500000000</v>
      </c>
      <c r="CF885" s="758">
        <f>500000000</f>
        <v>500000000</v>
      </c>
      <c r="CG885" s="884">
        <v>350000000</v>
      </c>
      <c r="CH885" s="884">
        <v>350000000</v>
      </c>
      <c r="CI885" s="884">
        <f>500000000</f>
        <v>500000000</v>
      </c>
      <c r="CJ885" s="884">
        <f>500000000</f>
        <v>500000000</v>
      </c>
      <c r="CK885" s="758">
        <f>500000000</f>
        <v>500000000</v>
      </c>
      <c r="CL885" s="758">
        <f>500000000</f>
        <v>500000000</v>
      </c>
      <c r="CM885" s="758"/>
      <c r="CN885" s="791">
        <v>4700000000</v>
      </c>
      <c r="CP885" s="653"/>
      <c r="CQ885" s="653"/>
      <c r="CR885" s="524"/>
      <c r="CS885" s="653"/>
      <c r="CT885" s="524"/>
      <c r="CU885" s="653"/>
      <c r="CV885" s="524"/>
      <c r="CW885" s="653"/>
      <c r="CX885" s="524"/>
      <c r="CY885" s="653"/>
      <c r="CZ885" s="524"/>
      <c r="DA885" s="653"/>
      <c r="DB885" s="524"/>
      <c r="DC885" s="653"/>
      <c r="DD885" s="524"/>
      <c r="DE885" s="524"/>
      <c r="DF885" s="524"/>
      <c r="DG885" s="757"/>
      <c r="DH885" s="524"/>
      <c r="DI885" s="524"/>
      <c r="DJ885" s="757"/>
      <c r="DK885" s="524"/>
      <c r="DL885" s="524"/>
      <c r="DM885" s="757"/>
      <c r="DN885" s="524"/>
      <c r="DO885" s="524"/>
      <c r="DP885" s="757"/>
      <c r="DQ885" s="493">
        <f t="shared" si="549"/>
        <v>0</v>
      </c>
      <c r="DR885" s="479">
        <f t="shared" si="550"/>
        <v>0</v>
      </c>
      <c r="DS885" s="1019"/>
      <c r="DT885" s="1019"/>
      <c r="DU885" s="1019"/>
      <c r="DV885" s="1019"/>
      <c r="DW885" s="1019"/>
      <c r="DX885" s="1019"/>
      <c r="DY885" s="1019"/>
      <c r="DZ885" s="1019"/>
      <c r="EA885" s="1019"/>
      <c r="EB885" s="1019"/>
      <c r="EC885" s="1019"/>
      <c r="ED885" s="1019"/>
      <c r="EE885" s="1119">
        <f t="shared" si="551"/>
        <v>0</v>
      </c>
      <c r="EF885" s="443">
        <f>EE885*1.17</f>
        <v>0</v>
      </c>
      <c r="EG885" s="443">
        <f>EF885*1.08</f>
        <v>0</v>
      </c>
      <c r="EH885" s="443">
        <f>EG885*1.09</f>
        <v>0</v>
      </c>
      <c r="EI885" s="443">
        <f>EH885*1.09</f>
        <v>0</v>
      </c>
      <c r="EJ885" s="367" t="s">
        <v>982</v>
      </c>
    </row>
    <row r="886" spans="1:141" outlineLevel="2">
      <c r="B886" s="378"/>
      <c r="E886" s="383"/>
      <c r="F886" s="380"/>
      <c r="G886" s="189"/>
      <c r="H886" s="13"/>
      <c r="I886" s="185"/>
      <c r="J886" s="185"/>
      <c r="K886" s="185"/>
      <c r="L886" s="185"/>
      <c r="M886" s="185"/>
      <c r="N886" s="185"/>
      <c r="O886" s="7"/>
      <c r="P886" s="7"/>
      <c r="Q886" s="7"/>
      <c r="R886" s="7"/>
      <c r="S886" s="14"/>
      <c r="T886" s="179"/>
      <c r="U886" s="189"/>
      <c r="V886" s="13"/>
      <c r="W886" s="185"/>
      <c r="X886" s="185"/>
      <c r="Y886" s="185"/>
      <c r="Z886" s="185"/>
      <c r="AA886" s="185"/>
      <c r="AB886" s="185"/>
      <c r="AC886" s="7"/>
      <c r="AD886" s="7"/>
      <c r="AE886" s="7"/>
      <c r="AF886" s="7"/>
      <c r="AG886" s="759"/>
      <c r="AH886" s="788"/>
      <c r="AI886" s="189"/>
      <c r="AJ886" s="810"/>
      <c r="AK886" s="758"/>
      <c r="AL886" s="758"/>
      <c r="AM886" s="758"/>
      <c r="AN886" s="758"/>
      <c r="AO886" s="758"/>
      <c r="AP886" s="758"/>
      <c r="AQ886" s="518"/>
      <c r="AR886" s="518"/>
      <c r="AS886" s="518"/>
      <c r="AT886" s="518"/>
      <c r="AU886" s="518"/>
      <c r="AV886" s="794"/>
      <c r="AW886" s="794"/>
      <c r="AX886" s="518">
        <f t="shared" si="548"/>
        <v>0</v>
      </c>
      <c r="AY886" s="788"/>
      <c r="AZ886" s="189"/>
      <c r="BA886" s="810"/>
      <c r="BB886" s="758"/>
      <c r="BC886" s="758"/>
      <c r="BD886" s="758"/>
      <c r="BE886" s="758"/>
      <c r="BF886" s="758"/>
      <c r="BG886" s="518"/>
      <c r="BH886" s="758"/>
      <c r="BI886" s="758"/>
      <c r="BJ886" s="758"/>
      <c r="BK886" s="758"/>
      <c r="BL886" s="759"/>
      <c r="BN886" s="758"/>
      <c r="BO886" s="758"/>
      <c r="BP886" s="758"/>
      <c r="BQ886" s="758"/>
      <c r="BR886" s="758"/>
      <c r="BS886" s="758"/>
      <c r="BT886" s="758"/>
      <c r="BU886" s="758"/>
      <c r="BV886" s="758"/>
      <c r="BW886" s="758"/>
      <c r="BX886" s="758"/>
      <c r="BY886" s="758"/>
      <c r="BZ886" s="791">
        <v>0</v>
      </c>
      <c r="CB886" s="758"/>
      <c r="CC886" s="884">
        <v>750000000</v>
      </c>
      <c r="CD886" s="884">
        <v>750000000</v>
      </c>
      <c r="CE886" s="758"/>
      <c r="CF886" s="758"/>
      <c r="CG886" s="758"/>
      <c r="CH886" s="758"/>
      <c r="CI886" s="758"/>
      <c r="CJ886" s="758"/>
      <c r="CK886" s="758"/>
      <c r="CL886" s="758"/>
      <c r="CM886" s="758"/>
      <c r="CN886" s="791">
        <v>1500000000</v>
      </c>
      <c r="CP886" s="653"/>
      <c r="CQ886" s="653"/>
      <c r="CR886" s="524"/>
      <c r="CS886" s="653"/>
      <c r="CT886" s="524"/>
      <c r="CU886" s="653"/>
      <c r="CV886" s="524"/>
      <c r="CW886" s="653"/>
      <c r="CX886" s="524"/>
      <c r="CY886" s="653"/>
      <c r="CZ886" s="524"/>
      <c r="DA886" s="653"/>
      <c r="DB886" s="524"/>
      <c r="DC886" s="653"/>
      <c r="DD886" s="524"/>
      <c r="DE886" s="524"/>
      <c r="DF886" s="524"/>
      <c r="DG886" s="757"/>
      <c r="DH886" s="524"/>
      <c r="DI886" s="524"/>
      <c r="DJ886" s="757"/>
      <c r="DK886" s="524"/>
      <c r="DL886" s="524"/>
      <c r="DM886" s="757"/>
      <c r="DN886" s="524"/>
      <c r="DO886" s="524"/>
      <c r="DP886" s="757"/>
      <c r="DQ886" s="493">
        <f t="shared" si="549"/>
        <v>0</v>
      </c>
      <c r="DR886" s="479">
        <f t="shared" si="550"/>
        <v>0</v>
      </c>
      <c r="DS886" s="1019"/>
      <c r="DT886" s="1019"/>
      <c r="DU886" s="1019"/>
      <c r="DV886" s="1019"/>
      <c r="DW886" s="1019"/>
      <c r="DX886" s="1019"/>
      <c r="DY886" s="1019"/>
      <c r="DZ886" s="1019"/>
      <c r="EA886" s="1019"/>
      <c r="EB886" s="1019"/>
      <c r="EC886" s="1019"/>
      <c r="ED886" s="1019"/>
      <c r="EE886" s="1119">
        <f t="shared" si="551"/>
        <v>0</v>
      </c>
      <c r="EF886" s="443"/>
      <c r="EG886" s="443"/>
      <c r="EH886" s="443"/>
      <c r="EI886" s="443"/>
    </row>
    <row r="887" spans="1:141" outlineLevel="2">
      <c r="B887" s="378"/>
      <c r="E887" s="383"/>
      <c r="F887" s="380"/>
      <c r="G887" s="189"/>
      <c r="H887" s="13"/>
      <c r="I887" s="185"/>
      <c r="J887" s="185"/>
      <c r="K887" s="185"/>
      <c r="L887" s="185"/>
      <c r="M887" s="185"/>
      <c r="N887" s="185"/>
      <c r="O887" s="7"/>
      <c r="P887" s="7"/>
      <c r="Q887" s="7"/>
      <c r="R887" s="7"/>
      <c r="S887" s="14">
        <f>SUM(G887,H887,I887,J887,K887,L887,M887,N887,O887,P887,Q887,R887)</f>
        <v>0</v>
      </c>
      <c r="T887" s="179"/>
      <c r="U887" s="189"/>
      <c r="V887" s="13"/>
      <c r="W887" s="185"/>
      <c r="X887" s="185"/>
      <c r="Y887" s="185"/>
      <c r="Z887" s="185"/>
      <c r="AA887" s="185"/>
      <c r="AB887" s="185"/>
      <c r="AC887" s="7"/>
      <c r="AD887" s="7"/>
      <c r="AE887" s="7"/>
      <c r="AF887" s="7"/>
      <c r="AG887" s="759">
        <f>SUM(U887,V887,W887,X887,Y887,Z887,AA887,AB887,AC887,AD887,AE887,AF887)</f>
        <v>0</v>
      </c>
      <c r="AH887" s="788"/>
      <c r="AI887" s="189"/>
      <c r="AJ887" s="810"/>
      <c r="AK887" s="758"/>
      <c r="AL887" s="758"/>
      <c r="AM887" s="758"/>
      <c r="AN887" s="758"/>
      <c r="AO887" s="758"/>
      <c r="AP887" s="758"/>
      <c r="AQ887" s="518">
        <v>0</v>
      </c>
      <c r="AR887" s="518"/>
      <c r="AS887" s="518"/>
      <c r="AT887" s="518"/>
      <c r="AU887" s="518"/>
      <c r="AV887" s="794">
        <f>50000000</f>
        <v>50000000</v>
      </c>
      <c r="AW887" s="794">
        <f>50000000</f>
        <v>50000000</v>
      </c>
      <c r="AX887" s="518">
        <f t="shared" si="548"/>
        <v>0</v>
      </c>
      <c r="AY887" s="788"/>
      <c r="AZ887" s="189"/>
      <c r="BA887" s="810"/>
      <c r="BB887" s="758"/>
      <c r="BC887" s="758"/>
      <c r="BD887" s="758"/>
      <c r="BE887" s="758"/>
      <c r="BF887" s="758"/>
      <c r="BG887" s="518">
        <f>AP887</f>
        <v>0</v>
      </c>
      <c r="BH887" s="758"/>
      <c r="BI887" s="758"/>
      <c r="BJ887" s="758"/>
      <c r="BK887" s="758"/>
      <c r="BL887" s="759">
        <f>SUM(AZ887,BA887,BB887,BC887,BD887,BE887,BF887,BG887,BH887,BI887,BJ887,BK887)</f>
        <v>0</v>
      </c>
      <c r="BN887" s="758">
        <f t="shared" ref="BN887:BY887" si="552">30000000</f>
        <v>30000000</v>
      </c>
      <c r="BO887" s="758">
        <f t="shared" si="552"/>
        <v>30000000</v>
      </c>
      <c r="BP887" s="758">
        <f t="shared" si="552"/>
        <v>30000000</v>
      </c>
      <c r="BQ887" s="758">
        <f t="shared" si="552"/>
        <v>30000000</v>
      </c>
      <c r="BR887" s="758">
        <f t="shared" si="552"/>
        <v>30000000</v>
      </c>
      <c r="BS887" s="758">
        <f t="shared" si="552"/>
        <v>30000000</v>
      </c>
      <c r="BT887" s="758">
        <f t="shared" si="552"/>
        <v>30000000</v>
      </c>
      <c r="BU887" s="758">
        <f t="shared" si="552"/>
        <v>30000000</v>
      </c>
      <c r="BV887" s="758">
        <f t="shared" si="552"/>
        <v>30000000</v>
      </c>
      <c r="BW887" s="758">
        <f t="shared" si="552"/>
        <v>30000000</v>
      </c>
      <c r="BX887" s="758">
        <f t="shared" si="552"/>
        <v>30000000</v>
      </c>
      <c r="BY887" s="758">
        <f t="shared" si="552"/>
        <v>30000000</v>
      </c>
      <c r="BZ887" s="791">
        <v>360000000</v>
      </c>
      <c r="CB887" s="758">
        <f t="shared" ref="CB887:CM887" si="553">30000000</f>
        <v>30000000</v>
      </c>
      <c r="CC887" s="758">
        <f t="shared" si="553"/>
        <v>30000000</v>
      </c>
      <c r="CD887" s="758">
        <f t="shared" si="553"/>
        <v>30000000</v>
      </c>
      <c r="CE887" s="758">
        <f t="shared" si="553"/>
        <v>30000000</v>
      </c>
      <c r="CF887" s="758">
        <f t="shared" si="553"/>
        <v>30000000</v>
      </c>
      <c r="CG887" s="758">
        <f t="shared" si="553"/>
        <v>30000000</v>
      </c>
      <c r="CH887" s="758">
        <f t="shared" si="553"/>
        <v>30000000</v>
      </c>
      <c r="CI887" s="758">
        <f t="shared" si="553"/>
        <v>30000000</v>
      </c>
      <c r="CJ887" s="758">
        <f t="shared" si="553"/>
        <v>30000000</v>
      </c>
      <c r="CK887" s="758">
        <f t="shared" si="553"/>
        <v>30000000</v>
      </c>
      <c r="CL887" s="758">
        <f t="shared" si="553"/>
        <v>30000000</v>
      </c>
      <c r="CM887" s="758">
        <f t="shared" si="553"/>
        <v>30000000</v>
      </c>
      <c r="CN887" s="791">
        <v>360000000</v>
      </c>
      <c r="CP887" s="653"/>
      <c r="CQ887" s="653" t="s">
        <v>266</v>
      </c>
      <c r="CR887" s="524" t="s">
        <v>266</v>
      </c>
      <c r="CS887" s="653"/>
      <c r="CT887" s="524" t="s">
        <v>266</v>
      </c>
      <c r="CU887" s="653"/>
      <c r="CV887" s="524"/>
      <c r="CW887" s="653"/>
      <c r="CX887" s="524"/>
      <c r="CY887" s="653"/>
      <c r="CZ887" s="524"/>
      <c r="DA887" s="653"/>
      <c r="DB887" s="524"/>
      <c r="DC887" s="653"/>
      <c r="DD887" s="524"/>
      <c r="DE887" s="524"/>
      <c r="DF887" s="524"/>
      <c r="DG887" s="757"/>
      <c r="DH887" s="524"/>
      <c r="DI887" s="524"/>
      <c r="DJ887" s="757"/>
      <c r="DK887" s="524"/>
      <c r="DL887" s="524"/>
      <c r="DM887" s="757"/>
      <c r="DN887" s="524"/>
      <c r="DO887" s="524"/>
      <c r="DP887" s="757"/>
      <c r="DQ887" s="493">
        <f t="shared" si="549"/>
        <v>0</v>
      </c>
      <c r="DR887" s="479">
        <f t="shared" si="550"/>
        <v>0</v>
      </c>
      <c r="DS887" s="1019"/>
      <c r="DT887" s="1019"/>
      <c r="DU887" s="1019"/>
      <c r="DV887" s="1019"/>
      <c r="DW887" s="1019"/>
      <c r="DX887" s="1019"/>
      <c r="DY887" s="1019"/>
      <c r="DZ887" s="1019"/>
      <c r="EA887" s="1019"/>
      <c r="EB887" s="1019"/>
      <c r="EC887" s="1019"/>
      <c r="ED887" s="1019"/>
      <c r="EE887" s="1119">
        <f t="shared" si="551"/>
        <v>0</v>
      </c>
      <c r="EF887" s="443">
        <f>175000000*12</f>
        <v>2100000000</v>
      </c>
      <c r="EG887" s="443">
        <f>EF887*1.08</f>
        <v>2268000000</v>
      </c>
      <c r="EH887" s="443">
        <f t="shared" ref="EH887:EI889" si="554">EG887*1.09</f>
        <v>2472120000</v>
      </c>
      <c r="EI887" s="443">
        <f t="shared" si="554"/>
        <v>2694610800</v>
      </c>
      <c r="EJ887" s="367" t="s">
        <v>656</v>
      </c>
    </row>
    <row r="888" spans="1:141" outlineLevel="2">
      <c r="B888" s="378"/>
      <c r="E888" s="383"/>
      <c r="F888" s="380"/>
      <c r="G888" s="189"/>
      <c r="H888" s="13"/>
      <c r="I888" s="185"/>
      <c r="J888" s="185"/>
      <c r="K888" s="185"/>
      <c r="L888" s="185"/>
      <c r="M888" s="185"/>
      <c r="N888" s="185"/>
      <c r="O888" s="7"/>
      <c r="P888" s="7"/>
      <c r="Q888" s="7"/>
      <c r="R888" s="7"/>
      <c r="S888" s="14">
        <f>SUM(G888,H888,I888,J888,K888,L888,M888,N888,O888,P888,Q888,R888)</f>
        <v>0</v>
      </c>
      <c r="T888" s="179"/>
      <c r="U888" s="189"/>
      <c r="V888" s="13"/>
      <c r="W888" s="185"/>
      <c r="X888" s="185"/>
      <c r="Y888" s="185"/>
      <c r="Z888" s="185"/>
      <c r="AA888" s="185"/>
      <c r="AB888" s="185"/>
      <c r="AC888" s="7"/>
      <c r="AD888" s="7"/>
      <c r="AE888" s="7"/>
      <c r="AF888" s="7"/>
      <c r="AG888" s="759">
        <f>SUM(U888,V888,W888,X888,Y888,Z888,AA888,AB888,AC888,AD888,AE888,AF888)</f>
        <v>0</v>
      </c>
      <c r="AH888" s="788"/>
      <c r="AI888" s="189"/>
      <c r="AJ888" s="810"/>
      <c r="AK888" s="758"/>
      <c r="AL888" s="758"/>
      <c r="AM888" s="758"/>
      <c r="AN888" s="758"/>
      <c r="AO888" s="758"/>
      <c r="AP888" s="758"/>
      <c r="AQ888" s="518">
        <v>0</v>
      </c>
      <c r="AR888" s="518"/>
      <c r="AS888" s="518"/>
      <c r="AT888" s="518"/>
      <c r="AU888" s="518">
        <f t="shared" ref="AU888:AW889" si="555">BI888</f>
        <v>0</v>
      </c>
      <c r="AV888" s="518">
        <f t="shared" si="555"/>
        <v>0</v>
      </c>
      <c r="AW888" s="518">
        <f t="shared" si="555"/>
        <v>0</v>
      </c>
      <c r="AX888" s="518">
        <f t="shared" si="548"/>
        <v>0</v>
      </c>
      <c r="AY888" s="788"/>
      <c r="AZ888" s="189"/>
      <c r="BA888" s="810"/>
      <c r="BB888" s="758"/>
      <c r="BC888" s="758"/>
      <c r="BD888" s="758"/>
      <c r="BE888" s="758"/>
      <c r="BF888" s="758"/>
      <c r="BG888" s="518">
        <f>AP888</f>
        <v>0</v>
      </c>
      <c r="BH888" s="758">
        <v>0</v>
      </c>
      <c r="BI888" s="758">
        <v>0</v>
      </c>
      <c r="BJ888" s="758">
        <v>0</v>
      </c>
      <c r="BK888" s="758">
        <v>0</v>
      </c>
      <c r="BL888" s="759">
        <f>SUM(AZ888,BA888,BB888,BC888,BD888,BE888,BF888,BG888,BH888,BI888,BJ888,BK888)</f>
        <v>0</v>
      </c>
      <c r="BN888" s="758">
        <v>0</v>
      </c>
      <c r="BO888" s="758">
        <v>0</v>
      </c>
      <c r="BP888" s="758">
        <v>200000000</v>
      </c>
      <c r="BQ888" s="758">
        <v>200000000</v>
      </c>
      <c r="BR888" s="758">
        <v>200000000</v>
      </c>
      <c r="BS888" s="758">
        <v>0</v>
      </c>
      <c r="BT888" s="758">
        <v>0</v>
      </c>
      <c r="BU888" s="758">
        <v>200000000</v>
      </c>
      <c r="BV888" s="758">
        <v>200000000</v>
      </c>
      <c r="BW888" s="758">
        <v>200000000</v>
      </c>
      <c r="BX888" s="758">
        <v>0</v>
      </c>
      <c r="BY888" s="758">
        <v>0</v>
      </c>
      <c r="BZ888" s="791">
        <v>1200000000</v>
      </c>
      <c r="CB888" s="758">
        <v>0</v>
      </c>
      <c r="CC888" s="758">
        <v>0</v>
      </c>
      <c r="CD888" s="758">
        <v>200000000</v>
      </c>
      <c r="CE888" s="758">
        <v>200000000</v>
      </c>
      <c r="CF888" s="758">
        <v>200000000</v>
      </c>
      <c r="CG888" s="758">
        <v>0</v>
      </c>
      <c r="CH888" s="758">
        <v>0</v>
      </c>
      <c r="CI888" s="758">
        <v>200000000</v>
      </c>
      <c r="CJ888" s="758">
        <v>200000000</v>
      </c>
      <c r="CK888" s="758">
        <v>200000000</v>
      </c>
      <c r="CL888" s="758">
        <v>0</v>
      </c>
      <c r="CM888" s="758">
        <v>0</v>
      </c>
      <c r="CN888" s="791">
        <v>1200000000</v>
      </c>
      <c r="CP888" s="653"/>
      <c r="CQ888" s="653"/>
      <c r="CR888" s="524"/>
      <c r="CS888" s="653"/>
      <c r="CT888" s="524"/>
      <c r="CU888" s="653"/>
      <c r="CV888" s="524"/>
      <c r="CW888" s="653"/>
      <c r="CX888" s="524"/>
      <c r="CY888" s="653"/>
      <c r="CZ888" s="524"/>
      <c r="DA888" s="653"/>
      <c r="DB888" s="524"/>
      <c r="DC888" s="653"/>
      <c r="DD888" s="524"/>
      <c r="DE888" s="524"/>
      <c r="DF888" s="524"/>
      <c r="DG888" s="757"/>
      <c r="DH888" s="524"/>
      <c r="DI888" s="524"/>
      <c r="DJ888" s="757"/>
      <c r="DK888" s="524"/>
      <c r="DL888" s="524"/>
      <c r="DM888" s="757"/>
      <c r="DN888" s="524"/>
      <c r="DO888" s="524"/>
      <c r="DP888" s="757"/>
      <c r="DQ888" s="493">
        <f t="shared" si="549"/>
        <v>0</v>
      </c>
      <c r="DR888" s="479">
        <f t="shared" si="550"/>
        <v>0</v>
      </c>
      <c r="DS888" s="1019"/>
      <c r="DT888" s="1019"/>
      <c r="DU888" s="1019"/>
      <c r="DV888" s="1019"/>
      <c r="DW888" s="1019"/>
      <c r="DX888" s="1019"/>
      <c r="DY888" s="1019"/>
      <c r="DZ888" s="1019"/>
      <c r="EA888" s="1019"/>
      <c r="EB888" s="1019"/>
      <c r="EC888" s="1019"/>
      <c r="ED888" s="1019"/>
      <c r="EE888" s="1119">
        <f t="shared" si="551"/>
        <v>0</v>
      </c>
      <c r="EF888" s="443">
        <f>250000000*10</f>
        <v>2500000000</v>
      </c>
      <c r="EG888" s="443">
        <f>600000000*12</f>
        <v>7200000000</v>
      </c>
      <c r="EH888" s="443">
        <f t="shared" si="554"/>
        <v>7848000000.000001</v>
      </c>
      <c r="EI888" s="443">
        <f t="shared" si="554"/>
        <v>8554320000.0000019</v>
      </c>
      <c r="EJ888" s="367">
        <v>3000007674</v>
      </c>
    </row>
    <row r="889" spans="1:141" outlineLevel="2">
      <c r="B889" s="378"/>
      <c r="E889" s="396"/>
      <c r="F889" s="380"/>
      <c r="G889" s="189"/>
      <c r="H889" s="13"/>
      <c r="I889" s="185"/>
      <c r="J889" s="185"/>
      <c r="K889" s="185"/>
      <c r="L889" s="185"/>
      <c r="M889" s="185"/>
      <c r="N889" s="185"/>
      <c r="O889" s="7"/>
      <c r="P889" s="7"/>
      <c r="Q889" s="7"/>
      <c r="R889" s="7"/>
      <c r="S889" s="14">
        <f>SUM(G889,H889,I889,J889,K889,L889,M889,N889,O889,P889,Q889,R889)</f>
        <v>0</v>
      </c>
      <c r="T889" s="179"/>
      <c r="U889" s="189"/>
      <c r="V889" s="13"/>
      <c r="W889" s="185"/>
      <c r="X889" s="185"/>
      <c r="Y889" s="185"/>
      <c r="Z889" s="185"/>
      <c r="AA889" s="185"/>
      <c r="AB889" s="185"/>
      <c r="AC889" s="7"/>
      <c r="AD889" s="7"/>
      <c r="AE889" s="7"/>
      <c r="AF889" s="7"/>
      <c r="AG889" s="759">
        <f>SUM(U889,V889,W889,X889,Y889,Z889,AA889,AB889,AC889,AD889,AE889,AF889)</f>
        <v>0</v>
      </c>
      <c r="AH889" s="788"/>
      <c r="AI889" s="189"/>
      <c r="AJ889" s="810"/>
      <c r="AK889" s="758"/>
      <c r="AL889" s="758"/>
      <c r="AM889" s="758"/>
      <c r="AN889" s="758"/>
      <c r="AO889" s="758"/>
      <c r="AP889" s="758"/>
      <c r="AQ889" s="518">
        <v>0</v>
      </c>
      <c r="AR889" s="518"/>
      <c r="AS889" s="518"/>
      <c r="AT889" s="518"/>
      <c r="AU889" s="518">
        <f t="shared" si="555"/>
        <v>0</v>
      </c>
      <c r="AV889" s="518">
        <f t="shared" si="555"/>
        <v>0</v>
      </c>
      <c r="AW889" s="518">
        <f t="shared" si="555"/>
        <v>0</v>
      </c>
      <c r="AX889" s="518">
        <f t="shared" si="548"/>
        <v>0</v>
      </c>
      <c r="AY889" s="788"/>
      <c r="AZ889" s="189"/>
      <c r="BA889" s="810"/>
      <c r="BB889" s="758"/>
      <c r="BC889" s="758"/>
      <c r="BD889" s="758"/>
      <c r="BE889" s="758"/>
      <c r="BF889" s="758"/>
      <c r="BG889" s="518">
        <f>AP889</f>
        <v>0</v>
      </c>
      <c r="BH889" s="758">
        <v>0</v>
      </c>
      <c r="BI889" s="758">
        <v>0</v>
      </c>
      <c r="BJ889" s="758">
        <v>0</v>
      </c>
      <c r="BK889" s="758">
        <v>0</v>
      </c>
      <c r="BL889" s="759">
        <f>SUM(AZ889,BA889,BB889,BC889,BD889,BE889,BF889,BG889,BH889,BI889,BJ889,BK889)</f>
        <v>0</v>
      </c>
      <c r="BN889" s="758">
        <v>0</v>
      </c>
      <c r="BO889" s="758">
        <v>200000000</v>
      </c>
      <c r="BP889" s="758">
        <v>200000000</v>
      </c>
      <c r="BQ889" s="758">
        <v>200000000</v>
      </c>
      <c r="BR889" s="758">
        <v>0</v>
      </c>
      <c r="BS889" s="758">
        <v>0</v>
      </c>
      <c r="BT889" s="758">
        <v>200000000</v>
      </c>
      <c r="BU889" s="758">
        <v>200000000</v>
      </c>
      <c r="BV889" s="758">
        <v>200000000</v>
      </c>
      <c r="BW889" s="758">
        <v>0</v>
      </c>
      <c r="BX889" s="758">
        <v>0</v>
      </c>
      <c r="BY889" s="758">
        <v>0</v>
      </c>
      <c r="BZ889" s="791">
        <v>1200000000</v>
      </c>
      <c r="CB889" s="758">
        <v>0</v>
      </c>
      <c r="CC889" s="758">
        <v>200000000</v>
      </c>
      <c r="CD889" s="758">
        <v>200000000</v>
      </c>
      <c r="CE889" s="758">
        <v>200000000</v>
      </c>
      <c r="CF889" s="758">
        <v>0</v>
      </c>
      <c r="CG889" s="758">
        <v>0</v>
      </c>
      <c r="CH889" s="758">
        <v>200000000</v>
      </c>
      <c r="CI889" s="758">
        <v>200000000</v>
      </c>
      <c r="CJ889" s="758">
        <v>200000000</v>
      </c>
      <c r="CK889" s="758">
        <v>0</v>
      </c>
      <c r="CL889" s="758">
        <v>0</v>
      </c>
      <c r="CM889" s="758">
        <v>0</v>
      </c>
      <c r="CN889" s="791">
        <v>1200000000</v>
      </c>
      <c r="CP889" s="653"/>
      <c r="CQ889" s="653"/>
      <c r="CR889" s="524"/>
      <c r="CS889" s="653"/>
      <c r="CT889" s="524"/>
      <c r="CU889" s="653"/>
      <c r="CV889" s="524">
        <v>0</v>
      </c>
      <c r="CW889" s="653"/>
      <c r="CX889" s="524">
        <v>50000000</v>
      </c>
      <c r="CY889" s="653"/>
      <c r="CZ889" s="524">
        <v>150000000</v>
      </c>
      <c r="DA889" s="653">
        <v>447189600</v>
      </c>
      <c r="DB889" s="524">
        <v>400000000</v>
      </c>
      <c r="DC889" s="653">
        <v>305212300</v>
      </c>
      <c r="DD889" s="524"/>
      <c r="DE889" s="524"/>
      <c r="DF889" s="524"/>
      <c r="DG889" s="757"/>
      <c r="DH889" s="524"/>
      <c r="DI889" s="524" t="s">
        <v>266</v>
      </c>
      <c r="DJ889" s="757" t="s">
        <v>266</v>
      </c>
      <c r="DK889" s="524"/>
      <c r="DL889" s="524">
        <v>100000000</v>
      </c>
      <c r="DM889" s="757">
        <v>100000000</v>
      </c>
      <c r="DN889" s="524"/>
      <c r="DO889" s="524">
        <v>100000000</v>
      </c>
      <c r="DP889" s="757">
        <v>100000000</v>
      </c>
      <c r="DQ889" s="493">
        <f t="shared" si="549"/>
        <v>952401900</v>
      </c>
      <c r="DR889" s="479">
        <f>SUM(CP889,CQ889,CS889,CU889,CW889,CY889,DA889,DC889,DG889,DJ889,DM889,DP889)</f>
        <v>952401900</v>
      </c>
      <c r="DS889" s="1019"/>
      <c r="DT889" s="1019"/>
      <c r="DU889" s="1019"/>
      <c r="DV889" s="1019"/>
      <c r="DW889" s="1019"/>
      <c r="DX889" s="1019"/>
      <c r="DY889" s="1019"/>
      <c r="DZ889" s="1019"/>
      <c r="EA889" s="1019"/>
      <c r="EB889" s="1019"/>
      <c r="EC889" s="1019"/>
      <c r="ED889" s="1019"/>
      <c r="EE889" s="1119">
        <f t="shared" si="551"/>
        <v>0</v>
      </c>
      <c r="EF889" s="443">
        <f>250000000*10</f>
        <v>2500000000</v>
      </c>
      <c r="EG889" s="443">
        <f>600000000*12</f>
        <v>7200000000</v>
      </c>
      <c r="EH889" s="443">
        <f t="shared" si="554"/>
        <v>7848000000.000001</v>
      </c>
      <c r="EI889" s="443">
        <f t="shared" si="554"/>
        <v>8554320000.0000019</v>
      </c>
      <c r="EJ889" s="367">
        <v>3000008785</v>
      </c>
    </row>
    <row r="890" spans="1:141" outlineLevel="2">
      <c r="B890" s="378"/>
      <c r="E890" s="383"/>
      <c r="F890" s="380"/>
      <c r="G890" s="189"/>
      <c r="H890" s="1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14"/>
      <c r="T890" s="179"/>
      <c r="U890" s="189"/>
      <c r="V890" s="13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759"/>
      <c r="AH890" s="788"/>
      <c r="AI890" s="189"/>
      <c r="AJ890" s="810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759"/>
      <c r="AY890" s="788"/>
      <c r="AZ890" s="189"/>
      <c r="BA890" s="810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759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49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759"/>
      <c r="CP890" s="655"/>
      <c r="CQ890" s="655"/>
      <c r="CR890" s="6"/>
      <c r="CS890" s="655"/>
      <c r="CT890" s="6"/>
      <c r="CU890" s="655"/>
      <c r="CV890" s="6"/>
      <c r="CW890" s="655"/>
      <c r="CX890" s="6"/>
      <c r="CY890" s="655"/>
      <c r="CZ890" s="6"/>
      <c r="DA890" s="655"/>
      <c r="DB890" s="6"/>
      <c r="DC890" s="655"/>
      <c r="DD890" s="6"/>
      <c r="DE890" s="6"/>
      <c r="DF890" s="6"/>
      <c r="DG890" s="752"/>
      <c r="DH890" s="6"/>
      <c r="DI890" s="6"/>
      <c r="DJ890" s="752"/>
      <c r="DK890" s="6"/>
      <c r="DL890" s="6"/>
      <c r="DM890" s="752"/>
      <c r="DN890" s="6"/>
      <c r="DO890" s="6"/>
      <c r="DP890" s="752"/>
      <c r="DQ890" s="496"/>
      <c r="DR890" s="479"/>
      <c r="DS890" s="1019"/>
      <c r="DT890" s="1019"/>
      <c r="DU890" s="1019"/>
      <c r="DV890" s="1019"/>
      <c r="DW890" s="1019"/>
      <c r="DX890" s="1019"/>
      <c r="DY890" s="1019"/>
      <c r="DZ890" s="1019"/>
      <c r="EA890" s="1019"/>
      <c r="EB890" s="1019"/>
      <c r="EC890" s="1019"/>
      <c r="ED890" s="1019"/>
      <c r="EE890" s="1119">
        <f t="shared" si="551"/>
        <v>0</v>
      </c>
      <c r="EF890" s="447"/>
      <c r="EG890" s="447"/>
      <c r="EH890" s="447"/>
      <c r="EI890" s="447"/>
      <c r="EJ890" s="367" t="e">
        <v>#N/A</v>
      </c>
    </row>
    <row r="891" spans="1:141" ht="15" outlineLevel="1" thickBot="1">
      <c r="B891" s="378"/>
      <c r="E891" s="383"/>
      <c r="F891" s="380"/>
      <c r="G891" s="35">
        <f t="shared" ref="G891:S891" si="556">SUM(G856:G890)</f>
        <v>0</v>
      </c>
      <c r="H891" s="33">
        <f t="shared" si="556"/>
        <v>0</v>
      </c>
      <c r="I891" s="35">
        <f t="shared" si="556"/>
        <v>0</v>
      </c>
      <c r="J891" s="35">
        <f t="shared" si="556"/>
        <v>0</v>
      </c>
      <c r="K891" s="35">
        <f t="shared" si="556"/>
        <v>0</v>
      </c>
      <c r="L891" s="35">
        <f t="shared" si="556"/>
        <v>0</v>
      </c>
      <c r="M891" s="35">
        <f t="shared" si="556"/>
        <v>0</v>
      </c>
      <c r="N891" s="35">
        <f t="shared" si="556"/>
        <v>0</v>
      </c>
      <c r="O891" s="35">
        <f t="shared" si="556"/>
        <v>0</v>
      </c>
      <c r="P891" s="35">
        <f t="shared" si="556"/>
        <v>0</v>
      </c>
      <c r="Q891" s="35">
        <f t="shared" si="556"/>
        <v>0</v>
      </c>
      <c r="R891" s="35">
        <f t="shared" si="556"/>
        <v>0</v>
      </c>
      <c r="S891" s="35">
        <f t="shared" si="556"/>
        <v>0</v>
      </c>
      <c r="T891" s="36"/>
      <c r="U891" s="35">
        <f t="shared" ref="U891:AG891" si="557">SUM(U856:U890)</f>
        <v>0</v>
      </c>
      <c r="V891" s="33">
        <f t="shared" si="557"/>
        <v>0</v>
      </c>
      <c r="W891" s="35">
        <f t="shared" si="557"/>
        <v>0</v>
      </c>
      <c r="X891" s="35">
        <f t="shared" si="557"/>
        <v>0</v>
      </c>
      <c r="Y891" s="35">
        <f t="shared" si="557"/>
        <v>0</v>
      </c>
      <c r="Z891" s="35">
        <f t="shared" si="557"/>
        <v>0</v>
      </c>
      <c r="AA891" s="35">
        <f t="shared" si="557"/>
        <v>0</v>
      </c>
      <c r="AB891" s="35">
        <f t="shared" si="557"/>
        <v>0</v>
      </c>
      <c r="AC891" s="35">
        <f t="shared" si="557"/>
        <v>0</v>
      </c>
      <c r="AD891" s="35">
        <f t="shared" si="557"/>
        <v>0</v>
      </c>
      <c r="AE891" s="35">
        <f t="shared" si="557"/>
        <v>0</v>
      </c>
      <c r="AF891" s="35">
        <f t="shared" si="557"/>
        <v>0</v>
      </c>
      <c r="AG891" s="35">
        <f t="shared" si="557"/>
        <v>0</v>
      </c>
      <c r="AH891" s="36"/>
      <c r="AI891" s="35">
        <f t="shared" ref="AI891:AX891" si="558">SUM(AI856:AI890)</f>
        <v>0</v>
      </c>
      <c r="AJ891" s="870">
        <f t="shared" si="558"/>
        <v>2092707100</v>
      </c>
      <c r="AK891" s="35">
        <f t="shared" si="558"/>
        <v>2529389155</v>
      </c>
      <c r="AL891" s="35">
        <f t="shared" si="558"/>
        <v>500548890</v>
      </c>
      <c r="AM891" s="35">
        <f t="shared" si="558"/>
        <v>764992090</v>
      </c>
      <c r="AN891" s="35">
        <f t="shared" si="558"/>
        <v>1640368955</v>
      </c>
      <c r="AO891" s="35">
        <f t="shared" si="558"/>
        <v>350197190</v>
      </c>
      <c r="AP891" s="35">
        <f t="shared" si="558"/>
        <v>1785974670</v>
      </c>
      <c r="AQ891" s="35">
        <f t="shared" si="558"/>
        <v>2301887835</v>
      </c>
      <c r="AR891" s="35">
        <f t="shared" si="558"/>
        <v>2285873785</v>
      </c>
      <c r="AS891" s="35">
        <f t="shared" si="558"/>
        <v>1520488880</v>
      </c>
      <c r="AT891" s="35">
        <f t="shared" si="558"/>
        <v>1325555580</v>
      </c>
      <c r="AU891" s="35">
        <f t="shared" si="558"/>
        <v>1907000000</v>
      </c>
      <c r="AV891" s="35">
        <f t="shared" si="558"/>
        <v>1725000000</v>
      </c>
      <c r="AW891" s="35">
        <f t="shared" si="558"/>
        <v>1725000000</v>
      </c>
      <c r="AX891" s="35">
        <f t="shared" si="558"/>
        <v>17097984130</v>
      </c>
      <c r="AY891" s="36"/>
      <c r="AZ891" s="35">
        <f t="shared" ref="AZ891:BL891" si="559">SUM(AZ856:AZ890)</f>
        <v>0</v>
      </c>
      <c r="BA891" s="870">
        <f t="shared" si="559"/>
        <v>2092707100</v>
      </c>
      <c r="BB891" s="35">
        <f t="shared" si="559"/>
        <v>2529389155</v>
      </c>
      <c r="BC891" s="35">
        <f t="shared" si="559"/>
        <v>500548890</v>
      </c>
      <c r="BD891" s="35">
        <f t="shared" si="559"/>
        <v>764992090</v>
      </c>
      <c r="BE891" s="35">
        <f t="shared" si="559"/>
        <v>1640368955</v>
      </c>
      <c r="BF891" s="35">
        <f t="shared" si="559"/>
        <v>350197190</v>
      </c>
      <c r="BG891" s="35">
        <f t="shared" si="559"/>
        <v>1785974670</v>
      </c>
      <c r="BH891" s="35">
        <f t="shared" si="559"/>
        <v>5160000000</v>
      </c>
      <c r="BI891" s="35">
        <f t="shared" si="559"/>
        <v>6225000000</v>
      </c>
      <c r="BJ891" s="35">
        <f t="shared" si="559"/>
        <v>6350000000</v>
      </c>
      <c r="BK891" s="35">
        <f t="shared" si="559"/>
        <v>7400000000</v>
      </c>
      <c r="BL891" s="35">
        <f t="shared" si="559"/>
        <v>34799178050</v>
      </c>
      <c r="BN891" s="35">
        <f t="shared" ref="BN891:BZ891" si="560">BN855+BN875+BN882</f>
        <v>972000000</v>
      </c>
      <c r="BO891" s="35">
        <f t="shared" si="560"/>
        <v>2558500000</v>
      </c>
      <c r="BP891" s="35">
        <f t="shared" si="560"/>
        <v>3924310000</v>
      </c>
      <c r="BQ891" s="35">
        <f t="shared" si="560"/>
        <v>3411115450</v>
      </c>
      <c r="BR891" s="35">
        <f t="shared" si="560"/>
        <v>3082565000</v>
      </c>
      <c r="BS891" s="35">
        <f t="shared" si="560"/>
        <v>1804665000</v>
      </c>
      <c r="BT891" s="35">
        <f t="shared" si="560"/>
        <v>844820000</v>
      </c>
      <c r="BU891" s="35">
        <f t="shared" si="560"/>
        <v>3325185000</v>
      </c>
      <c r="BV891" s="35">
        <f t="shared" si="560"/>
        <v>3141275000</v>
      </c>
      <c r="BW891" s="35">
        <f t="shared" si="560"/>
        <v>3264215000</v>
      </c>
      <c r="BX891" s="35">
        <f t="shared" si="560"/>
        <v>3104500000</v>
      </c>
      <c r="BY891" s="35">
        <f t="shared" si="560"/>
        <v>1305000000</v>
      </c>
      <c r="BZ891" s="35">
        <f t="shared" si="560"/>
        <v>30738150450</v>
      </c>
      <c r="CB891" s="35">
        <f t="shared" ref="CB891:CM891" si="561">SUM(CB856:CB890)</f>
        <v>972000000</v>
      </c>
      <c r="CC891" s="35">
        <f t="shared" si="561"/>
        <v>3308500000</v>
      </c>
      <c r="CD891" s="35">
        <f t="shared" si="561"/>
        <v>5322310000</v>
      </c>
      <c r="CE891" s="35">
        <f t="shared" si="561"/>
        <v>3411115450</v>
      </c>
      <c r="CF891" s="35">
        <f t="shared" si="561"/>
        <v>3082565000</v>
      </c>
      <c r="CG891" s="35">
        <f t="shared" si="561"/>
        <v>2154665000</v>
      </c>
      <c r="CH891" s="35">
        <f t="shared" si="561"/>
        <v>1794820000</v>
      </c>
      <c r="CI891" s="35">
        <f t="shared" si="561"/>
        <v>3825185000</v>
      </c>
      <c r="CJ891" s="35">
        <f t="shared" si="561"/>
        <v>4241275000</v>
      </c>
      <c r="CK891" s="35">
        <f t="shared" si="561"/>
        <v>3710815000</v>
      </c>
      <c r="CL891" s="35">
        <f t="shared" si="561"/>
        <v>3104500000</v>
      </c>
      <c r="CM891" s="35">
        <f t="shared" si="561"/>
        <v>1305000000</v>
      </c>
      <c r="CN891" s="35">
        <v>38824750450</v>
      </c>
      <c r="CP891" s="35">
        <f>CP855+CP875+CP882</f>
        <v>1074922010</v>
      </c>
      <c r="CQ891" s="35">
        <f t="shared" ref="CQ891:DQ891" si="562">CQ855+CQ875+CQ882</f>
        <v>2509108894</v>
      </c>
      <c r="CR891" s="35">
        <f t="shared" si="562"/>
        <v>2284308894</v>
      </c>
      <c r="CS891" s="35">
        <f t="shared" si="562"/>
        <v>3055728140</v>
      </c>
      <c r="CT891" s="35">
        <f t="shared" si="562"/>
        <v>2327500000</v>
      </c>
      <c r="CU891" s="35">
        <f t="shared" si="562"/>
        <v>1903718660</v>
      </c>
      <c r="CV891" s="35">
        <f t="shared" si="562"/>
        <v>2516000000</v>
      </c>
      <c r="CW891" s="35">
        <f t="shared" si="562"/>
        <v>593606600</v>
      </c>
      <c r="CX891" s="35">
        <f t="shared" si="562"/>
        <v>858000000</v>
      </c>
      <c r="CY891" s="35">
        <f t="shared" si="562"/>
        <v>2346627990</v>
      </c>
      <c r="CZ891" s="35">
        <f t="shared" si="562"/>
        <v>3085000000</v>
      </c>
      <c r="DA891" s="35">
        <f t="shared" si="562"/>
        <v>3336214420</v>
      </c>
      <c r="DB891" s="35">
        <f t="shared" si="562"/>
        <v>3115000000</v>
      </c>
      <c r="DC891" s="35">
        <f t="shared" si="562"/>
        <v>4144442230</v>
      </c>
      <c r="DD891" s="35">
        <f t="shared" si="562"/>
        <v>2389000000</v>
      </c>
      <c r="DE891" s="35">
        <f t="shared" si="562"/>
        <v>0</v>
      </c>
      <c r="DF891" s="35">
        <f>DF855+DF875+DF882</f>
        <v>300000000</v>
      </c>
      <c r="DG891" s="35">
        <f t="shared" si="562"/>
        <v>1800000000</v>
      </c>
      <c r="DH891" s="35">
        <f t="shared" si="562"/>
        <v>0</v>
      </c>
      <c r="DI891" s="35">
        <f>DI855+DI875+DI882</f>
        <v>100000000</v>
      </c>
      <c r="DJ891" s="35">
        <f t="shared" si="562"/>
        <v>1600000000</v>
      </c>
      <c r="DK891" s="35">
        <f t="shared" si="562"/>
        <v>0</v>
      </c>
      <c r="DL891" s="35">
        <f>DL855+DL875+DL882</f>
        <v>2555000000</v>
      </c>
      <c r="DM891" s="35">
        <f>DM855+DM875+DM882</f>
        <v>2555000000</v>
      </c>
      <c r="DN891" s="35">
        <f t="shared" si="562"/>
        <v>0</v>
      </c>
      <c r="DO891" s="35">
        <f>DO855+DO875+DO882</f>
        <v>2555000000</v>
      </c>
      <c r="DP891" s="35">
        <f t="shared" si="562"/>
        <v>2555000000</v>
      </c>
      <c r="DQ891" s="35">
        <f t="shared" si="562"/>
        <v>24474368944</v>
      </c>
      <c r="DR891" s="35">
        <f>DR855+DR875+DR882</f>
        <v>27474368944</v>
      </c>
      <c r="DS891" s="1182">
        <f t="shared" ref="DS891:EI891" si="563">DS855+DS875+DS882</f>
        <v>1782000000</v>
      </c>
      <c r="DT891" s="1182">
        <f t="shared" si="563"/>
        <v>3328200000</v>
      </c>
      <c r="DU891" s="1182">
        <f t="shared" si="563"/>
        <v>2199600000</v>
      </c>
      <c r="DV891" s="1182">
        <f t="shared" si="563"/>
        <v>2612000000</v>
      </c>
      <c r="DW891" s="1182">
        <f t="shared" si="563"/>
        <v>1279000000</v>
      </c>
      <c r="DX891" s="1182">
        <f t="shared" si="563"/>
        <v>2962000000</v>
      </c>
      <c r="DY891" s="1182">
        <f t="shared" si="563"/>
        <v>2428600000</v>
      </c>
      <c r="DZ891" s="1182">
        <f t="shared" si="563"/>
        <v>2592051000</v>
      </c>
      <c r="EA891" s="1182">
        <f t="shared" si="563"/>
        <v>2021000000</v>
      </c>
      <c r="EB891" s="1182">
        <f t="shared" si="563"/>
        <v>2622000000</v>
      </c>
      <c r="EC891" s="1182">
        <f t="shared" si="563"/>
        <v>2368600000</v>
      </c>
      <c r="ED891" s="1182">
        <f t="shared" si="563"/>
        <v>1680000000</v>
      </c>
      <c r="EE891" s="1150">
        <f t="shared" si="563"/>
        <v>27875051000</v>
      </c>
      <c r="EF891" s="1029">
        <f t="shared" si="563"/>
        <v>35784072273.10704</v>
      </c>
      <c r="EG891" s="1029">
        <f t="shared" si="563"/>
        <v>48105149931.306076</v>
      </c>
      <c r="EH891" s="1029">
        <f t="shared" si="563"/>
        <v>56209994943.29586</v>
      </c>
      <c r="EI891" s="1029">
        <f t="shared" si="563"/>
        <v>60307255470.364731</v>
      </c>
      <c r="EJ891" s="367" t="e">
        <v>#N/A</v>
      </c>
    </row>
    <row r="892" spans="1:141" ht="15" outlineLevel="1" thickTop="1">
      <c r="B892" s="378"/>
      <c r="E892" s="383"/>
      <c r="F892" s="380"/>
      <c r="G892" s="6"/>
      <c r="H892" s="199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37"/>
      <c r="U892" s="6"/>
      <c r="V892" s="199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37"/>
      <c r="AI892" s="6"/>
      <c r="AJ892" s="880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37"/>
      <c r="AZ892" s="6"/>
      <c r="BA892" s="880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799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752"/>
      <c r="DH892" s="6"/>
      <c r="DI892" s="6"/>
      <c r="DJ892" s="752"/>
      <c r="DK892" s="6"/>
      <c r="DL892" s="6"/>
      <c r="DM892" s="752"/>
      <c r="DN892" s="6"/>
      <c r="DO892" s="6"/>
      <c r="DP892" s="752"/>
      <c r="DQ892" s="494"/>
      <c r="DR892" s="505"/>
      <c r="DS892" s="1165"/>
      <c r="DT892" s="1165"/>
      <c r="DU892" s="1165"/>
      <c r="DV892" s="1165"/>
      <c r="DW892" s="1165"/>
      <c r="DX892" s="1165"/>
      <c r="DY892" s="1165"/>
      <c r="DZ892" s="1165"/>
      <c r="EA892" s="1165"/>
      <c r="EB892" s="1165"/>
      <c r="EC892" s="1165"/>
      <c r="ED892" s="1165"/>
      <c r="EE892" s="1149"/>
      <c r="EF892" s="1028"/>
      <c r="EG892" s="1028"/>
      <c r="EH892" s="1028"/>
      <c r="EI892" s="1028"/>
      <c r="EJ892" s="367" t="e">
        <v>#N/A</v>
      </c>
    </row>
    <row r="893" spans="1:141" ht="15" thickBot="1">
      <c r="B893" s="994"/>
      <c r="C893" s="418"/>
      <c r="D893" s="418"/>
      <c r="E893" s="419" t="s">
        <v>983</v>
      </c>
      <c r="F893" s="439"/>
      <c r="G893" s="35">
        <f t="shared" ref="G893:S893" si="564">G891+G853</f>
        <v>0</v>
      </c>
      <c r="H893" s="33">
        <f t="shared" si="564"/>
        <v>0</v>
      </c>
      <c r="I893" s="35">
        <f t="shared" si="564"/>
        <v>0</v>
      </c>
      <c r="J893" s="35">
        <f t="shared" si="564"/>
        <v>0</v>
      </c>
      <c r="K893" s="35">
        <f t="shared" si="564"/>
        <v>0</v>
      </c>
      <c r="L893" s="35">
        <f t="shared" si="564"/>
        <v>0</v>
      </c>
      <c r="M893" s="35">
        <f t="shared" si="564"/>
        <v>0</v>
      </c>
      <c r="N893" s="35">
        <f t="shared" si="564"/>
        <v>0</v>
      </c>
      <c r="O893" s="35">
        <f t="shared" si="564"/>
        <v>0</v>
      </c>
      <c r="P893" s="35">
        <f t="shared" si="564"/>
        <v>0</v>
      </c>
      <c r="Q893" s="35">
        <f t="shared" si="564"/>
        <v>0</v>
      </c>
      <c r="R893" s="35">
        <f t="shared" si="564"/>
        <v>0</v>
      </c>
      <c r="S893" s="35">
        <f t="shared" si="564"/>
        <v>0</v>
      </c>
      <c r="T893" s="36"/>
      <c r="U893" s="35">
        <f t="shared" ref="U893:AG893" si="565">U891+U853</f>
        <v>0</v>
      </c>
      <c r="V893" s="33">
        <f t="shared" si="565"/>
        <v>0</v>
      </c>
      <c r="W893" s="35">
        <f t="shared" si="565"/>
        <v>0</v>
      </c>
      <c r="X893" s="35">
        <f t="shared" si="565"/>
        <v>0</v>
      </c>
      <c r="Y893" s="35">
        <f t="shared" si="565"/>
        <v>0</v>
      </c>
      <c r="Z893" s="35">
        <f t="shared" si="565"/>
        <v>0</v>
      </c>
      <c r="AA893" s="35">
        <f t="shared" si="565"/>
        <v>0</v>
      </c>
      <c r="AB893" s="35">
        <f t="shared" si="565"/>
        <v>0</v>
      </c>
      <c r="AC893" s="35">
        <f t="shared" si="565"/>
        <v>0</v>
      </c>
      <c r="AD893" s="35">
        <f t="shared" si="565"/>
        <v>0</v>
      </c>
      <c r="AE893" s="35">
        <f t="shared" si="565"/>
        <v>0</v>
      </c>
      <c r="AF893" s="35">
        <f t="shared" si="565"/>
        <v>0</v>
      </c>
      <c r="AG893" s="35">
        <f t="shared" si="565"/>
        <v>0</v>
      </c>
      <c r="AH893" s="36"/>
      <c r="AI893" s="35">
        <f t="shared" ref="AI893:AX893" si="566">AI891+AI853</f>
        <v>0</v>
      </c>
      <c r="AJ893" s="870">
        <f t="shared" si="566"/>
        <v>2207745300</v>
      </c>
      <c r="AK893" s="35">
        <f t="shared" si="566"/>
        <v>2656082174</v>
      </c>
      <c r="AL893" s="35">
        <f t="shared" si="566"/>
        <v>943939853</v>
      </c>
      <c r="AM893" s="35">
        <f t="shared" si="566"/>
        <v>764992090</v>
      </c>
      <c r="AN893" s="35">
        <f t="shared" si="566"/>
        <v>1937080505</v>
      </c>
      <c r="AO893" s="35">
        <f t="shared" si="566"/>
        <v>388447190</v>
      </c>
      <c r="AP893" s="35">
        <f t="shared" si="566"/>
        <v>1815974670</v>
      </c>
      <c r="AQ893" s="35">
        <f t="shared" si="566"/>
        <v>2263637835</v>
      </c>
      <c r="AR893" s="35">
        <f t="shared" si="566"/>
        <v>2338373785</v>
      </c>
      <c r="AS893" s="35">
        <f t="shared" si="566"/>
        <v>1520488880</v>
      </c>
      <c r="AT893" s="35">
        <f t="shared" si="566"/>
        <v>1469580580</v>
      </c>
      <c r="AU893" s="35">
        <f t="shared" si="566"/>
        <v>1907000000</v>
      </c>
      <c r="AV893" s="35">
        <f t="shared" si="566"/>
        <v>1800000000</v>
      </c>
      <c r="AW893" s="35">
        <f t="shared" si="566"/>
        <v>1800000000</v>
      </c>
      <c r="AX893" s="35">
        <f t="shared" si="566"/>
        <v>18306342862</v>
      </c>
      <c r="AY893" s="36"/>
      <c r="AZ893" s="35">
        <f t="shared" ref="AZ893:BL893" si="567">AZ891+AZ853</f>
        <v>0</v>
      </c>
      <c r="BA893" s="870">
        <f t="shared" si="567"/>
        <v>2207745300</v>
      </c>
      <c r="BB893" s="35">
        <f t="shared" si="567"/>
        <v>2656082174</v>
      </c>
      <c r="BC893" s="35">
        <f t="shared" si="567"/>
        <v>943939853</v>
      </c>
      <c r="BD893" s="35">
        <f t="shared" si="567"/>
        <v>764992090</v>
      </c>
      <c r="BE893" s="35">
        <f t="shared" si="567"/>
        <v>1937080505</v>
      </c>
      <c r="BF893" s="35">
        <f t="shared" si="567"/>
        <v>388447190</v>
      </c>
      <c r="BG893" s="35">
        <f t="shared" si="567"/>
        <v>1815974670</v>
      </c>
      <c r="BH893" s="35">
        <f t="shared" si="567"/>
        <v>5310000000</v>
      </c>
      <c r="BI893" s="35">
        <f t="shared" si="567"/>
        <v>6825000000</v>
      </c>
      <c r="BJ893" s="35">
        <f t="shared" si="567"/>
        <v>7100000000</v>
      </c>
      <c r="BK893" s="35">
        <f t="shared" si="567"/>
        <v>8000000000</v>
      </c>
      <c r="BL893" s="35">
        <f t="shared" si="567"/>
        <v>37949261782</v>
      </c>
      <c r="BN893" s="35">
        <f t="shared" ref="BN893:BZ893" si="568">BN833+BN891+BN853</f>
        <v>1217000000</v>
      </c>
      <c r="BO893" s="35">
        <f t="shared" si="568"/>
        <v>3043500000</v>
      </c>
      <c r="BP893" s="35">
        <f t="shared" si="568"/>
        <v>4159310000</v>
      </c>
      <c r="BQ893" s="35">
        <f t="shared" si="568"/>
        <v>3696115450</v>
      </c>
      <c r="BR893" s="35">
        <f t="shared" si="568"/>
        <v>3617565000</v>
      </c>
      <c r="BS893" s="35">
        <f t="shared" si="568"/>
        <v>2039665000</v>
      </c>
      <c r="BT893" s="35">
        <f t="shared" si="568"/>
        <v>1129820000</v>
      </c>
      <c r="BU893" s="35">
        <f t="shared" si="568"/>
        <v>3810185000</v>
      </c>
      <c r="BV893" s="35">
        <f t="shared" si="568"/>
        <v>3376275000</v>
      </c>
      <c r="BW893" s="35">
        <f t="shared" si="568"/>
        <v>3564215000</v>
      </c>
      <c r="BX893" s="35">
        <f t="shared" si="568"/>
        <v>3639500000</v>
      </c>
      <c r="BY893" s="35">
        <f t="shared" si="568"/>
        <v>1540000000</v>
      </c>
      <c r="BZ893" s="35">
        <f t="shared" si="568"/>
        <v>34833150450</v>
      </c>
      <c r="CB893" s="35">
        <f t="shared" ref="CB893:CM893" si="569">CB833+CB891+CB853</f>
        <v>1217000000</v>
      </c>
      <c r="CC893" s="35">
        <f t="shared" si="569"/>
        <v>3793500000</v>
      </c>
      <c r="CD893" s="35">
        <f t="shared" si="569"/>
        <v>7953310000</v>
      </c>
      <c r="CE893" s="35">
        <f t="shared" si="569"/>
        <v>4792115450</v>
      </c>
      <c r="CF893" s="35">
        <f t="shared" si="569"/>
        <v>3617565000</v>
      </c>
      <c r="CG893" s="35">
        <f t="shared" si="569"/>
        <v>4939665000</v>
      </c>
      <c r="CH893" s="35">
        <f t="shared" si="569"/>
        <v>4427861591.666667</v>
      </c>
      <c r="CI893" s="35">
        <f t="shared" si="569"/>
        <v>6808226591.666667</v>
      </c>
      <c r="CJ893" s="35">
        <f t="shared" si="569"/>
        <v>5674316591.666667</v>
      </c>
      <c r="CK893" s="35">
        <f t="shared" si="569"/>
        <v>5208856591.666667</v>
      </c>
      <c r="CL893" s="35">
        <f t="shared" si="569"/>
        <v>6237541591.666667</v>
      </c>
      <c r="CM893" s="35">
        <f t="shared" si="569"/>
        <v>2738041591.666667</v>
      </c>
      <c r="CN893" s="503">
        <v>60000000000</v>
      </c>
      <c r="CP893" s="35">
        <f t="shared" ref="CP893:DR893" si="570">CP833+CP891+CP853</f>
        <v>1141341010</v>
      </c>
      <c r="CQ893" s="35">
        <f t="shared" si="570"/>
        <v>2728191894</v>
      </c>
      <c r="CR893" s="35">
        <f t="shared" si="570"/>
        <v>2673308894</v>
      </c>
      <c r="CS893" s="35">
        <f t="shared" si="570"/>
        <v>3791213515</v>
      </c>
      <c r="CT893" s="35">
        <f t="shared" si="570"/>
        <v>4479796900</v>
      </c>
      <c r="CU893" s="35">
        <f t="shared" si="570"/>
        <v>3831120689</v>
      </c>
      <c r="CV893" s="35">
        <f t="shared" si="570"/>
        <v>3447000000</v>
      </c>
      <c r="CW893" s="35">
        <f t="shared" si="570"/>
        <v>932142175</v>
      </c>
      <c r="CX893" s="35">
        <f t="shared" si="570"/>
        <v>2427000000</v>
      </c>
      <c r="CY893" s="35">
        <f t="shared" si="570"/>
        <v>2632241215</v>
      </c>
      <c r="CZ893" s="35">
        <f t="shared" si="570"/>
        <v>3705000000</v>
      </c>
      <c r="DA893" s="35">
        <f t="shared" si="570"/>
        <v>3368694420</v>
      </c>
      <c r="DB893" s="35">
        <f t="shared" si="570"/>
        <v>7707000000</v>
      </c>
      <c r="DC893" s="35">
        <f t="shared" si="570"/>
        <v>4691515957</v>
      </c>
      <c r="DD893" s="35">
        <f t="shared" si="570"/>
        <v>3659000000</v>
      </c>
      <c r="DE893" s="35">
        <f t="shared" si="570"/>
        <v>0</v>
      </c>
      <c r="DF893" s="35">
        <f>DF833+DF891+DF853</f>
        <v>2675000000</v>
      </c>
      <c r="DG893" s="488">
        <f t="shared" si="570"/>
        <v>3475000000</v>
      </c>
      <c r="DH893" s="35">
        <f t="shared" si="570"/>
        <v>0</v>
      </c>
      <c r="DI893" s="35">
        <f>DI833+DI891+DI853</f>
        <v>2650000000</v>
      </c>
      <c r="DJ893" s="488">
        <f t="shared" si="570"/>
        <v>3650000000</v>
      </c>
      <c r="DK893" s="35">
        <f t="shared" si="570"/>
        <v>0</v>
      </c>
      <c r="DL893" s="35">
        <f>DL833+DL891+DL853</f>
        <v>5958000000</v>
      </c>
      <c r="DM893" s="488">
        <f>DM833+DM891+DM853</f>
        <v>5458000000</v>
      </c>
      <c r="DN893" s="35">
        <f t="shared" si="570"/>
        <v>0</v>
      </c>
      <c r="DO893" s="35">
        <f>DO833+DO891+DO853</f>
        <v>4325000000</v>
      </c>
      <c r="DP893" s="488">
        <f t="shared" si="570"/>
        <v>4325000000</v>
      </c>
      <c r="DQ893" s="503">
        <f>DQ833+DQ891+DQ853</f>
        <v>38724460875</v>
      </c>
      <c r="DR893" s="488">
        <f t="shared" si="570"/>
        <v>46871758348</v>
      </c>
      <c r="DS893" s="1188">
        <f t="shared" ref="DS893:EI893" si="571">DS833+DS891+DS853</f>
        <v>3182000000</v>
      </c>
      <c r="DT893" s="1188">
        <f t="shared" si="571"/>
        <v>4828200000</v>
      </c>
      <c r="DU893" s="1188">
        <f t="shared" si="571"/>
        <v>3749600000</v>
      </c>
      <c r="DV893" s="1188">
        <f t="shared" si="571"/>
        <v>4137000000</v>
      </c>
      <c r="DW893" s="1188">
        <f t="shared" si="571"/>
        <v>2654000000</v>
      </c>
      <c r="DX893" s="1188">
        <f t="shared" si="571"/>
        <v>4537000000</v>
      </c>
      <c r="DY893" s="1188">
        <f t="shared" si="571"/>
        <v>3803600000</v>
      </c>
      <c r="DZ893" s="1188">
        <f t="shared" si="571"/>
        <v>4167051000</v>
      </c>
      <c r="EA893" s="1188">
        <f t="shared" si="571"/>
        <v>3396000000</v>
      </c>
      <c r="EB893" s="1188">
        <f t="shared" si="571"/>
        <v>4222000000</v>
      </c>
      <c r="EC893" s="1188">
        <f t="shared" si="571"/>
        <v>3768600000</v>
      </c>
      <c r="ED893" s="1188">
        <f t="shared" si="571"/>
        <v>3180000000</v>
      </c>
      <c r="EE893" s="1155">
        <f>EE833+EE891+EE853</f>
        <v>45625051000</v>
      </c>
      <c r="EF893" s="1031">
        <f t="shared" si="571"/>
        <v>53896818739.260628</v>
      </c>
      <c r="EG893" s="1031">
        <f t="shared" si="571"/>
        <v>76145749770.545776</v>
      </c>
      <c r="EH893" s="1031">
        <f t="shared" si="571"/>
        <v>88152938771.928177</v>
      </c>
      <c r="EI893" s="1031">
        <f t="shared" si="571"/>
        <v>93073844175.859283</v>
      </c>
      <c r="EJ893" s="367" t="e">
        <v>#N/A</v>
      </c>
    </row>
    <row r="894" spans="1:141">
      <c r="AR894" s="130"/>
      <c r="AS894" s="130"/>
      <c r="AT894" s="130"/>
      <c r="AU894" s="130"/>
      <c r="AV894" s="130"/>
      <c r="AW894" s="130"/>
      <c r="AX894" s="130"/>
      <c r="BZ894" s="881"/>
      <c r="CN894" s="882"/>
      <c r="DQ894" s="501"/>
      <c r="DR894" s="511"/>
      <c r="DS894" s="1203"/>
      <c r="DT894" s="1203"/>
      <c r="DU894" s="1203"/>
      <c r="DV894" s="1203"/>
      <c r="DW894" s="1203"/>
      <c r="DX894" s="1203"/>
      <c r="DY894" s="1203"/>
      <c r="DZ894" s="1203"/>
      <c r="EA894" s="1203"/>
      <c r="EB894" s="1203"/>
      <c r="EC894" s="1203"/>
      <c r="ED894" s="1203"/>
      <c r="EE894" s="462"/>
      <c r="EF894" s="462"/>
      <c r="EG894" s="462"/>
      <c r="EH894" s="462"/>
      <c r="EI894" s="462"/>
      <c r="EJ894" s="367" t="e">
        <v>#N/A</v>
      </c>
    </row>
    <row r="895" spans="1:141" ht="16">
      <c r="CM895" s="889" t="s">
        <v>984</v>
      </c>
      <c r="CN895" s="890">
        <v>60000000000</v>
      </c>
      <c r="DQ895" s="502"/>
      <c r="DR895" s="512"/>
      <c r="DS895" s="1203"/>
      <c r="DT895" s="1203"/>
      <c r="DU895" s="1203"/>
      <c r="DV895" s="1203"/>
      <c r="DW895" s="1203"/>
      <c r="DX895" s="1203"/>
      <c r="DY895" s="1203"/>
      <c r="DZ895" s="1203"/>
      <c r="EA895" s="1203"/>
      <c r="EB895" s="1203"/>
      <c r="EC895" s="1203"/>
      <c r="ED895" s="1203"/>
      <c r="EE895" s="462"/>
      <c r="EF895" s="462"/>
      <c r="EG895" s="462"/>
      <c r="EH895" s="462"/>
      <c r="EI895" s="462"/>
      <c r="EJ895" s="367" t="e">
        <v>#N/A</v>
      </c>
    </row>
    <row r="896" spans="1:141">
      <c r="B896" s="368" t="s">
        <v>985</v>
      </c>
      <c r="C896" s="368"/>
      <c r="D896" s="368"/>
      <c r="H896" s="200"/>
      <c r="V896" s="200"/>
      <c r="AJ896" s="891"/>
      <c r="BA896" s="891"/>
      <c r="BO896" s="891"/>
      <c r="CC896" s="891"/>
      <c r="CN896" s="130"/>
      <c r="DQ896" s="502"/>
      <c r="DR896" s="512"/>
      <c r="DS896" s="1203"/>
      <c r="DT896" s="1203"/>
      <c r="DU896" s="1203"/>
      <c r="DV896" s="1203"/>
      <c r="DW896" s="1203"/>
      <c r="DX896" s="1203"/>
      <c r="DY896" s="1203"/>
      <c r="DZ896" s="1203"/>
      <c r="EA896" s="1203"/>
      <c r="EB896" s="1203"/>
      <c r="EC896" s="1203"/>
      <c r="ED896" s="1203"/>
      <c r="EE896" s="463"/>
      <c r="EF896" s="463"/>
      <c r="EG896" s="463"/>
      <c r="EH896" s="463"/>
      <c r="EI896" s="463"/>
      <c r="EJ896" s="367" t="e">
        <v>#N/A</v>
      </c>
    </row>
    <row r="897" spans="2:142">
      <c r="B897" s="368" t="s">
        <v>357</v>
      </c>
      <c r="C897" s="368"/>
      <c r="D897" s="368"/>
      <c r="H897" s="200"/>
      <c r="V897" s="200"/>
      <c r="AJ897" s="891"/>
      <c r="BA897" s="891"/>
      <c r="BO897" s="891"/>
      <c r="CC897" s="891"/>
      <c r="CN897" s="130"/>
      <c r="DQ897" s="502"/>
      <c r="DR897" s="512"/>
      <c r="DS897" s="1203"/>
      <c r="DT897" s="1203"/>
      <c r="DU897" s="1203"/>
      <c r="DV897" s="1203"/>
      <c r="DW897" s="1203"/>
      <c r="DX897" s="1203"/>
      <c r="DY897" s="1203"/>
      <c r="DZ897" s="1203"/>
      <c r="EA897" s="1203"/>
      <c r="EB897" s="1203"/>
      <c r="EC897" s="1203"/>
      <c r="ED897" s="1203"/>
      <c r="EJ897" s="367" t="e">
        <v>#N/A</v>
      </c>
    </row>
    <row r="898" spans="2:142">
      <c r="E898" s="438" t="s">
        <v>324</v>
      </c>
      <c r="F898" s="441"/>
      <c r="G898" s="201">
        <f t="shared" ref="G898:AL898" si="572">G240</f>
        <v>6088180298</v>
      </c>
      <c r="H898" s="201">
        <f t="shared" si="572"/>
        <v>6137463337</v>
      </c>
      <c r="I898" s="201">
        <f t="shared" si="572"/>
        <v>9721463529</v>
      </c>
      <c r="J898" s="201">
        <f t="shared" si="572"/>
        <v>8211434087</v>
      </c>
      <c r="K898" s="201">
        <f t="shared" si="572"/>
        <v>7757343192</v>
      </c>
      <c r="L898" s="201">
        <f t="shared" si="572"/>
        <v>7193869052</v>
      </c>
      <c r="M898" s="201">
        <f t="shared" si="572"/>
        <v>8511918284</v>
      </c>
      <c r="N898" s="201">
        <f t="shared" si="572"/>
        <v>8682587546</v>
      </c>
      <c r="O898" s="201">
        <f t="shared" si="572"/>
        <v>8730967945</v>
      </c>
      <c r="P898" s="201">
        <f t="shared" si="572"/>
        <v>9048860285</v>
      </c>
      <c r="Q898" s="201">
        <f t="shared" si="572"/>
        <v>8835432992</v>
      </c>
      <c r="R898" s="201">
        <f t="shared" si="572"/>
        <v>9537047360</v>
      </c>
      <c r="S898" s="201">
        <f t="shared" si="572"/>
        <v>98456567907</v>
      </c>
      <c r="T898" s="201">
        <f t="shared" si="572"/>
        <v>0</v>
      </c>
      <c r="U898" s="201">
        <f t="shared" si="572"/>
        <v>7412475471</v>
      </c>
      <c r="V898" s="201">
        <f t="shared" si="572"/>
        <v>7008409925</v>
      </c>
      <c r="W898" s="201">
        <f t="shared" si="572"/>
        <v>6299090983</v>
      </c>
      <c r="X898" s="201">
        <f t="shared" si="572"/>
        <v>6470261386</v>
      </c>
      <c r="Y898" s="201">
        <f t="shared" si="572"/>
        <v>6490369267</v>
      </c>
      <c r="Z898" s="201">
        <f t="shared" si="572"/>
        <v>6213213742</v>
      </c>
      <c r="AA898" s="201">
        <f t="shared" si="572"/>
        <v>6656804937</v>
      </c>
      <c r="AB898" s="201">
        <f t="shared" si="572"/>
        <v>6536484924</v>
      </c>
      <c r="AC898" s="201">
        <f t="shared" si="572"/>
        <v>6704712040</v>
      </c>
      <c r="AD898" s="201">
        <f t="shared" si="572"/>
        <v>6811964819</v>
      </c>
      <c r="AE898" s="201">
        <f t="shared" si="572"/>
        <v>7119569899</v>
      </c>
      <c r="AF898" s="201">
        <f t="shared" si="572"/>
        <v>7167458144</v>
      </c>
      <c r="AG898" s="201">
        <f t="shared" si="572"/>
        <v>80890815537</v>
      </c>
      <c r="AH898" s="893">
        <f t="shared" si="572"/>
        <v>0</v>
      </c>
      <c r="AI898" s="201">
        <f t="shared" si="572"/>
        <v>6739429594</v>
      </c>
      <c r="AJ898" s="201">
        <f t="shared" si="572"/>
        <v>6849223971</v>
      </c>
      <c r="AK898" s="201">
        <f t="shared" si="572"/>
        <v>6562227568</v>
      </c>
      <c r="AL898" s="201">
        <f t="shared" si="572"/>
        <v>6629836501</v>
      </c>
      <c r="AM898" s="201">
        <f t="shared" ref="AM898:BR898" si="573">AM240</f>
        <v>4699424819</v>
      </c>
      <c r="AN898" s="201">
        <f t="shared" si="573"/>
        <v>5194904973</v>
      </c>
      <c r="AO898" s="201">
        <f t="shared" si="573"/>
        <v>4545442473</v>
      </c>
      <c r="AP898" s="201">
        <f t="shared" si="573"/>
        <v>4727028288</v>
      </c>
      <c r="AQ898" s="201">
        <f t="shared" si="573"/>
        <v>5409677620</v>
      </c>
      <c r="AR898" s="201">
        <f t="shared" si="573"/>
        <v>5994962004</v>
      </c>
      <c r="AS898" s="201">
        <f t="shared" si="573"/>
        <v>6004135708</v>
      </c>
      <c r="AT898" s="201">
        <f t="shared" si="573"/>
        <v>5939283785</v>
      </c>
      <c r="AU898" s="201">
        <f t="shared" si="573"/>
        <v>5611128961</v>
      </c>
      <c r="AV898" s="201">
        <f t="shared" si="573"/>
        <v>6006128961</v>
      </c>
      <c r="AW898" s="201">
        <f t="shared" si="573"/>
        <v>6056128961</v>
      </c>
      <c r="AX898" s="201">
        <f t="shared" si="573"/>
        <v>69295577304</v>
      </c>
      <c r="AY898" s="893">
        <f t="shared" si="573"/>
        <v>0</v>
      </c>
      <c r="AZ898" s="201">
        <f t="shared" si="573"/>
        <v>6739429594</v>
      </c>
      <c r="BA898" s="201">
        <f t="shared" si="573"/>
        <v>6849223971</v>
      </c>
      <c r="BB898" s="201">
        <f t="shared" si="573"/>
        <v>6562227568</v>
      </c>
      <c r="BC898" s="201">
        <f t="shared" si="573"/>
        <v>6629836501</v>
      </c>
      <c r="BD898" s="201">
        <f t="shared" si="573"/>
        <v>4699424819</v>
      </c>
      <c r="BE898" s="201">
        <f t="shared" si="573"/>
        <v>5194904973</v>
      </c>
      <c r="BF898" s="201">
        <f t="shared" si="573"/>
        <v>4545442473</v>
      </c>
      <c r="BG898" s="201">
        <f t="shared" si="573"/>
        <v>4727028288</v>
      </c>
      <c r="BH898" s="201">
        <f t="shared" si="573"/>
        <v>6535344041</v>
      </c>
      <c r="BI898" s="201">
        <f t="shared" si="573"/>
        <v>7519242041</v>
      </c>
      <c r="BJ898" s="201">
        <f t="shared" si="573"/>
        <v>7801941041</v>
      </c>
      <c r="BK898" s="201">
        <f t="shared" si="573"/>
        <v>7851941041</v>
      </c>
      <c r="BL898" s="201">
        <f t="shared" si="573"/>
        <v>75655986351</v>
      </c>
      <c r="BM898" s="201">
        <f t="shared" si="573"/>
        <v>0</v>
      </c>
      <c r="BN898" s="201">
        <f t="shared" si="573"/>
        <v>6480832499</v>
      </c>
      <c r="BO898" s="201">
        <f t="shared" si="573"/>
        <v>6480832499</v>
      </c>
      <c r="BP898" s="201">
        <f t="shared" si="573"/>
        <v>6880832499</v>
      </c>
      <c r="BQ898" s="201">
        <f t="shared" si="573"/>
        <v>7213239499</v>
      </c>
      <c r="BR898" s="201">
        <f t="shared" si="573"/>
        <v>5621639292</v>
      </c>
      <c r="BS898" s="201">
        <f t="shared" ref="BS898:CM898" si="574">BS240</f>
        <v>6391739499</v>
      </c>
      <c r="BT898" s="201">
        <f t="shared" si="574"/>
        <v>6923239499</v>
      </c>
      <c r="BU898" s="201">
        <f t="shared" si="574"/>
        <v>7123239499</v>
      </c>
      <c r="BV898" s="201">
        <f t="shared" si="574"/>
        <v>7313239499</v>
      </c>
      <c r="BW898" s="201">
        <f t="shared" si="574"/>
        <v>7423239499</v>
      </c>
      <c r="BX898" s="201">
        <f t="shared" si="574"/>
        <v>7263239499</v>
      </c>
      <c r="BY898" s="201">
        <f t="shared" si="574"/>
        <v>7263239499</v>
      </c>
      <c r="BZ898" s="502">
        <f t="shared" si="574"/>
        <v>82378552781</v>
      </c>
      <c r="CB898" s="201">
        <f t="shared" si="574"/>
        <v>6480832499</v>
      </c>
      <c r="CC898" s="201">
        <f t="shared" si="574"/>
        <v>6480832499</v>
      </c>
      <c r="CD898" s="201">
        <f t="shared" si="574"/>
        <v>6880832499</v>
      </c>
      <c r="CE898" s="201">
        <f t="shared" si="574"/>
        <v>7213239499</v>
      </c>
      <c r="CF898" s="201">
        <f t="shared" si="574"/>
        <v>5621639292</v>
      </c>
      <c r="CG898" s="201">
        <f t="shared" si="574"/>
        <v>6391739499</v>
      </c>
      <c r="CH898" s="201">
        <f t="shared" si="574"/>
        <v>6923239499</v>
      </c>
      <c r="CI898" s="201">
        <f t="shared" si="574"/>
        <v>7123239499</v>
      </c>
      <c r="CJ898" s="201">
        <f t="shared" si="574"/>
        <v>7313239499</v>
      </c>
      <c r="CK898" s="201">
        <f t="shared" si="574"/>
        <v>7423239499</v>
      </c>
      <c r="CL898" s="201">
        <f t="shared" si="574"/>
        <v>7263239499</v>
      </c>
      <c r="CM898" s="201">
        <f t="shared" si="574"/>
        <v>7263239499</v>
      </c>
      <c r="CN898" s="201">
        <v>82378552781</v>
      </c>
      <c r="CO898" s="201">
        <f t="shared" ref="CO898:DR898" si="575">CO240</f>
        <v>0</v>
      </c>
      <c r="CP898" s="666">
        <f t="shared" si="575"/>
        <v>5751584489</v>
      </c>
      <c r="CQ898" s="666">
        <f t="shared" si="575"/>
        <v>5466270962</v>
      </c>
      <c r="CR898" s="201">
        <f t="shared" si="575"/>
        <v>6261737981</v>
      </c>
      <c r="CS898" s="666">
        <f t="shared" si="575"/>
        <v>6713879556</v>
      </c>
      <c r="CT898" s="201">
        <f t="shared" si="575"/>
        <v>7468017322</v>
      </c>
      <c r="CU898" s="666">
        <f t="shared" si="575"/>
        <v>6481024774</v>
      </c>
      <c r="CV898" s="201">
        <f t="shared" si="575"/>
        <v>7338704822</v>
      </c>
      <c r="CW898" s="666">
        <f t="shared" si="575"/>
        <v>4958353937</v>
      </c>
      <c r="CX898" s="201">
        <f t="shared" si="575"/>
        <v>6008041122</v>
      </c>
      <c r="CY898" s="666">
        <f t="shared" si="575"/>
        <v>6111499032</v>
      </c>
      <c r="CZ898" s="201">
        <f t="shared" si="575"/>
        <v>7331548622</v>
      </c>
      <c r="DA898" s="666">
        <f t="shared" si="575"/>
        <v>6447838563</v>
      </c>
      <c r="DB898" s="201">
        <f t="shared" si="575"/>
        <v>8490548622</v>
      </c>
      <c r="DC898" s="666">
        <f t="shared" si="575"/>
        <v>6600488377</v>
      </c>
      <c r="DD898" s="201">
        <f t="shared" si="575"/>
        <v>8700548622</v>
      </c>
      <c r="DE898" s="201">
        <f t="shared" si="575"/>
        <v>0</v>
      </c>
      <c r="DF898" s="201">
        <f>DF240</f>
        <v>8700548622</v>
      </c>
      <c r="DG898" s="777">
        <f t="shared" si="575"/>
        <v>8624660059</v>
      </c>
      <c r="DH898" s="201">
        <f t="shared" si="575"/>
        <v>0</v>
      </c>
      <c r="DI898" s="201">
        <f>DI240</f>
        <v>8850548622</v>
      </c>
      <c r="DJ898" s="777">
        <f t="shared" si="575"/>
        <v>9004660059</v>
      </c>
      <c r="DK898" s="201">
        <f t="shared" si="575"/>
        <v>0</v>
      </c>
      <c r="DL898" s="201">
        <f>DL240</f>
        <v>8850548622</v>
      </c>
      <c r="DM898" s="777">
        <f>DM240</f>
        <v>9049660059</v>
      </c>
      <c r="DN898" s="201">
        <f t="shared" si="575"/>
        <v>0</v>
      </c>
      <c r="DO898" s="201">
        <f>DO240</f>
        <v>8850548622</v>
      </c>
      <c r="DP898" s="777">
        <f t="shared" si="575"/>
        <v>9174660059</v>
      </c>
      <c r="DQ898" s="502">
        <f t="shared" si="575"/>
        <v>83783134178</v>
      </c>
      <c r="DR898" s="512">
        <f t="shared" si="575"/>
        <v>85102744991</v>
      </c>
      <c r="DS898" s="1189">
        <f t="shared" ref="DS898:EI898" si="576">DS240</f>
        <v>6938776951</v>
      </c>
      <c r="DT898" s="1189">
        <f t="shared" si="576"/>
        <v>7208776951</v>
      </c>
      <c r="DU898" s="1189">
        <f t="shared" si="576"/>
        <v>7534476951</v>
      </c>
      <c r="DV898" s="1189">
        <f t="shared" si="576"/>
        <v>7153476951</v>
      </c>
      <c r="DW898" s="1189">
        <f t="shared" si="576"/>
        <v>7292476951</v>
      </c>
      <c r="DX898" s="1189">
        <f t="shared" si="576"/>
        <v>8479476951</v>
      </c>
      <c r="DY898" s="1189">
        <f t="shared" si="576"/>
        <v>8904476951</v>
      </c>
      <c r="DZ898" s="1189">
        <f t="shared" si="576"/>
        <v>8899476951</v>
      </c>
      <c r="EA898" s="1189">
        <f t="shared" si="576"/>
        <v>8819476951</v>
      </c>
      <c r="EB898" s="1189">
        <f t="shared" si="576"/>
        <v>8739476951</v>
      </c>
      <c r="EC898" s="1189">
        <f t="shared" si="576"/>
        <v>8689476951</v>
      </c>
      <c r="ED898" s="1189">
        <f t="shared" si="576"/>
        <v>8679476951</v>
      </c>
      <c r="EE898" s="1032">
        <f t="shared" si="576"/>
        <v>97339323412</v>
      </c>
      <c r="EF898" s="1032">
        <f t="shared" si="576"/>
        <v>113721344392.04001</v>
      </c>
      <c r="EG898" s="1032">
        <f t="shared" si="576"/>
        <v>122819051943.4032</v>
      </c>
      <c r="EH898" s="1032">
        <f t="shared" si="576"/>
        <v>133872766618.30948</v>
      </c>
      <c r="EI898" s="1032">
        <f t="shared" si="576"/>
        <v>145921315613.95737</v>
      </c>
      <c r="EJ898" s="367" t="e">
        <v>#N/A</v>
      </c>
      <c r="EK898" s="1033"/>
      <c r="EL898" s="130"/>
    </row>
    <row r="899" spans="2:142">
      <c r="E899" s="438" t="s">
        <v>684</v>
      </c>
      <c r="F899" s="441"/>
      <c r="G899" s="201">
        <f t="shared" ref="G899:AL899" si="577">G624</f>
        <v>0</v>
      </c>
      <c r="H899" s="201">
        <f t="shared" si="577"/>
        <v>0</v>
      </c>
      <c r="I899" s="201">
        <f t="shared" si="577"/>
        <v>0</v>
      </c>
      <c r="J899" s="201">
        <f t="shared" si="577"/>
        <v>0</v>
      </c>
      <c r="K899" s="201">
        <f t="shared" si="577"/>
        <v>0</v>
      </c>
      <c r="L899" s="201">
        <f t="shared" si="577"/>
        <v>0</v>
      </c>
      <c r="M899" s="201">
        <f t="shared" si="577"/>
        <v>0</v>
      </c>
      <c r="N899" s="201">
        <f t="shared" si="577"/>
        <v>0</v>
      </c>
      <c r="O899" s="201">
        <f t="shared" si="577"/>
        <v>0</v>
      </c>
      <c r="P899" s="201">
        <f t="shared" si="577"/>
        <v>0</v>
      </c>
      <c r="Q899" s="201">
        <f t="shared" si="577"/>
        <v>0</v>
      </c>
      <c r="R899" s="201">
        <f t="shared" si="577"/>
        <v>0</v>
      </c>
      <c r="S899" s="201">
        <f t="shared" si="577"/>
        <v>0</v>
      </c>
      <c r="T899" s="201">
        <f t="shared" si="577"/>
        <v>0</v>
      </c>
      <c r="U899" s="201">
        <f t="shared" si="577"/>
        <v>0</v>
      </c>
      <c r="V899" s="201">
        <f t="shared" si="577"/>
        <v>0</v>
      </c>
      <c r="W899" s="201">
        <f t="shared" si="577"/>
        <v>0</v>
      </c>
      <c r="X899" s="201">
        <f t="shared" si="577"/>
        <v>0</v>
      </c>
      <c r="Y899" s="201">
        <f t="shared" si="577"/>
        <v>0</v>
      </c>
      <c r="Z899" s="201">
        <f t="shared" si="577"/>
        <v>0</v>
      </c>
      <c r="AA899" s="201">
        <f t="shared" si="577"/>
        <v>0</v>
      </c>
      <c r="AB899" s="201">
        <f t="shared" si="577"/>
        <v>0</v>
      </c>
      <c r="AC899" s="201">
        <f t="shared" si="577"/>
        <v>0</v>
      </c>
      <c r="AD899" s="201">
        <f t="shared" si="577"/>
        <v>0</v>
      </c>
      <c r="AE899" s="201">
        <f t="shared" si="577"/>
        <v>0</v>
      </c>
      <c r="AF899" s="201">
        <f t="shared" si="577"/>
        <v>0</v>
      </c>
      <c r="AG899" s="201">
        <f t="shared" si="577"/>
        <v>0</v>
      </c>
      <c r="AH899" s="893">
        <f t="shared" si="577"/>
        <v>0</v>
      </c>
      <c r="AI899" s="201">
        <f t="shared" si="577"/>
        <v>457462039</v>
      </c>
      <c r="AJ899" s="201">
        <f t="shared" si="577"/>
        <v>649106160</v>
      </c>
      <c r="AK899" s="201">
        <f t="shared" si="577"/>
        <v>508798060</v>
      </c>
      <c r="AL899" s="201">
        <f t="shared" si="577"/>
        <v>1651033953</v>
      </c>
      <c r="AM899" s="201">
        <f t="shared" ref="AM899:BR899" si="578">AM624</f>
        <v>1174526931</v>
      </c>
      <c r="AN899" s="201">
        <f t="shared" si="578"/>
        <v>1329940341</v>
      </c>
      <c r="AO899" s="201">
        <f t="shared" si="578"/>
        <v>973559916</v>
      </c>
      <c r="AP899" s="201">
        <f t="shared" si="578"/>
        <v>1228093798</v>
      </c>
      <c r="AQ899" s="201">
        <f t="shared" si="578"/>
        <v>1455286379</v>
      </c>
      <c r="AR899" s="201">
        <f t="shared" si="578"/>
        <v>1359679072</v>
      </c>
      <c r="AS899" s="201">
        <f t="shared" si="578"/>
        <v>1213121982</v>
      </c>
      <c r="AT899" s="201">
        <f t="shared" si="578"/>
        <v>1577224074</v>
      </c>
      <c r="AU899" s="201">
        <f t="shared" si="578"/>
        <v>1461450000</v>
      </c>
      <c r="AV899" s="201">
        <f t="shared" si="578"/>
        <v>1443000000</v>
      </c>
      <c r="AW899" s="201">
        <f t="shared" si="578"/>
        <v>1458000000</v>
      </c>
      <c r="AX899" s="201">
        <f t="shared" si="578"/>
        <v>13577832705</v>
      </c>
      <c r="AY899" s="893">
        <f t="shared" si="578"/>
        <v>0</v>
      </c>
      <c r="AZ899" s="201">
        <f t="shared" si="578"/>
        <v>457462039</v>
      </c>
      <c r="BA899" s="201">
        <f t="shared" si="578"/>
        <v>649106160</v>
      </c>
      <c r="BB899" s="201">
        <f t="shared" si="578"/>
        <v>508798060</v>
      </c>
      <c r="BC899" s="201">
        <f t="shared" si="578"/>
        <v>1651033953</v>
      </c>
      <c r="BD899" s="201">
        <f t="shared" si="578"/>
        <v>1174526931</v>
      </c>
      <c r="BE899" s="201">
        <f t="shared" si="578"/>
        <v>1329940341</v>
      </c>
      <c r="BF899" s="201">
        <f t="shared" si="578"/>
        <v>973559916</v>
      </c>
      <c r="BG899" s="201">
        <f t="shared" si="578"/>
        <v>1228093798</v>
      </c>
      <c r="BH899" s="201">
        <f t="shared" si="578"/>
        <v>1443000000</v>
      </c>
      <c r="BI899" s="201">
        <f t="shared" si="578"/>
        <v>1461450000</v>
      </c>
      <c r="BJ899" s="201">
        <f t="shared" si="578"/>
        <v>1443000000</v>
      </c>
      <c r="BK899" s="201">
        <f t="shared" si="578"/>
        <v>1458000000</v>
      </c>
      <c r="BL899" s="201">
        <f t="shared" si="578"/>
        <v>13777971198</v>
      </c>
      <c r="BM899" s="201">
        <f t="shared" si="578"/>
        <v>0</v>
      </c>
      <c r="BN899" s="201">
        <f t="shared" si="578"/>
        <v>2984000000</v>
      </c>
      <c r="BO899" s="201">
        <f t="shared" si="578"/>
        <v>2980500000</v>
      </c>
      <c r="BP899" s="201">
        <f t="shared" si="578"/>
        <v>2983500000</v>
      </c>
      <c r="BQ899" s="201">
        <f t="shared" si="578"/>
        <v>2970500000</v>
      </c>
      <c r="BR899" s="201">
        <f t="shared" si="578"/>
        <v>3130500000</v>
      </c>
      <c r="BS899" s="201">
        <f t="shared" ref="BS899:BY899" si="579">BS624</f>
        <v>3129000000</v>
      </c>
      <c r="BT899" s="201">
        <f t="shared" si="579"/>
        <v>3134000000</v>
      </c>
      <c r="BU899" s="201">
        <f t="shared" si="579"/>
        <v>3140500000</v>
      </c>
      <c r="BV899" s="201">
        <f t="shared" si="579"/>
        <v>3133500000</v>
      </c>
      <c r="BW899" s="201">
        <f t="shared" si="579"/>
        <v>3134000000</v>
      </c>
      <c r="BX899" s="201">
        <f t="shared" si="579"/>
        <v>3130500000</v>
      </c>
      <c r="BY899" s="201">
        <f t="shared" si="579"/>
        <v>3137500000</v>
      </c>
      <c r="BZ899" s="502">
        <f>BZ624</f>
        <v>36988000000</v>
      </c>
      <c r="CB899" s="201">
        <f t="shared" ref="CB899:CM899" si="580">CB624</f>
        <v>2984000000</v>
      </c>
      <c r="CC899" s="201">
        <f t="shared" si="580"/>
        <v>2980500000</v>
      </c>
      <c r="CD899" s="201">
        <f t="shared" si="580"/>
        <v>2983500000</v>
      </c>
      <c r="CE899" s="201">
        <f t="shared" si="580"/>
        <v>2970500000</v>
      </c>
      <c r="CF899" s="201">
        <f t="shared" si="580"/>
        <v>3130500000</v>
      </c>
      <c r="CG899" s="201">
        <f t="shared" si="580"/>
        <v>3129000000</v>
      </c>
      <c r="CH899" s="201">
        <f t="shared" si="580"/>
        <v>3134000000</v>
      </c>
      <c r="CI899" s="201">
        <f t="shared" si="580"/>
        <v>3140500000</v>
      </c>
      <c r="CJ899" s="201">
        <f t="shared" si="580"/>
        <v>3133500000</v>
      </c>
      <c r="CK899" s="201">
        <f t="shared" si="580"/>
        <v>3134000000</v>
      </c>
      <c r="CL899" s="201">
        <f t="shared" si="580"/>
        <v>3130500000</v>
      </c>
      <c r="CM899" s="201">
        <f t="shared" si="580"/>
        <v>3137500000</v>
      </c>
      <c r="CN899" s="201">
        <v>36988000000</v>
      </c>
      <c r="CO899" s="201">
        <f t="shared" ref="CO899:DR899" si="581">CO624</f>
        <v>0</v>
      </c>
      <c r="CP899" s="666">
        <f t="shared" si="581"/>
        <v>1577069699</v>
      </c>
      <c r="CQ899" s="666">
        <f t="shared" si="581"/>
        <v>1749787069</v>
      </c>
      <c r="CR899" s="201">
        <f t="shared" si="581"/>
        <v>1736197000</v>
      </c>
      <c r="CS899" s="666">
        <f t="shared" si="581"/>
        <v>1734640999</v>
      </c>
      <c r="CT899" s="201">
        <f t="shared" si="581"/>
        <v>1219000000</v>
      </c>
      <c r="CU899" s="666">
        <f t="shared" si="581"/>
        <v>1546132366</v>
      </c>
      <c r="CV899" s="201">
        <f t="shared" si="581"/>
        <v>1546000000</v>
      </c>
      <c r="CW899" s="666">
        <f t="shared" si="581"/>
        <v>1711043112</v>
      </c>
      <c r="CX899" s="201">
        <f t="shared" si="581"/>
        <v>1723000000</v>
      </c>
      <c r="CY899" s="666">
        <f t="shared" si="581"/>
        <v>2914732469</v>
      </c>
      <c r="CZ899" s="201">
        <f t="shared" si="581"/>
        <v>2613000000</v>
      </c>
      <c r="DA899" s="666">
        <f t="shared" si="581"/>
        <v>2490658660</v>
      </c>
      <c r="DB899" s="201">
        <f t="shared" si="581"/>
        <v>2663000000</v>
      </c>
      <c r="DC899" s="666">
        <f t="shared" si="581"/>
        <v>2730303857</v>
      </c>
      <c r="DD899" s="201">
        <f t="shared" si="581"/>
        <v>3313000000</v>
      </c>
      <c r="DE899" s="201">
        <f t="shared" si="581"/>
        <v>0</v>
      </c>
      <c r="DF899" s="201">
        <f>DF624</f>
        <v>3863000000</v>
      </c>
      <c r="DG899" s="777">
        <f t="shared" si="581"/>
        <v>3253000000</v>
      </c>
      <c r="DH899" s="201">
        <f t="shared" si="581"/>
        <v>0</v>
      </c>
      <c r="DI899" s="201">
        <f>DI624</f>
        <v>2913000000</v>
      </c>
      <c r="DJ899" s="777">
        <f t="shared" si="581"/>
        <v>3403000000</v>
      </c>
      <c r="DK899" s="201">
        <f t="shared" si="581"/>
        <v>0</v>
      </c>
      <c r="DL899" s="201">
        <f>DL624</f>
        <v>3028000000</v>
      </c>
      <c r="DM899" s="777">
        <f>DM624</f>
        <v>3518000000</v>
      </c>
      <c r="DN899" s="201">
        <f t="shared" si="581"/>
        <v>0</v>
      </c>
      <c r="DO899" s="201">
        <f>DO624</f>
        <v>3358000000</v>
      </c>
      <c r="DP899" s="777">
        <f t="shared" si="581"/>
        <v>3548000000</v>
      </c>
      <c r="DQ899" s="502">
        <f t="shared" si="581"/>
        <v>29616368231</v>
      </c>
      <c r="DR899" s="512">
        <f t="shared" si="581"/>
        <v>30641630133</v>
      </c>
      <c r="DS899" s="1189">
        <f t="shared" ref="DS899:EI899" si="582">DS624</f>
        <v>2375000000</v>
      </c>
      <c r="DT899" s="1189">
        <f t="shared" si="582"/>
        <v>2595000000</v>
      </c>
      <c r="DU899" s="1189">
        <f t="shared" si="582"/>
        <v>2625000000</v>
      </c>
      <c r="DV899" s="1189">
        <f t="shared" si="582"/>
        <v>2645000000</v>
      </c>
      <c r="DW899" s="1189">
        <f t="shared" si="582"/>
        <v>2425000000</v>
      </c>
      <c r="DX899" s="1189">
        <f t="shared" si="582"/>
        <v>3095000000</v>
      </c>
      <c r="DY899" s="1189">
        <f t="shared" si="582"/>
        <v>3125000000</v>
      </c>
      <c r="DZ899" s="1189">
        <f t="shared" si="582"/>
        <v>3595000000</v>
      </c>
      <c r="EA899" s="1189">
        <f t="shared" si="582"/>
        <v>3225000000</v>
      </c>
      <c r="EB899" s="1189">
        <f t="shared" si="582"/>
        <v>3195000000</v>
      </c>
      <c r="EC899" s="1189">
        <f t="shared" si="582"/>
        <v>3625000000</v>
      </c>
      <c r="ED899" s="1189">
        <f t="shared" si="582"/>
        <v>3245000000</v>
      </c>
      <c r="EE899" s="1032">
        <f t="shared" si="582"/>
        <v>35770000000</v>
      </c>
      <c r="EF899" s="1032">
        <f t="shared" si="582"/>
        <v>34773979709.780334</v>
      </c>
      <c r="EG899" s="1032">
        <f t="shared" si="582"/>
        <v>46533624688.549911</v>
      </c>
      <c r="EH899" s="1032">
        <f t="shared" si="582"/>
        <v>81939650011.818085</v>
      </c>
      <c r="EI899" s="1032">
        <f t="shared" si="582"/>
        <v>84649704156.138092</v>
      </c>
      <c r="EJ899" s="367" t="e">
        <v>#N/A</v>
      </c>
      <c r="EK899" s="1033"/>
    </row>
    <row r="900" spans="2:142">
      <c r="E900" s="438" t="s">
        <v>250</v>
      </c>
      <c r="F900" s="441"/>
      <c r="G900" s="201">
        <f t="shared" ref="G900:AL900" si="583">G833</f>
        <v>0</v>
      </c>
      <c r="H900" s="201">
        <f t="shared" si="583"/>
        <v>0</v>
      </c>
      <c r="I900" s="201">
        <f t="shared" si="583"/>
        <v>0</v>
      </c>
      <c r="J900" s="201">
        <f t="shared" si="583"/>
        <v>0</v>
      </c>
      <c r="K900" s="201">
        <f t="shared" si="583"/>
        <v>0</v>
      </c>
      <c r="L900" s="201">
        <f t="shared" si="583"/>
        <v>0</v>
      </c>
      <c r="M900" s="201">
        <f t="shared" si="583"/>
        <v>0</v>
      </c>
      <c r="N900" s="201">
        <f t="shared" si="583"/>
        <v>0</v>
      </c>
      <c r="O900" s="201">
        <f t="shared" si="583"/>
        <v>0</v>
      </c>
      <c r="P900" s="201">
        <f t="shared" si="583"/>
        <v>0</v>
      </c>
      <c r="Q900" s="201">
        <f t="shared" si="583"/>
        <v>0</v>
      </c>
      <c r="R900" s="201">
        <f t="shared" si="583"/>
        <v>0</v>
      </c>
      <c r="S900" s="201">
        <f t="shared" si="583"/>
        <v>0</v>
      </c>
      <c r="T900" s="201">
        <f t="shared" si="583"/>
        <v>0</v>
      </c>
      <c r="U900" s="201">
        <f t="shared" si="583"/>
        <v>0</v>
      </c>
      <c r="V900" s="201">
        <f t="shared" si="583"/>
        <v>0</v>
      </c>
      <c r="W900" s="201">
        <f t="shared" si="583"/>
        <v>0</v>
      </c>
      <c r="X900" s="201">
        <f t="shared" si="583"/>
        <v>0</v>
      </c>
      <c r="Y900" s="201">
        <f t="shared" si="583"/>
        <v>0</v>
      </c>
      <c r="Z900" s="201">
        <f t="shared" si="583"/>
        <v>0</v>
      </c>
      <c r="AA900" s="201">
        <f t="shared" si="583"/>
        <v>0</v>
      </c>
      <c r="AB900" s="201">
        <f t="shared" si="583"/>
        <v>0</v>
      </c>
      <c r="AC900" s="201">
        <f t="shared" si="583"/>
        <v>0</v>
      </c>
      <c r="AD900" s="201">
        <f t="shared" si="583"/>
        <v>0</v>
      </c>
      <c r="AE900" s="201">
        <f t="shared" si="583"/>
        <v>0</v>
      </c>
      <c r="AF900" s="201">
        <f t="shared" si="583"/>
        <v>0</v>
      </c>
      <c r="AG900" s="201">
        <f t="shared" si="583"/>
        <v>0</v>
      </c>
      <c r="AH900" s="893">
        <f t="shared" si="583"/>
        <v>0</v>
      </c>
      <c r="AI900" s="201">
        <f t="shared" si="583"/>
        <v>0</v>
      </c>
      <c r="AJ900" s="201">
        <f t="shared" si="583"/>
        <v>0</v>
      </c>
      <c r="AK900" s="201">
        <f t="shared" si="583"/>
        <v>0</v>
      </c>
      <c r="AL900" s="201">
        <f t="shared" si="583"/>
        <v>0</v>
      </c>
      <c r="AM900" s="201">
        <f t="shared" ref="AM900:BR900" si="584">AM833</f>
        <v>0</v>
      </c>
      <c r="AN900" s="201">
        <f t="shared" si="584"/>
        <v>0</v>
      </c>
      <c r="AO900" s="201">
        <f t="shared" si="584"/>
        <v>0</v>
      </c>
      <c r="AP900" s="201">
        <f t="shared" si="584"/>
        <v>0</v>
      </c>
      <c r="AQ900" s="201">
        <f t="shared" si="584"/>
        <v>0</v>
      </c>
      <c r="AR900" s="201">
        <f t="shared" si="584"/>
        <v>0</v>
      </c>
      <c r="AS900" s="201">
        <f t="shared" si="584"/>
        <v>0</v>
      </c>
      <c r="AT900" s="201">
        <f t="shared" si="584"/>
        <v>0</v>
      </c>
      <c r="AU900" s="201">
        <f t="shared" si="584"/>
        <v>0</v>
      </c>
      <c r="AV900" s="201">
        <f t="shared" si="584"/>
        <v>0</v>
      </c>
      <c r="AW900" s="201">
        <f t="shared" si="584"/>
        <v>0</v>
      </c>
      <c r="AX900" s="201">
        <f t="shared" si="584"/>
        <v>0</v>
      </c>
      <c r="AY900" s="893">
        <f t="shared" si="584"/>
        <v>0</v>
      </c>
      <c r="AZ900" s="201">
        <f t="shared" si="584"/>
        <v>0</v>
      </c>
      <c r="BA900" s="201">
        <f t="shared" si="584"/>
        <v>0</v>
      </c>
      <c r="BB900" s="201">
        <f t="shared" si="584"/>
        <v>0</v>
      </c>
      <c r="BC900" s="201">
        <f t="shared" si="584"/>
        <v>0</v>
      </c>
      <c r="BD900" s="201">
        <f t="shared" si="584"/>
        <v>0</v>
      </c>
      <c r="BE900" s="201">
        <f t="shared" si="584"/>
        <v>0</v>
      </c>
      <c r="BF900" s="201">
        <f t="shared" si="584"/>
        <v>0</v>
      </c>
      <c r="BG900" s="201">
        <f t="shared" si="584"/>
        <v>0</v>
      </c>
      <c r="BH900" s="201">
        <f t="shared" si="584"/>
        <v>0</v>
      </c>
      <c r="BI900" s="201">
        <f t="shared" si="584"/>
        <v>0</v>
      </c>
      <c r="BJ900" s="201">
        <f t="shared" si="584"/>
        <v>0</v>
      </c>
      <c r="BK900" s="201">
        <f t="shared" si="584"/>
        <v>0</v>
      </c>
      <c r="BL900" s="201">
        <f t="shared" si="584"/>
        <v>0</v>
      </c>
      <c r="BM900" s="201">
        <f t="shared" si="584"/>
        <v>0</v>
      </c>
      <c r="BN900" s="201">
        <f t="shared" si="584"/>
        <v>0</v>
      </c>
      <c r="BO900" s="201">
        <f t="shared" si="584"/>
        <v>0</v>
      </c>
      <c r="BP900" s="201">
        <f t="shared" si="584"/>
        <v>0</v>
      </c>
      <c r="BQ900" s="201">
        <f t="shared" si="584"/>
        <v>0</v>
      </c>
      <c r="BR900" s="201">
        <f t="shared" si="584"/>
        <v>0</v>
      </c>
      <c r="BS900" s="201">
        <f t="shared" ref="BS900:BY900" si="585">BS833</f>
        <v>0</v>
      </c>
      <c r="BT900" s="201">
        <f t="shared" si="585"/>
        <v>0</v>
      </c>
      <c r="BU900" s="201">
        <f t="shared" si="585"/>
        <v>0</v>
      </c>
      <c r="BV900" s="201">
        <f t="shared" si="585"/>
        <v>0</v>
      </c>
      <c r="BW900" s="201">
        <f t="shared" si="585"/>
        <v>0</v>
      </c>
      <c r="BX900" s="201">
        <f t="shared" si="585"/>
        <v>0</v>
      </c>
      <c r="BY900" s="201">
        <f t="shared" si="585"/>
        <v>0</v>
      </c>
      <c r="BZ900" s="502">
        <f>BZ833</f>
        <v>0</v>
      </c>
      <c r="CB900" s="201">
        <f t="shared" ref="CB900:CM900" si="586">CB833</f>
        <v>0</v>
      </c>
      <c r="CC900" s="201">
        <f t="shared" si="586"/>
        <v>0</v>
      </c>
      <c r="CD900" s="201">
        <f t="shared" si="586"/>
        <v>2396000000</v>
      </c>
      <c r="CE900" s="201">
        <f t="shared" si="586"/>
        <v>1096000000</v>
      </c>
      <c r="CF900" s="201">
        <f t="shared" si="586"/>
        <v>0</v>
      </c>
      <c r="CG900" s="201">
        <f t="shared" si="586"/>
        <v>2550000000</v>
      </c>
      <c r="CH900" s="201">
        <f t="shared" si="586"/>
        <v>2348041591.666667</v>
      </c>
      <c r="CI900" s="201">
        <f t="shared" si="586"/>
        <v>2498041591.666667</v>
      </c>
      <c r="CJ900" s="201">
        <f t="shared" si="586"/>
        <v>1198041591.666667</v>
      </c>
      <c r="CK900" s="201">
        <f t="shared" si="586"/>
        <v>1198041591.666667</v>
      </c>
      <c r="CL900" s="201">
        <f t="shared" si="586"/>
        <v>2598041591.666667</v>
      </c>
      <c r="CM900" s="201">
        <f t="shared" si="586"/>
        <v>1198041591.666667</v>
      </c>
      <c r="CN900" s="201">
        <v>17080249550.000002</v>
      </c>
      <c r="CO900" s="201">
        <f t="shared" ref="CO900:DR900" si="587">CO833</f>
        <v>0</v>
      </c>
      <c r="CP900" s="666">
        <f t="shared" si="587"/>
        <v>0</v>
      </c>
      <c r="CQ900" s="666">
        <f t="shared" si="587"/>
        <v>0</v>
      </c>
      <c r="CR900" s="201">
        <f t="shared" si="587"/>
        <v>264000000</v>
      </c>
      <c r="CS900" s="666">
        <f t="shared" si="587"/>
        <v>622418875</v>
      </c>
      <c r="CT900" s="201">
        <f t="shared" si="587"/>
        <v>2027296900</v>
      </c>
      <c r="CU900" s="666">
        <f t="shared" si="587"/>
        <v>1571525466</v>
      </c>
      <c r="CV900" s="201">
        <f t="shared" si="587"/>
        <v>616000000</v>
      </c>
      <c r="CW900" s="666">
        <f t="shared" si="587"/>
        <v>0</v>
      </c>
      <c r="CX900" s="201">
        <f t="shared" si="587"/>
        <v>1164000000</v>
      </c>
      <c r="CY900" s="666">
        <f t="shared" si="587"/>
        <v>132200000</v>
      </c>
      <c r="CZ900" s="201">
        <f t="shared" si="587"/>
        <v>200000000</v>
      </c>
      <c r="DA900" s="666">
        <f t="shared" si="587"/>
        <v>0</v>
      </c>
      <c r="DB900" s="201">
        <f t="shared" si="587"/>
        <v>1730000000</v>
      </c>
      <c r="DC900" s="666">
        <f t="shared" si="587"/>
        <v>80000000</v>
      </c>
      <c r="DD900" s="201">
        <f t="shared" si="587"/>
        <v>1000000000</v>
      </c>
      <c r="DE900" s="201">
        <f t="shared" si="587"/>
        <v>0</v>
      </c>
      <c r="DF900" s="201">
        <f>DF833</f>
        <v>2180000000</v>
      </c>
      <c r="DG900" s="777">
        <f t="shared" si="587"/>
        <v>1480000000</v>
      </c>
      <c r="DH900" s="201">
        <f t="shared" si="587"/>
        <v>0</v>
      </c>
      <c r="DI900" s="201">
        <f>DI833</f>
        <v>2180000000</v>
      </c>
      <c r="DJ900" s="777">
        <f t="shared" si="587"/>
        <v>1680000000</v>
      </c>
      <c r="DK900" s="201">
        <f t="shared" si="587"/>
        <v>0</v>
      </c>
      <c r="DL900" s="201">
        <f>DL833</f>
        <v>2215000000</v>
      </c>
      <c r="DM900" s="777">
        <f>DM833</f>
        <v>1715000000</v>
      </c>
      <c r="DN900" s="201">
        <f t="shared" si="587"/>
        <v>0</v>
      </c>
      <c r="DO900" s="201">
        <f>DO833</f>
        <v>1350000000</v>
      </c>
      <c r="DP900" s="777">
        <f t="shared" si="587"/>
        <v>1350000000</v>
      </c>
      <c r="DQ900" s="502">
        <f t="shared" si="587"/>
        <v>10331144341</v>
      </c>
      <c r="DR900" s="512">
        <f t="shared" si="587"/>
        <v>12512944341</v>
      </c>
      <c r="DS900" s="1189">
        <f t="shared" ref="DS900:EI900" si="588">DS833</f>
        <v>750000000</v>
      </c>
      <c r="DT900" s="1189">
        <f t="shared" si="588"/>
        <v>850000000</v>
      </c>
      <c r="DU900" s="1189">
        <f t="shared" si="588"/>
        <v>850000000</v>
      </c>
      <c r="DV900" s="1189">
        <f t="shared" si="588"/>
        <v>850000000</v>
      </c>
      <c r="DW900" s="1189">
        <f t="shared" si="588"/>
        <v>750000000</v>
      </c>
      <c r="DX900" s="1189">
        <f t="shared" si="588"/>
        <v>950000000</v>
      </c>
      <c r="DY900" s="1189">
        <f t="shared" si="588"/>
        <v>750000000</v>
      </c>
      <c r="DZ900" s="1189">
        <f t="shared" si="588"/>
        <v>950000000</v>
      </c>
      <c r="EA900" s="1189">
        <f t="shared" si="588"/>
        <v>750000000</v>
      </c>
      <c r="EB900" s="1189">
        <f t="shared" si="588"/>
        <v>950000000</v>
      </c>
      <c r="EC900" s="1189">
        <f t="shared" si="588"/>
        <v>750000000</v>
      </c>
      <c r="ED900" s="1189">
        <f t="shared" si="588"/>
        <v>850000000</v>
      </c>
      <c r="EE900" s="1032">
        <f t="shared" si="588"/>
        <v>10000000000</v>
      </c>
      <c r="EF900" s="1032">
        <f>EF833</f>
        <v>10098246466.153587</v>
      </c>
      <c r="EG900" s="1032">
        <f t="shared" si="588"/>
        <v>19384939839.239708</v>
      </c>
      <c r="EH900" s="1032">
        <f t="shared" si="588"/>
        <v>28029746628.63232</v>
      </c>
      <c r="EI900" s="1032">
        <f t="shared" si="588"/>
        <v>28816203757.49456</v>
      </c>
      <c r="EJ900" s="367" t="e">
        <v>#N/A</v>
      </c>
      <c r="EK900" s="1033"/>
      <c r="EL900" s="130"/>
    </row>
    <row r="901" spans="2:142" ht="15" thickBot="1">
      <c r="E901" s="422" t="s">
        <v>986</v>
      </c>
      <c r="F901" s="422"/>
      <c r="G901" s="128">
        <f t="shared" ref="G901:R901" si="589">SUM(G898:G900)</f>
        <v>6088180298</v>
      </c>
      <c r="H901" s="128">
        <f t="shared" si="589"/>
        <v>6137463337</v>
      </c>
      <c r="I901" s="128">
        <f t="shared" si="589"/>
        <v>9721463529</v>
      </c>
      <c r="J901" s="128">
        <f t="shared" si="589"/>
        <v>8211434087</v>
      </c>
      <c r="K901" s="128">
        <f t="shared" si="589"/>
        <v>7757343192</v>
      </c>
      <c r="L901" s="128">
        <f t="shared" si="589"/>
        <v>7193869052</v>
      </c>
      <c r="M901" s="128">
        <f t="shared" si="589"/>
        <v>8511918284</v>
      </c>
      <c r="N901" s="128">
        <f t="shared" si="589"/>
        <v>8682587546</v>
      </c>
      <c r="O901" s="128">
        <f t="shared" si="589"/>
        <v>8730967945</v>
      </c>
      <c r="P901" s="128">
        <f t="shared" si="589"/>
        <v>9048860285</v>
      </c>
      <c r="Q901" s="128">
        <f t="shared" si="589"/>
        <v>8835432992</v>
      </c>
      <c r="R901" s="128">
        <f t="shared" si="589"/>
        <v>9537047360</v>
      </c>
      <c r="S901" s="128">
        <f t="shared" ref="S901:CE901" si="590">SUM(S898:S900)</f>
        <v>98456567907</v>
      </c>
      <c r="T901" s="128">
        <f t="shared" si="590"/>
        <v>0</v>
      </c>
      <c r="U901" s="128">
        <f t="shared" si="590"/>
        <v>7412475471</v>
      </c>
      <c r="V901" s="128">
        <f t="shared" si="590"/>
        <v>7008409925</v>
      </c>
      <c r="W901" s="128">
        <f t="shared" si="590"/>
        <v>6299090983</v>
      </c>
      <c r="X901" s="128">
        <f t="shared" si="590"/>
        <v>6470261386</v>
      </c>
      <c r="Y901" s="128">
        <f t="shared" si="590"/>
        <v>6490369267</v>
      </c>
      <c r="Z901" s="128">
        <f t="shared" si="590"/>
        <v>6213213742</v>
      </c>
      <c r="AA901" s="128">
        <f t="shared" si="590"/>
        <v>6656804937</v>
      </c>
      <c r="AB901" s="128">
        <f t="shared" si="590"/>
        <v>6536484924</v>
      </c>
      <c r="AC901" s="128">
        <f t="shared" si="590"/>
        <v>6704712040</v>
      </c>
      <c r="AD901" s="128">
        <f t="shared" si="590"/>
        <v>6811964819</v>
      </c>
      <c r="AE901" s="128">
        <f t="shared" si="590"/>
        <v>7119569899</v>
      </c>
      <c r="AF901" s="128">
        <f t="shared" si="590"/>
        <v>7167458144</v>
      </c>
      <c r="AG901" s="128">
        <f t="shared" si="590"/>
        <v>80890815537</v>
      </c>
      <c r="AH901" s="894">
        <f t="shared" si="590"/>
        <v>0</v>
      </c>
      <c r="AI901" s="128">
        <f t="shared" si="590"/>
        <v>7196891633</v>
      </c>
      <c r="AJ901" s="128">
        <f t="shared" si="590"/>
        <v>7498330131</v>
      </c>
      <c r="AK901" s="128">
        <f t="shared" si="590"/>
        <v>7071025628</v>
      </c>
      <c r="AL901" s="128">
        <f t="shared" si="590"/>
        <v>8280870454</v>
      </c>
      <c r="AM901" s="128">
        <f t="shared" si="590"/>
        <v>5873951750</v>
      </c>
      <c r="AN901" s="128">
        <f t="shared" si="590"/>
        <v>6524845314</v>
      </c>
      <c r="AO901" s="128">
        <f t="shared" si="590"/>
        <v>5519002389</v>
      </c>
      <c r="AP901" s="128">
        <f t="shared" si="590"/>
        <v>5955122086</v>
      </c>
      <c r="AQ901" s="128">
        <f t="shared" si="590"/>
        <v>6864963999</v>
      </c>
      <c r="AR901" s="128">
        <f t="shared" si="590"/>
        <v>7354641076</v>
      </c>
      <c r="AS901" s="128">
        <f t="shared" si="590"/>
        <v>7217257690</v>
      </c>
      <c r="AT901" s="128">
        <f t="shared" si="590"/>
        <v>7516507859</v>
      </c>
      <c r="AU901" s="128">
        <f t="shared" si="590"/>
        <v>7072578961</v>
      </c>
      <c r="AV901" s="128">
        <f t="shared" si="590"/>
        <v>7449128961</v>
      </c>
      <c r="AW901" s="128">
        <f t="shared" si="590"/>
        <v>7514128961</v>
      </c>
      <c r="AX901" s="128">
        <f t="shared" si="590"/>
        <v>82873410009</v>
      </c>
      <c r="AY901" s="894">
        <f>SUM(AY898:AY900)</f>
        <v>0</v>
      </c>
      <c r="AZ901" s="128">
        <f t="shared" si="590"/>
        <v>7196891633</v>
      </c>
      <c r="BA901" s="128">
        <f t="shared" si="590"/>
        <v>7498330131</v>
      </c>
      <c r="BB901" s="128">
        <f t="shared" si="590"/>
        <v>7071025628</v>
      </c>
      <c r="BC901" s="128">
        <f t="shared" si="590"/>
        <v>8280870454</v>
      </c>
      <c r="BD901" s="128">
        <f t="shared" si="590"/>
        <v>5873951750</v>
      </c>
      <c r="BE901" s="128">
        <f t="shared" si="590"/>
        <v>6524845314</v>
      </c>
      <c r="BF901" s="128">
        <f t="shared" si="590"/>
        <v>5519002389</v>
      </c>
      <c r="BG901" s="128">
        <f t="shared" si="590"/>
        <v>5955122086</v>
      </c>
      <c r="BH901" s="128">
        <f t="shared" si="590"/>
        <v>7978344041</v>
      </c>
      <c r="BI901" s="128">
        <f t="shared" si="590"/>
        <v>8980692041</v>
      </c>
      <c r="BJ901" s="128">
        <f t="shared" si="590"/>
        <v>9244941041</v>
      </c>
      <c r="BK901" s="128">
        <f t="shared" si="590"/>
        <v>9309941041</v>
      </c>
      <c r="BL901" s="128">
        <f t="shared" si="590"/>
        <v>89433957549</v>
      </c>
      <c r="BM901" s="128">
        <f t="shared" si="590"/>
        <v>0</v>
      </c>
      <c r="BN901" s="128">
        <f>SUM(BN898:BN900)</f>
        <v>9464832499</v>
      </c>
      <c r="BO901" s="128">
        <f t="shared" si="590"/>
        <v>9461332499</v>
      </c>
      <c r="BP901" s="128">
        <f t="shared" si="590"/>
        <v>9864332499</v>
      </c>
      <c r="BQ901" s="128">
        <f t="shared" si="590"/>
        <v>10183739499</v>
      </c>
      <c r="BR901" s="128">
        <f t="shared" si="590"/>
        <v>8752139292</v>
      </c>
      <c r="BS901" s="128">
        <f t="shared" si="590"/>
        <v>9520739499</v>
      </c>
      <c r="BT901" s="128">
        <f t="shared" si="590"/>
        <v>10057239499</v>
      </c>
      <c r="BU901" s="128">
        <f t="shared" si="590"/>
        <v>10263739499</v>
      </c>
      <c r="BV901" s="128">
        <f t="shared" si="590"/>
        <v>10446739499</v>
      </c>
      <c r="BW901" s="128">
        <f t="shared" si="590"/>
        <v>10557239499</v>
      </c>
      <c r="BX901" s="128">
        <f t="shared" si="590"/>
        <v>10393739499</v>
      </c>
      <c r="BY901" s="128">
        <f t="shared" si="590"/>
        <v>10400739499</v>
      </c>
      <c r="BZ901" s="128">
        <f>SUM(BZ898:BZ900)</f>
        <v>119366552781</v>
      </c>
      <c r="CB901" s="128">
        <f t="shared" si="590"/>
        <v>9464832499</v>
      </c>
      <c r="CC901" s="128">
        <f t="shared" si="590"/>
        <v>9461332499</v>
      </c>
      <c r="CD901" s="128">
        <f t="shared" si="590"/>
        <v>12260332499</v>
      </c>
      <c r="CE901" s="128">
        <f t="shared" si="590"/>
        <v>11279739499</v>
      </c>
      <c r="CF901" s="128">
        <f t="shared" ref="CF901:CM901" si="591">SUM(CF898:CF900)</f>
        <v>8752139292</v>
      </c>
      <c r="CG901" s="128">
        <f t="shared" si="591"/>
        <v>12070739499</v>
      </c>
      <c r="CH901" s="128">
        <f t="shared" si="591"/>
        <v>12405281090.666668</v>
      </c>
      <c r="CI901" s="128">
        <f t="shared" si="591"/>
        <v>12761781090.666668</v>
      </c>
      <c r="CJ901" s="128">
        <f t="shared" si="591"/>
        <v>11644781090.666668</v>
      </c>
      <c r="CK901" s="128">
        <f t="shared" si="591"/>
        <v>11755281090.666668</v>
      </c>
      <c r="CL901" s="128">
        <f t="shared" si="591"/>
        <v>12991781090.666668</v>
      </c>
      <c r="CM901" s="128">
        <f t="shared" si="591"/>
        <v>11598781090.666668</v>
      </c>
      <c r="CN901" s="128">
        <v>136446802331</v>
      </c>
      <c r="CO901" s="128">
        <f t="shared" ref="CO901:CT901" si="592">SUM(CO898:CO900)</f>
        <v>0</v>
      </c>
      <c r="CP901" s="667">
        <f t="shared" si="592"/>
        <v>7328654188</v>
      </c>
      <c r="CQ901" s="667">
        <f t="shared" si="592"/>
        <v>7216058031</v>
      </c>
      <c r="CR901" s="128">
        <f t="shared" si="592"/>
        <v>8261934981</v>
      </c>
      <c r="CS901" s="667">
        <f t="shared" si="592"/>
        <v>9070939430</v>
      </c>
      <c r="CT901" s="128">
        <f t="shared" si="592"/>
        <v>10714314222</v>
      </c>
      <c r="CU901" s="667">
        <f t="shared" ref="CU901:DB901" si="593">SUM(CU898:CU900)</f>
        <v>9598682606</v>
      </c>
      <c r="CV901" s="128">
        <f t="shared" si="593"/>
        <v>9500704822</v>
      </c>
      <c r="CW901" s="667">
        <f t="shared" si="593"/>
        <v>6669397049</v>
      </c>
      <c r="CX901" s="128">
        <f t="shared" si="593"/>
        <v>8895041122</v>
      </c>
      <c r="CY901" s="667">
        <f t="shared" si="593"/>
        <v>9158431501</v>
      </c>
      <c r="CZ901" s="128">
        <f t="shared" si="593"/>
        <v>10144548622</v>
      </c>
      <c r="DA901" s="667">
        <f t="shared" si="593"/>
        <v>8938497223</v>
      </c>
      <c r="DB901" s="128">
        <f t="shared" si="593"/>
        <v>12883548622</v>
      </c>
      <c r="DC901" s="667">
        <f t="shared" ref="DC901:DR901" si="594">SUM(DC898:DC900)</f>
        <v>9410792234</v>
      </c>
      <c r="DD901" s="128">
        <f t="shared" si="594"/>
        <v>13013548622</v>
      </c>
      <c r="DE901" s="128">
        <f t="shared" si="594"/>
        <v>0</v>
      </c>
      <c r="DF901" s="128">
        <f t="shared" si="594"/>
        <v>14743548622</v>
      </c>
      <c r="DG901" s="489">
        <f t="shared" si="594"/>
        <v>13357660059</v>
      </c>
      <c r="DH901" s="128">
        <f t="shared" si="594"/>
        <v>0</v>
      </c>
      <c r="DI901" s="128">
        <f t="shared" si="594"/>
        <v>13943548622</v>
      </c>
      <c r="DJ901" s="489">
        <f t="shared" si="594"/>
        <v>14087660059</v>
      </c>
      <c r="DK901" s="128">
        <f t="shared" si="594"/>
        <v>0</v>
      </c>
      <c r="DL901" s="128">
        <f t="shared" si="594"/>
        <v>14093548622</v>
      </c>
      <c r="DM901" s="489">
        <f t="shared" si="594"/>
        <v>14282660059</v>
      </c>
      <c r="DN901" s="128">
        <f t="shared" si="594"/>
        <v>0</v>
      </c>
      <c r="DO901" s="128">
        <f t="shared" si="594"/>
        <v>13558548622</v>
      </c>
      <c r="DP901" s="489">
        <f t="shared" si="594"/>
        <v>14072660059</v>
      </c>
      <c r="DQ901" s="128">
        <f t="shared" si="594"/>
        <v>123730646750</v>
      </c>
      <c r="DR901" s="489">
        <f t="shared" si="594"/>
        <v>128257319465</v>
      </c>
      <c r="DS901" s="1190">
        <f t="shared" ref="DS901:EI901" si="595">SUM(DS898:DS900)</f>
        <v>10063776951</v>
      </c>
      <c r="DT901" s="1190">
        <f t="shared" si="595"/>
        <v>10653776951</v>
      </c>
      <c r="DU901" s="1190">
        <f t="shared" si="595"/>
        <v>11009476951</v>
      </c>
      <c r="DV901" s="1190">
        <f t="shared" si="595"/>
        <v>10648476951</v>
      </c>
      <c r="DW901" s="1190">
        <f t="shared" si="595"/>
        <v>10467476951</v>
      </c>
      <c r="DX901" s="1190">
        <f t="shared" si="595"/>
        <v>12524476951</v>
      </c>
      <c r="DY901" s="1190">
        <f t="shared" si="595"/>
        <v>12779476951</v>
      </c>
      <c r="DZ901" s="1190">
        <f t="shared" si="595"/>
        <v>13444476951</v>
      </c>
      <c r="EA901" s="1190">
        <f t="shared" si="595"/>
        <v>12794476951</v>
      </c>
      <c r="EB901" s="1190">
        <f t="shared" si="595"/>
        <v>12884476951</v>
      </c>
      <c r="EC901" s="1190">
        <f t="shared" si="595"/>
        <v>13064476951</v>
      </c>
      <c r="ED901" s="1190">
        <f t="shared" si="595"/>
        <v>12774476951</v>
      </c>
      <c r="EE901" s="1034">
        <f t="shared" si="595"/>
        <v>143109323412</v>
      </c>
      <c r="EF901" s="1034">
        <f t="shared" si="595"/>
        <v>158593570567.97394</v>
      </c>
      <c r="EG901" s="1034">
        <f t="shared" si="595"/>
        <v>188737616471.19284</v>
      </c>
      <c r="EH901" s="1034">
        <f t="shared" si="595"/>
        <v>243842163258.75989</v>
      </c>
      <c r="EI901" s="1034">
        <f t="shared" si="595"/>
        <v>259387223527.59003</v>
      </c>
      <c r="EJ901" s="367" t="e">
        <v>#N/A</v>
      </c>
      <c r="EK901" s="1033"/>
    </row>
    <row r="902" spans="2:142" ht="15" thickTop="1">
      <c r="H902" s="1"/>
      <c r="T902" s="1"/>
      <c r="V902" s="1"/>
      <c r="AJ902" s="1"/>
      <c r="BA902" s="1"/>
      <c r="BM902" s="1"/>
      <c r="BO902" s="1"/>
      <c r="BZ902" s="491"/>
      <c r="CC902" s="1"/>
      <c r="CO902" s="1"/>
      <c r="DS902" s="1189"/>
      <c r="DT902" s="1189"/>
      <c r="DU902" s="1189"/>
      <c r="DV902" s="1189"/>
      <c r="DW902" s="1189"/>
      <c r="DX902" s="1189"/>
      <c r="DY902" s="1189"/>
      <c r="DZ902" s="1189"/>
      <c r="EA902" s="1189"/>
      <c r="EB902" s="1189"/>
      <c r="EC902" s="1189"/>
      <c r="ED902" s="1189"/>
      <c r="EE902" s="1035"/>
      <c r="EF902" s="1035"/>
      <c r="EG902" s="1035"/>
      <c r="EH902" s="1035"/>
      <c r="EI902" s="1035"/>
      <c r="EJ902" s="367" t="e">
        <v>#N/A</v>
      </c>
      <c r="EK902" s="1033"/>
    </row>
    <row r="903" spans="2:142">
      <c r="B903" s="368" t="s">
        <v>562</v>
      </c>
      <c r="C903" s="368"/>
      <c r="D903" s="368"/>
      <c r="H903" s="1"/>
      <c r="T903" s="1"/>
      <c r="V903" s="1"/>
      <c r="AJ903" s="1"/>
      <c r="BA903" s="1"/>
      <c r="BM903" s="1"/>
      <c r="BO903" s="1"/>
      <c r="BZ903" s="491"/>
      <c r="CC903" s="1"/>
      <c r="CO903" s="1"/>
      <c r="DS903" s="1189"/>
      <c r="DT903" s="1189"/>
      <c r="DU903" s="1189"/>
      <c r="DV903" s="1189"/>
      <c r="DW903" s="1189"/>
      <c r="DX903" s="1189"/>
      <c r="DY903" s="1189"/>
      <c r="DZ903" s="1189"/>
      <c r="EA903" s="1189"/>
      <c r="EB903" s="1189"/>
      <c r="EC903" s="1189"/>
      <c r="ED903" s="1189"/>
      <c r="EE903" s="1035"/>
      <c r="EF903" s="1035"/>
      <c r="EG903" s="1035"/>
      <c r="EH903" s="1035"/>
      <c r="EI903" s="1035"/>
      <c r="EJ903" s="367" t="e">
        <v>#N/A</v>
      </c>
      <c r="EK903" s="1033"/>
    </row>
    <row r="904" spans="2:142">
      <c r="E904" s="438" t="s">
        <v>324</v>
      </c>
      <c r="F904" s="441"/>
      <c r="G904" s="201">
        <f t="shared" ref="G904:AL904" si="596">G295</f>
        <v>0</v>
      </c>
      <c r="H904" s="201">
        <f t="shared" si="596"/>
        <v>0</v>
      </c>
      <c r="I904" s="201">
        <f t="shared" si="596"/>
        <v>0</v>
      </c>
      <c r="J904" s="201">
        <f t="shared" si="596"/>
        <v>0</v>
      </c>
      <c r="K904" s="201">
        <f t="shared" si="596"/>
        <v>0</v>
      </c>
      <c r="L904" s="201">
        <f t="shared" si="596"/>
        <v>0</v>
      </c>
      <c r="M904" s="201">
        <f t="shared" si="596"/>
        <v>140331500</v>
      </c>
      <c r="N904" s="201">
        <f t="shared" si="596"/>
        <v>146585200</v>
      </c>
      <c r="O904" s="201">
        <f t="shared" si="596"/>
        <v>161066500</v>
      </c>
      <c r="P904" s="201">
        <f t="shared" si="596"/>
        <v>143157675</v>
      </c>
      <c r="Q904" s="201">
        <f t="shared" si="596"/>
        <v>140548500</v>
      </c>
      <c r="R904" s="201">
        <f t="shared" si="596"/>
        <v>140259300</v>
      </c>
      <c r="S904" s="201">
        <f t="shared" si="596"/>
        <v>871948675</v>
      </c>
      <c r="T904" s="201">
        <f t="shared" si="596"/>
        <v>0</v>
      </c>
      <c r="U904" s="201">
        <f t="shared" si="596"/>
        <v>140942500</v>
      </c>
      <c r="V904" s="201">
        <f t="shared" si="596"/>
        <v>401589633</v>
      </c>
      <c r="W904" s="201">
        <f t="shared" si="596"/>
        <v>263986570</v>
      </c>
      <c r="X904" s="201">
        <f t="shared" si="596"/>
        <v>186306181</v>
      </c>
      <c r="Y904" s="201">
        <f t="shared" si="596"/>
        <v>-875917</v>
      </c>
      <c r="Z904" s="201">
        <f t="shared" si="596"/>
        <v>166221744</v>
      </c>
      <c r="AA904" s="201">
        <f t="shared" si="596"/>
        <v>174989744</v>
      </c>
      <c r="AB904" s="201">
        <f t="shared" si="596"/>
        <v>177597567</v>
      </c>
      <c r="AC904" s="201">
        <f t="shared" si="596"/>
        <v>861883744</v>
      </c>
      <c r="AD904" s="201">
        <f t="shared" si="596"/>
        <v>46401556</v>
      </c>
      <c r="AE904" s="201">
        <f t="shared" si="596"/>
        <v>1442963687</v>
      </c>
      <c r="AF904" s="201">
        <f t="shared" si="596"/>
        <v>1364102925</v>
      </c>
      <c r="AG904" s="201">
        <f t="shared" si="596"/>
        <v>5226109934</v>
      </c>
      <c r="AH904" s="893">
        <f t="shared" si="596"/>
        <v>0</v>
      </c>
      <c r="AI904" s="201">
        <f t="shared" si="596"/>
        <v>1308254023</v>
      </c>
      <c r="AJ904" s="201">
        <f t="shared" si="596"/>
        <v>1151876638</v>
      </c>
      <c r="AK904" s="201">
        <f t="shared" si="596"/>
        <v>1445378961</v>
      </c>
      <c r="AL904" s="201">
        <f t="shared" si="596"/>
        <v>957314734</v>
      </c>
      <c r="AM904" s="201">
        <f t="shared" ref="AM904:BR904" si="597">AM295</f>
        <v>667065241</v>
      </c>
      <c r="AN904" s="201">
        <f t="shared" si="597"/>
        <v>1121998833</v>
      </c>
      <c r="AO904" s="201">
        <f t="shared" si="597"/>
        <v>1334670728</v>
      </c>
      <c r="AP904" s="201">
        <f t="shared" si="597"/>
        <v>1352042332</v>
      </c>
      <c r="AQ904" s="201">
        <f t="shared" si="597"/>
        <v>1445491977</v>
      </c>
      <c r="AR904" s="201">
        <f t="shared" si="597"/>
        <v>1220009001</v>
      </c>
      <c r="AS904" s="201">
        <f t="shared" si="597"/>
        <v>1417513884</v>
      </c>
      <c r="AT904" s="201">
        <f t="shared" si="597"/>
        <v>1691905478</v>
      </c>
      <c r="AU904" s="201">
        <f t="shared" si="597"/>
        <v>1479685318</v>
      </c>
      <c r="AV904" s="201">
        <f t="shared" si="597"/>
        <v>1497685318</v>
      </c>
      <c r="AW904" s="201">
        <f t="shared" si="597"/>
        <v>1392685318</v>
      </c>
      <c r="AX904" s="201">
        <f t="shared" si="597"/>
        <v>15113521830</v>
      </c>
      <c r="AY904" s="893">
        <f t="shared" si="597"/>
        <v>0</v>
      </c>
      <c r="AZ904" s="201">
        <f t="shared" si="597"/>
        <v>1308254023</v>
      </c>
      <c r="BA904" s="201">
        <f t="shared" si="597"/>
        <v>1151876638</v>
      </c>
      <c r="BB904" s="201">
        <f t="shared" si="597"/>
        <v>1445378961</v>
      </c>
      <c r="BC904" s="201">
        <f t="shared" si="597"/>
        <v>957314734</v>
      </c>
      <c r="BD904" s="201">
        <f t="shared" si="597"/>
        <v>667065241</v>
      </c>
      <c r="BE904" s="201">
        <f t="shared" si="597"/>
        <v>1121998833</v>
      </c>
      <c r="BF904" s="201">
        <f t="shared" si="597"/>
        <v>1334670728</v>
      </c>
      <c r="BG904" s="201">
        <f t="shared" si="597"/>
        <v>1352042332</v>
      </c>
      <c r="BH904" s="201">
        <f t="shared" si="597"/>
        <v>1288319474</v>
      </c>
      <c r="BI904" s="201">
        <f t="shared" si="597"/>
        <v>1300319474</v>
      </c>
      <c r="BJ904" s="201">
        <f t="shared" si="597"/>
        <v>1318319474</v>
      </c>
      <c r="BK904" s="201">
        <f t="shared" si="597"/>
        <v>1213319474</v>
      </c>
      <c r="BL904" s="201">
        <f t="shared" si="597"/>
        <v>14458879386</v>
      </c>
      <c r="BM904" s="201">
        <f t="shared" si="597"/>
        <v>0</v>
      </c>
      <c r="BN904" s="201">
        <f t="shared" si="597"/>
        <v>1426365844</v>
      </c>
      <c r="BO904" s="201">
        <f t="shared" si="597"/>
        <v>1426365844</v>
      </c>
      <c r="BP904" s="201">
        <f t="shared" si="597"/>
        <v>1572965844</v>
      </c>
      <c r="BQ904" s="201">
        <f t="shared" si="597"/>
        <v>1572965844</v>
      </c>
      <c r="BR904" s="201">
        <f t="shared" si="597"/>
        <v>1489510967.4000001</v>
      </c>
      <c r="BS904" s="201">
        <f t="shared" ref="BS904:CM904" si="598">BS295</f>
        <v>1572965844</v>
      </c>
      <c r="BT904" s="201">
        <f t="shared" si="598"/>
        <v>1628602428.4000001</v>
      </c>
      <c r="BU904" s="201">
        <f t="shared" si="598"/>
        <v>1628602428.4000001</v>
      </c>
      <c r="BV904" s="201">
        <f t="shared" si="598"/>
        <v>1628602428.4000001</v>
      </c>
      <c r="BW904" s="201">
        <f t="shared" si="598"/>
        <v>1628602428.4000001</v>
      </c>
      <c r="BX904" s="201">
        <f t="shared" si="598"/>
        <v>1628602428.4000001</v>
      </c>
      <c r="BY904" s="201">
        <f t="shared" si="598"/>
        <v>1628602428.4000001</v>
      </c>
      <c r="BZ904" s="502">
        <f t="shared" si="598"/>
        <v>18832754757.799999</v>
      </c>
      <c r="CB904" s="201">
        <f t="shared" si="598"/>
        <v>1426365844</v>
      </c>
      <c r="CC904" s="201">
        <f t="shared" si="598"/>
        <v>1426365844</v>
      </c>
      <c r="CD904" s="201">
        <f t="shared" si="598"/>
        <v>1572965844</v>
      </c>
      <c r="CE904" s="201">
        <f t="shared" si="598"/>
        <v>1572965844</v>
      </c>
      <c r="CF904" s="201">
        <f t="shared" si="598"/>
        <v>1489510967.4000001</v>
      </c>
      <c r="CG904" s="201">
        <f t="shared" si="598"/>
        <v>1572965844</v>
      </c>
      <c r="CH904" s="201">
        <f t="shared" si="598"/>
        <v>1628602428.4000001</v>
      </c>
      <c r="CI904" s="201">
        <f t="shared" si="598"/>
        <v>1628602428.4000001</v>
      </c>
      <c r="CJ904" s="201">
        <f t="shared" si="598"/>
        <v>1628602428.4000001</v>
      </c>
      <c r="CK904" s="201">
        <f t="shared" si="598"/>
        <v>1628602428.4000001</v>
      </c>
      <c r="CL904" s="201">
        <f t="shared" si="598"/>
        <v>1628602428.4000001</v>
      </c>
      <c r="CM904" s="201">
        <f t="shared" si="598"/>
        <v>1628602428.4000001</v>
      </c>
      <c r="CN904" s="201">
        <v>18832754757.800003</v>
      </c>
      <c r="CO904" s="201">
        <f t="shared" ref="CO904:DR904" si="599">CO295</f>
        <v>0</v>
      </c>
      <c r="CP904" s="666">
        <f t="shared" si="599"/>
        <v>1533766279</v>
      </c>
      <c r="CQ904" s="666">
        <f t="shared" si="599"/>
        <v>1515123883</v>
      </c>
      <c r="CR904" s="201">
        <f t="shared" si="599"/>
        <v>1426575051</v>
      </c>
      <c r="CS904" s="666">
        <f t="shared" si="599"/>
        <v>1095505962</v>
      </c>
      <c r="CT904" s="201">
        <f t="shared" si="599"/>
        <v>1523000000</v>
      </c>
      <c r="CU904" s="666">
        <f t="shared" si="599"/>
        <v>976202565</v>
      </c>
      <c r="CV904" s="201">
        <f t="shared" si="599"/>
        <v>1433000000</v>
      </c>
      <c r="CW904" s="666">
        <f t="shared" si="599"/>
        <v>830950033</v>
      </c>
      <c r="CX904" s="201">
        <f t="shared" si="599"/>
        <v>994500000</v>
      </c>
      <c r="CY904" s="666">
        <f t="shared" si="599"/>
        <v>1358560603</v>
      </c>
      <c r="CZ904" s="201">
        <f t="shared" si="599"/>
        <v>1345000000</v>
      </c>
      <c r="DA904" s="666">
        <f t="shared" si="599"/>
        <v>869446146</v>
      </c>
      <c r="DB904" s="201">
        <f t="shared" si="599"/>
        <v>1780000000</v>
      </c>
      <c r="DC904" s="666">
        <f t="shared" si="599"/>
        <v>1203626442</v>
      </c>
      <c r="DD904" s="201">
        <f t="shared" si="599"/>
        <v>2020000000</v>
      </c>
      <c r="DE904" s="201">
        <f t="shared" si="599"/>
        <v>0</v>
      </c>
      <c r="DF904" s="201">
        <f>DF295</f>
        <v>271613790</v>
      </c>
      <c r="DG904" s="777">
        <f t="shared" si="599"/>
        <v>1975000000</v>
      </c>
      <c r="DH904" s="201">
        <f t="shared" si="599"/>
        <v>0</v>
      </c>
      <c r="DI904" s="201">
        <f>DI295</f>
        <v>311613790</v>
      </c>
      <c r="DJ904" s="777">
        <f t="shared" si="599"/>
        <v>2025000000</v>
      </c>
      <c r="DK904" s="201">
        <f t="shared" si="599"/>
        <v>0</v>
      </c>
      <c r="DL904" s="201">
        <f>DL295</f>
        <v>211613790</v>
      </c>
      <c r="DM904" s="777">
        <f>DM295</f>
        <v>2015000000</v>
      </c>
      <c r="DN904" s="201">
        <f t="shared" si="599"/>
        <v>0</v>
      </c>
      <c r="DO904" s="201">
        <f>DO295</f>
        <v>241613790</v>
      </c>
      <c r="DP904" s="777">
        <f t="shared" si="599"/>
        <v>1995000000</v>
      </c>
      <c r="DQ904" s="502">
        <f t="shared" si="599"/>
        <v>10419637073</v>
      </c>
      <c r="DR904" s="512">
        <f t="shared" si="599"/>
        <v>17393181913</v>
      </c>
      <c r="DS904" s="1189">
        <f t="shared" ref="DS904:EI904" si="600">DS295</f>
        <v>1638500000</v>
      </c>
      <c r="DT904" s="1189">
        <f t="shared" si="600"/>
        <v>1648500000</v>
      </c>
      <c r="DU904" s="1189">
        <f t="shared" si="600"/>
        <v>1588500000</v>
      </c>
      <c r="DV904" s="1189">
        <f t="shared" si="600"/>
        <v>1266500000</v>
      </c>
      <c r="DW904" s="1189">
        <f t="shared" si="600"/>
        <v>1316500000</v>
      </c>
      <c r="DX904" s="1189">
        <f t="shared" si="600"/>
        <v>1628500000</v>
      </c>
      <c r="DY904" s="1189">
        <f t="shared" si="600"/>
        <v>1328500000</v>
      </c>
      <c r="DZ904" s="1189">
        <f t="shared" si="600"/>
        <v>1328500000</v>
      </c>
      <c r="EA904" s="1189">
        <f t="shared" si="600"/>
        <v>1628500000</v>
      </c>
      <c r="EB904" s="1189">
        <f t="shared" si="600"/>
        <v>1328500000</v>
      </c>
      <c r="EC904" s="1189">
        <f t="shared" si="600"/>
        <v>1328500000</v>
      </c>
      <c r="ED904" s="1189">
        <f t="shared" si="600"/>
        <v>1628500000</v>
      </c>
      <c r="EE904" s="1032">
        <f t="shared" si="600"/>
        <v>17658000000</v>
      </c>
      <c r="EF904" s="1032">
        <f t="shared" si="600"/>
        <v>17888348952.867775</v>
      </c>
      <c r="EG904" s="1032">
        <f t="shared" si="600"/>
        <v>30226010678.453247</v>
      </c>
      <c r="EH904" s="1032">
        <f t="shared" si="600"/>
        <v>42531877317.969986</v>
      </c>
      <c r="EI904" s="1032">
        <f t="shared" si="600"/>
        <v>42699965938.929985</v>
      </c>
      <c r="EJ904" s="367" t="e">
        <v>#N/A</v>
      </c>
      <c r="EK904" s="1033"/>
      <c r="EL904" s="130"/>
    </row>
    <row r="905" spans="2:142">
      <c r="E905" s="438" t="s">
        <v>684</v>
      </c>
      <c r="F905" s="441"/>
      <c r="G905" s="201">
        <f t="shared" ref="G905:AL905" si="601">G655</f>
        <v>0</v>
      </c>
      <c r="H905" s="201">
        <f t="shared" si="601"/>
        <v>0</v>
      </c>
      <c r="I905" s="201">
        <f t="shared" si="601"/>
        <v>0</v>
      </c>
      <c r="J905" s="201">
        <f t="shared" si="601"/>
        <v>0</v>
      </c>
      <c r="K905" s="201">
        <f t="shared" si="601"/>
        <v>0</v>
      </c>
      <c r="L905" s="201">
        <f t="shared" si="601"/>
        <v>0</v>
      </c>
      <c r="M905" s="201">
        <f t="shared" si="601"/>
        <v>0</v>
      </c>
      <c r="N905" s="201">
        <f t="shared" si="601"/>
        <v>0</v>
      </c>
      <c r="O905" s="201">
        <f t="shared" si="601"/>
        <v>0</v>
      </c>
      <c r="P905" s="201">
        <f t="shared" si="601"/>
        <v>0</v>
      </c>
      <c r="Q905" s="201">
        <f t="shared" si="601"/>
        <v>0</v>
      </c>
      <c r="R905" s="201">
        <f t="shared" si="601"/>
        <v>0</v>
      </c>
      <c r="S905" s="201">
        <f t="shared" si="601"/>
        <v>0</v>
      </c>
      <c r="T905" s="201">
        <f t="shared" si="601"/>
        <v>0</v>
      </c>
      <c r="U905" s="201">
        <f t="shared" si="601"/>
        <v>0</v>
      </c>
      <c r="V905" s="201">
        <f t="shared" si="601"/>
        <v>0</v>
      </c>
      <c r="W905" s="201">
        <f t="shared" si="601"/>
        <v>0</v>
      </c>
      <c r="X905" s="201">
        <f t="shared" si="601"/>
        <v>0</v>
      </c>
      <c r="Y905" s="201">
        <f t="shared" si="601"/>
        <v>0</v>
      </c>
      <c r="Z905" s="201">
        <f t="shared" si="601"/>
        <v>0</v>
      </c>
      <c r="AA905" s="201">
        <f t="shared" si="601"/>
        <v>0</v>
      </c>
      <c r="AB905" s="201">
        <f t="shared" si="601"/>
        <v>0</v>
      </c>
      <c r="AC905" s="201">
        <f t="shared" si="601"/>
        <v>0</v>
      </c>
      <c r="AD905" s="201">
        <f t="shared" si="601"/>
        <v>0</v>
      </c>
      <c r="AE905" s="201">
        <f t="shared" si="601"/>
        <v>0</v>
      </c>
      <c r="AF905" s="201">
        <f t="shared" si="601"/>
        <v>0</v>
      </c>
      <c r="AG905" s="201">
        <f t="shared" si="601"/>
        <v>0</v>
      </c>
      <c r="AH905" s="893">
        <f t="shared" si="601"/>
        <v>0</v>
      </c>
      <c r="AI905" s="201">
        <f t="shared" si="601"/>
        <v>23797000</v>
      </c>
      <c r="AJ905" s="201">
        <f t="shared" si="601"/>
        <v>213111197</v>
      </c>
      <c r="AK905" s="201">
        <f t="shared" si="601"/>
        <v>95529666</v>
      </c>
      <c r="AL905" s="201">
        <f t="shared" si="601"/>
        <v>103756645</v>
      </c>
      <c r="AM905" s="201">
        <f t="shared" ref="AM905:BR905" si="602">AM655</f>
        <v>90511600</v>
      </c>
      <c r="AN905" s="201">
        <f t="shared" si="602"/>
        <v>162194865</v>
      </c>
      <c r="AO905" s="201">
        <f t="shared" si="602"/>
        <v>90458000</v>
      </c>
      <c r="AP905" s="201">
        <f t="shared" si="602"/>
        <v>359642022</v>
      </c>
      <c r="AQ905" s="201">
        <f t="shared" si="602"/>
        <v>125626266</v>
      </c>
      <c r="AR905" s="201">
        <f t="shared" si="602"/>
        <v>162683026</v>
      </c>
      <c r="AS905" s="201">
        <f t="shared" si="602"/>
        <v>164876264</v>
      </c>
      <c r="AT905" s="201">
        <f t="shared" si="602"/>
        <v>193876000</v>
      </c>
      <c r="AU905" s="201">
        <f t="shared" si="602"/>
        <v>154000000</v>
      </c>
      <c r="AV905" s="201">
        <f t="shared" si="602"/>
        <v>154000000</v>
      </c>
      <c r="AW905" s="201">
        <f t="shared" si="602"/>
        <v>120000000</v>
      </c>
      <c r="AX905" s="201">
        <f t="shared" si="602"/>
        <v>1786062551</v>
      </c>
      <c r="AY905" s="893">
        <f t="shared" si="602"/>
        <v>0</v>
      </c>
      <c r="AZ905" s="201">
        <f t="shared" si="602"/>
        <v>23797000</v>
      </c>
      <c r="BA905" s="201">
        <f t="shared" si="602"/>
        <v>213111197</v>
      </c>
      <c r="BB905" s="201">
        <f t="shared" si="602"/>
        <v>95529666</v>
      </c>
      <c r="BC905" s="201">
        <f t="shared" si="602"/>
        <v>103756645</v>
      </c>
      <c r="BD905" s="201">
        <f t="shared" si="602"/>
        <v>90511600</v>
      </c>
      <c r="BE905" s="201">
        <f t="shared" si="602"/>
        <v>162194865</v>
      </c>
      <c r="BF905" s="201">
        <f t="shared" si="602"/>
        <v>90458000</v>
      </c>
      <c r="BG905" s="201">
        <f t="shared" si="602"/>
        <v>359642022</v>
      </c>
      <c r="BH905" s="201">
        <f t="shared" si="602"/>
        <v>154000000</v>
      </c>
      <c r="BI905" s="201">
        <f t="shared" si="602"/>
        <v>154000000</v>
      </c>
      <c r="BJ905" s="201">
        <f t="shared" si="602"/>
        <v>154000000</v>
      </c>
      <c r="BK905" s="201">
        <f t="shared" si="602"/>
        <v>120000000</v>
      </c>
      <c r="BL905" s="201">
        <f t="shared" si="602"/>
        <v>1721000995</v>
      </c>
      <c r="BM905" s="201">
        <f t="shared" si="602"/>
        <v>0</v>
      </c>
      <c r="BN905" s="201">
        <f t="shared" si="602"/>
        <v>134000000</v>
      </c>
      <c r="BO905" s="201">
        <f t="shared" si="602"/>
        <v>146000000</v>
      </c>
      <c r="BP905" s="201">
        <f t="shared" si="602"/>
        <v>147000000</v>
      </c>
      <c r="BQ905" s="201">
        <f t="shared" si="602"/>
        <v>196000000</v>
      </c>
      <c r="BR905" s="201">
        <f t="shared" si="602"/>
        <v>145187000</v>
      </c>
      <c r="BS905" s="201">
        <f t="shared" ref="BS905:BY905" si="603">BS655</f>
        <v>158187000</v>
      </c>
      <c r="BT905" s="201">
        <f t="shared" si="603"/>
        <v>208187000</v>
      </c>
      <c r="BU905" s="201">
        <f t="shared" si="603"/>
        <v>187187000</v>
      </c>
      <c r="BV905" s="201">
        <f t="shared" si="603"/>
        <v>178187000</v>
      </c>
      <c r="BW905" s="201">
        <f t="shared" si="603"/>
        <v>247187000</v>
      </c>
      <c r="BX905" s="201">
        <f t="shared" si="603"/>
        <v>208187000</v>
      </c>
      <c r="BY905" s="201">
        <f t="shared" si="603"/>
        <v>147187000</v>
      </c>
      <c r="BZ905" s="502">
        <f>BZ655</f>
        <v>2102496000</v>
      </c>
      <c r="CB905" s="201">
        <f t="shared" ref="CB905:CM905" si="604">CB655</f>
        <v>134000000</v>
      </c>
      <c r="CC905" s="201">
        <f t="shared" si="604"/>
        <v>146000000</v>
      </c>
      <c r="CD905" s="201">
        <f t="shared" si="604"/>
        <v>147000000</v>
      </c>
      <c r="CE905" s="201">
        <f t="shared" si="604"/>
        <v>196000000</v>
      </c>
      <c r="CF905" s="201">
        <f t="shared" si="604"/>
        <v>145187000</v>
      </c>
      <c r="CG905" s="201">
        <f t="shared" si="604"/>
        <v>158187000</v>
      </c>
      <c r="CH905" s="201">
        <f t="shared" si="604"/>
        <v>208187000</v>
      </c>
      <c r="CI905" s="201">
        <f t="shared" si="604"/>
        <v>187187000</v>
      </c>
      <c r="CJ905" s="201">
        <f t="shared" si="604"/>
        <v>178187000</v>
      </c>
      <c r="CK905" s="201">
        <f t="shared" si="604"/>
        <v>247187000</v>
      </c>
      <c r="CL905" s="201">
        <f t="shared" si="604"/>
        <v>208187000</v>
      </c>
      <c r="CM905" s="201">
        <f t="shared" si="604"/>
        <v>147187000</v>
      </c>
      <c r="CN905" s="201">
        <v>2102496000</v>
      </c>
      <c r="CO905" s="201">
        <f t="shared" ref="CO905:DR905" si="605">CO655</f>
        <v>0</v>
      </c>
      <c r="CP905" s="666">
        <f t="shared" si="605"/>
        <v>145025550</v>
      </c>
      <c r="CQ905" s="666">
        <f t="shared" si="605"/>
        <v>196586616</v>
      </c>
      <c r="CR905" s="201">
        <f t="shared" si="605"/>
        <v>196000000</v>
      </c>
      <c r="CS905" s="666">
        <f t="shared" si="605"/>
        <v>291447921</v>
      </c>
      <c r="CT905" s="201">
        <f t="shared" si="605"/>
        <v>223000000</v>
      </c>
      <c r="CU905" s="666">
        <f t="shared" si="605"/>
        <v>355490986</v>
      </c>
      <c r="CV905" s="201">
        <f t="shared" si="605"/>
        <v>312000000</v>
      </c>
      <c r="CW905" s="666">
        <f t="shared" si="605"/>
        <v>280685340</v>
      </c>
      <c r="CX905" s="201">
        <f t="shared" si="605"/>
        <v>408977986</v>
      </c>
      <c r="CY905" s="666">
        <f t="shared" si="605"/>
        <v>356585869</v>
      </c>
      <c r="CZ905" s="201">
        <f t="shared" si="605"/>
        <v>441797246</v>
      </c>
      <c r="DA905" s="666">
        <f t="shared" si="605"/>
        <v>410278983</v>
      </c>
      <c r="DB905" s="201">
        <f t="shared" si="605"/>
        <v>458000000</v>
      </c>
      <c r="DC905" s="666">
        <f t="shared" si="605"/>
        <v>354919843</v>
      </c>
      <c r="DD905" s="201">
        <f t="shared" si="605"/>
        <v>458000000</v>
      </c>
      <c r="DE905" s="201">
        <f t="shared" si="605"/>
        <v>0</v>
      </c>
      <c r="DF905" s="201">
        <f>DF655</f>
        <v>0</v>
      </c>
      <c r="DG905" s="777">
        <f t="shared" si="605"/>
        <v>418000000</v>
      </c>
      <c r="DH905" s="201">
        <f t="shared" si="605"/>
        <v>0</v>
      </c>
      <c r="DI905" s="201">
        <f>DI655</f>
        <v>0</v>
      </c>
      <c r="DJ905" s="777">
        <f t="shared" si="605"/>
        <v>418000000</v>
      </c>
      <c r="DK905" s="201">
        <f t="shared" si="605"/>
        <v>0</v>
      </c>
      <c r="DL905" s="201">
        <f>DL655</f>
        <v>0</v>
      </c>
      <c r="DM905" s="777">
        <f>DM655</f>
        <v>418000000</v>
      </c>
      <c r="DN905" s="201">
        <f t="shared" si="605"/>
        <v>0</v>
      </c>
      <c r="DO905" s="201">
        <f>DO655</f>
        <v>0</v>
      </c>
      <c r="DP905" s="777">
        <f t="shared" si="605"/>
        <v>418000000</v>
      </c>
      <c r="DQ905" s="502">
        <f t="shared" si="605"/>
        <v>2391021108</v>
      </c>
      <c r="DR905" s="512">
        <f t="shared" si="605"/>
        <v>4427326305</v>
      </c>
      <c r="DS905" s="1189">
        <f t="shared" ref="DS905:EI905" si="606">DS655</f>
        <v>381000000</v>
      </c>
      <c r="DT905" s="1189">
        <f t="shared" si="606"/>
        <v>381000000</v>
      </c>
      <c r="DU905" s="1189">
        <f t="shared" si="606"/>
        <v>381000000</v>
      </c>
      <c r="DV905" s="1189">
        <f t="shared" si="606"/>
        <v>381000000</v>
      </c>
      <c r="DW905" s="1189">
        <f t="shared" si="606"/>
        <v>381000000</v>
      </c>
      <c r="DX905" s="1189">
        <f t="shared" si="606"/>
        <v>381000000</v>
      </c>
      <c r="DY905" s="1189">
        <f t="shared" si="606"/>
        <v>381000000</v>
      </c>
      <c r="DZ905" s="1189">
        <f t="shared" si="606"/>
        <v>431000000</v>
      </c>
      <c r="EA905" s="1189">
        <f t="shared" si="606"/>
        <v>431000000</v>
      </c>
      <c r="EB905" s="1189">
        <f t="shared" si="606"/>
        <v>431000000</v>
      </c>
      <c r="EC905" s="1189">
        <f t="shared" si="606"/>
        <v>431000000</v>
      </c>
      <c r="ED905" s="1189">
        <f t="shared" si="606"/>
        <v>431000000</v>
      </c>
      <c r="EE905" s="1032">
        <f t="shared" si="606"/>
        <v>4822000000</v>
      </c>
      <c r="EF905" s="1032">
        <f t="shared" si="606"/>
        <v>5873720532.8224258</v>
      </c>
      <c r="EG905" s="1032">
        <f t="shared" si="606"/>
        <v>6913511617.4154348</v>
      </c>
      <c r="EH905" s="1032">
        <f t="shared" si="606"/>
        <v>7524805126.4661484</v>
      </c>
      <c r="EI905" s="1032">
        <f t="shared" si="606"/>
        <v>8005775451.3314266</v>
      </c>
      <c r="EJ905" s="367" t="e">
        <v>#N/A</v>
      </c>
      <c r="EK905" s="1033"/>
    </row>
    <row r="906" spans="2:142">
      <c r="E906" s="438" t="s">
        <v>250</v>
      </c>
      <c r="F906" s="441"/>
      <c r="G906" s="201">
        <f>G838</f>
        <v>0</v>
      </c>
      <c r="H906" s="201">
        <f t="shared" ref="H906:BS906" si="607">H838</f>
        <v>0</v>
      </c>
      <c r="I906" s="201">
        <f t="shared" si="607"/>
        <v>0</v>
      </c>
      <c r="J906" s="201">
        <f t="shared" si="607"/>
        <v>0</v>
      </c>
      <c r="K906" s="201">
        <f t="shared" si="607"/>
        <v>0</v>
      </c>
      <c r="L906" s="201">
        <f t="shared" si="607"/>
        <v>0</v>
      </c>
      <c r="M906" s="201">
        <f t="shared" si="607"/>
        <v>0</v>
      </c>
      <c r="N906" s="201">
        <f t="shared" si="607"/>
        <v>0</v>
      </c>
      <c r="O906" s="201">
        <f t="shared" si="607"/>
        <v>0</v>
      </c>
      <c r="P906" s="201">
        <f t="shared" si="607"/>
        <v>0</v>
      </c>
      <c r="Q906" s="201">
        <f t="shared" si="607"/>
        <v>0</v>
      </c>
      <c r="R906" s="201">
        <f t="shared" si="607"/>
        <v>0</v>
      </c>
      <c r="S906" s="201">
        <f t="shared" si="607"/>
        <v>0</v>
      </c>
      <c r="T906" s="201">
        <f t="shared" si="607"/>
        <v>0</v>
      </c>
      <c r="U906" s="201">
        <f t="shared" si="607"/>
        <v>0</v>
      </c>
      <c r="V906" s="201">
        <f t="shared" si="607"/>
        <v>0</v>
      </c>
      <c r="W906" s="201">
        <f t="shared" si="607"/>
        <v>0</v>
      </c>
      <c r="X906" s="201">
        <f t="shared" si="607"/>
        <v>0</v>
      </c>
      <c r="Y906" s="201">
        <f t="shared" si="607"/>
        <v>0</v>
      </c>
      <c r="Z906" s="201">
        <f t="shared" si="607"/>
        <v>0</v>
      </c>
      <c r="AA906" s="201">
        <f t="shared" si="607"/>
        <v>0</v>
      </c>
      <c r="AB906" s="201">
        <f t="shared" si="607"/>
        <v>0</v>
      </c>
      <c r="AC906" s="201">
        <f t="shared" si="607"/>
        <v>0</v>
      </c>
      <c r="AD906" s="201">
        <f t="shared" si="607"/>
        <v>0</v>
      </c>
      <c r="AE906" s="201">
        <f t="shared" si="607"/>
        <v>0</v>
      </c>
      <c r="AF906" s="201">
        <f t="shared" si="607"/>
        <v>0</v>
      </c>
      <c r="AG906" s="201">
        <f t="shared" si="607"/>
        <v>0</v>
      </c>
      <c r="AH906" s="893">
        <f t="shared" ref="AH906:AH925" si="608">AH656</f>
        <v>0</v>
      </c>
      <c r="AI906" s="201">
        <f t="shared" si="607"/>
        <v>0</v>
      </c>
      <c r="AJ906" s="201">
        <f t="shared" si="607"/>
        <v>0</v>
      </c>
      <c r="AK906" s="201">
        <f t="shared" si="607"/>
        <v>0</v>
      </c>
      <c r="AL906" s="201">
        <f t="shared" si="607"/>
        <v>0</v>
      </c>
      <c r="AM906" s="201">
        <f t="shared" si="607"/>
        <v>0</v>
      </c>
      <c r="AN906" s="201">
        <f t="shared" si="607"/>
        <v>0</v>
      </c>
      <c r="AO906" s="201">
        <f t="shared" si="607"/>
        <v>0</v>
      </c>
      <c r="AP906" s="201">
        <f t="shared" si="607"/>
        <v>0</v>
      </c>
      <c r="AQ906" s="201">
        <f t="shared" si="607"/>
        <v>0</v>
      </c>
      <c r="AR906" s="201">
        <f t="shared" si="607"/>
        <v>0</v>
      </c>
      <c r="AS906" s="201">
        <f t="shared" si="607"/>
        <v>0</v>
      </c>
      <c r="AT906" s="201">
        <f t="shared" si="607"/>
        <v>0</v>
      </c>
      <c r="AU906" s="201">
        <f t="shared" si="607"/>
        <v>0</v>
      </c>
      <c r="AV906" s="201">
        <f t="shared" si="607"/>
        <v>0</v>
      </c>
      <c r="AW906" s="201">
        <f t="shared" si="607"/>
        <v>0</v>
      </c>
      <c r="AX906" s="201">
        <f t="shared" si="607"/>
        <v>0</v>
      </c>
      <c r="AY906" s="893">
        <f t="shared" ref="AY906:AY924" si="609">AY656</f>
        <v>0</v>
      </c>
      <c r="AZ906" s="201">
        <f t="shared" si="607"/>
        <v>0</v>
      </c>
      <c r="BA906" s="201">
        <f t="shared" si="607"/>
        <v>0</v>
      </c>
      <c r="BB906" s="201">
        <f t="shared" si="607"/>
        <v>0</v>
      </c>
      <c r="BC906" s="201">
        <f t="shared" si="607"/>
        <v>0</v>
      </c>
      <c r="BD906" s="201">
        <f t="shared" si="607"/>
        <v>0</v>
      </c>
      <c r="BE906" s="201">
        <f t="shared" si="607"/>
        <v>0</v>
      </c>
      <c r="BF906" s="201">
        <f t="shared" si="607"/>
        <v>0</v>
      </c>
      <c r="BG906" s="201">
        <f t="shared" si="607"/>
        <v>0</v>
      </c>
      <c r="BH906" s="201">
        <f t="shared" si="607"/>
        <v>0</v>
      </c>
      <c r="BI906" s="201">
        <f t="shared" si="607"/>
        <v>0</v>
      </c>
      <c r="BJ906" s="201">
        <f t="shared" si="607"/>
        <v>0</v>
      </c>
      <c r="BK906" s="201">
        <f t="shared" si="607"/>
        <v>0</v>
      </c>
      <c r="BL906" s="201">
        <f t="shared" si="607"/>
        <v>0</v>
      </c>
      <c r="BM906" s="201">
        <f t="shared" si="607"/>
        <v>0</v>
      </c>
      <c r="BN906" s="201">
        <f t="shared" si="607"/>
        <v>0</v>
      </c>
      <c r="BO906" s="201">
        <f t="shared" si="607"/>
        <v>0</v>
      </c>
      <c r="BP906" s="201">
        <f t="shared" si="607"/>
        <v>0</v>
      </c>
      <c r="BQ906" s="201">
        <f t="shared" si="607"/>
        <v>0</v>
      </c>
      <c r="BR906" s="201">
        <f t="shared" si="607"/>
        <v>0</v>
      </c>
      <c r="BS906" s="201">
        <f t="shared" si="607"/>
        <v>0</v>
      </c>
      <c r="BT906" s="201">
        <f t="shared" ref="BT906:EE906" si="610">BT838</f>
        <v>0</v>
      </c>
      <c r="BU906" s="201">
        <f t="shared" si="610"/>
        <v>0</v>
      </c>
      <c r="BV906" s="201">
        <f t="shared" si="610"/>
        <v>0</v>
      </c>
      <c r="BW906" s="201">
        <f t="shared" si="610"/>
        <v>0</v>
      </c>
      <c r="BX906" s="201">
        <f t="shared" si="610"/>
        <v>0</v>
      </c>
      <c r="BY906" s="201">
        <f t="shared" si="610"/>
        <v>0</v>
      </c>
      <c r="BZ906" s="201">
        <f t="shared" si="610"/>
        <v>0</v>
      </c>
      <c r="CB906" s="201">
        <f t="shared" si="610"/>
        <v>0</v>
      </c>
      <c r="CC906" s="201">
        <f t="shared" si="610"/>
        <v>0</v>
      </c>
      <c r="CD906" s="201">
        <f t="shared" si="610"/>
        <v>0</v>
      </c>
      <c r="CE906" s="201">
        <f t="shared" si="610"/>
        <v>0</v>
      </c>
      <c r="CF906" s="201">
        <f t="shared" si="610"/>
        <v>0</v>
      </c>
      <c r="CG906" s="201">
        <f t="shared" si="610"/>
        <v>0</v>
      </c>
      <c r="CH906" s="201">
        <f t="shared" si="610"/>
        <v>0</v>
      </c>
      <c r="CI906" s="201">
        <f t="shared" si="610"/>
        <v>0</v>
      </c>
      <c r="CJ906" s="201">
        <f t="shared" si="610"/>
        <v>0</v>
      </c>
      <c r="CK906" s="201">
        <f t="shared" si="610"/>
        <v>0</v>
      </c>
      <c r="CL906" s="201">
        <f t="shared" si="610"/>
        <v>0</v>
      </c>
      <c r="CM906" s="201">
        <f t="shared" si="610"/>
        <v>0</v>
      </c>
      <c r="CN906" s="201">
        <f t="shared" si="610"/>
        <v>0</v>
      </c>
      <c r="CO906" s="201">
        <f t="shared" si="610"/>
        <v>0</v>
      </c>
      <c r="CP906" s="201">
        <f t="shared" si="610"/>
        <v>0</v>
      </c>
      <c r="CQ906" s="201">
        <f t="shared" si="610"/>
        <v>0</v>
      </c>
      <c r="CR906" s="201">
        <f t="shared" si="610"/>
        <v>0</v>
      </c>
      <c r="CS906" s="201">
        <f t="shared" si="610"/>
        <v>0</v>
      </c>
      <c r="CT906" s="201">
        <f t="shared" si="610"/>
        <v>0</v>
      </c>
      <c r="CU906" s="201">
        <f t="shared" si="610"/>
        <v>0</v>
      </c>
      <c r="CV906" s="201">
        <f t="shared" si="610"/>
        <v>0</v>
      </c>
      <c r="CW906" s="201">
        <f t="shared" si="610"/>
        <v>0</v>
      </c>
      <c r="CX906" s="201">
        <f t="shared" si="610"/>
        <v>0</v>
      </c>
      <c r="CY906" s="201">
        <f t="shared" si="610"/>
        <v>0</v>
      </c>
      <c r="CZ906" s="201">
        <f t="shared" si="610"/>
        <v>0</v>
      </c>
      <c r="DA906" s="201">
        <f t="shared" si="610"/>
        <v>0</v>
      </c>
      <c r="DB906" s="201">
        <f t="shared" si="610"/>
        <v>0</v>
      </c>
      <c r="DC906" s="201">
        <f t="shared" si="610"/>
        <v>0</v>
      </c>
      <c r="DD906" s="201">
        <f t="shared" si="610"/>
        <v>0</v>
      </c>
      <c r="DE906" s="201">
        <f t="shared" si="610"/>
        <v>0</v>
      </c>
      <c r="DF906" s="201">
        <f t="shared" si="610"/>
        <v>0</v>
      </c>
      <c r="DG906" s="201">
        <f t="shared" si="610"/>
        <v>0</v>
      </c>
      <c r="DH906" s="201">
        <f t="shared" si="610"/>
        <v>0</v>
      </c>
      <c r="DI906" s="201">
        <f t="shared" si="610"/>
        <v>0</v>
      </c>
      <c r="DJ906" s="201">
        <f t="shared" si="610"/>
        <v>0</v>
      </c>
      <c r="DK906" s="201">
        <f t="shared" si="610"/>
        <v>0</v>
      </c>
      <c r="DL906" s="201">
        <f t="shared" si="610"/>
        <v>0</v>
      </c>
      <c r="DM906" s="201">
        <f t="shared" si="610"/>
        <v>0</v>
      </c>
      <c r="DN906" s="201">
        <f t="shared" si="610"/>
        <v>0</v>
      </c>
      <c r="DO906" s="201">
        <f t="shared" si="610"/>
        <v>0</v>
      </c>
      <c r="DP906" s="201">
        <f t="shared" si="610"/>
        <v>0</v>
      </c>
      <c r="DQ906" s="201">
        <f t="shared" si="610"/>
        <v>0</v>
      </c>
      <c r="DR906" s="201">
        <f t="shared" si="610"/>
        <v>0</v>
      </c>
      <c r="DS906" s="177">
        <f t="shared" si="610"/>
        <v>0</v>
      </c>
      <c r="DT906" s="177">
        <f t="shared" si="610"/>
        <v>0</v>
      </c>
      <c r="DU906" s="177">
        <f t="shared" si="610"/>
        <v>0</v>
      </c>
      <c r="DV906" s="177">
        <f t="shared" si="610"/>
        <v>0</v>
      </c>
      <c r="DW906" s="177">
        <f t="shared" si="610"/>
        <v>0</v>
      </c>
      <c r="DX906" s="177">
        <f t="shared" si="610"/>
        <v>0</v>
      </c>
      <c r="DY906" s="177">
        <f t="shared" si="610"/>
        <v>0</v>
      </c>
      <c r="DZ906" s="177">
        <f t="shared" si="610"/>
        <v>0</v>
      </c>
      <c r="EA906" s="177">
        <f t="shared" si="610"/>
        <v>0</v>
      </c>
      <c r="EB906" s="177">
        <f t="shared" si="610"/>
        <v>0</v>
      </c>
      <c r="EC906" s="177">
        <f t="shared" si="610"/>
        <v>0</v>
      </c>
      <c r="ED906" s="177">
        <f t="shared" si="610"/>
        <v>0</v>
      </c>
      <c r="EE906" s="201">
        <f t="shared" si="610"/>
        <v>0</v>
      </c>
      <c r="EF906" s="201">
        <f>EF838</f>
        <v>0</v>
      </c>
      <c r="EG906" s="201">
        <f>EG838</f>
        <v>0</v>
      </c>
      <c r="EH906" s="201">
        <f>EH838</f>
        <v>0</v>
      </c>
      <c r="EI906" s="201">
        <f>EI838</f>
        <v>0</v>
      </c>
      <c r="EK906" s="1033"/>
    </row>
    <row r="907" spans="2:142" ht="15" thickBot="1">
      <c r="E907" s="422" t="s">
        <v>987</v>
      </c>
      <c r="F907" s="422"/>
      <c r="G907" s="128">
        <f>SUM(G904:G906)</f>
        <v>0</v>
      </c>
      <c r="H907" s="128">
        <f t="shared" ref="H907:BS907" si="611">SUM(H904:H906)</f>
        <v>0</v>
      </c>
      <c r="I907" s="128">
        <f t="shared" si="611"/>
        <v>0</v>
      </c>
      <c r="J907" s="128">
        <f t="shared" si="611"/>
        <v>0</v>
      </c>
      <c r="K907" s="128">
        <f t="shared" si="611"/>
        <v>0</v>
      </c>
      <c r="L907" s="128">
        <f t="shared" si="611"/>
        <v>0</v>
      </c>
      <c r="M907" s="128">
        <f t="shared" si="611"/>
        <v>140331500</v>
      </c>
      <c r="N907" s="128">
        <f t="shared" si="611"/>
        <v>146585200</v>
      </c>
      <c r="O907" s="128">
        <f t="shared" si="611"/>
        <v>161066500</v>
      </c>
      <c r="P907" s="128">
        <f t="shared" si="611"/>
        <v>143157675</v>
      </c>
      <c r="Q907" s="128">
        <f t="shared" si="611"/>
        <v>140548500</v>
      </c>
      <c r="R907" s="128">
        <f t="shared" si="611"/>
        <v>140259300</v>
      </c>
      <c r="S907" s="128">
        <f t="shared" si="611"/>
        <v>871948675</v>
      </c>
      <c r="T907" s="128">
        <f t="shared" si="611"/>
        <v>0</v>
      </c>
      <c r="U907" s="128">
        <f t="shared" si="611"/>
        <v>140942500</v>
      </c>
      <c r="V907" s="128">
        <f t="shared" si="611"/>
        <v>401589633</v>
      </c>
      <c r="W907" s="128">
        <f t="shared" si="611"/>
        <v>263986570</v>
      </c>
      <c r="X907" s="128">
        <f t="shared" si="611"/>
        <v>186306181</v>
      </c>
      <c r="Y907" s="128">
        <f t="shared" si="611"/>
        <v>-875917</v>
      </c>
      <c r="Z907" s="128">
        <f t="shared" si="611"/>
        <v>166221744</v>
      </c>
      <c r="AA907" s="128">
        <f t="shared" si="611"/>
        <v>174989744</v>
      </c>
      <c r="AB907" s="128">
        <f t="shared" si="611"/>
        <v>177597567</v>
      </c>
      <c r="AC907" s="128">
        <f t="shared" si="611"/>
        <v>861883744</v>
      </c>
      <c r="AD907" s="128">
        <f t="shared" si="611"/>
        <v>46401556</v>
      </c>
      <c r="AE907" s="128">
        <f t="shared" si="611"/>
        <v>1442963687</v>
      </c>
      <c r="AF907" s="128">
        <f t="shared" si="611"/>
        <v>1364102925</v>
      </c>
      <c r="AG907" s="128">
        <f t="shared" si="611"/>
        <v>5226109934</v>
      </c>
      <c r="AH907" s="893">
        <f t="shared" si="608"/>
        <v>0</v>
      </c>
      <c r="AI907" s="128">
        <f t="shared" si="611"/>
        <v>1332051023</v>
      </c>
      <c r="AJ907" s="128">
        <f t="shared" si="611"/>
        <v>1364987835</v>
      </c>
      <c r="AK907" s="128">
        <f t="shared" si="611"/>
        <v>1540908627</v>
      </c>
      <c r="AL907" s="128">
        <f t="shared" si="611"/>
        <v>1061071379</v>
      </c>
      <c r="AM907" s="128">
        <f t="shared" si="611"/>
        <v>757576841</v>
      </c>
      <c r="AN907" s="128">
        <f t="shared" si="611"/>
        <v>1284193698</v>
      </c>
      <c r="AO907" s="128">
        <f t="shared" si="611"/>
        <v>1425128728</v>
      </c>
      <c r="AP907" s="128">
        <f t="shared" si="611"/>
        <v>1711684354</v>
      </c>
      <c r="AQ907" s="128">
        <f t="shared" si="611"/>
        <v>1571118243</v>
      </c>
      <c r="AR907" s="128">
        <f t="shared" si="611"/>
        <v>1382692027</v>
      </c>
      <c r="AS907" s="128">
        <f t="shared" si="611"/>
        <v>1582390148</v>
      </c>
      <c r="AT907" s="128">
        <f t="shared" si="611"/>
        <v>1885781478</v>
      </c>
      <c r="AU907" s="128">
        <f t="shared" si="611"/>
        <v>1633685318</v>
      </c>
      <c r="AV907" s="128">
        <f t="shared" si="611"/>
        <v>1651685318</v>
      </c>
      <c r="AW907" s="128">
        <f t="shared" si="611"/>
        <v>1512685318</v>
      </c>
      <c r="AX907" s="128">
        <f t="shared" si="611"/>
        <v>16899584381</v>
      </c>
      <c r="AY907" s="893">
        <f t="shared" si="609"/>
        <v>0</v>
      </c>
      <c r="AZ907" s="128">
        <f t="shared" si="611"/>
        <v>1332051023</v>
      </c>
      <c r="BA907" s="128">
        <f t="shared" si="611"/>
        <v>1364987835</v>
      </c>
      <c r="BB907" s="128">
        <f t="shared" si="611"/>
        <v>1540908627</v>
      </c>
      <c r="BC907" s="128">
        <f t="shared" si="611"/>
        <v>1061071379</v>
      </c>
      <c r="BD907" s="128">
        <f t="shared" si="611"/>
        <v>757576841</v>
      </c>
      <c r="BE907" s="128">
        <f t="shared" si="611"/>
        <v>1284193698</v>
      </c>
      <c r="BF907" s="128">
        <f t="shared" si="611"/>
        <v>1425128728</v>
      </c>
      <c r="BG907" s="128">
        <f t="shared" si="611"/>
        <v>1711684354</v>
      </c>
      <c r="BH907" s="128">
        <f t="shared" si="611"/>
        <v>1442319474</v>
      </c>
      <c r="BI907" s="128">
        <f t="shared" si="611"/>
        <v>1454319474</v>
      </c>
      <c r="BJ907" s="128">
        <f t="shared" si="611"/>
        <v>1472319474</v>
      </c>
      <c r="BK907" s="128">
        <f t="shared" si="611"/>
        <v>1333319474</v>
      </c>
      <c r="BL907" s="128">
        <f t="shared" si="611"/>
        <v>16179880381</v>
      </c>
      <c r="BM907" s="128">
        <f t="shared" si="611"/>
        <v>0</v>
      </c>
      <c r="BN907" s="128">
        <f t="shared" si="611"/>
        <v>1560365844</v>
      </c>
      <c r="BO907" s="128">
        <f t="shared" si="611"/>
        <v>1572365844</v>
      </c>
      <c r="BP907" s="128">
        <f t="shared" si="611"/>
        <v>1719965844</v>
      </c>
      <c r="BQ907" s="128">
        <f t="shared" si="611"/>
        <v>1768965844</v>
      </c>
      <c r="BR907" s="128">
        <f t="shared" si="611"/>
        <v>1634697967.4000001</v>
      </c>
      <c r="BS907" s="128">
        <f t="shared" si="611"/>
        <v>1731152844</v>
      </c>
      <c r="BT907" s="128">
        <f t="shared" ref="BT907:EE907" si="612">SUM(BT904:BT906)</f>
        <v>1836789428.4000001</v>
      </c>
      <c r="BU907" s="128">
        <f t="shared" si="612"/>
        <v>1815789428.4000001</v>
      </c>
      <c r="BV907" s="128">
        <f t="shared" si="612"/>
        <v>1806789428.4000001</v>
      </c>
      <c r="BW907" s="128">
        <f t="shared" si="612"/>
        <v>1875789428.4000001</v>
      </c>
      <c r="BX907" s="128">
        <f t="shared" si="612"/>
        <v>1836789428.4000001</v>
      </c>
      <c r="BY907" s="128">
        <f t="shared" si="612"/>
        <v>1775789428.4000001</v>
      </c>
      <c r="BZ907" s="128">
        <f t="shared" si="612"/>
        <v>20935250757.799999</v>
      </c>
      <c r="CB907" s="128">
        <f t="shared" si="612"/>
        <v>1560365844</v>
      </c>
      <c r="CC907" s="128">
        <f t="shared" si="612"/>
        <v>1572365844</v>
      </c>
      <c r="CD907" s="128">
        <f t="shared" si="612"/>
        <v>1719965844</v>
      </c>
      <c r="CE907" s="128">
        <f t="shared" si="612"/>
        <v>1768965844</v>
      </c>
      <c r="CF907" s="128">
        <f t="shared" si="612"/>
        <v>1634697967.4000001</v>
      </c>
      <c r="CG907" s="128">
        <f t="shared" si="612"/>
        <v>1731152844</v>
      </c>
      <c r="CH907" s="128">
        <f t="shared" si="612"/>
        <v>1836789428.4000001</v>
      </c>
      <c r="CI907" s="128">
        <f t="shared" si="612"/>
        <v>1815789428.4000001</v>
      </c>
      <c r="CJ907" s="128">
        <f t="shared" si="612"/>
        <v>1806789428.4000001</v>
      </c>
      <c r="CK907" s="128">
        <f t="shared" si="612"/>
        <v>1875789428.4000001</v>
      </c>
      <c r="CL907" s="128">
        <f t="shared" si="612"/>
        <v>1836789428.4000001</v>
      </c>
      <c r="CM907" s="128">
        <f t="shared" si="612"/>
        <v>1775789428.4000001</v>
      </c>
      <c r="CN907" s="128">
        <f t="shared" si="612"/>
        <v>20935250757.800003</v>
      </c>
      <c r="CO907" s="128">
        <f t="shared" si="612"/>
        <v>0</v>
      </c>
      <c r="CP907" s="128">
        <f t="shared" si="612"/>
        <v>1678791829</v>
      </c>
      <c r="CQ907" s="128">
        <f t="shared" si="612"/>
        <v>1711710499</v>
      </c>
      <c r="CR907" s="128">
        <f t="shared" si="612"/>
        <v>1622575051</v>
      </c>
      <c r="CS907" s="128">
        <f t="shared" si="612"/>
        <v>1386953883</v>
      </c>
      <c r="CT907" s="128">
        <f t="shared" si="612"/>
        <v>1746000000</v>
      </c>
      <c r="CU907" s="128">
        <f t="shared" si="612"/>
        <v>1331693551</v>
      </c>
      <c r="CV907" s="128">
        <f t="shared" si="612"/>
        <v>1745000000</v>
      </c>
      <c r="CW907" s="128">
        <f t="shared" si="612"/>
        <v>1111635373</v>
      </c>
      <c r="CX907" s="128">
        <f t="shared" si="612"/>
        <v>1403477986</v>
      </c>
      <c r="CY907" s="128">
        <f t="shared" si="612"/>
        <v>1715146472</v>
      </c>
      <c r="CZ907" s="128">
        <f t="shared" si="612"/>
        <v>1786797246</v>
      </c>
      <c r="DA907" s="128">
        <f t="shared" si="612"/>
        <v>1279725129</v>
      </c>
      <c r="DB907" s="128">
        <f t="shared" si="612"/>
        <v>2238000000</v>
      </c>
      <c r="DC907" s="128">
        <f t="shared" si="612"/>
        <v>1558546285</v>
      </c>
      <c r="DD907" s="128">
        <f t="shared" si="612"/>
        <v>2478000000</v>
      </c>
      <c r="DE907" s="128">
        <f t="shared" si="612"/>
        <v>0</v>
      </c>
      <c r="DF907" s="128">
        <f t="shared" si="612"/>
        <v>271613790</v>
      </c>
      <c r="DG907" s="128">
        <f t="shared" si="612"/>
        <v>2393000000</v>
      </c>
      <c r="DH907" s="128">
        <f t="shared" si="612"/>
        <v>0</v>
      </c>
      <c r="DI907" s="128">
        <f t="shared" si="612"/>
        <v>311613790</v>
      </c>
      <c r="DJ907" s="128">
        <f t="shared" si="612"/>
        <v>2443000000</v>
      </c>
      <c r="DK907" s="128">
        <f t="shared" si="612"/>
        <v>0</v>
      </c>
      <c r="DL907" s="128">
        <f t="shared" si="612"/>
        <v>211613790</v>
      </c>
      <c r="DM907" s="128">
        <f t="shared" si="612"/>
        <v>2433000000</v>
      </c>
      <c r="DN907" s="128">
        <f t="shared" si="612"/>
        <v>0</v>
      </c>
      <c r="DO907" s="128">
        <f t="shared" si="612"/>
        <v>241613790</v>
      </c>
      <c r="DP907" s="128">
        <f t="shared" si="612"/>
        <v>2413000000</v>
      </c>
      <c r="DQ907" s="128">
        <f t="shared" si="612"/>
        <v>12810658181</v>
      </c>
      <c r="DR907" s="128">
        <f t="shared" si="612"/>
        <v>21820508218</v>
      </c>
      <c r="DS907" s="1191">
        <f t="shared" si="612"/>
        <v>2019500000</v>
      </c>
      <c r="DT907" s="1191">
        <f t="shared" si="612"/>
        <v>2029500000</v>
      </c>
      <c r="DU907" s="1191">
        <f t="shared" si="612"/>
        <v>1969500000</v>
      </c>
      <c r="DV907" s="1191">
        <f t="shared" si="612"/>
        <v>1647500000</v>
      </c>
      <c r="DW907" s="1191">
        <f t="shared" si="612"/>
        <v>1697500000</v>
      </c>
      <c r="DX907" s="1191">
        <f t="shared" si="612"/>
        <v>2009500000</v>
      </c>
      <c r="DY907" s="1191">
        <f t="shared" si="612"/>
        <v>1709500000</v>
      </c>
      <c r="DZ907" s="1191">
        <f t="shared" si="612"/>
        <v>1759500000</v>
      </c>
      <c r="EA907" s="1191">
        <f t="shared" si="612"/>
        <v>2059500000</v>
      </c>
      <c r="EB907" s="1191">
        <f t="shared" si="612"/>
        <v>1759500000</v>
      </c>
      <c r="EC907" s="1191">
        <f t="shared" si="612"/>
        <v>1759500000</v>
      </c>
      <c r="ED907" s="1191">
        <f t="shared" si="612"/>
        <v>2059500000</v>
      </c>
      <c r="EE907" s="128">
        <f t="shared" si="612"/>
        <v>22480000000</v>
      </c>
      <c r="EF907" s="128">
        <f>SUM(EF904:EF906)</f>
        <v>23762069485.690201</v>
      </c>
      <c r="EG907" s="128">
        <f>SUM(EG904:EG906)</f>
        <v>37139522295.868683</v>
      </c>
      <c r="EH907" s="128">
        <f>SUM(EH904:EH906)</f>
        <v>50056682444.436134</v>
      </c>
      <c r="EI907" s="128">
        <f>SUM(EI904:EI906)</f>
        <v>50705741390.261414</v>
      </c>
      <c r="EJ907" s="367" t="e">
        <v>#N/A</v>
      </c>
      <c r="EK907" s="1033"/>
    </row>
    <row r="908" spans="2:142" ht="15" thickTop="1">
      <c r="H908" s="1"/>
      <c r="T908" s="1"/>
      <c r="V908" s="1"/>
      <c r="AH908" s="893">
        <f t="shared" si="608"/>
        <v>0</v>
      </c>
      <c r="AJ908" s="1"/>
      <c r="AY908" s="893">
        <f t="shared" si="609"/>
        <v>0</v>
      </c>
      <c r="BA908" s="1"/>
      <c r="BM908" s="1"/>
      <c r="BO908" s="1"/>
      <c r="BZ908" s="491"/>
      <c r="CC908" s="1"/>
      <c r="CO908" s="1"/>
      <c r="DS908" s="1189"/>
      <c r="DT908" s="1189"/>
      <c r="DU908" s="1189"/>
      <c r="DV908" s="1189"/>
      <c r="DW908" s="1189"/>
      <c r="DX908" s="1189"/>
      <c r="DY908" s="1189"/>
      <c r="DZ908" s="1189"/>
      <c r="EA908" s="1189"/>
      <c r="EB908" s="1189"/>
      <c r="EC908" s="1189"/>
      <c r="ED908" s="1189"/>
      <c r="EE908" s="1035"/>
      <c r="EF908" s="1035"/>
      <c r="EG908" s="1035"/>
      <c r="EH908" s="1035"/>
      <c r="EI908" s="1035"/>
      <c r="EJ908" s="367" t="e">
        <v>#N/A</v>
      </c>
      <c r="EK908" s="1033"/>
    </row>
    <row r="909" spans="2:142">
      <c r="B909" s="368" t="s">
        <v>594</v>
      </c>
      <c r="C909" s="368"/>
      <c r="D909" s="368"/>
      <c r="H909" s="1"/>
      <c r="T909" s="1"/>
      <c r="V909" s="1"/>
      <c r="AH909" s="893">
        <f t="shared" si="608"/>
        <v>0</v>
      </c>
      <c r="AJ909" s="1"/>
      <c r="AY909" s="893">
        <f t="shared" si="609"/>
        <v>0</v>
      </c>
      <c r="BA909" s="1"/>
      <c r="BM909" s="1"/>
      <c r="BO909" s="1"/>
      <c r="BZ909" s="491"/>
      <c r="CC909" s="1"/>
      <c r="CO909" s="1"/>
      <c r="DS909" s="1189"/>
      <c r="DT909" s="1189"/>
      <c r="DU909" s="1189"/>
      <c r="DV909" s="1189"/>
      <c r="DW909" s="1189"/>
      <c r="DX909" s="1189"/>
      <c r="DY909" s="1189"/>
      <c r="DZ909" s="1189"/>
      <c r="EA909" s="1189"/>
      <c r="EB909" s="1189"/>
      <c r="EC909" s="1189"/>
      <c r="ED909" s="1189"/>
      <c r="EE909" s="1035"/>
      <c r="EF909" s="1035"/>
      <c r="EG909" s="1035"/>
      <c r="EH909" s="1035"/>
      <c r="EI909" s="1035"/>
      <c r="EJ909" s="367" t="e">
        <v>#N/A</v>
      </c>
      <c r="EK909" s="1033"/>
    </row>
    <row r="910" spans="2:142">
      <c r="E910" s="438" t="s">
        <v>324</v>
      </c>
      <c r="F910" s="441"/>
      <c r="G910" s="201">
        <f t="shared" ref="G910:AL910" si="613">G409</f>
        <v>696637694</v>
      </c>
      <c r="H910" s="201">
        <f t="shared" si="613"/>
        <v>670739747</v>
      </c>
      <c r="I910" s="201">
        <f t="shared" si="613"/>
        <v>786042009</v>
      </c>
      <c r="J910" s="201">
        <f t="shared" si="613"/>
        <v>1158666490</v>
      </c>
      <c r="K910" s="201">
        <f t="shared" si="613"/>
        <v>1237740237</v>
      </c>
      <c r="L910" s="201">
        <f t="shared" si="613"/>
        <v>1017342796</v>
      </c>
      <c r="M910" s="201">
        <f t="shared" si="613"/>
        <v>763109390</v>
      </c>
      <c r="N910" s="201">
        <f t="shared" si="613"/>
        <v>1218671672</v>
      </c>
      <c r="O910" s="201">
        <f t="shared" si="613"/>
        <v>1214933386</v>
      </c>
      <c r="P910" s="201">
        <f t="shared" si="613"/>
        <v>1397460166</v>
      </c>
      <c r="Q910" s="201">
        <f t="shared" si="613"/>
        <v>1505870687</v>
      </c>
      <c r="R910" s="201">
        <f t="shared" si="613"/>
        <v>1275960143</v>
      </c>
      <c r="S910" s="201">
        <f t="shared" si="613"/>
        <v>12943174417</v>
      </c>
      <c r="T910" s="201">
        <f t="shared" si="613"/>
        <v>0</v>
      </c>
      <c r="U910" s="201">
        <f t="shared" si="613"/>
        <v>1221689263</v>
      </c>
      <c r="V910" s="201">
        <f t="shared" si="613"/>
        <v>1185209104</v>
      </c>
      <c r="W910" s="201">
        <f t="shared" si="613"/>
        <v>1363106215</v>
      </c>
      <c r="X910" s="201">
        <f t="shared" si="613"/>
        <v>1290949581</v>
      </c>
      <c r="Y910" s="201">
        <f t="shared" si="613"/>
        <v>1463574686</v>
      </c>
      <c r="Z910" s="201">
        <f t="shared" si="613"/>
        <v>1231473612</v>
      </c>
      <c r="AA910" s="201">
        <f t="shared" si="613"/>
        <v>1369363625</v>
      </c>
      <c r="AB910" s="201">
        <f t="shared" si="613"/>
        <v>885581143</v>
      </c>
      <c r="AC910" s="201">
        <f t="shared" si="613"/>
        <v>1419300258</v>
      </c>
      <c r="AD910" s="201">
        <f t="shared" si="613"/>
        <v>1272010002</v>
      </c>
      <c r="AE910" s="201">
        <f t="shared" si="613"/>
        <v>2008324283</v>
      </c>
      <c r="AF910" s="201">
        <f t="shared" si="613"/>
        <v>2427112329</v>
      </c>
      <c r="AG910" s="201">
        <f t="shared" si="613"/>
        <v>16842694101</v>
      </c>
      <c r="AH910" s="893">
        <f t="shared" si="608"/>
        <v>0</v>
      </c>
      <c r="AI910" s="201">
        <f t="shared" si="613"/>
        <v>2381182105</v>
      </c>
      <c r="AJ910" s="201">
        <f t="shared" si="613"/>
        <v>2203175782</v>
      </c>
      <c r="AK910" s="201">
        <f t="shared" si="613"/>
        <v>2059321254</v>
      </c>
      <c r="AL910" s="201">
        <f t="shared" si="613"/>
        <v>2573070780</v>
      </c>
      <c r="AM910" s="201">
        <f t="shared" ref="AM910:BR910" si="614">AM409</f>
        <v>1959190278</v>
      </c>
      <c r="AN910" s="201">
        <f t="shared" si="614"/>
        <v>1493935467</v>
      </c>
      <c r="AO910" s="201">
        <f t="shared" si="614"/>
        <v>1907171100</v>
      </c>
      <c r="AP910" s="201">
        <f t="shared" si="614"/>
        <v>1725172022</v>
      </c>
      <c r="AQ910" s="201">
        <f t="shared" si="614"/>
        <v>1946583765</v>
      </c>
      <c r="AR910" s="201">
        <f t="shared" si="614"/>
        <v>2147069070</v>
      </c>
      <c r="AS910" s="201">
        <f t="shared" si="614"/>
        <v>2463239792</v>
      </c>
      <c r="AT910" s="201">
        <f t="shared" si="614"/>
        <v>2497221597</v>
      </c>
      <c r="AU910" s="201">
        <f t="shared" si="614"/>
        <v>2034625970</v>
      </c>
      <c r="AV910" s="201">
        <f t="shared" si="614"/>
        <v>2064625970</v>
      </c>
      <c r="AW910" s="201">
        <f t="shared" si="614"/>
        <v>2148468470</v>
      </c>
      <c r="AX910" s="201">
        <f t="shared" si="614"/>
        <v>25356333012</v>
      </c>
      <c r="AY910" s="893">
        <f t="shared" si="609"/>
        <v>0</v>
      </c>
      <c r="AZ910" s="201">
        <f t="shared" si="614"/>
        <v>2381182105</v>
      </c>
      <c r="BA910" s="201">
        <f t="shared" si="614"/>
        <v>2203175782</v>
      </c>
      <c r="BB910" s="201">
        <f t="shared" si="614"/>
        <v>2059321254</v>
      </c>
      <c r="BC910" s="201">
        <f t="shared" si="614"/>
        <v>2573070780</v>
      </c>
      <c r="BD910" s="201">
        <f t="shared" si="614"/>
        <v>1959190278</v>
      </c>
      <c r="BE910" s="201">
        <f t="shared" si="614"/>
        <v>1493935467</v>
      </c>
      <c r="BF910" s="201">
        <f t="shared" si="614"/>
        <v>1907171100</v>
      </c>
      <c r="BG910" s="201">
        <f t="shared" si="614"/>
        <v>1725172022</v>
      </c>
      <c r="BH910" s="201">
        <f t="shared" si="614"/>
        <v>2521677430</v>
      </c>
      <c r="BI910" s="201">
        <f t="shared" si="614"/>
        <v>2623069330</v>
      </c>
      <c r="BJ910" s="201">
        <f t="shared" si="614"/>
        <v>2384069330</v>
      </c>
      <c r="BK910" s="201">
        <f t="shared" si="614"/>
        <v>2467911830</v>
      </c>
      <c r="BL910" s="201">
        <f t="shared" si="614"/>
        <v>26298946708</v>
      </c>
      <c r="BM910" s="201">
        <f t="shared" si="614"/>
        <v>0</v>
      </c>
      <c r="BN910" s="201">
        <f t="shared" si="614"/>
        <v>2540623511.5999999</v>
      </c>
      <c r="BO910" s="201">
        <f t="shared" si="614"/>
        <v>2540623511.5999999</v>
      </c>
      <c r="BP910" s="201">
        <f t="shared" si="614"/>
        <v>2538623511.5999999</v>
      </c>
      <c r="BQ910" s="201">
        <f t="shared" si="614"/>
        <v>2624923514</v>
      </c>
      <c r="BR910" s="201">
        <f t="shared" si="614"/>
        <v>2248434986.9000001</v>
      </c>
      <c r="BS910" s="201">
        <f t="shared" ref="BS910:CM910" si="615">BS409</f>
        <v>2483623511.5999999</v>
      </c>
      <c r="BT910" s="201">
        <f t="shared" si="615"/>
        <v>2543623511.5999999</v>
      </c>
      <c r="BU910" s="201">
        <f t="shared" si="615"/>
        <v>2543623511.5999999</v>
      </c>
      <c r="BV910" s="201">
        <f t="shared" si="615"/>
        <v>2553623511.5999999</v>
      </c>
      <c r="BW910" s="201">
        <f t="shared" si="615"/>
        <v>2573623511.5999999</v>
      </c>
      <c r="BX910" s="201">
        <f t="shared" si="615"/>
        <v>2618623511.5999999</v>
      </c>
      <c r="BY910" s="201">
        <f t="shared" si="615"/>
        <v>2560623511.5999999</v>
      </c>
      <c r="BZ910" s="502">
        <f t="shared" si="615"/>
        <v>30370593616.900002</v>
      </c>
      <c r="CB910" s="201">
        <f t="shared" si="615"/>
        <v>2540623511.5999999</v>
      </c>
      <c r="CC910" s="201">
        <f t="shared" si="615"/>
        <v>2540623511.5999999</v>
      </c>
      <c r="CD910" s="201">
        <f t="shared" si="615"/>
        <v>2538623511.5999999</v>
      </c>
      <c r="CE910" s="201">
        <f t="shared" si="615"/>
        <v>2624923514</v>
      </c>
      <c r="CF910" s="201">
        <f t="shared" si="615"/>
        <v>2248434986.9000001</v>
      </c>
      <c r="CG910" s="201">
        <f t="shared" si="615"/>
        <v>2483623511.5999999</v>
      </c>
      <c r="CH910" s="201">
        <f t="shared" si="615"/>
        <v>2543623511.5999999</v>
      </c>
      <c r="CI910" s="201">
        <f t="shared" si="615"/>
        <v>2543623511.5999999</v>
      </c>
      <c r="CJ910" s="201">
        <f t="shared" si="615"/>
        <v>2553623511.5999999</v>
      </c>
      <c r="CK910" s="201">
        <f t="shared" si="615"/>
        <v>2573623511.5999999</v>
      </c>
      <c r="CL910" s="201">
        <f t="shared" si="615"/>
        <v>2618623511.5999999</v>
      </c>
      <c r="CM910" s="201">
        <f t="shared" si="615"/>
        <v>2560623511.5999999</v>
      </c>
      <c r="CN910" s="201">
        <v>32148093616.900002</v>
      </c>
      <c r="CO910" s="201">
        <f t="shared" ref="CO910:DR910" si="616">CO409</f>
        <v>0</v>
      </c>
      <c r="CP910" s="666">
        <f t="shared" si="616"/>
        <v>1623437303</v>
      </c>
      <c r="CQ910" s="666">
        <f t="shared" si="616"/>
        <v>1777601940</v>
      </c>
      <c r="CR910" s="201">
        <f t="shared" si="616"/>
        <v>1625500000</v>
      </c>
      <c r="CS910" s="666">
        <f t="shared" si="616"/>
        <v>2328730486</v>
      </c>
      <c r="CT910" s="201">
        <f t="shared" si="616"/>
        <v>2413200000</v>
      </c>
      <c r="CU910" s="666">
        <f t="shared" si="616"/>
        <v>2123477768</v>
      </c>
      <c r="CV910" s="201">
        <f t="shared" si="616"/>
        <v>2522000000</v>
      </c>
      <c r="CW910" s="666">
        <f t="shared" si="616"/>
        <v>2067058129</v>
      </c>
      <c r="CX910" s="201">
        <f t="shared" si="616"/>
        <v>1881500000</v>
      </c>
      <c r="CY910" s="666">
        <f t="shared" si="616"/>
        <v>2333374385</v>
      </c>
      <c r="CZ910" s="201">
        <f t="shared" si="616"/>
        <v>4469000000</v>
      </c>
      <c r="DA910" s="666">
        <f t="shared" si="616"/>
        <v>2201661566</v>
      </c>
      <c r="DB910" s="201">
        <f t="shared" si="616"/>
        <v>4814000000</v>
      </c>
      <c r="DC910" s="666">
        <f t="shared" si="616"/>
        <v>2787947227</v>
      </c>
      <c r="DD910" s="201">
        <f t="shared" si="616"/>
        <v>4884000000</v>
      </c>
      <c r="DE910" s="201">
        <f t="shared" si="616"/>
        <v>0</v>
      </c>
      <c r="DF910" s="201">
        <f>DF409</f>
        <v>4714000000</v>
      </c>
      <c r="DG910" s="777">
        <f t="shared" si="616"/>
        <v>4031500000</v>
      </c>
      <c r="DH910" s="201">
        <f t="shared" si="616"/>
        <v>0</v>
      </c>
      <c r="DI910" s="201">
        <f>DI409</f>
        <v>4844000000</v>
      </c>
      <c r="DJ910" s="777">
        <f t="shared" si="616"/>
        <v>4191500000</v>
      </c>
      <c r="DK910" s="201">
        <f t="shared" si="616"/>
        <v>0</v>
      </c>
      <c r="DL910" s="201">
        <f>DL409</f>
        <v>5224000000</v>
      </c>
      <c r="DM910" s="777">
        <f>DM409</f>
        <v>4396500000</v>
      </c>
      <c r="DN910" s="201">
        <f t="shared" si="616"/>
        <v>0</v>
      </c>
      <c r="DO910" s="201">
        <f>DO409</f>
        <v>5279000000</v>
      </c>
      <c r="DP910" s="777">
        <f t="shared" si="616"/>
        <v>4401500000</v>
      </c>
      <c r="DQ910" s="502">
        <f t="shared" si="616"/>
        <v>37304288804</v>
      </c>
      <c r="DR910" s="512">
        <f t="shared" si="616"/>
        <v>34264288804</v>
      </c>
      <c r="DS910" s="1189">
        <f t="shared" ref="DS910:EI910" si="617">DS409</f>
        <v>3798000000</v>
      </c>
      <c r="DT910" s="1189">
        <f t="shared" si="617"/>
        <v>3798000000</v>
      </c>
      <c r="DU910" s="1189">
        <f t="shared" si="617"/>
        <v>4088000000</v>
      </c>
      <c r="DV910" s="1189">
        <f t="shared" si="617"/>
        <v>4028000000</v>
      </c>
      <c r="DW910" s="1189">
        <f t="shared" si="617"/>
        <v>3738000000</v>
      </c>
      <c r="DX910" s="1189">
        <f t="shared" si="617"/>
        <v>3748000000</v>
      </c>
      <c r="DY910" s="1189">
        <f t="shared" si="617"/>
        <v>3768000000</v>
      </c>
      <c r="DZ910" s="1189">
        <f t="shared" si="617"/>
        <v>3768000000</v>
      </c>
      <c r="EA910" s="1189">
        <f t="shared" si="617"/>
        <v>3868000000</v>
      </c>
      <c r="EB910" s="1189">
        <f t="shared" si="617"/>
        <v>3968000000</v>
      </c>
      <c r="EC910" s="1189">
        <f t="shared" si="617"/>
        <v>4145000000</v>
      </c>
      <c r="ED910" s="1189">
        <f t="shared" si="617"/>
        <v>4145000000</v>
      </c>
      <c r="EE910" s="1032">
        <f t="shared" si="617"/>
        <v>46860000000</v>
      </c>
      <c r="EF910" s="1032">
        <f t="shared" si="617"/>
        <v>83242855710.187241</v>
      </c>
      <c r="EG910" s="1032">
        <f t="shared" si="617"/>
        <v>119156342031.39584</v>
      </c>
      <c r="EH910" s="1032">
        <f t="shared" si="617"/>
        <v>178130611120.07935</v>
      </c>
      <c r="EI910" s="1032">
        <f t="shared" si="617"/>
        <v>179388590584.07935</v>
      </c>
      <c r="EJ910" s="367" t="e">
        <v>#N/A</v>
      </c>
    </row>
    <row r="911" spans="2:142">
      <c r="E911" s="438" t="s">
        <v>684</v>
      </c>
      <c r="F911" s="441"/>
      <c r="G911" s="201">
        <f t="shared" ref="G911:AL911" si="618">G761</f>
        <v>0</v>
      </c>
      <c r="H911" s="201">
        <f t="shared" si="618"/>
        <v>0</v>
      </c>
      <c r="I911" s="201">
        <f t="shared" si="618"/>
        <v>0</v>
      </c>
      <c r="J911" s="201">
        <f t="shared" si="618"/>
        <v>0</v>
      </c>
      <c r="K911" s="201">
        <f t="shared" si="618"/>
        <v>0</v>
      </c>
      <c r="L911" s="201">
        <f t="shared" si="618"/>
        <v>0</v>
      </c>
      <c r="M911" s="201">
        <f t="shared" si="618"/>
        <v>0</v>
      </c>
      <c r="N911" s="201">
        <f t="shared" si="618"/>
        <v>0</v>
      </c>
      <c r="O911" s="201">
        <f t="shared" si="618"/>
        <v>0</v>
      </c>
      <c r="P911" s="201">
        <f t="shared" si="618"/>
        <v>0</v>
      </c>
      <c r="Q911" s="201">
        <f t="shared" si="618"/>
        <v>0</v>
      </c>
      <c r="R911" s="201">
        <f t="shared" si="618"/>
        <v>0</v>
      </c>
      <c r="S911" s="201">
        <f t="shared" si="618"/>
        <v>0</v>
      </c>
      <c r="T911" s="201">
        <f t="shared" si="618"/>
        <v>0</v>
      </c>
      <c r="U911" s="201">
        <f t="shared" si="618"/>
        <v>0</v>
      </c>
      <c r="V911" s="201">
        <f t="shared" si="618"/>
        <v>0</v>
      </c>
      <c r="W911" s="201">
        <f t="shared" si="618"/>
        <v>0</v>
      </c>
      <c r="X911" s="201">
        <f t="shared" si="618"/>
        <v>0</v>
      </c>
      <c r="Y911" s="201">
        <f t="shared" si="618"/>
        <v>0</v>
      </c>
      <c r="Z911" s="201">
        <f t="shared" si="618"/>
        <v>0</v>
      </c>
      <c r="AA911" s="201">
        <f t="shared" si="618"/>
        <v>0</v>
      </c>
      <c r="AB911" s="201">
        <f t="shared" si="618"/>
        <v>0</v>
      </c>
      <c r="AC911" s="201">
        <f t="shared" si="618"/>
        <v>0</v>
      </c>
      <c r="AD911" s="201">
        <f t="shared" si="618"/>
        <v>0</v>
      </c>
      <c r="AE911" s="201">
        <f t="shared" si="618"/>
        <v>0</v>
      </c>
      <c r="AF911" s="201">
        <f t="shared" si="618"/>
        <v>0</v>
      </c>
      <c r="AG911" s="201">
        <f t="shared" si="618"/>
        <v>0</v>
      </c>
      <c r="AH911" s="893">
        <f t="shared" si="608"/>
        <v>0</v>
      </c>
      <c r="AI911" s="201">
        <f t="shared" si="618"/>
        <v>229244450</v>
      </c>
      <c r="AJ911" s="201">
        <f t="shared" si="618"/>
        <v>566921500</v>
      </c>
      <c r="AK911" s="201">
        <f t="shared" si="618"/>
        <v>533211997</v>
      </c>
      <c r="AL911" s="201">
        <f t="shared" si="618"/>
        <v>242100558</v>
      </c>
      <c r="AM911" s="201">
        <f t="shared" ref="AM911:BR911" si="619">AM761</f>
        <v>745596650</v>
      </c>
      <c r="AN911" s="201">
        <f t="shared" si="619"/>
        <v>442297962</v>
      </c>
      <c r="AO911" s="201">
        <f t="shared" si="619"/>
        <v>646364992</v>
      </c>
      <c r="AP911" s="201">
        <f t="shared" si="619"/>
        <v>325104003</v>
      </c>
      <c r="AQ911" s="201">
        <f t="shared" si="619"/>
        <v>667575102</v>
      </c>
      <c r="AR911" s="201">
        <f t="shared" si="619"/>
        <v>385239450</v>
      </c>
      <c r="AS911" s="201">
        <f t="shared" si="619"/>
        <v>405575500</v>
      </c>
      <c r="AT911" s="201">
        <f t="shared" si="619"/>
        <v>432341688</v>
      </c>
      <c r="AU911" s="201">
        <f t="shared" si="619"/>
        <v>685000000</v>
      </c>
      <c r="AV911" s="201">
        <f t="shared" si="619"/>
        <v>685000000</v>
      </c>
      <c r="AW911" s="201">
        <f t="shared" si="619"/>
        <v>685000000</v>
      </c>
      <c r="AX911" s="201">
        <f t="shared" si="619"/>
        <v>5621573852</v>
      </c>
      <c r="AY911" s="893">
        <f t="shared" si="609"/>
        <v>0</v>
      </c>
      <c r="AZ911" s="201">
        <f t="shared" si="619"/>
        <v>229244450</v>
      </c>
      <c r="BA911" s="201">
        <f t="shared" si="619"/>
        <v>566921500</v>
      </c>
      <c r="BB911" s="201">
        <f t="shared" si="619"/>
        <v>533211997</v>
      </c>
      <c r="BC911" s="201">
        <f t="shared" si="619"/>
        <v>242100558</v>
      </c>
      <c r="BD911" s="201">
        <f t="shared" si="619"/>
        <v>745596650</v>
      </c>
      <c r="BE911" s="201">
        <f t="shared" si="619"/>
        <v>442297962</v>
      </c>
      <c r="BF911" s="201">
        <f t="shared" si="619"/>
        <v>646364992</v>
      </c>
      <c r="BG911" s="201">
        <f t="shared" si="619"/>
        <v>325104003</v>
      </c>
      <c r="BH911" s="201">
        <f t="shared" si="619"/>
        <v>682000000</v>
      </c>
      <c r="BI911" s="201">
        <f t="shared" si="619"/>
        <v>685000000</v>
      </c>
      <c r="BJ911" s="201">
        <f t="shared" si="619"/>
        <v>685000000</v>
      </c>
      <c r="BK911" s="201">
        <f t="shared" si="619"/>
        <v>685000000</v>
      </c>
      <c r="BL911" s="201">
        <f t="shared" si="619"/>
        <v>6467842112</v>
      </c>
      <c r="BM911" s="201">
        <f t="shared" si="619"/>
        <v>0</v>
      </c>
      <c r="BN911" s="201">
        <f t="shared" si="619"/>
        <v>2080000000</v>
      </c>
      <c r="BO911" s="201">
        <f t="shared" si="619"/>
        <v>2060000000</v>
      </c>
      <c r="BP911" s="201">
        <f t="shared" si="619"/>
        <v>2080000000</v>
      </c>
      <c r="BQ911" s="201">
        <f t="shared" si="619"/>
        <v>2092500000</v>
      </c>
      <c r="BR911" s="201">
        <f t="shared" si="619"/>
        <v>2049000000</v>
      </c>
      <c r="BS911" s="201">
        <f t="shared" ref="BS911:BY911" si="620">BS761</f>
        <v>2180000000</v>
      </c>
      <c r="BT911" s="201">
        <f t="shared" si="620"/>
        <v>2205000000</v>
      </c>
      <c r="BU911" s="201">
        <f t="shared" si="620"/>
        <v>2195000000</v>
      </c>
      <c r="BV911" s="201">
        <f t="shared" si="620"/>
        <v>2202500000</v>
      </c>
      <c r="BW911" s="201">
        <f t="shared" si="620"/>
        <v>2187500000</v>
      </c>
      <c r="BX911" s="201">
        <f t="shared" si="620"/>
        <v>2207500000</v>
      </c>
      <c r="BY911" s="201">
        <f t="shared" si="620"/>
        <v>2209343617</v>
      </c>
      <c r="BZ911" s="502">
        <f>BZ761</f>
        <v>25748343617</v>
      </c>
      <c r="CB911" s="201">
        <f t="shared" ref="CB911:CM911" si="621">CB761</f>
        <v>2080000000</v>
      </c>
      <c r="CC911" s="201">
        <f t="shared" si="621"/>
        <v>2060000000</v>
      </c>
      <c r="CD911" s="201">
        <f t="shared" si="621"/>
        <v>2080000000</v>
      </c>
      <c r="CE911" s="201">
        <f t="shared" si="621"/>
        <v>2092500000</v>
      </c>
      <c r="CF911" s="201">
        <f t="shared" si="621"/>
        <v>2049000000</v>
      </c>
      <c r="CG911" s="201">
        <f t="shared" si="621"/>
        <v>2180000000</v>
      </c>
      <c r="CH911" s="201">
        <f t="shared" si="621"/>
        <v>2205000000</v>
      </c>
      <c r="CI911" s="201">
        <f t="shared" si="621"/>
        <v>2195000000</v>
      </c>
      <c r="CJ911" s="201">
        <f t="shared" si="621"/>
        <v>2202500000</v>
      </c>
      <c r="CK911" s="201">
        <f t="shared" si="621"/>
        <v>2187500000</v>
      </c>
      <c r="CL911" s="201">
        <f t="shared" si="621"/>
        <v>2207500000</v>
      </c>
      <c r="CM911" s="201">
        <f t="shared" si="621"/>
        <v>2209343617</v>
      </c>
      <c r="CN911" s="201">
        <v>25748343617</v>
      </c>
      <c r="CO911" s="201">
        <f t="shared" ref="CO911:DR911" si="622">CO761</f>
        <v>0</v>
      </c>
      <c r="CP911" s="666">
        <f t="shared" si="622"/>
        <v>1333986280</v>
      </c>
      <c r="CQ911" s="666">
        <f t="shared" si="622"/>
        <v>1318964500</v>
      </c>
      <c r="CR911" s="201">
        <f t="shared" si="622"/>
        <v>1456000000</v>
      </c>
      <c r="CS911" s="666">
        <f t="shared" si="622"/>
        <v>1605194934</v>
      </c>
      <c r="CT911" s="201">
        <f t="shared" si="622"/>
        <v>1393000000</v>
      </c>
      <c r="CU911" s="666">
        <f t="shared" si="622"/>
        <v>686576919</v>
      </c>
      <c r="CV911" s="201">
        <f t="shared" si="622"/>
        <v>2024250000</v>
      </c>
      <c r="CW911" s="666">
        <f t="shared" si="622"/>
        <v>1759787611</v>
      </c>
      <c r="CX911" s="201">
        <f t="shared" si="622"/>
        <v>3431750000</v>
      </c>
      <c r="CY911" s="666">
        <f t="shared" si="622"/>
        <v>2619924376</v>
      </c>
      <c r="CZ911" s="201">
        <f t="shared" si="622"/>
        <v>3799926000</v>
      </c>
      <c r="DA911" s="666">
        <f t="shared" si="622"/>
        <v>2897952676</v>
      </c>
      <c r="DB911" s="201">
        <f t="shared" si="622"/>
        <v>2456746000</v>
      </c>
      <c r="DC911" s="666">
        <f t="shared" si="622"/>
        <v>6099142052</v>
      </c>
      <c r="DD911" s="201">
        <f t="shared" si="622"/>
        <v>2716048000</v>
      </c>
      <c r="DE911" s="201">
        <f t="shared" si="622"/>
        <v>0</v>
      </c>
      <c r="DF911" s="201">
        <f>DF761</f>
        <v>2270444000</v>
      </c>
      <c r="DG911" s="777">
        <f t="shared" si="622"/>
        <v>2270444000</v>
      </c>
      <c r="DH911" s="201">
        <f t="shared" si="622"/>
        <v>0</v>
      </c>
      <c r="DI911" s="201">
        <f>DI761</f>
        <v>2464054000</v>
      </c>
      <c r="DJ911" s="777">
        <f t="shared" si="622"/>
        <v>2464054000</v>
      </c>
      <c r="DK911" s="201">
        <f t="shared" si="622"/>
        <v>0</v>
      </c>
      <c r="DL911" s="201">
        <f>DL761</f>
        <v>2116450000</v>
      </c>
      <c r="DM911" s="777">
        <f>DM761</f>
        <v>2116450000</v>
      </c>
      <c r="DN911" s="201">
        <f t="shared" si="622"/>
        <v>0</v>
      </c>
      <c r="DO911" s="201">
        <f>DO761</f>
        <v>2143450000</v>
      </c>
      <c r="DP911" s="777">
        <f t="shared" si="622"/>
        <v>2143450000</v>
      </c>
      <c r="DQ911" s="502">
        <f t="shared" si="622"/>
        <v>27317390148</v>
      </c>
      <c r="DR911" s="512">
        <f t="shared" si="622"/>
        <v>26343590633</v>
      </c>
      <c r="DS911" s="1189">
        <f t="shared" ref="DS911:EI911" si="623">DS761</f>
        <v>2634916667</v>
      </c>
      <c r="DT911" s="1189">
        <f t="shared" si="623"/>
        <v>2511916667</v>
      </c>
      <c r="DU911" s="1189">
        <f t="shared" si="623"/>
        <v>2736916667</v>
      </c>
      <c r="DV911" s="1189">
        <f t="shared" si="623"/>
        <v>2686916667</v>
      </c>
      <c r="DW911" s="1189">
        <f t="shared" si="623"/>
        <v>2479916667</v>
      </c>
      <c r="DX911" s="1189">
        <f t="shared" si="623"/>
        <v>2514916667</v>
      </c>
      <c r="DY911" s="1189">
        <f t="shared" si="623"/>
        <v>2539916667</v>
      </c>
      <c r="DZ911" s="1189">
        <f t="shared" si="623"/>
        <v>2459916667</v>
      </c>
      <c r="EA911" s="1189">
        <f t="shared" si="623"/>
        <v>2524916667</v>
      </c>
      <c r="EB911" s="1189">
        <f t="shared" si="623"/>
        <v>2741916667</v>
      </c>
      <c r="EC911" s="1189">
        <f t="shared" si="623"/>
        <v>2791916667</v>
      </c>
      <c r="ED911" s="1189">
        <f t="shared" si="623"/>
        <v>2841916667</v>
      </c>
      <c r="EE911" s="1032">
        <f t="shared" si="623"/>
        <v>31466000004</v>
      </c>
      <c r="EF911" s="1032">
        <f t="shared" si="623"/>
        <v>33664627929.596859</v>
      </c>
      <c r="EG911" s="1032">
        <f t="shared" si="623"/>
        <v>54571175172.245834</v>
      </c>
      <c r="EH911" s="1032">
        <f t="shared" si="623"/>
        <v>73055508823.737442</v>
      </c>
      <c r="EI911" s="1032">
        <f t="shared" si="623"/>
        <v>82838926475.617447</v>
      </c>
      <c r="EJ911" s="367" t="e">
        <v>#N/A</v>
      </c>
      <c r="EK911" s="1033"/>
    </row>
    <row r="912" spans="2:142">
      <c r="E912" s="438" t="s">
        <v>250</v>
      </c>
      <c r="F912" s="441"/>
      <c r="G912" s="201">
        <f t="shared" ref="G912:AL912" si="624">G853</f>
        <v>0</v>
      </c>
      <c r="H912" s="201">
        <f t="shared" si="624"/>
        <v>0</v>
      </c>
      <c r="I912" s="201">
        <f t="shared" si="624"/>
        <v>0</v>
      </c>
      <c r="J912" s="201">
        <f t="shared" si="624"/>
        <v>0</v>
      </c>
      <c r="K912" s="201">
        <f t="shared" si="624"/>
        <v>0</v>
      </c>
      <c r="L912" s="201">
        <f t="shared" si="624"/>
        <v>0</v>
      </c>
      <c r="M912" s="201">
        <f t="shared" si="624"/>
        <v>0</v>
      </c>
      <c r="N912" s="201">
        <f t="shared" si="624"/>
        <v>0</v>
      </c>
      <c r="O912" s="201">
        <f t="shared" si="624"/>
        <v>0</v>
      </c>
      <c r="P912" s="201">
        <f t="shared" si="624"/>
        <v>0</v>
      </c>
      <c r="Q912" s="201">
        <f t="shared" si="624"/>
        <v>0</v>
      </c>
      <c r="R912" s="201">
        <f t="shared" si="624"/>
        <v>0</v>
      </c>
      <c r="S912" s="201">
        <f t="shared" si="624"/>
        <v>0</v>
      </c>
      <c r="T912" s="201">
        <f t="shared" si="624"/>
        <v>0</v>
      </c>
      <c r="U912" s="201">
        <f t="shared" si="624"/>
        <v>0</v>
      </c>
      <c r="V912" s="201">
        <f t="shared" si="624"/>
        <v>0</v>
      </c>
      <c r="W912" s="201">
        <f t="shared" si="624"/>
        <v>0</v>
      </c>
      <c r="X912" s="201">
        <f t="shared" si="624"/>
        <v>0</v>
      </c>
      <c r="Y912" s="201">
        <f t="shared" si="624"/>
        <v>0</v>
      </c>
      <c r="Z912" s="201">
        <f t="shared" si="624"/>
        <v>0</v>
      </c>
      <c r="AA912" s="201">
        <f t="shared" si="624"/>
        <v>0</v>
      </c>
      <c r="AB912" s="201">
        <f t="shared" si="624"/>
        <v>0</v>
      </c>
      <c r="AC912" s="201">
        <f t="shared" si="624"/>
        <v>0</v>
      </c>
      <c r="AD912" s="201">
        <f t="shared" si="624"/>
        <v>0</v>
      </c>
      <c r="AE912" s="201">
        <f t="shared" si="624"/>
        <v>0</v>
      </c>
      <c r="AF912" s="201">
        <f t="shared" si="624"/>
        <v>0</v>
      </c>
      <c r="AG912" s="201">
        <f t="shared" si="624"/>
        <v>0</v>
      </c>
      <c r="AH912" s="893">
        <f t="shared" si="608"/>
        <v>0</v>
      </c>
      <c r="AI912" s="201">
        <f t="shared" si="624"/>
        <v>0</v>
      </c>
      <c r="AJ912" s="201">
        <f t="shared" si="624"/>
        <v>115038200</v>
      </c>
      <c r="AK912" s="201">
        <f t="shared" si="624"/>
        <v>126693019</v>
      </c>
      <c r="AL912" s="201">
        <f t="shared" si="624"/>
        <v>443390963</v>
      </c>
      <c r="AM912" s="201">
        <f t="shared" ref="AM912:BR912" si="625">AM853</f>
        <v>0</v>
      </c>
      <c r="AN912" s="201">
        <f t="shared" si="625"/>
        <v>296711550</v>
      </c>
      <c r="AO912" s="201">
        <f t="shared" si="625"/>
        <v>38250000</v>
      </c>
      <c r="AP912" s="201">
        <f t="shared" si="625"/>
        <v>30000000</v>
      </c>
      <c r="AQ912" s="201">
        <f t="shared" si="625"/>
        <v>-38250000</v>
      </c>
      <c r="AR912" s="201">
        <f t="shared" si="625"/>
        <v>52500000</v>
      </c>
      <c r="AS912" s="201">
        <f t="shared" si="625"/>
        <v>0</v>
      </c>
      <c r="AT912" s="201">
        <f t="shared" si="625"/>
        <v>144025000</v>
      </c>
      <c r="AU912" s="201">
        <f t="shared" si="625"/>
        <v>0</v>
      </c>
      <c r="AV912" s="201">
        <f t="shared" si="625"/>
        <v>75000000</v>
      </c>
      <c r="AW912" s="201">
        <f t="shared" si="625"/>
        <v>75000000</v>
      </c>
      <c r="AX912" s="201">
        <f t="shared" si="625"/>
        <v>1208358732</v>
      </c>
      <c r="AY912" s="893">
        <f t="shared" si="609"/>
        <v>0</v>
      </c>
      <c r="AZ912" s="201">
        <f t="shared" si="625"/>
        <v>0</v>
      </c>
      <c r="BA912" s="201">
        <f t="shared" si="625"/>
        <v>115038200</v>
      </c>
      <c r="BB912" s="201">
        <f t="shared" si="625"/>
        <v>126693019</v>
      </c>
      <c r="BC912" s="201">
        <f t="shared" si="625"/>
        <v>443390963</v>
      </c>
      <c r="BD912" s="201">
        <f t="shared" si="625"/>
        <v>0</v>
      </c>
      <c r="BE912" s="201">
        <f t="shared" si="625"/>
        <v>296711550</v>
      </c>
      <c r="BF912" s="201">
        <f t="shared" si="625"/>
        <v>38250000</v>
      </c>
      <c r="BG912" s="201">
        <f t="shared" si="625"/>
        <v>30000000</v>
      </c>
      <c r="BH912" s="201">
        <f t="shared" si="625"/>
        <v>150000000</v>
      </c>
      <c r="BI912" s="201">
        <f t="shared" si="625"/>
        <v>600000000</v>
      </c>
      <c r="BJ912" s="201">
        <f t="shared" si="625"/>
        <v>750000000</v>
      </c>
      <c r="BK912" s="201">
        <f t="shared" si="625"/>
        <v>600000000</v>
      </c>
      <c r="BL912" s="201">
        <f t="shared" si="625"/>
        <v>3150083732</v>
      </c>
      <c r="BM912" s="201">
        <f t="shared" si="625"/>
        <v>0</v>
      </c>
      <c r="BN912" s="201">
        <f t="shared" si="625"/>
        <v>245000000</v>
      </c>
      <c r="BO912" s="201">
        <f t="shared" si="625"/>
        <v>485000000</v>
      </c>
      <c r="BP912" s="201">
        <f t="shared" si="625"/>
        <v>235000000</v>
      </c>
      <c r="BQ912" s="201">
        <f t="shared" si="625"/>
        <v>285000000</v>
      </c>
      <c r="BR912" s="201">
        <f t="shared" si="625"/>
        <v>535000000</v>
      </c>
      <c r="BS912" s="201">
        <f t="shared" ref="BS912:BY912" si="626">BS853</f>
        <v>235000000</v>
      </c>
      <c r="BT912" s="201">
        <f t="shared" si="626"/>
        <v>285000000</v>
      </c>
      <c r="BU912" s="201">
        <f t="shared" si="626"/>
        <v>485000000</v>
      </c>
      <c r="BV912" s="201">
        <f t="shared" si="626"/>
        <v>235000000</v>
      </c>
      <c r="BW912" s="201">
        <f t="shared" si="626"/>
        <v>300000000</v>
      </c>
      <c r="BX912" s="201">
        <f t="shared" si="626"/>
        <v>535000000</v>
      </c>
      <c r="BY912" s="201">
        <f t="shared" si="626"/>
        <v>235000000</v>
      </c>
      <c r="BZ912" s="502">
        <f>BZ853</f>
        <v>4095000000</v>
      </c>
      <c r="CB912" s="201">
        <f t="shared" ref="CB912:CM912" si="627">CB853</f>
        <v>245000000</v>
      </c>
      <c r="CC912" s="201">
        <f t="shared" si="627"/>
        <v>485000000</v>
      </c>
      <c r="CD912" s="201">
        <f t="shared" si="627"/>
        <v>235000000</v>
      </c>
      <c r="CE912" s="201">
        <f t="shared" si="627"/>
        <v>285000000</v>
      </c>
      <c r="CF912" s="201">
        <f t="shared" si="627"/>
        <v>535000000</v>
      </c>
      <c r="CG912" s="201">
        <f t="shared" si="627"/>
        <v>235000000</v>
      </c>
      <c r="CH912" s="201">
        <f t="shared" si="627"/>
        <v>285000000</v>
      </c>
      <c r="CI912" s="201">
        <f t="shared" si="627"/>
        <v>485000000</v>
      </c>
      <c r="CJ912" s="201">
        <f t="shared" si="627"/>
        <v>235000000</v>
      </c>
      <c r="CK912" s="201">
        <f t="shared" si="627"/>
        <v>300000000</v>
      </c>
      <c r="CL912" s="201">
        <f t="shared" si="627"/>
        <v>535000000</v>
      </c>
      <c r="CM912" s="201">
        <f t="shared" si="627"/>
        <v>235000000</v>
      </c>
      <c r="CN912" s="201">
        <v>4095000000</v>
      </c>
      <c r="CO912" s="201">
        <f t="shared" ref="CO912:DR912" si="628">CO853</f>
        <v>0</v>
      </c>
      <c r="CP912" s="666">
        <f t="shared" si="628"/>
        <v>66419000</v>
      </c>
      <c r="CQ912" s="666">
        <f t="shared" si="628"/>
        <v>219083000</v>
      </c>
      <c r="CR912" s="201">
        <f t="shared" si="628"/>
        <v>125000000</v>
      </c>
      <c r="CS912" s="666">
        <f t="shared" si="628"/>
        <v>113066500</v>
      </c>
      <c r="CT912" s="201">
        <f t="shared" si="628"/>
        <v>125000000</v>
      </c>
      <c r="CU912" s="666">
        <f t="shared" si="628"/>
        <v>355876563</v>
      </c>
      <c r="CV912" s="201">
        <f t="shared" si="628"/>
        <v>315000000</v>
      </c>
      <c r="CW912" s="666">
        <f t="shared" si="628"/>
        <v>338535575</v>
      </c>
      <c r="CX912" s="201">
        <f t="shared" si="628"/>
        <v>405000000</v>
      </c>
      <c r="CY912" s="666">
        <f t="shared" si="628"/>
        <v>153413225</v>
      </c>
      <c r="CZ912" s="201">
        <f t="shared" si="628"/>
        <v>420000000</v>
      </c>
      <c r="DA912" s="666">
        <f t="shared" si="628"/>
        <v>32480000</v>
      </c>
      <c r="DB912" s="201">
        <f t="shared" si="628"/>
        <v>2862000000</v>
      </c>
      <c r="DC912" s="666">
        <f t="shared" si="628"/>
        <v>467073727</v>
      </c>
      <c r="DD912" s="201">
        <f t="shared" si="628"/>
        <v>270000000</v>
      </c>
      <c r="DE912" s="201">
        <f t="shared" si="628"/>
        <v>0</v>
      </c>
      <c r="DF912" s="201">
        <f>DF853</f>
        <v>195000000</v>
      </c>
      <c r="DG912" s="777">
        <f t="shared" si="628"/>
        <v>195000000</v>
      </c>
      <c r="DH912" s="201">
        <f t="shared" si="628"/>
        <v>0</v>
      </c>
      <c r="DI912" s="201">
        <f>DI853</f>
        <v>370000000</v>
      </c>
      <c r="DJ912" s="777">
        <f t="shared" si="628"/>
        <v>370000000</v>
      </c>
      <c r="DK912" s="201">
        <f t="shared" si="628"/>
        <v>0</v>
      </c>
      <c r="DL912" s="201">
        <f>DL853</f>
        <v>1188000000</v>
      </c>
      <c r="DM912" s="777">
        <f>DM853</f>
        <v>1188000000</v>
      </c>
      <c r="DN912" s="201">
        <f t="shared" si="628"/>
        <v>0</v>
      </c>
      <c r="DO912" s="201">
        <f>DO853</f>
        <v>420000000</v>
      </c>
      <c r="DP912" s="777">
        <f t="shared" si="628"/>
        <v>420000000</v>
      </c>
      <c r="DQ912" s="502">
        <f t="shared" si="628"/>
        <v>3918947590</v>
      </c>
      <c r="DR912" s="512">
        <f t="shared" si="628"/>
        <v>6884445063</v>
      </c>
      <c r="DS912" s="1189">
        <f t="shared" ref="DS912:EI912" si="629">DS853</f>
        <v>650000000</v>
      </c>
      <c r="DT912" s="1189">
        <f t="shared" si="629"/>
        <v>650000000</v>
      </c>
      <c r="DU912" s="1189">
        <f t="shared" si="629"/>
        <v>700000000</v>
      </c>
      <c r="DV912" s="1189">
        <f t="shared" si="629"/>
        <v>675000000</v>
      </c>
      <c r="DW912" s="1189">
        <f t="shared" si="629"/>
        <v>625000000</v>
      </c>
      <c r="DX912" s="1189">
        <f t="shared" si="629"/>
        <v>625000000</v>
      </c>
      <c r="DY912" s="1189">
        <f t="shared" si="629"/>
        <v>625000000</v>
      </c>
      <c r="DZ912" s="1189">
        <f t="shared" si="629"/>
        <v>625000000</v>
      </c>
      <c r="EA912" s="1189">
        <f t="shared" si="629"/>
        <v>625000000</v>
      </c>
      <c r="EB912" s="1189">
        <f t="shared" si="629"/>
        <v>650000000</v>
      </c>
      <c r="EC912" s="1189">
        <f t="shared" si="629"/>
        <v>650000000</v>
      </c>
      <c r="ED912" s="1189">
        <f t="shared" si="629"/>
        <v>650000000</v>
      </c>
      <c r="EE912" s="1032">
        <f t="shared" si="629"/>
        <v>7750000000</v>
      </c>
      <c r="EF912" s="1032">
        <f t="shared" si="629"/>
        <v>8014500000</v>
      </c>
      <c r="EG912" s="1032">
        <f t="shared" si="629"/>
        <v>8655660000</v>
      </c>
      <c r="EH912" s="1032">
        <f t="shared" si="629"/>
        <v>3913197200</v>
      </c>
      <c r="EI912" s="1032">
        <f t="shared" si="629"/>
        <v>3950384948</v>
      </c>
      <c r="EJ912" s="367" t="e">
        <v>#N/A</v>
      </c>
      <c r="EK912" s="1033"/>
      <c r="EL912" s="130"/>
    </row>
    <row r="913" spans="2:145" ht="15" thickBot="1">
      <c r="E913" s="422" t="s">
        <v>988</v>
      </c>
      <c r="F913" s="422"/>
      <c r="G913" s="128">
        <f t="shared" ref="G913:R913" si="630">SUM(G910:G912)</f>
        <v>696637694</v>
      </c>
      <c r="H913" s="128">
        <f t="shared" si="630"/>
        <v>670739747</v>
      </c>
      <c r="I913" s="128">
        <f t="shared" si="630"/>
        <v>786042009</v>
      </c>
      <c r="J913" s="128">
        <f t="shared" si="630"/>
        <v>1158666490</v>
      </c>
      <c r="K913" s="128">
        <f t="shared" si="630"/>
        <v>1237740237</v>
      </c>
      <c r="L913" s="128">
        <f t="shared" si="630"/>
        <v>1017342796</v>
      </c>
      <c r="M913" s="128">
        <f t="shared" si="630"/>
        <v>763109390</v>
      </c>
      <c r="N913" s="128">
        <f t="shared" si="630"/>
        <v>1218671672</v>
      </c>
      <c r="O913" s="128">
        <f t="shared" si="630"/>
        <v>1214933386</v>
      </c>
      <c r="P913" s="128">
        <f t="shared" si="630"/>
        <v>1397460166</v>
      </c>
      <c r="Q913" s="128">
        <f t="shared" si="630"/>
        <v>1505870687</v>
      </c>
      <c r="R913" s="128">
        <f t="shared" si="630"/>
        <v>1275960143</v>
      </c>
      <c r="S913" s="128">
        <f t="shared" ref="S913:CE913" si="631">SUM(S910:S912)</f>
        <v>12943174417</v>
      </c>
      <c r="T913" s="128">
        <f t="shared" si="631"/>
        <v>0</v>
      </c>
      <c r="U913" s="128">
        <f t="shared" si="631"/>
        <v>1221689263</v>
      </c>
      <c r="V913" s="128">
        <f t="shared" si="631"/>
        <v>1185209104</v>
      </c>
      <c r="W913" s="128">
        <f t="shared" si="631"/>
        <v>1363106215</v>
      </c>
      <c r="X913" s="128">
        <f t="shared" si="631"/>
        <v>1290949581</v>
      </c>
      <c r="Y913" s="128">
        <f t="shared" si="631"/>
        <v>1463574686</v>
      </c>
      <c r="Z913" s="128">
        <f t="shared" si="631"/>
        <v>1231473612</v>
      </c>
      <c r="AA913" s="128">
        <f t="shared" si="631"/>
        <v>1369363625</v>
      </c>
      <c r="AB913" s="128">
        <f t="shared" si="631"/>
        <v>885581143</v>
      </c>
      <c r="AC913" s="128">
        <f t="shared" si="631"/>
        <v>1419300258</v>
      </c>
      <c r="AD913" s="128">
        <f t="shared" si="631"/>
        <v>1272010002</v>
      </c>
      <c r="AE913" s="128">
        <f t="shared" si="631"/>
        <v>2008324283</v>
      </c>
      <c r="AF913" s="128">
        <f t="shared" si="631"/>
        <v>2427112329</v>
      </c>
      <c r="AG913" s="128">
        <f t="shared" si="631"/>
        <v>16842694101</v>
      </c>
      <c r="AH913" s="893">
        <f t="shared" si="608"/>
        <v>0</v>
      </c>
      <c r="AI913" s="128">
        <f t="shared" si="631"/>
        <v>2610426555</v>
      </c>
      <c r="AJ913" s="128">
        <f t="shared" si="631"/>
        <v>2885135482</v>
      </c>
      <c r="AK913" s="128">
        <f t="shared" si="631"/>
        <v>2719226270</v>
      </c>
      <c r="AL913" s="128">
        <f t="shared" si="631"/>
        <v>3258562301</v>
      </c>
      <c r="AM913" s="128">
        <f t="shared" si="631"/>
        <v>2704786928</v>
      </c>
      <c r="AN913" s="128">
        <f t="shared" si="631"/>
        <v>2232944979</v>
      </c>
      <c r="AO913" s="128">
        <f t="shared" si="631"/>
        <v>2591786092</v>
      </c>
      <c r="AP913" s="128">
        <f t="shared" si="631"/>
        <v>2080276025</v>
      </c>
      <c r="AQ913" s="128">
        <f t="shared" si="631"/>
        <v>2575908867</v>
      </c>
      <c r="AR913" s="128">
        <f t="shared" si="631"/>
        <v>2584808520</v>
      </c>
      <c r="AS913" s="128">
        <f t="shared" si="631"/>
        <v>2868815292</v>
      </c>
      <c r="AT913" s="128">
        <f t="shared" si="631"/>
        <v>3073588285</v>
      </c>
      <c r="AU913" s="128">
        <f t="shared" si="631"/>
        <v>2719625970</v>
      </c>
      <c r="AV913" s="128">
        <f t="shared" si="631"/>
        <v>2824625970</v>
      </c>
      <c r="AW913" s="128">
        <f t="shared" si="631"/>
        <v>2908468470</v>
      </c>
      <c r="AX913" s="128">
        <f t="shared" si="631"/>
        <v>32186265596</v>
      </c>
      <c r="AY913" s="893">
        <f t="shared" si="609"/>
        <v>0</v>
      </c>
      <c r="AZ913" s="128">
        <f t="shared" si="631"/>
        <v>2610426555</v>
      </c>
      <c r="BA913" s="128">
        <f t="shared" si="631"/>
        <v>2885135482</v>
      </c>
      <c r="BB913" s="128">
        <f t="shared" si="631"/>
        <v>2719226270</v>
      </c>
      <c r="BC913" s="128">
        <f t="shared" si="631"/>
        <v>3258562301</v>
      </c>
      <c r="BD913" s="128">
        <f t="shared" si="631"/>
        <v>2704786928</v>
      </c>
      <c r="BE913" s="128">
        <f t="shared" si="631"/>
        <v>2232944979</v>
      </c>
      <c r="BF913" s="128">
        <f t="shared" si="631"/>
        <v>2591786092</v>
      </c>
      <c r="BG913" s="128">
        <f t="shared" si="631"/>
        <v>2080276025</v>
      </c>
      <c r="BH913" s="128">
        <f t="shared" si="631"/>
        <v>3353677430</v>
      </c>
      <c r="BI913" s="128">
        <f t="shared" si="631"/>
        <v>3908069330</v>
      </c>
      <c r="BJ913" s="128">
        <f t="shared" si="631"/>
        <v>3819069330</v>
      </c>
      <c r="BK913" s="128">
        <f t="shared" si="631"/>
        <v>3752911830</v>
      </c>
      <c r="BL913" s="128">
        <f t="shared" si="631"/>
        <v>35916872552</v>
      </c>
      <c r="BM913" s="128">
        <f t="shared" si="631"/>
        <v>0</v>
      </c>
      <c r="BN913" s="128">
        <f t="shared" si="631"/>
        <v>4865623511.6000004</v>
      </c>
      <c r="BO913" s="128">
        <f t="shared" si="631"/>
        <v>5085623511.6000004</v>
      </c>
      <c r="BP913" s="128">
        <f t="shared" si="631"/>
        <v>4853623511.6000004</v>
      </c>
      <c r="BQ913" s="128">
        <f t="shared" si="631"/>
        <v>5002423514</v>
      </c>
      <c r="BR913" s="128">
        <f t="shared" si="631"/>
        <v>4832434986.8999996</v>
      </c>
      <c r="BS913" s="128">
        <f t="shared" si="631"/>
        <v>4898623511.6000004</v>
      </c>
      <c r="BT913" s="128">
        <f t="shared" si="631"/>
        <v>5033623511.6000004</v>
      </c>
      <c r="BU913" s="128">
        <f t="shared" si="631"/>
        <v>5223623511.6000004</v>
      </c>
      <c r="BV913" s="128">
        <f t="shared" si="631"/>
        <v>4991123511.6000004</v>
      </c>
      <c r="BW913" s="128">
        <f t="shared" si="631"/>
        <v>5061123511.6000004</v>
      </c>
      <c r="BX913" s="128">
        <f t="shared" si="631"/>
        <v>5361123511.6000004</v>
      </c>
      <c r="BY913" s="128">
        <f t="shared" si="631"/>
        <v>5004967128.6000004</v>
      </c>
      <c r="BZ913" s="128">
        <f>SUM(BZ910:BZ912)</f>
        <v>60213937233.900002</v>
      </c>
      <c r="CB913" s="128">
        <f t="shared" si="631"/>
        <v>4865623511.6000004</v>
      </c>
      <c r="CC913" s="128">
        <f t="shared" si="631"/>
        <v>5085623511.6000004</v>
      </c>
      <c r="CD913" s="128">
        <f t="shared" si="631"/>
        <v>4853623511.6000004</v>
      </c>
      <c r="CE913" s="128">
        <f t="shared" si="631"/>
        <v>5002423514</v>
      </c>
      <c r="CF913" s="128">
        <f t="shared" ref="CF913:CM913" si="632">SUM(CF910:CF912)</f>
        <v>4832434986.8999996</v>
      </c>
      <c r="CG913" s="128">
        <f t="shared" si="632"/>
        <v>4898623511.6000004</v>
      </c>
      <c r="CH913" s="128">
        <f t="shared" si="632"/>
        <v>5033623511.6000004</v>
      </c>
      <c r="CI913" s="128">
        <f t="shared" si="632"/>
        <v>5223623511.6000004</v>
      </c>
      <c r="CJ913" s="128">
        <f t="shared" si="632"/>
        <v>4991123511.6000004</v>
      </c>
      <c r="CK913" s="128">
        <f t="shared" si="632"/>
        <v>5061123511.6000004</v>
      </c>
      <c r="CL913" s="128">
        <f t="shared" si="632"/>
        <v>5361123511.6000004</v>
      </c>
      <c r="CM913" s="128">
        <f t="shared" si="632"/>
        <v>5004967128.6000004</v>
      </c>
      <c r="CN913" s="128">
        <v>61991437233.900002</v>
      </c>
      <c r="CO913" s="128">
        <f t="shared" ref="CO913:CT913" si="633">SUM(CO910:CO912)</f>
        <v>0</v>
      </c>
      <c r="CP913" s="667">
        <f t="shared" si="633"/>
        <v>3023842583</v>
      </c>
      <c r="CQ913" s="667">
        <f t="shared" si="633"/>
        <v>3315649440</v>
      </c>
      <c r="CR913" s="128">
        <f t="shared" si="633"/>
        <v>3206500000</v>
      </c>
      <c r="CS913" s="667">
        <f t="shared" si="633"/>
        <v>4046991920</v>
      </c>
      <c r="CT913" s="128">
        <f t="shared" si="633"/>
        <v>3931200000</v>
      </c>
      <c r="CU913" s="667">
        <f t="shared" ref="CU913:DB913" si="634">SUM(CU910:CU912)</f>
        <v>3165931250</v>
      </c>
      <c r="CV913" s="128">
        <f t="shared" si="634"/>
        <v>4861250000</v>
      </c>
      <c r="CW913" s="667">
        <f t="shared" si="634"/>
        <v>4165381315</v>
      </c>
      <c r="CX913" s="128">
        <f t="shared" si="634"/>
        <v>5718250000</v>
      </c>
      <c r="CY913" s="667">
        <f t="shared" si="634"/>
        <v>5106711986</v>
      </c>
      <c r="CZ913" s="128">
        <f t="shared" si="634"/>
        <v>8688926000</v>
      </c>
      <c r="DA913" s="667">
        <f t="shared" si="634"/>
        <v>5132094242</v>
      </c>
      <c r="DB913" s="128">
        <f t="shared" si="634"/>
        <v>10132746000</v>
      </c>
      <c r="DC913" s="667">
        <f t="shared" ref="DC913:DR913" si="635">SUM(DC910:DC912)</f>
        <v>9354163006</v>
      </c>
      <c r="DD913" s="128">
        <f t="shared" si="635"/>
        <v>7870048000</v>
      </c>
      <c r="DE913" s="128">
        <f t="shared" si="635"/>
        <v>0</v>
      </c>
      <c r="DF913" s="128">
        <f>SUM(DF910:DF912)</f>
        <v>7179444000</v>
      </c>
      <c r="DG913" s="489">
        <f t="shared" si="635"/>
        <v>6496944000</v>
      </c>
      <c r="DH913" s="128">
        <f t="shared" si="635"/>
        <v>0</v>
      </c>
      <c r="DI913" s="128">
        <f>SUM(DI910:DI912)</f>
        <v>7678054000</v>
      </c>
      <c r="DJ913" s="489">
        <f t="shared" si="635"/>
        <v>7025554000</v>
      </c>
      <c r="DK913" s="128">
        <f t="shared" si="635"/>
        <v>0</v>
      </c>
      <c r="DL913" s="128">
        <f>SUM(DL910:DL912)</f>
        <v>8528450000</v>
      </c>
      <c r="DM913" s="489">
        <f>SUM(DM910:DM912)</f>
        <v>7700950000</v>
      </c>
      <c r="DN913" s="128">
        <f t="shared" si="635"/>
        <v>0</v>
      </c>
      <c r="DO913" s="128">
        <f>SUM(DO910:DO912)</f>
        <v>7842450000</v>
      </c>
      <c r="DP913" s="489">
        <f t="shared" si="635"/>
        <v>6964950000</v>
      </c>
      <c r="DQ913" s="128">
        <f t="shared" si="635"/>
        <v>68540626542</v>
      </c>
      <c r="DR913" s="489">
        <f t="shared" si="635"/>
        <v>67492324500</v>
      </c>
      <c r="DS913" s="1190">
        <f t="shared" ref="DS913:EI913" si="636">SUM(DS910:DS912)</f>
        <v>7082916667</v>
      </c>
      <c r="DT913" s="1190">
        <f t="shared" si="636"/>
        <v>6959916667</v>
      </c>
      <c r="DU913" s="1190">
        <f t="shared" si="636"/>
        <v>7524916667</v>
      </c>
      <c r="DV913" s="1190">
        <f t="shared" si="636"/>
        <v>7389916667</v>
      </c>
      <c r="DW913" s="1190">
        <f t="shared" si="636"/>
        <v>6842916667</v>
      </c>
      <c r="DX913" s="1190">
        <f t="shared" si="636"/>
        <v>6887916667</v>
      </c>
      <c r="DY913" s="1190">
        <f t="shared" si="636"/>
        <v>6932916667</v>
      </c>
      <c r="DZ913" s="1190">
        <f t="shared" si="636"/>
        <v>6852916667</v>
      </c>
      <c r="EA913" s="1190">
        <f t="shared" si="636"/>
        <v>7017916667</v>
      </c>
      <c r="EB913" s="1190">
        <f t="shared" si="636"/>
        <v>7359916667</v>
      </c>
      <c r="EC913" s="1190">
        <f t="shared" si="636"/>
        <v>7586916667</v>
      </c>
      <c r="ED913" s="1190">
        <f t="shared" si="636"/>
        <v>7636916667</v>
      </c>
      <c r="EE913" s="1034">
        <f t="shared" si="636"/>
        <v>86076000004</v>
      </c>
      <c r="EF913" s="1034">
        <f t="shared" si="636"/>
        <v>124921983639.7841</v>
      </c>
      <c r="EG913" s="1034">
        <f t="shared" si="636"/>
        <v>182383177203.64166</v>
      </c>
      <c r="EH913" s="1034">
        <f t="shared" si="636"/>
        <v>255099317143.81677</v>
      </c>
      <c r="EI913" s="1034">
        <f t="shared" si="636"/>
        <v>266177902007.69678</v>
      </c>
      <c r="EJ913" s="367" t="e">
        <v>#N/A</v>
      </c>
      <c r="EK913" s="1033"/>
    </row>
    <row r="914" spans="2:145" ht="15" thickTop="1">
      <c r="H914" s="1"/>
      <c r="T914" s="1"/>
      <c r="V914" s="1"/>
      <c r="AH914" s="893">
        <f t="shared" si="608"/>
        <v>0</v>
      </c>
      <c r="AJ914" s="1"/>
      <c r="AY914" s="893">
        <f t="shared" si="609"/>
        <v>0</v>
      </c>
      <c r="BA914" s="1"/>
      <c r="BM914" s="1"/>
      <c r="BO914" s="1"/>
      <c r="BZ914" s="491"/>
      <c r="CC914" s="1"/>
      <c r="CO914" s="1"/>
      <c r="DS914" s="1189"/>
      <c r="DT914" s="1189"/>
      <c r="DU914" s="1189"/>
      <c r="DV914" s="1189"/>
      <c r="DW914" s="1189"/>
      <c r="DX914" s="1189"/>
      <c r="DY914" s="1189"/>
      <c r="DZ914" s="1189"/>
      <c r="EA914" s="1189"/>
      <c r="EB914" s="1189"/>
      <c r="EC914" s="1189"/>
      <c r="ED914" s="1189"/>
      <c r="EE914" s="1035"/>
      <c r="EF914" s="1035"/>
      <c r="EG914" s="1035"/>
      <c r="EH914" s="1035"/>
      <c r="EI914" s="1035"/>
      <c r="EJ914" s="367" t="e">
        <v>#N/A</v>
      </c>
      <c r="EK914" s="1033"/>
    </row>
    <row r="915" spans="2:145">
      <c r="B915" s="368" t="s">
        <v>668</v>
      </c>
      <c r="C915" s="368"/>
      <c r="D915" s="368"/>
      <c r="H915" s="1"/>
      <c r="T915" s="1"/>
      <c r="V915" s="1"/>
      <c r="AH915" s="893">
        <f t="shared" si="608"/>
        <v>0</v>
      </c>
      <c r="AJ915" s="1"/>
      <c r="AY915" s="893">
        <f t="shared" si="609"/>
        <v>0</v>
      </c>
      <c r="BA915" s="1"/>
      <c r="BM915" s="1"/>
      <c r="BO915" s="1"/>
      <c r="BZ915" s="491"/>
      <c r="CC915" s="1"/>
      <c r="CO915" s="1"/>
      <c r="DS915" s="1189"/>
      <c r="DT915" s="1189"/>
      <c r="DU915" s="1189"/>
      <c r="DV915" s="1189"/>
      <c r="DW915" s="1189"/>
      <c r="DX915" s="1189"/>
      <c r="DY915" s="1189"/>
      <c r="DZ915" s="1189"/>
      <c r="EA915" s="1189"/>
      <c r="EB915" s="1189"/>
      <c r="EC915" s="1189"/>
      <c r="ED915" s="1189"/>
      <c r="EE915" s="1035"/>
      <c r="EF915" s="1035"/>
      <c r="EG915" s="1035"/>
      <c r="EH915" s="1035"/>
      <c r="EI915" s="1035"/>
      <c r="EJ915" s="367" t="e">
        <v>#N/A</v>
      </c>
      <c r="EK915" s="1033"/>
    </row>
    <row r="916" spans="2:145">
      <c r="E916" s="438" t="s">
        <v>324</v>
      </c>
      <c r="F916" s="441"/>
      <c r="G916" s="201">
        <f t="shared" ref="G916:AL916" si="637">G440</f>
        <v>0</v>
      </c>
      <c r="H916" s="201">
        <f t="shared" si="637"/>
        <v>0</v>
      </c>
      <c r="I916" s="201">
        <f t="shared" si="637"/>
        <v>0</v>
      </c>
      <c r="J916" s="201">
        <f t="shared" si="637"/>
        <v>0</v>
      </c>
      <c r="K916" s="201">
        <f t="shared" si="637"/>
        <v>0</v>
      </c>
      <c r="L916" s="201">
        <f t="shared" si="637"/>
        <v>0</v>
      </c>
      <c r="M916" s="201">
        <f t="shared" si="637"/>
        <v>0</v>
      </c>
      <c r="N916" s="201">
        <f t="shared" si="637"/>
        <v>0</v>
      </c>
      <c r="O916" s="201">
        <f t="shared" si="637"/>
        <v>0</v>
      </c>
      <c r="P916" s="201">
        <f t="shared" si="637"/>
        <v>3799800</v>
      </c>
      <c r="Q916" s="201">
        <f t="shared" si="637"/>
        <v>-150000</v>
      </c>
      <c r="R916" s="201">
        <f t="shared" si="637"/>
        <v>19494800</v>
      </c>
      <c r="S916" s="201">
        <f t="shared" si="637"/>
        <v>23144600</v>
      </c>
      <c r="T916" s="201">
        <f t="shared" si="637"/>
        <v>0</v>
      </c>
      <c r="U916" s="201">
        <f t="shared" si="637"/>
        <v>0</v>
      </c>
      <c r="V916" s="201">
        <f t="shared" si="637"/>
        <v>101083000</v>
      </c>
      <c r="W916" s="201">
        <f t="shared" si="637"/>
        <v>202646160</v>
      </c>
      <c r="X916" s="201">
        <f t="shared" si="637"/>
        <v>80556940</v>
      </c>
      <c r="Y916" s="201">
        <f t="shared" si="637"/>
        <v>477976875</v>
      </c>
      <c r="Z916" s="201">
        <f t="shared" si="637"/>
        <v>89188910</v>
      </c>
      <c r="AA916" s="201">
        <f t="shared" si="637"/>
        <v>370540825</v>
      </c>
      <c r="AB916" s="201">
        <f t="shared" si="637"/>
        <v>62857910</v>
      </c>
      <c r="AC916" s="201">
        <f t="shared" si="637"/>
        <v>160794755</v>
      </c>
      <c r="AD916" s="201">
        <f t="shared" si="637"/>
        <v>213024830</v>
      </c>
      <c r="AE916" s="201">
        <f t="shared" si="637"/>
        <v>206026000</v>
      </c>
      <c r="AF916" s="201">
        <f t="shared" si="637"/>
        <v>413483115</v>
      </c>
      <c r="AG916" s="201">
        <f t="shared" si="637"/>
        <v>2378179320</v>
      </c>
      <c r="AH916" s="893">
        <f t="shared" si="608"/>
        <v>3000000615</v>
      </c>
      <c r="AI916" s="201">
        <f t="shared" si="637"/>
        <v>355263917</v>
      </c>
      <c r="AJ916" s="201">
        <f t="shared" si="637"/>
        <v>232656645</v>
      </c>
      <c r="AK916" s="201">
        <f t="shared" si="637"/>
        <v>245913160</v>
      </c>
      <c r="AL916" s="201">
        <f t="shared" si="637"/>
        <v>605076870</v>
      </c>
      <c r="AM916" s="201">
        <f t="shared" ref="AM916:BR916" si="638">AM440</f>
        <v>515523880</v>
      </c>
      <c r="AN916" s="201">
        <f t="shared" si="638"/>
        <v>1095280700</v>
      </c>
      <c r="AO916" s="201">
        <f t="shared" si="638"/>
        <v>419476974</v>
      </c>
      <c r="AP916" s="201">
        <f t="shared" si="638"/>
        <v>298401522</v>
      </c>
      <c r="AQ916" s="201">
        <f t="shared" si="638"/>
        <v>405479615</v>
      </c>
      <c r="AR916" s="201">
        <f t="shared" si="638"/>
        <v>376079468</v>
      </c>
      <c r="AS916" s="201">
        <f t="shared" si="638"/>
        <v>305203172</v>
      </c>
      <c r="AT916" s="201">
        <f t="shared" si="638"/>
        <v>303675667</v>
      </c>
      <c r="AU916" s="201">
        <f t="shared" si="638"/>
        <v>377200000</v>
      </c>
      <c r="AV916" s="201">
        <f t="shared" si="638"/>
        <v>399500000</v>
      </c>
      <c r="AW916" s="201">
        <f t="shared" si="638"/>
        <v>399500000</v>
      </c>
      <c r="AX916" s="201">
        <f t="shared" si="638"/>
        <v>5158031590</v>
      </c>
      <c r="AY916" s="893" t="e">
        <f t="shared" si="609"/>
        <v>#N/A</v>
      </c>
      <c r="AZ916" s="201">
        <f t="shared" si="638"/>
        <v>355263917</v>
      </c>
      <c r="BA916" s="201">
        <f t="shared" si="638"/>
        <v>232656645</v>
      </c>
      <c r="BB916" s="201">
        <f t="shared" si="638"/>
        <v>245913160</v>
      </c>
      <c r="BC916" s="201">
        <f t="shared" si="638"/>
        <v>605076870</v>
      </c>
      <c r="BD916" s="201">
        <f t="shared" si="638"/>
        <v>515523880</v>
      </c>
      <c r="BE916" s="201">
        <f t="shared" si="638"/>
        <v>1095280700</v>
      </c>
      <c r="BF916" s="201">
        <f t="shared" si="638"/>
        <v>419476974</v>
      </c>
      <c r="BG916" s="201">
        <f t="shared" si="638"/>
        <v>298401522</v>
      </c>
      <c r="BH916" s="201">
        <f t="shared" si="638"/>
        <v>457700000</v>
      </c>
      <c r="BI916" s="201">
        <f t="shared" si="638"/>
        <v>608700000</v>
      </c>
      <c r="BJ916" s="201">
        <f t="shared" si="638"/>
        <v>618700000</v>
      </c>
      <c r="BK916" s="201">
        <f t="shared" si="638"/>
        <v>483700000</v>
      </c>
      <c r="BL916" s="201">
        <f t="shared" si="638"/>
        <v>5936393668</v>
      </c>
      <c r="BM916" s="201">
        <f t="shared" si="638"/>
        <v>0</v>
      </c>
      <c r="BN916" s="201">
        <f t="shared" si="638"/>
        <v>534900000</v>
      </c>
      <c r="BO916" s="201">
        <f t="shared" si="638"/>
        <v>834900000</v>
      </c>
      <c r="BP916" s="201">
        <f t="shared" si="638"/>
        <v>834900000</v>
      </c>
      <c r="BQ916" s="201">
        <f t="shared" si="638"/>
        <v>834900000</v>
      </c>
      <c r="BR916" s="201">
        <f t="shared" si="638"/>
        <v>467997200</v>
      </c>
      <c r="BS916" s="201">
        <f t="shared" ref="BS916:BY916" si="639">BS440</f>
        <v>534900000</v>
      </c>
      <c r="BT916" s="201">
        <f t="shared" si="639"/>
        <v>534900000</v>
      </c>
      <c r="BU916" s="201">
        <f t="shared" si="639"/>
        <v>534900000</v>
      </c>
      <c r="BV916" s="201">
        <f t="shared" si="639"/>
        <v>604900000</v>
      </c>
      <c r="BW916" s="201">
        <f t="shared" si="639"/>
        <v>604900000</v>
      </c>
      <c r="BX916" s="201">
        <f t="shared" si="639"/>
        <v>604900000</v>
      </c>
      <c r="BY916" s="201">
        <f t="shared" si="639"/>
        <v>604900000</v>
      </c>
      <c r="BZ916" s="502">
        <f>BZ440</f>
        <v>7531897200</v>
      </c>
      <c r="CB916" s="201">
        <f t="shared" ref="CB916:CM916" si="640">CB440</f>
        <v>543100000</v>
      </c>
      <c r="CC916" s="201">
        <f t="shared" si="640"/>
        <v>843100000</v>
      </c>
      <c r="CD916" s="201">
        <f t="shared" si="640"/>
        <v>843100000</v>
      </c>
      <c r="CE916" s="201">
        <f t="shared" si="640"/>
        <v>843100000</v>
      </c>
      <c r="CF916" s="201">
        <f t="shared" si="640"/>
        <v>474967200</v>
      </c>
      <c r="CG916" s="201">
        <f t="shared" si="640"/>
        <v>543100000</v>
      </c>
      <c r="CH916" s="201">
        <f t="shared" si="640"/>
        <v>543100000</v>
      </c>
      <c r="CI916" s="201">
        <f t="shared" si="640"/>
        <v>543100000</v>
      </c>
      <c r="CJ916" s="201">
        <f t="shared" si="640"/>
        <v>613100000</v>
      </c>
      <c r="CK916" s="201">
        <f t="shared" si="640"/>
        <v>613100000</v>
      </c>
      <c r="CL916" s="201">
        <f t="shared" si="640"/>
        <v>613100000</v>
      </c>
      <c r="CM916" s="201">
        <f t="shared" si="640"/>
        <v>613100000</v>
      </c>
      <c r="CN916" s="201">
        <v>7629067200</v>
      </c>
      <c r="CO916" s="201">
        <f t="shared" ref="CO916:DR916" si="641">CO440</f>
        <v>0</v>
      </c>
      <c r="CP916" s="666">
        <f t="shared" si="641"/>
        <v>277258072</v>
      </c>
      <c r="CQ916" s="666">
        <f t="shared" si="641"/>
        <v>262326060</v>
      </c>
      <c r="CR916" s="201">
        <f t="shared" si="641"/>
        <v>169686060</v>
      </c>
      <c r="CS916" s="666">
        <f t="shared" si="641"/>
        <v>231779100</v>
      </c>
      <c r="CT916" s="201">
        <f t="shared" si="641"/>
        <v>380000000</v>
      </c>
      <c r="CU916" s="666">
        <f t="shared" si="641"/>
        <v>1030884700</v>
      </c>
      <c r="CV916" s="201">
        <f t="shared" si="641"/>
        <v>692400000</v>
      </c>
      <c r="CW916" s="666">
        <f t="shared" si="641"/>
        <v>798286800</v>
      </c>
      <c r="CX916" s="201">
        <f t="shared" si="641"/>
        <v>642900000</v>
      </c>
      <c r="CY916" s="666">
        <f t="shared" si="641"/>
        <v>947676650</v>
      </c>
      <c r="CZ916" s="201">
        <f t="shared" si="641"/>
        <v>619000000</v>
      </c>
      <c r="DA916" s="666">
        <f t="shared" si="641"/>
        <v>1176073750</v>
      </c>
      <c r="DB916" s="201">
        <f t="shared" si="641"/>
        <v>694000000</v>
      </c>
      <c r="DC916" s="666">
        <f t="shared" si="641"/>
        <v>782324200</v>
      </c>
      <c r="DD916" s="201">
        <f t="shared" si="641"/>
        <v>694000000</v>
      </c>
      <c r="DE916" s="201">
        <f t="shared" si="641"/>
        <v>0</v>
      </c>
      <c r="DF916" s="201">
        <f>DF440</f>
        <v>724000000</v>
      </c>
      <c r="DG916" s="777">
        <f t="shared" si="641"/>
        <v>725000000</v>
      </c>
      <c r="DH916" s="201">
        <f t="shared" si="641"/>
        <v>0</v>
      </c>
      <c r="DI916" s="201">
        <f>DI440</f>
        <v>710000000</v>
      </c>
      <c r="DJ916" s="777">
        <f t="shared" si="641"/>
        <v>725000000</v>
      </c>
      <c r="DK916" s="201">
        <f t="shared" si="641"/>
        <v>0</v>
      </c>
      <c r="DL916" s="201">
        <f>DL440</f>
        <v>780000000</v>
      </c>
      <c r="DM916" s="777">
        <f>DM440</f>
        <v>795000000</v>
      </c>
      <c r="DN916" s="201">
        <f t="shared" si="641"/>
        <v>0</v>
      </c>
      <c r="DO916" s="201">
        <f>DO440</f>
        <v>794000000</v>
      </c>
      <c r="DP916" s="777">
        <f t="shared" si="641"/>
        <v>795000000</v>
      </c>
      <c r="DQ916" s="502">
        <f t="shared" si="641"/>
        <v>8514609332</v>
      </c>
      <c r="DR916" s="512">
        <f t="shared" si="641"/>
        <v>8802609332</v>
      </c>
      <c r="DS916" s="1189">
        <f t="shared" ref="DS916:EI916" si="642">DS440</f>
        <v>711400000</v>
      </c>
      <c r="DT916" s="1189">
        <f t="shared" si="642"/>
        <v>711400000</v>
      </c>
      <c r="DU916" s="1189">
        <f t="shared" si="642"/>
        <v>711400000</v>
      </c>
      <c r="DV916" s="1189">
        <f t="shared" si="642"/>
        <v>721200000</v>
      </c>
      <c r="DW916" s="1189">
        <f t="shared" si="642"/>
        <v>711400000</v>
      </c>
      <c r="DX916" s="1189">
        <f t="shared" si="642"/>
        <v>725400000</v>
      </c>
      <c r="DY916" s="1189">
        <f t="shared" si="642"/>
        <v>711400000</v>
      </c>
      <c r="DZ916" s="1189">
        <f t="shared" si="642"/>
        <v>711400000</v>
      </c>
      <c r="EA916" s="1189">
        <f t="shared" si="642"/>
        <v>711400000</v>
      </c>
      <c r="EB916" s="1189">
        <f t="shared" si="642"/>
        <v>711400000</v>
      </c>
      <c r="EC916" s="1189">
        <f t="shared" si="642"/>
        <v>735200000</v>
      </c>
      <c r="ED916" s="1189">
        <f t="shared" si="642"/>
        <v>711400000</v>
      </c>
      <c r="EE916" s="1032">
        <f t="shared" si="642"/>
        <v>8584400000</v>
      </c>
      <c r="EF916" s="1032">
        <f t="shared" si="642"/>
        <v>12655639062</v>
      </c>
      <c r="EG916" s="1032">
        <f t="shared" si="642"/>
        <v>13707887854</v>
      </c>
      <c r="EH916" s="1032">
        <f t="shared" si="642"/>
        <v>14134825995.52</v>
      </c>
      <c r="EI916" s="1032">
        <f t="shared" si="642"/>
        <v>14167005794.52</v>
      </c>
      <c r="EJ916" s="367" t="e">
        <v>#N/A</v>
      </c>
    </row>
    <row r="917" spans="2:145">
      <c r="E917" s="438" t="s">
        <v>684</v>
      </c>
      <c r="F917" s="441"/>
      <c r="G917" s="201">
        <f t="shared" ref="G917:AL917" si="643">G810</f>
        <v>0</v>
      </c>
      <c r="H917" s="201">
        <f t="shared" si="643"/>
        <v>0</v>
      </c>
      <c r="I917" s="201">
        <f t="shared" si="643"/>
        <v>0</v>
      </c>
      <c r="J917" s="201">
        <f t="shared" si="643"/>
        <v>0</v>
      </c>
      <c r="K917" s="201">
        <f t="shared" si="643"/>
        <v>0</v>
      </c>
      <c r="L917" s="201">
        <f t="shared" si="643"/>
        <v>0</v>
      </c>
      <c r="M917" s="201">
        <f t="shared" si="643"/>
        <v>0</v>
      </c>
      <c r="N917" s="201">
        <f t="shared" si="643"/>
        <v>0</v>
      </c>
      <c r="O917" s="201">
        <f t="shared" si="643"/>
        <v>0</v>
      </c>
      <c r="P917" s="201">
        <f t="shared" si="643"/>
        <v>0</v>
      </c>
      <c r="Q917" s="201">
        <f t="shared" si="643"/>
        <v>0</v>
      </c>
      <c r="R917" s="201">
        <f t="shared" si="643"/>
        <v>0</v>
      </c>
      <c r="S917" s="201">
        <f t="shared" si="643"/>
        <v>0</v>
      </c>
      <c r="T917" s="201">
        <f t="shared" si="643"/>
        <v>0</v>
      </c>
      <c r="U917" s="201">
        <f t="shared" si="643"/>
        <v>0</v>
      </c>
      <c r="V917" s="201">
        <f t="shared" si="643"/>
        <v>0</v>
      </c>
      <c r="W917" s="201">
        <f t="shared" si="643"/>
        <v>0</v>
      </c>
      <c r="X917" s="201">
        <f t="shared" si="643"/>
        <v>0</v>
      </c>
      <c r="Y917" s="201">
        <f t="shared" si="643"/>
        <v>0</v>
      </c>
      <c r="Z917" s="201">
        <f t="shared" si="643"/>
        <v>0</v>
      </c>
      <c r="AA917" s="201">
        <f t="shared" si="643"/>
        <v>0</v>
      </c>
      <c r="AB917" s="201">
        <f t="shared" si="643"/>
        <v>0</v>
      </c>
      <c r="AC917" s="201">
        <f t="shared" si="643"/>
        <v>0</v>
      </c>
      <c r="AD917" s="201">
        <f t="shared" si="643"/>
        <v>0</v>
      </c>
      <c r="AE917" s="201">
        <f t="shared" si="643"/>
        <v>0</v>
      </c>
      <c r="AF917" s="201">
        <f t="shared" si="643"/>
        <v>0</v>
      </c>
      <c r="AG917" s="201">
        <f t="shared" si="643"/>
        <v>0</v>
      </c>
      <c r="AH917" s="893">
        <f t="shared" si="608"/>
        <v>0</v>
      </c>
      <c r="AI917" s="201">
        <f t="shared" si="643"/>
        <v>2400000</v>
      </c>
      <c r="AJ917" s="201">
        <f t="shared" si="643"/>
        <v>10218270</v>
      </c>
      <c r="AK917" s="201">
        <f t="shared" si="643"/>
        <v>92205220</v>
      </c>
      <c r="AL917" s="201">
        <f t="shared" si="643"/>
        <v>25048950</v>
      </c>
      <c r="AM917" s="201">
        <f t="shared" ref="AM917:BR917" si="644">AM810</f>
        <v>84452060</v>
      </c>
      <c r="AN917" s="201">
        <f t="shared" si="644"/>
        <v>6428180</v>
      </c>
      <c r="AO917" s="201">
        <f t="shared" si="644"/>
        <v>79901750</v>
      </c>
      <c r="AP917" s="201">
        <f t="shared" si="644"/>
        <v>81282700</v>
      </c>
      <c r="AQ917" s="201">
        <f t="shared" si="644"/>
        <v>129866420</v>
      </c>
      <c r="AR917" s="201">
        <f t="shared" si="644"/>
        <v>318179250</v>
      </c>
      <c r="AS917" s="201">
        <f t="shared" si="644"/>
        <v>227605200</v>
      </c>
      <c r="AT917" s="201">
        <f t="shared" si="644"/>
        <v>315457570</v>
      </c>
      <c r="AU917" s="201">
        <f t="shared" si="644"/>
        <v>279500000</v>
      </c>
      <c r="AV917" s="201">
        <f t="shared" si="644"/>
        <v>277000000</v>
      </c>
      <c r="AW917" s="201">
        <f t="shared" si="644"/>
        <v>269000000</v>
      </c>
      <c r="AX917" s="201">
        <f t="shared" si="644"/>
        <v>3038245570</v>
      </c>
      <c r="AY917" s="893">
        <f t="shared" si="609"/>
        <v>0</v>
      </c>
      <c r="AZ917" s="201">
        <f t="shared" si="644"/>
        <v>2400000</v>
      </c>
      <c r="BA917" s="201">
        <f t="shared" si="644"/>
        <v>10218270</v>
      </c>
      <c r="BB917" s="201">
        <f t="shared" si="644"/>
        <v>92205220</v>
      </c>
      <c r="BC917" s="201">
        <f t="shared" si="644"/>
        <v>25048950</v>
      </c>
      <c r="BD917" s="201">
        <f t="shared" si="644"/>
        <v>84452060</v>
      </c>
      <c r="BE917" s="201">
        <f t="shared" si="644"/>
        <v>6428180</v>
      </c>
      <c r="BF917" s="201">
        <f t="shared" si="644"/>
        <v>79901750</v>
      </c>
      <c r="BG917" s="201">
        <f t="shared" si="644"/>
        <v>81282700</v>
      </c>
      <c r="BH917" s="201">
        <f t="shared" si="644"/>
        <v>68500000</v>
      </c>
      <c r="BI917" s="201">
        <f t="shared" si="644"/>
        <v>93500000</v>
      </c>
      <c r="BJ917" s="201">
        <f t="shared" si="644"/>
        <v>91000000</v>
      </c>
      <c r="BK917" s="201">
        <f t="shared" si="644"/>
        <v>83000000</v>
      </c>
      <c r="BL917" s="201">
        <f t="shared" si="644"/>
        <v>717937130</v>
      </c>
      <c r="BM917" s="201">
        <f t="shared" si="644"/>
        <v>0</v>
      </c>
      <c r="BN917" s="201">
        <f t="shared" si="644"/>
        <v>832000000</v>
      </c>
      <c r="BO917" s="201">
        <f t="shared" si="644"/>
        <v>1393450000</v>
      </c>
      <c r="BP917" s="201">
        <f t="shared" si="644"/>
        <v>892550000</v>
      </c>
      <c r="BQ917" s="201">
        <f t="shared" si="644"/>
        <v>610150000</v>
      </c>
      <c r="BR917" s="201">
        <f t="shared" si="644"/>
        <v>473900000</v>
      </c>
      <c r="BS917" s="201">
        <f t="shared" ref="BS917:BY917" si="645">BS810</f>
        <v>845150000</v>
      </c>
      <c r="BT917" s="201">
        <f t="shared" si="645"/>
        <v>861100000</v>
      </c>
      <c r="BU917" s="201">
        <f t="shared" si="645"/>
        <v>599772853</v>
      </c>
      <c r="BV917" s="201">
        <f t="shared" si="645"/>
        <v>892250000</v>
      </c>
      <c r="BW917" s="201">
        <f t="shared" si="645"/>
        <v>607650000</v>
      </c>
      <c r="BX917" s="201">
        <f t="shared" si="645"/>
        <v>1302400000</v>
      </c>
      <c r="BY917" s="201">
        <f t="shared" si="645"/>
        <v>761700000</v>
      </c>
      <c r="BZ917" s="502">
        <f>BZ810</f>
        <v>10072072853</v>
      </c>
      <c r="CB917" s="201">
        <f t="shared" ref="CB917:CM917" si="646">CB810</f>
        <v>830100000</v>
      </c>
      <c r="CC917" s="201">
        <f t="shared" si="646"/>
        <v>1356500000</v>
      </c>
      <c r="CD917" s="201">
        <f t="shared" si="646"/>
        <v>872550000</v>
      </c>
      <c r="CE917" s="201">
        <f t="shared" si="646"/>
        <v>588250000</v>
      </c>
      <c r="CF917" s="201">
        <f t="shared" si="646"/>
        <v>453900000</v>
      </c>
      <c r="CG917" s="201">
        <f t="shared" si="646"/>
        <v>808200000</v>
      </c>
      <c r="CH917" s="201">
        <f t="shared" si="646"/>
        <v>839200000</v>
      </c>
      <c r="CI917" s="201">
        <f t="shared" si="646"/>
        <v>579772853</v>
      </c>
      <c r="CJ917" s="201">
        <f t="shared" si="646"/>
        <v>870350000</v>
      </c>
      <c r="CK917" s="201">
        <f t="shared" si="646"/>
        <v>570700000</v>
      </c>
      <c r="CL917" s="201">
        <f t="shared" si="646"/>
        <v>1282400000</v>
      </c>
      <c r="CM917" s="201">
        <f t="shared" si="646"/>
        <v>741700000</v>
      </c>
      <c r="CN917" s="201">
        <v>10072072853</v>
      </c>
      <c r="CO917" s="201">
        <f t="shared" ref="CO917:DR917" si="647">CO810</f>
        <v>0</v>
      </c>
      <c r="CP917" s="666">
        <f t="shared" si="647"/>
        <v>400764910</v>
      </c>
      <c r="CQ917" s="666">
        <f t="shared" si="647"/>
        <v>206392240</v>
      </c>
      <c r="CR917" s="201">
        <f t="shared" si="647"/>
        <v>462282680</v>
      </c>
      <c r="CS917" s="666">
        <f t="shared" si="647"/>
        <v>119254640</v>
      </c>
      <c r="CT917" s="201">
        <f t="shared" si="647"/>
        <v>398900000</v>
      </c>
      <c r="CU917" s="666">
        <f t="shared" si="647"/>
        <v>516196050</v>
      </c>
      <c r="CV917" s="201">
        <f t="shared" si="647"/>
        <v>434000000</v>
      </c>
      <c r="CW917" s="666">
        <f t="shared" si="647"/>
        <v>437572220</v>
      </c>
      <c r="CX917" s="201">
        <f t="shared" si="647"/>
        <v>321000000</v>
      </c>
      <c r="CY917" s="666">
        <f t="shared" si="647"/>
        <v>393884230</v>
      </c>
      <c r="CZ917" s="201">
        <f t="shared" si="647"/>
        <v>314500000</v>
      </c>
      <c r="DA917" s="666">
        <f t="shared" si="647"/>
        <v>292400654</v>
      </c>
      <c r="DB917" s="201">
        <f t="shared" si="647"/>
        <v>444500000</v>
      </c>
      <c r="DC917" s="666">
        <f t="shared" si="647"/>
        <v>692622090</v>
      </c>
      <c r="DD917" s="201">
        <f t="shared" si="647"/>
        <v>615000000</v>
      </c>
      <c r="DE917" s="201">
        <f t="shared" si="647"/>
        <v>0</v>
      </c>
      <c r="DF917" s="201">
        <f>DF810</f>
        <v>561000000</v>
      </c>
      <c r="DG917" s="777">
        <f t="shared" si="647"/>
        <v>561000000</v>
      </c>
      <c r="DH917" s="201">
        <f t="shared" si="647"/>
        <v>0</v>
      </c>
      <c r="DI917" s="201">
        <f>DI810</f>
        <v>694500000</v>
      </c>
      <c r="DJ917" s="777">
        <f t="shared" si="647"/>
        <v>694500000</v>
      </c>
      <c r="DK917" s="201">
        <f t="shared" si="647"/>
        <v>0</v>
      </c>
      <c r="DL917" s="201">
        <f>DL810</f>
        <v>615000000</v>
      </c>
      <c r="DM917" s="777">
        <f>DM810</f>
        <v>615000000</v>
      </c>
      <c r="DN917" s="201">
        <f t="shared" si="647"/>
        <v>0</v>
      </c>
      <c r="DO917" s="201">
        <f>DO810</f>
        <v>561000000</v>
      </c>
      <c r="DP917" s="777">
        <f t="shared" si="647"/>
        <v>561000000</v>
      </c>
      <c r="DQ917" s="502">
        <f t="shared" si="647"/>
        <v>5490587034</v>
      </c>
      <c r="DR917" s="512">
        <f t="shared" si="647"/>
        <v>5369107840</v>
      </c>
      <c r="DS917" s="1189">
        <f t="shared" ref="DS917:EI917" si="648">DS810</f>
        <v>305250000</v>
      </c>
      <c r="DT917" s="1189">
        <f t="shared" si="648"/>
        <v>589450000</v>
      </c>
      <c r="DU917" s="1189">
        <f t="shared" si="648"/>
        <v>603850000</v>
      </c>
      <c r="DV917" s="1189">
        <f t="shared" si="648"/>
        <v>526950000</v>
      </c>
      <c r="DW917" s="1189">
        <f t="shared" si="648"/>
        <v>501500000</v>
      </c>
      <c r="DX917" s="1189">
        <f t="shared" si="648"/>
        <v>654000000</v>
      </c>
      <c r="DY917" s="1189">
        <f t="shared" si="648"/>
        <v>537300000</v>
      </c>
      <c r="DZ917" s="1189">
        <f t="shared" si="648"/>
        <v>539800000</v>
      </c>
      <c r="EA917" s="1189">
        <f t="shared" si="648"/>
        <v>599000000</v>
      </c>
      <c r="EB917" s="1189">
        <f t="shared" si="648"/>
        <v>552200000</v>
      </c>
      <c r="EC917" s="1189">
        <f t="shared" si="648"/>
        <v>505300000</v>
      </c>
      <c r="ED917" s="1189">
        <f t="shared" si="648"/>
        <v>599000000</v>
      </c>
      <c r="EE917" s="1032">
        <f t="shared" si="648"/>
        <v>6513600000</v>
      </c>
      <c r="EF917" s="1032">
        <f t="shared" si="648"/>
        <v>14355586861</v>
      </c>
      <c r="EG917" s="1032">
        <f t="shared" si="648"/>
        <v>18273161537</v>
      </c>
      <c r="EH917" s="1032">
        <f t="shared" si="648"/>
        <v>23147139189</v>
      </c>
      <c r="EI917" s="1032">
        <f t="shared" si="648"/>
        <v>24947411899</v>
      </c>
      <c r="EJ917" s="367" t="e">
        <v>#N/A</v>
      </c>
      <c r="EK917" s="1033"/>
    </row>
    <row r="918" spans="2:145">
      <c r="E918" s="438" t="s">
        <v>250</v>
      </c>
      <c r="F918" s="441"/>
      <c r="G918" s="201">
        <f t="shared" ref="G918:R918" si="649">G891</f>
        <v>0</v>
      </c>
      <c r="H918" s="201">
        <f t="shared" si="649"/>
        <v>0</v>
      </c>
      <c r="I918" s="201">
        <f t="shared" si="649"/>
        <v>0</v>
      </c>
      <c r="J918" s="201">
        <f t="shared" si="649"/>
        <v>0</v>
      </c>
      <c r="K918" s="201">
        <f t="shared" si="649"/>
        <v>0</v>
      </c>
      <c r="L918" s="201">
        <f t="shared" si="649"/>
        <v>0</v>
      </c>
      <c r="M918" s="201">
        <f t="shared" si="649"/>
        <v>0</v>
      </c>
      <c r="N918" s="201">
        <f t="shared" si="649"/>
        <v>0</v>
      </c>
      <c r="O918" s="201">
        <f t="shared" si="649"/>
        <v>0</v>
      </c>
      <c r="P918" s="201">
        <f t="shared" si="649"/>
        <v>0</v>
      </c>
      <c r="Q918" s="201">
        <f t="shared" si="649"/>
        <v>0</v>
      </c>
      <c r="R918" s="201">
        <f t="shared" si="649"/>
        <v>0</v>
      </c>
      <c r="S918" s="201">
        <f t="shared" ref="S918:BR918" si="650">S891</f>
        <v>0</v>
      </c>
      <c r="T918" s="201">
        <f t="shared" si="650"/>
        <v>0</v>
      </c>
      <c r="U918" s="201">
        <f t="shared" si="650"/>
        <v>0</v>
      </c>
      <c r="V918" s="201">
        <f t="shared" si="650"/>
        <v>0</v>
      </c>
      <c r="W918" s="201">
        <f t="shared" si="650"/>
        <v>0</v>
      </c>
      <c r="X918" s="201">
        <f t="shared" si="650"/>
        <v>0</v>
      </c>
      <c r="Y918" s="201">
        <f t="shared" si="650"/>
        <v>0</v>
      </c>
      <c r="Z918" s="201">
        <f t="shared" si="650"/>
        <v>0</v>
      </c>
      <c r="AA918" s="201">
        <f t="shared" si="650"/>
        <v>0</v>
      </c>
      <c r="AB918" s="201">
        <f t="shared" si="650"/>
        <v>0</v>
      </c>
      <c r="AC918" s="201">
        <f t="shared" si="650"/>
        <v>0</v>
      </c>
      <c r="AD918" s="201">
        <f t="shared" si="650"/>
        <v>0</v>
      </c>
      <c r="AE918" s="201">
        <f t="shared" si="650"/>
        <v>0</v>
      </c>
      <c r="AF918" s="201">
        <f t="shared" si="650"/>
        <v>0</v>
      </c>
      <c r="AG918" s="201">
        <f t="shared" si="650"/>
        <v>0</v>
      </c>
      <c r="AH918" s="893">
        <f t="shared" si="608"/>
        <v>3000019640</v>
      </c>
      <c r="AI918" s="201">
        <f t="shared" si="650"/>
        <v>0</v>
      </c>
      <c r="AJ918" s="201">
        <f t="shared" si="650"/>
        <v>2092707100</v>
      </c>
      <c r="AK918" s="201">
        <f t="shared" si="650"/>
        <v>2529389155</v>
      </c>
      <c r="AL918" s="201">
        <f t="shared" si="650"/>
        <v>500548890</v>
      </c>
      <c r="AM918" s="201">
        <f t="shared" si="650"/>
        <v>764992090</v>
      </c>
      <c r="AN918" s="201">
        <f t="shared" si="650"/>
        <v>1640368955</v>
      </c>
      <c r="AO918" s="201">
        <f t="shared" si="650"/>
        <v>350197190</v>
      </c>
      <c r="AP918" s="201">
        <f t="shared" si="650"/>
        <v>1785974670</v>
      </c>
      <c r="AQ918" s="201">
        <f t="shared" si="650"/>
        <v>2301887835</v>
      </c>
      <c r="AR918" s="201">
        <f t="shared" si="650"/>
        <v>2285873785</v>
      </c>
      <c r="AS918" s="201">
        <f t="shared" si="650"/>
        <v>1520488880</v>
      </c>
      <c r="AT918" s="201">
        <f t="shared" si="650"/>
        <v>1325555580</v>
      </c>
      <c r="AU918" s="201">
        <f t="shared" si="650"/>
        <v>1907000000</v>
      </c>
      <c r="AV918" s="201">
        <f t="shared" si="650"/>
        <v>1725000000</v>
      </c>
      <c r="AW918" s="201">
        <f t="shared" si="650"/>
        <v>1725000000</v>
      </c>
      <c r="AX918" s="201">
        <f t="shared" si="650"/>
        <v>17097984130</v>
      </c>
      <c r="AY918" s="893" t="e">
        <f t="shared" si="609"/>
        <v>#N/A</v>
      </c>
      <c r="AZ918" s="201">
        <f t="shared" si="650"/>
        <v>0</v>
      </c>
      <c r="BA918" s="201">
        <f t="shared" si="650"/>
        <v>2092707100</v>
      </c>
      <c r="BB918" s="201">
        <f t="shared" si="650"/>
        <v>2529389155</v>
      </c>
      <c r="BC918" s="201">
        <f t="shared" si="650"/>
        <v>500548890</v>
      </c>
      <c r="BD918" s="201">
        <f t="shared" si="650"/>
        <v>764992090</v>
      </c>
      <c r="BE918" s="201">
        <f t="shared" si="650"/>
        <v>1640368955</v>
      </c>
      <c r="BF918" s="201">
        <f t="shared" si="650"/>
        <v>350197190</v>
      </c>
      <c r="BG918" s="201">
        <f t="shared" si="650"/>
        <v>1785974670</v>
      </c>
      <c r="BH918" s="201">
        <f t="shared" si="650"/>
        <v>5160000000</v>
      </c>
      <c r="BI918" s="201">
        <f t="shared" si="650"/>
        <v>6225000000</v>
      </c>
      <c r="BJ918" s="201">
        <f t="shared" si="650"/>
        <v>6350000000</v>
      </c>
      <c r="BK918" s="201">
        <f t="shared" si="650"/>
        <v>7400000000</v>
      </c>
      <c r="BL918" s="201">
        <f t="shared" si="650"/>
        <v>34799178050</v>
      </c>
      <c r="BM918" s="201">
        <f t="shared" si="650"/>
        <v>0</v>
      </c>
      <c r="BN918" s="201">
        <f t="shared" si="650"/>
        <v>972000000</v>
      </c>
      <c r="BO918" s="201">
        <f t="shared" si="650"/>
        <v>2558500000</v>
      </c>
      <c r="BP918" s="201">
        <f t="shared" si="650"/>
        <v>3924310000</v>
      </c>
      <c r="BQ918" s="201">
        <f t="shared" si="650"/>
        <v>3411115450</v>
      </c>
      <c r="BR918" s="201">
        <f t="shared" si="650"/>
        <v>3082565000</v>
      </c>
      <c r="BS918" s="201">
        <f t="shared" ref="BS918:CM918" si="651">BS891</f>
        <v>1804665000</v>
      </c>
      <c r="BT918" s="201">
        <f t="shared" si="651"/>
        <v>844820000</v>
      </c>
      <c r="BU918" s="201">
        <f t="shared" si="651"/>
        <v>3325185000</v>
      </c>
      <c r="BV918" s="201">
        <f t="shared" si="651"/>
        <v>3141275000</v>
      </c>
      <c r="BW918" s="201">
        <f t="shared" si="651"/>
        <v>3264215000</v>
      </c>
      <c r="BX918" s="201">
        <f t="shared" si="651"/>
        <v>3104500000</v>
      </c>
      <c r="BY918" s="201">
        <f t="shared" si="651"/>
        <v>1305000000</v>
      </c>
      <c r="BZ918" s="502">
        <f>BZ891</f>
        <v>30738150450</v>
      </c>
      <c r="CB918" s="201">
        <f t="shared" si="651"/>
        <v>972000000</v>
      </c>
      <c r="CC918" s="201">
        <f t="shared" si="651"/>
        <v>3308500000</v>
      </c>
      <c r="CD918" s="201">
        <f t="shared" si="651"/>
        <v>5322310000</v>
      </c>
      <c r="CE918" s="201">
        <f t="shared" si="651"/>
        <v>3411115450</v>
      </c>
      <c r="CF918" s="201">
        <f t="shared" si="651"/>
        <v>3082565000</v>
      </c>
      <c r="CG918" s="201">
        <f t="shared" si="651"/>
        <v>2154665000</v>
      </c>
      <c r="CH918" s="201">
        <f t="shared" si="651"/>
        <v>1794820000</v>
      </c>
      <c r="CI918" s="201">
        <f t="shared" si="651"/>
        <v>3825185000</v>
      </c>
      <c r="CJ918" s="201">
        <f t="shared" si="651"/>
        <v>4241275000</v>
      </c>
      <c r="CK918" s="201">
        <f t="shared" si="651"/>
        <v>3710815000</v>
      </c>
      <c r="CL918" s="201">
        <f t="shared" si="651"/>
        <v>3104500000</v>
      </c>
      <c r="CM918" s="201">
        <f t="shared" si="651"/>
        <v>1305000000</v>
      </c>
      <c r="CN918" s="201">
        <v>38824750450</v>
      </c>
      <c r="CO918" s="201">
        <f t="shared" ref="CO918:CT918" si="652">CO891</f>
        <v>0</v>
      </c>
      <c r="CP918" s="666">
        <f t="shared" si="652"/>
        <v>1074922010</v>
      </c>
      <c r="CQ918" s="666">
        <f t="shared" si="652"/>
        <v>2509108894</v>
      </c>
      <c r="CR918" s="201">
        <f t="shared" si="652"/>
        <v>2284308894</v>
      </c>
      <c r="CS918" s="666">
        <f t="shared" si="652"/>
        <v>3055728140</v>
      </c>
      <c r="CT918" s="201">
        <f t="shared" si="652"/>
        <v>2327500000</v>
      </c>
      <c r="CU918" s="666">
        <f t="shared" ref="CU918:DB918" si="653">CU891</f>
        <v>1903718660</v>
      </c>
      <c r="CV918" s="201">
        <f t="shared" si="653"/>
        <v>2516000000</v>
      </c>
      <c r="CW918" s="666">
        <f t="shared" si="653"/>
        <v>593606600</v>
      </c>
      <c r="CX918" s="201">
        <f t="shared" si="653"/>
        <v>858000000</v>
      </c>
      <c r="CY918" s="666">
        <f t="shared" si="653"/>
        <v>2346627990</v>
      </c>
      <c r="CZ918" s="201">
        <f t="shared" si="653"/>
        <v>3085000000</v>
      </c>
      <c r="DA918" s="666">
        <f t="shared" si="653"/>
        <v>3336214420</v>
      </c>
      <c r="DB918" s="201">
        <f t="shared" si="653"/>
        <v>3115000000</v>
      </c>
      <c r="DC918" s="666">
        <f t="shared" ref="DC918:DR918" si="654">DC891</f>
        <v>4144442230</v>
      </c>
      <c r="DD918" s="201">
        <f t="shared" si="654"/>
        <v>2389000000</v>
      </c>
      <c r="DE918" s="201">
        <f t="shared" si="654"/>
        <v>0</v>
      </c>
      <c r="DF918" s="201">
        <f t="shared" si="654"/>
        <v>300000000</v>
      </c>
      <c r="DG918" s="777">
        <f t="shared" si="654"/>
        <v>1800000000</v>
      </c>
      <c r="DH918" s="201">
        <f t="shared" si="654"/>
        <v>0</v>
      </c>
      <c r="DI918" s="201">
        <f t="shared" si="654"/>
        <v>100000000</v>
      </c>
      <c r="DJ918" s="777">
        <f t="shared" si="654"/>
        <v>1600000000</v>
      </c>
      <c r="DK918" s="201">
        <f t="shared" si="654"/>
        <v>0</v>
      </c>
      <c r="DL918" s="201">
        <f t="shared" si="654"/>
        <v>2555000000</v>
      </c>
      <c r="DM918" s="777">
        <f t="shared" si="654"/>
        <v>2555000000</v>
      </c>
      <c r="DN918" s="201">
        <f t="shared" si="654"/>
        <v>0</v>
      </c>
      <c r="DO918" s="201">
        <f t="shared" si="654"/>
        <v>2555000000</v>
      </c>
      <c r="DP918" s="777">
        <f t="shared" si="654"/>
        <v>2555000000</v>
      </c>
      <c r="DQ918" s="502">
        <f t="shared" si="654"/>
        <v>24474368944</v>
      </c>
      <c r="DR918" s="512">
        <f t="shared" si="654"/>
        <v>27474368944</v>
      </c>
      <c r="DS918" s="1189">
        <f t="shared" ref="DS918:EI918" si="655">DS891</f>
        <v>1782000000</v>
      </c>
      <c r="DT918" s="1189">
        <f t="shared" si="655"/>
        <v>3328200000</v>
      </c>
      <c r="DU918" s="1189">
        <f t="shared" si="655"/>
        <v>2199600000</v>
      </c>
      <c r="DV918" s="1189">
        <f t="shared" si="655"/>
        <v>2612000000</v>
      </c>
      <c r="DW918" s="1189">
        <f t="shared" si="655"/>
        <v>1279000000</v>
      </c>
      <c r="DX918" s="1189">
        <f t="shared" si="655"/>
        <v>2962000000</v>
      </c>
      <c r="DY918" s="1189">
        <f t="shared" si="655"/>
        <v>2428600000</v>
      </c>
      <c r="DZ918" s="1189">
        <f t="shared" si="655"/>
        <v>2592051000</v>
      </c>
      <c r="EA918" s="1189">
        <f t="shared" si="655"/>
        <v>2021000000</v>
      </c>
      <c r="EB918" s="1189">
        <f t="shared" si="655"/>
        <v>2622000000</v>
      </c>
      <c r="EC918" s="1189">
        <f t="shared" si="655"/>
        <v>2368600000</v>
      </c>
      <c r="ED918" s="1189">
        <f t="shared" si="655"/>
        <v>1680000000</v>
      </c>
      <c r="EE918" s="1032">
        <f t="shared" si="655"/>
        <v>27875051000</v>
      </c>
      <c r="EF918" s="1032">
        <f t="shared" si="655"/>
        <v>35784072273.10704</v>
      </c>
      <c r="EG918" s="1032">
        <f t="shared" si="655"/>
        <v>48105149931.306076</v>
      </c>
      <c r="EH918" s="1032">
        <f t="shared" si="655"/>
        <v>56209994943.29586</v>
      </c>
      <c r="EI918" s="1032">
        <f t="shared" si="655"/>
        <v>60307255470.364731</v>
      </c>
      <c r="EJ918" s="367" t="e">
        <v>#N/A</v>
      </c>
      <c r="EK918" s="1033"/>
      <c r="EL918" s="130"/>
    </row>
    <row r="919" spans="2:145" ht="15" thickBot="1">
      <c r="E919" s="422" t="s">
        <v>989</v>
      </c>
      <c r="F919" s="422"/>
      <c r="G919" s="128">
        <f t="shared" ref="G919:R919" si="656">SUM(G916:G918)</f>
        <v>0</v>
      </c>
      <c r="H919" s="128">
        <f t="shared" si="656"/>
        <v>0</v>
      </c>
      <c r="I919" s="128">
        <f t="shared" si="656"/>
        <v>0</v>
      </c>
      <c r="J919" s="128">
        <f t="shared" si="656"/>
        <v>0</v>
      </c>
      <c r="K919" s="128">
        <f t="shared" si="656"/>
        <v>0</v>
      </c>
      <c r="L919" s="128">
        <f t="shared" si="656"/>
        <v>0</v>
      </c>
      <c r="M919" s="128">
        <f t="shared" si="656"/>
        <v>0</v>
      </c>
      <c r="N919" s="128">
        <f t="shared" si="656"/>
        <v>0</v>
      </c>
      <c r="O919" s="128">
        <f t="shared" si="656"/>
        <v>0</v>
      </c>
      <c r="P919" s="128">
        <f t="shared" si="656"/>
        <v>3799800</v>
      </c>
      <c r="Q919" s="128">
        <f t="shared" si="656"/>
        <v>-150000</v>
      </c>
      <c r="R919" s="128">
        <f t="shared" si="656"/>
        <v>19494800</v>
      </c>
      <c r="S919" s="128">
        <f t="shared" ref="S919:CE919" si="657">SUM(S916:S918)</f>
        <v>23144600</v>
      </c>
      <c r="T919" s="128">
        <f t="shared" si="657"/>
        <v>0</v>
      </c>
      <c r="U919" s="128">
        <f t="shared" si="657"/>
        <v>0</v>
      </c>
      <c r="V919" s="128">
        <f t="shared" si="657"/>
        <v>101083000</v>
      </c>
      <c r="W919" s="128">
        <f t="shared" si="657"/>
        <v>202646160</v>
      </c>
      <c r="X919" s="128">
        <f t="shared" si="657"/>
        <v>80556940</v>
      </c>
      <c r="Y919" s="128">
        <f t="shared" si="657"/>
        <v>477976875</v>
      </c>
      <c r="Z919" s="128">
        <f t="shared" si="657"/>
        <v>89188910</v>
      </c>
      <c r="AA919" s="128">
        <f t="shared" si="657"/>
        <v>370540825</v>
      </c>
      <c r="AB919" s="128">
        <f t="shared" si="657"/>
        <v>62857910</v>
      </c>
      <c r="AC919" s="128">
        <f t="shared" si="657"/>
        <v>160794755</v>
      </c>
      <c r="AD919" s="128">
        <f t="shared" si="657"/>
        <v>213024830</v>
      </c>
      <c r="AE919" s="128">
        <f t="shared" si="657"/>
        <v>206026000</v>
      </c>
      <c r="AF919" s="128">
        <f t="shared" si="657"/>
        <v>413483115</v>
      </c>
      <c r="AG919" s="128">
        <f t="shared" si="657"/>
        <v>2378179320</v>
      </c>
      <c r="AH919" s="893" t="e">
        <f t="shared" si="608"/>
        <v>#N/A</v>
      </c>
      <c r="AI919" s="128">
        <f t="shared" si="657"/>
        <v>357663917</v>
      </c>
      <c r="AJ919" s="128">
        <f t="shared" si="657"/>
        <v>2335582015</v>
      </c>
      <c r="AK919" s="128">
        <f t="shared" si="657"/>
        <v>2867507535</v>
      </c>
      <c r="AL919" s="128">
        <f t="shared" si="657"/>
        <v>1130674710</v>
      </c>
      <c r="AM919" s="128">
        <f t="shared" si="657"/>
        <v>1364968030</v>
      </c>
      <c r="AN919" s="128">
        <f t="shared" si="657"/>
        <v>2742077835</v>
      </c>
      <c r="AO919" s="128">
        <f t="shared" si="657"/>
        <v>849575914</v>
      </c>
      <c r="AP919" s="128">
        <f t="shared" si="657"/>
        <v>2165658892</v>
      </c>
      <c r="AQ919" s="128">
        <f t="shared" si="657"/>
        <v>2837233870</v>
      </c>
      <c r="AR919" s="128">
        <f t="shared" si="657"/>
        <v>2980132503</v>
      </c>
      <c r="AS919" s="128">
        <f t="shared" si="657"/>
        <v>2053297252</v>
      </c>
      <c r="AT919" s="128">
        <f t="shared" si="657"/>
        <v>1944688817</v>
      </c>
      <c r="AU919" s="128">
        <f t="shared" si="657"/>
        <v>2563700000</v>
      </c>
      <c r="AV919" s="128">
        <f t="shared" si="657"/>
        <v>2401500000</v>
      </c>
      <c r="AW919" s="128">
        <f t="shared" si="657"/>
        <v>2393500000</v>
      </c>
      <c r="AX919" s="128">
        <f t="shared" si="657"/>
        <v>25294261290</v>
      </c>
      <c r="AY919" s="893">
        <f t="shared" si="609"/>
        <v>0</v>
      </c>
      <c r="AZ919" s="128">
        <f t="shared" si="657"/>
        <v>357663917</v>
      </c>
      <c r="BA919" s="128">
        <f t="shared" si="657"/>
        <v>2335582015</v>
      </c>
      <c r="BB919" s="128">
        <f t="shared" si="657"/>
        <v>2867507535</v>
      </c>
      <c r="BC919" s="128">
        <f t="shared" si="657"/>
        <v>1130674710</v>
      </c>
      <c r="BD919" s="128">
        <f t="shared" si="657"/>
        <v>1364968030</v>
      </c>
      <c r="BE919" s="128">
        <f t="shared" si="657"/>
        <v>2742077835</v>
      </c>
      <c r="BF919" s="128">
        <f t="shared" si="657"/>
        <v>849575914</v>
      </c>
      <c r="BG919" s="128">
        <f t="shared" si="657"/>
        <v>2165658892</v>
      </c>
      <c r="BH919" s="128">
        <f t="shared" si="657"/>
        <v>5686200000</v>
      </c>
      <c r="BI919" s="128">
        <f t="shared" si="657"/>
        <v>6927200000</v>
      </c>
      <c r="BJ919" s="128">
        <f t="shared" si="657"/>
        <v>7059700000</v>
      </c>
      <c r="BK919" s="128">
        <f t="shared" si="657"/>
        <v>7966700000</v>
      </c>
      <c r="BL919" s="128">
        <f t="shared" si="657"/>
        <v>41453508848</v>
      </c>
      <c r="BM919" s="128">
        <f t="shared" si="657"/>
        <v>0</v>
      </c>
      <c r="BN919" s="128">
        <f t="shared" si="657"/>
        <v>2338900000</v>
      </c>
      <c r="BO919" s="128">
        <f t="shared" si="657"/>
        <v>4786850000</v>
      </c>
      <c r="BP919" s="128">
        <f t="shared" si="657"/>
        <v>5651760000</v>
      </c>
      <c r="BQ919" s="128">
        <f t="shared" si="657"/>
        <v>4856165450</v>
      </c>
      <c r="BR919" s="128">
        <f t="shared" si="657"/>
        <v>4024462200</v>
      </c>
      <c r="BS919" s="128">
        <f t="shared" si="657"/>
        <v>3184715000</v>
      </c>
      <c r="BT919" s="128">
        <f t="shared" si="657"/>
        <v>2240820000</v>
      </c>
      <c r="BU919" s="128">
        <f t="shared" si="657"/>
        <v>4459857853</v>
      </c>
      <c r="BV919" s="128">
        <f t="shared" si="657"/>
        <v>4638425000</v>
      </c>
      <c r="BW919" s="128">
        <f t="shared" si="657"/>
        <v>4476765000</v>
      </c>
      <c r="BX919" s="128">
        <f t="shared" si="657"/>
        <v>5011800000</v>
      </c>
      <c r="BY919" s="128">
        <f t="shared" si="657"/>
        <v>2671600000</v>
      </c>
      <c r="BZ919" s="128">
        <f>SUM(BZ916:BZ918)</f>
        <v>48342120503</v>
      </c>
      <c r="CB919" s="128">
        <f t="shared" si="657"/>
        <v>2345200000</v>
      </c>
      <c r="CC919" s="128">
        <f t="shared" si="657"/>
        <v>5508100000</v>
      </c>
      <c r="CD919" s="128">
        <f t="shared" si="657"/>
        <v>7037960000</v>
      </c>
      <c r="CE919" s="128">
        <f t="shared" si="657"/>
        <v>4842465450</v>
      </c>
      <c r="CF919" s="128">
        <f t="shared" ref="CF919:CM919" si="658">SUM(CF916:CF918)</f>
        <v>4011432200</v>
      </c>
      <c r="CG919" s="128">
        <f t="shared" si="658"/>
        <v>3505965000</v>
      </c>
      <c r="CH919" s="128">
        <f t="shared" si="658"/>
        <v>3177120000</v>
      </c>
      <c r="CI919" s="128">
        <f t="shared" si="658"/>
        <v>4948057853</v>
      </c>
      <c r="CJ919" s="128">
        <f t="shared" si="658"/>
        <v>5724725000</v>
      </c>
      <c r="CK919" s="128">
        <f t="shared" si="658"/>
        <v>4894615000</v>
      </c>
      <c r="CL919" s="128">
        <f t="shared" si="658"/>
        <v>5000000000</v>
      </c>
      <c r="CM919" s="128">
        <f t="shared" si="658"/>
        <v>2659800000</v>
      </c>
      <c r="CN919" s="128">
        <v>56525890503</v>
      </c>
      <c r="CO919" s="128">
        <f t="shared" ref="CO919:CT919" si="659">SUM(CO916:CO918)</f>
        <v>0</v>
      </c>
      <c r="CP919" s="667">
        <f t="shared" si="659"/>
        <v>1752944992</v>
      </c>
      <c r="CQ919" s="667">
        <f t="shared" si="659"/>
        <v>2977827194</v>
      </c>
      <c r="CR919" s="128">
        <f t="shared" si="659"/>
        <v>2916277634</v>
      </c>
      <c r="CS919" s="667">
        <f t="shared" si="659"/>
        <v>3406761880</v>
      </c>
      <c r="CT919" s="128">
        <f t="shared" si="659"/>
        <v>3106400000</v>
      </c>
      <c r="CU919" s="667">
        <f t="shared" ref="CU919:DB919" si="660">SUM(CU916:CU918)</f>
        <v>3450799410</v>
      </c>
      <c r="CV919" s="128">
        <f t="shared" si="660"/>
        <v>3642400000</v>
      </c>
      <c r="CW919" s="667">
        <f t="shared" si="660"/>
        <v>1829465620</v>
      </c>
      <c r="CX919" s="128">
        <f t="shared" si="660"/>
        <v>1821900000</v>
      </c>
      <c r="CY919" s="667">
        <f t="shared" si="660"/>
        <v>3688188870</v>
      </c>
      <c r="CZ919" s="128">
        <f t="shared" si="660"/>
        <v>4018500000</v>
      </c>
      <c r="DA919" s="667">
        <f t="shared" si="660"/>
        <v>4804688824</v>
      </c>
      <c r="DB919" s="128">
        <f t="shared" si="660"/>
        <v>4253500000</v>
      </c>
      <c r="DC919" s="667">
        <f t="shared" ref="DC919:DR919" si="661">SUM(DC916:DC918)</f>
        <v>5619388520</v>
      </c>
      <c r="DD919" s="128">
        <f t="shared" si="661"/>
        <v>3698000000</v>
      </c>
      <c r="DE919" s="128">
        <f t="shared" si="661"/>
        <v>0</v>
      </c>
      <c r="DF919" s="128">
        <f>SUM(DF916:DF918)</f>
        <v>1585000000</v>
      </c>
      <c r="DG919" s="489">
        <f t="shared" si="661"/>
        <v>3086000000</v>
      </c>
      <c r="DH919" s="128">
        <f t="shared" si="661"/>
        <v>0</v>
      </c>
      <c r="DI919" s="128">
        <f>SUM(DI916:DI918)</f>
        <v>1504500000</v>
      </c>
      <c r="DJ919" s="489">
        <f t="shared" si="661"/>
        <v>3019500000</v>
      </c>
      <c r="DK919" s="128">
        <f t="shared" si="661"/>
        <v>0</v>
      </c>
      <c r="DL919" s="128">
        <f>SUM(DL916:DL918)</f>
        <v>3950000000</v>
      </c>
      <c r="DM919" s="489">
        <f>SUM(DM916:DM918)</f>
        <v>3965000000</v>
      </c>
      <c r="DN919" s="128">
        <f t="shared" si="661"/>
        <v>0</v>
      </c>
      <c r="DO919" s="128">
        <f>SUM(DO916:DO918)</f>
        <v>3910000000</v>
      </c>
      <c r="DP919" s="489">
        <f t="shared" si="661"/>
        <v>3911000000</v>
      </c>
      <c r="DQ919" s="128">
        <f t="shared" si="661"/>
        <v>38479565310</v>
      </c>
      <c r="DR919" s="489">
        <f t="shared" si="661"/>
        <v>41646086116</v>
      </c>
      <c r="DS919" s="1190">
        <f t="shared" ref="DS919:EI919" si="662">SUM(DS916:DS918)</f>
        <v>2798650000</v>
      </c>
      <c r="DT919" s="1190">
        <f t="shared" si="662"/>
        <v>4629050000</v>
      </c>
      <c r="DU919" s="1190">
        <f t="shared" si="662"/>
        <v>3514850000</v>
      </c>
      <c r="DV919" s="1190">
        <f t="shared" si="662"/>
        <v>3860150000</v>
      </c>
      <c r="DW919" s="1190">
        <f t="shared" si="662"/>
        <v>2491900000</v>
      </c>
      <c r="DX919" s="1190">
        <f t="shared" si="662"/>
        <v>4341400000</v>
      </c>
      <c r="DY919" s="1190">
        <f t="shared" si="662"/>
        <v>3677300000</v>
      </c>
      <c r="DZ919" s="1190">
        <f t="shared" si="662"/>
        <v>3843251000</v>
      </c>
      <c r="EA919" s="1190">
        <f t="shared" si="662"/>
        <v>3331400000</v>
      </c>
      <c r="EB919" s="1190">
        <f t="shared" si="662"/>
        <v>3885600000</v>
      </c>
      <c r="EC919" s="1190">
        <f t="shared" si="662"/>
        <v>3609100000</v>
      </c>
      <c r="ED919" s="1190">
        <f t="shared" si="662"/>
        <v>2990400000</v>
      </c>
      <c r="EE919" s="1034">
        <f>SUM(EE916:EE918)</f>
        <v>42973051000</v>
      </c>
      <c r="EF919" s="1034">
        <f t="shared" si="662"/>
        <v>62795298196.10704</v>
      </c>
      <c r="EG919" s="1034">
        <f t="shared" si="662"/>
        <v>80086199322.306076</v>
      </c>
      <c r="EH919" s="1034">
        <f t="shared" si="662"/>
        <v>93491960127.815857</v>
      </c>
      <c r="EI919" s="1034">
        <f t="shared" si="662"/>
        <v>99421673163.884735</v>
      </c>
      <c r="EJ919" s="367" t="e">
        <v>#N/A</v>
      </c>
    </row>
    <row r="920" spans="2:145" ht="15" thickTop="1">
      <c r="H920" s="1"/>
      <c r="T920" s="1"/>
      <c r="V920" s="1"/>
      <c r="AH920" s="893">
        <f t="shared" si="608"/>
        <v>3000018197</v>
      </c>
      <c r="AJ920" s="1"/>
      <c r="AY920" s="893">
        <f t="shared" si="609"/>
        <v>0</v>
      </c>
      <c r="BA920" s="1"/>
      <c r="BM920" s="1"/>
      <c r="BO920" s="1"/>
      <c r="BZ920" s="491"/>
      <c r="CC920" s="1"/>
      <c r="CO920" s="1"/>
      <c r="DS920" s="1189"/>
      <c r="DT920" s="1189"/>
      <c r="DU920" s="1189"/>
      <c r="DV920" s="1189"/>
      <c r="DW920" s="1189"/>
      <c r="DX920" s="1189"/>
      <c r="DY920" s="1189"/>
      <c r="DZ920" s="1189"/>
      <c r="EA920" s="1189"/>
      <c r="EB920" s="1189"/>
      <c r="EC920" s="1189"/>
      <c r="ED920" s="1189"/>
      <c r="EE920" s="1035"/>
      <c r="EF920" s="1035"/>
      <c r="EG920" s="1035"/>
      <c r="EH920" s="1035"/>
      <c r="EI920" s="1035"/>
      <c r="EJ920" s="367" t="e">
        <v>#N/A</v>
      </c>
    </row>
    <row r="921" spans="2:145">
      <c r="B921" s="368" t="s">
        <v>990</v>
      </c>
      <c r="C921" s="368"/>
      <c r="D921" s="368"/>
      <c r="H921" s="1"/>
      <c r="T921" s="1"/>
      <c r="V921" s="1"/>
      <c r="AH921" s="893">
        <f t="shared" si="608"/>
        <v>3000007995</v>
      </c>
      <c r="AJ921" s="1"/>
      <c r="AY921" s="893">
        <f t="shared" si="609"/>
        <v>0</v>
      </c>
      <c r="BA921" s="1"/>
      <c r="BM921" s="1"/>
      <c r="BO921" s="1"/>
      <c r="BZ921" s="491"/>
      <c r="CC921" s="1"/>
      <c r="CO921" s="1"/>
      <c r="DS921" s="1189"/>
      <c r="DT921" s="1189"/>
      <c r="DU921" s="1189"/>
      <c r="DV921" s="1189"/>
      <c r="DW921" s="1189"/>
      <c r="DX921" s="1189"/>
      <c r="DY921" s="1189"/>
      <c r="DZ921" s="1189"/>
      <c r="EA921" s="1189"/>
      <c r="EB921" s="1189"/>
      <c r="EC921" s="1189"/>
      <c r="ED921" s="1189"/>
      <c r="EE921" s="1035"/>
      <c r="EF921" s="1035"/>
      <c r="EG921" s="1035"/>
      <c r="EH921" s="1035"/>
      <c r="EI921" s="1035"/>
      <c r="EJ921" s="367" t="e">
        <v>#N/A</v>
      </c>
    </row>
    <row r="922" spans="2:145">
      <c r="E922" s="438" t="s">
        <v>324</v>
      </c>
      <c r="F922" s="441"/>
      <c r="G922" s="201">
        <f t="shared" ref="G922:R922" si="663">G898+G904+G910+G916</f>
        <v>6784817992</v>
      </c>
      <c r="H922" s="201">
        <f t="shared" si="663"/>
        <v>6808203084</v>
      </c>
      <c r="I922" s="201">
        <f t="shared" si="663"/>
        <v>10507505538</v>
      </c>
      <c r="J922" s="201">
        <f t="shared" si="663"/>
        <v>9370100577</v>
      </c>
      <c r="K922" s="201">
        <f t="shared" si="663"/>
        <v>8995083429</v>
      </c>
      <c r="L922" s="201">
        <f t="shared" si="663"/>
        <v>8211211848</v>
      </c>
      <c r="M922" s="201">
        <f t="shared" si="663"/>
        <v>9415359174</v>
      </c>
      <c r="N922" s="201">
        <f t="shared" si="663"/>
        <v>10047844418</v>
      </c>
      <c r="O922" s="201">
        <f t="shared" si="663"/>
        <v>10106967831</v>
      </c>
      <c r="P922" s="201">
        <f t="shared" si="663"/>
        <v>10593277926</v>
      </c>
      <c r="Q922" s="201">
        <f t="shared" si="663"/>
        <v>10481702179</v>
      </c>
      <c r="R922" s="201">
        <f t="shared" si="663"/>
        <v>10972761603</v>
      </c>
      <c r="S922" s="201">
        <f t="shared" ref="S922:BR922" si="664">S898+S904+S910+S916</f>
        <v>112294835599</v>
      </c>
      <c r="T922" s="201">
        <f t="shared" si="664"/>
        <v>0</v>
      </c>
      <c r="U922" s="201">
        <f t="shared" si="664"/>
        <v>8775107234</v>
      </c>
      <c r="V922" s="201">
        <f t="shared" si="664"/>
        <v>8696291662</v>
      </c>
      <c r="W922" s="201">
        <f t="shared" si="664"/>
        <v>8128829928</v>
      </c>
      <c r="X922" s="201">
        <f t="shared" si="664"/>
        <v>8028074088</v>
      </c>
      <c r="Y922" s="201">
        <f t="shared" si="664"/>
        <v>8431044911</v>
      </c>
      <c r="Z922" s="201">
        <f t="shared" si="664"/>
        <v>7700098008</v>
      </c>
      <c r="AA922" s="201">
        <f t="shared" si="664"/>
        <v>8571699131</v>
      </c>
      <c r="AB922" s="201">
        <f t="shared" si="664"/>
        <v>7662521544</v>
      </c>
      <c r="AC922" s="201">
        <f t="shared" si="664"/>
        <v>9146690797</v>
      </c>
      <c r="AD922" s="201">
        <f t="shared" si="664"/>
        <v>8343401207</v>
      </c>
      <c r="AE922" s="201">
        <f t="shared" si="664"/>
        <v>10776883869</v>
      </c>
      <c r="AF922" s="201">
        <f t="shared" si="664"/>
        <v>11372156513</v>
      </c>
      <c r="AG922" s="201">
        <f t="shared" si="664"/>
        <v>105337798892</v>
      </c>
      <c r="AH922" s="893">
        <f t="shared" si="608"/>
        <v>0</v>
      </c>
      <c r="AI922" s="201">
        <f t="shared" si="664"/>
        <v>10784129639</v>
      </c>
      <c r="AJ922" s="201">
        <f t="shared" si="664"/>
        <v>10436933036</v>
      </c>
      <c r="AK922" s="201">
        <f t="shared" si="664"/>
        <v>10312840943</v>
      </c>
      <c r="AL922" s="201">
        <f t="shared" si="664"/>
        <v>10765298885</v>
      </c>
      <c r="AM922" s="201">
        <f t="shared" si="664"/>
        <v>7841204218</v>
      </c>
      <c r="AN922" s="201">
        <f t="shared" si="664"/>
        <v>8906119973</v>
      </c>
      <c r="AO922" s="201">
        <f t="shared" si="664"/>
        <v>8206761275</v>
      </c>
      <c r="AP922" s="201">
        <f t="shared" si="664"/>
        <v>8102644164</v>
      </c>
      <c r="AQ922" s="201">
        <f t="shared" si="664"/>
        <v>9207232977</v>
      </c>
      <c r="AR922" s="201">
        <f t="shared" si="664"/>
        <v>9738119543</v>
      </c>
      <c r="AS922" s="201">
        <f t="shared" si="664"/>
        <v>10190092556</v>
      </c>
      <c r="AT922" s="201">
        <f t="shared" si="664"/>
        <v>10432086527</v>
      </c>
      <c r="AU922" s="201">
        <f t="shared" si="664"/>
        <v>9502640249</v>
      </c>
      <c r="AV922" s="201">
        <f t="shared" si="664"/>
        <v>9967940249</v>
      </c>
      <c r="AW922" s="201">
        <f t="shared" si="664"/>
        <v>9996782749</v>
      </c>
      <c r="AX922" s="201">
        <f t="shared" si="664"/>
        <v>114923463736</v>
      </c>
      <c r="AY922" s="893">
        <f t="shared" si="609"/>
        <v>0</v>
      </c>
      <c r="AZ922" s="201">
        <f t="shared" si="664"/>
        <v>10784129639</v>
      </c>
      <c r="BA922" s="201">
        <f t="shared" si="664"/>
        <v>10436933036</v>
      </c>
      <c r="BB922" s="201">
        <f t="shared" si="664"/>
        <v>10312840943</v>
      </c>
      <c r="BC922" s="201">
        <f t="shared" si="664"/>
        <v>10765298885</v>
      </c>
      <c r="BD922" s="201">
        <f t="shared" si="664"/>
        <v>7841204218</v>
      </c>
      <c r="BE922" s="201">
        <f t="shared" si="664"/>
        <v>8906119973</v>
      </c>
      <c r="BF922" s="201">
        <f t="shared" si="664"/>
        <v>8206761275</v>
      </c>
      <c r="BG922" s="201">
        <f t="shared" si="664"/>
        <v>8102644164</v>
      </c>
      <c r="BH922" s="201">
        <f t="shared" si="664"/>
        <v>10803040945</v>
      </c>
      <c r="BI922" s="201">
        <f t="shared" si="664"/>
        <v>12051330845</v>
      </c>
      <c r="BJ922" s="201">
        <f t="shared" si="664"/>
        <v>12123029845</v>
      </c>
      <c r="BK922" s="201">
        <f t="shared" si="664"/>
        <v>12016872345</v>
      </c>
      <c r="BL922" s="201">
        <f t="shared" si="664"/>
        <v>122350206113</v>
      </c>
      <c r="BM922" s="201">
        <f t="shared" si="664"/>
        <v>0</v>
      </c>
      <c r="BN922" s="201">
        <f t="shared" si="664"/>
        <v>10982721854.6</v>
      </c>
      <c r="BO922" s="201">
        <f t="shared" si="664"/>
        <v>11282721854.6</v>
      </c>
      <c r="BP922" s="201">
        <f t="shared" si="664"/>
        <v>11827321854.6</v>
      </c>
      <c r="BQ922" s="201">
        <f t="shared" si="664"/>
        <v>12246028857</v>
      </c>
      <c r="BR922" s="201">
        <f t="shared" si="664"/>
        <v>9827582446.2999992</v>
      </c>
      <c r="BS922" s="201">
        <f t="shared" ref="BS922:CM922" si="665">BS898+BS904+BS910+BS916</f>
        <v>10983228854.6</v>
      </c>
      <c r="BT922" s="201">
        <f t="shared" si="665"/>
        <v>11630365439</v>
      </c>
      <c r="BU922" s="201">
        <f t="shared" si="665"/>
        <v>11830365439</v>
      </c>
      <c r="BV922" s="201">
        <f t="shared" si="665"/>
        <v>12100365439</v>
      </c>
      <c r="BW922" s="201">
        <f t="shared" si="665"/>
        <v>12230365439</v>
      </c>
      <c r="BX922" s="201">
        <f t="shared" si="665"/>
        <v>12115365439</v>
      </c>
      <c r="BY922" s="201">
        <f t="shared" si="665"/>
        <v>12057365439</v>
      </c>
      <c r="BZ922" s="502">
        <f>BZ898+BZ904+BZ910+BZ916</f>
        <v>139113798355.70001</v>
      </c>
      <c r="CB922" s="201">
        <f t="shared" si="665"/>
        <v>10990921854.6</v>
      </c>
      <c r="CC922" s="201">
        <f t="shared" si="665"/>
        <v>11290921854.6</v>
      </c>
      <c r="CD922" s="201">
        <f t="shared" si="665"/>
        <v>11835521854.6</v>
      </c>
      <c r="CE922" s="201">
        <f t="shared" si="665"/>
        <v>12254228857</v>
      </c>
      <c r="CF922" s="201">
        <f t="shared" si="665"/>
        <v>9834552446.2999992</v>
      </c>
      <c r="CG922" s="201">
        <f t="shared" si="665"/>
        <v>10991428854.6</v>
      </c>
      <c r="CH922" s="201">
        <f t="shared" si="665"/>
        <v>11638565439</v>
      </c>
      <c r="CI922" s="201">
        <f t="shared" si="665"/>
        <v>11838565439</v>
      </c>
      <c r="CJ922" s="201">
        <f t="shared" si="665"/>
        <v>12108565439</v>
      </c>
      <c r="CK922" s="201">
        <f t="shared" si="665"/>
        <v>12238565439</v>
      </c>
      <c r="CL922" s="201">
        <f t="shared" si="665"/>
        <v>12123565439</v>
      </c>
      <c r="CM922" s="201">
        <f t="shared" si="665"/>
        <v>12065565439</v>
      </c>
      <c r="CN922" s="201">
        <v>140988468355.70001</v>
      </c>
      <c r="CO922" s="201">
        <f t="shared" ref="CO922:CT923" si="666">CO898+CO904+CO910+CO916</f>
        <v>0</v>
      </c>
      <c r="CP922" s="666">
        <f t="shared" si="666"/>
        <v>9186046143</v>
      </c>
      <c r="CQ922" s="666">
        <f t="shared" si="666"/>
        <v>9021322845</v>
      </c>
      <c r="CR922" s="201">
        <f t="shared" si="666"/>
        <v>9483499092</v>
      </c>
      <c r="CS922" s="666">
        <f t="shared" si="666"/>
        <v>10369895104</v>
      </c>
      <c r="CT922" s="201">
        <f t="shared" si="666"/>
        <v>11784217322</v>
      </c>
      <c r="CU922" s="666">
        <f t="shared" ref="CU922:DB922" si="667">CU898+CU904+CU910+CU916</f>
        <v>10611589807</v>
      </c>
      <c r="CV922" s="201">
        <f t="shared" si="667"/>
        <v>11986104822</v>
      </c>
      <c r="CW922" s="666">
        <f t="shared" si="667"/>
        <v>8654648899</v>
      </c>
      <c r="CX922" s="201">
        <f t="shared" si="667"/>
        <v>9526941122</v>
      </c>
      <c r="CY922" s="666">
        <f t="shared" si="667"/>
        <v>10751110670</v>
      </c>
      <c r="CZ922" s="201">
        <f t="shared" si="667"/>
        <v>13764548622</v>
      </c>
      <c r="DA922" s="666">
        <f t="shared" si="667"/>
        <v>10695020025</v>
      </c>
      <c r="DB922" s="201">
        <f t="shared" si="667"/>
        <v>15778548622</v>
      </c>
      <c r="DC922" s="666">
        <f t="shared" ref="DC922:DK922" si="668">DC898+DC904+DC910+DC916</f>
        <v>11374386246</v>
      </c>
      <c r="DD922" s="201">
        <f t="shared" si="668"/>
        <v>16298548622</v>
      </c>
      <c r="DE922" s="201">
        <f t="shared" si="668"/>
        <v>0</v>
      </c>
      <c r="DF922" s="201">
        <f t="shared" si="668"/>
        <v>14410162412</v>
      </c>
      <c r="DG922" s="777">
        <f t="shared" si="668"/>
        <v>15356160059</v>
      </c>
      <c r="DH922" s="201">
        <f t="shared" si="668"/>
        <v>0</v>
      </c>
      <c r="DI922" s="201">
        <f t="shared" si="668"/>
        <v>14716162412</v>
      </c>
      <c r="DJ922" s="777">
        <f t="shared" si="668"/>
        <v>15946160059</v>
      </c>
      <c r="DK922" s="201">
        <f t="shared" si="668"/>
        <v>0</v>
      </c>
      <c r="DL922" s="201">
        <f t="shared" ref="DL922:DR923" si="669">DL898+DL904+DL910+DL916</f>
        <v>15066162412</v>
      </c>
      <c r="DM922" s="777">
        <f t="shared" si="669"/>
        <v>16256160059</v>
      </c>
      <c r="DN922" s="201">
        <f t="shared" si="669"/>
        <v>0</v>
      </c>
      <c r="DO922" s="201">
        <f t="shared" si="669"/>
        <v>15165162412</v>
      </c>
      <c r="DP922" s="777">
        <f t="shared" si="669"/>
        <v>16366160059</v>
      </c>
      <c r="DQ922" s="502">
        <f t="shared" si="669"/>
        <v>140021669387</v>
      </c>
      <c r="DR922" s="512">
        <f t="shared" si="669"/>
        <v>145562825040</v>
      </c>
      <c r="DS922" s="1189">
        <f t="shared" ref="DS922:EI922" si="670">DS898+DS904+DS910+DS916</f>
        <v>13086676951</v>
      </c>
      <c r="DT922" s="1189">
        <f t="shared" si="670"/>
        <v>13366676951</v>
      </c>
      <c r="DU922" s="1189">
        <f t="shared" si="670"/>
        <v>13922376951</v>
      </c>
      <c r="DV922" s="1189">
        <f t="shared" si="670"/>
        <v>13169176951</v>
      </c>
      <c r="DW922" s="1189">
        <f t="shared" si="670"/>
        <v>13058376951</v>
      </c>
      <c r="DX922" s="1189">
        <f t="shared" si="670"/>
        <v>14581376951</v>
      </c>
      <c r="DY922" s="1189">
        <f t="shared" si="670"/>
        <v>14712376951</v>
      </c>
      <c r="DZ922" s="1189">
        <f t="shared" si="670"/>
        <v>14707376951</v>
      </c>
      <c r="EA922" s="1189">
        <f t="shared" si="670"/>
        <v>15027376951</v>
      </c>
      <c r="EB922" s="1189">
        <f t="shared" si="670"/>
        <v>14747376951</v>
      </c>
      <c r="EC922" s="1189">
        <f t="shared" si="670"/>
        <v>14898176951</v>
      </c>
      <c r="ED922" s="1189">
        <f t="shared" si="670"/>
        <v>15164376951</v>
      </c>
      <c r="EE922" s="1032">
        <f>EE898+EE904+EE910+EE916</f>
        <v>170441723412</v>
      </c>
      <c r="EF922" s="1032">
        <f t="shared" si="670"/>
        <v>227508188117.09503</v>
      </c>
      <c r="EG922" s="1032">
        <f t="shared" si="670"/>
        <v>285909292507.25232</v>
      </c>
      <c r="EH922" s="1032">
        <f t="shared" si="670"/>
        <v>368670081051.87885</v>
      </c>
      <c r="EI922" s="1032">
        <f t="shared" si="670"/>
        <v>382176877931.48669</v>
      </c>
      <c r="EJ922" s="367" t="e">
        <v>#N/A</v>
      </c>
      <c r="EK922" s="442"/>
      <c r="EL922" s="177"/>
      <c r="EM922" s="177"/>
      <c r="EN922" s="177"/>
      <c r="EO922" s="177"/>
    </row>
    <row r="923" spans="2:145">
      <c r="E923" s="438" t="s">
        <v>684</v>
      </c>
      <c r="F923" s="441"/>
      <c r="G923" s="201">
        <f t="shared" ref="G923:R923" si="671">G899+G905+G911+G917</f>
        <v>0</v>
      </c>
      <c r="H923" s="201">
        <f t="shared" si="671"/>
        <v>0</v>
      </c>
      <c r="I923" s="201">
        <f t="shared" si="671"/>
        <v>0</v>
      </c>
      <c r="J923" s="201">
        <f t="shared" si="671"/>
        <v>0</v>
      </c>
      <c r="K923" s="201">
        <f t="shared" si="671"/>
        <v>0</v>
      </c>
      <c r="L923" s="201">
        <f t="shared" si="671"/>
        <v>0</v>
      </c>
      <c r="M923" s="201">
        <f t="shared" si="671"/>
        <v>0</v>
      </c>
      <c r="N923" s="201">
        <f t="shared" si="671"/>
        <v>0</v>
      </c>
      <c r="O923" s="201">
        <f t="shared" si="671"/>
        <v>0</v>
      </c>
      <c r="P923" s="201">
        <f t="shared" si="671"/>
        <v>0</v>
      </c>
      <c r="Q923" s="201">
        <f t="shared" si="671"/>
        <v>0</v>
      </c>
      <c r="R923" s="201">
        <f t="shared" si="671"/>
        <v>0</v>
      </c>
      <c r="S923" s="201">
        <f t="shared" ref="S923:BR923" si="672">S899+S905+S911+S917</f>
        <v>0</v>
      </c>
      <c r="T923" s="201">
        <f t="shared" si="672"/>
        <v>0</v>
      </c>
      <c r="U923" s="201">
        <f t="shared" si="672"/>
        <v>0</v>
      </c>
      <c r="V923" s="201">
        <f t="shared" si="672"/>
        <v>0</v>
      </c>
      <c r="W923" s="201">
        <f t="shared" si="672"/>
        <v>0</v>
      </c>
      <c r="X923" s="201">
        <f t="shared" si="672"/>
        <v>0</v>
      </c>
      <c r="Y923" s="201">
        <f t="shared" si="672"/>
        <v>0</v>
      </c>
      <c r="Z923" s="201">
        <f t="shared" si="672"/>
        <v>0</v>
      </c>
      <c r="AA923" s="201">
        <f t="shared" si="672"/>
        <v>0</v>
      </c>
      <c r="AB923" s="201">
        <f t="shared" si="672"/>
        <v>0</v>
      </c>
      <c r="AC923" s="201">
        <f t="shared" si="672"/>
        <v>0</v>
      </c>
      <c r="AD923" s="201">
        <f t="shared" si="672"/>
        <v>0</v>
      </c>
      <c r="AE923" s="201">
        <f t="shared" si="672"/>
        <v>0</v>
      </c>
      <c r="AF923" s="201">
        <f t="shared" si="672"/>
        <v>0</v>
      </c>
      <c r="AG923" s="201">
        <f t="shared" si="672"/>
        <v>0</v>
      </c>
      <c r="AH923" s="893">
        <f t="shared" si="608"/>
        <v>8000000019</v>
      </c>
      <c r="AI923" s="201">
        <f t="shared" si="672"/>
        <v>712903489</v>
      </c>
      <c r="AJ923" s="201">
        <f t="shared" si="672"/>
        <v>1439357127</v>
      </c>
      <c r="AK923" s="201">
        <f t="shared" si="672"/>
        <v>1229744943</v>
      </c>
      <c r="AL923" s="201">
        <f t="shared" si="672"/>
        <v>2021940106</v>
      </c>
      <c r="AM923" s="201">
        <f t="shared" si="672"/>
        <v>2095087241</v>
      </c>
      <c r="AN923" s="201">
        <f t="shared" si="672"/>
        <v>1940861348</v>
      </c>
      <c r="AO923" s="201">
        <f t="shared" si="672"/>
        <v>1790284658</v>
      </c>
      <c r="AP923" s="201">
        <f t="shared" si="672"/>
        <v>1994122523</v>
      </c>
      <c r="AQ923" s="201">
        <f t="shared" si="672"/>
        <v>2378354167</v>
      </c>
      <c r="AR923" s="201">
        <f t="shared" si="672"/>
        <v>2225780798</v>
      </c>
      <c r="AS923" s="201">
        <f t="shared" si="672"/>
        <v>2011178946</v>
      </c>
      <c r="AT923" s="201">
        <f t="shared" si="672"/>
        <v>2518899332</v>
      </c>
      <c r="AU923" s="201">
        <f t="shared" si="672"/>
        <v>2579950000</v>
      </c>
      <c r="AV923" s="201">
        <f t="shared" si="672"/>
        <v>2559000000</v>
      </c>
      <c r="AW923" s="201">
        <f t="shared" si="672"/>
        <v>2532000000</v>
      </c>
      <c r="AX923" s="201">
        <f t="shared" si="672"/>
        <v>24023714678</v>
      </c>
      <c r="AY923" s="893" t="e">
        <f t="shared" si="609"/>
        <v>#N/A</v>
      </c>
      <c r="AZ923" s="201">
        <f t="shared" si="672"/>
        <v>712903489</v>
      </c>
      <c r="BA923" s="201">
        <f t="shared" si="672"/>
        <v>1439357127</v>
      </c>
      <c r="BB923" s="201">
        <f t="shared" si="672"/>
        <v>1229744943</v>
      </c>
      <c r="BC923" s="201">
        <f t="shared" si="672"/>
        <v>2021940106</v>
      </c>
      <c r="BD923" s="201">
        <f t="shared" si="672"/>
        <v>2095087241</v>
      </c>
      <c r="BE923" s="201">
        <f t="shared" si="672"/>
        <v>1940861348</v>
      </c>
      <c r="BF923" s="201">
        <f t="shared" si="672"/>
        <v>1790284658</v>
      </c>
      <c r="BG923" s="201">
        <f t="shared" si="672"/>
        <v>1994122523</v>
      </c>
      <c r="BH923" s="201">
        <f t="shared" si="672"/>
        <v>2347500000</v>
      </c>
      <c r="BI923" s="201">
        <f t="shared" si="672"/>
        <v>2393950000</v>
      </c>
      <c r="BJ923" s="201">
        <f t="shared" si="672"/>
        <v>2373000000</v>
      </c>
      <c r="BK923" s="201">
        <f t="shared" si="672"/>
        <v>2346000000</v>
      </c>
      <c r="BL923" s="201">
        <f t="shared" si="672"/>
        <v>22684751435</v>
      </c>
      <c r="BM923" s="201">
        <f t="shared" si="672"/>
        <v>0</v>
      </c>
      <c r="BN923" s="201">
        <f t="shared" si="672"/>
        <v>6030000000</v>
      </c>
      <c r="BO923" s="201">
        <f t="shared" si="672"/>
        <v>6579950000</v>
      </c>
      <c r="BP923" s="201">
        <f t="shared" si="672"/>
        <v>6103050000</v>
      </c>
      <c r="BQ923" s="201">
        <f t="shared" si="672"/>
        <v>5869150000</v>
      </c>
      <c r="BR923" s="201">
        <f t="shared" si="672"/>
        <v>5798587000</v>
      </c>
      <c r="BS923" s="201">
        <f t="shared" ref="BS923:CM923" si="673">BS899+BS905+BS911+BS917</f>
        <v>6312337000</v>
      </c>
      <c r="BT923" s="201">
        <f t="shared" si="673"/>
        <v>6408287000</v>
      </c>
      <c r="BU923" s="201">
        <f t="shared" si="673"/>
        <v>6122459853</v>
      </c>
      <c r="BV923" s="201">
        <f t="shared" si="673"/>
        <v>6406437000</v>
      </c>
      <c r="BW923" s="201">
        <f t="shared" si="673"/>
        <v>6176337000</v>
      </c>
      <c r="BX923" s="201">
        <f t="shared" si="673"/>
        <v>6848587000</v>
      </c>
      <c r="BY923" s="201">
        <f t="shared" si="673"/>
        <v>6255730617</v>
      </c>
      <c r="BZ923" s="502">
        <f>BZ899+BZ905+BZ911+BZ917</f>
        <v>74910912470</v>
      </c>
      <c r="CB923" s="201">
        <f t="shared" si="673"/>
        <v>6028100000</v>
      </c>
      <c r="CC923" s="201">
        <f t="shared" si="673"/>
        <v>6543000000</v>
      </c>
      <c r="CD923" s="201">
        <f t="shared" si="673"/>
        <v>6083050000</v>
      </c>
      <c r="CE923" s="201">
        <f t="shared" si="673"/>
        <v>5847250000</v>
      </c>
      <c r="CF923" s="201">
        <f t="shared" si="673"/>
        <v>5778587000</v>
      </c>
      <c r="CG923" s="201">
        <f t="shared" si="673"/>
        <v>6275387000</v>
      </c>
      <c r="CH923" s="201">
        <f t="shared" si="673"/>
        <v>6386387000</v>
      </c>
      <c r="CI923" s="201">
        <f t="shared" si="673"/>
        <v>6102459853</v>
      </c>
      <c r="CJ923" s="201">
        <f t="shared" si="673"/>
        <v>6384537000</v>
      </c>
      <c r="CK923" s="201">
        <f t="shared" si="673"/>
        <v>6139387000</v>
      </c>
      <c r="CL923" s="201">
        <f t="shared" si="673"/>
        <v>6828587000</v>
      </c>
      <c r="CM923" s="201">
        <f t="shared" si="673"/>
        <v>6235730617</v>
      </c>
      <c r="CN923" s="201">
        <v>74910912470</v>
      </c>
      <c r="CO923" s="201">
        <f t="shared" si="666"/>
        <v>0</v>
      </c>
      <c r="CP923" s="666">
        <f t="shared" si="666"/>
        <v>3456846439</v>
      </c>
      <c r="CQ923" s="666">
        <f t="shared" si="666"/>
        <v>3471730425</v>
      </c>
      <c r="CR923" s="201">
        <f t="shared" si="666"/>
        <v>3850479680</v>
      </c>
      <c r="CS923" s="666">
        <f t="shared" si="666"/>
        <v>3750538494</v>
      </c>
      <c r="CT923" s="201">
        <f t="shared" si="666"/>
        <v>3233900000</v>
      </c>
      <c r="CU923" s="666">
        <f t="shared" ref="CU923:DB923" si="674">CU899+CU905+CU911+CU917</f>
        <v>3104396321</v>
      </c>
      <c r="CV923" s="201">
        <f t="shared" si="674"/>
        <v>4316250000</v>
      </c>
      <c r="CW923" s="666">
        <f t="shared" si="674"/>
        <v>4189088283</v>
      </c>
      <c r="CX923" s="201">
        <f t="shared" si="674"/>
        <v>5884727986</v>
      </c>
      <c r="CY923" s="666">
        <f t="shared" si="674"/>
        <v>6285126944</v>
      </c>
      <c r="CZ923" s="201">
        <f t="shared" si="674"/>
        <v>7169223246</v>
      </c>
      <c r="DA923" s="666">
        <f t="shared" si="674"/>
        <v>6091290973</v>
      </c>
      <c r="DB923" s="201">
        <f t="shared" si="674"/>
        <v>6022246000</v>
      </c>
      <c r="DC923" s="666">
        <f t="shared" ref="DC923:DK923" si="675">DC899+DC905+DC911+DC917</f>
        <v>9876987842</v>
      </c>
      <c r="DD923" s="201">
        <f t="shared" si="675"/>
        <v>7102048000</v>
      </c>
      <c r="DE923" s="201">
        <f t="shared" si="675"/>
        <v>0</v>
      </c>
      <c r="DF923" s="201">
        <f t="shared" si="675"/>
        <v>6694444000</v>
      </c>
      <c r="DG923" s="777">
        <f t="shared" si="675"/>
        <v>6502444000</v>
      </c>
      <c r="DH923" s="201">
        <f t="shared" si="675"/>
        <v>0</v>
      </c>
      <c r="DI923" s="201">
        <f t="shared" si="675"/>
        <v>6071554000</v>
      </c>
      <c r="DJ923" s="777">
        <f t="shared" si="675"/>
        <v>6979554000</v>
      </c>
      <c r="DK923" s="201">
        <f t="shared" si="675"/>
        <v>0</v>
      </c>
      <c r="DL923" s="201">
        <f t="shared" si="669"/>
        <v>5759450000</v>
      </c>
      <c r="DM923" s="777">
        <f t="shared" si="669"/>
        <v>6667450000</v>
      </c>
      <c r="DN923" s="201">
        <f t="shared" si="669"/>
        <v>0</v>
      </c>
      <c r="DO923" s="201">
        <f t="shared" si="669"/>
        <v>6062450000</v>
      </c>
      <c r="DP923" s="777">
        <f t="shared" si="669"/>
        <v>6670450000</v>
      </c>
      <c r="DQ923" s="502">
        <f t="shared" si="669"/>
        <v>64815366521</v>
      </c>
      <c r="DR923" s="512">
        <f t="shared" si="669"/>
        <v>66781654911</v>
      </c>
      <c r="DS923" s="1189">
        <f t="shared" ref="DS923:EI923" si="676">DS899+DS905+DS911+DS917</f>
        <v>5696166667</v>
      </c>
      <c r="DT923" s="1189">
        <f t="shared" si="676"/>
        <v>6077366667</v>
      </c>
      <c r="DU923" s="1189">
        <f t="shared" si="676"/>
        <v>6346766667</v>
      </c>
      <c r="DV923" s="1189">
        <f t="shared" si="676"/>
        <v>6239866667</v>
      </c>
      <c r="DW923" s="1189">
        <f t="shared" si="676"/>
        <v>5787416667</v>
      </c>
      <c r="DX923" s="1189">
        <f t="shared" si="676"/>
        <v>6644916667</v>
      </c>
      <c r="DY923" s="1189">
        <f t="shared" si="676"/>
        <v>6583216667</v>
      </c>
      <c r="DZ923" s="1189">
        <f t="shared" si="676"/>
        <v>7025716667</v>
      </c>
      <c r="EA923" s="1189">
        <f t="shared" si="676"/>
        <v>6779916667</v>
      </c>
      <c r="EB923" s="1189">
        <f t="shared" si="676"/>
        <v>6920116667</v>
      </c>
      <c r="EC923" s="1189">
        <f t="shared" si="676"/>
        <v>7353216667</v>
      </c>
      <c r="ED923" s="1189">
        <f t="shared" si="676"/>
        <v>7116916667</v>
      </c>
      <c r="EE923" s="1032">
        <f t="shared" si="676"/>
        <v>78571600004</v>
      </c>
      <c r="EF923" s="1032">
        <f t="shared" si="676"/>
        <v>88667915033.199615</v>
      </c>
      <c r="EG923" s="1032">
        <f t="shared" si="676"/>
        <v>126291473015.21118</v>
      </c>
      <c r="EH923" s="1032">
        <f t="shared" si="676"/>
        <v>185667103151.02167</v>
      </c>
      <c r="EI923" s="1032">
        <f t="shared" si="676"/>
        <v>200441817982.08698</v>
      </c>
      <c r="EJ923" s="367" t="e">
        <v>#N/A</v>
      </c>
      <c r="EL923" s="177"/>
      <c r="EM923" s="177"/>
      <c r="EN923" s="177"/>
      <c r="EO923" s="177"/>
    </row>
    <row r="924" spans="2:145">
      <c r="E924" s="438" t="s">
        <v>250</v>
      </c>
      <c r="F924" s="441"/>
      <c r="G924" s="129">
        <f>G900+G912+G918+G906</f>
        <v>0</v>
      </c>
      <c r="H924" s="129">
        <f t="shared" ref="H924:BS924" si="677">H900+H912+H918+H906</f>
        <v>0</v>
      </c>
      <c r="I924" s="129">
        <f t="shared" si="677"/>
        <v>0</v>
      </c>
      <c r="J924" s="129">
        <f t="shared" si="677"/>
        <v>0</v>
      </c>
      <c r="K924" s="129">
        <f t="shared" si="677"/>
        <v>0</v>
      </c>
      <c r="L924" s="129">
        <f t="shared" si="677"/>
        <v>0</v>
      </c>
      <c r="M924" s="129">
        <f t="shared" si="677"/>
        <v>0</v>
      </c>
      <c r="N924" s="129">
        <f t="shared" si="677"/>
        <v>0</v>
      </c>
      <c r="O924" s="129">
        <f t="shared" si="677"/>
        <v>0</v>
      </c>
      <c r="P924" s="129">
        <f t="shared" si="677"/>
        <v>0</v>
      </c>
      <c r="Q924" s="129">
        <f t="shared" si="677"/>
        <v>0</v>
      </c>
      <c r="R924" s="129">
        <f t="shared" si="677"/>
        <v>0</v>
      </c>
      <c r="S924" s="129">
        <f t="shared" si="677"/>
        <v>0</v>
      </c>
      <c r="T924" s="129">
        <f t="shared" si="677"/>
        <v>0</v>
      </c>
      <c r="U924" s="129">
        <f t="shared" si="677"/>
        <v>0</v>
      </c>
      <c r="V924" s="129">
        <f t="shared" si="677"/>
        <v>0</v>
      </c>
      <c r="W924" s="129">
        <f t="shared" si="677"/>
        <v>0</v>
      </c>
      <c r="X924" s="129">
        <f t="shared" si="677"/>
        <v>0</v>
      </c>
      <c r="Y924" s="129">
        <f t="shared" si="677"/>
        <v>0</v>
      </c>
      <c r="Z924" s="129">
        <f t="shared" si="677"/>
        <v>0</v>
      </c>
      <c r="AA924" s="129">
        <f t="shared" si="677"/>
        <v>0</v>
      </c>
      <c r="AB924" s="129">
        <f t="shared" si="677"/>
        <v>0</v>
      </c>
      <c r="AC924" s="129">
        <f t="shared" si="677"/>
        <v>0</v>
      </c>
      <c r="AD924" s="129">
        <f t="shared" si="677"/>
        <v>0</v>
      </c>
      <c r="AE924" s="129">
        <f t="shared" si="677"/>
        <v>0</v>
      </c>
      <c r="AF924" s="129">
        <f t="shared" si="677"/>
        <v>0</v>
      </c>
      <c r="AG924" s="129">
        <f t="shared" si="677"/>
        <v>0</v>
      </c>
      <c r="AH924" s="893">
        <f t="shared" si="608"/>
        <v>8000000015</v>
      </c>
      <c r="AI924" s="129">
        <f t="shared" si="677"/>
        <v>0</v>
      </c>
      <c r="AJ924" s="129">
        <f t="shared" si="677"/>
        <v>2207745300</v>
      </c>
      <c r="AK924" s="129">
        <f t="shared" si="677"/>
        <v>2656082174</v>
      </c>
      <c r="AL924" s="129">
        <f t="shared" si="677"/>
        <v>943939853</v>
      </c>
      <c r="AM924" s="129">
        <f t="shared" si="677"/>
        <v>764992090</v>
      </c>
      <c r="AN924" s="129">
        <f t="shared" si="677"/>
        <v>1937080505</v>
      </c>
      <c r="AO924" s="129">
        <f t="shared" si="677"/>
        <v>388447190</v>
      </c>
      <c r="AP924" s="129">
        <f t="shared" si="677"/>
        <v>1815974670</v>
      </c>
      <c r="AQ924" s="129">
        <f t="shared" si="677"/>
        <v>2263637835</v>
      </c>
      <c r="AR924" s="129">
        <f t="shared" si="677"/>
        <v>2338373785</v>
      </c>
      <c r="AS924" s="129">
        <f t="shared" si="677"/>
        <v>1520488880</v>
      </c>
      <c r="AT924" s="129">
        <f t="shared" si="677"/>
        <v>1469580580</v>
      </c>
      <c r="AU924" s="129">
        <f t="shared" si="677"/>
        <v>1907000000</v>
      </c>
      <c r="AV924" s="129">
        <f t="shared" si="677"/>
        <v>1800000000</v>
      </c>
      <c r="AW924" s="129">
        <f t="shared" si="677"/>
        <v>1800000000</v>
      </c>
      <c r="AX924" s="129">
        <f t="shared" si="677"/>
        <v>18306342862</v>
      </c>
      <c r="AY924" s="893" t="e">
        <f t="shared" si="609"/>
        <v>#N/A</v>
      </c>
      <c r="AZ924" s="129">
        <f t="shared" si="677"/>
        <v>0</v>
      </c>
      <c r="BA924" s="129">
        <f t="shared" si="677"/>
        <v>2207745300</v>
      </c>
      <c r="BB924" s="129">
        <f t="shared" si="677"/>
        <v>2656082174</v>
      </c>
      <c r="BC924" s="129">
        <f t="shared" si="677"/>
        <v>943939853</v>
      </c>
      <c r="BD924" s="129">
        <f t="shared" si="677"/>
        <v>764992090</v>
      </c>
      <c r="BE924" s="129">
        <f t="shared" si="677"/>
        <v>1937080505</v>
      </c>
      <c r="BF924" s="129">
        <f t="shared" si="677"/>
        <v>388447190</v>
      </c>
      <c r="BG924" s="129">
        <f t="shared" si="677"/>
        <v>1815974670</v>
      </c>
      <c r="BH924" s="129">
        <f t="shared" si="677"/>
        <v>5310000000</v>
      </c>
      <c r="BI924" s="129">
        <f t="shared" si="677"/>
        <v>6825000000</v>
      </c>
      <c r="BJ924" s="129">
        <f t="shared" si="677"/>
        <v>7100000000</v>
      </c>
      <c r="BK924" s="129">
        <f t="shared" si="677"/>
        <v>8000000000</v>
      </c>
      <c r="BL924" s="129">
        <f t="shared" si="677"/>
        <v>37949261782</v>
      </c>
      <c r="BM924" s="129">
        <f t="shared" si="677"/>
        <v>0</v>
      </c>
      <c r="BN924" s="129">
        <f t="shared" si="677"/>
        <v>1217000000</v>
      </c>
      <c r="BO924" s="129">
        <f t="shared" si="677"/>
        <v>3043500000</v>
      </c>
      <c r="BP924" s="129">
        <f t="shared" si="677"/>
        <v>4159310000</v>
      </c>
      <c r="BQ924" s="129">
        <f t="shared" si="677"/>
        <v>3696115450</v>
      </c>
      <c r="BR924" s="129">
        <f t="shared" si="677"/>
        <v>3617565000</v>
      </c>
      <c r="BS924" s="129">
        <f t="shared" si="677"/>
        <v>2039665000</v>
      </c>
      <c r="BT924" s="129">
        <f t="shared" ref="BT924:EE924" si="678">BT900+BT912+BT918+BT906</f>
        <v>1129820000</v>
      </c>
      <c r="BU924" s="129">
        <f t="shared" si="678"/>
        <v>3810185000</v>
      </c>
      <c r="BV924" s="129">
        <f t="shared" si="678"/>
        <v>3376275000</v>
      </c>
      <c r="BW924" s="129">
        <f t="shared" si="678"/>
        <v>3564215000</v>
      </c>
      <c r="BX924" s="129">
        <f t="shared" si="678"/>
        <v>3639500000</v>
      </c>
      <c r="BY924" s="129">
        <f t="shared" si="678"/>
        <v>1540000000</v>
      </c>
      <c r="BZ924" s="129">
        <f t="shared" si="678"/>
        <v>34833150450</v>
      </c>
      <c r="CB924" s="129">
        <f t="shared" si="678"/>
        <v>1217000000</v>
      </c>
      <c r="CC924" s="129">
        <f t="shared" si="678"/>
        <v>3793500000</v>
      </c>
      <c r="CD924" s="129">
        <f t="shared" si="678"/>
        <v>7953310000</v>
      </c>
      <c r="CE924" s="129">
        <f t="shared" si="678"/>
        <v>4792115450</v>
      </c>
      <c r="CF924" s="129">
        <f t="shared" si="678"/>
        <v>3617565000</v>
      </c>
      <c r="CG924" s="129">
        <f t="shared" si="678"/>
        <v>4939665000</v>
      </c>
      <c r="CH924" s="129">
        <f t="shared" si="678"/>
        <v>4427861591.666667</v>
      </c>
      <c r="CI924" s="129">
        <f t="shared" si="678"/>
        <v>6808226591.666667</v>
      </c>
      <c r="CJ924" s="129">
        <f t="shared" si="678"/>
        <v>5674316591.666667</v>
      </c>
      <c r="CK924" s="129">
        <f t="shared" si="678"/>
        <v>5208856591.666667</v>
      </c>
      <c r="CL924" s="129">
        <f t="shared" si="678"/>
        <v>6237541591.666667</v>
      </c>
      <c r="CM924" s="129">
        <f t="shared" si="678"/>
        <v>2738041591.666667</v>
      </c>
      <c r="CN924" s="129">
        <f t="shared" si="678"/>
        <v>60000000000</v>
      </c>
      <c r="CO924" s="129">
        <f t="shared" si="678"/>
        <v>0</v>
      </c>
      <c r="CP924" s="129">
        <f t="shared" si="678"/>
        <v>1141341010</v>
      </c>
      <c r="CQ924" s="129">
        <f t="shared" si="678"/>
        <v>2728191894</v>
      </c>
      <c r="CR924" s="129">
        <f t="shared" si="678"/>
        <v>2673308894</v>
      </c>
      <c r="CS924" s="129">
        <f t="shared" si="678"/>
        <v>3791213515</v>
      </c>
      <c r="CT924" s="129">
        <f t="shared" si="678"/>
        <v>4479796900</v>
      </c>
      <c r="CU924" s="129">
        <f t="shared" si="678"/>
        <v>3831120689</v>
      </c>
      <c r="CV924" s="129">
        <f t="shared" si="678"/>
        <v>3447000000</v>
      </c>
      <c r="CW924" s="129">
        <f t="shared" si="678"/>
        <v>932142175</v>
      </c>
      <c r="CX924" s="129">
        <f t="shared" si="678"/>
        <v>2427000000</v>
      </c>
      <c r="CY924" s="129">
        <f t="shared" si="678"/>
        <v>2632241215</v>
      </c>
      <c r="CZ924" s="129">
        <f t="shared" si="678"/>
        <v>3705000000</v>
      </c>
      <c r="DA924" s="129">
        <f t="shared" si="678"/>
        <v>3368694420</v>
      </c>
      <c r="DB924" s="129">
        <f t="shared" si="678"/>
        <v>7707000000</v>
      </c>
      <c r="DC924" s="129">
        <f t="shared" si="678"/>
        <v>4691515957</v>
      </c>
      <c r="DD924" s="129">
        <f t="shared" si="678"/>
        <v>3659000000</v>
      </c>
      <c r="DE924" s="129">
        <f t="shared" si="678"/>
        <v>0</v>
      </c>
      <c r="DF924" s="129">
        <f t="shared" si="678"/>
        <v>2675000000</v>
      </c>
      <c r="DG924" s="129">
        <f t="shared" si="678"/>
        <v>3475000000</v>
      </c>
      <c r="DH924" s="129">
        <f t="shared" si="678"/>
        <v>0</v>
      </c>
      <c r="DI924" s="129">
        <f t="shared" si="678"/>
        <v>2650000000</v>
      </c>
      <c r="DJ924" s="129">
        <f t="shared" si="678"/>
        <v>3650000000</v>
      </c>
      <c r="DK924" s="129">
        <f t="shared" si="678"/>
        <v>0</v>
      </c>
      <c r="DL924" s="129">
        <f t="shared" si="678"/>
        <v>5958000000</v>
      </c>
      <c r="DM924" s="129">
        <f t="shared" si="678"/>
        <v>5458000000</v>
      </c>
      <c r="DN924" s="129">
        <f t="shared" si="678"/>
        <v>0</v>
      </c>
      <c r="DO924" s="129">
        <f t="shared" si="678"/>
        <v>4325000000</v>
      </c>
      <c r="DP924" s="129">
        <f t="shared" si="678"/>
        <v>4325000000</v>
      </c>
      <c r="DQ924" s="129">
        <f t="shared" si="678"/>
        <v>38724460875</v>
      </c>
      <c r="DR924" s="129">
        <f t="shared" si="678"/>
        <v>46871758348</v>
      </c>
      <c r="DS924" s="1192">
        <f t="shared" si="678"/>
        <v>3182000000</v>
      </c>
      <c r="DT924" s="1192">
        <f t="shared" si="678"/>
        <v>4828200000</v>
      </c>
      <c r="DU924" s="1192">
        <f t="shared" si="678"/>
        <v>3749600000</v>
      </c>
      <c r="DV924" s="1192">
        <f t="shared" si="678"/>
        <v>4137000000</v>
      </c>
      <c r="DW924" s="1192">
        <f t="shared" si="678"/>
        <v>2654000000</v>
      </c>
      <c r="DX924" s="1192">
        <f t="shared" si="678"/>
        <v>4537000000</v>
      </c>
      <c r="DY924" s="1192">
        <f t="shared" si="678"/>
        <v>3803600000</v>
      </c>
      <c r="DZ924" s="1192">
        <f t="shared" si="678"/>
        <v>4167051000</v>
      </c>
      <c r="EA924" s="1192">
        <f t="shared" si="678"/>
        <v>3396000000</v>
      </c>
      <c r="EB924" s="1192">
        <f t="shared" si="678"/>
        <v>4222000000</v>
      </c>
      <c r="EC924" s="1192">
        <f t="shared" si="678"/>
        <v>3768600000</v>
      </c>
      <c r="ED924" s="1192">
        <f t="shared" si="678"/>
        <v>3180000000</v>
      </c>
      <c r="EE924" s="129">
        <f t="shared" si="678"/>
        <v>45625051000</v>
      </c>
      <c r="EF924" s="129">
        <f>EF900+EF912+EF918+EF906</f>
        <v>53896818739.260628</v>
      </c>
      <c r="EG924" s="129">
        <f>EG900+EG912+EG918+EG906</f>
        <v>76145749770.545776</v>
      </c>
      <c r="EH924" s="129">
        <f>EH900+EH912+EH918+EH906</f>
        <v>88152938771.928177</v>
      </c>
      <c r="EI924" s="129">
        <f>EI900+EI912+EI918+EI906</f>
        <v>93073844175.859283</v>
      </c>
      <c r="EJ924" s="367" t="e">
        <v>#N/A</v>
      </c>
      <c r="EK924" s="442"/>
      <c r="EL924" s="177"/>
      <c r="EM924" s="177"/>
      <c r="EN924" s="177"/>
      <c r="EO924" s="177"/>
    </row>
    <row r="925" spans="2:145" ht="15" thickBot="1">
      <c r="E925" s="422" t="s">
        <v>991</v>
      </c>
      <c r="F925" s="422"/>
      <c r="G925" s="128">
        <f t="shared" ref="G925:R925" si="679">SUM(G922:G924)</f>
        <v>6784817992</v>
      </c>
      <c r="H925" s="128">
        <f t="shared" si="679"/>
        <v>6808203084</v>
      </c>
      <c r="I925" s="128">
        <f t="shared" si="679"/>
        <v>10507505538</v>
      </c>
      <c r="J925" s="128">
        <f t="shared" si="679"/>
        <v>9370100577</v>
      </c>
      <c r="K925" s="128">
        <f t="shared" si="679"/>
        <v>8995083429</v>
      </c>
      <c r="L925" s="128">
        <f t="shared" si="679"/>
        <v>8211211848</v>
      </c>
      <c r="M925" s="128">
        <f t="shared" si="679"/>
        <v>9415359174</v>
      </c>
      <c r="N925" s="128">
        <f t="shared" si="679"/>
        <v>10047844418</v>
      </c>
      <c r="O925" s="128">
        <f t="shared" si="679"/>
        <v>10106967831</v>
      </c>
      <c r="P925" s="128">
        <f t="shared" si="679"/>
        <v>10593277926</v>
      </c>
      <c r="Q925" s="128">
        <f t="shared" si="679"/>
        <v>10481702179</v>
      </c>
      <c r="R925" s="128">
        <f t="shared" si="679"/>
        <v>10972761603</v>
      </c>
      <c r="S925" s="128">
        <f t="shared" ref="S925:CE925" si="680">SUM(S922:S924)</f>
        <v>112294835599</v>
      </c>
      <c r="T925" s="128">
        <f t="shared" si="680"/>
        <v>0</v>
      </c>
      <c r="U925" s="128">
        <f t="shared" si="680"/>
        <v>8775107234</v>
      </c>
      <c r="V925" s="128">
        <f t="shared" si="680"/>
        <v>8696291662</v>
      </c>
      <c r="W925" s="128">
        <f t="shared" si="680"/>
        <v>8128829928</v>
      </c>
      <c r="X925" s="128">
        <f t="shared" si="680"/>
        <v>8028074088</v>
      </c>
      <c r="Y925" s="128">
        <f t="shared" si="680"/>
        <v>8431044911</v>
      </c>
      <c r="Z925" s="128">
        <f t="shared" si="680"/>
        <v>7700098008</v>
      </c>
      <c r="AA925" s="128">
        <f t="shared" si="680"/>
        <v>8571699131</v>
      </c>
      <c r="AB925" s="128">
        <f t="shared" si="680"/>
        <v>7662521544</v>
      </c>
      <c r="AC925" s="128">
        <f t="shared" si="680"/>
        <v>9146690797</v>
      </c>
      <c r="AD925" s="128">
        <f t="shared" si="680"/>
        <v>8343401207</v>
      </c>
      <c r="AE925" s="128">
        <f t="shared" si="680"/>
        <v>10776883869</v>
      </c>
      <c r="AF925" s="128">
        <f t="shared" si="680"/>
        <v>11372156513</v>
      </c>
      <c r="AG925" s="128">
        <f t="shared" si="680"/>
        <v>105337798892</v>
      </c>
      <c r="AH925" s="893">
        <f t="shared" si="608"/>
        <v>3000019899</v>
      </c>
      <c r="AI925" s="128">
        <f t="shared" si="680"/>
        <v>11497033128</v>
      </c>
      <c r="AJ925" s="128">
        <f t="shared" si="680"/>
        <v>14084035463</v>
      </c>
      <c r="AK925" s="128">
        <f t="shared" si="680"/>
        <v>14198668060</v>
      </c>
      <c r="AL925" s="128">
        <f t="shared" si="680"/>
        <v>13731178844</v>
      </c>
      <c r="AM925" s="128">
        <f t="shared" si="680"/>
        <v>10701283549</v>
      </c>
      <c r="AN925" s="128">
        <f t="shared" si="680"/>
        <v>12784061826</v>
      </c>
      <c r="AO925" s="128">
        <f t="shared" si="680"/>
        <v>10385493123</v>
      </c>
      <c r="AP925" s="128">
        <f t="shared" si="680"/>
        <v>11912741357</v>
      </c>
      <c r="AQ925" s="128">
        <f t="shared" si="680"/>
        <v>13849224979</v>
      </c>
      <c r="AR925" s="128">
        <f t="shared" si="680"/>
        <v>14302274126</v>
      </c>
      <c r="AS925" s="128">
        <f t="shared" si="680"/>
        <v>13721760382</v>
      </c>
      <c r="AT925" s="128">
        <f t="shared" si="680"/>
        <v>14420566439</v>
      </c>
      <c r="AU925" s="128">
        <f t="shared" si="680"/>
        <v>13989590249</v>
      </c>
      <c r="AV925" s="128">
        <f t="shared" si="680"/>
        <v>14326940249</v>
      </c>
      <c r="AW925" s="128">
        <f t="shared" si="680"/>
        <v>14328782749</v>
      </c>
      <c r="AX925" s="128">
        <f t="shared" si="680"/>
        <v>157253521276</v>
      </c>
      <c r="AY925" s="894" t="e">
        <f>SUM(AY922:AY924)</f>
        <v>#N/A</v>
      </c>
      <c r="AZ925" s="128">
        <f t="shared" si="680"/>
        <v>11497033128</v>
      </c>
      <c r="BA925" s="128">
        <f t="shared" si="680"/>
        <v>14084035463</v>
      </c>
      <c r="BB925" s="128">
        <f t="shared" si="680"/>
        <v>14198668060</v>
      </c>
      <c r="BC925" s="128">
        <f t="shared" si="680"/>
        <v>13731178844</v>
      </c>
      <c r="BD925" s="128">
        <f t="shared" si="680"/>
        <v>10701283549</v>
      </c>
      <c r="BE925" s="128">
        <f t="shared" si="680"/>
        <v>12784061826</v>
      </c>
      <c r="BF925" s="128">
        <f t="shared" si="680"/>
        <v>10385493123</v>
      </c>
      <c r="BG925" s="128">
        <f t="shared" si="680"/>
        <v>11912741357</v>
      </c>
      <c r="BH925" s="128">
        <f t="shared" si="680"/>
        <v>18460540945</v>
      </c>
      <c r="BI925" s="128">
        <f t="shared" si="680"/>
        <v>21270280845</v>
      </c>
      <c r="BJ925" s="128">
        <f t="shared" si="680"/>
        <v>21596029845</v>
      </c>
      <c r="BK925" s="128">
        <f t="shared" si="680"/>
        <v>22362872345</v>
      </c>
      <c r="BL925" s="128">
        <f t="shared" si="680"/>
        <v>182984219330</v>
      </c>
      <c r="BM925" s="128">
        <f t="shared" si="680"/>
        <v>0</v>
      </c>
      <c r="BN925" s="128">
        <f t="shared" si="680"/>
        <v>18229721854.599998</v>
      </c>
      <c r="BO925" s="128">
        <f t="shared" si="680"/>
        <v>20906171854.599998</v>
      </c>
      <c r="BP925" s="128">
        <f t="shared" si="680"/>
        <v>22089681854.599998</v>
      </c>
      <c r="BQ925" s="128">
        <f t="shared" si="680"/>
        <v>21811294307</v>
      </c>
      <c r="BR925" s="128">
        <f t="shared" si="680"/>
        <v>19243734446.299999</v>
      </c>
      <c r="BS925" s="128">
        <f t="shared" si="680"/>
        <v>19335230854.599998</v>
      </c>
      <c r="BT925" s="128">
        <f t="shared" si="680"/>
        <v>19168472439</v>
      </c>
      <c r="BU925" s="128">
        <f t="shared" si="680"/>
        <v>21763010292</v>
      </c>
      <c r="BV925" s="128">
        <f t="shared" si="680"/>
        <v>21883077439</v>
      </c>
      <c r="BW925" s="128">
        <f t="shared" si="680"/>
        <v>21970917439</v>
      </c>
      <c r="BX925" s="128">
        <f t="shared" si="680"/>
        <v>22603452439</v>
      </c>
      <c r="BY925" s="128">
        <f t="shared" si="680"/>
        <v>19853096056</v>
      </c>
      <c r="BZ925" s="128">
        <f>SUM(BZ922:BZ924)</f>
        <v>248857861275.70001</v>
      </c>
      <c r="CB925" s="128">
        <f t="shared" si="680"/>
        <v>18236021854.599998</v>
      </c>
      <c r="CC925" s="128">
        <f t="shared" si="680"/>
        <v>21627421854.599998</v>
      </c>
      <c r="CD925" s="128">
        <f t="shared" si="680"/>
        <v>25871881854.599998</v>
      </c>
      <c r="CE925" s="128">
        <f t="shared" si="680"/>
        <v>22893594307</v>
      </c>
      <c r="CF925" s="128">
        <f t="shared" ref="CF925:CM925" si="681">SUM(CF922:CF924)</f>
        <v>19230704446.299999</v>
      </c>
      <c r="CG925" s="128">
        <f t="shared" si="681"/>
        <v>22206480854.599998</v>
      </c>
      <c r="CH925" s="128">
        <f t="shared" si="681"/>
        <v>22452814030.666668</v>
      </c>
      <c r="CI925" s="128">
        <f t="shared" si="681"/>
        <v>24749251883.666668</v>
      </c>
      <c r="CJ925" s="128">
        <f t="shared" si="681"/>
        <v>24167419030.666668</v>
      </c>
      <c r="CK925" s="128">
        <f t="shared" si="681"/>
        <v>23586809030.666668</v>
      </c>
      <c r="CL925" s="128">
        <f t="shared" si="681"/>
        <v>25189694030.666668</v>
      </c>
      <c r="CM925" s="128">
        <f t="shared" si="681"/>
        <v>21039337647.666668</v>
      </c>
      <c r="CN925" s="128">
        <v>275899380825.70001</v>
      </c>
      <c r="CO925" s="128">
        <f t="shared" ref="CO925:CT925" si="682">SUM(CO922:CO924)</f>
        <v>0</v>
      </c>
      <c r="CP925" s="667">
        <f t="shared" si="682"/>
        <v>13784233592</v>
      </c>
      <c r="CQ925" s="667">
        <f t="shared" si="682"/>
        <v>15221245164</v>
      </c>
      <c r="CR925" s="128">
        <f t="shared" si="682"/>
        <v>16007287666</v>
      </c>
      <c r="CS925" s="667">
        <f t="shared" si="682"/>
        <v>17911647113</v>
      </c>
      <c r="CT925" s="128">
        <f t="shared" si="682"/>
        <v>19497914222</v>
      </c>
      <c r="CU925" s="667">
        <f t="shared" ref="CU925:DB925" si="683">SUM(CU922:CU924)</f>
        <v>17547106817</v>
      </c>
      <c r="CV925" s="128">
        <f t="shared" si="683"/>
        <v>19749354822</v>
      </c>
      <c r="CW925" s="667">
        <f t="shared" si="683"/>
        <v>13775879357</v>
      </c>
      <c r="CX925" s="128">
        <f t="shared" si="683"/>
        <v>17838669108</v>
      </c>
      <c r="CY925" s="667">
        <f t="shared" si="683"/>
        <v>19668478829</v>
      </c>
      <c r="CZ925" s="128">
        <f t="shared" si="683"/>
        <v>24638771868</v>
      </c>
      <c r="DA925" s="667">
        <f t="shared" si="683"/>
        <v>20155005418</v>
      </c>
      <c r="DB925" s="128">
        <f t="shared" si="683"/>
        <v>29507794622</v>
      </c>
      <c r="DC925" s="667">
        <f t="shared" ref="DC925:DR925" si="684">SUM(DC922:DC924)</f>
        <v>25942890045</v>
      </c>
      <c r="DD925" s="128">
        <f t="shared" si="684"/>
        <v>27059596622</v>
      </c>
      <c r="DE925" s="128">
        <f t="shared" si="684"/>
        <v>0</v>
      </c>
      <c r="DF925" s="128">
        <f>SUM(DF922:DF924)</f>
        <v>23779606412</v>
      </c>
      <c r="DG925" s="489">
        <f t="shared" si="684"/>
        <v>25333604059</v>
      </c>
      <c r="DH925" s="128">
        <f t="shared" si="684"/>
        <v>0</v>
      </c>
      <c r="DI925" s="128">
        <f>SUM(DI922:DI924)</f>
        <v>23437716412</v>
      </c>
      <c r="DJ925" s="489">
        <f t="shared" si="684"/>
        <v>26575714059</v>
      </c>
      <c r="DK925" s="128">
        <f t="shared" si="684"/>
        <v>0</v>
      </c>
      <c r="DL925" s="128">
        <f>SUM(DL922:DL924)</f>
        <v>26783612412</v>
      </c>
      <c r="DM925" s="489">
        <f>SUM(DM922:DM924)</f>
        <v>28381610059</v>
      </c>
      <c r="DN925" s="128">
        <f t="shared" si="684"/>
        <v>0</v>
      </c>
      <c r="DO925" s="128">
        <f>SUM(DO922:DO924)</f>
        <v>25552612412</v>
      </c>
      <c r="DP925" s="489">
        <f t="shared" si="684"/>
        <v>27361610059</v>
      </c>
      <c r="DQ925" s="128">
        <f t="shared" si="684"/>
        <v>243561496783</v>
      </c>
      <c r="DR925" s="489">
        <f t="shared" si="684"/>
        <v>259216238299</v>
      </c>
      <c r="DS925" s="1190">
        <f t="shared" ref="DS925:EI925" si="685">SUM(DS922:DS924)</f>
        <v>21964843618</v>
      </c>
      <c r="DT925" s="1190">
        <f t="shared" si="685"/>
        <v>24272243618</v>
      </c>
      <c r="DU925" s="1190">
        <f t="shared" si="685"/>
        <v>24018743618</v>
      </c>
      <c r="DV925" s="1190">
        <f t="shared" si="685"/>
        <v>23546043618</v>
      </c>
      <c r="DW925" s="1190">
        <f t="shared" si="685"/>
        <v>21499793618</v>
      </c>
      <c r="DX925" s="1190">
        <f t="shared" si="685"/>
        <v>25763293618</v>
      </c>
      <c r="DY925" s="1190">
        <f t="shared" si="685"/>
        <v>25099193618</v>
      </c>
      <c r="DZ925" s="1190">
        <f t="shared" si="685"/>
        <v>25900144618</v>
      </c>
      <c r="EA925" s="1190">
        <f t="shared" si="685"/>
        <v>25203293618</v>
      </c>
      <c r="EB925" s="1190">
        <f t="shared" si="685"/>
        <v>25889493618</v>
      </c>
      <c r="EC925" s="1190">
        <f t="shared" si="685"/>
        <v>26019993618</v>
      </c>
      <c r="ED925" s="1190">
        <f t="shared" si="685"/>
        <v>25461293618</v>
      </c>
      <c r="EE925" s="1034">
        <f t="shared" si="685"/>
        <v>294638374416</v>
      </c>
      <c r="EF925" s="1034">
        <f t="shared" si="685"/>
        <v>370072921889.5553</v>
      </c>
      <c r="EG925" s="1034">
        <f t="shared" si="685"/>
        <v>488346515293.00928</v>
      </c>
      <c r="EH925" s="1034">
        <f t="shared" si="685"/>
        <v>642490122974.82874</v>
      </c>
      <c r="EI925" s="1034">
        <f t="shared" si="685"/>
        <v>675692540089.43298</v>
      </c>
      <c r="EJ925" s="367" t="e">
        <v>#N/A</v>
      </c>
    </row>
    <row r="926" spans="2:145" ht="15" thickTop="1">
      <c r="H926" s="1"/>
      <c r="T926" s="1"/>
      <c r="V926" s="1"/>
      <c r="AJ926" s="1"/>
      <c r="BA926" s="1"/>
      <c r="BM926" s="1"/>
      <c r="BO926" s="1"/>
      <c r="BZ926" s="491"/>
      <c r="CC926" s="1"/>
      <c r="CO926" s="1"/>
      <c r="DS926" s="1189"/>
      <c r="DT926" s="1189"/>
      <c r="DU926" s="1189"/>
      <c r="DV926" s="1189"/>
      <c r="DW926" s="1189"/>
      <c r="DX926" s="1189"/>
      <c r="DY926" s="1189"/>
      <c r="DZ926" s="1189"/>
      <c r="EA926" s="1189"/>
      <c r="EB926" s="1189"/>
      <c r="EC926" s="1189"/>
      <c r="ED926" s="1189"/>
      <c r="EE926" s="1035"/>
      <c r="EF926" s="1035"/>
      <c r="EG926" s="1035"/>
      <c r="EH926" s="1035"/>
      <c r="EI926" s="1035"/>
      <c r="EJ926" s="367" t="e">
        <v>#N/A</v>
      </c>
    </row>
    <row r="927" spans="2:145">
      <c r="B927" s="368" t="s">
        <v>316</v>
      </c>
      <c r="C927" s="368"/>
      <c r="D927" s="368"/>
      <c r="H927" s="1"/>
      <c r="T927" s="1"/>
      <c r="V927" s="1"/>
      <c r="AJ927" s="1"/>
      <c r="BA927" s="1"/>
      <c r="BM927" s="1"/>
      <c r="BO927" s="1"/>
      <c r="BZ927" s="491"/>
      <c r="CC927" s="1"/>
      <c r="CO927" s="1"/>
      <c r="DS927" s="1189"/>
      <c r="DT927" s="1189"/>
      <c r="DU927" s="1189"/>
      <c r="DV927" s="1189"/>
      <c r="DW927" s="1189"/>
      <c r="DX927" s="1189"/>
      <c r="DY927" s="1189"/>
      <c r="DZ927" s="1189"/>
      <c r="EA927" s="1189"/>
      <c r="EB927" s="1189"/>
      <c r="EC927" s="1189"/>
      <c r="ED927" s="1189"/>
      <c r="EE927" s="1035"/>
      <c r="EF927" s="1035"/>
      <c r="EG927" s="1035"/>
      <c r="EH927" s="1035"/>
      <c r="EI927" s="1035"/>
      <c r="EJ927" s="367" t="e">
        <v>#N/A</v>
      </c>
    </row>
    <row r="928" spans="2:145">
      <c r="E928" s="438" t="s">
        <v>357</v>
      </c>
      <c r="F928" s="441"/>
      <c r="G928" s="201">
        <f t="shared" ref="G928:R928" si="686">G901</f>
        <v>6088180298</v>
      </c>
      <c r="H928" s="201">
        <f t="shared" si="686"/>
        <v>6137463337</v>
      </c>
      <c r="I928" s="201">
        <f t="shared" si="686"/>
        <v>9721463529</v>
      </c>
      <c r="J928" s="201">
        <f t="shared" si="686"/>
        <v>8211434087</v>
      </c>
      <c r="K928" s="201">
        <f t="shared" si="686"/>
        <v>7757343192</v>
      </c>
      <c r="L928" s="201">
        <f t="shared" si="686"/>
        <v>7193869052</v>
      </c>
      <c r="M928" s="201">
        <f t="shared" si="686"/>
        <v>8511918284</v>
      </c>
      <c r="N928" s="201">
        <f t="shared" si="686"/>
        <v>8682587546</v>
      </c>
      <c r="O928" s="201">
        <f t="shared" si="686"/>
        <v>8730967945</v>
      </c>
      <c r="P928" s="201">
        <f t="shared" si="686"/>
        <v>9048860285</v>
      </c>
      <c r="Q928" s="201">
        <f t="shared" si="686"/>
        <v>8835432992</v>
      </c>
      <c r="R928" s="201">
        <f t="shared" si="686"/>
        <v>9537047360</v>
      </c>
      <c r="S928" s="201">
        <f t="shared" ref="S928:BR928" si="687">S901</f>
        <v>98456567907</v>
      </c>
      <c r="T928" s="201">
        <f t="shared" si="687"/>
        <v>0</v>
      </c>
      <c r="U928" s="201">
        <f t="shared" si="687"/>
        <v>7412475471</v>
      </c>
      <c r="V928" s="201">
        <f t="shared" si="687"/>
        <v>7008409925</v>
      </c>
      <c r="W928" s="201">
        <f t="shared" si="687"/>
        <v>6299090983</v>
      </c>
      <c r="X928" s="201">
        <f t="shared" si="687"/>
        <v>6470261386</v>
      </c>
      <c r="Y928" s="201">
        <f t="shared" si="687"/>
        <v>6490369267</v>
      </c>
      <c r="Z928" s="201">
        <f t="shared" si="687"/>
        <v>6213213742</v>
      </c>
      <c r="AA928" s="201">
        <f t="shared" si="687"/>
        <v>6656804937</v>
      </c>
      <c r="AB928" s="201">
        <f t="shared" si="687"/>
        <v>6536484924</v>
      </c>
      <c r="AC928" s="201">
        <f t="shared" si="687"/>
        <v>6704712040</v>
      </c>
      <c r="AD928" s="201">
        <f t="shared" si="687"/>
        <v>6811964819</v>
      </c>
      <c r="AE928" s="201">
        <f t="shared" si="687"/>
        <v>7119569899</v>
      </c>
      <c r="AF928" s="201">
        <f t="shared" si="687"/>
        <v>7167458144</v>
      </c>
      <c r="AG928" s="201">
        <f t="shared" si="687"/>
        <v>80890815537</v>
      </c>
      <c r="AH928" s="893">
        <f t="shared" si="687"/>
        <v>0</v>
      </c>
      <c r="AI928" s="201">
        <f t="shared" si="687"/>
        <v>7196891633</v>
      </c>
      <c r="AJ928" s="201">
        <f t="shared" si="687"/>
        <v>7498330131</v>
      </c>
      <c r="AK928" s="201">
        <f t="shared" si="687"/>
        <v>7071025628</v>
      </c>
      <c r="AL928" s="201">
        <f t="shared" si="687"/>
        <v>8280870454</v>
      </c>
      <c r="AM928" s="201">
        <f t="shared" si="687"/>
        <v>5873951750</v>
      </c>
      <c r="AN928" s="201">
        <f t="shared" si="687"/>
        <v>6524845314</v>
      </c>
      <c r="AO928" s="201">
        <f t="shared" si="687"/>
        <v>5519002389</v>
      </c>
      <c r="AP928" s="201">
        <f t="shared" si="687"/>
        <v>5955122086</v>
      </c>
      <c r="AQ928" s="201">
        <f t="shared" si="687"/>
        <v>6864963999</v>
      </c>
      <c r="AR928" s="201">
        <f t="shared" si="687"/>
        <v>7354641076</v>
      </c>
      <c r="AS928" s="201">
        <f t="shared" si="687"/>
        <v>7217257690</v>
      </c>
      <c r="AT928" s="201">
        <f t="shared" si="687"/>
        <v>7516507859</v>
      </c>
      <c r="AU928" s="201">
        <f t="shared" si="687"/>
        <v>7072578961</v>
      </c>
      <c r="AV928" s="201">
        <f t="shared" si="687"/>
        <v>7449128961</v>
      </c>
      <c r="AW928" s="201">
        <f t="shared" si="687"/>
        <v>7514128961</v>
      </c>
      <c r="AX928" s="201">
        <f t="shared" si="687"/>
        <v>82873410009</v>
      </c>
      <c r="AY928" s="893">
        <f>AY901</f>
        <v>0</v>
      </c>
      <c r="AZ928" s="201">
        <f t="shared" si="687"/>
        <v>7196891633</v>
      </c>
      <c r="BA928" s="201">
        <f t="shared" si="687"/>
        <v>7498330131</v>
      </c>
      <c r="BB928" s="201">
        <f t="shared" si="687"/>
        <v>7071025628</v>
      </c>
      <c r="BC928" s="201">
        <f t="shared" si="687"/>
        <v>8280870454</v>
      </c>
      <c r="BD928" s="201">
        <f t="shared" si="687"/>
        <v>5873951750</v>
      </c>
      <c r="BE928" s="201">
        <f t="shared" si="687"/>
        <v>6524845314</v>
      </c>
      <c r="BF928" s="201">
        <f t="shared" si="687"/>
        <v>5519002389</v>
      </c>
      <c r="BG928" s="201">
        <f t="shared" si="687"/>
        <v>5955122086</v>
      </c>
      <c r="BH928" s="201">
        <f t="shared" si="687"/>
        <v>7978344041</v>
      </c>
      <c r="BI928" s="201">
        <f t="shared" si="687"/>
        <v>8980692041</v>
      </c>
      <c r="BJ928" s="201">
        <f t="shared" si="687"/>
        <v>9244941041</v>
      </c>
      <c r="BK928" s="201">
        <f t="shared" si="687"/>
        <v>9309941041</v>
      </c>
      <c r="BL928" s="201">
        <f t="shared" si="687"/>
        <v>89433957549</v>
      </c>
      <c r="BM928" s="201">
        <f t="shared" si="687"/>
        <v>0</v>
      </c>
      <c r="BN928" s="201">
        <f>BN901</f>
        <v>9464832499</v>
      </c>
      <c r="BO928" s="201">
        <f t="shared" si="687"/>
        <v>9461332499</v>
      </c>
      <c r="BP928" s="201">
        <f t="shared" si="687"/>
        <v>9864332499</v>
      </c>
      <c r="BQ928" s="201">
        <f t="shared" si="687"/>
        <v>10183739499</v>
      </c>
      <c r="BR928" s="201">
        <f t="shared" si="687"/>
        <v>8752139292</v>
      </c>
      <c r="BS928" s="201">
        <f t="shared" ref="BS928:CM928" si="688">BS901</f>
        <v>9520739499</v>
      </c>
      <c r="BT928" s="201">
        <f t="shared" si="688"/>
        <v>10057239499</v>
      </c>
      <c r="BU928" s="201">
        <f t="shared" si="688"/>
        <v>10263739499</v>
      </c>
      <c r="BV928" s="201">
        <f t="shared" si="688"/>
        <v>10446739499</v>
      </c>
      <c r="BW928" s="201">
        <f t="shared" si="688"/>
        <v>10557239499</v>
      </c>
      <c r="BX928" s="201">
        <f t="shared" si="688"/>
        <v>10393739499</v>
      </c>
      <c r="BY928" s="201">
        <f t="shared" si="688"/>
        <v>10400739499</v>
      </c>
      <c r="BZ928" s="502">
        <f>BZ901</f>
        <v>119366552781</v>
      </c>
      <c r="CB928" s="201">
        <f>CB901</f>
        <v>9464832499</v>
      </c>
      <c r="CC928" s="201">
        <f t="shared" si="688"/>
        <v>9461332499</v>
      </c>
      <c r="CD928" s="201">
        <f t="shared" si="688"/>
        <v>12260332499</v>
      </c>
      <c r="CE928" s="201">
        <f t="shared" si="688"/>
        <v>11279739499</v>
      </c>
      <c r="CF928" s="201">
        <f t="shared" si="688"/>
        <v>8752139292</v>
      </c>
      <c r="CG928" s="201">
        <f t="shared" si="688"/>
        <v>12070739499</v>
      </c>
      <c r="CH928" s="201">
        <f t="shared" si="688"/>
        <v>12405281090.666668</v>
      </c>
      <c r="CI928" s="201">
        <f t="shared" si="688"/>
        <v>12761781090.666668</v>
      </c>
      <c r="CJ928" s="201">
        <f t="shared" si="688"/>
        <v>11644781090.666668</v>
      </c>
      <c r="CK928" s="201">
        <f t="shared" si="688"/>
        <v>11755281090.666668</v>
      </c>
      <c r="CL928" s="201">
        <f t="shared" si="688"/>
        <v>12991781090.666668</v>
      </c>
      <c r="CM928" s="201">
        <f t="shared" si="688"/>
        <v>11598781090.666668</v>
      </c>
      <c r="CN928" s="201">
        <v>136446802331</v>
      </c>
      <c r="CO928" s="201">
        <f t="shared" ref="CO928:CT928" si="689">CO901</f>
        <v>0</v>
      </c>
      <c r="CP928" s="666">
        <f t="shared" si="689"/>
        <v>7328654188</v>
      </c>
      <c r="CQ928" s="666">
        <f t="shared" si="689"/>
        <v>7216058031</v>
      </c>
      <c r="CR928" s="201">
        <f t="shared" si="689"/>
        <v>8261934981</v>
      </c>
      <c r="CS928" s="666">
        <f t="shared" si="689"/>
        <v>9070939430</v>
      </c>
      <c r="CT928" s="201">
        <f t="shared" si="689"/>
        <v>10714314222</v>
      </c>
      <c r="CU928" s="666">
        <f t="shared" ref="CU928:DB928" si="690">CU901</f>
        <v>9598682606</v>
      </c>
      <c r="CV928" s="201">
        <f t="shared" si="690"/>
        <v>9500704822</v>
      </c>
      <c r="CW928" s="666">
        <f t="shared" si="690"/>
        <v>6669397049</v>
      </c>
      <c r="CX928" s="201">
        <f t="shared" si="690"/>
        <v>8895041122</v>
      </c>
      <c r="CY928" s="666">
        <f t="shared" si="690"/>
        <v>9158431501</v>
      </c>
      <c r="CZ928" s="201">
        <f t="shared" si="690"/>
        <v>10144548622</v>
      </c>
      <c r="DA928" s="666">
        <f t="shared" si="690"/>
        <v>8938497223</v>
      </c>
      <c r="DB928" s="201">
        <f t="shared" si="690"/>
        <v>12883548622</v>
      </c>
      <c r="DC928" s="666">
        <f t="shared" ref="DC928:DR928" si="691">DC901</f>
        <v>9410792234</v>
      </c>
      <c r="DD928" s="201">
        <f t="shared" si="691"/>
        <v>13013548622</v>
      </c>
      <c r="DE928" s="201">
        <f t="shared" si="691"/>
        <v>0</v>
      </c>
      <c r="DF928" s="201">
        <f>DF901</f>
        <v>14743548622</v>
      </c>
      <c r="DG928" s="777">
        <f t="shared" si="691"/>
        <v>13357660059</v>
      </c>
      <c r="DH928" s="201">
        <f t="shared" si="691"/>
        <v>0</v>
      </c>
      <c r="DI928" s="201">
        <f>DI901</f>
        <v>13943548622</v>
      </c>
      <c r="DJ928" s="777">
        <f t="shared" si="691"/>
        <v>14087660059</v>
      </c>
      <c r="DK928" s="201">
        <f t="shared" si="691"/>
        <v>0</v>
      </c>
      <c r="DL928" s="201">
        <f>DL901</f>
        <v>14093548622</v>
      </c>
      <c r="DM928" s="777">
        <f>DM901</f>
        <v>14282660059</v>
      </c>
      <c r="DN928" s="201">
        <f t="shared" si="691"/>
        <v>0</v>
      </c>
      <c r="DO928" s="201">
        <f>DO901</f>
        <v>13558548622</v>
      </c>
      <c r="DP928" s="777">
        <f t="shared" si="691"/>
        <v>14072660059</v>
      </c>
      <c r="DQ928" s="502">
        <f t="shared" si="691"/>
        <v>123730646750</v>
      </c>
      <c r="DR928" s="512">
        <f t="shared" si="691"/>
        <v>128257319465</v>
      </c>
      <c r="DS928" s="1189">
        <f t="shared" ref="DS928:EI928" si="692">DS901</f>
        <v>10063776951</v>
      </c>
      <c r="DT928" s="1189">
        <f t="shared" si="692"/>
        <v>10653776951</v>
      </c>
      <c r="DU928" s="1189">
        <f t="shared" si="692"/>
        <v>11009476951</v>
      </c>
      <c r="DV928" s="1189">
        <f t="shared" si="692"/>
        <v>10648476951</v>
      </c>
      <c r="DW928" s="1189">
        <f t="shared" si="692"/>
        <v>10467476951</v>
      </c>
      <c r="DX928" s="1189">
        <f t="shared" si="692"/>
        <v>12524476951</v>
      </c>
      <c r="DY928" s="1189">
        <f t="shared" si="692"/>
        <v>12779476951</v>
      </c>
      <c r="DZ928" s="1189">
        <f t="shared" si="692"/>
        <v>13444476951</v>
      </c>
      <c r="EA928" s="1189">
        <f t="shared" si="692"/>
        <v>12794476951</v>
      </c>
      <c r="EB928" s="1189">
        <f t="shared" si="692"/>
        <v>12884476951</v>
      </c>
      <c r="EC928" s="1189">
        <f t="shared" si="692"/>
        <v>13064476951</v>
      </c>
      <c r="ED928" s="1189">
        <f t="shared" si="692"/>
        <v>12774476951</v>
      </c>
      <c r="EE928" s="1032">
        <f t="shared" si="692"/>
        <v>143109323412</v>
      </c>
      <c r="EF928" s="1032">
        <f t="shared" si="692"/>
        <v>158593570567.97394</v>
      </c>
      <c r="EG928" s="1032">
        <f t="shared" si="692"/>
        <v>188737616471.19284</v>
      </c>
      <c r="EH928" s="1032">
        <f t="shared" si="692"/>
        <v>243842163258.75989</v>
      </c>
      <c r="EI928" s="1032">
        <f t="shared" si="692"/>
        <v>259387223527.59003</v>
      </c>
      <c r="EJ928" s="367" t="e">
        <v>#N/A</v>
      </c>
    </row>
    <row r="929" spans="5:140">
      <c r="E929" s="438" t="s">
        <v>562</v>
      </c>
      <c r="F929" s="441"/>
      <c r="G929" s="201">
        <f>G907</f>
        <v>0</v>
      </c>
      <c r="H929" s="201">
        <f t="shared" ref="H929:R929" si="693">H907</f>
        <v>0</v>
      </c>
      <c r="I929" s="201">
        <f t="shared" si="693"/>
        <v>0</v>
      </c>
      <c r="J929" s="201">
        <f t="shared" si="693"/>
        <v>0</v>
      </c>
      <c r="K929" s="201">
        <f t="shared" si="693"/>
        <v>0</v>
      </c>
      <c r="L929" s="201">
        <f t="shared" si="693"/>
        <v>0</v>
      </c>
      <c r="M929" s="201">
        <f t="shared" si="693"/>
        <v>140331500</v>
      </c>
      <c r="N929" s="201">
        <f t="shared" si="693"/>
        <v>146585200</v>
      </c>
      <c r="O929" s="201">
        <f t="shared" si="693"/>
        <v>161066500</v>
      </c>
      <c r="P929" s="201">
        <f t="shared" si="693"/>
        <v>143157675</v>
      </c>
      <c r="Q929" s="201">
        <f t="shared" si="693"/>
        <v>140548500</v>
      </c>
      <c r="R929" s="201">
        <f t="shared" si="693"/>
        <v>140259300</v>
      </c>
      <c r="S929" s="201">
        <f t="shared" ref="S929:BR929" si="694">S907</f>
        <v>871948675</v>
      </c>
      <c r="T929" s="201">
        <f t="shared" si="694"/>
        <v>0</v>
      </c>
      <c r="U929" s="201">
        <f t="shared" si="694"/>
        <v>140942500</v>
      </c>
      <c r="V929" s="201">
        <f t="shared" si="694"/>
        <v>401589633</v>
      </c>
      <c r="W929" s="201">
        <f t="shared" si="694"/>
        <v>263986570</v>
      </c>
      <c r="X929" s="201">
        <f t="shared" si="694"/>
        <v>186306181</v>
      </c>
      <c r="Y929" s="201">
        <f t="shared" si="694"/>
        <v>-875917</v>
      </c>
      <c r="Z929" s="201">
        <f t="shared" si="694"/>
        <v>166221744</v>
      </c>
      <c r="AA929" s="201">
        <f t="shared" si="694"/>
        <v>174989744</v>
      </c>
      <c r="AB929" s="201">
        <f t="shared" si="694"/>
        <v>177597567</v>
      </c>
      <c r="AC929" s="201">
        <f t="shared" si="694"/>
        <v>861883744</v>
      </c>
      <c r="AD929" s="201">
        <f t="shared" si="694"/>
        <v>46401556</v>
      </c>
      <c r="AE929" s="201">
        <f t="shared" si="694"/>
        <v>1442963687</v>
      </c>
      <c r="AF929" s="201">
        <f t="shared" si="694"/>
        <v>1364102925</v>
      </c>
      <c r="AG929" s="201">
        <f t="shared" si="694"/>
        <v>5226109934</v>
      </c>
      <c r="AH929" s="893">
        <f t="shared" si="694"/>
        <v>0</v>
      </c>
      <c r="AI929" s="201">
        <f t="shared" si="694"/>
        <v>1332051023</v>
      </c>
      <c r="AJ929" s="201">
        <f t="shared" si="694"/>
        <v>1364987835</v>
      </c>
      <c r="AK929" s="201">
        <f t="shared" si="694"/>
        <v>1540908627</v>
      </c>
      <c r="AL929" s="201">
        <f t="shared" si="694"/>
        <v>1061071379</v>
      </c>
      <c r="AM929" s="201">
        <f t="shared" si="694"/>
        <v>757576841</v>
      </c>
      <c r="AN929" s="201">
        <f t="shared" si="694"/>
        <v>1284193698</v>
      </c>
      <c r="AO929" s="201">
        <f t="shared" si="694"/>
        <v>1425128728</v>
      </c>
      <c r="AP929" s="201">
        <f t="shared" si="694"/>
        <v>1711684354</v>
      </c>
      <c r="AQ929" s="201">
        <f t="shared" si="694"/>
        <v>1571118243</v>
      </c>
      <c r="AR929" s="201">
        <f t="shared" si="694"/>
        <v>1382692027</v>
      </c>
      <c r="AS929" s="201">
        <f t="shared" si="694"/>
        <v>1582390148</v>
      </c>
      <c r="AT929" s="201">
        <f t="shared" si="694"/>
        <v>1885781478</v>
      </c>
      <c r="AU929" s="201">
        <f t="shared" si="694"/>
        <v>1633685318</v>
      </c>
      <c r="AV929" s="201">
        <f t="shared" si="694"/>
        <v>1651685318</v>
      </c>
      <c r="AW929" s="201">
        <f t="shared" si="694"/>
        <v>1512685318</v>
      </c>
      <c r="AX929" s="201">
        <f t="shared" si="694"/>
        <v>16899584381</v>
      </c>
      <c r="AY929" s="893">
        <f>AY907</f>
        <v>0</v>
      </c>
      <c r="AZ929" s="201">
        <f t="shared" si="694"/>
        <v>1332051023</v>
      </c>
      <c r="BA929" s="201">
        <f t="shared" si="694"/>
        <v>1364987835</v>
      </c>
      <c r="BB929" s="201">
        <f t="shared" si="694"/>
        <v>1540908627</v>
      </c>
      <c r="BC929" s="201">
        <f t="shared" si="694"/>
        <v>1061071379</v>
      </c>
      <c r="BD929" s="201">
        <f t="shared" si="694"/>
        <v>757576841</v>
      </c>
      <c r="BE929" s="201">
        <f t="shared" si="694"/>
        <v>1284193698</v>
      </c>
      <c r="BF929" s="201">
        <f t="shared" si="694"/>
        <v>1425128728</v>
      </c>
      <c r="BG929" s="201">
        <f t="shared" si="694"/>
        <v>1711684354</v>
      </c>
      <c r="BH929" s="201">
        <f t="shared" si="694"/>
        <v>1442319474</v>
      </c>
      <c r="BI929" s="201">
        <f t="shared" si="694"/>
        <v>1454319474</v>
      </c>
      <c r="BJ929" s="201">
        <f t="shared" si="694"/>
        <v>1472319474</v>
      </c>
      <c r="BK929" s="201">
        <f t="shared" si="694"/>
        <v>1333319474</v>
      </c>
      <c r="BL929" s="201">
        <f t="shared" si="694"/>
        <v>16179880381</v>
      </c>
      <c r="BM929" s="201">
        <f t="shared" si="694"/>
        <v>0</v>
      </c>
      <c r="BN929" s="201">
        <f t="shared" si="694"/>
        <v>1560365844</v>
      </c>
      <c r="BO929" s="201">
        <f t="shared" si="694"/>
        <v>1572365844</v>
      </c>
      <c r="BP929" s="201">
        <f t="shared" si="694"/>
        <v>1719965844</v>
      </c>
      <c r="BQ929" s="201">
        <f t="shared" si="694"/>
        <v>1768965844</v>
      </c>
      <c r="BR929" s="201">
        <f t="shared" si="694"/>
        <v>1634697967.4000001</v>
      </c>
      <c r="BS929" s="201">
        <f t="shared" ref="BS929:CM929" si="695">BS907</f>
        <v>1731152844</v>
      </c>
      <c r="BT929" s="201">
        <f t="shared" si="695"/>
        <v>1836789428.4000001</v>
      </c>
      <c r="BU929" s="201">
        <f t="shared" si="695"/>
        <v>1815789428.4000001</v>
      </c>
      <c r="BV929" s="201">
        <f t="shared" si="695"/>
        <v>1806789428.4000001</v>
      </c>
      <c r="BW929" s="201">
        <f t="shared" si="695"/>
        <v>1875789428.4000001</v>
      </c>
      <c r="BX929" s="201">
        <f t="shared" si="695"/>
        <v>1836789428.4000001</v>
      </c>
      <c r="BY929" s="201">
        <f t="shared" si="695"/>
        <v>1775789428.4000001</v>
      </c>
      <c r="BZ929" s="502">
        <f>BZ907</f>
        <v>20935250757.799999</v>
      </c>
      <c r="CB929" s="201">
        <f>CB907</f>
        <v>1560365844</v>
      </c>
      <c r="CC929" s="201">
        <f t="shared" si="695"/>
        <v>1572365844</v>
      </c>
      <c r="CD929" s="201">
        <f t="shared" si="695"/>
        <v>1719965844</v>
      </c>
      <c r="CE929" s="201">
        <f t="shared" si="695"/>
        <v>1768965844</v>
      </c>
      <c r="CF929" s="201">
        <f t="shared" si="695"/>
        <v>1634697967.4000001</v>
      </c>
      <c r="CG929" s="201">
        <f t="shared" si="695"/>
        <v>1731152844</v>
      </c>
      <c r="CH929" s="201">
        <f t="shared" si="695"/>
        <v>1836789428.4000001</v>
      </c>
      <c r="CI929" s="201">
        <f t="shared" si="695"/>
        <v>1815789428.4000001</v>
      </c>
      <c r="CJ929" s="201">
        <f t="shared" si="695"/>
        <v>1806789428.4000001</v>
      </c>
      <c r="CK929" s="201">
        <f t="shared" si="695"/>
        <v>1875789428.4000001</v>
      </c>
      <c r="CL929" s="201">
        <f t="shared" si="695"/>
        <v>1836789428.4000001</v>
      </c>
      <c r="CM929" s="201">
        <f t="shared" si="695"/>
        <v>1775789428.4000001</v>
      </c>
      <c r="CN929" s="201">
        <v>20935250757.800003</v>
      </c>
      <c r="CO929" s="201">
        <f t="shared" ref="CO929:CT929" si="696">CO907</f>
        <v>0</v>
      </c>
      <c r="CP929" s="666">
        <f t="shared" si="696"/>
        <v>1678791829</v>
      </c>
      <c r="CQ929" s="666">
        <f t="shared" si="696"/>
        <v>1711710499</v>
      </c>
      <c r="CR929" s="201">
        <f t="shared" si="696"/>
        <v>1622575051</v>
      </c>
      <c r="CS929" s="666">
        <f t="shared" si="696"/>
        <v>1386953883</v>
      </c>
      <c r="CT929" s="201">
        <f t="shared" si="696"/>
        <v>1746000000</v>
      </c>
      <c r="CU929" s="666">
        <f t="shared" ref="CU929:DB929" si="697">CU907</f>
        <v>1331693551</v>
      </c>
      <c r="CV929" s="201">
        <f t="shared" si="697"/>
        <v>1745000000</v>
      </c>
      <c r="CW929" s="666">
        <f t="shared" si="697"/>
        <v>1111635373</v>
      </c>
      <c r="CX929" s="201">
        <f t="shared" si="697"/>
        <v>1403477986</v>
      </c>
      <c r="CY929" s="666">
        <f t="shared" si="697"/>
        <v>1715146472</v>
      </c>
      <c r="CZ929" s="201">
        <f t="shared" si="697"/>
        <v>1786797246</v>
      </c>
      <c r="DA929" s="666">
        <f t="shared" si="697"/>
        <v>1279725129</v>
      </c>
      <c r="DB929" s="201">
        <f t="shared" si="697"/>
        <v>2238000000</v>
      </c>
      <c r="DC929" s="666">
        <f t="shared" ref="DC929:DR929" si="698">DC907</f>
        <v>1558546285</v>
      </c>
      <c r="DD929" s="201">
        <f t="shared" si="698"/>
        <v>2478000000</v>
      </c>
      <c r="DE929" s="201">
        <f t="shared" si="698"/>
        <v>0</v>
      </c>
      <c r="DF929" s="201">
        <f>DF907</f>
        <v>271613790</v>
      </c>
      <c r="DG929" s="777">
        <f t="shared" si="698"/>
        <v>2393000000</v>
      </c>
      <c r="DH929" s="201">
        <f t="shared" si="698"/>
        <v>0</v>
      </c>
      <c r="DI929" s="201">
        <f>DI907</f>
        <v>311613790</v>
      </c>
      <c r="DJ929" s="777">
        <f t="shared" si="698"/>
        <v>2443000000</v>
      </c>
      <c r="DK929" s="201">
        <f t="shared" si="698"/>
        <v>0</v>
      </c>
      <c r="DL929" s="201">
        <f>DL907</f>
        <v>211613790</v>
      </c>
      <c r="DM929" s="777">
        <f>DM907</f>
        <v>2433000000</v>
      </c>
      <c r="DN929" s="201">
        <f t="shared" si="698"/>
        <v>0</v>
      </c>
      <c r="DO929" s="201">
        <f>DO907</f>
        <v>241613790</v>
      </c>
      <c r="DP929" s="777">
        <f t="shared" si="698"/>
        <v>2413000000</v>
      </c>
      <c r="DQ929" s="502">
        <f t="shared" si="698"/>
        <v>12810658181</v>
      </c>
      <c r="DR929" s="512">
        <f t="shared" si="698"/>
        <v>21820508218</v>
      </c>
      <c r="DS929" s="1189">
        <f t="shared" ref="DS929:EI929" si="699">DS907</f>
        <v>2019500000</v>
      </c>
      <c r="DT929" s="1189">
        <f t="shared" si="699"/>
        <v>2029500000</v>
      </c>
      <c r="DU929" s="1189">
        <f t="shared" si="699"/>
        <v>1969500000</v>
      </c>
      <c r="DV929" s="1189">
        <f t="shared" si="699"/>
        <v>1647500000</v>
      </c>
      <c r="DW929" s="1189">
        <f t="shared" si="699"/>
        <v>1697500000</v>
      </c>
      <c r="DX929" s="1189">
        <f t="shared" si="699"/>
        <v>2009500000</v>
      </c>
      <c r="DY929" s="1189">
        <f t="shared" si="699"/>
        <v>1709500000</v>
      </c>
      <c r="DZ929" s="1189">
        <f t="shared" si="699"/>
        <v>1759500000</v>
      </c>
      <c r="EA929" s="1189">
        <f t="shared" si="699"/>
        <v>2059500000</v>
      </c>
      <c r="EB929" s="1189">
        <f t="shared" si="699"/>
        <v>1759500000</v>
      </c>
      <c r="EC929" s="1189">
        <f t="shared" si="699"/>
        <v>1759500000</v>
      </c>
      <c r="ED929" s="1189">
        <f t="shared" si="699"/>
        <v>2059500000</v>
      </c>
      <c r="EE929" s="1032">
        <f t="shared" si="699"/>
        <v>22480000000</v>
      </c>
      <c r="EF929" s="1032">
        <f t="shared" si="699"/>
        <v>23762069485.690201</v>
      </c>
      <c r="EG929" s="1032">
        <f t="shared" si="699"/>
        <v>37139522295.868683</v>
      </c>
      <c r="EH929" s="1032">
        <f t="shared" si="699"/>
        <v>50056682444.436134</v>
      </c>
      <c r="EI929" s="1032">
        <f t="shared" si="699"/>
        <v>50705741390.261414</v>
      </c>
      <c r="EJ929" s="367" t="e">
        <v>#N/A</v>
      </c>
    </row>
    <row r="930" spans="5:140">
      <c r="E930" s="438" t="s">
        <v>594</v>
      </c>
      <c r="F930" s="441"/>
      <c r="G930" s="201">
        <f t="shared" ref="G930:R930" si="700">G913</f>
        <v>696637694</v>
      </c>
      <c r="H930" s="201">
        <f t="shared" si="700"/>
        <v>670739747</v>
      </c>
      <c r="I930" s="201">
        <f t="shared" si="700"/>
        <v>786042009</v>
      </c>
      <c r="J930" s="201">
        <f t="shared" si="700"/>
        <v>1158666490</v>
      </c>
      <c r="K930" s="201">
        <f t="shared" si="700"/>
        <v>1237740237</v>
      </c>
      <c r="L930" s="201">
        <f t="shared" si="700"/>
        <v>1017342796</v>
      </c>
      <c r="M930" s="201">
        <f t="shared" si="700"/>
        <v>763109390</v>
      </c>
      <c r="N930" s="201">
        <f t="shared" si="700"/>
        <v>1218671672</v>
      </c>
      <c r="O930" s="201">
        <f t="shared" si="700"/>
        <v>1214933386</v>
      </c>
      <c r="P930" s="201">
        <f t="shared" si="700"/>
        <v>1397460166</v>
      </c>
      <c r="Q930" s="201">
        <f t="shared" si="700"/>
        <v>1505870687</v>
      </c>
      <c r="R930" s="201">
        <f t="shared" si="700"/>
        <v>1275960143</v>
      </c>
      <c r="S930" s="201">
        <f t="shared" ref="S930:BR930" si="701">S913</f>
        <v>12943174417</v>
      </c>
      <c r="T930" s="201">
        <f t="shared" si="701"/>
        <v>0</v>
      </c>
      <c r="U930" s="201">
        <f t="shared" si="701"/>
        <v>1221689263</v>
      </c>
      <c r="V930" s="201">
        <f t="shared" si="701"/>
        <v>1185209104</v>
      </c>
      <c r="W930" s="201">
        <f t="shared" si="701"/>
        <v>1363106215</v>
      </c>
      <c r="X930" s="201">
        <f t="shared" si="701"/>
        <v>1290949581</v>
      </c>
      <c r="Y930" s="201">
        <f t="shared" si="701"/>
        <v>1463574686</v>
      </c>
      <c r="Z930" s="201">
        <f t="shared" si="701"/>
        <v>1231473612</v>
      </c>
      <c r="AA930" s="201">
        <f t="shared" si="701"/>
        <v>1369363625</v>
      </c>
      <c r="AB930" s="201">
        <f t="shared" si="701"/>
        <v>885581143</v>
      </c>
      <c r="AC930" s="201">
        <f t="shared" si="701"/>
        <v>1419300258</v>
      </c>
      <c r="AD930" s="201">
        <f t="shared" si="701"/>
        <v>1272010002</v>
      </c>
      <c r="AE930" s="201">
        <f t="shared" si="701"/>
        <v>2008324283</v>
      </c>
      <c r="AF930" s="201">
        <f t="shared" si="701"/>
        <v>2427112329</v>
      </c>
      <c r="AG930" s="201">
        <f t="shared" si="701"/>
        <v>16842694101</v>
      </c>
      <c r="AH930" s="893">
        <f t="shared" si="701"/>
        <v>0</v>
      </c>
      <c r="AI930" s="201">
        <f t="shared" si="701"/>
        <v>2610426555</v>
      </c>
      <c r="AJ930" s="201">
        <f t="shared" si="701"/>
        <v>2885135482</v>
      </c>
      <c r="AK930" s="201">
        <f t="shared" si="701"/>
        <v>2719226270</v>
      </c>
      <c r="AL930" s="201">
        <f t="shared" si="701"/>
        <v>3258562301</v>
      </c>
      <c r="AM930" s="201">
        <f t="shared" si="701"/>
        <v>2704786928</v>
      </c>
      <c r="AN930" s="201">
        <f t="shared" si="701"/>
        <v>2232944979</v>
      </c>
      <c r="AO930" s="201">
        <f t="shared" si="701"/>
        <v>2591786092</v>
      </c>
      <c r="AP930" s="201">
        <f t="shared" si="701"/>
        <v>2080276025</v>
      </c>
      <c r="AQ930" s="201">
        <f t="shared" si="701"/>
        <v>2575908867</v>
      </c>
      <c r="AR930" s="201">
        <f t="shared" si="701"/>
        <v>2584808520</v>
      </c>
      <c r="AS930" s="201">
        <f t="shared" si="701"/>
        <v>2868815292</v>
      </c>
      <c r="AT930" s="201">
        <f t="shared" si="701"/>
        <v>3073588285</v>
      </c>
      <c r="AU930" s="201">
        <f t="shared" si="701"/>
        <v>2719625970</v>
      </c>
      <c r="AV930" s="201">
        <f t="shared" si="701"/>
        <v>2824625970</v>
      </c>
      <c r="AW930" s="201">
        <f t="shared" si="701"/>
        <v>2908468470</v>
      </c>
      <c r="AX930" s="201">
        <f t="shared" si="701"/>
        <v>32186265596</v>
      </c>
      <c r="AY930" s="893">
        <f>AY913</f>
        <v>0</v>
      </c>
      <c r="AZ930" s="201">
        <f t="shared" si="701"/>
        <v>2610426555</v>
      </c>
      <c r="BA930" s="201">
        <f t="shared" si="701"/>
        <v>2885135482</v>
      </c>
      <c r="BB930" s="201">
        <f t="shared" si="701"/>
        <v>2719226270</v>
      </c>
      <c r="BC930" s="201">
        <f t="shared" si="701"/>
        <v>3258562301</v>
      </c>
      <c r="BD930" s="201">
        <f t="shared" si="701"/>
        <v>2704786928</v>
      </c>
      <c r="BE930" s="201">
        <f t="shared" si="701"/>
        <v>2232944979</v>
      </c>
      <c r="BF930" s="201">
        <f t="shared" si="701"/>
        <v>2591786092</v>
      </c>
      <c r="BG930" s="201">
        <f t="shared" si="701"/>
        <v>2080276025</v>
      </c>
      <c r="BH930" s="201">
        <f t="shared" si="701"/>
        <v>3353677430</v>
      </c>
      <c r="BI930" s="201">
        <f t="shared" si="701"/>
        <v>3908069330</v>
      </c>
      <c r="BJ930" s="201">
        <f t="shared" si="701"/>
        <v>3819069330</v>
      </c>
      <c r="BK930" s="201">
        <f t="shared" si="701"/>
        <v>3752911830</v>
      </c>
      <c r="BL930" s="201">
        <f t="shared" si="701"/>
        <v>35916872552</v>
      </c>
      <c r="BM930" s="201">
        <f t="shared" si="701"/>
        <v>0</v>
      </c>
      <c r="BN930" s="201">
        <f t="shared" si="701"/>
        <v>4865623511.6000004</v>
      </c>
      <c r="BO930" s="201">
        <f t="shared" si="701"/>
        <v>5085623511.6000004</v>
      </c>
      <c r="BP930" s="201">
        <f t="shared" si="701"/>
        <v>4853623511.6000004</v>
      </c>
      <c r="BQ930" s="201">
        <f t="shared" si="701"/>
        <v>5002423514</v>
      </c>
      <c r="BR930" s="201">
        <f t="shared" si="701"/>
        <v>4832434986.8999996</v>
      </c>
      <c r="BS930" s="201">
        <f t="shared" ref="BS930:CM930" si="702">BS913</f>
        <v>4898623511.6000004</v>
      </c>
      <c r="BT930" s="201">
        <f t="shared" si="702"/>
        <v>5033623511.6000004</v>
      </c>
      <c r="BU930" s="201">
        <f t="shared" si="702"/>
        <v>5223623511.6000004</v>
      </c>
      <c r="BV930" s="201">
        <f t="shared" si="702"/>
        <v>4991123511.6000004</v>
      </c>
      <c r="BW930" s="201">
        <f t="shared" si="702"/>
        <v>5061123511.6000004</v>
      </c>
      <c r="BX930" s="201">
        <f t="shared" si="702"/>
        <v>5361123511.6000004</v>
      </c>
      <c r="BY930" s="201">
        <f t="shared" si="702"/>
        <v>5004967128.6000004</v>
      </c>
      <c r="BZ930" s="502">
        <f>BZ913</f>
        <v>60213937233.900002</v>
      </c>
      <c r="CB930" s="201">
        <f t="shared" si="702"/>
        <v>4865623511.6000004</v>
      </c>
      <c r="CC930" s="201">
        <f t="shared" si="702"/>
        <v>5085623511.6000004</v>
      </c>
      <c r="CD930" s="201">
        <f t="shared" si="702"/>
        <v>4853623511.6000004</v>
      </c>
      <c r="CE930" s="201">
        <f t="shared" si="702"/>
        <v>5002423514</v>
      </c>
      <c r="CF930" s="201">
        <f t="shared" si="702"/>
        <v>4832434986.8999996</v>
      </c>
      <c r="CG930" s="201">
        <f t="shared" si="702"/>
        <v>4898623511.6000004</v>
      </c>
      <c r="CH930" s="201">
        <f t="shared" si="702"/>
        <v>5033623511.6000004</v>
      </c>
      <c r="CI930" s="201">
        <f t="shared" si="702"/>
        <v>5223623511.6000004</v>
      </c>
      <c r="CJ930" s="201">
        <f t="shared" si="702"/>
        <v>4991123511.6000004</v>
      </c>
      <c r="CK930" s="201">
        <f t="shared" si="702"/>
        <v>5061123511.6000004</v>
      </c>
      <c r="CL930" s="201">
        <f t="shared" si="702"/>
        <v>5361123511.6000004</v>
      </c>
      <c r="CM930" s="201">
        <f t="shared" si="702"/>
        <v>5004967128.6000004</v>
      </c>
      <c r="CN930" s="201">
        <v>61991437233.900002</v>
      </c>
      <c r="CO930" s="201">
        <f t="shared" ref="CO930:CT930" si="703">CO913</f>
        <v>0</v>
      </c>
      <c r="CP930" s="666">
        <f t="shared" si="703"/>
        <v>3023842583</v>
      </c>
      <c r="CQ930" s="666">
        <f t="shared" si="703"/>
        <v>3315649440</v>
      </c>
      <c r="CR930" s="201">
        <f t="shared" si="703"/>
        <v>3206500000</v>
      </c>
      <c r="CS930" s="666">
        <f t="shared" si="703"/>
        <v>4046991920</v>
      </c>
      <c r="CT930" s="201">
        <f t="shared" si="703"/>
        <v>3931200000</v>
      </c>
      <c r="CU930" s="666">
        <f t="shared" ref="CU930:DB930" si="704">CU913</f>
        <v>3165931250</v>
      </c>
      <c r="CV930" s="201">
        <f t="shared" si="704"/>
        <v>4861250000</v>
      </c>
      <c r="CW930" s="666">
        <f t="shared" si="704"/>
        <v>4165381315</v>
      </c>
      <c r="CX930" s="201">
        <f t="shared" si="704"/>
        <v>5718250000</v>
      </c>
      <c r="CY930" s="666">
        <f t="shared" si="704"/>
        <v>5106711986</v>
      </c>
      <c r="CZ930" s="201">
        <f t="shared" si="704"/>
        <v>8688926000</v>
      </c>
      <c r="DA930" s="666">
        <f t="shared" si="704"/>
        <v>5132094242</v>
      </c>
      <c r="DB930" s="201">
        <f t="shared" si="704"/>
        <v>10132746000</v>
      </c>
      <c r="DC930" s="666">
        <f t="shared" ref="DC930:DR930" si="705">DC913</f>
        <v>9354163006</v>
      </c>
      <c r="DD930" s="201">
        <f t="shared" si="705"/>
        <v>7870048000</v>
      </c>
      <c r="DE930" s="201">
        <f t="shared" si="705"/>
        <v>0</v>
      </c>
      <c r="DF930" s="201">
        <f>DF913</f>
        <v>7179444000</v>
      </c>
      <c r="DG930" s="777">
        <f t="shared" si="705"/>
        <v>6496944000</v>
      </c>
      <c r="DH930" s="201">
        <f t="shared" si="705"/>
        <v>0</v>
      </c>
      <c r="DI930" s="201">
        <f>DI913</f>
        <v>7678054000</v>
      </c>
      <c r="DJ930" s="777">
        <f t="shared" si="705"/>
        <v>7025554000</v>
      </c>
      <c r="DK930" s="201">
        <f t="shared" si="705"/>
        <v>0</v>
      </c>
      <c r="DL930" s="201">
        <f>DL913</f>
        <v>8528450000</v>
      </c>
      <c r="DM930" s="777">
        <f>DM913</f>
        <v>7700950000</v>
      </c>
      <c r="DN930" s="201">
        <f t="shared" si="705"/>
        <v>0</v>
      </c>
      <c r="DO930" s="201">
        <f>DO913</f>
        <v>7842450000</v>
      </c>
      <c r="DP930" s="777">
        <f t="shared" si="705"/>
        <v>6964950000</v>
      </c>
      <c r="DQ930" s="502">
        <f t="shared" si="705"/>
        <v>68540626542</v>
      </c>
      <c r="DR930" s="512">
        <f t="shared" si="705"/>
        <v>67492324500</v>
      </c>
      <c r="DS930" s="1189">
        <f t="shared" ref="DS930:EI930" si="706">DS913</f>
        <v>7082916667</v>
      </c>
      <c r="DT930" s="1189">
        <f t="shared" si="706"/>
        <v>6959916667</v>
      </c>
      <c r="DU930" s="1189">
        <f t="shared" si="706"/>
        <v>7524916667</v>
      </c>
      <c r="DV930" s="1189">
        <f t="shared" si="706"/>
        <v>7389916667</v>
      </c>
      <c r="DW930" s="1189">
        <f t="shared" si="706"/>
        <v>6842916667</v>
      </c>
      <c r="DX930" s="1189">
        <f t="shared" si="706"/>
        <v>6887916667</v>
      </c>
      <c r="DY930" s="1189">
        <f t="shared" si="706"/>
        <v>6932916667</v>
      </c>
      <c r="DZ930" s="1189">
        <f t="shared" si="706"/>
        <v>6852916667</v>
      </c>
      <c r="EA930" s="1189">
        <f t="shared" si="706"/>
        <v>7017916667</v>
      </c>
      <c r="EB930" s="1189">
        <f t="shared" si="706"/>
        <v>7359916667</v>
      </c>
      <c r="EC930" s="1189">
        <f t="shared" si="706"/>
        <v>7586916667</v>
      </c>
      <c r="ED930" s="1189">
        <f t="shared" si="706"/>
        <v>7636916667</v>
      </c>
      <c r="EE930" s="1032">
        <f t="shared" si="706"/>
        <v>86076000004</v>
      </c>
      <c r="EF930" s="1032">
        <f t="shared" si="706"/>
        <v>124921983639.7841</v>
      </c>
      <c r="EG930" s="1032">
        <f t="shared" si="706"/>
        <v>182383177203.64166</v>
      </c>
      <c r="EH930" s="1032">
        <f t="shared" si="706"/>
        <v>255099317143.81677</v>
      </c>
      <c r="EI930" s="1032">
        <f t="shared" si="706"/>
        <v>266177902007.69678</v>
      </c>
      <c r="EJ930" s="367" t="e">
        <v>#N/A</v>
      </c>
    </row>
    <row r="931" spans="5:140">
      <c r="E931" s="438" t="s">
        <v>668</v>
      </c>
      <c r="F931" s="441"/>
      <c r="G931" s="201">
        <f t="shared" ref="G931:R931" si="707">G919</f>
        <v>0</v>
      </c>
      <c r="H931" s="201">
        <f t="shared" si="707"/>
        <v>0</v>
      </c>
      <c r="I931" s="201">
        <f t="shared" si="707"/>
        <v>0</v>
      </c>
      <c r="J931" s="201">
        <f t="shared" si="707"/>
        <v>0</v>
      </c>
      <c r="K931" s="201">
        <f t="shared" si="707"/>
        <v>0</v>
      </c>
      <c r="L931" s="201">
        <f t="shared" si="707"/>
        <v>0</v>
      </c>
      <c r="M931" s="201">
        <f t="shared" si="707"/>
        <v>0</v>
      </c>
      <c r="N931" s="201">
        <f t="shared" si="707"/>
        <v>0</v>
      </c>
      <c r="O931" s="201">
        <f t="shared" si="707"/>
        <v>0</v>
      </c>
      <c r="P931" s="201">
        <f t="shared" si="707"/>
        <v>3799800</v>
      </c>
      <c r="Q931" s="201">
        <f t="shared" si="707"/>
        <v>-150000</v>
      </c>
      <c r="R931" s="201">
        <f t="shared" si="707"/>
        <v>19494800</v>
      </c>
      <c r="S931" s="201">
        <f t="shared" ref="S931:BR931" si="708">S919</f>
        <v>23144600</v>
      </c>
      <c r="T931" s="201">
        <f t="shared" si="708"/>
        <v>0</v>
      </c>
      <c r="U931" s="201">
        <f t="shared" si="708"/>
        <v>0</v>
      </c>
      <c r="V931" s="201">
        <f t="shared" si="708"/>
        <v>101083000</v>
      </c>
      <c r="W931" s="201">
        <f t="shared" si="708"/>
        <v>202646160</v>
      </c>
      <c r="X931" s="201">
        <f t="shared" si="708"/>
        <v>80556940</v>
      </c>
      <c r="Y931" s="201">
        <f t="shared" si="708"/>
        <v>477976875</v>
      </c>
      <c r="Z931" s="201">
        <f t="shared" si="708"/>
        <v>89188910</v>
      </c>
      <c r="AA931" s="201">
        <f t="shared" si="708"/>
        <v>370540825</v>
      </c>
      <c r="AB931" s="201">
        <f t="shared" si="708"/>
        <v>62857910</v>
      </c>
      <c r="AC931" s="201">
        <f t="shared" si="708"/>
        <v>160794755</v>
      </c>
      <c r="AD931" s="201">
        <f t="shared" si="708"/>
        <v>213024830</v>
      </c>
      <c r="AE931" s="201">
        <f t="shared" si="708"/>
        <v>206026000</v>
      </c>
      <c r="AF931" s="201">
        <f t="shared" si="708"/>
        <v>413483115</v>
      </c>
      <c r="AG931" s="201">
        <f t="shared" si="708"/>
        <v>2378179320</v>
      </c>
      <c r="AH931" s="893" t="e">
        <f t="shared" si="708"/>
        <v>#N/A</v>
      </c>
      <c r="AI931" s="201">
        <f t="shared" si="708"/>
        <v>357663917</v>
      </c>
      <c r="AJ931" s="201">
        <f t="shared" si="708"/>
        <v>2335582015</v>
      </c>
      <c r="AK931" s="201">
        <f t="shared" si="708"/>
        <v>2867507535</v>
      </c>
      <c r="AL931" s="201">
        <f t="shared" si="708"/>
        <v>1130674710</v>
      </c>
      <c r="AM931" s="201">
        <f t="shared" si="708"/>
        <v>1364968030</v>
      </c>
      <c r="AN931" s="201">
        <f t="shared" si="708"/>
        <v>2742077835</v>
      </c>
      <c r="AO931" s="201">
        <f t="shared" si="708"/>
        <v>849575914</v>
      </c>
      <c r="AP931" s="201">
        <f t="shared" si="708"/>
        <v>2165658892</v>
      </c>
      <c r="AQ931" s="201">
        <f t="shared" si="708"/>
        <v>2837233870</v>
      </c>
      <c r="AR931" s="201">
        <f t="shared" si="708"/>
        <v>2980132503</v>
      </c>
      <c r="AS931" s="201">
        <f t="shared" si="708"/>
        <v>2053297252</v>
      </c>
      <c r="AT931" s="201">
        <f t="shared" si="708"/>
        <v>1944688817</v>
      </c>
      <c r="AU931" s="201">
        <f t="shared" si="708"/>
        <v>2563700000</v>
      </c>
      <c r="AV931" s="201">
        <f t="shared" si="708"/>
        <v>2401500000</v>
      </c>
      <c r="AW931" s="201">
        <f t="shared" si="708"/>
        <v>2393500000</v>
      </c>
      <c r="AX931" s="201">
        <f t="shared" si="708"/>
        <v>25294261290</v>
      </c>
      <c r="AY931" s="893">
        <f>AY919</f>
        <v>0</v>
      </c>
      <c r="AZ931" s="201">
        <f t="shared" si="708"/>
        <v>357663917</v>
      </c>
      <c r="BA931" s="201">
        <f t="shared" si="708"/>
        <v>2335582015</v>
      </c>
      <c r="BB931" s="201">
        <f t="shared" si="708"/>
        <v>2867507535</v>
      </c>
      <c r="BC931" s="201">
        <f t="shared" si="708"/>
        <v>1130674710</v>
      </c>
      <c r="BD931" s="201">
        <f t="shared" si="708"/>
        <v>1364968030</v>
      </c>
      <c r="BE931" s="201">
        <f t="shared" si="708"/>
        <v>2742077835</v>
      </c>
      <c r="BF931" s="201">
        <f t="shared" si="708"/>
        <v>849575914</v>
      </c>
      <c r="BG931" s="201">
        <f t="shared" si="708"/>
        <v>2165658892</v>
      </c>
      <c r="BH931" s="201">
        <f t="shared" si="708"/>
        <v>5686200000</v>
      </c>
      <c r="BI931" s="201">
        <f t="shared" si="708"/>
        <v>6927200000</v>
      </c>
      <c r="BJ931" s="201">
        <f t="shared" si="708"/>
        <v>7059700000</v>
      </c>
      <c r="BK931" s="201">
        <f t="shared" si="708"/>
        <v>7966700000</v>
      </c>
      <c r="BL931" s="201">
        <f t="shared" si="708"/>
        <v>41453508848</v>
      </c>
      <c r="BM931" s="201">
        <f t="shared" si="708"/>
        <v>0</v>
      </c>
      <c r="BN931" s="201">
        <f t="shared" si="708"/>
        <v>2338900000</v>
      </c>
      <c r="BO931" s="201">
        <f t="shared" si="708"/>
        <v>4786850000</v>
      </c>
      <c r="BP931" s="201">
        <f t="shared" si="708"/>
        <v>5651760000</v>
      </c>
      <c r="BQ931" s="201">
        <f t="shared" si="708"/>
        <v>4856165450</v>
      </c>
      <c r="BR931" s="201">
        <f t="shared" si="708"/>
        <v>4024462200</v>
      </c>
      <c r="BS931" s="201">
        <f t="shared" ref="BS931:CM931" si="709">BS919</f>
        <v>3184715000</v>
      </c>
      <c r="BT931" s="201">
        <f t="shared" si="709"/>
        <v>2240820000</v>
      </c>
      <c r="BU931" s="201">
        <f t="shared" si="709"/>
        <v>4459857853</v>
      </c>
      <c r="BV931" s="201">
        <f t="shared" si="709"/>
        <v>4638425000</v>
      </c>
      <c r="BW931" s="201">
        <f t="shared" si="709"/>
        <v>4476765000</v>
      </c>
      <c r="BX931" s="201">
        <f t="shared" si="709"/>
        <v>5011800000</v>
      </c>
      <c r="BY931" s="201">
        <f t="shared" si="709"/>
        <v>2671600000</v>
      </c>
      <c r="BZ931" s="502">
        <f>BZ919</f>
        <v>48342120503</v>
      </c>
      <c r="CB931" s="201">
        <f t="shared" si="709"/>
        <v>2345200000</v>
      </c>
      <c r="CC931" s="201">
        <f t="shared" si="709"/>
        <v>5508100000</v>
      </c>
      <c r="CD931" s="201">
        <f t="shared" si="709"/>
        <v>7037960000</v>
      </c>
      <c r="CE931" s="201">
        <f t="shared" si="709"/>
        <v>4842465450</v>
      </c>
      <c r="CF931" s="201">
        <f t="shared" si="709"/>
        <v>4011432200</v>
      </c>
      <c r="CG931" s="201">
        <f t="shared" si="709"/>
        <v>3505965000</v>
      </c>
      <c r="CH931" s="201">
        <f t="shared" si="709"/>
        <v>3177120000</v>
      </c>
      <c r="CI931" s="201">
        <f t="shared" si="709"/>
        <v>4948057853</v>
      </c>
      <c r="CJ931" s="201">
        <f t="shared" si="709"/>
        <v>5724725000</v>
      </c>
      <c r="CK931" s="201">
        <f t="shared" si="709"/>
        <v>4894615000</v>
      </c>
      <c r="CL931" s="201">
        <f t="shared" si="709"/>
        <v>5000000000</v>
      </c>
      <c r="CM931" s="201">
        <f t="shared" si="709"/>
        <v>2659800000</v>
      </c>
      <c r="CN931" s="201">
        <v>56525890503</v>
      </c>
      <c r="CO931" s="201">
        <f t="shared" ref="CO931:CT931" si="710">CO919</f>
        <v>0</v>
      </c>
      <c r="CP931" s="666">
        <f t="shared" si="710"/>
        <v>1752944992</v>
      </c>
      <c r="CQ931" s="666">
        <f t="shared" si="710"/>
        <v>2977827194</v>
      </c>
      <c r="CR931" s="201">
        <f t="shared" si="710"/>
        <v>2916277634</v>
      </c>
      <c r="CS931" s="666">
        <f t="shared" si="710"/>
        <v>3406761880</v>
      </c>
      <c r="CT931" s="201">
        <f t="shared" si="710"/>
        <v>3106400000</v>
      </c>
      <c r="CU931" s="666">
        <f t="shared" ref="CU931:DB931" si="711">CU919</f>
        <v>3450799410</v>
      </c>
      <c r="CV931" s="201">
        <f t="shared" si="711"/>
        <v>3642400000</v>
      </c>
      <c r="CW931" s="666">
        <f t="shared" si="711"/>
        <v>1829465620</v>
      </c>
      <c r="CX931" s="201">
        <f t="shared" si="711"/>
        <v>1821900000</v>
      </c>
      <c r="CY931" s="666">
        <f t="shared" si="711"/>
        <v>3688188870</v>
      </c>
      <c r="CZ931" s="201">
        <f t="shared" si="711"/>
        <v>4018500000</v>
      </c>
      <c r="DA931" s="666">
        <f t="shared" si="711"/>
        <v>4804688824</v>
      </c>
      <c r="DB931" s="201">
        <f t="shared" si="711"/>
        <v>4253500000</v>
      </c>
      <c r="DC931" s="666">
        <f t="shared" ref="DC931:DR931" si="712">DC919</f>
        <v>5619388520</v>
      </c>
      <c r="DD931" s="201">
        <f t="shared" si="712"/>
        <v>3698000000</v>
      </c>
      <c r="DE931" s="201">
        <f t="shared" si="712"/>
        <v>0</v>
      </c>
      <c r="DF931" s="201">
        <f>DF919</f>
        <v>1585000000</v>
      </c>
      <c r="DG931" s="777">
        <f t="shared" si="712"/>
        <v>3086000000</v>
      </c>
      <c r="DH931" s="201">
        <f t="shared" si="712"/>
        <v>0</v>
      </c>
      <c r="DI931" s="201">
        <f>DI919</f>
        <v>1504500000</v>
      </c>
      <c r="DJ931" s="777">
        <f t="shared" si="712"/>
        <v>3019500000</v>
      </c>
      <c r="DK931" s="201">
        <f t="shared" si="712"/>
        <v>0</v>
      </c>
      <c r="DL931" s="201">
        <f>DL919</f>
        <v>3950000000</v>
      </c>
      <c r="DM931" s="777">
        <f>DM919</f>
        <v>3965000000</v>
      </c>
      <c r="DN931" s="201">
        <f t="shared" si="712"/>
        <v>0</v>
      </c>
      <c r="DO931" s="201">
        <f>DO919</f>
        <v>3910000000</v>
      </c>
      <c r="DP931" s="777">
        <f t="shared" si="712"/>
        <v>3911000000</v>
      </c>
      <c r="DQ931" s="502">
        <f t="shared" si="712"/>
        <v>38479565310</v>
      </c>
      <c r="DR931" s="512">
        <f t="shared" si="712"/>
        <v>41646086116</v>
      </c>
      <c r="DS931" s="1189">
        <f t="shared" ref="DS931:EI931" si="713">DS919</f>
        <v>2798650000</v>
      </c>
      <c r="DT931" s="1189">
        <f t="shared" si="713"/>
        <v>4629050000</v>
      </c>
      <c r="DU931" s="1189">
        <f t="shared" si="713"/>
        <v>3514850000</v>
      </c>
      <c r="DV931" s="1189">
        <f t="shared" si="713"/>
        <v>3860150000</v>
      </c>
      <c r="DW931" s="1189">
        <f t="shared" si="713"/>
        <v>2491900000</v>
      </c>
      <c r="DX931" s="1189">
        <f t="shared" si="713"/>
        <v>4341400000</v>
      </c>
      <c r="DY931" s="1189">
        <f t="shared" si="713"/>
        <v>3677300000</v>
      </c>
      <c r="DZ931" s="1189">
        <f t="shared" si="713"/>
        <v>3843251000</v>
      </c>
      <c r="EA931" s="1189">
        <f t="shared" si="713"/>
        <v>3331400000</v>
      </c>
      <c r="EB931" s="1189">
        <f t="shared" si="713"/>
        <v>3885600000</v>
      </c>
      <c r="EC931" s="1189">
        <f t="shared" si="713"/>
        <v>3609100000</v>
      </c>
      <c r="ED931" s="1189">
        <f t="shared" si="713"/>
        <v>2990400000</v>
      </c>
      <c r="EE931" s="1032">
        <f t="shared" si="713"/>
        <v>42973051000</v>
      </c>
      <c r="EF931" s="1032">
        <f t="shared" si="713"/>
        <v>62795298196.10704</v>
      </c>
      <c r="EG931" s="1032">
        <f t="shared" si="713"/>
        <v>80086199322.306076</v>
      </c>
      <c r="EH931" s="1032">
        <f t="shared" si="713"/>
        <v>93491960127.815857</v>
      </c>
      <c r="EI931" s="1032">
        <f t="shared" si="713"/>
        <v>99421673163.884735</v>
      </c>
      <c r="EJ931" s="367" t="e">
        <v>#N/A</v>
      </c>
    </row>
    <row r="932" spans="5:140" ht="15" thickBot="1">
      <c r="E932" s="422" t="s">
        <v>992</v>
      </c>
      <c r="F932" s="422"/>
      <c r="G932" s="128">
        <f t="shared" ref="G932:R932" si="714">SUM(G928:G931)</f>
        <v>6784817992</v>
      </c>
      <c r="H932" s="128">
        <f t="shared" si="714"/>
        <v>6808203084</v>
      </c>
      <c r="I932" s="128">
        <f t="shared" si="714"/>
        <v>10507505538</v>
      </c>
      <c r="J932" s="128">
        <f t="shared" si="714"/>
        <v>9370100577</v>
      </c>
      <c r="K932" s="128">
        <f t="shared" si="714"/>
        <v>8995083429</v>
      </c>
      <c r="L932" s="128">
        <f t="shared" si="714"/>
        <v>8211211848</v>
      </c>
      <c r="M932" s="128">
        <f t="shared" si="714"/>
        <v>9415359174</v>
      </c>
      <c r="N932" s="128">
        <f t="shared" si="714"/>
        <v>10047844418</v>
      </c>
      <c r="O932" s="128">
        <f t="shared" si="714"/>
        <v>10106967831</v>
      </c>
      <c r="P932" s="128">
        <f t="shared" si="714"/>
        <v>10593277926</v>
      </c>
      <c r="Q932" s="128">
        <f t="shared" si="714"/>
        <v>10481702179</v>
      </c>
      <c r="R932" s="128">
        <f t="shared" si="714"/>
        <v>10972761603</v>
      </c>
      <c r="S932" s="128">
        <f t="shared" ref="S932:BR932" si="715">SUM(S928:S931)</f>
        <v>112294835599</v>
      </c>
      <c r="T932" s="128">
        <f t="shared" si="715"/>
        <v>0</v>
      </c>
      <c r="U932" s="128">
        <f t="shared" si="715"/>
        <v>8775107234</v>
      </c>
      <c r="V932" s="128">
        <f t="shared" si="715"/>
        <v>8696291662</v>
      </c>
      <c r="W932" s="128">
        <f t="shared" si="715"/>
        <v>8128829928</v>
      </c>
      <c r="X932" s="128">
        <f t="shared" si="715"/>
        <v>8028074088</v>
      </c>
      <c r="Y932" s="128">
        <f t="shared" si="715"/>
        <v>8431044911</v>
      </c>
      <c r="Z932" s="128">
        <f t="shared" si="715"/>
        <v>7700098008</v>
      </c>
      <c r="AA932" s="128">
        <f t="shared" si="715"/>
        <v>8571699131</v>
      </c>
      <c r="AB932" s="128">
        <f t="shared" si="715"/>
        <v>7662521544</v>
      </c>
      <c r="AC932" s="128">
        <f t="shared" si="715"/>
        <v>9146690797</v>
      </c>
      <c r="AD932" s="128">
        <f t="shared" si="715"/>
        <v>8343401207</v>
      </c>
      <c r="AE932" s="128">
        <f t="shared" si="715"/>
        <v>10776883869</v>
      </c>
      <c r="AF932" s="128">
        <f t="shared" si="715"/>
        <v>11372156513</v>
      </c>
      <c r="AG932" s="128">
        <f t="shared" si="715"/>
        <v>105337798892</v>
      </c>
      <c r="AH932" s="894" t="e">
        <f t="shared" si="715"/>
        <v>#N/A</v>
      </c>
      <c r="AI932" s="128">
        <f t="shared" si="715"/>
        <v>11497033128</v>
      </c>
      <c r="AJ932" s="128">
        <f t="shared" si="715"/>
        <v>14084035463</v>
      </c>
      <c r="AK932" s="128">
        <f t="shared" si="715"/>
        <v>14198668060</v>
      </c>
      <c r="AL932" s="128">
        <f t="shared" si="715"/>
        <v>13731178844</v>
      </c>
      <c r="AM932" s="128">
        <f t="shared" si="715"/>
        <v>10701283549</v>
      </c>
      <c r="AN932" s="128">
        <f t="shared" si="715"/>
        <v>12784061826</v>
      </c>
      <c r="AO932" s="128">
        <f t="shared" si="715"/>
        <v>10385493123</v>
      </c>
      <c r="AP932" s="128">
        <f t="shared" si="715"/>
        <v>11912741357</v>
      </c>
      <c r="AQ932" s="128">
        <f t="shared" si="715"/>
        <v>13849224979</v>
      </c>
      <c r="AR932" s="128">
        <f t="shared" si="715"/>
        <v>14302274126</v>
      </c>
      <c r="AS932" s="128">
        <f t="shared" si="715"/>
        <v>13721760382</v>
      </c>
      <c r="AT932" s="128">
        <f t="shared" si="715"/>
        <v>14420566439</v>
      </c>
      <c r="AU932" s="128">
        <f t="shared" si="715"/>
        <v>13989590249</v>
      </c>
      <c r="AV932" s="128">
        <f t="shared" si="715"/>
        <v>14326940249</v>
      </c>
      <c r="AW932" s="128">
        <f t="shared" si="715"/>
        <v>14328782749</v>
      </c>
      <c r="AX932" s="128">
        <f t="shared" si="715"/>
        <v>157253521276</v>
      </c>
      <c r="AY932" s="894">
        <f>SUM(AY928:AY931)</f>
        <v>0</v>
      </c>
      <c r="AZ932" s="128">
        <f t="shared" si="715"/>
        <v>11497033128</v>
      </c>
      <c r="BA932" s="128">
        <f t="shared" si="715"/>
        <v>14084035463</v>
      </c>
      <c r="BB932" s="128">
        <f t="shared" si="715"/>
        <v>14198668060</v>
      </c>
      <c r="BC932" s="128">
        <f t="shared" si="715"/>
        <v>13731178844</v>
      </c>
      <c r="BD932" s="128">
        <f t="shared" si="715"/>
        <v>10701283549</v>
      </c>
      <c r="BE932" s="128">
        <f t="shared" si="715"/>
        <v>12784061826</v>
      </c>
      <c r="BF932" s="128">
        <f t="shared" si="715"/>
        <v>10385493123</v>
      </c>
      <c r="BG932" s="128">
        <f t="shared" si="715"/>
        <v>11912741357</v>
      </c>
      <c r="BH932" s="128">
        <f t="shared" si="715"/>
        <v>18460540945</v>
      </c>
      <c r="BI932" s="128">
        <f t="shared" si="715"/>
        <v>21270280845</v>
      </c>
      <c r="BJ932" s="128">
        <f t="shared" si="715"/>
        <v>21596029845</v>
      </c>
      <c r="BK932" s="128">
        <f t="shared" si="715"/>
        <v>22362872345</v>
      </c>
      <c r="BL932" s="128">
        <f t="shared" si="715"/>
        <v>182984219330</v>
      </c>
      <c r="BM932" s="128">
        <f t="shared" si="715"/>
        <v>0</v>
      </c>
      <c r="BN932" s="128">
        <f>SUM(BN928:BN931)</f>
        <v>18229721854.599998</v>
      </c>
      <c r="BO932" s="128">
        <f t="shared" si="715"/>
        <v>20906171854.599998</v>
      </c>
      <c r="BP932" s="128">
        <f t="shared" si="715"/>
        <v>22089681854.599998</v>
      </c>
      <c r="BQ932" s="128">
        <f t="shared" si="715"/>
        <v>21811294307</v>
      </c>
      <c r="BR932" s="128">
        <f t="shared" si="715"/>
        <v>19243734446.299999</v>
      </c>
      <c r="BS932" s="128">
        <f t="shared" ref="BS932:CM932" si="716">SUM(BS928:BS931)</f>
        <v>19335230854.599998</v>
      </c>
      <c r="BT932" s="128">
        <f t="shared" si="716"/>
        <v>19168472439</v>
      </c>
      <c r="BU932" s="128">
        <f t="shared" si="716"/>
        <v>21763010292</v>
      </c>
      <c r="BV932" s="128">
        <f t="shared" si="716"/>
        <v>21883077439</v>
      </c>
      <c r="BW932" s="128">
        <f t="shared" si="716"/>
        <v>21970917439</v>
      </c>
      <c r="BX932" s="128">
        <f t="shared" si="716"/>
        <v>22603452439</v>
      </c>
      <c r="BY932" s="128">
        <f t="shared" si="716"/>
        <v>19853096056</v>
      </c>
      <c r="BZ932" s="128">
        <f>SUM(BZ928:BZ931)</f>
        <v>248857861275.69998</v>
      </c>
      <c r="CB932" s="128">
        <f>SUM(CB928:CB931)</f>
        <v>18236021854.599998</v>
      </c>
      <c r="CC932" s="128">
        <f t="shared" si="716"/>
        <v>21627421854.599998</v>
      </c>
      <c r="CD932" s="128">
        <f t="shared" si="716"/>
        <v>25871881854.599998</v>
      </c>
      <c r="CE932" s="128">
        <f t="shared" si="716"/>
        <v>22893594307</v>
      </c>
      <c r="CF932" s="128">
        <f t="shared" si="716"/>
        <v>19230704446.299999</v>
      </c>
      <c r="CG932" s="128">
        <f t="shared" si="716"/>
        <v>22206480854.599998</v>
      </c>
      <c r="CH932" s="128">
        <f t="shared" si="716"/>
        <v>22452814030.666668</v>
      </c>
      <c r="CI932" s="128">
        <f t="shared" si="716"/>
        <v>24749251883.666668</v>
      </c>
      <c r="CJ932" s="128">
        <f t="shared" si="716"/>
        <v>24167419030.666668</v>
      </c>
      <c r="CK932" s="128">
        <f t="shared" si="716"/>
        <v>23586809030.666668</v>
      </c>
      <c r="CL932" s="128">
        <f t="shared" si="716"/>
        <v>25189694030.666668</v>
      </c>
      <c r="CM932" s="128">
        <f t="shared" si="716"/>
        <v>21039337647.666668</v>
      </c>
      <c r="CN932" s="128">
        <v>275899380825.69995</v>
      </c>
      <c r="CO932" s="128">
        <f t="shared" ref="CO932:CT932" si="717">SUM(CO928:CO931)</f>
        <v>0</v>
      </c>
      <c r="CP932" s="667">
        <f t="shared" si="717"/>
        <v>13784233592</v>
      </c>
      <c r="CQ932" s="667">
        <f t="shared" si="717"/>
        <v>15221245164</v>
      </c>
      <c r="CR932" s="128">
        <f t="shared" si="717"/>
        <v>16007287666</v>
      </c>
      <c r="CS932" s="667">
        <f t="shared" si="717"/>
        <v>17911647113</v>
      </c>
      <c r="CT932" s="128">
        <f t="shared" si="717"/>
        <v>19497914222</v>
      </c>
      <c r="CU932" s="667">
        <f t="shared" ref="CU932:DB932" si="718">SUM(CU928:CU931)</f>
        <v>17547106817</v>
      </c>
      <c r="CV932" s="128">
        <f t="shared" si="718"/>
        <v>19749354822</v>
      </c>
      <c r="CW932" s="667">
        <f t="shared" si="718"/>
        <v>13775879357</v>
      </c>
      <c r="CX932" s="128">
        <f t="shared" si="718"/>
        <v>17838669108</v>
      </c>
      <c r="CY932" s="667">
        <f t="shared" si="718"/>
        <v>19668478829</v>
      </c>
      <c r="CZ932" s="128">
        <f t="shared" si="718"/>
        <v>24638771868</v>
      </c>
      <c r="DA932" s="667">
        <f t="shared" si="718"/>
        <v>20155005418</v>
      </c>
      <c r="DB932" s="128">
        <f t="shared" si="718"/>
        <v>29507794622</v>
      </c>
      <c r="DC932" s="667">
        <f t="shared" ref="DC932:DR932" si="719">SUM(DC928:DC931)</f>
        <v>25942890045</v>
      </c>
      <c r="DD932" s="128">
        <f t="shared" si="719"/>
        <v>27059596622</v>
      </c>
      <c r="DE932" s="128">
        <f t="shared" si="719"/>
        <v>0</v>
      </c>
      <c r="DF932" s="128">
        <f t="shared" si="719"/>
        <v>23779606412</v>
      </c>
      <c r="DG932" s="489">
        <f t="shared" si="719"/>
        <v>25333604059</v>
      </c>
      <c r="DH932" s="128">
        <f t="shared" si="719"/>
        <v>0</v>
      </c>
      <c r="DI932" s="128">
        <f t="shared" si="719"/>
        <v>23437716412</v>
      </c>
      <c r="DJ932" s="489">
        <f t="shared" si="719"/>
        <v>26575714059</v>
      </c>
      <c r="DK932" s="128">
        <f t="shared" si="719"/>
        <v>0</v>
      </c>
      <c r="DL932" s="128">
        <f t="shared" si="719"/>
        <v>26783612412</v>
      </c>
      <c r="DM932" s="489">
        <f t="shared" si="719"/>
        <v>28381610059</v>
      </c>
      <c r="DN932" s="128">
        <f t="shared" si="719"/>
        <v>0</v>
      </c>
      <c r="DO932" s="128">
        <f t="shared" si="719"/>
        <v>25552612412</v>
      </c>
      <c r="DP932" s="489">
        <f t="shared" si="719"/>
        <v>27361610059</v>
      </c>
      <c r="DQ932" s="128">
        <f t="shared" si="719"/>
        <v>243561496783</v>
      </c>
      <c r="DR932" s="489">
        <f t="shared" si="719"/>
        <v>259216238299</v>
      </c>
      <c r="DS932" s="1190">
        <f t="shared" ref="DS932:EI932" si="720">SUM(DS928:DS931)</f>
        <v>21964843618</v>
      </c>
      <c r="DT932" s="1190">
        <f t="shared" si="720"/>
        <v>24272243618</v>
      </c>
      <c r="DU932" s="1190">
        <f t="shared" si="720"/>
        <v>24018743618</v>
      </c>
      <c r="DV932" s="1190">
        <f t="shared" si="720"/>
        <v>23546043618</v>
      </c>
      <c r="DW932" s="1190">
        <f t="shared" si="720"/>
        <v>21499793618</v>
      </c>
      <c r="DX932" s="1190">
        <f t="shared" si="720"/>
        <v>25763293618</v>
      </c>
      <c r="DY932" s="1190">
        <f t="shared" si="720"/>
        <v>25099193618</v>
      </c>
      <c r="DZ932" s="1190">
        <f t="shared" si="720"/>
        <v>25900144618</v>
      </c>
      <c r="EA932" s="1190">
        <f t="shared" si="720"/>
        <v>25203293618</v>
      </c>
      <c r="EB932" s="1190">
        <f t="shared" si="720"/>
        <v>25889493618</v>
      </c>
      <c r="EC932" s="1190">
        <f t="shared" si="720"/>
        <v>26019993618</v>
      </c>
      <c r="ED932" s="1190">
        <f t="shared" si="720"/>
        <v>25461293618</v>
      </c>
      <c r="EE932" s="1034">
        <f t="shared" si="720"/>
        <v>294638374416</v>
      </c>
      <c r="EF932" s="1034">
        <f t="shared" si="720"/>
        <v>370072921889.5553</v>
      </c>
      <c r="EG932" s="1034">
        <f t="shared" si="720"/>
        <v>488346515293.00928</v>
      </c>
      <c r="EH932" s="1034">
        <f t="shared" si="720"/>
        <v>642490122974.82861</v>
      </c>
      <c r="EI932" s="1034">
        <f t="shared" si="720"/>
        <v>675692540089.43298</v>
      </c>
      <c r="EJ932" s="367" t="e">
        <v>#N/A</v>
      </c>
    </row>
    <row r="933" spans="5:140" ht="15" thickTop="1"/>
  </sheetData>
  <sheetProtection password="F6D4" sheet="1" objects="1" scenarios="1" insertRows="0"/>
  <autoFilter ref="A8:EH897"/>
  <sortState ref="A789:EI816">
    <sortCondition ref="E789:E816"/>
  </sortState>
  <mergeCells count="57">
    <mergeCell ref="EI6:EI7"/>
    <mergeCell ref="EI445:EI446"/>
    <mergeCell ref="EI817:EI818"/>
    <mergeCell ref="EE445:EE446"/>
    <mergeCell ref="EF445:EF446"/>
    <mergeCell ref="EG445:EG446"/>
    <mergeCell ref="EH445:EH446"/>
    <mergeCell ref="EG6:EG7"/>
    <mergeCell ref="EH6:EH7"/>
    <mergeCell ref="EF6:EF7"/>
    <mergeCell ref="EE6:EE7"/>
    <mergeCell ref="EG817:EG818"/>
    <mergeCell ref="EH817:EH818"/>
    <mergeCell ref="EF817:EF818"/>
    <mergeCell ref="EE817:EE818"/>
    <mergeCell ref="DQ817:DQ818"/>
    <mergeCell ref="CN817:CN818"/>
    <mergeCell ref="DR817:DR818"/>
    <mergeCell ref="DQ445:DQ446"/>
    <mergeCell ref="CN445:CN446"/>
    <mergeCell ref="DR445:DR446"/>
    <mergeCell ref="CN6:CN7"/>
    <mergeCell ref="CB6:CM6"/>
    <mergeCell ref="DQ6:DQ7"/>
    <mergeCell ref="DR6:DR7"/>
    <mergeCell ref="G817:R817"/>
    <mergeCell ref="S817:S818"/>
    <mergeCell ref="G6:R6"/>
    <mergeCell ref="S6:S7"/>
    <mergeCell ref="U6:AF6"/>
    <mergeCell ref="G445:R445"/>
    <mergeCell ref="S445:S446"/>
    <mergeCell ref="U445:AF445"/>
    <mergeCell ref="U817:AF817"/>
    <mergeCell ref="AG445:AG446"/>
    <mergeCell ref="AI445:AW445"/>
    <mergeCell ref="AX6:AX7"/>
    <mergeCell ref="CB445:CM445"/>
    <mergeCell ref="CB817:CM817"/>
    <mergeCell ref="AG817:AG818"/>
    <mergeCell ref="AI817:AW817"/>
    <mergeCell ref="AX817:AX818"/>
    <mergeCell ref="BN817:BY817"/>
    <mergeCell ref="BZ817:BZ818"/>
    <mergeCell ref="AX445:AX446"/>
    <mergeCell ref="AZ445:BK445"/>
    <mergeCell ref="BL445:BL446"/>
    <mergeCell ref="BN445:BY445"/>
    <mergeCell ref="BZ445:BZ446"/>
    <mergeCell ref="BZ6:BZ7"/>
    <mergeCell ref="AZ817:BK817"/>
    <mergeCell ref="BL817:BL818"/>
    <mergeCell ref="AG6:AG7"/>
    <mergeCell ref="AI6:AW6"/>
    <mergeCell ref="AZ6:BK6"/>
    <mergeCell ref="BL6:BL7"/>
    <mergeCell ref="BN6:BY6"/>
  </mergeCells>
  <pageMargins left="0.7" right="0.7" top="0.75" bottom="0.75" header="0.3" footer="0.3"/>
  <pageSetup paperSize="9" orientation="portrait" r:id="rId1"/>
  <ignoredErrors>
    <ignoredError sqref="F193 F181 F175:F177" numberStoredAsText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P60"/>
  <sheetViews>
    <sheetView zoomScale="85" zoomScaleNormal="85" workbookViewId="0">
      <pane xSplit="7" ySplit="5" topLeftCell="AW17" activePane="bottomRight" state="frozen"/>
      <selection pane="topRight" activeCell="AI36" sqref="AI36"/>
      <selection pane="bottomLeft" activeCell="AI36" sqref="AI36"/>
      <selection pane="bottomRight" activeCell="BA3" sqref="BA3"/>
    </sheetView>
  </sheetViews>
  <sheetFormatPr defaultColWidth="8.81640625" defaultRowHeight="14.5" outlineLevelRow="1" outlineLevelCol="1"/>
  <cols>
    <col min="1" max="1" width="7" style="534" customWidth="1"/>
    <col min="2" max="3" width="9.81640625" style="534" customWidth="1"/>
    <col min="4" max="5" width="9.81640625" style="534" hidden="1" customWidth="1"/>
    <col min="6" max="6" width="48.7265625" style="1062" bestFit="1" customWidth="1"/>
    <col min="7" max="7" width="11.453125" style="1062" customWidth="1"/>
    <col min="8" max="19" width="14.453125" style="146" customWidth="1" outlineLevel="1"/>
    <col min="20" max="20" width="15.26953125" style="146" bestFit="1" customWidth="1"/>
    <col min="21" max="22" width="15.26953125" style="146" bestFit="1" customWidth="1" collapsed="1"/>
    <col min="23" max="23" width="13.81640625" style="146" customWidth="1" outlineLevel="1"/>
    <col min="24" max="24" width="15.26953125" style="146" bestFit="1" customWidth="1"/>
    <col min="25" max="25" width="13.81640625" style="146" customWidth="1" outlineLevel="1"/>
    <col min="26" max="26" width="15.26953125" style="146" bestFit="1" customWidth="1"/>
    <col min="27" max="27" width="13.81640625" style="146" customWidth="1" outlineLevel="1"/>
    <col min="28" max="28" width="15.26953125" style="146" bestFit="1" customWidth="1"/>
    <col min="29" max="29" width="13.81640625" style="146" customWidth="1" outlineLevel="1"/>
    <col min="30" max="30" width="15.26953125" style="146" bestFit="1" customWidth="1"/>
    <col min="31" max="31" width="13.81640625" style="146" customWidth="1" outlineLevel="1"/>
    <col min="32" max="32" width="15.26953125" style="146" bestFit="1" customWidth="1"/>
    <col min="33" max="33" width="13.81640625" style="146" customWidth="1" outlineLevel="1"/>
    <col min="34" max="34" width="15.26953125" style="146" bestFit="1" customWidth="1"/>
    <col min="35" max="35" width="13.81640625" style="146" customWidth="1" outlineLevel="1"/>
    <col min="36" max="36" width="15.26953125" style="146" customWidth="1"/>
    <col min="37" max="37" width="13.81640625" style="146" customWidth="1" outlineLevel="1"/>
    <col min="38" max="38" width="13.81640625" style="896" customWidth="1" outlineLevel="1"/>
    <col min="39" max="39" width="15.26953125" style="146" customWidth="1"/>
    <col min="40" max="40" width="13.81640625" style="146" customWidth="1" outlineLevel="1"/>
    <col min="41" max="41" width="13.81640625" style="896" customWidth="1" outlineLevel="1"/>
    <col min="42" max="42" width="15.26953125" style="146" customWidth="1"/>
    <col min="43" max="43" width="13.81640625" style="146" customWidth="1" outlineLevel="1"/>
    <col min="44" max="44" width="13.81640625" style="896" customWidth="1" outlineLevel="1"/>
    <col min="45" max="45" width="15.26953125" style="146" customWidth="1"/>
    <col min="46" max="46" width="13.81640625" style="146" customWidth="1" outlineLevel="1"/>
    <col min="47" max="47" width="13.81640625" style="896" customWidth="1" outlineLevel="1"/>
    <col min="48" max="48" width="15.26953125" style="146" customWidth="1"/>
    <col min="49" max="49" width="15.26953125" style="896" customWidth="1"/>
    <col min="50" max="66" width="15.26953125" style="534" customWidth="1"/>
    <col min="67" max="67" width="8.81640625" style="146"/>
    <col min="68" max="68" width="12.26953125" style="146" bestFit="1" customWidth="1"/>
    <col min="69" max="16384" width="8.81640625" style="146"/>
  </cols>
  <sheetData>
    <row r="1" spans="1:68">
      <c r="A1" s="1060" t="s">
        <v>993</v>
      </c>
      <c r="B1" s="1060"/>
      <c r="C1" s="1060"/>
      <c r="D1" s="1060"/>
      <c r="E1" s="1060"/>
      <c r="F1" s="1061"/>
      <c r="G1" s="1061"/>
      <c r="AL1" s="726" t="s">
        <v>1</v>
      </c>
    </row>
    <row r="2" spans="1:68">
      <c r="A2" s="1060" t="s">
        <v>994</v>
      </c>
      <c r="B2" s="1060"/>
      <c r="C2" s="1060"/>
      <c r="D2" s="1060"/>
      <c r="E2" s="1060"/>
      <c r="F2" s="1061"/>
      <c r="G2" s="1061"/>
      <c r="AL2" s="726" t="s">
        <v>3</v>
      </c>
    </row>
    <row r="3" spans="1:68" ht="29.5" thickBot="1">
      <c r="AL3" s="726" t="s">
        <v>7</v>
      </c>
      <c r="AV3" s="670" t="s">
        <v>4</v>
      </c>
      <c r="AW3" s="897" t="s">
        <v>5</v>
      </c>
    </row>
    <row r="4" spans="1:68" s="145" customFormat="1" ht="17.25" customHeight="1">
      <c r="A4" s="1228" t="s">
        <v>995</v>
      </c>
      <c r="B4" s="1228" t="s">
        <v>19</v>
      </c>
      <c r="C4" s="1228" t="s">
        <v>17</v>
      </c>
      <c r="D4" s="1098" t="s">
        <v>996</v>
      </c>
      <c r="E4" s="1098" t="s">
        <v>997</v>
      </c>
      <c r="F4" s="1230" t="s">
        <v>998</v>
      </c>
      <c r="G4" s="1232" t="s">
        <v>21</v>
      </c>
      <c r="H4" s="147">
        <v>44207</v>
      </c>
      <c r="I4" s="147">
        <v>44238</v>
      </c>
      <c r="J4" s="147">
        <v>44266</v>
      </c>
      <c r="K4" s="147">
        <v>44297</v>
      </c>
      <c r="L4" s="147">
        <v>44327</v>
      </c>
      <c r="M4" s="147">
        <v>44358</v>
      </c>
      <c r="N4" s="147">
        <v>44388</v>
      </c>
      <c r="O4" s="147">
        <v>44419</v>
      </c>
      <c r="P4" s="147">
        <v>44450</v>
      </c>
      <c r="Q4" s="147">
        <v>44480</v>
      </c>
      <c r="R4" s="147">
        <v>44511</v>
      </c>
      <c r="S4" s="147">
        <v>44541</v>
      </c>
      <c r="T4" s="147" t="s">
        <v>999</v>
      </c>
      <c r="U4" s="147">
        <v>44207</v>
      </c>
      <c r="V4" s="147">
        <v>44238</v>
      </c>
      <c r="W4" s="621">
        <v>44238</v>
      </c>
      <c r="X4" s="147">
        <v>44266</v>
      </c>
      <c r="Y4" s="621">
        <v>44266</v>
      </c>
      <c r="Z4" s="147">
        <v>44297</v>
      </c>
      <c r="AA4" s="621">
        <v>44297</v>
      </c>
      <c r="AB4" s="147">
        <v>44327</v>
      </c>
      <c r="AC4" s="621">
        <v>44327</v>
      </c>
      <c r="AD4" s="147">
        <v>44358</v>
      </c>
      <c r="AE4" s="621">
        <v>44358</v>
      </c>
      <c r="AF4" s="147">
        <v>44388</v>
      </c>
      <c r="AG4" s="621">
        <v>44388</v>
      </c>
      <c r="AH4" s="539">
        <v>44419</v>
      </c>
      <c r="AI4" s="898">
        <v>44419</v>
      </c>
      <c r="AJ4" s="539">
        <v>44450</v>
      </c>
      <c r="AK4" s="898">
        <v>44450</v>
      </c>
      <c r="AL4" s="899">
        <v>44450</v>
      </c>
      <c r="AM4" s="539">
        <v>44480</v>
      </c>
      <c r="AN4" s="898">
        <v>44480</v>
      </c>
      <c r="AO4" s="899">
        <v>44480</v>
      </c>
      <c r="AP4" s="539">
        <v>44511</v>
      </c>
      <c r="AQ4" s="898">
        <v>44511</v>
      </c>
      <c r="AR4" s="899">
        <v>44511</v>
      </c>
      <c r="AS4" s="539">
        <v>44541</v>
      </c>
      <c r="AT4" s="898">
        <v>44541</v>
      </c>
      <c r="AU4" s="899">
        <v>44541</v>
      </c>
      <c r="AV4" s="539" t="s">
        <v>999</v>
      </c>
      <c r="AW4" s="900" t="s">
        <v>999</v>
      </c>
      <c r="AX4" s="542">
        <v>44562</v>
      </c>
      <c r="AY4" s="542">
        <v>44593</v>
      </c>
      <c r="AZ4" s="542">
        <v>44621</v>
      </c>
      <c r="BA4" s="542">
        <v>44652</v>
      </c>
      <c r="BB4" s="542">
        <v>44682</v>
      </c>
      <c r="BC4" s="542">
        <v>44713</v>
      </c>
      <c r="BD4" s="542">
        <v>44743</v>
      </c>
      <c r="BE4" s="542">
        <v>44774</v>
      </c>
      <c r="BF4" s="542">
        <v>44805</v>
      </c>
      <c r="BG4" s="542">
        <v>44835</v>
      </c>
      <c r="BH4" s="542">
        <v>44866</v>
      </c>
      <c r="BI4" s="542">
        <v>44896</v>
      </c>
      <c r="BJ4" s="542" t="s">
        <v>1000</v>
      </c>
      <c r="BK4" s="535" t="s">
        <v>1001</v>
      </c>
      <c r="BL4" s="535" t="s">
        <v>1002</v>
      </c>
      <c r="BM4" s="535" t="s">
        <v>1003</v>
      </c>
      <c r="BN4" s="543" t="s">
        <v>1004</v>
      </c>
    </row>
    <row r="5" spans="1:68" s="148" customFormat="1" ht="15" thickBot="1">
      <c r="A5" s="1229"/>
      <c r="B5" s="1229"/>
      <c r="C5" s="1229"/>
      <c r="D5" s="1099"/>
      <c r="E5" s="1099"/>
      <c r="F5" s="1231"/>
      <c r="G5" s="1233"/>
      <c r="H5" s="996" t="s">
        <v>15</v>
      </c>
      <c r="I5" s="996" t="s">
        <v>15</v>
      </c>
      <c r="J5" s="996" t="s">
        <v>15</v>
      </c>
      <c r="K5" s="996" t="s">
        <v>15</v>
      </c>
      <c r="L5" s="996" t="s">
        <v>15</v>
      </c>
      <c r="M5" s="996" t="s">
        <v>15</v>
      </c>
      <c r="N5" s="996" t="s">
        <v>15</v>
      </c>
      <c r="O5" s="996" t="s">
        <v>15</v>
      </c>
      <c r="P5" s="996" t="s">
        <v>15</v>
      </c>
      <c r="Q5" s="996" t="s">
        <v>15</v>
      </c>
      <c r="R5" s="996" t="s">
        <v>15</v>
      </c>
      <c r="S5" s="996" t="s">
        <v>15</v>
      </c>
      <c r="T5" s="996" t="s">
        <v>10</v>
      </c>
      <c r="U5" s="996" t="s">
        <v>9</v>
      </c>
      <c r="V5" s="996" t="s">
        <v>9</v>
      </c>
      <c r="W5" s="997" t="s">
        <v>13</v>
      </c>
      <c r="X5" s="996" t="s">
        <v>9</v>
      </c>
      <c r="Y5" s="997" t="s">
        <v>13</v>
      </c>
      <c r="Z5" s="996" t="s">
        <v>9</v>
      </c>
      <c r="AA5" s="997" t="s">
        <v>13</v>
      </c>
      <c r="AB5" s="996" t="s">
        <v>9</v>
      </c>
      <c r="AC5" s="997" t="s">
        <v>13</v>
      </c>
      <c r="AD5" s="996" t="s">
        <v>9</v>
      </c>
      <c r="AE5" s="997" t="s">
        <v>13</v>
      </c>
      <c r="AF5" s="996" t="s">
        <v>9</v>
      </c>
      <c r="AG5" s="997" t="s">
        <v>13</v>
      </c>
      <c r="AH5" s="996" t="s">
        <v>9</v>
      </c>
      <c r="AI5" s="997" t="s">
        <v>13</v>
      </c>
      <c r="AJ5" s="996" t="s">
        <v>9</v>
      </c>
      <c r="AK5" s="997" t="s">
        <v>13</v>
      </c>
      <c r="AL5" s="998" t="s">
        <v>14</v>
      </c>
      <c r="AM5" s="996" t="s">
        <v>9</v>
      </c>
      <c r="AN5" s="997" t="s">
        <v>13</v>
      </c>
      <c r="AO5" s="998" t="s">
        <v>14</v>
      </c>
      <c r="AP5" s="996" t="s">
        <v>9</v>
      </c>
      <c r="AQ5" s="997" t="s">
        <v>13</v>
      </c>
      <c r="AR5" s="998" t="s">
        <v>14</v>
      </c>
      <c r="AS5" s="996" t="s">
        <v>9</v>
      </c>
      <c r="AT5" s="997" t="s">
        <v>13</v>
      </c>
      <c r="AU5" s="998" t="s">
        <v>14</v>
      </c>
      <c r="AV5" s="996" t="s">
        <v>9</v>
      </c>
      <c r="AW5" s="901" t="s">
        <v>14</v>
      </c>
      <c r="AX5" s="544" t="s">
        <v>15</v>
      </c>
      <c r="AY5" s="544" t="s">
        <v>15</v>
      </c>
      <c r="AZ5" s="544" t="s">
        <v>15</v>
      </c>
      <c r="BA5" s="544" t="s">
        <v>15</v>
      </c>
      <c r="BB5" s="544" t="s">
        <v>15</v>
      </c>
      <c r="BC5" s="544" t="s">
        <v>15</v>
      </c>
      <c r="BD5" s="544" t="s">
        <v>15</v>
      </c>
      <c r="BE5" s="544" t="s">
        <v>15</v>
      </c>
      <c r="BF5" s="544" t="s">
        <v>15</v>
      </c>
      <c r="BG5" s="544" t="s">
        <v>15</v>
      </c>
      <c r="BH5" s="544" t="s">
        <v>15</v>
      </c>
      <c r="BI5" s="544" t="s">
        <v>15</v>
      </c>
      <c r="BJ5" s="544" t="s">
        <v>15</v>
      </c>
      <c r="BK5" s="544" t="s">
        <v>15</v>
      </c>
      <c r="BL5" s="544" t="s">
        <v>15</v>
      </c>
      <c r="BM5" s="544" t="s">
        <v>15</v>
      </c>
      <c r="BN5" s="1057" t="s">
        <v>15</v>
      </c>
    </row>
    <row r="6" spans="1:68" s="148" customFormat="1" hidden="1" outlineLevel="1">
      <c r="A6" s="1063"/>
      <c r="B6" s="1064"/>
      <c r="C6" s="1064"/>
      <c r="D6" s="1064"/>
      <c r="E6" s="1064"/>
      <c r="F6" s="1065"/>
      <c r="G6" s="1066"/>
      <c r="H6" s="999">
        <v>0.8</v>
      </c>
      <c r="I6" s="999">
        <v>0.8</v>
      </c>
      <c r="J6" s="999">
        <v>0.8</v>
      </c>
      <c r="K6" s="999">
        <v>0.8</v>
      </c>
      <c r="L6" s="999">
        <v>0.9</v>
      </c>
      <c r="M6" s="999">
        <v>0.9</v>
      </c>
      <c r="N6" s="999">
        <v>0.9</v>
      </c>
      <c r="O6" s="999">
        <v>0.9</v>
      </c>
      <c r="P6" s="999">
        <v>1.3</v>
      </c>
      <c r="Q6" s="999">
        <v>1.3</v>
      </c>
      <c r="R6" s="999">
        <v>1.3</v>
      </c>
      <c r="S6" s="999">
        <v>1.3</v>
      </c>
      <c r="T6" s="1000"/>
      <c r="U6" s="1000"/>
      <c r="V6" s="1000"/>
      <c r="W6" s="999"/>
      <c r="X6" s="1000"/>
      <c r="Y6" s="999"/>
      <c r="Z6" s="1000"/>
      <c r="AA6" s="999"/>
      <c r="AB6" s="1000"/>
      <c r="AC6" s="999"/>
      <c r="AD6" s="1000"/>
      <c r="AE6" s="999"/>
      <c r="AF6" s="1000"/>
      <c r="AG6" s="999"/>
      <c r="AH6" s="1000"/>
      <c r="AI6" s="999"/>
      <c r="AJ6" s="1000"/>
      <c r="AK6" s="999"/>
      <c r="AL6" s="1001"/>
      <c r="AM6" s="1000"/>
      <c r="AN6" s="999"/>
      <c r="AO6" s="1001"/>
      <c r="AP6" s="1000"/>
      <c r="AQ6" s="999"/>
      <c r="AR6" s="1001"/>
      <c r="AS6" s="1000"/>
      <c r="AT6" s="999"/>
      <c r="AU6" s="1001"/>
      <c r="AV6" s="1000"/>
      <c r="AW6" s="902"/>
      <c r="AX6" s="545"/>
      <c r="AY6" s="545"/>
      <c r="AZ6" s="545"/>
      <c r="BA6" s="545"/>
      <c r="BB6" s="545"/>
      <c r="BC6" s="545"/>
      <c r="BD6" s="545"/>
      <c r="BE6" s="545"/>
      <c r="BF6" s="545"/>
      <c r="BG6" s="545"/>
      <c r="BH6" s="545"/>
      <c r="BI6" s="545"/>
      <c r="BJ6" s="545">
        <v>0.2</v>
      </c>
      <c r="BK6" s="545">
        <v>0.17</v>
      </c>
      <c r="BL6" s="545">
        <v>0.08</v>
      </c>
      <c r="BM6" s="546">
        <v>0.09</v>
      </c>
      <c r="BN6" s="547">
        <v>0.09</v>
      </c>
    </row>
    <row r="7" spans="1:68" s="148" customFormat="1" outlineLevel="1">
      <c r="A7" s="1063"/>
      <c r="B7" s="1064"/>
      <c r="C7" s="1064"/>
      <c r="D7" s="1064"/>
      <c r="E7" s="1064"/>
      <c r="F7" s="1065"/>
      <c r="G7" s="1066"/>
      <c r="H7" s="248">
        <f>SUM(H8:H25)</f>
        <v>216400000</v>
      </c>
      <c r="I7" s="248">
        <f t="shared" ref="I7:BN7" si="0">SUM(I8:I25)</f>
        <v>216400000</v>
      </c>
      <c r="J7" s="248">
        <f t="shared" si="0"/>
        <v>216400000</v>
      </c>
      <c r="K7" s="248">
        <f t="shared" si="0"/>
        <v>216400000</v>
      </c>
      <c r="L7" s="248">
        <f t="shared" si="0"/>
        <v>243450000</v>
      </c>
      <c r="M7" s="248">
        <f t="shared" si="0"/>
        <v>243450000</v>
      </c>
      <c r="N7" s="248">
        <f t="shared" si="0"/>
        <v>243450000</v>
      </c>
      <c r="O7" s="248">
        <f t="shared" si="0"/>
        <v>243450000</v>
      </c>
      <c r="P7" s="248">
        <f t="shared" si="0"/>
        <v>351650000</v>
      </c>
      <c r="Q7" s="248">
        <f t="shared" si="0"/>
        <v>351650000</v>
      </c>
      <c r="R7" s="248">
        <f t="shared" si="0"/>
        <v>351650000</v>
      </c>
      <c r="S7" s="248">
        <f t="shared" si="0"/>
        <v>351650000</v>
      </c>
      <c r="T7" s="248">
        <f t="shared" si="0"/>
        <v>3246000000</v>
      </c>
      <c r="U7" s="248">
        <f t="shared" si="0"/>
        <v>506057011</v>
      </c>
      <c r="V7" s="248">
        <f t="shared" si="0"/>
        <v>350957113</v>
      </c>
      <c r="W7" s="248">
        <f t="shared" si="0"/>
        <v>311300000</v>
      </c>
      <c r="X7" s="248">
        <f t="shared" si="0"/>
        <v>238630590</v>
      </c>
      <c r="Y7" s="248">
        <f t="shared" si="0"/>
        <v>373300000</v>
      </c>
      <c r="Z7" s="248">
        <f t="shared" si="0"/>
        <v>312625767</v>
      </c>
      <c r="AA7" s="248">
        <f t="shared" si="0"/>
        <v>373300000</v>
      </c>
      <c r="AB7" s="248">
        <f t="shared" si="0"/>
        <v>298486727</v>
      </c>
      <c r="AC7" s="248">
        <f t="shared" si="0"/>
        <v>373300000</v>
      </c>
      <c r="AD7" s="248">
        <f t="shared" si="0"/>
        <v>207072879</v>
      </c>
      <c r="AE7" s="248">
        <f t="shared" si="0"/>
        <v>373300000</v>
      </c>
      <c r="AF7" s="248">
        <f t="shared" si="0"/>
        <v>310298862</v>
      </c>
      <c r="AG7" s="248">
        <f t="shared" si="0"/>
        <v>517800000</v>
      </c>
      <c r="AH7" s="248">
        <f t="shared" si="0"/>
        <v>180135539</v>
      </c>
      <c r="AI7" s="248">
        <f t="shared" si="0"/>
        <v>517800000</v>
      </c>
      <c r="AJ7" s="248">
        <f t="shared" si="0"/>
        <v>0</v>
      </c>
      <c r="AK7" s="248">
        <f t="shared" si="0"/>
        <v>517800000</v>
      </c>
      <c r="AL7" s="248">
        <f t="shared" si="0"/>
        <v>517800000</v>
      </c>
      <c r="AM7" s="248">
        <f t="shared" si="0"/>
        <v>0</v>
      </c>
      <c r="AN7" s="248">
        <f t="shared" si="0"/>
        <v>517800000</v>
      </c>
      <c r="AO7" s="248">
        <f t="shared" si="0"/>
        <v>517800000</v>
      </c>
      <c r="AP7" s="248">
        <f t="shared" si="0"/>
        <v>0</v>
      </c>
      <c r="AQ7" s="248">
        <f t="shared" si="0"/>
        <v>517800000</v>
      </c>
      <c r="AR7" s="248">
        <f t="shared" si="0"/>
        <v>517800000</v>
      </c>
      <c r="AS7" s="248">
        <f t="shared" si="0"/>
        <v>0</v>
      </c>
      <c r="AT7" s="248">
        <f t="shared" si="0"/>
        <v>517800000</v>
      </c>
      <c r="AU7" s="248">
        <f t="shared" si="0"/>
        <v>517800000</v>
      </c>
      <c r="AV7" s="248">
        <f t="shared" si="0"/>
        <v>4475464488</v>
      </c>
      <c r="AW7" s="248">
        <f t="shared" si="0"/>
        <v>4475464488</v>
      </c>
      <c r="AX7" s="248">
        <f t="shared" si="0"/>
        <v>608000000</v>
      </c>
      <c r="AY7" s="248">
        <f t="shared" si="0"/>
        <v>608000000</v>
      </c>
      <c r="AZ7" s="248">
        <f t="shared" si="0"/>
        <v>608000000</v>
      </c>
      <c r="BA7" s="248">
        <f t="shared" si="0"/>
        <v>608000000</v>
      </c>
      <c r="BB7" s="248">
        <f t="shared" si="0"/>
        <v>608000000</v>
      </c>
      <c r="BC7" s="248">
        <f t="shared" si="0"/>
        <v>608000000</v>
      </c>
      <c r="BD7" s="248">
        <f t="shared" si="0"/>
        <v>608000000</v>
      </c>
      <c r="BE7" s="248">
        <f t="shared" si="0"/>
        <v>608000000</v>
      </c>
      <c r="BF7" s="248">
        <f t="shared" si="0"/>
        <v>608000000</v>
      </c>
      <c r="BG7" s="248">
        <f t="shared" si="0"/>
        <v>608000000</v>
      </c>
      <c r="BH7" s="248">
        <f t="shared" si="0"/>
        <v>608000000</v>
      </c>
      <c r="BI7" s="248">
        <f t="shared" si="0"/>
        <v>608000000</v>
      </c>
      <c r="BJ7" s="248">
        <f>SUM(BJ8:BJ25)</f>
        <v>7296000000</v>
      </c>
      <c r="BK7" s="248">
        <f t="shared" si="0"/>
        <v>8536320000</v>
      </c>
      <c r="BL7" s="248">
        <f t="shared" si="0"/>
        <v>9219225600</v>
      </c>
      <c r="BM7" s="248">
        <f t="shared" si="0"/>
        <v>10048955904.000002</v>
      </c>
      <c r="BN7" s="248">
        <f t="shared" si="0"/>
        <v>10953361935.360003</v>
      </c>
    </row>
    <row r="8" spans="1:68">
      <c r="A8" s="1067">
        <v>1</v>
      </c>
      <c r="B8" s="1068" t="s">
        <v>40</v>
      </c>
      <c r="C8" s="1068" t="s">
        <v>1005</v>
      </c>
      <c r="D8" s="1068"/>
      <c r="E8" s="1068"/>
      <c r="F8" s="1069" t="s">
        <v>37</v>
      </c>
      <c r="G8" s="1069">
        <v>3000016547</v>
      </c>
      <c r="H8" s="159">
        <v>16000000</v>
      </c>
      <c r="I8" s="159">
        <v>16000000</v>
      </c>
      <c r="J8" s="159">
        <v>16000000</v>
      </c>
      <c r="K8" s="159">
        <v>16000000</v>
      </c>
      <c r="L8" s="159">
        <v>18000000</v>
      </c>
      <c r="M8" s="159">
        <v>18000000</v>
      </c>
      <c r="N8" s="159">
        <v>18000000</v>
      </c>
      <c r="O8" s="159">
        <v>18000000</v>
      </c>
      <c r="P8" s="159">
        <v>26000000</v>
      </c>
      <c r="Q8" s="159">
        <v>26000000</v>
      </c>
      <c r="R8" s="159">
        <v>26000000</v>
      </c>
      <c r="S8" s="159">
        <v>26000000</v>
      </c>
      <c r="T8" s="668">
        <f t="shared" ref="T8:T25" si="1">SUM(H8:S8)</f>
        <v>240000000</v>
      </c>
      <c r="U8" s="668">
        <v>48219373</v>
      </c>
      <c r="V8" s="668">
        <v>38591671</v>
      </c>
      <c r="W8" s="159">
        <v>40000000</v>
      </c>
      <c r="X8" s="668">
        <v>32135120</v>
      </c>
      <c r="Y8" s="159">
        <v>45000000</v>
      </c>
      <c r="Z8" s="668">
        <v>36601039</v>
      </c>
      <c r="AA8" s="159">
        <v>45000000</v>
      </c>
      <c r="AB8" s="668">
        <v>49477929</v>
      </c>
      <c r="AC8" s="159">
        <v>45000000</v>
      </c>
      <c r="AD8" s="668">
        <v>45431088</v>
      </c>
      <c r="AE8" s="159">
        <v>45000000</v>
      </c>
      <c r="AF8" s="668">
        <v>49889792</v>
      </c>
      <c r="AG8" s="159">
        <v>60000000</v>
      </c>
      <c r="AH8" s="903">
        <v>41627067</v>
      </c>
      <c r="AI8" s="540">
        <f t="shared" ref="AI8:AI25" si="2">AG8</f>
        <v>60000000</v>
      </c>
      <c r="AJ8" s="903"/>
      <c r="AK8" s="540">
        <v>60000000</v>
      </c>
      <c r="AL8" s="1002">
        <f t="shared" ref="AL8:AL25" si="3">AI8</f>
        <v>60000000</v>
      </c>
      <c r="AM8" s="903"/>
      <c r="AN8" s="540">
        <f t="shared" ref="AN8:AN25" si="4">AK8</f>
        <v>60000000</v>
      </c>
      <c r="AO8" s="1002">
        <f t="shared" ref="AO8:AO25" si="5">AL8</f>
        <v>60000000</v>
      </c>
      <c r="AP8" s="903"/>
      <c r="AQ8" s="540">
        <f t="shared" ref="AQ8:AQ25" si="6">AN8</f>
        <v>60000000</v>
      </c>
      <c r="AR8" s="1002">
        <f t="shared" ref="AR8:AR25" si="7">AO8</f>
        <v>60000000</v>
      </c>
      <c r="AS8" s="903"/>
      <c r="AT8" s="540">
        <f t="shared" ref="AT8:AT25" si="8">AQ8</f>
        <v>60000000</v>
      </c>
      <c r="AU8" s="1002">
        <f t="shared" ref="AU8:AU25" si="9">AR8</f>
        <v>60000000</v>
      </c>
      <c r="AV8" s="540">
        <f>SUM(U8,V8,X8,Z8,AB8,AD8,AF8,AH8,AK8,AN8,AQ8,AT8)</f>
        <v>581973079</v>
      </c>
      <c r="AW8" s="904">
        <f>SUM(U8,V8,X8,Z8,AB8,AD8,AF8,AH8,AL8,AO8,AR8,AU8)</f>
        <v>581973079</v>
      </c>
      <c r="AX8" s="548">
        <v>60000000</v>
      </c>
      <c r="AY8" s="548">
        <v>60000000</v>
      </c>
      <c r="AZ8" s="548">
        <v>60000000</v>
      </c>
      <c r="BA8" s="548">
        <v>60000000</v>
      </c>
      <c r="BB8" s="548">
        <v>60000000</v>
      </c>
      <c r="BC8" s="548">
        <v>60000000</v>
      </c>
      <c r="BD8" s="548">
        <v>60000000</v>
      </c>
      <c r="BE8" s="548">
        <v>60000000</v>
      </c>
      <c r="BF8" s="548">
        <v>60000000</v>
      </c>
      <c r="BG8" s="548">
        <v>60000000</v>
      </c>
      <c r="BH8" s="548">
        <v>60000000</v>
      </c>
      <c r="BI8" s="548">
        <v>60000000</v>
      </c>
      <c r="BJ8" s="536">
        <f>SUM(AX8,AY8,AZ8,BA8,BB8,BC8,BD8,BE8,BF8,BG8,BH8,BI8)</f>
        <v>720000000</v>
      </c>
      <c r="BK8" s="537">
        <f>BJ8*(1+BK$6)</f>
        <v>842400000</v>
      </c>
      <c r="BL8" s="537">
        <f>BK8*(1+BL$6)</f>
        <v>909792000.00000012</v>
      </c>
      <c r="BM8" s="537">
        <f>BL8*(1+BM$6)</f>
        <v>991673280.00000024</v>
      </c>
      <c r="BN8" s="549">
        <f>BM8*(1+BN$6)</f>
        <v>1080923875.2000003</v>
      </c>
      <c r="BP8" s="160"/>
    </row>
    <row r="9" spans="1:68">
      <c r="A9" s="1067">
        <v>2</v>
      </c>
      <c r="B9" s="1068" t="s">
        <v>40</v>
      </c>
      <c r="C9" s="1068" t="s">
        <v>1005</v>
      </c>
      <c r="D9" s="1068"/>
      <c r="E9" s="1068"/>
      <c r="F9" s="1069" t="s">
        <v>1006</v>
      </c>
      <c r="G9" s="1069">
        <v>3000020788</v>
      </c>
      <c r="H9" s="159">
        <v>24000000</v>
      </c>
      <c r="I9" s="159">
        <v>24000000</v>
      </c>
      <c r="J9" s="159">
        <v>24000000</v>
      </c>
      <c r="K9" s="159">
        <v>24000000</v>
      </c>
      <c r="L9" s="159">
        <v>27000000</v>
      </c>
      <c r="M9" s="159">
        <v>27000000</v>
      </c>
      <c r="N9" s="159">
        <v>27000000</v>
      </c>
      <c r="O9" s="159">
        <v>27000000</v>
      </c>
      <c r="P9" s="159">
        <v>39000000</v>
      </c>
      <c r="Q9" s="159">
        <v>39000000</v>
      </c>
      <c r="R9" s="159">
        <v>39000000</v>
      </c>
      <c r="S9" s="159">
        <v>39000000</v>
      </c>
      <c r="T9" s="668">
        <f t="shared" si="1"/>
        <v>360000000</v>
      </c>
      <c r="U9" s="668">
        <v>207791770</v>
      </c>
      <c r="V9" s="668">
        <v>132171517</v>
      </c>
      <c r="W9" s="159">
        <v>80000000</v>
      </c>
      <c r="X9" s="668">
        <v>71289630</v>
      </c>
      <c r="Y9" s="159">
        <v>100000000</v>
      </c>
      <c r="Z9" s="668">
        <v>86571817</v>
      </c>
      <c r="AA9" s="159">
        <v>100000000</v>
      </c>
      <c r="AB9" s="668">
        <v>61623180</v>
      </c>
      <c r="AC9" s="159">
        <v>100000000</v>
      </c>
      <c r="AD9" s="668">
        <v>10798318</v>
      </c>
      <c r="AE9" s="159">
        <v>100000000</v>
      </c>
      <c r="AF9" s="668">
        <v>39932641</v>
      </c>
      <c r="AG9" s="159">
        <v>170000000</v>
      </c>
      <c r="AH9" s="903">
        <v>-39932641</v>
      </c>
      <c r="AI9" s="540">
        <f t="shared" si="2"/>
        <v>170000000</v>
      </c>
      <c r="AJ9" s="903"/>
      <c r="AK9" s="540">
        <v>170000000</v>
      </c>
      <c r="AL9" s="1002">
        <f t="shared" si="3"/>
        <v>170000000</v>
      </c>
      <c r="AM9" s="903"/>
      <c r="AN9" s="540">
        <f t="shared" si="4"/>
        <v>170000000</v>
      </c>
      <c r="AO9" s="1002">
        <f t="shared" si="5"/>
        <v>170000000</v>
      </c>
      <c r="AP9" s="903"/>
      <c r="AQ9" s="540">
        <f t="shared" si="6"/>
        <v>170000000</v>
      </c>
      <c r="AR9" s="1002">
        <f t="shared" si="7"/>
        <v>170000000</v>
      </c>
      <c r="AS9" s="903"/>
      <c r="AT9" s="540">
        <f t="shared" si="8"/>
        <v>170000000</v>
      </c>
      <c r="AU9" s="1002">
        <f t="shared" si="9"/>
        <v>170000000</v>
      </c>
      <c r="AV9" s="540">
        <f t="shared" ref="AV9:AV25" si="10">SUM(U9,V9,X9,Z9,AB9,AD9,AF9,AH9,AK9,AN9,AQ9,AT9)</f>
        <v>1250246232</v>
      </c>
      <c r="AW9" s="904">
        <f t="shared" ref="AW9:AW25" si="11">SUM(U9,V9,X9,Z9,AB9,AD9,AF9,AH9,AL9,AO9,AR9,AU9)</f>
        <v>1250246232</v>
      </c>
      <c r="AX9" s="548">
        <v>0</v>
      </c>
      <c r="AY9" s="548">
        <v>0</v>
      </c>
      <c r="AZ9" s="548">
        <v>0</v>
      </c>
      <c r="BA9" s="548">
        <v>0</v>
      </c>
      <c r="BB9" s="548">
        <v>0</v>
      </c>
      <c r="BC9" s="548">
        <v>0</v>
      </c>
      <c r="BD9" s="548">
        <v>0</v>
      </c>
      <c r="BE9" s="548">
        <v>0</v>
      </c>
      <c r="BF9" s="548">
        <v>0</v>
      </c>
      <c r="BG9" s="548">
        <v>0</v>
      </c>
      <c r="BH9" s="548">
        <v>0</v>
      </c>
      <c r="BI9" s="548">
        <v>0</v>
      </c>
      <c r="BJ9" s="536">
        <f t="shared" ref="BJ9:BJ57" si="12">SUM(AX9,AY9,AZ9,BA9,BB9,BC9,BD9,BE9,BF9,BG9,BH9,BI9)</f>
        <v>0</v>
      </c>
      <c r="BK9" s="537">
        <f t="shared" ref="BK9:BN18" si="13">BJ9*(1+BK$6)</f>
        <v>0</v>
      </c>
      <c r="BL9" s="537">
        <f t="shared" si="13"/>
        <v>0</v>
      </c>
      <c r="BM9" s="537">
        <f t="shared" si="13"/>
        <v>0</v>
      </c>
      <c r="BN9" s="549">
        <f t="shared" si="13"/>
        <v>0</v>
      </c>
      <c r="BP9" s="160"/>
    </row>
    <row r="10" spans="1:68">
      <c r="A10" s="1067">
        <v>3</v>
      </c>
      <c r="B10" s="1068" t="s">
        <v>40</v>
      </c>
      <c r="C10" s="1070" t="s">
        <v>1007</v>
      </c>
      <c r="D10" s="1070"/>
      <c r="E10" s="1070"/>
      <c r="F10" s="1069" t="s">
        <v>1008</v>
      </c>
      <c r="G10" s="1069">
        <v>3000020791</v>
      </c>
      <c r="H10" s="159">
        <v>400000</v>
      </c>
      <c r="I10" s="159">
        <v>400000</v>
      </c>
      <c r="J10" s="159">
        <v>400000</v>
      </c>
      <c r="K10" s="159">
        <v>400000</v>
      </c>
      <c r="L10" s="159">
        <v>450000</v>
      </c>
      <c r="M10" s="159">
        <v>450000</v>
      </c>
      <c r="N10" s="159">
        <v>450000</v>
      </c>
      <c r="O10" s="159">
        <v>450000</v>
      </c>
      <c r="P10" s="159">
        <v>650000</v>
      </c>
      <c r="Q10" s="159">
        <v>650000</v>
      </c>
      <c r="R10" s="159">
        <v>650000</v>
      </c>
      <c r="S10" s="159">
        <v>650000</v>
      </c>
      <c r="T10" s="668">
        <f t="shared" si="1"/>
        <v>6000000</v>
      </c>
      <c r="U10" s="668">
        <v>721120</v>
      </c>
      <c r="V10" s="668">
        <v>575693</v>
      </c>
      <c r="W10" s="159">
        <v>500000</v>
      </c>
      <c r="X10" s="668">
        <v>457557</v>
      </c>
      <c r="Y10" s="159">
        <v>500000</v>
      </c>
      <c r="Z10" s="668">
        <v>359300</v>
      </c>
      <c r="AA10" s="159">
        <v>500000</v>
      </c>
      <c r="AB10" s="668">
        <v>509303</v>
      </c>
      <c r="AC10" s="159">
        <v>500000</v>
      </c>
      <c r="AD10" s="668">
        <v>305605</v>
      </c>
      <c r="AE10" s="159">
        <v>500000</v>
      </c>
      <c r="AF10" s="668">
        <v>342279</v>
      </c>
      <c r="AG10" s="159">
        <f>AE10</f>
        <v>500000</v>
      </c>
      <c r="AH10" s="903">
        <v>0</v>
      </c>
      <c r="AI10" s="540">
        <f t="shared" si="2"/>
        <v>500000</v>
      </c>
      <c r="AJ10" s="903"/>
      <c r="AK10" s="540">
        <v>500000</v>
      </c>
      <c r="AL10" s="1002">
        <f t="shared" si="3"/>
        <v>500000</v>
      </c>
      <c r="AM10" s="903"/>
      <c r="AN10" s="540">
        <f t="shared" si="4"/>
        <v>500000</v>
      </c>
      <c r="AO10" s="1002">
        <f t="shared" si="5"/>
        <v>500000</v>
      </c>
      <c r="AP10" s="903"/>
      <c r="AQ10" s="540">
        <f t="shared" si="6"/>
        <v>500000</v>
      </c>
      <c r="AR10" s="1002">
        <f t="shared" si="7"/>
        <v>500000</v>
      </c>
      <c r="AS10" s="903"/>
      <c r="AT10" s="540">
        <f t="shared" si="8"/>
        <v>500000</v>
      </c>
      <c r="AU10" s="1002">
        <f t="shared" si="9"/>
        <v>500000</v>
      </c>
      <c r="AV10" s="540">
        <f t="shared" si="10"/>
        <v>5270857</v>
      </c>
      <c r="AW10" s="904">
        <f t="shared" si="11"/>
        <v>5270857</v>
      </c>
      <c r="AX10" s="548">
        <v>0</v>
      </c>
      <c r="AY10" s="548">
        <v>0</v>
      </c>
      <c r="AZ10" s="548">
        <v>0</v>
      </c>
      <c r="BA10" s="548">
        <v>0</v>
      </c>
      <c r="BB10" s="548">
        <v>0</v>
      </c>
      <c r="BC10" s="548">
        <v>0</v>
      </c>
      <c r="BD10" s="548">
        <v>0</v>
      </c>
      <c r="BE10" s="548">
        <v>0</v>
      </c>
      <c r="BF10" s="548">
        <v>0</v>
      </c>
      <c r="BG10" s="548">
        <v>0</v>
      </c>
      <c r="BH10" s="548">
        <v>0</v>
      </c>
      <c r="BI10" s="548">
        <v>0</v>
      </c>
      <c r="BJ10" s="536">
        <f t="shared" si="12"/>
        <v>0</v>
      </c>
      <c r="BK10" s="537">
        <f t="shared" si="13"/>
        <v>0</v>
      </c>
      <c r="BL10" s="537">
        <f t="shared" si="13"/>
        <v>0</v>
      </c>
      <c r="BM10" s="537">
        <f t="shared" si="13"/>
        <v>0</v>
      </c>
      <c r="BN10" s="549">
        <f t="shared" si="13"/>
        <v>0</v>
      </c>
      <c r="BP10" s="160"/>
    </row>
    <row r="11" spans="1:68">
      <c r="A11" s="1067">
        <v>4</v>
      </c>
      <c r="B11" s="1068" t="s">
        <v>40</v>
      </c>
      <c r="C11" s="1068" t="s">
        <v>1005</v>
      </c>
      <c r="D11" s="1068"/>
      <c r="E11" s="1068"/>
      <c r="F11" s="1069" t="s">
        <v>1009</v>
      </c>
      <c r="G11" s="1069">
        <v>3000020792</v>
      </c>
      <c r="H11" s="159">
        <v>4000000</v>
      </c>
      <c r="I11" s="159">
        <v>4000000</v>
      </c>
      <c r="J11" s="159">
        <v>4000000</v>
      </c>
      <c r="K11" s="159">
        <v>4000000</v>
      </c>
      <c r="L11" s="159">
        <v>4500000</v>
      </c>
      <c r="M11" s="159">
        <v>4500000</v>
      </c>
      <c r="N11" s="159">
        <v>4500000</v>
      </c>
      <c r="O11" s="159">
        <v>4500000</v>
      </c>
      <c r="P11" s="159">
        <v>6500000</v>
      </c>
      <c r="Q11" s="159">
        <v>6500000</v>
      </c>
      <c r="R11" s="159">
        <v>6500000</v>
      </c>
      <c r="S11" s="159">
        <v>6500000</v>
      </c>
      <c r="T11" s="668">
        <f t="shared" si="1"/>
        <v>60000000</v>
      </c>
      <c r="U11" s="668">
        <v>1356750</v>
      </c>
      <c r="V11" s="668">
        <v>1341286</v>
      </c>
      <c r="W11" s="159">
        <v>1000000</v>
      </c>
      <c r="X11" s="668">
        <v>4312264</v>
      </c>
      <c r="Y11" s="159">
        <v>1500000</v>
      </c>
      <c r="Z11" s="668"/>
      <c r="AA11" s="159">
        <v>1500000</v>
      </c>
      <c r="AB11" s="668">
        <v>7074628</v>
      </c>
      <c r="AC11" s="159">
        <v>1500000</v>
      </c>
      <c r="AD11" s="668">
        <v>4038460</v>
      </c>
      <c r="AE11" s="159">
        <v>1500000</v>
      </c>
      <c r="AF11" s="668">
        <v>5836004</v>
      </c>
      <c r="AG11" s="159">
        <v>5000000</v>
      </c>
      <c r="AH11" s="903">
        <v>1387713</v>
      </c>
      <c r="AI11" s="540">
        <f t="shared" si="2"/>
        <v>5000000</v>
      </c>
      <c r="AJ11" s="903"/>
      <c r="AK11" s="540">
        <v>5000000</v>
      </c>
      <c r="AL11" s="1002">
        <f t="shared" si="3"/>
        <v>5000000</v>
      </c>
      <c r="AM11" s="903"/>
      <c r="AN11" s="540">
        <f t="shared" si="4"/>
        <v>5000000</v>
      </c>
      <c r="AO11" s="1002">
        <f t="shared" si="5"/>
        <v>5000000</v>
      </c>
      <c r="AP11" s="903"/>
      <c r="AQ11" s="540">
        <f t="shared" si="6"/>
        <v>5000000</v>
      </c>
      <c r="AR11" s="1002">
        <f t="shared" si="7"/>
        <v>5000000</v>
      </c>
      <c r="AS11" s="903"/>
      <c r="AT11" s="540">
        <f t="shared" si="8"/>
        <v>5000000</v>
      </c>
      <c r="AU11" s="1002">
        <f t="shared" si="9"/>
        <v>5000000</v>
      </c>
      <c r="AV11" s="540">
        <f t="shared" si="10"/>
        <v>45347105</v>
      </c>
      <c r="AW11" s="904">
        <f t="shared" si="11"/>
        <v>45347105</v>
      </c>
      <c r="AX11" s="548">
        <v>0</v>
      </c>
      <c r="AY11" s="548">
        <v>0</v>
      </c>
      <c r="AZ11" s="548">
        <v>0</v>
      </c>
      <c r="BA11" s="548">
        <v>0</v>
      </c>
      <c r="BB11" s="548">
        <v>0</v>
      </c>
      <c r="BC11" s="548">
        <v>0</v>
      </c>
      <c r="BD11" s="548">
        <v>0</v>
      </c>
      <c r="BE11" s="548">
        <v>0</v>
      </c>
      <c r="BF11" s="548">
        <v>0</v>
      </c>
      <c r="BG11" s="548">
        <v>0</v>
      </c>
      <c r="BH11" s="548">
        <v>0</v>
      </c>
      <c r="BI11" s="548">
        <v>0</v>
      </c>
      <c r="BJ11" s="536">
        <f t="shared" si="12"/>
        <v>0</v>
      </c>
      <c r="BK11" s="537">
        <f t="shared" si="13"/>
        <v>0</v>
      </c>
      <c r="BL11" s="537">
        <f t="shared" si="13"/>
        <v>0</v>
      </c>
      <c r="BM11" s="537">
        <f t="shared" si="13"/>
        <v>0</v>
      </c>
      <c r="BN11" s="549">
        <f t="shared" si="13"/>
        <v>0</v>
      </c>
      <c r="BP11" s="160"/>
    </row>
    <row r="12" spans="1:68">
      <c r="A12" s="1067">
        <v>5</v>
      </c>
      <c r="B12" s="1068" t="s">
        <v>40</v>
      </c>
      <c r="C12" s="1068" t="s">
        <v>1005</v>
      </c>
      <c r="D12" s="1068"/>
      <c r="E12" s="1068"/>
      <c r="F12" s="1069" t="s">
        <v>1010</v>
      </c>
      <c r="G12" s="1069">
        <v>3000020789</v>
      </c>
      <c r="H12" s="159">
        <v>800000</v>
      </c>
      <c r="I12" s="159">
        <v>800000</v>
      </c>
      <c r="J12" s="159">
        <v>800000</v>
      </c>
      <c r="K12" s="159">
        <v>800000</v>
      </c>
      <c r="L12" s="159">
        <v>900000</v>
      </c>
      <c r="M12" s="159">
        <v>900000</v>
      </c>
      <c r="N12" s="159">
        <v>900000</v>
      </c>
      <c r="O12" s="159">
        <v>900000</v>
      </c>
      <c r="P12" s="159">
        <v>1300000</v>
      </c>
      <c r="Q12" s="159">
        <v>1300000</v>
      </c>
      <c r="R12" s="159">
        <v>1300000</v>
      </c>
      <c r="S12" s="159">
        <v>1300000</v>
      </c>
      <c r="T12" s="668">
        <f t="shared" si="1"/>
        <v>12000000</v>
      </c>
      <c r="U12" s="668">
        <v>7450823</v>
      </c>
      <c r="V12" s="668">
        <v>6745438</v>
      </c>
      <c r="W12" s="159">
        <v>4000000</v>
      </c>
      <c r="X12" s="668">
        <v>2212720</v>
      </c>
      <c r="Y12" s="159">
        <v>7000000</v>
      </c>
      <c r="Z12" s="668">
        <v>2503038</v>
      </c>
      <c r="AA12" s="159">
        <v>7000000</v>
      </c>
      <c r="AB12" s="668">
        <v>2562360</v>
      </c>
      <c r="AC12" s="159">
        <v>7000000</v>
      </c>
      <c r="AD12" s="668">
        <v>3504345</v>
      </c>
      <c r="AE12" s="159">
        <v>7000000</v>
      </c>
      <c r="AF12" s="668">
        <v>1888722</v>
      </c>
      <c r="AG12" s="159">
        <f>AE12</f>
        <v>7000000</v>
      </c>
      <c r="AH12" s="903">
        <v>1824813</v>
      </c>
      <c r="AI12" s="540">
        <f t="shared" si="2"/>
        <v>7000000</v>
      </c>
      <c r="AJ12" s="903"/>
      <c r="AK12" s="540">
        <v>7000000</v>
      </c>
      <c r="AL12" s="1002">
        <f t="shared" si="3"/>
        <v>7000000</v>
      </c>
      <c r="AM12" s="903"/>
      <c r="AN12" s="540">
        <f t="shared" si="4"/>
        <v>7000000</v>
      </c>
      <c r="AO12" s="1002">
        <f t="shared" si="5"/>
        <v>7000000</v>
      </c>
      <c r="AP12" s="903"/>
      <c r="AQ12" s="540">
        <f t="shared" si="6"/>
        <v>7000000</v>
      </c>
      <c r="AR12" s="1002">
        <f t="shared" si="7"/>
        <v>7000000</v>
      </c>
      <c r="AS12" s="903"/>
      <c r="AT12" s="540">
        <f t="shared" si="8"/>
        <v>7000000</v>
      </c>
      <c r="AU12" s="1002">
        <f t="shared" si="9"/>
        <v>7000000</v>
      </c>
      <c r="AV12" s="540">
        <f t="shared" si="10"/>
        <v>56692259</v>
      </c>
      <c r="AW12" s="904">
        <f t="shared" si="11"/>
        <v>56692259</v>
      </c>
      <c r="AX12" s="548">
        <v>7000000</v>
      </c>
      <c r="AY12" s="548">
        <v>7000000</v>
      </c>
      <c r="AZ12" s="548">
        <v>7000000</v>
      </c>
      <c r="BA12" s="548">
        <v>7000000</v>
      </c>
      <c r="BB12" s="548">
        <v>7000000</v>
      </c>
      <c r="BC12" s="548">
        <v>7000000</v>
      </c>
      <c r="BD12" s="548">
        <v>7000000</v>
      </c>
      <c r="BE12" s="548">
        <v>7000000</v>
      </c>
      <c r="BF12" s="548">
        <v>7000000</v>
      </c>
      <c r="BG12" s="548">
        <v>7000000</v>
      </c>
      <c r="BH12" s="548">
        <v>7000000</v>
      </c>
      <c r="BI12" s="548">
        <v>7000000</v>
      </c>
      <c r="BJ12" s="536">
        <f t="shared" si="12"/>
        <v>84000000</v>
      </c>
      <c r="BK12" s="537">
        <f t="shared" si="13"/>
        <v>98280000</v>
      </c>
      <c r="BL12" s="537">
        <f t="shared" si="13"/>
        <v>106142400</v>
      </c>
      <c r="BM12" s="537">
        <f t="shared" si="13"/>
        <v>115695216.00000001</v>
      </c>
      <c r="BN12" s="549">
        <f t="shared" si="13"/>
        <v>126107785.44000003</v>
      </c>
      <c r="BP12" s="160"/>
    </row>
    <row r="13" spans="1:68">
      <c r="A13" s="1067">
        <v>6</v>
      </c>
      <c r="B13" s="1068" t="s">
        <v>40</v>
      </c>
      <c r="C13" s="1068" t="s">
        <v>1005</v>
      </c>
      <c r="D13" s="1068"/>
      <c r="E13" s="1068"/>
      <c r="F13" s="1069" t="s">
        <v>379</v>
      </c>
      <c r="G13" s="1069">
        <v>3000016571</v>
      </c>
      <c r="H13" s="159">
        <v>8000000</v>
      </c>
      <c r="I13" s="159">
        <v>8000000</v>
      </c>
      <c r="J13" s="159">
        <v>8000000</v>
      </c>
      <c r="K13" s="159">
        <v>8000000</v>
      </c>
      <c r="L13" s="159">
        <v>9000000</v>
      </c>
      <c r="M13" s="159">
        <v>9000000</v>
      </c>
      <c r="N13" s="159">
        <v>9000000</v>
      </c>
      <c r="O13" s="159">
        <v>9000000</v>
      </c>
      <c r="P13" s="159">
        <v>13000000</v>
      </c>
      <c r="Q13" s="159">
        <v>13000000</v>
      </c>
      <c r="R13" s="159">
        <v>13000000</v>
      </c>
      <c r="S13" s="159">
        <v>13000000</v>
      </c>
      <c r="T13" s="668">
        <f t="shared" si="1"/>
        <v>120000000</v>
      </c>
      <c r="U13" s="668">
        <v>7670148</v>
      </c>
      <c r="V13" s="668">
        <v>15936891</v>
      </c>
      <c r="W13" s="159">
        <v>7000000</v>
      </c>
      <c r="X13" s="668">
        <v>13019428</v>
      </c>
      <c r="Y13" s="159">
        <v>15000000</v>
      </c>
      <c r="Z13" s="668">
        <v>18220300</v>
      </c>
      <c r="AA13" s="159">
        <v>15000000</v>
      </c>
      <c r="AB13" s="668">
        <v>23125000</v>
      </c>
      <c r="AC13" s="159">
        <v>15000000</v>
      </c>
      <c r="AD13" s="668">
        <v>18315800</v>
      </c>
      <c r="AE13" s="159">
        <v>15000000</v>
      </c>
      <c r="AF13" s="668">
        <v>22216900</v>
      </c>
      <c r="AG13" s="159">
        <v>30000000</v>
      </c>
      <c r="AH13" s="903">
        <v>27422000</v>
      </c>
      <c r="AI13" s="540">
        <f t="shared" si="2"/>
        <v>30000000</v>
      </c>
      <c r="AJ13" s="903"/>
      <c r="AK13" s="540">
        <v>30000000</v>
      </c>
      <c r="AL13" s="1002">
        <f t="shared" si="3"/>
        <v>30000000</v>
      </c>
      <c r="AM13" s="903"/>
      <c r="AN13" s="540">
        <f t="shared" si="4"/>
        <v>30000000</v>
      </c>
      <c r="AO13" s="1002">
        <f t="shared" si="5"/>
        <v>30000000</v>
      </c>
      <c r="AP13" s="903"/>
      <c r="AQ13" s="540">
        <f t="shared" si="6"/>
        <v>30000000</v>
      </c>
      <c r="AR13" s="1002">
        <f t="shared" si="7"/>
        <v>30000000</v>
      </c>
      <c r="AS13" s="903"/>
      <c r="AT13" s="540">
        <f t="shared" si="8"/>
        <v>30000000</v>
      </c>
      <c r="AU13" s="1002">
        <f t="shared" si="9"/>
        <v>30000000</v>
      </c>
      <c r="AV13" s="540">
        <f t="shared" si="10"/>
        <v>265926467</v>
      </c>
      <c r="AW13" s="904">
        <f t="shared" si="11"/>
        <v>265926467</v>
      </c>
      <c r="AX13" s="548">
        <v>35000000</v>
      </c>
      <c r="AY13" s="548">
        <v>35000000</v>
      </c>
      <c r="AZ13" s="548">
        <v>35000000</v>
      </c>
      <c r="BA13" s="548">
        <v>35000000</v>
      </c>
      <c r="BB13" s="548">
        <v>35000000</v>
      </c>
      <c r="BC13" s="548">
        <v>35000000</v>
      </c>
      <c r="BD13" s="548">
        <v>35000000</v>
      </c>
      <c r="BE13" s="548">
        <v>35000000</v>
      </c>
      <c r="BF13" s="548">
        <v>35000000</v>
      </c>
      <c r="BG13" s="548">
        <v>35000000</v>
      </c>
      <c r="BH13" s="548">
        <v>35000000</v>
      </c>
      <c r="BI13" s="548">
        <v>35000000</v>
      </c>
      <c r="BJ13" s="536">
        <f t="shared" si="12"/>
        <v>420000000</v>
      </c>
      <c r="BK13" s="537">
        <f t="shared" si="13"/>
        <v>491399999.99999994</v>
      </c>
      <c r="BL13" s="537">
        <f t="shared" si="13"/>
        <v>530712000</v>
      </c>
      <c r="BM13" s="537">
        <f t="shared" si="13"/>
        <v>578476080</v>
      </c>
      <c r="BN13" s="549">
        <f t="shared" si="13"/>
        <v>630538927.20000005</v>
      </c>
      <c r="BP13" s="160"/>
    </row>
    <row r="14" spans="1:68">
      <c r="A14" s="1067">
        <v>7</v>
      </c>
      <c r="B14" s="1068" t="s">
        <v>40</v>
      </c>
      <c r="C14" s="1068" t="s">
        <v>1007</v>
      </c>
      <c r="D14" s="1068"/>
      <c r="E14" s="1068"/>
      <c r="F14" s="1069" t="s">
        <v>745</v>
      </c>
      <c r="G14" s="1069">
        <v>8000000062</v>
      </c>
      <c r="H14" s="159">
        <v>24000000</v>
      </c>
      <c r="I14" s="159">
        <v>24000000</v>
      </c>
      <c r="J14" s="159">
        <v>24000000</v>
      </c>
      <c r="K14" s="159">
        <v>24000000</v>
      </c>
      <c r="L14" s="159">
        <v>27000000</v>
      </c>
      <c r="M14" s="159">
        <v>27000000</v>
      </c>
      <c r="N14" s="159">
        <v>27000000</v>
      </c>
      <c r="O14" s="159">
        <v>27000000</v>
      </c>
      <c r="P14" s="159">
        <v>39000000</v>
      </c>
      <c r="Q14" s="159">
        <v>39000000</v>
      </c>
      <c r="R14" s="159">
        <v>39000000</v>
      </c>
      <c r="S14" s="159">
        <v>39000000</v>
      </c>
      <c r="T14" s="668">
        <f t="shared" si="1"/>
        <v>360000000</v>
      </c>
      <c r="U14" s="668">
        <v>19005547</v>
      </c>
      <c r="V14" s="668">
        <v>19772009</v>
      </c>
      <c r="W14" s="159">
        <v>18000000</v>
      </c>
      <c r="X14" s="668">
        <v>16765021</v>
      </c>
      <c r="Y14" s="159">
        <v>20000000</v>
      </c>
      <c r="Z14" s="668">
        <v>17011280</v>
      </c>
      <c r="AA14" s="159">
        <v>20000000</v>
      </c>
      <c r="AB14" s="668">
        <v>14839300</v>
      </c>
      <c r="AC14" s="159">
        <v>20000000</v>
      </c>
      <c r="AD14" s="668">
        <v>13526473</v>
      </c>
      <c r="AE14" s="159">
        <v>20000000</v>
      </c>
      <c r="AF14" s="668">
        <v>21158299</v>
      </c>
      <c r="AG14" s="159">
        <f>AE14</f>
        <v>20000000</v>
      </c>
      <c r="AH14" s="903">
        <v>10548603</v>
      </c>
      <c r="AI14" s="540">
        <f t="shared" si="2"/>
        <v>20000000</v>
      </c>
      <c r="AJ14" s="903"/>
      <c r="AK14" s="540">
        <v>20000000</v>
      </c>
      <c r="AL14" s="1002">
        <f t="shared" si="3"/>
        <v>20000000</v>
      </c>
      <c r="AM14" s="903"/>
      <c r="AN14" s="540">
        <f t="shared" si="4"/>
        <v>20000000</v>
      </c>
      <c r="AO14" s="1002">
        <f t="shared" si="5"/>
        <v>20000000</v>
      </c>
      <c r="AP14" s="903"/>
      <c r="AQ14" s="540">
        <f t="shared" si="6"/>
        <v>20000000</v>
      </c>
      <c r="AR14" s="1002">
        <f t="shared" si="7"/>
        <v>20000000</v>
      </c>
      <c r="AS14" s="903"/>
      <c r="AT14" s="540">
        <f t="shared" si="8"/>
        <v>20000000</v>
      </c>
      <c r="AU14" s="1002">
        <f t="shared" si="9"/>
        <v>20000000</v>
      </c>
      <c r="AV14" s="540">
        <f t="shared" si="10"/>
        <v>212626532</v>
      </c>
      <c r="AW14" s="904">
        <f t="shared" si="11"/>
        <v>212626532</v>
      </c>
      <c r="AX14" s="548">
        <v>30000000</v>
      </c>
      <c r="AY14" s="548">
        <v>30000000</v>
      </c>
      <c r="AZ14" s="548">
        <v>30000000</v>
      </c>
      <c r="BA14" s="548">
        <v>30000000</v>
      </c>
      <c r="BB14" s="548">
        <v>30000000</v>
      </c>
      <c r="BC14" s="548">
        <v>30000000</v>
      </c>
      <c r="BD14" s="548">
        <v>30000000</v>
      </c>
      <c r="BE14" s="548">
        <v>30000000</v>
      </c>
      <c r="BF14" s="548">
        <v>30000000</v>
      </c>
      <c r="BG14" s="548">
        <v>30000000</v>
      </c>
      <c r="BH14" s="548">
        <v>30000000</v>
      </c>
      <c r="BI14" s="548">
        <v>30000000</v>
      </c>
      <c r="BJ14" s="536">
        <f t="shared" si="12"/>
        <v>360000000</v>
      </c>
      <c r="BK14" s="537">
        <f t="shared" si="13"/>
        <v>421200000</v>
      </c>
      <c r="BL14" s="537">
        <f t="shared" si="13"/>
        <v>454896000.00000006</v>
      </c>
      <c r="BM14" s="537">
        <f t="shared" si="13"/>
        <v>495836640.00000012</v>
      </c>
      <c r="BN14" s="549">
        <f t="shared" si="13"/>
        <v>540461937.60000014</v>
      </c>
      <c r="BP14" s="160"/>
    </row>
    <row r="15" spans="1:68">
      <c r="A15" s="1067">
        <v>8</v>
      </c>
      <c r="B15" s="1068" t="s">
        <v>40</v>
      </c>
      <c r="C15" s="1068" t="s">
        <v>1007</v>
      </c>
      <c r="D15" s="1068"/>
      <c r="E15" s="1068"/>
      <c r="F15" s="1069" t="s">
        <v>814</v>
      </c>
      <c r="G15" s="1069">
        <v>3000020794</v>
      </c>
      <c r="H15" s="159">
        <v>8000000</v>
      </c>
      <c r="I15" s="159">
        <v>8000000</v>
      </c>
      <c r="J15" s="159">
        <v>8000000</v>
      </c>
      <c r="K15" s="159">
        <v>8000000</v>
      </c>
      <c r="L15" s="159">
        <v>9000000</v>
      </c>
      <c r="M15" s="159">
        <v>9000000</v>
      </c>
      <c r="N15" s="159">
        <v>9000000</v>
      </c>
      <c r="O15" s="159">
        <v>9000000</v>
      </c>
      <c r="P15" s="159">
        <v>13000000</v>
      </c>
      <c r="Q15" s="159">
        <v>13000000</v>
      </c>
      <c r="R15" s="159">
        <v>13000000</v>
      </c>
      <c r="S15" s="159">
        <v>13000000</v>
      </c>
      <c r="T15" s="668">
        <f t="shared" si="1"/>
        <v>120000000</v>
      </c>
      <c r="U15" s="668">
        <v>51524957</v>
      </c>
      <c r="V15" s="668">
        <v>46395047</v>
      </c>
      <c r="W15" s="159">
        <v>40000000</v>
      </c>
      <c r="X15" s="668">
        <v>46591191</v>
      </c>
      <c r="Y15" s="159">
        <v>45000000</v>
      </c>
      <c r="Z15" s="668">
        <v>48324968</v>
      </c>
      <c r="AA15" s="159">
        <v>45000000</v>
      </c>
      <c r="AB15" s="668">
        <v>50329700</v>
      </c>
      <c r="AC15" s="159">
        <v>45000000</v>
      </c>
      <c r="AD15" s="668">
        <v>43395341</v>
      </c>
      <c r="AE15" s="159">
        <v>45000000</v>
      </c>
      <c r="AF15" s="668">
        <v>71621832</v>
      </c>
      <c r="AG15" s="159">
        <v>60000000</v>
      </c>
      <c r="AH15" s="903">
        <v>18926868</v>
      </c>
      <c r="AI15" s="540">
        <f t="shared" si="2"/>
        <v>60000000</v>
      </c>
      <c r="AJ15" s="903"/>
      <c r="AK15" s="540">
        <v>60000000</v>
      </c>
      <c r="AL15" s="1002">
        <f t="shared" si="3"/>
        <v>60000000</v>
      </c>
      <c r="AM15" s="903"/>
      <c r="AN15" s="540">
        <f t="shared" si="4"/>
        <v>60000000</v>
      </c>
      <c r="AO15" s="1002">
        <f t="shared" si="5"/>
        <v>60000000</v>
      </c>
      <c r="AP15" s="903"/>
      <c r="AQ15" s="540">
        <f t="shared" si="6"/>
        <v>60000000</v>
      </c>
      <c r="AR15" s="1002">
        <f t="shared" si="7"/>
        <v>60000000</v>
      </c>
      <c r="AS15" s="903"/>
      <c r="AT15" s="540">
        <f t="shared" si="8"/>
        <v>60000000</v>
      </c>
      <c r="AU15" s="1002">
        <f t="shared" si="9"/>
        <v>60000000</v>
      </c>
      <c r="AV15" s="540">
        <f t="shared" si="10"/>
        <v>617109904</v>
      </c>
      <c r="AW15" s="904">
        <f t="shared" si="11"/>
        <v>617109904</v>
      </c>
      <c r="AX15" s="548">
        <v>100000000</v>
      </c>
      <c r="AY15" s="548">
        <v>100000000</v>
      </c>
      <c r="AZ15" s="548">
        <v>100000000</v>
      </c>
      <c r="BA15" s="548">
        <v>100000000</v>
      </c>
      <c r="BB15" s="548">
        <v>100000000</v>
      </c>
      <c r="BC15" s="548">
        <v>100000000</v>
      </c>
      <c r="BD15" s="548">
        <v>100000000</v>
      </c>
      <c r="BE15" s="548">
        <v>100000000</v>
      </c>
      <c r="BF15" s="548">
        <v>100000000</v>
      </c>
      <c r="BG15" s="548">
        <v>100000000</v>
      </c>
      <c r="BH15" s="548">
        <v>100000000</v>
      </c>
      <c r="BI15" s="548">
        <v>100000000</v>
      </c>
      <c r="BJ15" s="536">
        <f t="shared" si="12"/>
        <v>1200000000</v>
      </c>
      <c r="BK15" s="537">
        <f t="shared" si="13"/>
        <v>1404000000</v>
      </c>
      <c r="BL15" s="537">
        <f t="shared" si="13"/>
        <v>1516320000</v>
      </c>
      <c r="BM15" s="537">
        <f t="shared" si="13"/>
        <v>1652788800.0000002</v>
      </c>
      <c r="BN15" s="549">
        <f t="shared" si="13"/>
        <v>1801539792.0000005</v>
      </c>
      <c r="BP15" s="160"/>
    </row>
    <row r="16" spans="1:68">
      <c r="A16" s="1067">
        <v>9</v>
      </c>
      <c r="B16" s="1068" t="s">
        <v>40</v>
      </c>
      <c r="C16" s="1068" t="s">
        <v>1007</v>
      </c>
      <c r="D16" s="1068"/>
      <c r="E16" s="1068"/>
      <c r="F16" s="1069" t="s">
        <v>1011</v>
      </c>
      <c r="G16" s="1069">
        <v>3000020795</v>
      </c>
      <c r="H16" s="159">
        <v>8000000</v>
      </c>
      <c r="I16" s="159">
        <v>8000000</v>
      </c>
      <c r="J16" s="159">
        <v>8000000</v>
      </c>
      <c r="K16" s="159">
        <v>8000000</v>
      </c>
      <c r="L16" s="159">
        <v>9000000</v>
      </c>
      <c r="M16" s="159">
        <v>9000000</v>
      </c>
      <c r="N16" s="159">
        <v>9000000</v>
      </c>
      <c r="O16" s="159">
        <v>9000000</v>
      </c>
      <c r="P16" s="159">
        <v>13000000</v>
      </c>
      <c r="Q16" s="159">
        <v>13000000</v>
      </c>
      <c r="R16" s="159">
        <v>13000000</v>
      </c>
      <c r="S16" s="159">
        <v>13000000</v>
      </c>
      <c r="T16" s="668">
        <f t="shared" si="1"/>
        <v>120000000</v>
      </c>
      <c r="U16" s="668">
        <v>4111268</v>
      </c>
      <c r="V16" s="668">
        <v>5023395</v>
      </c>
      <c r="W16" s="159">
        <v>3000000</v>
      </c>
      <c r="X16" s="668">
        <v>4884086</v>
      </c>
      <c r="Y16" s="159">
        <v>4000000</v>
      </c>
      <c r="Z16" s="668">
        <v>7541770</v>
      </c>
      <c r="AA16" s="159">
        <v>4000000</v>
      </c>
      <c r="AB16" s="668">
        <v>5638239</v>
      </c>
      <c r="AC16" s="159">
        <v>4000000</v>
      </c>
      <c r="AD16" s="668">
        <v>14709220</v>
      </c>
      <c r="AE16" s="159">
        <v>4000000</v>
      </c>
      <c r="AF16" s="668">
        <v>-531262</v>
      </c>
      <c r="AG16" s="159">
        <f>AE16</f>
        <v>4000000</v>
      </c>
      <c r="AH16" s="903">
        <v>7926763</v>
      </c>
      <c r="AI16" s="540">
        <f t="shared" si="2"/>
        <v>4000000</v>
      </c>
      <c r="AJ16" s="903"/>
      <c r="AK16" s="540">
        <v>4000000</v>
      </c>
      <c r="AL16" s="1002">
        <f t="shared" si="3"/>
        <v>4000000</v>
      </c>
      <c r="AM16" s="903"/>
      <c r="AN16" s="540">
        <f t="shared" si="4"/>
        <v>4000000</v>
      </c>
      <c r="AO16" s="1002">
        <f t="shared" si="5"/>
        <v>4000000</v>
      </c>
      <c r="AP16" s="903"/>
      <c r="AQ16" s="540">
        <f t="shared" si="6"/>
        <v>4000000</v>
      </c>
      <c r="AR16" s="1002">
        <f t="shared" si="7"/>
        <v>4000000</v>
      </c>
      <c r="AS16" s="903"/>
      <c r="AT16" s="540">
        <f t="shared" si="8"/>
        <v>4000000</v>
      </c>
      <c r="AU16" s="1002">
        <f t="shared" si="9"/>
        <v>4000000</v>
      </c>
      <c r="AV16" s="540">
        <f t="shared" si="10"/>
        <v>65303479</v>
      </c>
      <c r="AW16" s="904">
        <f t="shared" si="11"/>
        <v>65303479</v>
      </c>
      <c r="AX16" s="548">
        <v>200000000</v>
      </c>
      <c r="AY16" s="548">
        <v>200000000</v>
      </c>
      <c r="AZ16" s="548">
        <v>200000000</v>
      </c>
      <c r="BA16" s="548">
        <v>200000000</v>
      </c>
      <c r="BB16" s="548">
        <v>200000000</v>
      </c>
      <c r="BC16" s="548">
        <v>200000000</v>
      </c>
      <c r="BD16" s="548">
        <v>200000000</v>
      </c>
      <c r="BE16" s="548">
        <v>200000000</v>
      </c>
      <c r="BF16" s="548">
        <v>200000000</v>
      </c>
      <c r="BG16" s="548">
        <v>200000000</v>
      </c>
      <c r="BH16" s="548">
        <v>200000000</v>
      </c>
      <c r="BI16" s="548">
        <v>200000000</v>
      </c>
      <c r="BJ16" s="536">
        <f t="shared" si="12"/>
        <v>2400000000</v>
      </c>
      <c r="BK16" s="537">
        <f t="shared" si="13"/>
        <v>2808000000</v>
      </c>
      <c r="BL16" s="537">
        <f t="shared" si="13"/>
        <v>3032640000</v>
      </c>
      <c r="BM16" s="537">
        <f t="shared" si="13"/>
        <v>3305577600.0000005</v>
      </c>
      <c r="BN16" s="549">
        <f t="shared" si="13"/>
        <v>3603079584.000001</v>
      </c>
      <c r="BP16" s="160"/>
    </row>
    <row r="17" spans="1:68">
      <c r="A17" s="1067">
        <v>10</v>
      </c>
      <c r="B17" s="1068" t="s">
        <v>40</v>
      </c>
      <c r="C17" s="1068" t="s">
        <v>1007</v>
      </c>
      <c r="D17" s="1068"/>
      <c r="E17" s="1068"/>
      <c r="F17" s="1069" t="s">
        <v>1012</v>
      </c>
      <c r="G17" s="1069">
        <v>3000020796</v>
      </c>
      <c r="H17" s="159">
        <v>28000000</v>
      </c>
      <c r="I17" s="159">
        <v>28000000</v>
      </c>
      <c r="J17" s="159">
        <v>28000000</v>
      </c>
      <c r="K17" s="159">
        <v>28000000</v>
      </c>
      <c r="L17" s="159">
        <v>31500000</v>
      </c>
      <c r="M17" s="159">
        <v>31500000</v>
      </c>
      <c r="N17" s="159">
        <v>31500000</v>
      </c>
      <c r="O17" s="159">
        <v>31500000</v>
      </c>
      <c r="P17" s="159">
        <v>45500000</v>
      </c>
      <c r="Q17" s="159">
        <v>45500000</v>
      </c>
      <c r="R17" s="159">
        <v>45500000</v>
      </c>
      <c r="S17" s="159">
        <v>45500000</v>
      </c>
      <c r="T17" s="668">
        <f t="shared" si="1"/>
        <v>420000000</v>
      </c>
      <c r="U17" s="668">
        <v>40756492</v>
      </c>
      <c r="V17" s="668">
        <v>28467050</v>
      </c>
      <c r="W17" s="159">
        <v>35000000</v>
      </c>
      <c r="X17" s="668">
        <v>28107206</v>
      </c>
      <c r="Y17" s="159">
        <v>38000000</v>
      </c>
      <c r="Z17" s="668">
        <v>20788273</v>
      </c>
      <c r="AA17" s="159">
        <v>38000000</v>
      </c>
      <c r="AB17" s="668">
        <v>13243547</v>
      </c>
      <c r="AC17" s="159">
        <v>38000000</v>
      </c>
      <c r="AD17" s="668">
        <v>0</v>
      </c>
      <c r="AE17" s="159">
        <v>38000000</v>
      </c>
      <c r="AF17" s="668">
        <v>19673020</v>
      </c>
      <c r="AG17" s="159">
        <v>50000000</v>
      </c>
      <c r="AH17" s="903">
        <v>10997423</v>
      </c>
      <c r="AI17" s="540">
        <f t="shared" si="2"/>
        <v>50000000</v>
      </c>
      <c r="AJ17" s="903"/>
      <c r="AK17" s="540">
        <v>50000000</v>
      </c>
      <c r="AL17" s="1002">
        <f t="shared" si="3"/>
        <v>50000000</v>
      </c>
      <c r="AM17" s="903"/>
      <c r="AN17" s="540">
        <f t="shared" si="4"/>
        <v>50000000</v>
      </c>
      <c r="AO17" s="1002">
        <f t="shared" si="5"/>
        <v>50000000</v>
      </c>
      <c r="AP17" s="903"/>
      <c r="AQ17" s="540">
        <f t="shared" si="6"/>
        <v>50000000</v>
      </c>
      <c r="AR17" s="1002">
        <f t="shared" si="7"/>
        <v>50000000</v>
      </c>
      <c r="AS17" s="903"/>
      <c r="AT17" s="540">
        <f t="shared" si="8"/>
        <v>50000000</v>
      </c>
      <c r="AU17" s="1002">
        <f t="shared" si="9"/>
        <v>50000000</v>
      </c>
      <c r="AV17" s="540">
        <f t="shared" si="10"/>
        <v>362033011</v>
      </c>
      <c r="AW17" s="904">
        <f t="shared" si="11"/>
        <v>362033011</v>
      </c>
      <c r="AX17" s="548">
        <v>50000000</v>
      </c>
      <c r="AY17" s="548">
        <v>50000000</v>
      </c>
      <c r="AZ17" s="548">
        <v>50000000</v>
      </c>
      <c r="BA17" s="548">
        <v>50000000</v>
      </c>
      <c r="BB17" s="548">
        <v>50000000</v>
      </c>
      <c r="BC17" s="548">
        <v>50000000</v>
      </c>
      <c r="BD17" s="548">
        <v>50000000</v>
      </c>
      <c r="BE17" s="548">
        <v>50000000</v>
      </c>
      <c r="BF17" s="548">
        <v>50000000</v>
      </c>
      <c r="BG17" s="548">
        <v>50000000</v>
      </c>
      <c r="BH17" s="548">
        <v>50000000</v>
      </c>
      <c r="BI17" s="548">
        <v>50000000</v>
      </c>
      <c r="BJ17" s="536">
        <f t="shared" si="12"/>
        <v>600000000</v>
      </c>
      <c r="BK17" s="537">
        <f t="shared" si="13"/>
        <v>702000000</v>
      </c>
      <c r="BL17" s="537">
        <f t="shared" si="13"/>
        <v>758160000</v>
      </c>
      <c r="BM17" s="537">
        <f t="shared" si="13"/>
        <v>826394400.00000012</v>
      </c>
      <c r="BN17" s="549">
        <f t="shared" si="13"/>
        <v>900769896.00000024</v>
      </c>
      <c r="BP17" s="160"/>
    </row>
    <row r="18" spans="1:68">
      <c r="A18" s="1067">
        <v>11</v>
      </c>
      <c r="B18" s="1068" t="s">
        <v>40</v>
      </c>
      <c r="C18" s="1068" t="s">
        <v>1005</v>
      </c>
      <c r="D18" s="1068"/>
      <c r="E18" s="1068"/>
      <c r="F18" s="1069" t="s">
        <v>1013</v>
      </c>
      <c r="G18" s="1069">
        <v>3000020797</v>
      </c>
      <c r="H18" s="159">
        <v>4000000</v>
      </c>
      <c r="I18" s="159">
        <v>4000000</v>
      </c>
      <c r="J18" s="159">
        <v>4000000</v>
      </c>
      <c r="K18" s="159">
        <v>4000000</v>
      </c>
      <c r="L18" s="159">
        <v>4500000</v>
      </c>
      <c r="M18" s="159">
        <v>4500000</v>
      </c>
      <c r="N18" s="159">
        <v>4500000</v>
      </c>
      <c r="O18" s="159">
        <v>4500000</v>
      </c>
      <c r="P18" s="159">
        <v>6500000</v>
      </c>
      <c r="Q18" s="159">
        <v>6500000</v>
      </c>
      <c r="R18" s="159">
        <v>6500000</v>
      </c>
      <c r="S18" s="159">
        <v>6500000</v>
      </c>
      <c r="T18" s="668">
        <f t="shared" si="1"/>
        <v>60000000</v>
      </c>
      <c r="U18" s="668">
        <v>838860</v>
      </c>
      <c r="V18" s="668">
        <v>767680</v>
      </c>
      <c r="W18" s="159">
        <v>800000</v>
      </c>
      <c r="X18" s="668">
        <v>676500</v>
      </c>
      <c r="Y18" s="159">
        <v>800000</v>
      </c>
      <c r="Z18" s="668">
        <v>838860</v>
      </c>
      <c r="AA18" s="159">
        <v>800000</v>
      </c>
      <c r="AB18" s="668">
        <v>811800</v>
      </c>
      <c r="AC18" s="159">
        <v>800000</v>
      </c>
      <c r="AD18" s="668">
        <v>838860</v>
      </c>
      <c r="AE18" s="159">
        <v>800000</v>
      </c>
      <c r="AF18" s="668">
        <v>811800</v>
      </c>
      <c r="AG18" s="159">
        <f>AE18</f>
        <v>800000</v>
      </c>
      <c r="AH18" s="903">
        <v>35040449</v>
      </c>
      <c r="AI18" s="540">
        <f t="shared" si="2"/>
        <v>800000</v>
      </c>
      <c r="AJ18" s="903"/>
      <c r="AK18" s="540">
        <v>800000</v>
      </c>
      <c r="AL18" s="1002">
        <f t="shared" si="3"/>
        <v>800000</v>
      </c>
      <c r="AM18" s="903"/>
      <c r="AN18" s="540">
        <f t="shared" si="4"/>
        <v>800000</v>
      </c>
      <c r="AO18" s="1002">
        <f t="shared" si="5"/>
        <v>800000</v>
      </c>
      <c r="AP18" s="903"/>
      <c r="AQ18" s="540">
        <f t="shared" si="6"/>
        <v>800000</v>
      </c>
      <c r="AR18" s="1002">
        <f t="shared" si="7"/>
        <v>800000</v>
      </c>
      <c r="AS18" s="903"/>
      <c r="AT18" s="540">
        <f t="shared" si="8"/>
        <v>800000</v>
      </c>
      <c r="AU18" s="1002">
        <f t="shared" si="9"/>
        <v>800000</v>
      </c>
      <c r="AV18" s="540">
        <f t="shared" si="10"/>
        <v>43824809</v>
      </c>
      <c r="AW18" s="904">
        <f t="shared" si="11"/>
        <v>43824809</v>
      </c>
      <c r="AX18" s="548">
        <v>1000000</v>
      </c>
      <c r="AY18" s="548">
        <v>1000000</v>
      </c>
      <c r="AZ18" s="548">
        <v>1000000</v>
      </c>
      <c r="BA18" s="548">
        <v>1000000</v>
      </c>
      <c r="BB18" s="548">
        <v>1000000</v>
      </c>
      <c r="BC18" s="548">
        <v>1000000</v>
      </c>
      <c r="BD18" s="548">
        <v>1000000</v>
      </c>
      <c r="BE18" s="548">
        <v>1000000</v>
      </c>
      <c r="BF18" s="548">
        <v>1000000</v>
      </c>
      <c r="BG18" s="548">
        <v>1000000</v>
      </c>
      <c r="BH18" s="548">
        <v>1000000</v>
      </c>
      <c r="BI18" s="548">
        <v>1000000</v>
      </c>
      <c r="BJ18" s="536">
        <f t="shared" si="12"/>
        <v>12000000</v>
      </c>
      <c r="BK18" s="537">
        <f t="shared" si="13"/>
        <v>14040000</v>
      </c>
      <c r="BL18" s="537">
        <f t="shared" si="13"/>
        <v>15163200.000000002</v>
      </c>
      <c r="BM18" s="537">
        <f t="shared" si="13"/>
        <v>16527888.000000004</v>
      </c>
      <c r="BN18" s="549">
        <f t="shared" si="13"/>
        <v>18015397.920000006</v>
      </c>
      <c r="BP18" s="160"/>
    </row>
    <row r="19" spans="1:68">
      <c r="A19" s="1067">
        <v>12</v>
      </c>
      <c r="B19" s="1068" t="s">
        <v>40</v>
      </c>
      <c r="C19" s="1068" t="s">
        <v>1005</v>
      </c>
      <c r="D19" s="1068"/>
      <c r="E19" s="1068"/>
      <c r="F19" s="1069" t="s">
        <v>1014</v>
      </c>
      <c r="G19" s="1069">
        <v>3000020790</v>
      </c>
      <c r="H19" s="159">
        <v>1600000</v>
      </c>
      <c r="I19" s="159">
        <v>1600000</v>
      </c>
      <c r="J19" s="159">
        <v>1600000</v>
      </c>
      <c r="K19" s="159">
        <v>1600000</v>
      </c>
      <c r="L19" s="159">
        <v>1800000</v>
      </c>
      <c r="M19" s="159">
        <v>1800000</v>
      </c>
      <c r="N19" s="159">
        <v>1800000</v>
      </c>
      <c r="O19" s="159">
        <v>1800000</v>
      </c>
      <c r="P19" s="159">
        <v>2600000</v>
      </c>
      <c r="Q19" s="159">
        <v>2600000</v>
      </c>
      <c r="R19" s="159">
        <v>2600000</v>
      </c>
      <c r="S19" s="159">
        <v>2600000</v>
      </c>
      <c r="T19" s="668">
        <f t="shared" si="1"/>
        <v>24000000</v>
      </c>
      <c r="U19" s="668">
        <v>4163963</v>
      </c>
      <c r="V19" s="668">
        <v>4447776</v>
      </c>
      <c r="W19" s="159">
        <v>3000000</v>
      </c>
      <c r="X19" s="668">
        <v>3742926</v>
      </c>
      <c r="Y19" s="159">
        <v>4000000</v>
      </c>
      <c r="Z19" s="668">
        <v>1937560</v>
      </c>
      <c r="AA19" s="159">
        <v>4000000</v>
      </c>
      <c r="AB19" s="668">
        <v>1627930</v>
      </c>
      <c r="AC19" s="159">
        <v>4000000</v>
      </c>
      <c r="AD19" s="668">
        <v>878785</v>
      </c>
      <c r="AE19" s="159">
        <v>4000000</v>
      </c>
      <c r="AF19" s="668">
        <v>5611084</v>
      </c>
      <c r="AG19" s="159">
        <f>AE19</f>
        <v>4000000</v>
      </c>
      <c r="AH19" s="903">
        <v>1100426</v>
      </c>
      <c r="AI19" s="540">
        <f t="shared" si="2"/>
        <v>4000000</v>
      </c>
      <c r="AJ19" s="903"/>
      <c r="AK19" s="540">
        <v>4000000</v>
      </c>
      <c r="AL19" s="1002">
        <f t="shared" si="3"/>
        <v>4000000</v>
      </c>
      <c r="AM19" s="903"/>
      <c r="AN19" s="540">
        <f t="shared" si="4"/>
        <v>4000000</v>
      </c>
      <c r="AO19" s="1002">
        <f t="shared" si="5"/>
        <v>4000000</v>
      </c>
      <c r="AP19" s="903"/>
      <c r="AQ19" s="540">
        <f t="shared" si="6"/>
        <v>4000000</v>
      </c>
      <c r="AR19" s="1002">
        <f t="shared" si="7"/>
        <v>4000000</v>
      </c>
      <c r="AS19" s="903"/>
      <c r="AT19" s="540">
        <f t="shared" si="8"/>
        <v>4000000</v>
      </c>
      <c r="AU19" s="1002">
        <f t="shared" si="9"/>
        <v>4000000</v>
      </c>
      <c r="AV19" s="540">
        <f t="shared" si="10"/>
        <v>39510450</v>
      </c>
      <c r="AW19" s="904">
        <f t="shared" si="11"/>
        <v>39510450</v>
      </c>
      <c r="AX19" s="548">
        <v>0</v>
      </c>
      <c r="AY19" s="548">
        <v>0</v>
      </c>
      <c r="AZ19" s="548">
        <v>0</v>
      </c>
      <c r="BA19" s="548">
        <v>0</v>
      </c>
      <c r="BB19" s="548">
        <v>0</v>
      </c>
      <c r="BC19" s="548">
        <v>0</v>
      </c>
      <c r="BD19" s="548">
        <v>0</v>
      </c>
      <c r="BE19" s="548">
        <v>0</v>
      </c>
      <c r="BF19" s="548">
        <v>0</v>
      </c>
      <c r="BG19" s="548">
        <v>0</v>
      </c>
      <c r="BH19" s="548">
        <v>0</v>
      </c>
      <c r="BI19" s="548">
        <v>0</v>
      </c>
      <c r="BJ19" s="536">
        <f t="shared" si="12"/>
        <v>0</v>
      </c>
      <c r="BK19" s="537">
        <f t="shared" ref="BK19:BN21" si="14">BJ19*(1+BK$6)</f>
        <v>0</v>
      </c>
      <c r="BL19" s="537">
        <f t="shared" si="14"/>
        <v>0</v>
      </c>
      <c r="BM19" s="537">
        <f t="shared" si="14"/>
        <v>0</v>
      </c>
      <c r="BN19" s="549">
        <f t="shared" si="14"/>
        <v>0</v>
      </c>
      <c r="BP19" s="160"/>
    </row>
    <row r="20" spans="1:68">
      <c r="A20" s="1067">
        <v>13</v>
      </c>
      <c r="B20" s="1068" t="s">
        <v>40</v>
      </c>
      <c r="C20" s="1068" t="s">
        <v>1005</v>
      </c>
      <c r="D20" s="1068"/>
      <c r="E20" s="1068"/>
      <c r="F20" s="1069" t="s">
        <v>91</v>
      </c>
      <c r="G20" s="1069">
        <v>3000018731</v>
      </c>
      <c r="H20" s="159">
        <v>4000000</v>
      </c>
      <c r="I20" s="159">
        <v>4000000</v>
      </c>
      <c r="J20" s="159">
        <v>4000000</v>
      </c>
      <c r="K20" s="159">
        <v>4000000</v>
      </c>
      <c r="L20" s="159">
        <v>4500000</v>
      </c>
      <c r="M20" s="159">
        <v>4500000</v>
      </c>
      <c r="N20" s="159">
        <v>4500000</v>
      </c>
      <c r="O20" s="159">
        <v>4500000</v>
      </c>
      <c r="P20" s="159">
        <v>6500000</v>
      </c>
      <c r="Q20" s="159">
        <v>6500000</v>
      </c>
      <c r="R20" s="159">
        <v>6500000</v>
      </c>
      <c r="S20" s="159">
        <v>6500000</v>
      </c>
      <c r="T20" s="668">
        <f t="shared" si="1"/>
        <v>60000000</v>
      </c>
      <c r="U20" s="668">
        <v>7666806</v>
      </c>
      <c r="V20" s="668">
        <v>4860377</v>
      </c>
      <c r="W20" s="159">
        <v>6000000</v>
      </c>
      <c r="X20" s="668">
        <v>3696718</v>
      </c>
      <c r="Y20" s="159">
        <v>7000000</v>
      </c>
      <c r="Z20" s="668">
        <v>27241272</v>
      </c>
      <c r="AA20" s="159">
        <v>7000000</v>
      </c>
      <c r="AB20" s="668">
        <v>23667893</v>
      </c>
      <c r="AC20" s="159">
        <v>7000000</v>
      </c>
      <c r="AD20" s="668">
        <v>6561024</v>
      </c>
      <c r="AE20" s="159">
        <v>7000000</v>
      </c>
      <c r="AF20" s="668">
        <v>3319849</v>
      </c>
      <c r="AG20" s="159">
        <v>15000000</v>
      </c>
      <c r="AH20" s="903">
        <v>2125987</v>
      </c>
      <c r="AI20" s="540">
        <f t="shared" si="2"/>
        <v>15000000</v>
      </c>
      <c r="AJ20" s="903"/>
      <c r="AK20" s="540">
        <v>15000000</v>
      </c>
      <c r="AL20" s="1002">
        <f t="shared" si="3"/>
        <v>15000000</v>
      </c>
      <c r="AM20" s="903"/>
      <c r="AN20" s="540">
        <f t="shared" si="4"/>
        <v>15000000</v>
      </c>
      <c r="AO20" s="1002">
        <f t="shared" si="5"/>
        <v>15000000</v>
      </c>
      <c r="AP20" s="903"/>
      <c r="AQ20" s="540">
        <f t="shared" si="6"/>
        <v>15000000</v>
      </c>
      <c r="AR20" s="1002">
        <f t="shared" si="7"/>
        <v>15000000</v>
      </c>
      <c r="AS20" s="903"/>
      <c r="AT20" s="540">
        <f t="shared" si="8"/>
        <v>15000000</v>
      </c>
      <c r="AU20" s="1002">
        <f t="shared" si="9"/>
        <v>15000000</v>
      </c>
      <c r="AV20" s="540">
        <f t="shared" si="10"/>
        <v>139139926</v>
      </c>
      <c r="AW20" s="904">
        <f t="shared" si="11"/>
        <v>139139926</v>
      </c>
      <c r="AX20" s="548">
        <v>15000000</v>
      </c>
      <c r="AY20" s="548">
        <v>15000000</v>
      </c>
      <c r="AZ20" s="548">
        <v>15000000</v>
      </c>
      <c r="BA20" s="548">
        <v>15000000</v>
      </c>
      <c r="BB20" s="548">
        <v>15000000</v>
      </c>
      <c r="BC20" s="548">
        <v>15000000</v>
      </c>
      <c r="BD20" s="548">
        <v>15000000</v>
      </c>
      <c r="BE20" s="548">
        <v>15000000</v>
      </c>
      <c r="BF20" s="548">
        <v>15000000</v>
      </c>
      <c r="BG20" s="548">
        <v>15000000</v>
      </c>
      <c r="BH20" s="548">
        <v>15000000</v>
      </c>
      <c r="BI20" s="548">
        <v>15000000</v>
      </c>
      <c r="BJ20" s="536">
        <f t="shared" si="12"/>
        <v>180000000</v>
      </c>
      <c r="BK20" s="537">
        <f t="shared" si="14"/>
        <v>210600000</v>
      </c>
      <c r="BL20" s="537">
        <f t="shared" si="14"/>
        <v>227448000.00000003</v>
      </c>
      <c r="BM20" s="537">
        <f t="shared" si="14"/>
        <v>247918320.00000006</v>
      </c>
      <c r="BN20" s="549">
        <f t="shared" si="14"/>
        <v>270230968.80000007</v>
      </c>
      <c r="BP20" s="160"/>
    </row>
    <row r="21" spans="1:68">
      <c r="A21" s="1067">
        <v>14</v>
      </c>
      <c r="B21" s="1068" t="s">
        <v>40</v>
      </c>
      <c r="C21" s="1068" t="s">
        <v>1005</v>
      </c>
      <c r="D21" s="1068"/>
      <c r="E21" s="1068"/>
      <c r="F21" s="1069" t="s">
        <v>1015</v>
      </c>
      <c r="G21" s="1069">
        <v>3000020798</v>
      </c>
      <c r="H21" s="159">
        <v>1600000</v>
      </c>
      <c r="I21" s="159">
        <v>1600000</v>
      </c>
      <c r="J21" s="159">
        <v>1600000</v>
      </c>
      <c r="K21" s="159">
        <v>1600000</v>
      </c>
      <c r="L21" s="159">
        <v>1800000</v>
      </c>
      <c r="M21" s="159">
        <v>1800000</v>
      </c>
      <c r="N21" s="159">
        <v>1800000</v>
      </c>
      <c r="O21" s="159">
        <v>1800000</v>
      </c>
      <c r="P21" s="159">
        <v>2600000</v>
      </c>
      <c r="Q21" s="159">
        <v>2600000</v>
      </c>
      <c r="R21" s="159">
        <v>2600000</v>
      </c>
      <c r="S21" s="159">
        <v>2600000</v>
      </c>
      <c r="T21" s="668">
        <f t="shared" si="1"/>
        <v>24000000</v>
      </c>
      <c r="U21" s="668">
        <v>1507753</v>
      </c>
      <c r="V21" s="668">
        <v>1406087</v>
      </c>
      <c r="W21" s="159">
        <v>1000000</v>
      </c>
      <c r="X21" s="668">
        <v>4626500</v>
      </c>
      <c r="Y21" s="159">
        <v>1500000</v>
      </c>
      <c r="Z21" s="668">
        <v>2751100</v>
      </c>
      <c r="AA21" s="159">
        <v>1500000</v>
      </c>
      <c r="AB21" s="668">
        <v>2537300</v>
      </c>
      <c r="AC21" s="159">
        <v>1500000</v>
      </c>
      <c r="AD21" s="668">
        <v>3066900</v>
      </c>
      <c r="AE21" s="159">
        <v>1500000</v>
      </c>
      <c r="AF21" s="668">
        <v>5766800</v>
      </c>
      <c r="AG21" s="159">
        <f>AE21</f>
        <v>1500000</v>
      </c>
      <c r="AH21" s="903">
        <v>12342500</v>
      </c>
      <c r="AI21" s="540">
        <f t="shared" si="2"/>
        <v>1500000</v>
      </c>
      <c r="AJ21" s="903"/>
      <c r="AK21" s="540">
        <v>1500000</v>
      </c>
      <c r="AL21" s="1002">
        <f t="shared" si="3"/>
        <v>1500000</v>
      </c>
      <c r="AM21" s="903"/>
      <c r="AN21" s="540">
        <f t="shared" si="4"/>
        <v>1500000</v>
      </c>
      <c r="AO21" s="1002">
        <f t="shared" si="5"/>
        <v>1500000</v>
      </c>
      <c r="AP21" s="903"/>
      <c r="AQ21" s="540">
        <f t="shared" si="6"/>
        <v>1500000</v>
      </c>
      <c r="AR21" s="1002">
        <f t="shared" si="7"/>
        <v>1500000</v>
      </c>
      <c r="AS21" s="903"/>
      <c r="AT21" s="540">
        <f t="shared" si="8"/>
        <v>1500000</v>
      </c>
      <c r="AU21" s="1002">
        <f t="shared" si="9"/>
        <v>1500000</v>
      </c>
      <c r="AV21" s="540">
        <f t="shared" si="10"/>
        <v>40004940</v>
      </c>
      <c r="AW21" s="904">
        <f t="shared" si="11"/>
        <v>40004940</v>
      </c>
      <c r="AX21" s="548">
        <v>10000000</v>
      </c>
      <c r="AY21" s="548">
        <v>10000000</v>
      </c>
      <c r="AZ21" s="548">
        <v>10000000</v>
      </c>
      <c r="BA21" s="548">
        <v>10000000</v>
      </c>
      <c r="BB21" s="548">
        <v>10000000</v>
      </c>
      <c r="BC21" s="548">
        <v>10000000</v>
      </c>
      <c r="BD21" s="548">
        <v>10000000</v>
      </c>
      <c r="BE21" s="548">
        <v>10000000</v>
      </c>
      <c r="BF21" s="548">
        <v>10000000</v>
      </c>
      <c r="BG21" s="548">
        <v>10000000</v>
      </c>
      <c r="BH21" s="548">
        <v>10000000</v>
      </c>
      <c r="BI21" s="548">
        <v>10000000</v>
      </c>
      <c r="BJ21" s="536">
        <f t="shared" si="12"/>
        <v>120000000</v>
      </c>
      <c r="BK21" s="537">
        <f t="shared" si="14"/>
        <v>140400000</v>
      </c>
      <c r="BL21" s="537">
        <f t="shared" si="14"/>
        <v>151632000</v>
      </c>
      <c r="BM21" s="537">
        <f t="shared" si="14"/>
        <v>165278880</v>
      </c>
      <c r="BN21" s="549">
        <f t="shared" si="14"/>
        <v>180153979.20000002</v>
      </c>
      <c r="BP21" s="160"/>
    </row>
    <row r="22" spans="1:68">
      <c r="A22" s="1067">
        <v>15</v>
      </c>
      <c r="B22" s="1068" t="s">
        <v>40</v>
      </c>
      <c r="C22" s="1071"/>
      <c r="D22" s="1071"/>
      <c r="E22" s="1071"/>
      <c r="F22" s="1069" t="s">
        <v>1016</v>
      </c>
      <c r="G22" s="1069">
        <v>3000020800</v>
      </c>
      <c r="H22" s="159">
        <v>20000000</v>
      </c>
      <c r="I22" s="159">
        <v>20000000</v>
      </c>
      <c r="J22" s="159">
        <v>20000000</v>
      </c>
      <c r="K22" s="159">
        <v>20000000</v>
      </c>
      <c r="L22" s="159">
        <v>22500000</v>
      </c>
      <c r="M22" s="159">
        <v>22500000</v>
      </c>
      <c r="N22" s="159">
        <v>22500000</v>
      </c>
      <c r="O22" s="159">
        <v>22500000</v>
      </c>
      <c r="P22" s="159">
        <v>32500000</v>
      </c>
      <c r="Q22" s="159">
        <v>32500000</v>
      </c>
      <c r="R22" s="159">
        <v>32500000</v>
      </c>
      <c r="S22" s="159">
        <v>32500000</v>
      </c>
      <c r="T22" s="668">
        <f t="shared" si="1"/>
        <v>300000000</v>
      </c>
      <c r="U22" s="668">
        <v>0</v>
      </c>
      <c r="V22" s="668">
        <v>0</v>
      </c>
      <c r="W22" s="159">
        <v>0</v>
      </c>
      <c r="X22" s="668">
        <v>0</v>
      </c>
      <c r="Y22" s="159">
        <v>0</v>
      </c>
      <c r="Z22" s="668">
        <v>0</v>
      </c>
      <c r="AA22" s="159">
        <v>0</v>
      </c>
      <c r="AB22" s="668">
        <v>0</v>
      </c>
      <c r="AC22" s="159">
        <v>0</v>
      </c>
      <c r="AD22" s="668">
        <v>0</v>
      </c>
      <c r="AE22" s="159">
        <v>0</v>
      </c>
      <c r="AF22" s="668">
        <v>0</v>
      </c>
      <c r="AG22" s="159">
        <f>AE22</f>
        <v>0</v>
      </c>
      <c r="AH22" s="903">
        <v>0</v>
      </c>
      <c r="AI22" s="540">
        <f t="shared" si="2"/>
        <v>0</v>
      </c>
      <c r="AJ22" s="903"/>
      <c r="AK22" s="540">
        <v>0</v>
      </c>
      <c r="AL22" s="1002">
        <f t="shared" si="3"/>
        <v>0</v>
      </c>
      <c r="AM22" s="903"/>
      <c r="AN22" s="540">
        <f t="shared" si="4"/>
        <v>0</v>
      </c>
      <c r="AO22" s="1002">
        <f t="shared" si="5"/>
        <v>0</v>
      </c>
      <c r="AP22" s="903"/>
      <c r="AQ22" s="540">
        <f t="shared" si="6"/>
        <v>0</v>
      </c>
      <c r="AR22" s="1002">
        <f t="shared" si="7"/>
        <v>0</v>
      </c>
      <c r="AS22" s="903"/>
      <c r="AT22" s="540">
        <f t="shared" si="8"/>
        <v>0</v>
      </c>
      <c r="AU22" s="1002">
        <f t="shared" si="9"/>
        <v>0</v>
      </c>
      <c r="AV22" s="540">
        <f t="shared" si="10"/>
        <v>0</v>
      </c>
      <c r="AW22" s="904">
        <f t="shared" si="11"/>
        <v>0</v>
      </c>
      <c r="AX22" s="548">
        <v>0</v>
      </c>
      <c r="AY22" s="548">
        <v>0</v>
      </c>
      <c r="AZ22" s="548">
        <v>0</v>
      </c>
      <c r="BA22" s="548">
        <v>0</v>
      </c>
      <c r="BB22" s="548">
        <v>0</v>
      </c>
      <c r="BC22" s="548">
        <v>0</v>
      </c>
      <c r="BD22" s="548">
        <v>0</v>
      </c>
      <c r="BE22" s="548">
        <v>0</v>
      </c>
      <c r="BF22" s="548">
        <v>0</v>
      </c>
      <c r="BG22" s="548">
        <v>0</v>
      </c>
      <c r="BH22" s="548">
        <v>0</v>
      </c>
      <c r="BI22" s="548">
        <v>0</v>
      </c>
      <c r="BJ22" s="536">
        <f t="shared" si="12"/>
        <v>0</v>
      </c>
      <c r="BK22" s="537">
        <f>BJ22*(1+BK$6)</f>
        <v>0</v>
      </c>
      <c r="BL22" s="537">
        <f t="shared" ref="BL22:BN23" si="15">BK22*(1+BL$6)</f>
        <v>0</v>
      </c>
      <c r="BM22" s="537">
        <f t="shared" si="15"/>
        <v>0</v>
      </c>
      <c r="BN22" s="549">
        <f t="shared" si="15"/>
        <v>0</v>
      </c>
      <c r="BP22" s="160"/>
    </row>
    <row r="23" spans="1:68">
      <c r="A23" s="1067">
        <v>16</v>
      </c>
      <c r="B23" s="1068" t="s">
        <v>40</v>
      </c>
      <c r="C23" s="1068" t="s">
        <v>1007</v>
      </c>
      <c r="D23" s="1068"/>
      <c r="E23" s="1068"/>
      <c r="F23" s="1069" t="s">
        <v>1017</v>
      </c>
      <c r="G23" s="1069">
        <v>3000020799</v>
      </c>
      <c r="H23" s="159">
        <v>16000000</v>
      </c>
      <c r="I23" s="159">
        <v>16000000</v>
      </c>
      <c r="J23" s="159">
        <v>16000000</v>
      </c>
      <c r="K23" s="159">
        <v>16000000</v>
      </c>
      <c r="L23" s="159">
        <v>18000000</v>
      </c>
      <c r="M23" s="159">
        <v>18000000</v>
      </c>
      <c r="N23" s="159">
        <v>18000000</v>
      </c>
      <c r="O23" s="159">
        <v>18000000</v>
      </c>
      <c r="P23" s="159">
        <v>26000000</v>
      </c>
      <c r="Q23" s="159">
        <v>26000000</v>
      </c>
      <c r="R23" s="159">
        <v>26000000</v>
      </c>
      <c r="S23" s="159">
        <v>26000000</v>
      </c>
      <c r="T23" s="668">
        <f t="shared" si="1"/>
        <v>240000000</v>
      </c>
      <c r="U23" s="668">
        <v>59261</v>
      </c>
      <c r="V23" s="668">
        <v>59311</v>
      </c>
      <c r="W23" s="159">
        <v>0</v>
      </c>
      <c r="X23" s="668">
        <v>59311</v>
      </c>
      <c r="Y23" s="159">
        <v>0</v>
      </c>
      <c r="Z23" s="668">
        <v>59311</v>
      </c>
      <c r="AA23" s="159">
        <v>0</v>
      </c>
      <c r="AB23" s="668">
        <v>59311</v>
      </c>
      <c r="AC23" s="159">
        <v>0</v>
      </c>
      <c r="AD23" s="668">
        <v>59311</v>
      </c>
      <c r="AE23" s="159">
        <v>0</v>
      </c>
      <c r="AF23" s="668">
        <v>59312</v>
      </c>
      <c r="AG23" s="159">
        <f>AE23</f>
        <v>0</v>
      </c>
      <c r="AH23" s="903">
        <v>59312</v>
      </c>
      <c r="AI23" s="540">
        <f t="shared" si="2"/>
        <v>0</v>
      </c>
      <c r="AJ23" s="903"/>
      <c r="AK23" s="540">
        <v>0</v>
      </c>
      <c r="AL23" s="1002">
        <f t="shared" si="3"/>
        <v>0</v>
      </c>
      <c r="AM23" s="903"/>
      <c r="AN23" s="540">
        <f t="shared" si="4"/>
        <v>0</v>
      </c>
      <c r="AO23" s="1002">
        <f t="shared" si="5"/>
        <v>0</v>
      </c>
      <c r="AP23" s="903"/>
      <c r="AQ23" s="540">
        <f t="shared" si="6"/>
        <v>0</v>
      </c>
      <c r="AR23" s="1002">
        <f t="shared" si="7"/>
        <v>0</v>
      </c>
      <c r="AS23" s="903"/>
      <c r="AT23" s="540">
        <f t="shared" si="8"/>
        <v>0</v>
      </c>
      <c r="AU23" s="1002">
        <f t="shared" si="9"/>
        <v>0</v>
      </c>
      <c r="AV23" s="540">
        <f t="shared" si="10"/>
        <v>474440</v>
      </c>
      <c r="AW23" s="904">
        <f t="shared" si="11"/>
        <v>474440</v>
      </c>
      <c r="AX23" s="548">
        <v>0</v>
      </c>
      <c r="AY23" s="548">
        <v>0</v>
      </c>
      <c r="AZ23" s="548">
        <v>0</v>
      </c>
      <c r="BA23" s="548">
        <v>0</v>
      </c>
      <c r="BB23" s="548">
        <v>0</v>
      </c>
      <c r="BC23" s="548">
        <v>0</v>
      </c>
      <c r="BD23" s="548">
        <v>0</v>
      </c>
      <c r="BE23" s="548">
        <v>0</v>
      </c>
      <c r="BF23" s="548">
        <v>0</v>
      </c>
      <c r="BG23" s="548">
        <v>0</v>
      </c>
      <c r="BH23" s="548">
        <v>0</v>
      </c>
      <c r="BI23" s="548">
        <v>0</v>
      </c>
      <c r="BJ23" s="536">
        <f t="shared" si="12"/>
        <v>0</v>
      </c>
      <c r="BK23" s="537">
        <f>BJ23*(1+BK$6)</f>
        <v>0</v>
      </c>
      <c r="BL23" s="537">
        <f t="shared" si="15"/>
        <v>0</v>
      </c>
      <c r="BM23" s="537">
        <f t="shared" si="15"/>
        <v>0</v>
      </c>
      <c r="BN23" s="549">
        <f t="shared" si="15"/>
        <v>0</v>
      </c>
      <c r="BP23" s="160"/>
    </row>
    <row r="24" spans="1:68">
      <c r="A24" s="1067">
        <v>17</v>
      </c>
      <c r="B24" s="1068" t="s">
        <v>40</v>
      </c>
      <c r="C24" s="1068" t="s">
        <v>1005</v>
      </c>
      <c r="D24" s="1068"/>
      <c r="E24" s="1068"/>
      <c r="F24" s="1069" t="s">
        <v>1018</v>
      </c>
      <c r="G24" s="1069">
        <v>3000020802</v>
      </c>
      <c r="H24" s="159">
        <v>32000000</v>
      </c>
      <c r="I24" s="159">
        <v>32000000</v>
      </c>
      <c r="J24" s="159">
        <v>32000000</v>
      </c>
      <c r="K24" s="159">
        <v>32000000</v>
      </c>
      <c r="L24" s="159">
        <v>36000000</v>
      </c>
      <c r="M24" s="159">
        <v>36000000</v>
      </c>
      <c r="N24" s="159">
        <v>36000000</v>
      </c>
      <c r="O24" s="159">
        <v>36000000</v>
      </c>
      <c r="P24" s="159">
        <v>52000000</v>
      </c>
      <c r="Q24" s="159">
        <v>52000000</v>
      </c>
      <c r="R24" s="159">
        <v>52000000</v>
      </c>
      <c r="S24" s="159">
        <v>52000000</v>
      </c>
      <c r="T24" s="668">
        <f t="shared" si="1"/>
        <v>480000000</v>
      </c>
      <c r="U24" s="668">
        <v>88410284</v>
      </c>
      <c r="V24" s="668">
        <v>30876130</v>
      </c>
      <c r="W24" s="159">
        <v>60000000</v>
      </c>
      <c r="X24" s="668">
        <v>-5111403</v>
      </c>
      <c r="Y24" s="159">
        <v>70000000</v>
      </c>
      <c r="Z24" s="668">
        <v>31416018</v>
      </c>
      <c r="AA24" s="159">
        <v>70000000</v>
      </c>
      <c r="AB24" s="668">
        <v>31429044</v>
      </c>
      <c r="AC24" s="159">
        <v>70000000</v>
      </c>
      <c r="AD24" s="668">
        <v>34056529</v>
      </c>
      <c r="AE24" s="159">
        <v>70000000</v>
      </c>
      <c r="AF24" s="668">
        <v>45352490</v>
      </c>
      <c r="AG24" s="159">
        <f>AE24</f>
        <v>70000000</v>
      </c>
      <c r="AH24" s="903">
        <v>34598006</v>
      </c>
      <c r="AI24" s="540">
        <f t="shared" si="2"/>
        <v>70000000</v>
      </c>
      <c r="AJ24" s="903"/>
      <c r="AK24" s="540">
        <v>70000000</v>
      </c>
      <c r="AL24" s="1002">
        <f t="shared" si="3"/>
        <v>70000000</v>
      </c>
      <c r="AM24" s="903"/>
      <c r="AN24" s="540">
        <f t="shared" si="4"/>
        <v>70000000</v>
      </c>
      <c r="AO24" s="1002">
        <f t="shared" si="5"/>
        <v>70000000</v>
      </c>
      <c r="AP24" s="903"/>
      <c r="AQ24" s="540">
        <f t="shared" si="6"/>
        <v>70000000</v>
      </c>
      <c r="AR24" s="1002">
        <f t="shared" si="7"/>
        <v>70000000</v>
      </c>
      <c r="AS24" s="903"/>
      <c r="AT24" s="540">
        <f t="shared" si="8"/>
        <v>70000000</v>
      </c>
      <c r="AU24" s="1002">
        <f t="shared" si="9"/>
        <v>70000000</v>
      </c>
      <c r="AV24" s="540">
        <f t="shared" si="10"/>
        <v>571027098</v>
      </c>
      <c r="AW24" s="904">
        <f t="shared" si="11"/>
        <v>571027098</v>
      </c>
      <c r="AX24" s="548">
        <v>70000000</v>
      </c>
      <c r="AY24" s="548">
        <v>70000000</v>
      </c>
      <c r="AZ24" s="548">
        <v>70000000</v>
      </c>
      <c r="BA24" s="548">
        <v>70000000</v>
      </c>
      <c r="BB24" s="548">
        <v>70000000</v>
      </c>
      <c r="BC24" s="548">
        <v>70000000</v>
      </c>
      <c r="BD24" s="548">
        <v>70000000</v>
      </c>
      <c r="BE24" s="548">
        <v>70000000</v>
      </c>
      <c r="BF24" s="548">
        <v>70000000</v>
      </c>
      <c r="BG24" s="548">
        <v>70000000</v>
      </c>
      <c r="BH24" s="548">
        <v>70000000</v>
      </c>
      <c r="BI24" s="548">
        <v>70000000</v>
      </c>
      <c r="BJ24" s="536">
        <f t="shared" si="12"/>
        <v>840000000</v>
      </c>
      <c r="BK24" s="537">
        <v>982799999.99999988</v>
      </c>
      <c r="BL24" s="537">
        <v>1061424000</v>
      </c>
      <c r="BM24" s="537">
        <v>1156952160</v>
      </c>
      <c r="BN24" s="549">
        <v>1261077854.4000001</v>
      </c>
      <c r="BP24" s="160"/>
    </row>
    <row r="25" spans="1:68">
      <c r="A25" s="1067">
        <v>18</v>
      </c>
      <c r="B25" s="1068" t="s">
        <v>40</v>
      </c>
      <c r="C25" s="1068" t="s">
        <v>1007</v>
      </c>
      <c r="D25" s="1068"/>
      <c r="E25" s="1068"/>
      <c r="F25" s="1069" t="s">
        <v>106</v>
      </c>
      <c r="G25" s="1069">
        <v>3000018702</v>
      </c>
      <c r="H25" s="159">
        <v>16000000</v>
      </c>
      <c r="I25" s="159">
        <v>16000000</v>
      </c>
      <c r="J25" s="159">
        <v>16000000</v>
      </c>
      <c r="K25" s="159">
        <v>16000000</v>
      </c>
      <c r="L25" s="159">
        <v>18000000</v>
      </c>
      <c r="M25" s="159">
        <v>18000000</v>
      </c>
      <c r="N25" s="159">
        <v>18000000</v>
      </c>
      <c r="O25" s="159">
        <v>18000000</v>
      </c>
      <c r="P25" s="159">
        <v>26000000</v>
      </c>
      <c r="Q25" s="159">
        <v>26000000</v>
      </c>
      <c r="R25" s="159">
        <v>26000000</v>
      </c>
      <c r="S25" s="159">
        <v>26000000</v>
      </c>
      <c r="T25" s="668">
        <f t="shared" si="1"/>
        <v>240000000</v>
      </c>
      <c r="U25" s="668">
        <v>14801836</v>
      </c>
      <c r="V25" s="668">
        <v>13519755</v>
      </c>
      <c r="W25" s="159">
        <v>12000000</v>
      </c>
      <c r="X25" s="668">
        <v>11165815</v>
      </c>
      <c r="Y25" s="159">
        <v>14000000</v>
      </c>
      <c r="Z25" s="668">
        <v>10459861</v>
      </c>
      <c r="AA25" s="159">
        <v>14000000</v>
      </c>
      <c r="AB25" s="668">
        <v>9930263</v>
      </c>
      <c r="AC25" s="159">
        <v>14000000</v>
      </c>
      <c r="AD25" s="668">
        <v>7586820</v>
      </c>
      <c r="AE25" s="159">
        <v>14000000</v>
      </c>
      <c r="AF25" s="668">
        <v>17349300</v>
      </c>
      <c r="AG25" s="159">
        <v>20000000</v>
      </c>
      <c r="AH25" s="903">
        <v>14140250</v>
      </c>
      <c r="AI25" s="540">
        <f t="shared" si="2"/>
        <v>20000000</v>
      </c>
      <c r="AJ25" s="903"/>
      <c r="AK25" s="540">
        <v>20000000</v>
      </c>
      <c r="AL25" s="1002">
        <f t="shared" si="3"/>
        <v>20000000</v>
      </c>
      <c r="AM25" s="903"/>
      <c r="AN25" s="540">
        <f t="shared" si="4"/>
        <v>20000000</v>
      </c>
      <c r="AO25" s="1002">
        <f t="shared" si="5"/>
        <v>20000000</v>
      </c>
      <c r="AP25" s="903"/>
      <c r="AQ25" s="540">
        <f t="shared" si="6"/>
        <v>20000000</v>
      </c>
      <c r="AR25" s="1002">
        <f t="shared" si="7"/>
        <v>20000000</v>
      </c>
      <c r="AS25" s="903"/>
      <c r="AT25" s="540">
        <f t="shared" si="8"/>
        <v>20000000</v>
      </c>
      <c r="AU25" s="1002">
        <f t="shared" si="9"/>
        <v>20000000</v>
      </c>
      <c r="AV25" s="540">
        <f t="shared" si="10"/>
        <v>178953900</v>
      </c>
      <c r="AW25" s="904">
        <f t="shared" si="11"/>
        <v>178953900</v>
      </c>
      <c r="AX25" s="548">
        <v>30000000</v>
      </c>
      <c r="AY25" s="548">
        <v>30000000</v>
      </c>
      <c r="AZ25" s="548">
        <v>30000000</v>
      </c>
      <c r="BA25" s="548">
        <v>30000000</v>
      </c>
      <c r="BB25" s="548">
        <v>30000000</v>
      </c>
      <c r="BC25" s="548">
        <v>30000000</v>
      </c>
      <c r="BD25" s="548">
        <v>30000000</v>
      </c>
      <c r="BE25" s="548">
        <v>30000000</v>
      </c>
      <c r="BF25" s="548">
        <v>30000000</v>
      </c>
      <c r="BG25" s="548">
        <v>30000000</v>
      </c>
      <c r="BH25" s="548">
        <v>30000000</v>
      </c>
      <c r="BI25" s="548">
        <v>30000000</v>
      </c>
      <c r="BJ25" s="536">
        <f t="shared" si="12"/>
        <v>360000000</v>
      </c>
      <c r="BK25" s="537">
        <v>421200000</v>
      </c>
      <c r="BL25" s="537">
        <v>454896000.00000006</v>
      </c>
      <c r="BM25" s="537">
        <v>495836640.00000012</v>
      </c>
      <c r="BN25" s="549">
        <v>540461937.60000014</v>
      </c>
      <c r="BP25" s="160"/>
    </row>
    <row r="26" spans="1:68" ht="15.5">
      <c r="A26" s="1072"/>
      <c r="B26" s="1071"/>
      <c r="C26" s="1073"/>
      <c r="D26" s="1073"/>
      <c r="E26" s="1073"/>
      <c r="F26" s="291" t="s">
        <v>278</v>
      </c>
      <c r="G26" s="1074"/>
      <c r="H26" s="249">
        <f>SUM(H27:H39)</f>
        <v>452000000</v>
      </c>
      <c r="I26" s="249">
        <f t="shared" ref="I26:BN26" si="16">SUM(I27:I39)</f>
        <v>452000000</v>
      </c>
      <c r="J26" s="249">
        <f t="shared" si="16"/>
        <v>452000000</v>
      </c>
      <c r="K26" s="249">
        <f t="shared" si="16"/>
        <v>452000000</v>
      </c>
      <c r="L26" s="249">
        <f t="shared" si="16"/>
        <v>508500000</v>
      </c>
      <c r="M26" s="249">
        <f t="shared" si="16"/>
        <v>508500000</v>
      </c>
      <c r="N26" s="249">
        <f t="shared" si="16"/>
        <v>508500000</v>
      </c>
      <c r="O26" s="249">
        <f t="shared" si="16"/>
        <v>508500000</v>
      </c>
      <c r="P26" s="249">
        <f t="shared" si="16"/>
        <v>734500000</v>
      </c>
      <c r="Q26" s="249">
        <f t="shared" si="16"/>
        <v>734500000</v>
      </c>
      <c r="R26" s="249">
        <f t="shared" si="16"/>
        <v>734500000</v>
      </c>
      <c r="S26" s="249">
        <f t="shared" si="16"/>
        <v>734500000</v>
      </c>
      <c r="T26" s="249">
        <f t="shared" si="16"/>
        <v>6780000000</v>
      </c>
      <c r="U26" s="249">
        <f t="shared" si="16"/>
        <v>11174099</v>
      </c>
      <c r="V26" s="249">
        <f t="shared" si="16"/>
        <v>15799935.27</v>
      </c>
      <c r="W26" s="249">
        <f t="shared" si="16"/>
        <v>8200000</v>
      </c>
      <c r="X26" s="249">
        <f t="shared" si="16"/>
        <v>7819569</v>
      </c>
      <c r="Y26" s="249">
        <f t="shared" si="16"/>
        <v>1334000000</v>
      </c>
      <c r="Z26" s="249">
        <f t="shared" si="16"/>
        <v>1321116465</v>
      </c>
      <c r="AA26" s="249">
        <f t="shared" si="16"/>
        <v>894500000</v>
      </c>
      <c r="AB26" s="249">
        <f t="shared" si="16"/>
        <v>444849005</v>
      </c>
      <c r="AC26" s="249">
        <f t="shared" si="16"/>
        <v>454500000</v>
      </c>
      <c r="AD26" s="249">
        <f t="shared" si="16"/>
        <v>516158966</v>
      </c>
      <c r="AE26" s="249">
        <f t="shared" si="16"/>
        <v>454500000</v>
      </c>
      <c r="AF26" s="249">
        <f t="shared" si="16"/>
        <v>462380319</v>
      </c>
      <c r="AG26" s="249">
        <f t="shared" si="16"/>
        <v>497500000</v>
      </c>
      <c r="AH26" s="249">
        <f t="shared" si="16"/>
        <v>521745511</v>
      </c>
      <c r="AI26" s="249">
        <f t="shared" si="16"/>
        <v>647500000</v>
      </c>
      <c r="AJ26" s="249">
        <f t="shared" si="16"/>
        <v>0</v>
      </c>
      <c r="AK26" s="249">
        <f t="shared" si="16"/>
        <v>717500000</v>
      </c>
      <c r="AL26" s="249">
        <f t="shared" si="16"/>
        <v>792500000</v>
      </c>
      <c r="AM26" s="249">
        <f t="shared" si="16"/>
        <v>0</v>
      </c>
      <c r="AN26" s="249">
        <f t="shared" si="16"/>
        <v>667500000</v>
      </c>
      <c r="AO26" s="249">
        <f t="shared" si="16"/>
        <v>892500000</v>
      </c>
      <c r="AP26" s="249">
        <f t="shared" si="16"/>
        <v>0</v>
      </c>
      <c r="AQ26" s="249">
        <f t="shared" si="16"/>
        <v>667500000</v>
      </c>
      <c r="AR26" s="249">
        <f t="shared" si="16"/>
        <v>992500000</v>
      </c>
      <c r="AS26" s="249">
        <f t="shared" si="16"/>
        <v>0</v>
      </c>
      <c r="AT26" s="249">
        <f t="shared" si="16"/>
        <v>667500000</v>
      </c>
      <c r="AU26" s="249">
        <f t="shared" si="16"/>
        <v>1072500000</v>
      </c>
      <c r="AV26" s="249">
        <f>SUM(AV27:AV39)</f>
        <v>6021043869.2700005</v>
      </c>
      <c r="AW26" s="249">
        <f t="shared" si="16"/>
        <v>7051043869.2700005</v>
      </c>
      <c r="AX26" s="249">
        <f t="shared" si="16"/>
        <v>1030000000</v>
      </c>
      <c r="AY26" s="249">
        <f t="shared" si="16"/>
        <v>1030000000</v>
      </c>
      <c r="AZ26" s="249">
        <f t="shared" si="16"/>
        <v>1030000000</v>
      </c>
      <c r="BA26" s="249">
        <f t="shared" si="16"/>
        <v>1030000000</v>
      </c>
      <c r="BB26" s="249">
        <f t="shared" si="16"/>
        <v>1030000000</v>
      </c>
      <c r="BC26" s="249">
        <f t="shared" si="16"/>
        <v>1030000000</v>
      </c>
      <c r="BD26" s="249">
        <f t="shared" si="16"/>
        <v>1030000000</v>
      </c>
      <c r="BE26" s="249">
        <f t="shared" si="16"/>
        <v>1030000000</v>
      </c>
      <c r="BF26" s="249">
        <f t="shared" si="16"/>
        <v>1030000000</v>
      </c>
      <c r="BG26" s="249">
        <f t="shared" si="16"/>
        <v>1030000000</v>
      </c>
      <c r="BH26" s="249">
        <f t="shared" si="16"/>
        <v>1030000000</v>
      </c>
      <c r="BI26" s="249">
        <f t="shared" si="16"/>
        <v>1030000000</v>
      </c>
      <c r="BJ26" s="249">
        <f>SUM(BJ27:BJ39)</f>
        <v>12360000000</v>
      </c>
      <c r="BK26" s="249">
        <f t="shared" si="16"/>
        <v>12776400000</v>
      </c>
      <c r="BL26" s="249">
        <f t="shared" si="16"/>
        <v>13798512000</v>
      </c>
      <c r="BM26" s="249">
        <f t="shared" si="16"/>
        <v>15040378080</v>
      </c>
      <c r="BN26" s="249">
        <f t="shared" si="16"/>
        <v>16394012107.200003</v>
      </c>
      <c r="BP26" s="160"/>
    </row>
    <row r="27" spans="1:68" s="238" customFormat="1">
      <c r="A27" s="1041">
        <v>19</v>
      </c>
      <c r="B27" s="1042" t="s">
        <v>108</v>
      </c>
      <c r="C27" s="1075" t="s">
        <v>1019</v>
      </c>
      <c r="D27" s="1075"/>
      <c r="E27" s="1075"/>
      <c r="F27" s="1076" t="s">
        <v>395</v>
      </c>
      <c r="G27" s="1044">
        <v>8000000019</v>
      </c>
      <c r="H27" s="237"/>
      <c r="I27" s="237"/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669"/>
      <c r="U27" s="669">
        <v>4576250</v>
      </c>
      <c r="V27" s="669">
        <v>2803333</v>
      </c>
      <c r="W27" s="237">
        <v>4000000</v>
      </c>
      <c r="X27" s="669">
        <v>2062222</v>
      </c>
      <c r="Y27" s="237">
        <v>4000000</v>
      </c>
      <c r="Z27" s="669"/>
      <c r="AA27" s="237">
        <v>4000000</v>
      </c>
      <c r="AB27" s="669">
        <v>0</v>
      </c>
      <c r="AC27" s="237">
        <v>4000000</v>
      </c>
      <c r="AD27" s="669">
        <v>0</v>
      </c>
      <c r="AE27" s="237">
        <v>4000000</v>
      </c>
      <c r="AF27" s="669">
        <v>0</v>
      </c>
      <c r="AG27" s="237">
        <f>AE27</f>
        <v>4000000</v>
      </c>
      <c r="AH27" s="905"/>
      <c r="AI27" s="906">
        <f t="shared" ref="AI27:AI33" si="17">AG27</f>
        <v>4000000</v>
      </c>
      <c r="AJ27" s="905"/>
      <c r="AK27" s="906">
        <v>4000000</v>
      </c>
      <c r="AL27" s="907">
        <f>AI27</f>
        <v>4000000</v>
      </c>
      <c r="AM27" s="905"/>
      <c r="AN27" s="906">
        <f t="shared" ref="AN27:AO29" si="18">AK27</f>
        <v>4000000</v>
      </c>
      <c r="AO27" s="907">
        <f t="shared" si="18"/>
        <v>4000000</v>
      </c>
      <c r="AP27" s="905"/>
      <c r="AQ27" s="906">
        <f t="shared" ref="AQ27:AR33" si="19">AN27</f>
        <v>4000000</v>
      </c>
      <c r="AR27" s="907">
        <f t="shared" si="19"/>
        <v>4000000</v>
      </c>
      <c r="AS27" s="905"/>
      <c r="AT27" s="906">
        <f t="shared" ref="AT27:AU33" si="20">AQ27</f>
        <v>4000000</v>
      </c>
      <c r="AU27" s="907">
        <f t="shared" si="20"/>
        <v>4000000</v>
      </c>
      <c r="AV27" s="540">
        <f t="shared" ref="AV27:AV33" si="21">SUM(U27,V27,X27,Z27,AB27,AD27,AF27,AH27,AK27,AN27,AQ27,AT27)</f>
        <v>25441805</v>
      </c>
      <c r="AW27" s="904">
        <f t="shared" ref="AW27:AW33" si="22">SUM(U27,V27,X27,Z27,AB27,AD27,AF27,AH27,AL27,AO27,AR27,AU27)</f>
        <v>25441805</v>
      </c>
      <c r="AX27" s="550">
        <v>0</v>
      </c>
      <c r="AY27" s="550">
        <v>0</v>
      </c>
      <c r="AZ27" s="550">
        <v>0</v>
      </c>
      <c r="BA27" s="550">
        <v>0</v>
      </c>
      <c r="BB27" s="550">
        <v>0</v>
      </c>
      <c r="BC27" s="550">
        <v>0</v>
      </c>
      <c r="BD27" s="550">
        <v>0</v>
      </c>
      <c r="BE27" s="550">
        <v>0</v>
      </c>
      <c r="BF27" s="550">
        <v>0</v>
      </c>
      <c r="BG27" s="550">
        <v>0</v>
      </c>
      <c r="BH27" s="550">
        <v>0</v>
      </c>
      <c r="BI27" s="550">
        <v>0</v>
      </c>
      <c r="BJ27" s="536">
        <f t="shared" si="12"/>
        <v>0</v>
      </c>
      <c r="BK27" s="538"/>
      <c r="BL27" s="538"/>
      <c r="BM27" s="538"/>
      <c r="BN27" s="551"/>
      <c r="BP27" s="239"/>
    </row>
    <row r="28" spans="1:68" s="238" customFormat="1">
      <c r="A28" s="1041">
        <v>20</v>
      </c>
      <c r="B28" s="1042" t="s">
        <v>108</v>
      </c>
      <c r="C28" s="1075" t="s">
        <v>1007</v>
      </c>
      <c r="D28" s="1075"/>
      <c r="E28" s="1075"/>
      <c r="F28" s="1076" t="s">
        <v>1020</v>
      </c>
      <c r="G28" s="1044">
        <v>3000020805</v>
      </c>
      <c r="H28" s="237"/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669"/>
      <c r="U28" s="669">
        <v>5647000</v>
      </c>
      <c r="V28" s="669">
        <v>4797100</v>
      </c>
      <c r="W28" s="237">
        <v>3000000</v>
      </c>
      <c r="X28" s="669">
        <v>1540700</v>
      </c>
      <c r="Y28" s="237">
        <v>3000000</v>
      </c>
      <c r="Z28" s="669">
        <v>2747700</v>
      </c>
      <c r="AA28" s="237">
        <v>3000000</v>
      </c>
      <c r="AB28" s="669">
        <v>3333100</v>
      </c>
      <c r="AC28" s="237">
        <v>3000000</v>
      </c>
      <c r="AD28" s="669">
        <v>3873700</v>
      </c>
      <c r="AE28" s="237">
        <v>3000000</v>
      </c>
      <c r="AF28" s="669">
        <v>3386000</v>
      </c>
      <c r="AG28" s="237">
        <f>AE28</f>
        <v>3000000</v>
      </c>
      <c r="AH28" s="905">
        <v>5942600</v>
      </c>
      <c r="AI28" s="906">
        <f t="shared" si="17"/>
        <v>3000000</v>
      </c>
      <c r="AJ28" s="905"/>
      <c r="AK28" s="906">
        <v>3000000</v>
      </c>
      <c r="AL28" s="907">
        <f>AI28</f>
        <v>3000000</v>
      </c>
      <c r="AM28" s="905"/>
      <c r="AN28" s="906">
        <f t="shared" si="18"/>
        <v>3000000</v>
      </c>
      <c r="AO28" s="907">
        <f t="shared" si="18"/>
        <v>3000000</v>
      </c>
      <c r="AP28" s="905"/>
      <c r="AQ28" s="906">
        <f t="shared" si="19"/>
        <v>3000000</v>
      </c>
      <c r="AR28" s="907">
        <f t="shared" si="19"/>
        <v>3000000</v>
      </c>
      <c r="AS28" s="905"/>
      <c r="AT28" s="906">
        <f t="shared" si="20"/>
        <v>3000000</v>
      </c>
      <c r="AU28" s="907">
        <f t="shared" si="20"/>
        <v>3000000</v>
      </c>
      <c r="AV28" s="540">
        <f t="shared" si="21"/>
        <v>43267900</v>
      </c>
      <c r="AW28" s="904">
        <f t="shared" si="22"/>
        <v>43267900</v>
      </c>
      <c r="AX28" s="550">
        <v>20000000</v>
      </c>
      <c r="AY28" s="550">
        <v>20000000</v>
      </c>
      <c r="AZ28" s="550">
        <v>20000000</v>
      </c>
      <c r="BA28" s="550">
        <v>20000000</v>
      </c>
      <c r="BB28" s="550">
        <v>20000000</v>
      </c>
      <c r="BC28" s="550">
        <v>20000000</v>
      </c>
      <c r="BD28" s="550">
        <v>20000000</v>
      </c>
      <c r="BE28" s="550">
        <v>20000000</v>
      </c>
      <c r="BF28" s="550">
        <v>20000000</v>
      </c>
      <c r="BG28" s="550">
        <v>20000000</v>
      </c>
      <c r="BH28" s="550">
        <v>20000000</v>
      </c>
      <c r="BI28" s="550">
        <v>20000000</v>
      </c>
      <c r="BJ28" s="536">
        <f t="shared" si="12"/>
        <v>240000000</v>
      </c>
      <c r="BK28" s="537">
        <f t="shared" ref="BK28:BN30" si="23">BJ28*(1+BK$6)</f>
        <v>280800000</v>
      </c>
      <c r="BL28" s="537">
        <f t="shared" si="23"/>
        <v>303264000</v>
      </c>
      <c r="BM28" s="537">
        <f t="shared" si="23"/>
        <v>330557760</v>
      </c>
      <c r="BN28" s="549">
        <f t="shared" si="23"/>
        <v>360307958.40000004</v>
      </c>
      <c r="BP28" s="239"/>
    </row>
    <row r="29" spans="1:68" s="238" customFormat="1">
      <c r="A29" s="1041">
        <v>21</v>
      </c>
      <c r="B29" s="1042" t="s">
        <v>108</v>
      </c>
      <c r="C29" s="1075" t="s">
        <v>1005</v>
      </c>
      <c r="D29" s="1075"/>
      <c r="E29" s="1075"/>
      <c r="F29" s="1044" t="s">
        <v>1021</v>
      </c>
      <c r="G29" s="1044">
        <v>3000020792</v>
      </c>
      <c r="H29" s="237"/>
      <c r="I29" s="237"/>
      <c r="J29" s="237"/>
      <c r="K29" s="237"/>
      <c r="L29" s="237"/>
      <c r="M29" s="237"/>
      <c r="N29" s="237"/>
      <c r="O29" s="237"/>
      <c r="P29" s="237"/>
      <c r="Q29" s="237"/>
      <c r="R29" s="237"/>
      <c r="S29" s="237"/>
      <c r="T29" s="669"/>
      <c r="U29" s="669"/>
      <c r="V29" s="669"/>
      <c r="W29" s="237">
        <v>0</v>
      </c>
      <c r="X29" s="669"/>
      <c r="Y29" s="237">
        <v>5000000</v>
      </c>
      <c r="Z29" s="669">
        <v>5217394</v>
      </c>
      <c r="AA29" s="237">
        <v>5000000</v>
      </c>
      <c r="AB29" s="669"/>
      <c r="AC29" s="237">
        <v>5000000</v>
      </c>
      <c r="AD29" s="669"/>
      <c r="AE29" s="237">
        <v>5000000</v>
      </c>
      <c r="AF29" s="669">
        <v>0</v>
      </c>
      <c r="AG29" s="237">
        <f>AE29</f>
        <v>5000000</v>
      </c>
      <c r="AH29" s="905"/>
      <c r="AI29" s="906">
        <f t="shared" si="17"/>
        <v>5000000</v>
      </c>
      <c r="AJ29" s="905"/>
      <c r="AK29" s="906">
        <v>5000000</v>
      </c>
      <c r="AL29" s="907">
        <f>AI29</f>
        <v>5000000</v>
      </c>
      <c r="AM29" s="905"/>
      <c r="AN29" s="906">
        <f t="shared" si="18"/>
        <v>5000000</v>
      </c>
      <c r="AO29" s="907">
        <f t="shared" si="18"/>
        <v>5000000</v>
      </c>
      <c r="AP29" s="905"/>
      <c r="AQ29" s="906">
        <f t="shared" si="19"/>
        <v>5000000</v>
      </c>
      <c r="AR29" s="907">
        <f t="shared" si="19"/>
        <v>5000000</v>
      </c>
      <c r="AS29" s="905"/>
      <c r="AT29" s="906">
        <f t="shared" si="20"/>
        <v>5000000</v>
      </c>
      <c r="AU29" s="907">
        <f t="shared" si="20"/>
        <v>5000000</v>
      </c>
      <c r="AV29" s="540">
        <f t="shared" si="21"/>
        <v>25217394</v>
      </c>
      <c r="AW29" s="904">
        <f t="shared" si="22"/>
        <v>25217394</v>
      </c>
      <c r="AX29" s="550">
        <v>0</v>
      </c>
      <c r="AY29" s="550">
        <v>0</v>
      </c>
      <c r="AZ29" s="550">
        <v>0</v>
      </c>
      <c r="BA29" s="550">
        <v>0</v>
      </c>
      <c r="BB29" s="550">
        <v>0</v>
      </c>
      <c r="BC29" s="550">
        <v>0</v>
      </c>
      <c r="BD29" s="550">
        <v>0</v>
      </c>
      <c r="BE29" s="550">
        <v>0</v>
      </c>
      <c r="BF29" s="550">
        <v>0</v>
      </c>
      <c r="BG29" s="550">
        <v>0</v>
      </c>
      <c r="BH29" s="550">
        <v>0</v>
      </c>
      <c r="BI29" s="550">
        <v>0</v>
      </c>
      <c r="BJ29" s="536">
        <f t="shared" si="12"/>
        <v>0</v>
      </c>
      <c r="BK29" s="537">
        <f t="shared" si="23"/>
        <v>0</v>
      </c>
      <c r="BL29" s="537">
        <f t="shared" si="23"/>
        <v>0</v>
      </c>
      <c r="BM29" s="537">
        <f t="shared" si="23"/>
        <v>0</v>
      </c>
      <c r="BN29" s="549">
        <f t="shared" si="23"/>
        <v>0</v>
      </c>
      <c r="BP29" s="239"/>
    </row>
    <row r="30" spans="1:68" s="238" customFormat="1">
      <c r="A30" s="1041">
        <v>22</v>
      </c>
      <c r="B30" s="1042" t="s">
        <v>108</v>
      </c>
      <c r="C30" s="1042"/>
      <c r="D30" s="1042"/>
      <c r="E30" s="1042"/>
      <c r="F30" s="1044" t="s">
        <v>1022</v>
      </c>
      <c r="G30" s="1044">
        <v>3000020804</v>
      </c>
      <c r="H30" s="237">
        <v>400000000</v>
      </c>
      <c r="I30" s="237">
        <v>400000000</v>
      </c>
      <c r="J30" s="237">
        <v>400000000</v>
      </c>
      <c r="K30" s="237">
        <v>400000000</v>
      </c>
      <c r="L30" s="237">
        <v>450000000</v>
      </c>
      <c r="M30" s="237">
        <v>450000000</v>
      </c>
      <c r="N30" s="237">
        <v>450000000</v>
      </c>
      <c r="O30" s="237">
        <v>450000000</v>
      </c>
      <c r="P30" s="237">
        <v>650000000</v>
      </c>
      <c r="Q30" s="237">
        <v>650000000</v>
      </c>
      <c r="R30" s="237">
        <v>650000000</v>
      </c>
      <c r="S30" s="237">
        <v>650000000</v>
      </c>
      <c r="T30" s="669">
        <f>SUM(H30:S30)</f>
        <v>6000000000</v>
      </c>
      <c r="U30" s="669"/>
      <c r="V30" s="669">
        <v>7168462</v>
      </c>
      <c r="W30" s="237"/>
      <c r="X30" s="669">
        <v>0</v>
      </c>
      <c r="Y30" s="237">
        <f>440000000*3</f>
        <v>1320000000</v>
      </c>
      <c r="Z30" s="669">
        <v>1310744838</v>
      </c>
      <c r="AA30" s="237">
        <f>440000000*2</f>
        <v>880000000</v>
      </c>
      <c r="AB30" s="669">
        <v>437984231</v>
      </c>
      <c r="AC30" s="237">
        <v>440000000</v>
      </c>
      <c r="AD30" s="669">
        <v>497482626</v>
      </c>
      <c r="AE30" s="237">
        <v>440000000</v>
      </c>
      <c r="AF30" s="669">
        <v>432014714</v>
      </c>
      <c r="AG30" s="237">
        <v>480000000</v>
      </c>
      <c r="AH30" s="905">
        <v>479435478</v>
      </c>
      <c r="AI30" s="906">
        <f t="shared" si="17"/>
        <v>480000000</v>
      </c>
      <c r="AJ30" s="905"/>
      <c r="AK30" s="906">
        <v>550000000</v>
      </c>
      <c r="AL30" s="907">
        <v>650000000</v>
      </c>
      <c r="AM30" s="905"/>
      <c r="AN30" s="906">
        <v>500000000</v>
      </c>
      <c r="AO30" s="907">
        <v>700000000</v>
      </c>
      <c r="AP30" s="905"/>
      <c r="AQ30" s="906">
        <f t="shared" si="19"/>
        <v>500000000</v>
      </c>
      <c r="AR30" s="907">
        <v>750000000</v>
      </c>
      <c r="AS30" s="905"/>
      <c r="AT30" s="906">
        <f t="shared" si="20"/>
        <v>500000000</v>
      </c>
      <c r="AU30" s="907">
        <v>800000000</v>
      </c>
      <c r="AV30" s="540">
        <f t="shared" si="21"/>
        <v>5214830349</v>
      </c>
      <c r="AW30" s="904">
        <f t="shared" si="22"/>
        <v>6064830349</v>
      </c>
      <c r="AX30" s="550">
        <v>600000000</v>
      </c>
      <c r="AY30" s="550">
        <v>600000000</v>
      </c>
      <c r="AZ30" s="550">
        <v>600000000</v>
      </c>
      <c r="BA30" s="550">
        <v>600000000</v>
      </c>
      <c r="BB30" s="550">
        <v>600000000</v>
      </c>
      <c r="BC30" s="550">
        <v>600000000</v>
      </c>
      <c r="BD30" s="550">
        <v>600000000</v>
      </c>
      <c r="BE30" s="550">
        <v>600000000</v>
      </c>
      <c r="BF30" s="550">
        <v>600000000</v>
      </c>
      <c r="BG30" s="550">
        <v>600000000</v>
      </c>
      <c r="BH30" s="550">
        <v>600000000</v>
      </c>
      <c r="BI30" s="550">
        <v>600000000</v>
      </c>
      <c r="BJ30" s="536">
        <f t="shared" si="12"/>
        <v>7200000000</v>
      </c>
      <c r="BK30" s="537">
        <f t="shared" si="23"/>
        <v>8423999999.999999</v>
      </c>
      <c r="BL30" s="537">
        <f t="shared" si="23"/>
        <v>9097920000</v>
      </c>
      <c r="BM30" s="537">
        <f t="shared" si="23"/>
        <v>9916732800</v>
      </c>
      <c r="BN30" s="549">
        <f t="shared" si="23"/>
        <v>10809238752</v>
      </c>
      <c r="BP30" s="239"/>
    </row>
    <row r="31" spans="1:68" s="238" customFormat="1">
      <c r="A31" s="1041">
        <v>23</v>
      </c>
      <c r="B31" s="1042" t="s">
        <v>108</v>
      </c>
      <c r="C31" s="1075" t="s">
        <v>1007</v>
      </c>
      <c r="D31" s="1075"/>
      <c r="E31" s="1075"/>
      <c r="F31" s="1044" t="s">
        <v>1023</v>
      </c>
      <c r="G31" s="1077" t="s">
        <v>1024</v>
      </c>
      <c r="H31" s="237">
        <v>28000000</v>
      </c>
      <c r="I31" s="237">
        <v>28000000</v>
      </c>
      <c r="J31" s="237">
        <v>28000000</v>
      </c>
      <c r="K31" s="237">
        <v>28000000</v>
      </c>
      <c r="L31" s="237">
        <v>31500000</v>
      </c>
      <c r="M31" s="237">
        <v>31500000</v>
      </c>
      <c r="N31" s="237">
        <v>31500000</v>
      </c>
      <c r="O31" s="237">
        <v>31500000</v>
      </c>
      <c r="P31" s="237">
        <v>45500000</v>
      </c>
      <c r="Q31" s="237">
        <v>45500000</v>
      </c>
      <c r="R31" s="237">
        <v>45500000</v>
      </c>
      <c r="S31" s="237">
        <v>45500000</v>
      </c>
      <c r="T31" s="669">
        <f>SUM(H31:S31)</f>
        <v>420000000</v>
      </c>
      <c r="U31" s="669">
        <v>738536</v>
      </c>
      <c r="V31" s="669">
        <v>-53999.999999999884</v>
      </c>
      <c r="W31" s="237">
        <v>1000000</v>
      </c>
      <c r="X31" s="669">
        <v>3631607</v>
      </c>
      <c r="Y31" s="237">
        <v>1500000</v>
      </c>
      <c r="Z31" s="669">
        <v>2194220</v>
      </c>
      <c r="AA31" s="237">
        <v>2000000</v>
      </c>
      <c r="AB31" s="669">
        <v>3319361</v>
      </c>
      <c r="AC31" s="237">
        <v>2000000</v>
      </c>
      <c r="AD31" s="669">
        <v>2105831</v>
      </c>
      <c r="AE31" s="237">
        <v>2000000</v>
      </c>
      <c r="AF31" s="669">
        <v>3492194</v>
      </c>
      <c r="AG31" s="237">
        <v>5000000</v>
      </c>
      <c r="AH31" s="905">
        <v>-353001</v>
      </c>
      <c r="AI31" s="906">
        <f t="shared" si="17"/>
        <v>5000000</v>
      </c>
      <c r="AJ31" s="905"/>
      <c r="AK31" s="906">
        <v>5000000</v>
      </c>
      <c r="AL31" s="907">
        <f>AI31</f>
        <v>5000000</v>
      </c>
      <c r="AM31" s="905"/>
      <c r="AN31" s="906">
        <f t="shared" ref="AN31:AO33" si="24">AK31</f>
        <v>5000000</v>
      </c>
      <c r="AO31" s="907">
        <f t="shared" si="24"/>
        <v>5000000</v>
      </c>
      <c r="AP31" s="905"/>
      <c r="AQ31" s="906">
        <f t="shared" si="19"/>
        <v>5000000</v>
      </c>
      <c r="AR31" s="907">
        <f t="shared" si="19"/>
        <v>5000000</v>
      </c>
      <c r="AS31" s="905"/>
      <c r="AT31" s="906">
        <f t="shared" si="20"/>
        <v>5000000</v>
      </c>
      <c r="AU31" s="907">
        <f t="shared" si="20"/>
        <v>5000000</v>
      </c>
      <c r="AV31" s="540">
        <f t="shared" si="21"/>
        <v>35074748</v>
      </c>
      <c r="AW31" s="904">
        <f t="shared" si="22"/>
        <v>35074748</v>
      </c>
      <c r="AX31" s="550">
        <v>0</v>
      </c>
      <c r="AY31" s="550">
        <v>0</v>
      </c>
      <c r="AZ31" s="550">
        <v>0</v>
      </c>
      <c r="BA31" s="550">
        <v>0</v>
      </c>
      <c r="BB31" s="550">
        <v>0</v>
      </c>
      <c r="BC31" s="550">
        <v>0</v>
      </c>
      <c r="BD31" s="550">
        <v>0</v>
      </c>
      <c r="BE31" s="550">
        <v>0</v>
      </c>
      <c r="BF31" s="550">
        <v>0</v>
      </c>
      <c r="BG31" s="550">
        <v>0</v>
      </c>
      <c r="BH31" s="550">
        <v>0</v>
      </c>
      <c r="BI31" s="550">
        <v>0</v>
      </c>
      <c r="BJ31" s="536">
        <f t="shared" si="12"/>
        <v>0</v>
      </c>
      <c r="BK31" s="538">
        <f>BJ31*(1+BK$6)</f>
        <v>0</v>
      </c>
      <c r="BL31" s="538">
        <f>BK31*(1+BL$6)</f>
        <v>0</v>
      </c>
      <c r="BM31" s="538">
        <f>BL31*(1+BM$6)</f>
        <v>0</v>
      </c>
      <c r="BN31" s="551">
        <f>BM31*(1+BN$6)</f>
        <v>0</v>
      </c>
      <c r="BP31" s="239"/>
    </row>
    <row r="32" spans="1:68" s="238" customFormat="1">
      <c r="A32" s="1041">
        <v>24</v>
      </c>
      <c r="B32" s="1042" t="s">
        <v>108</v>
      </c>
      <c r="C32" s="1075" t="s">
        <v>1005</v>
      </c>
      <c r="D32" s="1075"/>
      <c r="E32" s="1075"/>
      <c r="F32" s="1044" t="s">
        <v>1025</v>
      </c>
      <c r="G32" s="1044">
        <v>3000020803</v>
      </c>
      <c r="H32" s="237"/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669"/>
      <c r="U32" s="669">
        <v>212313</v>
      </c>
      <c r="V32" s="669">
        <v>212313</v>
      </c>
      <c r="W32" s="237">
        <v>200000</v>
      </c>
      <c r="X32" s="669">
        <v>212313</v>
      </c>
      <c r="Y32" s="237">
        <v>500000</v>
      </c>
      <c r="Z32" s="669">
        <v>212313</v>
      </c>
      <c r="AA32" s="237">
        <v>500000</v>
      </c>
      <c r="AB32" s="669">
        <v>212313</v>
      </c>
      <c r="AC32" s="237">
        <v>500000</v>
      </c>
      <c r="AD32" s="669">
        <v>212313</v>
      </c>
      <c r="AE32" s="237">
        <v>500000</v>
      </c>
      <c r="AF32" s="669">
        <v>212313</v>
      </c>
      <c r="AG32" s="237">
        <f>AE32</f>
        <v>500000</v>
      </c>
      <c r="AH32" s="905">
        <v>212314</v>
      </c>
      <c r="AI32" s="906">
        <f t="shared" si="17"/>
        <v>500000</v>
      </c>
      <c r="AJ32" s="905"/>
      <c r="AK32" s="906">
        <v>500000</v>
      </c>
      <c r="AL32" s="907">
        <f>AI32</f>
        <v>500000</v>
      </c>
      <c r="AM32" s="905"/>
      <c r="AN32" s="906">
        <f t="shared" si="24"/>
        <v>500000</v>
      </c>
      <c r="AO32" s="907">
        <f t="shared" si="24"/>
        <v>500000</v>
      </c>
      <c r="AP32" s="905"/>
      <c r="AQ32" s="906">
        <f t="shared" si="19"/>
        <v>500000</v>
      </c>
      <c r="AR32" s="907">
        <f t="shared" si="19"/>
        <v>500000</v>
      </c>
      <c r="AS32" s="905"/>
      <c r="AT32" s="906">
        <f t="shared" si="20"/>
        <v>500000</v>
      </c>
      <c r="AU32" s="907">
        <f t="shared" si="20"/>
        <v>500000</v>
      </c>
      <c r="AV32" s="540">
        <f t="shared" si="21"/>
        <v>3698505</v>
      </c>
      <c r="AW32" s="904">
        <f t="shared" si="22"/>
        <v>3698505</v>
      </c>
      <c r="AX32" s="550">
        <v>0</v>
      </c>
      <c r="AY32" s="550">
        <v>0</v>
      </c>
      <c r="AZ32" s="550">
        <v>0</v>
      </c>
      <c r="BA32" s="550">
        <v>0</v>
      </c>
      <c r="BB32" s="550">
        <v>0</v>
      </c>
      <c r="BC32" s="550">
        <v>0</v>
      </c>
      <c r="BD32" s="550">
        <v>0</v>
      </c>
      <c r="BE32" s="550">
        <v>0</v>
      </c>
      <c r="BF32" s="550">
        <v>0</v>
      </c>
      <c r="BG32" s="550">
        <v>0</v>
      </c>
      <c r="BH32" s="550">
        <v>0</v>
      </c>
      <c r="BI32" s="550">
        <v>0</v>
      </c>
      <c r="BJ32" s="536">
        <f t="shared" si="12"/>
        <v>0</v>
      </c>
      <c r="BK32" s="538"/>
      <c r="BL32" s="538"/>
      <c r="BM32" s="538"/>
      <c r="BN32" s="551"/>
      <c r="BP32" s="239"/>
    </row>
    <row r="33" spans="1:68" s="238" customFormat="1">
      <c r="A33" s="1041">
        <v>25</v>
      </c>
      <c r="B33" s="1042" t="s">
        <v>108</v>
      </c>
      <c r="C33" s="1075" t="s">
        <v>1019</v>
      </c>
      <c r="D33" s="1075"/>
      <c r="E33" s="1075"/>
      <c r="F33" s="1044" t="s">
        <v>1026</v>
      </c>
      <c r="G33" s="1044" t="s">
        <v>1027</v>
      </c>
      <c r="H33" s="237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669"/>
      <c r="U33" s="669"/>
      <c r="V33" s="669">
        <v>872727.27</v>
      </c>
      <c r="W33" s="237"/>
      <c r="X33" s="669">
        <v>372727</v>
      </c>
      <c r="Y33" s="237"/>
      <c r="Z33" s="669"/>
      <c r="AA33" s="237"/>
      <c r="AB33" s="669">
        <v>0</v>
      </c>
      <c r="AC33" s="237"/>
      <c r="AD33" s="669"/>
      <c r="AE33" s="237"/>
      <c r="AF33" s="669"/>
      <c r="AG33" s="237">
        <f>AE33</f>
        <v>0</v>
      </c>
      <c r="AH33" s="905"/>
      <c r="AI33" s="906">
        <f t="shared" si="17"/>
        <v>0</v>
      </c>
      <c r="AJ33" s="905"/>
      <c r="AK33" s="906">
        <v>0</v>
      </c>
      <c r="AL33" s="907">
        <f>AI33</f>
        <v>0</v>
      </c>
      <c r="AM33" s="905"/>
      <c r="AN33" s="906">
        <f t="shared" si="24"/>
        <v>0</v>
      </c>
      <c r="AO33" s="907">
        <f t="shared" si="24"/>
        <v>0</v>
      </c>
      <c r="AP33" s="905"/>
      <c r="AQ33" s="906">
        <f t="shared" si="19"/>
        <v>0</v>
      </c>
      <c r="AR33" s="907">
        <f t="shared" si="19"/>
        <v>0</v>
      </c>
      <c r="AS33" s="905"/>
      <c r="AT33" s="906">
        <f t="shared" si="20"/>
        <v>0</v>
      </c>
      <c r="AU33" s="907">
        <f t="shared" si="20"/>
        <v>0</v>
      </c>
      <c r="AV33" s="540">
        <f t="shared" si="21"/>
        <v>1245454.27</v>
      </c>
      <c r="AW33" s="904">
        <f t="shared" si="22"/>
        <v>1245454.27</v>
      </c>
      <c r="AX33" s="550">
        <v>0</v>
      </c>
      <c r="AY33" s="550">
        <v>0</v>
      </c>
      <c r="AZ33" s="550">
        <v>0</v>
      </c>
      <c r="BA33" s="550">
        <v>0</v>
      </c>
      <c r="BB33" s="550">
        <v>0</v>
      </c>
      <c r="BC33" s="550">
        <v>0</v>
      </c>
      <c r="BD33" s="550">
        <v>0</v>
      </c>
      <c r="BE33" s="550">
        <v>0</v>
      </c>
      <c r="BF33" s="550">
        <v>0</v>
      </c>
      <c r="BG33" s="550">
        <v>0</v>
      </c>
      <c r="BH33" s="550">
        <v>0</v>
      </c>
      <c r="BI33" s="550">
        <v>0</v>
      </c>
      <c r="BJ33" s="536">
        <f t="shared" si="12"/>
        <v>0</v>
      </c>
      <c r="BK33" s="538"/>
      <c r="BL33" s="538"/>
      <c r="BM33" s="538"/>
      <c r="BN33" s="551"/>
      <c r="BP33" s="239"/>
    </row>
    <row r="34" spans="1:68" s="238" customFormat="1">
      <c r="A34" s="1041">
        <v>26</v>
      </c>
      <c r="B34" s="1042" t="s">
        <v>108</v>
      </c>
      <c r="C34" s="1078" t="s">
        <v>1005</v>
      </c>
      <c r="D34" s="1078"/>
      <c r="E34" s="1078"/>
      <c r="F34" s="1044" t="s">
        <v>1028</v>
      </c>
      <c r="G34" s="1044"/>
      <c r="H34" s="237"/>
      <c r="I34" s="237"/>
      <c r="J34" s="237"/>
      <c r="K34" s="237"/>
      <c r="L34" s="237"/>
      <c r="M34" s="237"/>
      <c r="N34" s="237"/>
      <c r="O34" s="237"/>
      <c r="P34" s="237"/>
      <c r="Q34" s="237"/>
      <c r="R34" s="237"/>
      <c r="S34" s="237"/>
      <c r="T34" s="669"/>
      <c r="U34" s="669"/>
      <c r="V34" s="669"/>
      <c r="W34" s="237"/>
      <c r="X34" s="669"/>
      <c r="Y34" s="237"/>
      <c r="Z34" s="669"/>
      <c r="AA34" s="237"/>
      <c r="AB34" s="669"/>
      <c r="AC34" s="237"/>
      <c r="AD34" s="669"/>
      <c r="AE34" s="237"/>
      <c r="AF34" s="669"/>
      <c r="AG34" s="237"/>
      <c r="AH34" s="905"/>
      <c r="AI34" s="906"/>
      <c r="AJ34" s="905"/>
      <c r="AK34" s="906"/>
      <c r="AL34" s="907"/>
      <c r="AM34" s="905"/>
      <c r="AN34" s="906"/>
      <c r="AO34" s="907"/>
      <c r="AP34" s="905"/>
      <c r="AQ34" s="906"/>
      <c r="AR34" s="907"/>
      <c r="AS34" s="905"/>
      <c r="AT34" s="906"/>
      <c r="AU34" s="907"/>
      <c r="AV34" s="540"/>
      <c r="AW34" s="904"/>
      <c r="AX34" s="550">
        <v>100000000</v>
      </c>
      <c r="AY34" s="550">
        <v>100000000</v>
      </c>
      <c r="AZ34" s="550">
        <v>100000000</v>
      </c>
      <c r="BA34" s="550">
        <v>100000000</v>
      </c>
      <c r="BB34" s="550">
        <v>100000000</v>
      </c>
      <c r="BC34" s="550">
        <v>100000000</v>
      </c>
      <c r="BD34" s="550">
        <v>100000000</v>
      </c>
      <c r="BE34" s="550">
        <v>100000000</v>
      </c>
      <c r="BF34" s="550">
        <v>100000000</v>
      </c>
      <c r="BG34" s="550">
        <v>100000000</v>
      </c>
      <c r="BH34" s="550">
        <v>100000000</v>
      </c>
      <c r="BI34" s="550">
        <v>100000000</v>
      </c>
      <c r="BJ34" s="536">
        <f t="shared" si="12"/>
        <v>1200000000</v>
      </c>
      <c r="BK34" s="538"/>
      <c r="BL34" s="538"/>
      <c r="BM34" s="538"/>
      <c r="BN34" s="551"/>
      <c r="BP34" s="239"/>
    </row>
    <row r="35" spans="1:68" s="238" customFormat="1">
      <c r="A35" s="1041">
        <v>27</v>
      </c>
      <c r="B35" s="1042" t="s">
        <v>108</v>
      </c>
      <c r="C35" s="1078" t="s">
        <v>1005</v>
      </c>
      <c r="D35" s="1078"/>
      <c r="E35" s="1078"/>
      <c r="F35" s="1044" t="s">
        <v>1029</v>
      </c>
      <c r="G35" s="1044"/>
      <c r="H35" s="237"/>
      <c r="I35" s="237"/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669"/>
      <c r="U35" s="669"/>
      <c r="V35" s="669"/>
      <c r="W35" s="237"/>
      <c r="X35" s="669"/>
      <c r="Y35" s="237"/>
      <c r="Z35" s="669"/>
      <c r="AA35" s="237"/>
      <c r="AB35" s="669"/>
      <c r="AC35" s="237"/>
      <c r="AD35" s="669"/>
      <c r="AE35" s="237"/>
      <c r="AF35" s="669"/>
      <c r="AG35" s="237"/>
      <c r="AH35" s="905"/>
      <c r="AI35" s="906"/>
      <c r="AJ35" s="905"/>
      <c r="AK35" s="906"/>
      <c r="AL35" s="907"/>
      <c r="AM35" s="905"/>
      <c r="AN35" s="906"/>
      <c r="AO35" s="907"/>
      <c r="AP35" s="905"/>
      <c r="AQ35" s="906"/>
      <c r="AR35" s="907"/>
      <c r="AS35" s="905"/>
      <c r="AT35" s="906"/>
      <c r="AU35" s="907"/>
      <c r="AV35" s="540"/>
      <c r="AW35" s="904"/>
      <c r="AX35" s="550">
        <v>20000000</v>
      </c>
      <c r="AY35" s="550">
        <v>20000000</v>
      </c>
      <c r="AZ35" s="550">
        <v>20000000</v>
      </c>
      <c r="BA35" s="550">
        <v>20000000</v>
      </c>
      <c r="BB35" s="550">
        <v>20000000</v>
      </c>
      <c r="BC35" s="550">
        <v>20000000</v>
      </c>
      <c r="BD35" s="550">
        <v>20000000</v>
      </c>
      <c r="BE35" s="550">
        <v>20000000</v>
      </c>
      <c r="BF35" s="550">
        <v>20000000</v>
      </c>
      <c r="BG35" s="550">
        <v>20000000</v>
      </c>
      <c r="BH35" s="550">
        <v>20000000</v>
      </c>
      <c r="BI35" s="550">
        <v>20000000</v>
      </c>
      <c r="BJ35" s="536">
        <f t="shared" si="12"/>
        <v>240000000</v>
      </c>
      <c r="BK35" s="538"/>
      <c r="BL35" s="538"/>
      <c r="BM35" s="538"/>
      <c r="BN35" s="551"/>
      <c r="BP35" s="239"/>
    </row>
    <row r="36" spans="1:68" s="238" customFormat="1">
      <c r="A36" s="1041">
        <v>28</v>
      </c>
      <c r="B36" s="1042" t="s">
        <v>108</v>
      </c>
      <c r="C36" s="1045" t="s">
        <v>1005</v>
      </c>
      <c r="D36" s="1045"/>
      <c r="E36" s="1045"/>
      <c r="F36" s="1044" t="s">
        <v>1030</v>
      </c>
      <c r="G36" s="1044"/>
      <c r="H36" s="237">
        <v>16000000</v>
      </c>
      <c r="I36" s="237">
        <v>16000000</v>
      </c>
      <c r="J36" s="237">
        <v>16000000</v>
      </c>
      <c r="K36" s="237">
        <v>16000000</v>
      </c>
      <c r="L36" s="237">
        <v>18000000</v>
      </c>
      <c r="M36" s="237">
        <v>18000000</v>
      </c>
      <c r="N36" s="237">
        <v>18000000</v>
      </c>
      <c r="O36" s="237">
        <v>18000000</v>
      </c>
      <c r="P36" s="237">
        <v>26000000</v>
      </c>
      <c r="Q36" s="237">
        <v>26000000</v>
      </c>
      <c r="R36" s="237">
        <v>26000000</v>
      </c>
      <c r="S36" s="237">
        <v>26000000</v>
      </c>
      <c r="T36" s="669">
        <f>SUM(H36:S36)</f>
        <v>240000000</v>
      </c>
      <c r="U36" s="669"/>
      <c r="V36" s="669"/>
      <c r="W36" s="237">
        <v>0</v>
      </c>
      <c r="X36" s="669"/>
      <c r="Y36" s="237">
        <v>0</v>
      </c>
      <c r="Z36" s="669"/>
      <c r="AA36" s="237"/>
      <c r="AB36" s="669"/>
      <c r="AC36" s="237"/>
      <c r="AD36" s="669">
        <v>12484496</v>
      </c>
      <c r="AE36" s="237"/>
      <c r="AF36" s="669">
        <v>23275098</v>
      </c>
      <c r="AG36" s="237">
        <f>AE36</f>
        <v>0</v>
      </c>
      <c r="AH36" s="905">
        <v>36508120</v>
      </c>
      <c r="AI36" s="906">
        <v>100000000</v>
      </c>
      <c r="AJ36" s="905"/>
      <c r="AK36" s="906">
        <v>100000000</v>
      </c>
      <c r="AL36" s="907">
        <f>AI36</f>
        <v>100000000</v>
      </c>
      <c r="AM36" s="905"/>
      <c r="AN36" s="906">
        <f>AK36</f>
        <v>100000000</v>
      </c>
      <c r="AO36" s="907">
        <v>125000000</v>
      </c>
      <c r="AP36" s="905"/>
      <c r="AQ36" s="906">
        <f>AN36</f>
        <v>100000000</v>
      </c>
      <c r="AR36" s="907">
        <v>150000000</v>
      </c>
      <c r="AS36" s="905"/>
      <c r="AT36" s="906">
        <f>AQ36</f>
        <v>100000000</v>
      </c>
      <c r="AU36" s="907">
        <v>175000000</v>
      </c>
      <c r="AV36" s="540">
        <f>SUM(U36,V36,X36,Z36,AB36,AD36,AF36,AH36,AK36,AN36,AQ36,AT36)</f>
        <v>472267714</v>
      </c>
      <c r="AW36" s="904">
        <f>SUM(U36,V36,X36,Z36,AB36,AD36,AF36,AH36,AL36,AO36,AR36,AU36)</f>
        <v>622267714</v>
      </c>
      <c r="AX36" s="550">
        <v>250000000</v>
      </c>
      <c r="AY36" s="550">
        <v>250000000</v>
      </c>
      <c r="AZ36" s="550">
        <v>250000000</v>
      </c>
      <c r="BA36" s="550">
        <v>250000000</v>
      </c>
      <c r="BB36" s="550">
        <v>250000000</v>
      </c>
      <c r="BC36" s="550">
        <v>250000000</v>
      </c>
      <c r="BD36" s="550">
        <v>250000000</v>
      </c>
      <c r="BE36" s="550">
        <v>250000000</v>
      </c>
      <c r="BF36" s="550">
        <v>250000000</v>
      </c>
      <c r="BG36" s="550">
        <v>250000000</v>
      </c>
      <c r="BH36" s="550">
        <v>250000000</v>
      </c>
      <c r="BI36" s="550">
        <v>250000000</v>
      </c>
      <c r="BJ36" s="536">
        <f t="shared" si="12"/>
        <v>3000000000</v>
      </c>
      <c r="BK36" s="538">
        <f>BJ36*(1+BK$6)</f>
        <v>3510000000</v>
      </c>
      <c r="BL36" s="538">
        <f>BK36*(1+BL$6)</f>
        <v>3790800000.0000005</v>
      </c>
      <c r="BM36" s="538">
        <f>BL36*(1+BM$6)</f>
        <v>4131972000.000001</v>
      </c>
      <c r="BN36" s="551">
        <f>BM36*(1+BN$6)</f>
        <v>4503849480.000001</v>
      </c>
      <c r="BP36" s="239"/>
    </row>
    <row r="37" spans="1:68" s="238" customFormat="1">
      <c r="A37" s="1041">
        <v>29</v>
      </c>
      <c r="B37" s="1042" t="s">
        <v>108</v>
      </c>
      <c r="C37" s="1043"/>
      <c r="D37" s="1043"/>
      <c r="E37" s="1043"/>
      <c r="F37" s="1044" t="s">
        <v>1031</v>
      </c>
      <c r="G37" s="1044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669"/>
      <c r="U37" s="669"/>
      <c r="V37" s="669"/>
      <c r="W37" s="237"/>
      <c r="X37" s="669"/>
      <c r="Y37" s="237"/>
      <c r="Z37" s="669"/>
      <c r="AA37" s="237"/>
      <c r="AB37" s="669"/>
      <c r="AC37" s="237"/>
      <c r="AD37" s="669"/>
      <c r="AE37" s="237"/>
      <c r="AF37" s="669"/>
      <c r="AG37" s="237"/>
      <c r="AH37" s="905"/>
      <c r="AI37" s="906"/>
      <c r="AJ37" s="905"/>
      <c r="AK37" s="906"/>
      <c r="AL37" s="907"/>
      <c r="AM37" s="905"/>
      <c r="AN37" s="906"/>
      <c r="AO37" s="907"/>
      <c r="AP37" s="905"/>
      <c r="AQ37" s="906"/>
      <c r="AR37" s="907"/>
      <c r="AS37" s="905"/>
      <c r="AT37" s="906"/>
      <c r="AU37" s="907"/>
      <c r="AV37" s="540"/>
      <c r="AW37" s="904"/>
      <c r="AX37" s="550">
        <v>10000000</v>
      </c>
      <c r="AY37" s="550">
        <v>10000000</v>
      </c>
      <c r="AZ37" s="550">
        <v>10000000</v>
      </c>
      <c r="BA37" s="550">
        <v>10000000</v>
      </c>
      <c r="BB37" s="550">
        <v>10000000</v>
      </c>
      <c r="BC37" s="550">
        <v>10000000</v>
      </c>
      <c r="BD37" s="550">
        <v>10000000</v>
      </c>
      <c r="BE37" s="550">
        <v>10000000</v>
      </c>
      <c r="BF37" s="550">
        <v>10000000</v>
      </c>
      <c r="BG37" s="550">
        <v>10000000</v>
      </c>
      <c r="BH37" s="550">
        <v>10000000</v>
      </c>
      <c r="BI37" s="550">
        <v>10000000</v>
      </c>
      <c r="BJ37" s="536">
        <f t="shared" si="12"/>
        <v>120000000</v>
      </c>
      <c r="BK37" s="537">
        <f t="shared" ref="BK37:BN38" si="25">BJ37*(1+BK$6)</f>
        <v>140400000</v>
      </c>
      <c r="BL37" s="537">
        <f t="shared" si="25"/>
        <v>151632000</v>
      </c>
      <c r="BM37" s="537">
        <f t="shared" si="25"/>
        <v>165278880</v>
      </c>
      <c r="BN37" s="549">
        <f t="shared" si="25"/>
        <v>180153979.20000002</v>
      </c>
      <c r="BP37" s="239"/>
    </row>
    <row r="38" spans="1:68" s="238" customFormat="1">
      <c r="A38" s="1041">
        <v>30</v>
      </c>
      <c r="B38" s="1042" t="s">
        <v>108</v>
      </c>
      <c r="C38" s="1043"/>
      <c r="D38" s="1043"/>
      <c r="E38" s="1043"/>
      <c r="F38" s="1044" t="s">
        <v>1032</v>
      </c>
      <c r="G38" s="1044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669"/>
      <c r="U38" s="669"/>
      <c r="V38" s="669"/>
      <c r="W38" s="237"/>
      <c r="X38" s="669"/>
      <c r="Y38" s="237"/>
      <c r="Z38" s="669"/>
      <c r="AA38" s="237"/>
      <c r="AB38" s="669"/>
      <c r="AC38" s="237"/>
      <c r="AD38" s="669"/>
      <c r="AE38" s="237"/>
      <c r="AF38" s="669"/>
      <c r="AG38" s="237"/>
      <c r="AH38" s="905"/>
      <c r="AI38" s="906"/>
      <c r="AJ38" s="905"/>
      <c r="AK38" s="906"/>
      <c r="AL38" s="907"/>
      <c r="AM38" s="905"/>
      <c r="AN38" s="906"/>
      <c r="AO38" s="907"/>
      <c r="AP38" s="905"/>
      <c r="AQ38" s="906"/>
      <c r="AR38" s="907"/>
      <c r="AS38" s="905"/>
      <c r="AT38" s="906"/>
      <c r="AU38" s="907"/>
      <c r="AV38" s="540"/>
      <c r="AW38" s="904"/>
      <c r="AX38" s="550">
        <v>10000000</v>
      </c>
      <c r="AY38" s="550">
        <v>10000000</v>
      </c>
      <c r="AZ38" s="550">
        <v>10000000</v>
      </c>
      <c r="BA38" s="550">
        <v>10000000</v>
      </c>
      <c r="BB38" s="550">
        <v>10000000</v>
      </c>
      <c r="BC38" s="550">
        <v>10000000</v>
      </c>
      <c r="BD38" s="550">
        <v>10000000</v>
      </c>
      <c r="BE38" s="550">
        <v>10000000</v>
      </c>
      <c r="BF38" s="550">
        <v>10000000</v>
      </c>
      <c r="BG38" s="550">
        <v>10000000</v>
      </c>
      <c r="BH38" s="550">
        <v>10000000</v>
      </c>
      <c r="BI38" s="550">
        <v>10000000</v>
      </c>
      <c r="BJ38" s="536">
        <f t="shared" si="12"/>
        <v>120000000</v>
      </c>
      <c r="BK38" s="537">
        <f t="shared" si="25"/>
        <v>140400000</v>
      </c>
      <c r="BL38" s="537">
        <f t="shared" si="25"/>
        <v>151632000</v>
      </c>
      <c r="BM38" s="537">
        <f t="shared" si="25"/>
        <v>165278880</v>
      </c>
      <c r="BN38" s="549">
        <f t="shared" si="25"/>
        <v>180153979.20000002</v>
      </c>
      <c r="BP38" s="239"/>
    </row>
    <row r="39" spans="1:68" s="238" customFormat="1">
      <c r="A39" s="1041">
        <v>31</v>
      </c>
      <c r="B39" s="1042" t="s">
        <v>108</v>
      </c>
      <c r="C39" s="1045" t="s">
        <v>1005</v>
      </c>
      <c r="D39" s="1045"/>
      <c r="E39" s="1045"/>
      <c r="F39" s="1044" t="s">
        <v>1033</v>
      </c>
      <c r="G39" s="1044"/>
      <c r="H39" s="237">
        <v>8000000</v>
      </c>
      <c r="I39" s="237">
        <v>8000000</v>
      </c>
      <c r="J39" s="237">
        <v>8000000</v>
      </c>
      <c r="K39" s="237">
        <v>8000000</v>
      </c>
      <c r="L39" s="237">
        <v>9000000</v>
      </c>
      <c r="M39" s="237">
        <v>9000000</v>
      </c>
      <c r="N39" s="237">
        <v>9000000</v>
      </c>
      <c r="O39" s="237">
        <v>9000000</v>
      </c>
      <c r="P39" s="237">
        <v>13000000</v>
      </c>
      <c r="Q39" s="237">
        <v>13000000</v>
      </c>
      <c r="R39" s="237">
        <v>13000000</v>
      </c>
      <c r="S39" s="237">
        <v>13000000</v>
      </c>
      <c r="T39" s="669">
        <f>SUM(H39:S39)</f>
        <v>120000000</v>
      </c>
      <c r="U39" s="669"/>
      <c r="V39" s="669"/>
      <c r="W39" s="237"/>
      <c r="X39" s="669"/>
      <c r="Y39" s="237"/>
      <c r="Z39" s="669"/>
      <c r="AA39" s="237"/>
      <c r="AB39" s="669"/>
      <c r="AC39" s="237"/>
      <c r="AD39" s="669"/>
      <c r="AE39" s="237"/>
      <c r="AF39" s="669"/>
      <c r="AG39" s="237"/>
      <c r="AH39" s="905"/>
      <c r="AI39" s="906">
        <v>50000000</v>
      </c>
      <c r="AJ39" s="905"/>
      <c r="AK39" s="906">
        <v>50000000</v>
      </c>
      <c r="AL39" s="907">
        <v>25000000</v>
      </c>
      <c r="AM39" s="905"/>
      <c r="AN39" s="906">
        <f>AK39</f>
        <v>50000000</v>
      </c>
      <c r="AO39" s="907">
        <v>50000000</v>
      </c>
      <c r="AP39" s="905"/>
      <c r="AQ39" s="906">
        <f>AN39</f>
        <v>50000000</v>
      </c>
      <c r="AR39" s="907">
        <v>75000000</v>
      </c>
      <c r="AS39" s="905"/>
      <c r="AT39" s="906">
        <f>AQ39</f>
        <v>50000000</v>
      </c>
      <c r="AU39" s="907">
        <v>80000000</v>
      </c>
      <c r="AV39" s="540">
        <f>SUM(U39,V39,X39,Z39,AB39,AD39,AF39,AH39,AK39,AN39,AQ39,AT39)</f>
        <v>200000000</v>
      </c>
      <c r="AW39" s="904">
        <f>SUM(U39,V39,X39,Z39,AB39,AD39,AF39,AH39,AL39,AO39,AR39,AU39)</f>
        <v>230000000</v>
      </c>
      <c r="AX39" s="550">
        <v>20000000</v>
      </c>
      <c r="AY39" s="550">
        <v>20000000</v>
      </c>
      <c r="AZ39" s="550">
        <v>20000000</v>
      </c>
      <c r="BA39" s="550">
        <v>20000000</v>
      </c>
      <c r="BB39" s="550">
        <v>20000000</v>
      </c>
      <c r="BC39" s="550">
        <v>20000000</v>
      </c>
      <c r="BD39" s="550">
        <v>20000000</v>
      </c>
      <c r="BE39" s="550">
        <v>20000000</v>
      </c>
      <c r="BF39" s="550">
        <v>20000000</v>
      </c>
      <c r="BG39" s="550">
        <v>20000000</v>
      </c>
      <c r="BH39" s="550">
        <v>20000000</v>
      </c>
      <c r="BI39" s="550">
        <v>20000000</v>
      </c>
      <c r="BJ39" s="536">
        <f t="shared" si="12"/>
        <v>240000000</v>
      </c>
      <c r="BK39" s="538">
        <f>BJ39*(1+BK$6)</f>
        <v>280800000</v>
      </c>
      <c r="BL39" s="538">
        <f>BK39*(1+BL$6)</f>
        <v>303264000</v>
      </c>
      <c r="BM39" s="538">
        <f>BL39*(1+BM$6)</f>
        <v>330557760</v>
      </c>
      <c r="BN39" s="551">
        <f>BM39*(1+BN$6)</f>
        <v>360307958.40000004</v>
      </c>
      <c r="BP39" s="239"/>
    </row>
    <row r="40" spans="1:68" s="238" customFormat="1" ht="15.5">
      <c r="A40" s="1079"/>
      <c r="B40" s="1080"/>
      <c r="C40" s="1081"/>
      <c r="D40" s="1081"/>
      <c r="E40" s="1081"/>
      <c r="F40" s="295" t="s">
        <v>120</v>
      </c>
      <c r="G40" s="1082"/>
      <c r="H40" s="250">
        <f>SUM(H41:H57)</f>
        <v>428000000</v>
      </c>
      <c r="I40" s="250">
        <f t="shared" ref="I40:BN40" si="26">SUM(I41:I57)</f>
        <v>428000000</v>
      </c>
      <c r="J40" s="250">
        <f t="shared" si="26"/>
        <v>428000000</v>
      </c>
      <c r="K40" s="250">
        <f t="shared" si="26"/>
        <v>428000000</v>
      </c>
      <c r="L40" s="250">
        <f t="shared" si="26"/>
        <v>481500000</v>
      </c>
      <c r="M40" s="250">
        <f t="shared" si="26"/>
        <v>481500000</v>
      </c>
      <c r="N40" s="250">
        <f t="shared" si="26"/>
        <v>481500000</v>
      </c>
      <c r="O40" s="250">
        <f t="shared" si="26"/>
        <v>481500000</v>
      </c>
      <c r="P40" s="250">
        <f t="shared" si="26"/>
        <v>695500000</v>
      </c>
      <c r="Q40" s="250">
        <f t="shared" si="26"/>
        <v>695500000</v>
      </c>
      <c r="R40" s="250">
        <f t="shared" si="26"/>
        <v>695500000</v>
      </c>
      <c r="S40" s="250">
        <f t="shared" si="26"/>
        <v>695500000</v>
      </c>
      <c r="T40" s="250">
        <f t="shared" si="26"/>
        <v>6420000000</v>
      </c>
      <c r="U40" s="250">
        <f t="shared" si="26"/>
        <v>0</v>
      </c>
      <c r="V40" s="250">
        <f t="shared" si="26"/>
        <v>0</v>
      </c>
      <c r="W40" s="250">
        <f t="shared" si="26"/>
        <v>0</v>
      </c>
      <c r="X40" s="250">
        <f t="shared" si="26"/>
        <v>0</v>
      </c>
      <c r="Y40" s="250">
        <f t="shared" si="26"/>
        <v>3000000</v>
      </c>
      <c r="Z40" s="250">
        <f t="shared" si="26"/>
        <v>0</v>
      </c>
      <c r="AA40" s="250">
        <f t="shared" si="26"/>
        <v>3000000</v>
      </c>
      <c r="AB40" s="250">
        <f t="shared" si="26"/>
        <v>0</v>
      </c>
      <c r="AC40" s="250">
        <f t="shared" si="26"/>
        <v>3000000</v>
      </c>
      <c r="AD40" s="250">
        <f t="shared" si="26"/>
        <v>0</v>
      </c>
      <c r="AE40" s="250">
        <f t="shared" si="26"/>
        <v>3000000</v>
      </c>
      <c r="AF40" s="250">
        <f t="shared" si="26"/>
        <v>0</v>
      </c>
      <c r="AG40" s="250">
        <f t="shared" si="26"/>
        <v>3000000</v>
      </c>
      <c r="AH40" s="250">
        <f t="shared" si="26"/>
        <v>0</v>
      </c>
      <c r="AI40" s="250">
        <f t="shared" si="26"/>
        <v>523000000</v>
      </c>
      <c r="AJ40" s="250">
        <f t="shared" si="26"/>
        <v>0</v>
      </c>
      <c r="AK40" s="250">
        <f t="shared" si="26"/>
        <v>823000000</v>
      </c>
      <c r="AL40" s="250">
        <f t="shared" si="26"/>
        <v>73000000</v>
      </c>
      <c r="AM40" s="250">
        <f t="shared" si="26"/>
        <v>0</v>
      </c>
      <c r="AN40" s="250">
        <f t="shared" si="26"/>
        <v>823000000</v>
      </c>
      <c r="AO40" s="250">
        <f t="shared" si="26"/>
        <v>83500000</v>
      </c>
      <c r="AP40" s="250">
        <f t="shared" si="26"/>
        <v>0</v>
      </c>
      <c r="AQ40" s="250">
        <f t="shared" si="26"/>
        <v>823000000</v>
      </c>
      <c r="AR40" s="250">
        <f t="shared" si="26"/>
        <v>94000000</v>
      </c>
      <c r="AS40" s="250">
        <f t="shared" si="26"/>
        <v>0</v>
      </c>
      <c r="AT40" s="250">
        <f t="shared" si="26"/>
        <v>823000000</v>
      </c>
      <c r="AU40" s="250">
        <f t="shared" si="26"/>
        <v>104500000</v>
      </c>
      <c r="AV40" s="250">
        <f t="shared" si="26"/>
        <v>3292000000</v>
      </c>
      <c r="AW40" s="250">
        <f t="shared" si="26"/>
        <v>355000000</v>
      </c>
      <c r="AX40" s="250">
        <f t="shared" si="26"/>
        <v>163000000</v>
      </c>
      <c r="AY40" s="250">
        <f t="shared" si="26"/>
        <v>233000000</v>
      </c>
      <c r="AZ40" s="250">
        <f t="shared" si="26"/>
        <v>283000000</v>
      </c>
      <c r="BA40" s="250">
        <f t="shared" si="26"/>
        <v>403000000</v>
      </c>
      <c r="BB40" s="250">
        <f t="shared" si="26"/>
        <v>403000000</v>
      </c>
      <c r="BC40" s="250">
        <f t="shared" si="26"/>
        <v>403000000</v>
      </c>
      <c r="BD40" s="250">
        <f t="shared" si="26"/>
        <v>403000000</v>
      </c>
      <c r="BE40" s="250">
        <f t="shared" si="26"/>
        <v>403000000</v>
      </c>
      <c r="BF40" s="250">
        <f t="shared" si="26"/>
        <v>403000000</v>
      </c>
      <c r="BG40" s="250">
        <f t="shared" si="26"/>
        <v>403000000</v>
      </c>
      <c r="BH40" s="250">
        <f t="shared" si="26"/>
        <v>403000000</v>
      </c>
      <c r="BI40" s="250">
        <f t="shared" si="26"/>
        <v>403000000</v>
      </c>
      <c r="BJ40" s="250">
        <f>SUM(BJ41:BJ57)</f>
        <v>4306000000</v>
      </c>
      <c r="BK40" s="250">
        <f t="shared" si="26"/>
        <v>5038020000</v>
      </c>
      <c r="BL40" s="250">
        <f t="shared" si="26"/>
        <v>5441061600</v>
      </c>
      <c r="BM40" s="250">
        <f t="shared" si="26"/>
        <v>5930757144</v>
      </c>
      <c r="BN40" s="250">
        <f t="shared" si="26"/>
        <v>6464525286.96</v>
      </c>
      <c r="BP40" s="239"/>
    </row>
    <row r="41" spans="1:68" s="238" customFormat="1">
      <c r="A41" s="1041">
        <v>32</v>
      </c>
      <c r="B41" s="1083" t="s">
        <v>121</v>
      </c>
      <c r="C41" s="1045" t="s">
        <v>1007</v>
      </c>
      <c r="D41" s="1045" t="s">
        <v>1034</v>
      </c>
      <c r="E41" s="1045" t="s">
        <v>1035</v>
      </c>
      <c r="F41" s="1044" t="s">
        <v>1036</v>
      </c>
      <c r="G41" s="1044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669"/>
      <c r="U41" s="669"/>
      <c r="V41" s="669"/>
      <c r="W41" s="237"/>
      <c r="X41" s="669"/>
      <c r="Y41" s="237">
        <v>3000000</v>
      </c>
      <c r="Z41" s="669"/>
      <c r="AA41" s="237">
        <v>3000000</v>
      </c>
      <c r="AB41" s="669"/>
      <c r="AC41" s="237">
        <v>3000000</v>
      </c>
      <c r="AD41" s="669"/>
      <c r="AE41" s="237">
        <v>3000000</v>
      </c>
      <c r="AF41" s="669">
        <v>0</v>
      </c>
      <c r="AG41" s="237">
        <f t="shared" ref="AG41:AG47" si="27">AE41</f>
        <v>3000000</v>
      </c>
      <c r="AH41" s="905"/>
      <c r="AI41" s="906">
        <f>AG41</f>
        <v>3000000</v>
      </c>
      <c r="AJ41" s="905"/>
      <c r="AK41" s="906">
        <v>3000000</v>
      </c>
      <c r="AL41" s="907">
        <f>AI41</f>
        <v>3000000</v>
      </c>
      <c r="AM41" s="905"/>
      <c r="AN41" s="906">
        <f t="shared" ref="AN41:AN47" si="28">AK41</f>
        <v>3000000</v>
      </c>
      <c r="AO41" s="907">
        <v>3500000</v>
      </c>
      <c r="AP41" s="905"/>
      <c r="AQ41" s="906">
        <f t="shared" ref="AQ41:AQ47" si="29">AN41</f>
        <v>3000000</v>
      </c>
      <c r="AR41" s="907">
        <v>4000000</v>
      </c>
      <c r="AS41" s="905"/>
      <c r="AT41" s="906">
        <f t="shared" ref="AT41:AT47" si="30">AQ41</f>
        <v>3000000</v>
      </c>
      <c r="AU41" s="907">
        <v>4500000</v>
      </c>
      <c r="AV41" s="540">
        <f t="shared" ref="AV41:AV47" si="31">SUM(U41,V41,X41,Z41,AB41,AD41,AF41,AH41,AK41,AN41,AQ41,AT41)</f>
        <v>12000000</v>
      </c>
      <c r="AW41" s="904">
        <f t="shared" ref="AW41:AW47" si="32">SUM(U41,V41,X41,Z41,AB41,AD41,AF41,AH41,AL41,AO41,AR41,AU41)</f>
        <v>15000000</v>
      </c>
      <c r="AX41" s="550">
        <v>5000000</v>
      </c>
      <c r="AY41" s="550">
        <v>5000000</v>
      </c>
      <c r="AZ41" s="550">
        <v>5000000</v>
      </c>
      <c r="BA41" s="550">
        <v>5000000</v>
      </c>
      <c r="BB41" s="550">
        <v>5000000</v>
      </c>
      <c r="BC41" s="550">
        <v>5000000</v>
      </c>
      <c r="BD41" s="550">
        <v>5000000</v>
      </c>
      <c r="BE41" s="550">
        <v>5000000</v>
      </c>
      <c r="BF41" s="550">
        <v>5000000</v>
      </c>
      <c r="BG41" s="550">
        <v>5000000</v>
      </c>
      <c r="BH41" s="550">
        <v>5000000</v>
      </c>
      <c r="BI41" s="550">
        <v>5000000</v>
      </c>
      <c r="BJ41" s="536">
        <f>SUM(AX41,AY41,AZ41,BA41,BB41,BC41,BD41,BE41,BF41,BG41,BH41,BI41)</f>
        <v>60000000</v>
      </c>
      <c r="BK41" s="538">
        <f>BJ41*(1+BK$6)</f>
        <v>70200000</v>
      </c>
      <c r="BL41" s="538">
        <f>BK41*(1+BL$6)</f>
        <v>75816000</v>
      </c>
      <c r="BM41" s="538">
        <f>BL41*(1+BM$6)</f>
        <v>82639440</v>
      </c>
      <c r="BN41" s="551">
        <f>BM41*(1+BN$6)</f>
        <v>90076989.600000009</v>
      </c>
      <c r="BP41" s="239"/>
    </row>
    <row r="42" spans="1:68" s="238" customFormat="1">
      <c r="A42" s="1041">
        <v>33</v>
      </c>
      <c r="B42" s="1083" t="s">
        <v>121</v>
      </c>
      <c r="C42" s="1043"/>
      <c r="D42" s="1043"/>
      <c r="E42" s="1043"/>
      <c r="F42" s="1044" t="s">
        <v>1037</v>
      </c>
      <c r="G42" s="1044"/>
      <c r="H42" s="237">
        <v>112000000</v>
      </c>
      <c r="I42" s="237">
        <v>112000000</v>
      </c>
      <c r="J42" s="237">
        <v>112000000</v>
      </c>
      <c r="K42" s="237">
        <v>112000000</v>
      </c>
      <c r="L42" s="237">
        <v>126000000</v>
      </c>
      <c r="M42" s="237">
        <v>126000000</v>
      </c>
      <c r="N42" s="237">
        <v>126000000</v>
      </c>
      <c r="O42" s="237">
        <v>126000000</v>
      </c>
      <c r="P42" s="237">
        <v>182000000</v>
      </c>
      <c r="Q42" s="237">
        <v>182000000</v>
      </c>
      <c r="R42" s="237">
        <v>182000000</v>
      </c>
      <c r="S42" s="237">
        <v>182000000</v>
      </c>
      <c r="T42" s="669">
        <f>SUM(H42:S42)</f>
        <v>1680000000</v>
      </c>
      <c r="U42" s="669"/>
      <c r="V42" s="669"/>
      <c r="W42" s="237">
        <v>0</v>
      </c>
      <c r="X42" s="669"/>
      <c r="Y42" s="237">
        <v>0</v>
      </c>
      <c r="Z42" s="669"/>
      <c r="AA42" s="237"/>
      <c r="AB42" s="669"/>
      <c r="AC42" s="237"/>
      <c r="AD42" s="669"/>
      <c r="AE42" s="237"/>
      <c r="AF42" s="669">
        <v>0</v>
      </c>
      <c r="AG42" s="237">
        <f t="shared" si="27"/>
        <v>0</v>
      </c>
      <c r="AH42" s="905"/>
      <c r="AI42" s="906">
        <f>AG42</f>
        <v>0</v>
      </c>
      <c r="AJ42" s="905"/>
      <c r="AK42" s="906">
        <v>0</v>
      </c>
      <c r="AL42" s="907">
        <f>AI42</f>
        <v>0</v>
      </c>
      <c r="AM42" s="905"/>
      <c r="AN42" s="906">
        <f t="shared" si="28"/>
        <v>0</v>
      </c>
      <c r="AO42" s="907">
        <f t="shared" ref="AO42:AO47" si="33">AL42</f>
        <v>0</v>
      </c>
      <c r="AP42" s="905"/>
      <c r="AQ42" s="906">
        <f t="shared" si="29"/>
        <v>0</v>
      </c>
      <c r="AR42" s="907">
        <f t="shared" ref="AR42:AR47" si="34">AO42</f>
        <v>0</v>
      </c>
      <c r="AS42" s="905"/>
      <c r="AT42" s="906">
        <f t="shared" si="30"/>
        <v>0</v>
      </c>
      <c r="AU42" s="907">
        <f t="shared" ref="AU42:AU47" si="35">AR42</f>
        <v>0</v>
      </c>
      <c r="AV42" s="540">
        <f t="shared" si="31"/>
        <v>0</v>
      </c>
      <c r="AW42" s="904">
        <f t="shared" si="32"/>
        <v>0</v>
      </c>
      <c r="AX42" s="550">
        <v>0</v>
      </c>
      <c r="AY42" s="550">
        <v>0</v>
      </c>
      <c r="AZ42" s="550">
        <v>0</v>
      </c>
      <c r="BA42" s="550">
        <v>0</v>
      </c>
      <c r="BB42" s="550">
        <v>0</v>
      </c>
      <c r="BC42" s="550">
        <v>0</v>
      </c>
      <c r="BD42" s="550">
        <v>0</v>
      </c>
      <c r="BE42" s="550">
        <v>0</v>
      </c>
      <c r="BF42" s="550">
        <v>0</v>
      </c>
      <c r="BG42" s="550">
        <v>0</v>
      </c>
      <c r="BH42" s="550">
        <v>0</v>
      </c>
      <c r="BI42" s="550">
        <v>0</v>
      </c>
      <c r="BJ42" s="536">
        <f t="shared" si="12"/>
        <v>0</v>
      </c>
      <c r="BK42" s="538">
        <f t="shared" ref="BK42:BN45" si="36">BJ42*(1+BK$6)</f>
        <v>0</v>
      </c>
      <c r="BL42" s="538">
        <f t="shared" si="36"/>
        <v>0</v>
      </c>
      <c r="BM42" s="538">
        <f t="shared" si="36"/>
        <v>0</v>
      </c>
      <c r="BN42" s="551">
        <f t="shared" si="36"/>
        <v>0</v>
      </c>
      <c r="BP42" s="239"/>
    </row>
    <row r="43" spans="1:68" s="238" customFormat="1">
      <c r="A43" s="1041">
        <v>34</v>
      </c>
      <c r="B43" s="1083" t="s">
        <v>121</v>
      </c>
      <c r="C43" s="1043"/>
      <c r="D43" s="1043"/>
      <c r="E43" s="1043"/>
      <c r="F43" s="1044" t="s">
        <v>1038</v>
      </c>
      <c r="G43" s="1044"/>
      <c r="H43" s="237">
        <v>240000000</v>
      </c>
      <c r="I43" s="237">
        <v>240000000</v>
      </c>
      <c r="J43" s="237">
        <v>240000000</v>
      </c>
      <c r="K43" s="237">
        <v>240000000</v>
      </c>
      <c r="L43" s="237">
        <v>270000000</v>
      </c>
      <c r="M43" s="237">
        <v>270000000</v>
      </c>
      <c r="N43" s="237">
        <v>270000000</v>
      </c>
      <c r="O43" s="237">
        <v>270000000</v>
      </c>
      <c r="P43" s="237">
        <v>390000000</v>
      </c>
      <c r="Q43" s="237">
        <v>390000000</v>
      </c>
      <c r="R43" s="237">
        <v>390000000</v>
      </c>
      <c r="S43" s="237">
        <v>390000000</v>
      </c>
      <c r="T43" s="669">
        <f>SUM(H43:S43)</f>
        <v>3600000000</v>
      </c>
      <c r="U43" s="669"/>
      <c r="V43" s="669"/>
      <c r="W43" s="237">
        <v>0</v>
      </c>
      <c r="X43" s="669"/>
      <c r="Y43" s="237">
        <v>0</v>
      </c>
      <c r="Z43" s="669"/>
      <c r="AA43" s="237"/>
      <c r="AB43" s="669"/>
      <c r="AC43" s="237"/>
      <c r="AD43" s="669"/>
      <c r="AE43" s="237"/>
      <c r="AF43" s="669">
        <v>0</v>
      </c>
      <c r="AG43" s="237">
        <f t="shared" si="27"/>
        <v>0</v>
      </c>
      <c r="AH43" s="905"/>
      <c r="AI43" s="906">
        <f>AG43</f>
        <v>0</v>
      </c>
      <c r="AJ43" s="905"/>
      <c r="AK43" s="906">
        <v>0</v>
      </c>
      <c r="AL43" s="907">
        <f>AI43</f>
        <v>0</v>
      </c>
      <c r="AM43" s="905"/>
      <c r="AN43" s="906">
        <f t="shared" si="28"/>
        <v>0</v>
      </c>
      <c r="AO43" s="907">
        <f t="shared" si="33"/>
        <v>0</v>
      </c>
      <c r="AP43" s="905"/>
      <c r="AQ43" s="906">
        <f t="shared" si="29"/>
        <v>0</v>
      </c>
      <c r="AR43" s="907">
        <f t="shared" si="34"/>
        <v>0</v>
      </c>
      <c r="AS43" s="905"/>
      <c r="AT43" s="906">
        <f t="shared" si="30"/>
        <v>0</v>
      </c>
      <c r="AU43" s="907">
        <f t="shared" si="35"/>
        <v>0</v>
      </c>
      <c r="AV43" s="540">
        <f t="shared" si="31"/>
        <v>0</v>
      </c>
      <c r="AW43" s="904">
        <f t="shared" si="32"/>
        <v>0</v>
      </c>
      <c r="AX43" s="550">
        <v>0</v>
      </c>
      <c r="AY43" s="550">
        <v>0</v>
      </c>
      <c r="AZ43" s="550">
        <v>0</v>
      </c>
      <c r="BA43" s="550">
        <v>0</v>
      </c>
      <c r="BB43" s="550">
        <v>0</v>
      </c>
      <c r="BC43" s="550">
        <v>0</v>
      </c>
      <c r="BD43" s="550">
        <v>0</v>
      </c>
      <c r="BE43" s="550">
        <v>0</v>
      </c>
      <c r="BF43" s="550">
        <v>0</v>
      </c>
      <c r="BG43" s="550">
        <v>0</v>
      </c>
      <c r="BH43" s="550">
        <v>0</v>
      </c>
      <c r="BI43" s="550">
        <v>0</v>
      </c>
      <c r="BJ43" s="536">
        <f t="shared" si="12"/>
        <v>0</v>
      </c>
      <c r="BK43" s="538">
        <f t="shared" si="36"/>
        <v>0</v>
      </c>
      <c r="BL43" s="538">
        <f t="shared" si="36"/>
        <v>0</v>
      </c>
      <c r="BM43" s="538">
        <f t="shared" si="36"/>
        <v>0</v>
      </c>
      <c r="BN43" s="551">
        <f t="shared" si="36"/>
        <v>0</v>
      </c>
      <c r="BP43" s="239"/>
    </row>
    <row r="44" spans="1:68" s="238" customFormat="1">
      <c r="A44" s="1041">
        <v>35</v>
      </c>
      <c r="B44" s="1083" t="s">
        <v>121</v>
      </c>
      <c r="C44" s="1045" t="s">
        <v>1007</v>
      </c>
      <c r="D44" s="1045" t="s">
        <v>1039</v>
      </c>
      <c r="E44" s="1045" t="s">
        <v>1040</v>
      </c>
      <c r="F44" s="1044" t="s">
        <v>1041</v>
      </c>
      <c r="G44" s="1044"/>
      <c r="H44" s="237">
        <v>20000000</v>
      </c>
      <c r="I44" s="237">
        <v>20000000</v>
      </c>
      <c r="J44" s="237">
        <v>20000000</v>
      </c>
      <c r="K44" s="237">
        <v>20000000</v>
      </c>
      <c r="L44" s="237">
        <v>22500000</v>
      </c>
      <c r="M44" s="237">
        <v>22500000</v>
      </c>
      <c r="N44" s="237">
        <v>22500000</v>
      </c>
      <c r="O44" s="237">
        <v>22500000</v>
      </c>
      <c r="P44" s="237">
        <v>32500000</v>
      </c>
      <c r="Q44" s="237">
        <v>32500000</v>
      </c>
      <c r="R44" s="237">
        <v>32500000</v>
      </c>
      <c r="S44" s="237">
        <v>32500000</v>
      </c>
      <c r="T44" s="669">
        <f>SUM(H44:S44)</f>
        <v>300000000</v>
      </c>
      <c r="U44" s="669"/>
      <c r="V44" s="669"/>
      <c r="W44" s="237">
        <v>0</v>
      </c>
      <c r="X44" s="669"/>
      <c r="Y44" s="237">
        <v>0</v>
      </c>
      <c r="Z44" s="669"/>
      <c r="AA44" s="237"/>
      <c r="AB44" s="669"/>
      <c r="AC44" s="237"/>
      <c r="AD44" s="669"/>
      <c r="AE44" s="237"/>
      <c r="AF44" s="669">
        <v>0</v>
      </c>
      <c r="AG44" s="237">
        <f t="shared" si="27"/>
        <v>0</v>
      </c>
      <c r="AH44" s="905"/>
      <c r="AI44" s="906">
        <f>AG44</f>
        <v>0</v>
      </c>
      <c r="AJ44" s="905"/>
      <c r="AK44" s="906">
        <v>0</v>
      </c>
      <c r="AL44" s="907">
        <f>AI44</f>
        <v>0</v>
      </c>
      <c r="AM44" s="905"/>
      <c r="AN44" s="906">
        <f t="shared" si="28"/>
        <v>0</v>
      </c>
      <c r="AO44" s="907">
        <f t="shared" si="33"/>
        <v>0</v>
      </c>
      <c r="AP44" s="905"/>
      <c r="AQ44" s="906">
        <f t="shared" si="29"/>
        <v>0</v>
      </c>
      <c r="AR44" s="907">
        <f t="shared" si="34"/>
        <v>0</v>
      </c>
      <c r="AS44" s="905"/>
      <c r="AT44" s="906">
        <f t="shared" si="30"/>
        <v>0</v>
      </c>
      <c r="AU44" s="907">
        <f t="shared" si="35"/>
        <v>0</v>
      </c>
      <c r="AV44" s="540">
        <f t="shared" si="31"/>
        <v>0</v>
      </c>
      <c r="AW44" s="904">
        <f t="shared" si="32"/>
        <v>0</v>
      </c>
      <c r="AX44" s="550">
        <v>0</v>
      </c>
      <c r="AY44" s="550">
        <v>0</v>
      </c>
      <c r="AZ44" s="550">
        <v>20000000</v>
      </c>
      <c r="BA44" s="550">
        <v>20000000</v>
      </c>
      <c r="BB44" s="550">
        <v>20000000</v>
      </c>
      <c r="BC44" s="550">
        <v>20000000</v>
      </c>
      <c r="BD44" s="550">
        <v>20000000</v>
      </c>
      <c r="BE44" s="550">
        <v>20000000</v>
      </c>
      <c r="BF44" s="550">
        <v>20000000</v>
      </c>
      <c r="BG44" s="550">
        <v>20000000</v>
      </c>
      <c r="BH44" s="550">
        <v>20000000</v>
      </c>
      <c r="BI44" s="550">
        <v>20000000</v>
      </c>
      <c r="BJ44" s="536">
        <f t="shared" si="12"/>
        <v>200000000</v>
      </c>
      <c r="BK44" s="538">
        <f t="shared" si="36"/>
        <v>234000000</v>
      </c>
      <c r="BL44" s="538">
        <f t="shared" si="36"/>
        <v>252720000.00000003</v>
      </c>
      <c r="BM44" s="538">
        <f t="shared" si="36"/>
        <v>275464800.00000006</v>
      </c>
      <c r="BN44" s="551">
        <f t="shared" si="36"/>
        <v>300256632.00000006</v>
      </c>
      <c r="BP44" s="239"/>
    </row>
    <row r="45" spans="1:68" s="238" customFormat="1">
      <c r="A45" s="1041">
        <v>36</v>
      </c>
      <c r="B45" s="1083" t="s">
        <v>121</v>
      </c>
      <c r="C45" s="1045" t="s">
        <v>1007</v>
      </c>
      <c r="D45" s="1045" t="s">
        <v>1042</v>
      </c>
      <c r="E45" s="1045" t="s">
        <v>1043</v>
      </c>
      <c r="F45" s="1044" t="s">
        <v>1044</v>
      </c>
      <c r="G45" s="1044"/>
      <c r="H45" s="237">
        <v>40000000</v>
      </c>
      <c r="I45" s="237">
        <v>40000000</v>
      </c>
      <c r="J45" s="237">
        <v>40000000</v>
      </c>
      <c r="K45" s="237">
        <v>40000000</v>
      </c>
      <c r="L45" s="237">
        <v>45000000</v>
      </c>
      <c r="M45" s="237">
        <v>45000000</v>
      </c>
      <c r="N45" s="237">
        <v>45000000</v>
      </c>
      <c r="O45" s="237">
        <v>45000000</v>
      </c>
      <c r="P45" s="237">
        <v>65000000</v>
      </c>
      <c r="Q45" s="237">
        <v>65000000</v>
      </c>
      <c r="R45" s="237">
        <v>65000000</v>
      </c>
      <c r="S45" s="237">
        <v>65000000</v>
      </c>
      <c r="T45" s="669">
        <f>SUM(H45:S45)</f>
        <v>600000000</v>
      </c>
      <c r="U45" s="669"/>
      <c r="V45" s="669"/>
      <c r="W45" s="237">
        <v>0</v>
      </c>
      <c r="X45" s="669"/>
      <c r="Y45" s="237">
        <v>0</v>
      </c>
      <c r="Z45" s="669"/>
      <c r="AA45" s="237"/>
      <c r="AB45" s="669"/>
      <c r="AC45" s="237"/>
      <c r="AD45" s="669"/>
      <c r="AE45" s="237"/>
      <c r="AF45" s="669">
        <v>0</v>
      </c>
      <c r="AG45" s="237">
        <f t="shared" si="27"/>
        <v>0</v>
      </c>
      <c r="AH45" s="905"/>
      <c r="AI45" s="906">
        <v>70000000</v>
      </c>
      <c r="AJ45" s="905"/>
      <c r="AK45" s="906">
        <v>70000000</v>
      </c>
      <c r="AL45" s="907">
        <f>AI45</f>
        <v>70000000</v>
      </c>
      <c r="AM45" s="905"/>
      <c r="AN45" s="906">
        <f t="shared" si="28"/>
        <v>70000000</v>
      </c>
      <c r="AO45" s="907">
        <v>80000000</v>
      </c>
      <c r="AP45" s="905"/>
      <c r="AQ45" s="906">
        <f t="shared" si="29"/>
        <v>70000000</v>
      </c>
      <c r="AR45" s="907">
        <v>90000000</v>
      </c>
      <c r="AS45" s="905"/>
      <c r="AT45" s="906">
        <f t="shared" si="30"/>
        <v>70000000</v>
      </c>
      <c r="AU45" s="907">
        <v>100000000</v>
      </c>
      <c r="AV45" s="540">
        <f t="shared" si="31"/>
        <v>280000000</v>
      </c>
      <c r="AW45" s="904">
        <f t="shared" si="32"/>
        <v>340000000</v>
      </c>
      <c r="AX45" s="550">
        <v>0</v>
      </c>
      <c r="AY45" s="550">
        <v>40000000</v>
      </c>
      <c r="AZ45" s="550">
        <v>40000000</v>
      </c>
      <c r="BA45" s="550">
        <v>40000000</v>
      </c>
      <c r="BB45" s="550">
        <v>40000000</v>
      </c>
      <c r="BC45" s="550">
        <v>40000000</v>
      </c>
      <c r="BD45" s="550">
        <v>40000000</v>
      </c>
      <c r="BE45" s="550">
        <v>40000000</v>
      </c>
      <c r="BF45" s="550">
        <v>40000000</v>
      </c>
      <c r="BG45" s="550">
        <v>40000000</v>
      </c>
      <c r="BH45" s="550">
        <v>40000000</v>
      </c>
      <c r="BI45" s="550">
        <v>40000000</v>
      </c>
      <c r="BJ45" s="536">
        <f t="shared" si="12"/>
        <v>440000000</v>
      </c>
      <c r="BK45" s="538">
        <f t="shared" si="36"/>
        <v>514799999.99999994</v>
      </c>
      <c r="BL45" s="538">
        <f t="shared" si="36"/>
        <v>555984000</v>
      </c>
      <c r="BM45" s="538">
        <f t="shared" si="36"/>
        <v>606022560</v>
      </c>
      <c r="BN45" s="551">
        <f t="shared" si="36"/>
        <v>660564590.4000001</v>
      </c>
      <c r="BP45" s="239"/>
    </row>
    <row r="46" spans="1:68" s="238" customFormat="1">
      <c r="A46" s="1041">
        <v>37</v>
      </c>
      <c r="B46" s="1083" t="s">
        <v>121</v>
      </c>
      <c r="C46" s="1043"/>
      <c r="D46" s="1043"/>
      <c r="E46" s="1043"/>
      <c r="F46" s="1044" t="s">
        <v>1045</v>
      </c>
      <c r="G46" s="1044"/>
      <c r="H46" s="237"/>
      <c r="I46" s="237"/>
      <c r="J46" s="237"/>
      <c r="K46" s="237"/>
      <c r="L46" s="237"/>
      <c r="M46" s="237"/>
      <c r="N46" s="237"/>
      <c r="O46" s="237"/>
      <c r="P46" s="237"/>
      <c r="Q46" s="237"/>
      <c r="R46" s="237"/>
      <c r="S46" s="237"/>
      <c r="T46" s="669"/>
      <c r="U46" s="669"/>
      <c r="V46" s="669"/>
      <c r="W46" s="237"/>
      <c r="X46" s="669"/>
      <c r="Y46" s="237"/>
      <c r="Z46" s="669"/>
      <c r="AA46" s="237"/>
      <c r="AB46" s="669"/>
      <c r="AC46" s="237"/>
      <c r="AD46" s="669"/>
      <c r="AE46" s="237"/>
      <c r="AF46" s="669">
        <v>0</v>
      </c>
      <c r="AG46" s="237">
        <f t="shared" si="27"/>
        <v>0</v>
      </c>
      <c r="AH46" s="905"/>
      <c r="AI46" s="906">
        <v>450000000</v>
      </c>
      <c r="AJ46" s="905"/>
      <c r="AK46" s="906">
        <v>750000000</v>
      </c>
      <c r="AL46" s="907">
        <v>0</v>
      </c>
      <c r="AM46" s="905"/>
      <c r="AN46" s="906">
        <f t="shared" si="28"/>
        <v>750000000</v>
      </c>
      <c r="AO46" s="907">
        <f t="shared" si="33"/>
        <v>0</v>
      </c>
      <c r="AP46" s="905"/>
      <c r="AQ46" s="906">
        <f t="shared" si="29"/>
        <v>750000000</v>
      </c>
      <c r="AR46" s="907">
        <f t="shared" si="34"/>
        <v>0</v>
      </c>
      <c r="AS46" s="905"/>
      <c r="AT46" s="906">
        <f t="shared" si="30"/>
        <v>750000000</v>
      </c>
      <c r="AU46" s="907">
        <f t="shared" si="35"/>
        <v>0</v>
      </c>
      <c r="AV46" s="540">
        <f t="shared" si="31"/>
        <v>3000000000</v>
      </c>
      <c r="AW46" s="904">
        <f t="shared" si="32"/>
        <v>0</v>
      </c>
      <c r="AX46" s="550">
        <v>0</v>
      </c>
      <c r="AY46" s="550">
        <v>0</v>
      </c>
      <c r="AZ46" s="550">
        <v>0</v>
      </c>
      <c r="BA46" s="550">
        <v>0</v>
      </c>
      <c r="BB46" s="550">
        <v>0</v>
      </c>
      <c r="BC46" s="550">
        <v>0</v>
      </c>
      <c r="BD46" s="550">
        <v>0</v>
      </c>
      <c r="BE46" s="550">
        <v>0</v>
      </c>
      <c r="BF46" s="550">
        <v>0</v>
      </c>
      <c r="BG46" s="550">
        <v>0</v>
      </c>
      <c r="BH46" s="550">
        <v>0</v>
      </c>
      <c r="BI46" s="550">
        <v>0</v>
      </c>
      <c r="BJ46" s="536">
        <f t="shared" si="12"/>
        <v>0</v>
      </c>
      <c r="BK46" s="538"/>
      <c r="BL46" s="538"/>
      <c r="BM46" s="538"/>
      <c r="BN46" s="551"/>
    </row>
    <row r="47" spans="1:68" s="238" customFormat="1">
      <c r="A47" s="1041">
        <v>38</v>
      </c>
      <c r="B47" s="1083" t="s">
        <v>121</v>
      </c>
      <c r="C47" s="1043"/>
      <c r="D47" s="1043"/>
      <c r="E47" s="1043"/>
      <c r="F47" s="1044" t="s">
        <v>1046</v>
      </c>
      <c r="G47" s="1044"/>
      <c r="H47" s="237">
        <v>16000000</v>
      </c>
      <c r="I47" s="237">
        <v>16000000</v>
      </c>
      <c r="J47" s="237">
        <v>16000000</v>
      </c>
      <c r="K47" s="237">
        <v>16000000</v>
      </c>
      <c r="L47" s="237">
        <v>18000000</v>
      </c>
      <c r="M47" s="237">
        <v>18000000</v>
      </c>
      <c r="N47" s="237">
        <v>18000000</v>
      </c>
      <c r="O47" s="237">
        <v>18000000</v>
      </c>
      <c r="P47" s="237">
        <v>26000000</v>
      </c>
      <c r="Q47" s="237">
        <v>26000000</v>
      </c>
      <c r="R47" s="237">
        <v>26000000</v>
      </c>
      <c r="S47" s="237">
        <v>26000000</v>
      </c>
      <c r="T47" s="669">
        <f>SUM(H47:S47)</f>
        <v>240000000</v>
      </c>
      <c r="U47" s="669"/>
      <c r="V47" s="669"/>
      <c r="W47" s="237">
        <v>0</v>
      </c>
      <c r="X47" s="669"/>
      <c r="Y47" s="237">
        <v>0</v>
      </c>
      <c r="Z47" s="669"/>
      <c r="AA47" s="237"/>
      <c r="AB47" s="669"/>
      <c r="AC47" s="237"/>
      <c r="AD47" s="669"/>
      <c r="AE47" s="237"/>
      <c r="AF47" s="669">
        <v>0</v>
      </c>
      <c r="AG47" s="237">
        <f t="shared" si="27"/>
        <v>0</v>
      </c>
      <c r="AH47" s="905"/>
      <c r="AI47" s="906">
        <f>AG47</f>
        <v>0</v>
      </c>
      <c r="AJ47" s="905"/>
      <c r="AK47" s="906">
        <v>0</v>
      </c>
      <c r="AL47" s="907">
        <f>AI47</f>
        <v>0</v>
      </c>
      <c r="AM47" s="905"/>
      <c r="AN47" s="906">
        <f t="shared" si="28"/>
        <v>0</v>
      </c>
      <c r="AO47" s="907">
        <f t="shared" si="33"/>
        <v>0</v>
      </c>
      <c r="AP47" s="905"/>
      <c r="AQ47" s="906">
        <f t="shared" si="29"/>
        <v>0</v>
      </c>
      <c r="AR47" s="907">
        <f t="shared" si="34"/>
        <v>0</v>
      </c>
      <c r="AS47" s="905"/>
      <c r="AT47" s="906">
        <f t="shared" si="30"/>
        <v>0</v>
      </c>
      <c r="AU47" s="907">
        <f t="shared" si="35"/>
        <v>0</v>
      </c>
      <c r="AV47" s="540">
        <f t="shared" si="31"/>
        <v>0</v>
      </c>
      <c r="AW47" s="904">
        <f t="shared" si="32"/>
        <v>0</v>
      </c>
      <c r="AX47" s="550">
        <v>0</v>
      </c>
      <c r="AY47" s="550">
        <v>0</v>
      </c>
      <c r="AZ47" s="550">
        <v>0</v>
      </c>
      <c r="BA47" s="550">
        <v>0</v>
      </c>
      <c r="BB47" s="550">
        <v>0</v>
      </c>
      <c r="BC47" s="550">
        <v>0</v>
      </c>
      <c r="BD47" s="550">
        <v>0</v>
      </c>
      <c r="BE47" s="550">
        <v>0</v>
      </c>
      <c r="BF47" s="550">
        <v>0</v>
      </c>
      <c r="BG47" s="550">
        <v>0</v>
      </c>
      <c r="BH47" s="550">
        <v>0</v>
      </c>
      <c r="BI47" s="550">
        <v>0</v>
      </c>
      <c r="BJ47" s="536">
        <f t="shared" si="12"/>
        <v>0</v>
      </c>
      <c r="BK47" s="538">
        <f>BJ47*(1+BK$6)</f>
        <v>0</v>
      </c>
      <c r="BL47" s="538">
        <f>BK47*(1+BL$6)</f>
        <v>0</v>
      </c>
      <c r="BM47" s="538">
        <f>BL47*(1+BM$6)</f>
        <v>0</v>
      </c>
      <c r="BN47" s="551">
        <f>BM47*(1+BN$6)</f>
        <v>0</v>
      </c>
      <c r="BP47" s="239"/>
    </row>
    <row r="48" spans="1:68" s="238" customFormat="1">
      <c r="A48" s="1041">
        <v>39</v>
      </c>
      <c r="B48" s="1053" t="s">
        <v>121</v>
      </c>
      <c r="C48" s="1054" t="s">
        <v>1005</v>
      </c>
      <c r="D48" s="1054" t="s">
        <v>1047</v>
      </c>
      <c r="E48" s="1054" t="s">
        <v>1048</v>
      </c>
      <c r="F48" s="1055" t="s">
        <v>1049</v>
      </c>
      <c r="G48" s="1055"/>
      <c r="H48" s="1048"/>
      <c r="I48" s="1048"/>
      <c r="J48" s="1048"/>
      <c r="K48" s="1048"/>
      <c r="L48" s="1048"/>
      <c r="M48" s="1048"/>
      <c r="N48" s="1048"/>
      <c r="O48" s="1048"/>
      <c r="P48" s="1048"/>
      <c r="Q48" s="1048"/>
      <c r="R48" s="1048"/>
      <c r="S48" s="1048"/>
      <c r="T48" s="1047"/>
      <c r="U48" s="1047"/>
      <c r="V48" s="1047"/>
      <c r="W48" s="1048"/>
      <c r="X48" s="1047"/>
      <c r="Y48" s="1048"/>
      <c r="Z48" s="1047"/>
      <c r="AA48" s="1048"/>
      <c r="AB48" s="1047"/>
      <c r="AC48" s="1048"/>
      <c r="AD48" s="1047"/>
      <c r="AE48" s="1048"/>
      <c r="AF48" s="1047"/>
      <c r="AG48" s="1048"/>
      <c r="AH48" s="1047"/>
      <c r="AI48" s="1048"/>
      <c r="AJ48" s="1056"/>
      <c r="AK48" s="1048"/>
      <c r="AL48" s="1049"/>
      <c r="AM48" s="1047"/>
      <c r="AN48" s="1048"/>
      <c r="AO48" s="1049"/>
      <c r="AP48" s="1047"/>
      <c r="AQ48" s="1048"/>
      <c r="AR48" s="1049"/>
      <c r="AS48" s="1047"/>
      <c r="AT48" s="1048"/>
      <c r="AU48" s="1049"/>
      <c r="AV48" s="1050"/>
      <c r="AW48" s="1051"/>
      <c r="AX48" s="1199">
        <v>20000000</v>
      </c>
      <c r="AY48" s="1199">
        <v>20000000</v>
      </c>
      <c r="AZ48" s="1199">
        <v>20000000</v>
      </c>
      <c r="BA48" s="1199">
        <v>20000000</v>
      </c>
      <c r="BB48" s="1199">
        <v>20000000</v>
      </c>
      <c r="BC48" s="1199">
        <v>20000000</v>
      </c>
      <c r="BD48" s="1199">
        <v>20000000</v>
      </c>
      <c r="BE48" s="1199">
        <v>20000000</v>
      </c>
      <c r="BF48" s="1199">
        <v>20000000</v>
      </c>
      <c r="BG48" s="1199">
        <v>20000000</v>
      </c>
      <c r="BH48" s="1199">
        <v>20000000</v>
      </c>
      <c r="BI48" s="1199">
        <v>20000000</v>
      </c>
      <c r="BJ48" s="1200">
        <f t="shared" si="12"/>
        <v>240000000</v>
      </c>
      <c r="BK48" s="538">
        <f t="shared" ref="BK48:BN57" si="37">BJ48*(1+BK$6)</f>
        <v>280800000</v>
      </c>
      <c r="BL48" s="538">
        <f t="shared" si="37"/>
        <v>303264000</v>
      </c>
      <c r="BM48" s="538">
        <f t="shared" si="37"/>
        <v>330557760</v>
      </c>
      <c r="BN48" s="551">
        <f t="shared" si="37"/>
        <v>360307958.40000004</v>
      </c>
      <c r="BP48" s="239"/>
    </row>
    <row r="49" spans="1:68" s="238" customFormat="1">
      <c r="A49" s="1041">
        <v>40</v>
      </c>
      <c r="B49" s="1053" t="s">
        <v>121</v>
      </c>
      <c r="C49" s="1054" t="s">
        <v>1005</v>
      </c>
      <c r="D49" s="1054"/>
      <c r="E49" s="1054"/>
      <c r="F49" s="1055" t="s">
        <v>910</v>
      </c>
      <c r="G49" s="1055"/>
      <c r="H49" s="1048"/>
      <c r="I49" s="1048"/>
      <c r="J49" s="1048"/>
      <c r="K49" s="1048"/>
      <c r="L49" s="1048"/>
      <c r="M49" s="1048"/>
      <c r="N49" s="1048"/>
      <c r="O49" s="1048"/>
      <c r="P49" s="1048"/>
      <c r="Q49" s="1048"/>
      <c r="R49" s="1048"/>
      <c r="S49" s="1048"/>
      <c r="T49" s="1047"/>
      <c r="U49" s="1047"/>
      <c r="V49" s="1047"/>
      <c r="W49" s="1048"/>
      <c r="X49" s="1047"/>
      <c r="Y49" s="1048"/>
      <c r="Z49" s="1047"/>
      <c r="AA49" s="1048"/>
      <c r="AB49" s="1047"/>
      <c r="AC49" s="1048"/>
      <c r="AD49" s="1047"/>
      <c r="AE49" s="1048"/>
      <c r="AF49" s="1047"/>
      <c r="AG49" s="1048"/>
      <c r="AH49" s="1047"/>
      <c r="AI49" s="1048"/>
      <c r="AJ49" s="1056"/>
      <c r="AK49" s="1048"/>
      <c r="AL49" s="1049"/>
      <c r="AM49" s="1047"/>
      <c r="AN49" s="1048"/>
      <c r="AO49" s="1049"/>
      <c r="AP49" s="1047"/>
      <c r="AQ49" s="1048"/>
      <c r="AR49" s="1049"/>
      <c r="AS49" s="1047"/>
      <c r="AT49" s="1048"/>
      <c r="AU49" s="1049"/>
      <c r="AV49" s="1050"/>
      <c r="AW49" s="1051"/>
      <c r="AX49" s="1052"/>
      <c r="AY49" s="1052"/>
      <c r="AZ49" s="1052"/>
      <c r="BA49" s="1052"/>
      <c r="BB49" s="1052"/>
      <c r="BC49" s="1052"/>
      <c r="BD49" s="1052"/>
      <c r="BE49" s="1052"/>
      <c r="BF49" s="1052"/>
      <c r="BG49" s="1052"/>
      <c r="BH49" s="1052"/>
      <c r="BI49" s="1052"/>
      <c r="BJ49" s="536">
        <f t="shared" si="12"/>
        <v>0</v>
      </c>
      <c r="BK49" s="538">
        <f t="shared" si="37"/>
        <v>0</v>
      </c>
      <c r="BL49" s="538">
        <f t="shared" si="37"/>
        <v>0</v>
      </c>
      <c r="BM49" s="538">
        <f t="shared" si="37"/>
        <v>0</v>
      </c>
      <c r="BN49" s="551">
        <f t="shared" si="37"/>
        <v>0</v>
      </c>
      <c r="BP49" s="239"/>
    </row>
    <row r="50" spans="1:68" s="238" customFormat="1">
      <c r="A50" s="1041">
        <v>41</v>
      </c>
      <c r="B50" s="1053" t="s">
        <v>121</v>
      </c>
      <c r="C50" s="1054" t="s">
        <v>1007</v>
      </c>
      <c r="D50" s="1054" t="s">
        <v>1050</v>
      </c>
      <c r="E50" s="1054" t="s">
        <v>1035</v>
      </c>
      <c r="F50" s="1055" t="s">
        <v>1051</v>
      </c>
      <c r="G50" s="1055"/>
      <c r="H50" s="1048"/>
      <c r="I50" s="1048"/>
      <c r="J50" s="1048"/>
      <c r="K50" s="1048"/>
      <c r="L50" s="1048"/>
      <c r="M50" s="1048"/>
      <c r="N50" s="1048"/>
      <c r="O50" s="1048"/>
      <c r="P50" s="1048"/>
      <c r="Q50" s="1048"/>
      <c r="R50" s="1048"/>
      <c r="S50" s="1048"/>
      <c r="T50" s="1047"/>
      <c r="U50" s="1047"/>
      <c r="V50" s="1047"/>
      <c r="W50" s="1048"/>
      <c r="X50" s="1047"/>
      <c r="Y50" s="1048"/>
      <c r="Z50" s="1047"/>
      <c r="AA50" s="1048"/>
      <c r="AB50" s="1047"/>
      <c r="AC50" s="1048"/>
      <c r="AD50" s="1047"/>
      <c r="AE50" s="1048"/>
      <c r="AF50" s="1047"/>
      <c r="AG50" s="1048"/>
      <c r="AH50" s="1047"/>
      <c r="AI50" s="1048"/>
      <c r="AJ50" s="1056"/>
      <c r="AK50" s="1048"/>
      <c r="AL50" s="1049"/>
      <c r="AM50" s="1047"/>
      <c r="AN50" s="1048"/>
      <c r="AO50" s="1049"/>
      <c r="AP50" s="1047"/>
      <c r="AQ50" s="1048"/>
      <c r="AR50" s="1049"/>
      <c r="AS50" s="1047"/>
      <c r="AT50" s="1048"/>
      <c r="AU50" s="1049"/>
      <c r="AV50" s="1050"/>
      <c r="AW50" s="1051"/>
      <c r="AX50" s="1199">
        <v>18000000</v>
      </c>
      <c r="AY50" s="1199">
        <v>18000000</v>
      </c>
      <c r="AZ50" s="1199">
        <v>18000000</v>
      </c>
      <c r="BA50" s="1199">
        <v>18000000</v>
      </c>
      <c r="BB50" s="1199">
        <v>18000000</v>
      </c>
      <c r="BC50" s="1199">
        <v>18000000</v>
      </c>
      <c r="BD50" s="1199">
        <v>18000000</v>
      </c>
      <c r="BE50" s="1199">
        <v>18000000</v>
      </c>
      <c r="BF50" s="1199">
        <v>18000000</v>
      </c>
      <c r="BG50" s="1199">
        <v>18000000</v>
      </c>
      <c r="BH50" s="1199">
        <v>18000000</v>
      </c>
      <c r="BI50" s="1199">
        <v>18000000</v>
      </c>
      <c r="BJ50" s="1200">
        <f t="shared" si="12"/>
        <v>216000000</v>
      </c>
      <c r="BK50" s="538">
        <f t="shared" si="37"/>
        <v>252719999.99999997</v>
      </c>
      <c r="BL50" s="538">
        <f t="shared" si="37"/>
        <v>272937600</v>
      </c>
      <c r="BM50" s="538">
        <f t="shared" si="37"/>
        <v>297501984</v>
      </c>
      <c r="BN50" s="551">
        <f t="shared" si="37"/>
        <v>324277162.56</v>
      </c>
      <c r="BP50" s="239"/>
    </row>
    <row r="51" spans="1:68" s="238" customFormat="1">
      <c r="A51" s="1041">
        <v>42</v>
      </c>
      <c r="B51" s="1053" t="s">
        <v>121</v>
      </c>
      <c r="C51" s="1054" t="s">
        <v>1007</v>
      </c>
      <c r="D51" s="1054" t="s">
        <v>1052</v>
      </c>
      <c r="E51" s="1054" t="s">
        <v>1043</v>
      </c>
      <c r="F51" s="1055" t="s">
        <v>1053</v>
      </c>
      <c r="G51" s="1055"/>
      <c r="H51" s="1048"/>
      <c r="I51" s="1048"/>
      <c r="J51" s="1048"/>
      <c r="K51" s="1048"/>
      <c r="L51" s="1048"/>
      <c r="M51" s="1048"/>
      <c r="N51" s="1048"/>
      <c r="O51" s="1048"/>
      <c r="P51" s="1048"/>
      <c r="Q51" s="1048"/>
      <c r="R51" s="1048"/>
      <c r="S51" s="1048"/>
      <c r="T51" s="1047"/>
      <c r="U51" s="1047"/>
      <c r="V51" s="1047"/>
      <c r="W51" s="1048"/>
      <c r="X51" s="1047"/>
      <c r="Y51" s="1048"/>
      <c r="Z51" s="1047"/>
      <c r="AA51" s="1048"/>
      <c r="AB51" s="1047"/>
      <c r="AC51" s="1048"/>
      <c r="AD51" s="1047"/>
      <c r="AE51" s="1048"/>
      <c r="AF51" s="1047"/>
      <c r="AG51" s="1048"/>
      <c r="AH51" s="1047"/>
      <c r="AI51" s="1048"/>
      <c r="AJ51" s="1056"/>
      <c r="AK51" s="1048"/>
      <c r="AL51" s="1049"/>
      <c r="AM51" s="1047"/>
      <c r="AN51" s="1048"/>
      <c r="AO51" s="1049"/>
      <c r="AP51" s="1047"/>
      <c r="AQ51" s="1048"/>
      <c r="AR51" s="1049"/>
      <c r="AS51" s="1047"/>
      <c r="AT51" s="1048"/>
      <c r="AU51" s="1049"/>
      <c r="AV51" s="1050"/>
      <c r="AW51" s="1051"/>
      <c r="AX51" s="1052">
        <v>0</v>
      </c>
      <c r="AY51" s="1052">
        <v>0</v>
      </c>
      <c r="AZ51" s="1052">
        <v>0</v>
      </c>
      <c r="BA51" s="1052">
        <v>100000000</v>
      </c>
      <c r="BB51" s="1052">
        <v>100000000</v>
      </c>
      <c r="BC51" s="1052">
        <v>100000000</v>
      </c>
      <c r="BD51" s="1052">
        <v>100000000</v>
      </c>
      <c r="BE51" s="1052">
        <v>100000000</v>
      </c>
      <c r="BF51" s="1052">
        <v>100000000</v>
      </c>
      <c r="BG51" s="1052">
        <v>100000000</v>
      </c>
      <c r="BH51" s="1052">
        <v>100000000</v>
      </c>
      <c r="BI51" s="1052">
        <v>100000000</v>
      </c>
      <c r="BJ51" s="536">
        <f t="shared" si="12"/>
        <v>900000000</v>
      </c>
      <c r="BK51" s="538">
        <f t="shared" si="37"/>
        <v>1052999999.9999999</v>
      </c>
      <c r="BL51" s="538">
        <f t="shared" si="37"/>
        <v>1137240000</v>
      </c>
      <c r="BM51" s="538">
        <f t="shared" si="37"/>
        <v>1239591600</v>
      </c>
      <c r="BN51" s="551">
        <f t="shared" si="37"/>
        <v>1351154844</v>
      </c>
      <c r="BP51" s="239"/>
    </row>
    <row r="52" spans="1:68" s="238" customFormat="1">
      <c r="A52" s="1041">
        <v>43</v>
      </c>
      <c r="B52" s="1053" t="s">
        <v>121</v>
      </c>
      <c r="C52" s="1054" t="s">
        <v>1007</v>
      </c>
      <c r="D52" s="1054" t="s">
        <v>1047</v>
      </c>
      <c r="E52" s="1054" t="s">
        <v>1048</v>
      </c>
      <c r="F52" s="1055" t="s">
        <v>1054</v>
      </c>
      <c r="G52" s="1055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7"/>
      <c r="U52" s="1047"/>
      <c r="V52" s="1047"/>
      <c r="W52" s="1048"/>
      <c r="X52" s="1047"/>
      <c r="Y52" s="1048"/>
      <c r="Z52" s="1047"/>
      <c r="AA52" s="1048"/>
      <c r="AB52" s="1047"/>
      <c r="AC52" s="1048"/>
      <c r="AD52" s="1047"/>
      <c r="AE52" s="1048"/>
      <c r="AF52" s="1047"/>
      <c r="AG52" s="1048"/>
      <c r="AH52" s="1047"/>
      <c r="AI52" s="1048"/>
      <c r="AJ52" s="1056"/>
      <c r="AK52" s="1048"/>
      <c r="AL52" s="1049"/>
      <c r="AM52" s="1047"/>
      <c r="AN52" s="1048"/>
      <c r="AO52" s="1049"/>
      <c r="AP52" s="1047"/>
      <c r="AQ52" s="1048"/>
      <c r="AR52" s="1049"/>
      <c r="AS52" s="1047"/>
      <c r="AT52" s="1048"/>
      <c r="AU52" s="1049"/>
      <c r="AV52" s="1050"/>
      <c r="AW52" s="1051"/>
      <c r="AX52" s="1052">
        <v>0</v>
      </c>
      <c r="AY52" s="1052">
        <v>30000000</v>
      </c>
      <c r="AZ52" s="1052">
        <v>30000000</v>
      </c>
      <c r="BA52" s="1052">
        <v>30000000</v>
      </c>
      <c r="BB52" s="1052">
        <v>30000000</v>
      </c>
      <c r="BC52" s="1052">
        <v>30000000</v>
      </c>
      <c r="BD52" s="1052">
        <v>30000000</v>
      </c>
      <c r="BE52" s="1052">
        <v>30000000</v>
      </c>
      <c r="BF52" s="1052">
        <v>30000000</v>
      </c>
      <c r="BG52" s="1052">
        <v>30000000</v>
      </c>
      <c r="BH52" s="1052">
        <v>30000000</v>
      </c>
      <c r="BI52" s="1052">
        <v>30000000</v>
      </c>
      <c r="BJ52" s="536">
        <f t="shared" si="12"/>
        <v>330000000</v>
      </c>
      <c r="BK52" s="538">
        <f t="shared" si="37"/>
        <v>386100000</v>
      </c>
      <c r="BL52" s="538">
        <f t="shared" si="37"/>
        <v>416988000</v>
      </c>
      <c r="BM52" s="538">
        <f t="shared" si="37"/>
        <v>454516920.00000006</v>
      </c>
      <c r="BN52" s="551">
        <f t="shared" si="37"/>
        <v>495423442.80000007</v>
      </c>
      <c r="BP52" s="239"/>
    </row>
    <row r="53" spans="1:68" s="238" customFormat="1">
      <c r="A53" s="1041">
        <v>44</v>
      </c>
      <c r="B53" s="1053" t="s">
        <v>121</v>
      </c>
      <c r="C53" s="1054" t="s">
        <v>1005</v>
      </c>
      <c r="D53" s="1054" t="s">
        <v>1055</v>
      </c>
      <c r="E53" s="1054"/>
      <c r="F53" s="1055" t="s">
        <v>1056</v>
      </c>
      <c r="G53" s="1055"/>
      <c r="H53" s="1048"/>
      <c r="I53" s="1048"/>
      <c r="J53" s="1048"/>
      <c r="K53" s="1048"/>
      <c r="L53" s="1048"/>
      <c r="M53" s="1048"/>
      <c r="N53" s="1048"/>
      <c r="O53" s="1048"/>
      <c r="P53" s="1048"/>
      <c r="Q53" s="1048"/>
      <c r="R53" s="1048"/>
      <c r="S53" s="1048"/>
      <c r="T53" s="1047"/>
      <c r="U53" s="1047"/>
      <c r="V53" s="1047"/>
      <c r="W53" s="1048"/>
      <c r="X53" s="1047"/>
      <c r="Y53" s="1048"/>
      <c r="Z53" s="1047"/>
      <c r="AA53" s="1048"/>
      <c r="AB53" s="1047"/>
      <c r="AC53" s="1048"/>
      <c r="AD53" s="1047"/>
      <c r="AE53" s="1048"/>
      <c r="AF53" s="1047"/>
      <c r="AG53" s="1048"/>
      <c r="AH53" s="1047"/>
      <c r="AI53" s="1048"/>
      <c r="AJ53" s="1056"/>
      <c r="AK53" s="1048"/>
      <c r="AL53" s="1049"/>
      <c r="AM53" s="1047"/>
      <c r="AN53" s="1048"/>
      <c r="AO53" s="1049"/>
      <c r="AP53" s="1047"/>
      <c r="AQ53" s="1048"/>
      <c r="AR53" s="1049"/>
      <c r="AS53" s="1047"/>
      <c r="AT53" s="1048"/>
      <c r="AU53" s="1049"/>
      <c r="AV53" s="1050"/>
      <c r="AW53" s="1051"/>
      <c r="AX53" s="1199">
        <v>50000000</v>
      </c>
      <c r="AY53" s="1199">
        <v>50000000</v>
      </c>
      <c r="AZ53" s="1199">
        <v>50000000</v>
      </c>
      <c r="BA53" s="1199">
        <v>50000000</v>
      </c>
      <c r="BB53" s="1199">
        <v>50000000</v>
      </c>
      <c r="BC53" s="1199">
        <v>50000000</v>
      </c>
      <c r="BD53" s="1199">
        <v>50000000</v>
      </c>
      <c r="BE53" s="1199">
        <v>50000000</v>
      </c>
      <c r="BF53" s="1199">
        <v>50000000</v>
      </c>
      <c r="BG53" s="1199">
        <v>50000000</v>
      </c>
      <c r="BH53" s="1199">
        <v>50000000</v>
      </c>
      <c r="BI53" s="1199">
        <v>50000000</v>
      </c>
      <c r="BJ53" s="1200">
        <f t="shared" si="12"/>
        <v>600000000</v>
      </c>
      <c r="BK53" s="538">
        <f t="shared" si="37"/>
        <v>702000000</v>
      </c>
      <c r="BL53" s="538">
        <f t="shared" si="37"/>
        <v>758160000</v>
      </c>
      <c r="BM53" s="538">
        <f t="shared" si="37"/>
        <v>826394400.00000012</v>
      </c>
      <c r="BN53" s="551">
        <f t="shared" si="37"/>
        <v>900769896.00000024</v>
      </c>
      <c r="BP53" s="239"/>
    </row>
    <row r="54" spans="1:68" s="238" customFormat="1">
      <c r="A54" s="1041">
        <v>45</v>
      </c>
      <c r="B54" s="1053" t="s">
        <v>121</v>
      </c>
      <c r="C54" s="1054" t="s">
        <v>1005</v>
      </c>
      <c r="D54" s="1054" t="s">
        <v>1052</v>
      </c>
      <c r="E54" s="1054" t="s">
        <v>1043</v>
      </c>
      <c r="F54" s="1055" t="s">
        <v>1057</v>
      </c>
      <c r="G54" s="1055"/>
      <c r="H54" s="1048"/>
      <c r="I54" s="1048"/>
      <c r="J54" s="1048"/>
      <c r="K54" s="1048"/>
      <c r="L54" s="1048"/>
      <c r="M54" s="1048"/>
      <c r="N54" s="1048"/>
      <c r="O54" s="1048"/>
      <c r="P54" s="1048"/>
      <c r="Q54" s="1048"/>
      <c r="R54" s="1048"/>
      <c r="S54" s="1048"/>
      <c r="T54" s="1047"/>
      <c r="U54" s="1047"/>
      <c r="V54" s="1047"/>
      <c r="W54" s="1048"/>
      <c r="X54" s="1047"/>
      <c r="Y54" s="1048"/>
      <c r="Z54" s="1047"/>
      <c r="AA54" s="1048"/>
      <c r="AB54" s="1047"/>
      <c r="AC54" s="1048"/>
      <c r="AD54" s="1047"/>
      <c r="AE54" s="1048"/>
      <c r="AF54" s="1047"/>
      <c r="AG54" s="1048"/>
      <c r="AH54" s="1047"/>
      <c r="AI54" s="1048"/>
      <c r="AJ54" s="1056"/>
      <c r="AK54" s="1048"/>
      <c r="AL54" s="1049"/>
      <c r="AM54" s="1047"/>
      <c r="AN54" s="1048"/>
      <c r="AO54" s="1049"/>
      <c r="AP54" s="1047"/>
      <c r="AQ54" s="1048"/>
      <c r="AR54" s="1049"/>
      <c r="AS54" s="1047"/>
      <c r="AT54" s="1048"/>
      <c r="AU54" s="1049"/>
      <c r="AV54" s="1050"/>
      <c r="AW54" s="1051"/>
      <c r="AX54" s="1052">
        <v>0</v>
      </c>
      <c r="AY54" s="1052">
        <v>0</v>
      </c>
      <c r="AZ54" s="1052">
        <v>0</v>
      </c>
      <c r="BA54" s="1052">
        <v>20000000</v>
      </c>
      <c r="BB54" s="1052">
        <v>20000000</v>
      </c>
      <c r="BC54" s="1052">
        <v>20000000</v>
      </c>
      <c r="BD54" s="1052">
        <v>20000000</v>
      </c>
      <c r="BE54" s="1052">
        <v>20000000</v>
      </c>
      <c r="BF54" s="1052">
        <v>20000000</v>
      </c>
      <c r="BG54" s="1052">
        <v>20000000</v>
      </c>
      <c r="BH54" s="1052">
        <v>20000000</v>
      </c>
      <c r="BI54" s="1052">
        <v>20000000</v>
      </c>
      <c r="BJ54" s="536">
        <f t="shared" si="12"/>
        <v>180000000</v>
      </c>
      <c r="BK54" s="538">
        <f t="shared" si="37"/>
        <v>210600000</v>
      </c>
      <c r="BL54" s="538">
        <f t="shared" si="37"/>
        <v>227448000.00000003</v>
      </c>
      <c r="BM54" s="538">
        <f t="shared" si="37"/>
        <v>247918320.00000006</v>
      </c>
      <c r="BN54" s="551">
        <f t="shared" si="37"/>
        <v>270230968.80000007</v>
      </c>
      <c r="BP54" s="239"/>
    </row>
    <row r="55" spans="1:68" s="238" customFormat="1">
      <c r="A55" s="1041">
        <v>46</v>
      </c>
      <c r="B55" s="1053" t="s">
        <v>121</v>
      </c>
      <c r="C55" s="1054" t="s">
        <v>1005</v>
      </c>
      <c r="D55" s="1054" t="s">
        <v>1058</v>
      </c>
      <c r="E55" s="1054" t="s">
        <v>1035</v>
      </c>
      <c r="F55" s="1055" t="s">
        <v>1059</v>
      </c>
      <c r="G55" s="1055"/>
      <c r="H55" s="1048"/>
      <c r="I55" s="1048"/>
      <c r="J55" s="1048"/>
      <c r="K55" s="1048"/>
      <c r="L55" s="1048"/>
      <c r="M55" s="1048"/>
      <c r="N55" s="1048"/>
      <c r="O55" s="1048"/>
      <c r="P55" s="1048"/>
      <c r="Q55" s="1048"/>
      <c r="R55" s="1048"/>
      <c r="S55" s="1048"/>
      <c r="T55" s="1047"/>
      <c r="U55" s="1047"/>
      <c r="V55" s="1047"/>
      <c r="W55" s="1048"/>
      <c r="X55" s="1047"/>
      <c r="Y55" s="1048"/>
      <c r="Z55" s="1047"/>
      <c r="AA55" s="1048"/>
      <c r="AB55" s="1047"/>
      <c r="AC55" s="1048"/>
      <c r="AD55" s="1047"/>
      <c r="AE55" s="1048"/>
      <c r="AF55" s="1047"/>
      <c r="AG55" s="1048"/>
      <c r="AH55" s="1047"/>
      <c r="AI55" s="1048"/>
      <c r="AJ55" s="1056"/>
      <c r="AK55" s="1048"/>
      <c r="AL55" s="1049"/>
      <c r="AM55" s="1047"/>
      <c r="AN55" s="1048"/>
      <c r="AO55" s="1049"/>
      <c r="AP55" s="1047"/>
      <c r="AQ55" s="1048"/>
      <c r="AR55" s="1049"/>
      <c r="AS55" s="1047"/>
      <c r="AT55" s="1048"/>
      <c r="AU55" s="1049"/>
      <c r="AV55" s="1050"/>
      <c r="AW55" s="1051"/>
      <c r="AX55" s="1199">
        <v>20000000</v>
      </c>
      <c r="AY55" s="1199">
        <v>20000000</v>
      </c>
      <c r="AZ55" s="1199">
        <v>20000000</v>
      </c>
      <c r="BA55" s="1199">
        <v>20000000</v>
      </c>
      <c r="BB55" s="1199">
        <v>20000000</v>
      </c>
      <c r="BC55" s="1199">
        <v>20000000</v>
      </c>
      <c r="BD55" s="1199">
        <v>20000000</v>
      </c>
      <c r="BE55" s="1199">
        <v>20000000</v>
      </c>
      <c r="BF55" s="1199">
        <v>20000000</v>
      </c>
      <c r="BG55" s="1199">
        <v>20000000</v>
      </c>
      <c r="BH55" s="1199">
        <v>20000000</v>
      </c>
      <c r="BI55" s="1199">
        <v>20000000</v>
      </c>
      <c r="BJ55" s="1200">
        <f t="shared" si="12"/>
        <v>240000000</v>
      </c>
      <c r="BK55" s="538">
        <f t="shared" si="37"/>
        <v>280800000</v>
      </c>
      <c r="BL55" s="538">
        <f t="shared" si="37"/>
        <v>303264000</v>
      </c>
      <c r="BM55" s="538">
        <f t="shared" si="37"/>
        <v>330557760</v>
      </c>
      <c r="BN55" s="551">
        <f t="shared" si="37"/>
        <v>360307958.40000004</v>
      </c>
      <c r="BP55" s="239"/>
    </row>
    <row r="56" spans="1:68" s="238" customFormat="1">
      <c r="A56" s="1041">
        <v>47</v>
      </c>
      <c r="B56" s="1053" t="s">
        <v>121</v>
      </c>
      <c r="C56" s="1054" t="s">
        <v>1005</v>
      </c>
      <c r="D56" s="1054" t="s">
        <v>1052</v>
      </c>
      <c r="E56" s="1054" t="s">
        <v>1043</v>
      </c>
      <c r="F56" s="1055" t="s">
        <v>1060</v>
      </c>
      <c r="G56" s="1055"/>
      <c r="H56" s="1048"/>
      <c r="I56" s="1048"/>
      <c r="J56" s="1048"/>
      <c r="K56" s="1048"/>
      <c r="L56" s="1048"/>
      <c r="M56" s="1048"/>
      <c r="N56" s="1048"/>
      <c r="O56" s="1048"/>
      <c r="P56" s="1048"/>
      <c r="Q56" s="1048"/>
      <c r="R56" s="1048"/>
      <c r="S56" s="1048"/>
      <c r="T56" s="1047"/>
      <c r="U56" s="1047"/>
      <c r="V56" s="1047"/>
      <c r="W56" s="1048"/>
      <c r="X56" s="1047"/>
      <c r="Y56" s="1048"/>
      <c r="Z56" s="1047"/>
      <c r="AA56" s="1048"/>
      <c r="AB56" s="1047"/>
      <c r="AC56" s="1048"/>
      <c r="AD56" s="1047"/>
      <c r="AE56" s="1048"/>
      <c r="AF56" s="1047"/>
      <c r="AG56" s="1048"/>
      <c r="AH56" s="1047"/>
      <c r="AI56" s="1048"/>
      <c r="AJ56" s="1056"/>
      <c r="AK56" s="1048"/>
      <c r="AL56" s="1049"/>
      <c r="AM56" s="1047"/>
      <c r="AN56" s="1048"/>
      <c r="AO56" s="1049"/>
      <c r="AP56" s="1047"/>
      <c r="AQ56" s="1048"/>
      <c r="AR56" s="1049"/>
      <c r="AS56" s="1047"/>
      <c r="AT56" s="1048"/>
      <c r="AU56" s="1049"/>
      <c r="AV56" s="1050"/>
      <c r="AW56" s="1051"/>
      <c r="AX56" s="1052">
        <v>0</v>
      </c>
      <c r="AY56" s="1052">
        <v>0</v>
      </c>
      <c r="AZ56" s="1052">
        <v>30000000</v>
      </c>
      <c r="BA56" s="1052">
        <v>30000000</v>
      </c>
      <c r="BB56" s="1052">
        <v>30000000</v>
      </c>
      <c r="BC56" s="1052">
        <v>30000000</v>
      </c>
      <c r="BD56" s="1052">
        <v>30000000</v>
      </c>
      <c r="BE56" s="1052">
        <v>30000000</v>
      </c>
      <c r="BF56" s="1052">
        <v>30000000</v>
      </c>
      <c r="BG56" s="1052">
        <v>30000000</v>
      </c>
      <c r="BH56" s="1052">
        <v>30000000</v>
      </c>
      <c r="BI56" s="1052">
        <v>30000000</v>
      </c>
      <c r="BJ56" s="536">
        <f t="shared" si="12"/>
        <v>300000000</v>
      </c>
      <c r="BK56" s="538">
        <f t="shared" si="37"/>
        <v>351000000</v>
      </c>
      <c r="BL56" s="538">
        <f t="shared" si="37"/>
        <v>379080000</v>
      </c>
      <c r="BM56" s="538">
        <f t="shared" si="37"/>
        <v>413197200.00000006</v>
      </c>
      <c r="BN56" s="551">
        <f t="shared" si="37"/>
        <v>450384948.00000012</v>
      </c>
      <c r="BP56" s="239"/>
    </row>
    <row r="57" spans="1:68" s="238" customFormat="1">
      <c r="A57" s="1041">
        <v>48</v>
      </c>
      <c r="B57" s="1053" t="s">
        <v>121</v>
      </c>
      <c r="C57" s="1054" t="s">
        <v>1007</v>
      </c>
      <c r="D57" s="1054" t="s">
        <v>1061</v>
      </c>
      <c r="E57" s="1054" t="s">
        <v>1035</v>
      </c>
      <c r="F57" s="1055" t="s">
        <v>1062</v>
      </c>
      <c r="G57" s="1055"/>
      <c r="H57" s="1048"/>
      <c r="I57" s="1048"/>
      <c r="J57" s="1048"/>
      <c r="K57" s="1048"/>
      <c r="L57" s="1048"/>
      <c r="M57" s="1048"/>
      <c r="N57" s="1048"/>
      <c r="O57" s="1048"/>
      <c r="P57" s="1048"/>
      <c r="Q57" s="1048"/>
      <c r="R57" s="1048"/>
      <c r="S57" s="1048"/>
      <c r="T57" s="1047"/>
      <c r="U57" s="1047"/>
      <c r="V57" s="1047"/>
      <c r="W57" s="1048"/>
      <c r="X57" s="1047"/>
      <c r="Y57" s="1048"/>
      <c r="Z57" s="1047"/>
      <c r="AA57" s="1048"/>
      <c r="AB57" s="1047"/>
      <c r="AC57" s="1048"/>
      <c r="AD57" s="1047"/>
      <c r="AE57" s="1048"/>
      <c r="AF57" s="1047"/>
      <c r="AG57" s="1048"/>
      <c r="AH57" s="1047"/>
      <c r="AI57" s="1048"/>
      <c r="AJ57" s="1056"/>
      <c r="AK57" s="1048"/>
      <c r="AL57" s="1049"/>
      <c r="AM57" s="1047"/>
      <c r="AN57" s="1048"/>
      <c r="AO57" s="1049"/>
      <c r="AP57" s="1047"/>
      <c r="AQ57" s="1048"/>
      <c r="AR57" s="1049"/>
      <c r="AS57" s="1047"/>
      <c r="AT57" s="1048"/>
      <c r="AU57" s="1049"/>
      <c r="AV57" s="1050"/>
      <c r="AW57" s="1051"/>
      <c r="AX57" s="1199">
        <v>50000000</v>
      </c>
      <c r="AY57" s="1199">
        <v>50000000</v>
      </c>
      <c r="AZ57" s="1199">
        <v>50000000</v>
      </c>
      <c r="BA57" s="1199">
        <v>50000000</v>
      </c>
      <c r="BB57" s="1199">
        <v>50000000</v>
      </c>
      <c r="BC57" s="1199">
        <v>50000000</v>
      </c>
      <c r="BD57" s="1199">
        <v>50000000</v>
      </c>
      <c r="BE57" s="1199">
        <v>50000000</v>
      </c>
      <c r="BF57" s="1199">
        <v>50000000</v>
      </c>
      <c r="BG57" s="1199">
        <v>50000000</v>
      </c>
      <c r="BH57" s="1199">
        <v>50000000</v>
      </c>
      <c r="BI57" s="1199">
        <v>50000000</v>
      </c>
      <c r="BJ57" s="1200">
        <f t="shared" si="12"/>
        <v>600000000</v>
      </c>
      <c r="BK57" s="538">
        <f t="shared" si="37"/>
        <v>702000000</v>
      </c>
      <c r="BL57" s="538">
        <f t="shared" si="37"/>
        <v>758160000</v>
      </c>
      <c r="BM57" s="538">
        <f t="shared" si="37"/>
        <v>826394400.00000012</v>
      </c>
      <c r="BN57" s="551">
        <f t="shared" si="37"/>
        <v>900769896.00000024</v>
      </c>
      <c r="BP57" s="239"/>
    </row>
    <row r="58" spans="1:68" s="149" customFormat="1" ht="30" customHeight="1" thickBot="1">
      <c r="A58" s="1084"/>
      <c r="B58" s="1085"/>
      <c r="C58" s="1085"/>
      <c r="D58" s="1085"/>
      <c r="E58" s="1085"/>
      <c r="F58" s="1058" t="s">
        <v>1063</v>
      </c>
      <c r="G58" s="1058"/>
      <c r="H58" s="236">
        <f t="shared" ref="H58:AJ58" si="38">H7+H26+H40</f>
        <v>1096400000</v>
      </c>
      <c r="I58" s="236">
        <f t="shared" si="38"/>
        <v>1096400000</v>
      </c>
      <c r="J58" s="236">
        <f t="shared" si="38"/>
        <v>1096400000</v>
      </c>
      <c r="K58" s="236">
        <f t="shared" si="38"/>
        <v>1096400000</v>
      </c>
      <c r="L58" s="236">
        <f t="shared" si="38"/>
        <v>1233450000</v>
      </c>
      <c r="M58" s="236">
        <f t="shared" si="38"/>
        <v>1233450000</v>
      </c>
      <c r="N58" s="236">
        <f t="shared" si="38"/>
        <v>1233450000</v>
      </c>
      <c r="O58" s="236">
        <f t="shared" si="38"/>
        <v>1233450000</v>
      </c>
      <c r="P58" s="236">
        <f t="shared" si="38"/>
        <v>1781650000</v>
      </c>
      <c r="Q58" s="236">
        <f t="shared" si="38"/>
        <v>1781650000</v>
      </c>
      <c r="R58" s="236">
        <f t="shared" si="38"/>
        <v>1781650000</v>
      </c>
      <c r="S58" s="236">
        <f t="shared" si="38"/>
        <v>1781650000</v>
      </c>
      <c r="T58" s="236">
        <f t="shared" si="38"/>
        <v>16446000000</v>
      </c>
      <c r="U58" s="236">
        <f t="shared" si="38"/>
        <v>517231110</v>
      </c>
      <c r="V58" s="236">
        <f t="shared" si="38"/>
        <v>366757048.26999998</v>
      </c>
      <c r="W58" s="622">
        <f t="shared" si="38"/>
        <v>319500000</v>
      </c>
      <c r="X58" s="236">
        <f t="shared" si="38"/>
        <v>246450159</v>
      </c>
      <c r="Y58" s="622">
        <f t="shared" si="38"/>
        <v>1710300000</v>
      </c>
      <c r="Z58" s="236">
        <f t="shared" si="38"/>
        <v>1633742232</v>
      </c>
      <c r="AA58" s="622">
        <f t="shared" si="38"/>
        <v>1270800000</v>
      </c>
      <c r="AB58" s="236">
        <f t="shared" si="38"/>
        <v>743335732</v>
      </c>
      <c r="AC58" s="622">
        <f t="shared" si="38"/>
        <v>830800000</v>
      </c>
      <c r="AD58" s="236">
        <f t="shared" si="38"/>
        <v>723231845</v>
      </c>
      <c r="AE58" s="622">
        <f t="shared" si="38"/>
        <v>830800000</v>
      </c>
      <c r="AF58" s="236">
        <f t="shared" si="38"/>
        <v>772679181</v>
      </c>
      <c r="AG58" s="622">
        <f t="shared" si="38"/>
        <v>1018300000</v>
      </c>
      <c r="AH58" s="541">
        <f t="shared" si="38"/>
        <v>701881050</v>
      </c>
      <c r="AI58" s="908">
        <f t="shared" si="38"/>
        <v>1688300000</v>
      </c>
      <c r="AJ58" s="541">
        <f t="shared" si="38"/>
        <v>0</v>
      </c>
      <c r="AK58" s="908">
        <v>2058300000</v>
      </c>
      <c r="AL58" s="541">
        <f t="shared" ref="AL58:AU58" si="39">AL7+AL26+AL40</f>
        <v>1383300000</v>
      </c>
      <c r="AM58" s="541">
        <f t="shared" si="39"/>
        <v>0</v>
      </c>
      <c r="AN58" s="908">
        <f t="shared" si="39"/>
        <v>2008300000</v>
      </c>
      <c r="AO58" s="541">
        <f t="shared" si="39"/>
        <v>1493800000</v>
      </c>
      <c r="AP58" s="541">
        <f t="shared" si="39"/>
        <v>0</v>
      </c>
      <c r="AQ58" s="908">
        <f t="shared" si="39"/>
        <v>2008300000</v>
      </c>
      <c r="AR58" s="541">
        <f t="shared" si="39"/>
        <v>1604300000</v>
      </c>
      <c r="AS58" s="541">
        <f t="shared" si="39"/>
        <v>0</v>
      </c>
      <c r="AT58" s="908">
        <f t="shared" si="39"/>
        <v>2008300000</v>
      </c>
      <c r="AU58" s="541">
        <f t="shared" si="39"/>
        <v>1694800000</v>
      </c>
      <c r="AV58" s="1058">
        <f t="shared" ref="AV58:BI58" si="40">AV7+AV26+AV40</f>
        <v>13788508357.27</v>
      </c>
      <c r="AW58" s="1058">
        <f t="shared" si="40"/>
        <v>11881508357.27</v>
      </c>
      <c r="AX58" s="1058">
        <f t="shared" si="40"/>
        <v>1801000000</v>
      </c>
      <c r="AY58" s="1058">
        <f t="shared" si="40"/>
        <v>1871000000</v>
      </c>
      <c r="AZ58" s="1058">
        <f t="shared" si="40"/>
        <v>1921000000</v>
      </c>
      <c r="BA58" s="1058">
        <f t="shared" si="40"/>
        <v>2041000000</v>
      </c>
      <c r="BB58" s="1058">
        <f t="shared" si="40"/>
        <v>2041000000</v>
      </c>
      <c r="BC58" s="1058">
        <f t="shared" si="40"/>
        <v>2041000000</v>
      </c>
      <c r="BD58" s="1058">
        <f t="shared" si="40"/>
        <v>2041000000</v>
      </c>
      <c r="BE58" s="1058">
        <f t="shared" si="40"/>
        <v>2041000000</v>
      </c>
      <c r="BF58" s="1058">
        <f t="shared" si="40"/>
        <v>2041000000</v>
      </c>
      <c r="BG58" s="1058">
        <f t="shared" si="40"/>
        <v>2041000000</v>
      </c>
      <c r="BH58" s="1058">
        <f t="shared" si="40"/>
        <v>2041000000</v>
      </c>
      <c r="BI58" s="1058">
        <f t="shared" si="40"/>
        <v>2041000000</v>
      </c>
      <c r="BJ58" s="1058">
        <f>BJ7+BJ26+BJ40</f>
        <v>23962000000</v>
      </c>
      <c r="BK58" s="1058">
        <f>BK7+BK26+BK40</f>
        <v>26350740000</v>
      </c>
      <c r="BL58" s="1058">
        <f>BL7+BL26+BL40</f>
        <v>28458799200</v>
      </c>
      <c r="BM58" s="1058">
        <f>BM7+BM26+BM40</f>
        <v>31020091128</v>
      </c>
      <c r="BN58" s="1059">
        <f>BN7+BN26+BN40</f>
        <v>33811899329.520004</v>
      </c>
    </row>
    <row r="59" spans="1:68">
      <c r="A59" s="1086"/>
      <c r="B59" s="1086"/>
      <c r="C59" s="1086"/>
      <c r="H59" s="150"/>
      <c r="V59" s="146">
        <v>366757048.26999998</v>
      </c>
      <c r="W59" s="150"/>
      <c r="Y59" s="150"/>
      <c r="AA59" s="150"/>
      <c r="AC59" s="150"/>
      <c r="AE59" s="150"/>
      <c r="AG59" s="150"/>
      <c r="AI59" s="909"/>
      <c r="AK59" s="909"/>
      <c r="AL59" s="910"/>
      <c r="AN59" s="909"/>
      <c r="AO59" s="910"/>
      <c r="AQ59" s="909"/>
      <c r="AR59" s="910"/>
      <c r="AT59" s="909"/>
      <c r="AU59" s="910"/>
    </row>
    <row r="60" spans="1:68">
      <c r="V60" s="146">
        <f>V58-V59</f>
        <v>0</v>
      </c>
    </row>
  </sheetData>
  <sheetProtection password="F6D4" sheet="1" objects="1" scenarios="1" insertRows="0"/>
  <mergeCells count="5">
    <mergeCell ref="A4:A5"/>
    <mergeCell ref="F4:F5"/>
    <mergeCell ref="G4:G5"/>
    <mergeCell ref="B4:B5"/>
    <mergeCell ref="C4:C5"/>
  </mergeCells>
  <pageMargins left="0.7" right="0.7" top="0.75" bottom="0.75" header="0.3" footer="0.3"/>
  <pageSetup paperSize="9" orientation="portrait" r:id="rId1"/>
  <ignoredErrors>
    <ignoredError sqref="G31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T72"/>
  <sheetViews>
    <sheetView zoomScale="85" zoomScaleNormal="85" workbookViewId="0">
      <pane xSplit="4" ySplit="5" topLeftCell="F75" activePane="bottomRight" state="frozen"/>
      <selection pane="topRight" activeCell="BQ10" sqref="BQ10"/>
      <selection pane="bottomLeft" activeCell="BQ10" sqref="BQ10"/>
      <selection pane="bottomRight" activeCell="B75" sqref="B75"/>
    </sheetView>
  </sheetViews>
  <sheetFormatPr defaultColWidth="8.7265625" defaultRowHeight="12.5" outlineLevelCol="1"/>
  <cols>
    <col min="1" max="1" width="13" style="552" customWidth="1"/>
    <col min="2" max="2" width="23.453125" style="552" customWidth="1"/>
    <col min="3" max="3" width="14.453125" style="552" customWidth="1"/>
    <col min="4" max="4" width="10.1796875" style="564" bestFit="1" customWidth="1"/>
    <col min="5" max="5" width="10.1796875" style="154" hidden="1" customWidth="1" outlineLevel="1"/>
    <col min="6" max="6" width="10.1796875" style="154" customWidth="1" collapsed="1"/>
    <col min="7" max="7" width="10.1796875" style="154" hidden="1" customWidth="1" outlineLevel="1"/>
    <col min="8" max="8" width="10.1796875" style="154" customWidth="1" collapsed="1"/>
    <col min="9" max="9" width="10.1796875" style="154" hidden="1" customWidth="1" outlineLevel="1"/>
    <col min="10" max="10" width="10.1796875" style="154" customWidth="1" collapsed="1"/>
    <col min="11" max="11" width="10.1796875" style="154" hidden="1" customWidth="1" outlineLevel="1"/>
    <col min="12" max="12" width="10.1796875" style="154" hidden="1" customWidth="1" collapsed="1"/>
    <col min="13" max="13" width="10.1796875" style="154" hidden="1" customWidth="1" outlineLevel="1"/>
    <col min="14" max="14" width="10.1796875" style="154" customWidth="1" collapsed="1"/>
    <col min="15" max="15" width="10.1796875" style="154" hidden="1" customWidth="1" outlineLevel="1"/>
    <col min="16" max="16" width="10.1796875" style="154" customWidth="1" collapsed="1"/>
    <col min="17" max="17" width="10.1796875" style="154" hidden="1" customWidth="1"/>
    <col min="18" max="18" width="10.1796875" style="154" hidden="1" customWidth="1" outlineLevel="1"/>
    <col min="19" max="19" width="10.1796875" style="154" customWidth="1" collapsed="1"/>
    <col min="20" max="20" width="10.1796875" style="154" hidden="1" customWidth="1"/>
    <col min="21" max="21" width="10.1796875" style="154" hidden="1" customWidth="1" outlineLevel="1"/>
    <col min="22" max="22" width="10.1796875" style="154" hidden="1" customWidth="1" collapsed="1"/>
    <col min="23" max="23" width="10.1796875" style="154" hidden="1" customWidth="1"/>
    <col min="24" max="24" width="10.1796875" style="154" hidden="1" customWidth="1" outlineLevel="1"/>
    <col min="25" max="25" width="10.1796875" style="154" customWidth="1" collapsed="1"/>
    <col min="26" max="26" width="10.1796875" style="154" hidden="1" customWidth="1"/>
    <col min="27" max="27" width="10.1796875" style="154" hidden="1" customWidth="1" outlineLevel="1"/>
    <col min="28" max="28" width="10.1796875" style="154" customWidth="1" collapsed="1"/>
    <col min="29" max="29" width="10.1796875" style="154" hidden="1" customWidth="1"/>
    <col min="30" max="30" width="10.1796875" style="154" hidden="1" customWidth="1" outlineLevel="1"/>
    <col min="31" max="31" width="10.1796875" style="154" customWidth="1" collapsed="1"/>
    <col min="32" max="32" width="10.1796875" style="154" hidden="1" customWidth="1"/>
    <col min="33" max="33" width="10.1796875" style="154" customWidth="1"/>
    <col min="34" max="34" width="10.1796875" style="154" hidden="1" customWidth="1" outlineLevel="1"/>
    <col min="35" max="35" width="10.1796875" style="154" hidden="1" customWidth="1" collapsed="1"/>
    <col min="36" max="36" width="10.1796875" style="154" hidden="1" customWidth="1"/>
    <col min="37" max="37" width="10.1796875" style="154" hidden="1" customWidth="1" outlineLevel="1"/>
    <col min="38" max="39" width="10.1796875" style="154" hidden="1" customWidth="1"/>
    <col min="40" max="40" width="10.1796875" style="154" customWidth="1"/>
    <col min="41" max="41" width="10.1796875" style="154" hidden="1" customWidth="1" outlineLevel="1"/>
    <col min="42" max="43" width="10.1796875" style="154" hidden="1" customWidth="1"/>
    <col min="44" max="44" width="10.1796875" style="154" customWidth="1"/>
    <col min="45" max="45" width="10.1796875" style="154" hidden="1" customWidth="1" outlineLevel="1"/>
    <col min="46" max="47" width="10.1796875" style="154" hidden="1" customWidth="1"/>
    <col min="48" max="48" width="10.1796875" style="154" customWidth="1"/>
    <col min="49" max="49" width="10.1796875" style="154" hidden="1" customWidth="1" outlineLevel="1"/>
    <col min="50" max="50" width="10.1796875" style="154" hidden="1" customWidth="1" collapsed="1"/>
    <col min="51" max="51" width="10.1796875" style="154" hidden="1" customWidth="1"/>
    <col min="52" max="52" width="10.1796875" style="154" customWidth="1"/>
    <col min="53" max="54" width="10.26953125" style="154" customWidth="1"/>
    <col min="55" max="55" width="1" style="154" customWidth="1"/>
    <col min="56" max="72" width="10.1796875" style="552" customWidth="1"/>
    <col min="73" max="16384" width="8.7265625" style="154"/>
  </cols>
  <sheetData>
    <row r="1" spans="1:72" ht="14">
      <c r="A1" s="673" t="s">
        <v>1064</v>
      </c>
      <c r="L1" s="935"/>
      <c r="W1" s="935"/>
      <c r="AG1" s="154" t="s">
        <v>1</v>
      </c>
      <c r="AJ1" s="935"/>
      <c r="AY1" s="935"/>
      <c r="BB1" s="935"/>
      <c r="BC1" s="936"/>
    </row>
    <row r="2" spans="1:72" ht="17.5">
      <c r="A2" s="674" t="s">
        <v>1065</v>
      </c>
      <c r="B2" s="565"/>
      <c r="C2" s="565"/>
      <c r="D2" s="565"/>
      <c r="E2" s="937"/>
      <c r="F2" s="937"/>
      <c r="G2" s="937"/>
      <c r="H2" s="937"/>
      <c r="I2" s="937"/>
      <c r="J2" s="937"/>
      <c r="L2" s="935"/>
      <c r="W2" s="935"/>
      <c r="AG2" s="154" t="s">
        <v>3</v>
      </c>
      <c r="AJ2" s="935"/>
      <c r="AY2" s="935"/>
      <c r="BC2" s="938"/>
    </row>
    <row r="3" spans="1:72" ht="38">
      <c r="A3" s="565"/>
      <c r="B3" s="565"/>
      <c r="C3" s="565"/>
      <c r="D3" s="672"/>
      <c r="E3" s="937"/>
      <c r="F3" s="937"/>
      <c r="G3" s="937"/>
      <c r="H3" s="937"/>
      <c r="I3" s="937"/>
      <c r="J3" s="937"/>
      <c r="L3" s="935"/>
      <c r="W3" s="935"/>
      <c r="AG3" s="154" t="s">
        <v>1066</v>
      </c>
      <c r="AJ3" s="935"/>
      <c r="AY3" s="935"/>
      <c r="BA3" s="939" t="s">
        <v>4</v>
      </c>
      <c r="BB3" s="939" t="s">
        <v>5</v>
      </c>
      <c r="BC3" s="940"/>
    </row>
    <row r="4" spans="1:72" s="671" customFormat="1" ht="30" customHeight="1">
      <c r="A4" s="1243" t="s">
        <v>1067</v>
      </c>
      <c r="B4" s="1243" t="s">
        <v>326</v>
      </c>
      <c r="C4" s="1243" t="s">
        <v>21</v>
      </c>
      <c r="D4" s="1244" t="s">
        <v>1068</v>
      </c>
      <c r="E4" s="1237">
        <v>44227</v>
      </c>
      <c r="F4" s="1239"/>
      <c r="G4" s="1237">
        <v>44255</v>
      </c>
      <c r="H4" s="1239"/>
      <c r="I4" s="1237">
        <v>44286</v>
      </c>
      <c r="J4" s="1239"/>
      <c r="K4" s="1240" t="s">
        <v>1069</v>
      </c>
      <c r="L4" s="1242"/>
      <c r="M4" s="1237">
        <v>44316</v>
      </c>
      <c r="N4" s="1239"/>
      <c r="O4" s="1237">
        <v>44347</v>
      </c>
      <c r="P4" s="1238"/>
      <c r="Q4" s="1239"/>
      <c r="R4" s="1237">
        <v>44377</v>
      </c>
      <c r="S4" s="1238"/>
      <c r="T4" s="1239"/>
      <c r="U4" s="1240" t="s">
        <v>1070</v>
      </c>
      <c r="V4" s="1241"/>
      <c r="W4" s="1242"/>
      <c r="X4" s="1237">
        <v>44408</v>
      </c>
      <c r="Y4" s="1238"/>
      <c r="Z4" s="1239"/>
      <c r="AA4" s="1237">
        <v>44439</v>
      </c>
      <c r="AB4" s="1238"/>
      <c r="AC4" s="1239"/>
      <c r="AD4" s="1237">
        <v>44469</v>
      </c>
      <c r="AE4" s="1238"/>
      <c r="AF4" s="1238"/>
      <c r="AG4" s="1239"/>
      <c r="AH4" s="1240" t="s">
        <v>1071</v>
      </c>
      <c r="AI4" s="1241"/>
      <c r="AJ4" s="1242"/>
      <c r="AK4" s="1237">
        <v>44500</v>
      </c>
      <c r="AL4" s="1238"/>
      <c r="AM4" s="1238"/>
      <c r="AN4" s="1239"/>
      <c r="AO4" s="1237">
        <v>44530</v>
      </c>
      <c r="AP4" s="1238"/>
      <c r="AQ4" s="1238"/>
      <c r="AR4" s="1239"/>
      <c r="AS4" s="1237">
        <v>44561</v>
      </c>
      <c r="AT4" s="1238"/>
      <c r="AU4" s="1238"/>
      <c r="AV4" s="1239"/>
      <c r="AW4" s="1240" t="s">
        <v>1072</v>
      </c>
      <c r="AX4" s="1241"/>
      <c r="AY4" s="1242"/>
      <c r="AZ4" s="1234" t="s">
        <v>1073</v>
      </c>
      <c r="BA4" s="1235"/>
      <c r="BB4" s="1236"/>
      <c r="BC4" s="679"/>
      <c r="BD4" s="971">
        <v>44562</v>
      </c>
      <c r="BE4" s="971">
        <v>44593</v>
      </c>
      <c r="BF4" s="971">
        <v>44621</v>
      </c>
      <c r="BG4" s="971">
        <v>44652</v>
      </c>
      <c r="BH4" s="971">
        <v>44682</v>
      </c>
      <c r="BI4" s="971">
        <v>44713</v>
      </c>
      <c r="BJ4" s="971">
        <v>44743</v>
      </c>
      <c r="BK4" s="971">
        <v>44774</v>
      </c>
      <c r="BL4" s="971">
        <v>44805</v>
      </c>
      <c r="BM4" s="971">
        <v>44835</v>
      </c>
      <c r="BN4" s="971">
        <v>44866</v>
      </c>
      <c r="BO4" s="971">
        <v>44896</v>
      </c>
      <c r="BP4" s="972" t="s">
        <v>26</v>
      </c>
      <c r="BQ4" s="972" t="s">
        <v>27</v>
      </c>
      <c r="BR4" s="972" t="s">
        <v>28</v>
      </c>
      <c r="BS4" s="972" t="s">
        <v>29</v>
      </c>
      <c r="BT4" s="972" t="s">
        <v>30</v>
      </c>
    </row>
    <row r="5" spans="1:72" s="671" customFormat="1" ht="21.65" customHeight="1">
      <c r="A5" s="1243"/>
      <c r="B5" s="1243"/>
      <c r="C5" s="1243"/>
      <c r="D5" s="1245"/>
      <c r="E5" s="911" t="s">
        <v>1074</v>
      </c>
      <c r="F5" s="911" t="s">
        <v>1</v>
      </c>
      <c r="G5" s="911" t="s">
        <v>1074</v>
      </c>
      <c r="H5" s="911" t="s">
        <v>1</v>
      </c>
      <c r="I5" s="911" t="s">
        <v>1074</v>
      </c>
      <c r="J5" s="911" t="s">
        <v>1</v>
      </c>
      <c r="K5" s="912" t="s">
        <v>1074</v>
      </c>
      <c r="L5" s="912" t="s">
        <v>1</v>
      </c>
      <c r="M5" s="911" t="s">
        <v>1074</v>
      </c>
      <c r="N5" s="911" t="s">
        <v>1</v>
      </c>
      <c r="O5" s="911" t="s">
        <v>1074</v>
      </c>
      <c r="P5" s="911" t="s">
        <v>1</v>
      </c>
      <c r="Q5" s="623" t="s">
        <v>13</v>
      </c>
      <c r="R5" s="911" t="s">
        <v>1074</v>
      </c>
      <c r="S5" s="911" t="s">
        <v>1</v>
      </c>
      <c r="T5" s="623" t="s">
        <v>13</v>
      </c>
      <c r="U5" s="912" t="s">
        <v>1074</v>
      </c>
      <c r="V5" s="912" t="s">
        <v>1</v>
      </c>
      <c r="W5" s="623" t="s">
        <v>13</v>
      </c>
      <c r="X5" s="911" t="s">
        <v>1074</v>
      </c>
      <c r="Y5" s="911" t="s">
        <v>1</v>
      </c>
      <c r="Z5" s="623" t="s">
        <v>13</v>
      </c>
      <c r="AA5" s="911" t="s">
        <v>1074</v>
      </c>
      <c r="AB5" s="911" t="s">
        <v>1</v>
      </c>
      <c r="AC5" s="623" t="s">
        <v>13</v>
      </c>
      <c r="AD5" s="911" t="s">
        <v>1074</v>
      </c>
      <c r="AE5" s="911" t="s">
        <v>1</v>
      </c>
      <c r="AF5" s="623" t="s">
        <v>13</v>
      </c>
      <c r="AG5" s="623" t="s">
        <v>14</v>
      </c>
      <c r="AH5" s="912" t="s">
        <v>1074</v>
      </c>
      <c r="AI5" s="911" t="s">
        <v>1</v>
      </c>
      <c r="AJ5" s="912" t="s">
        <v>1075</v>
      </c>
      <c r="AK5" s="911" t="s">
        <v>1074</v>
      </c>
      <c r="AL5" s="911" t="s">
        <v>1</v>
      </c>
      <c r="AM5" s="623" t="s">
        <v>13</v>
      </c>
      <c r="AN5" s="623" t="s">
        <v>14</v>
      </c>
      <c r="AO5" s="911" t="s">
        <v>1074</v>
      </c>
      <c r="AP5" s="911" t="s">
        <v>1</v>
      </c>
      <c r="AQ5" s="623" t="s">
        <v>13</v>
      </c>
      <c r="AR5" s="623" t="s">
        <v>14</v>
      </c>
      <c r="AS5" s="911" t="s">
        <v>1074</v>
      </c>
      <c r="AT5" s="911" t="s">
        <v>1</v>
      </c>
      <c r="AU5" s="623" t="s">
        <v>13</v>
      </c>
      <c r="AV5" s="623" t="s">
        <v>14</v>
      </c>
      <c r="AW5" s="912" t="s">
        <v>1074</v>
      </c>
      <c r="AX5" s="911" t="s">
        <v>1</v>
      </c>
      <c r="AY5" s="912" t="s">
        <v>1075</v>
      </c>
      <c r="AZ5" s="629" t="s">
        <v>1074</v>
      </c>
      <c r="BA5" s="911" t="s">
        <v>1</v>
      </c>
      <c r="BB5" s="629" t="s">
        <v>14</v>
      </c>
      <c r="BC5" s="680"/>
      <c r="BD5" s="973" t="s">
        <v>1074</v>
      </c>
      <c r="BE5" s="973" t="s">
        <v>1074</v>
      </c>
      <c r="BF5" s="973" t="s">
        <v>1074</v>
      </c>
      <c r="BG5" s="973" t="s">
        <v>1074</v>
      </c>
      <c r="BH5" s="973" t="s">
        <v>1074</v>
      </c>
      <c r="BI5" s="973" t="s">
        <v>1074</v>
      </c>
      <c r="BJ5" s="973" t="s">
        <v>1074</v>
      </c>
      <c r="BK5" s="973" t="s">
        <v>1074</v>
      </c>
      <c r="BL5" s="973" t="s">
        <v>1074</v>
      </c>
      <c r="BM5" s="973" t="s">
        <v>1074</v>
      </c>
      <c r="BN5" s="973" t="s">
        <v>1074</v>
      </c>
      <c r="BO5" s="973" t="s">
        <v>1074</v>
      </c>
      <c r="BP5" s="973" t="s">
        <v>1074</v>
      </c>
      <c r="BQ5" s="973" t="s">
        <v>1074</v>
      </c>
      <c r="BR5" s="973" t="s">
        <v>1074</v>
      </c>
      <c r="BS5" s="973" t="s">
        <v>1074</v>
      </c>
      <c r="BT5" s="973" t="s">
        <v>1074</v>
      </c>
    </row>
    <row r="6" spans="1:72" ht="14.5">
      <c r="A6" s="566" t="s">
        <v>1076</v>
      </c>
      <c r="B6" s="567" t="s">
        <v>1077</v>
      </c>
      <c r="C6" s="567"/>
      <c r="D6" s="568" t="s">
        <v>40</v>
      </c>
      <c r="E6" s="941">
        <v>180.2</v>
      </c>
      <c r="F6" s="942">
        <v>200.01634000000001</v>
      </c>
      <c r="G6" s="941">
        <v>180.2</v>
      </c>
      <c r="H6" s="942">
        <v>180.2</v>
      </c>
      <c r="I6" s="941">
        <v>180.2</v>
      </c>
      <c r="J6" s="942">
        <v>170</v>
      </c>
      <c r="K6" s="630">
        <f t="shared" ref="K6:L37" si="0">SUM(E6,G6,I6)</f>
        <v>540.59999999999991</v>
      </c>
      <c r="L6" s="630">
        <f>SUM(F6,H6,J6)</f>
        <v>550.21633999999995</v>
      </c>
      <c r="M6" s="941">
        <v>180.2</v>
      </c>
      <c r="N6" s="942">
        <v>0</v>
      </c>
      <c r="O6" s="941">
        <v>315.35000000000002</v>
      </c>
      <c r="P6" s="942">
        <v>0</v>
      </c>
      <c r="Q6" s="624">
        <v>0</v>
      </c>
      <c r="R6" s="941">
        <v>315.35000000000002</v>
      </c>
      <c r="S6" s="942">
        <v>0</v>
      </c>
      <c r="T6" s="624">
        <v>0</v>
      </c>
      <c r="U6" s="630">
        <f t="shared" ref="U6:U37" si="1">SUM(M6,O6,R6)</f>
        <v>810.90000000000009</v>
      </c>
      <c r="V6" s="943">
        <f>N6+P6+S6</f>
        <v>0</v>
      </c>
      <c r="W6" s="624">
        <f t="shared" ref="W6:W37" si="2">SUM(N6,Q6,T6)</f>
        <v>0</v>
      </c>
      <c r="X6" s="941">
        <v>315.35000000000002</v>
      </c>
      <c r="Y6" s="942">
        <v>0</v>
      </c>
      <c r="Z6" s="624">
        <v>0</v>
      </c>
      <c r="AA6" s="941">
        <v>315.35000000000002</v>
      </c>
      <c r="AB6" s="942">
        <v>0</v>
      </c>
      <c r="AC6" s="624">
        <v>0</v>
      </c>
      <c r="AD6" s="941">
        <v>315.35000000000002</v>
      </c>
      <c r="AE6" s="553"/>
      <c r="AF6" s="624">
        <v>0</v>
      </c>
      <c r="AG6" s="944">
        <v>0</v>
      </c>
      <c r="AH6" s="630">
        <f t="shared" ref="AH6:AH37" si="3">SUM(X6,AA6,AD6)</f>
        <v>946.05000000000007</v>
      </c>
      <c r="AI6" s="945">
        <f t="shared" ref="AI6:AI37" si="4">Y6+AB6+AE6</f>
        <v>0</v>
      </c>
      <c r="AJ6" s="944">
        <f t="shared" ref="AJ6:AJ37" si="5">SUM(Z6,AC6,AG6)</f>
        <v>0</v>
      </c>
      <c r="AK6" s="941">
        <v>315.35000000000002</v>
      </c>
      <c r="AL6" s="553"/>
      <c r="AM6" s="624">
        <v>0</v>
      </c>
      <c r="AN6" s="944">
        <v>0</v>
      </c>
      <c r="AO6" s="941">
        <v>315.35000000000002</v>
      </c>
      <c r="AP6" s="553"/>
      <c r="AQ6" s="624">
        <v>0</v>
      </c>
      <c r="AR6" s="944">
        <v>0</v>
      </c>
      <c r="AS6" s="941">
        <v>315.35000000000002</v>
      </c>
      <c r="AT6" s="553"/>
      <c r="AU6" s="624">
        <v>0</v>
      </c>
      <c r="AV6" s="944">
        <v>0</v>
      </c>
      <c r="AW6" s="630">
        <f t="shared" ref="AW6:AW37" si="6">SUM(AK6,AO6,AS6)</f>
        <v>946.05000000000007</v>
      </c>
      <c r="AX6" s="945">
        <f t="shared" ref="AX6:AX37" si="7">AL6+AP6+AT6</f>
        <v>0</v>
      </c>
      <c r="AY6" s="944">
        <f t="shared" ref="AY6:AY37" si="8">SUM(AN6,AR6,AV6)</f>
        <v>0</v>
      </c>
      <c r="AZ6" s="630">
        <f t="shared" ref="AZ6:AZ37" si="9">SUM(AW6,AH6,U6,K6)</f>
        <v>3243.6</v>
      </c>
      <c r="BA6" s="946">
        <f>SUM(L6,V6,Y6,AB6,AF6,AM6,AQ6,AU6)</f>
        <v>550.21633999999995</v>
      </c>
      <c r="BB6" s="947">
        <f>SUM(L6,V6,Y6,AB6,AG6,AN6,AR6,AV6)</f>
        <v>550.21633999999995</v>
      </c>
      <c r="BC6" s="948"/>
      <c r="BD6" s="558">
        <v>0</v>
      </c>
      <c r="BE6" s="558">
        <v>0</v>
      </c>
      <c r="BF6" s="558">
        <v>0</v>
      </c>
      <c r="BG6" s="558">
        <v>0</v>
      </c>
      <c r="BH6" s="558">
        <v>0</v>
      </c>
      <c r="BI6" s="558">
        <v>0</v>
      </c>
      <c r="BJ6" s="558">
        <v>0</v>
      </c>
      <c r="BK6" s="558">
        <v>0</v>
      </c>
      <c r="BL6" s="558">
        <v>0</v>
      </c>
      <c r="BM6" s="558">
        <v>0</v>
      </c>
      <c r="BN6" s="558">
        <v>0</v>
      </c>
      <c r="BO6" s="558">
        <v>0</v>
      </c>
      <c r="BP6" s="559">
        <f>SUM(BD6,BE6,BF6,BG6,BH6,BI6,BJ6,BK6,BL6,BM6,BN6,BO6)</f>
        <v>0</v>
      </c>
      <c r="BQ6" s="559"/>
      <c r="BR6" s="559"/>
      <c r="BS6" s="559"/>
      <c r="BT6" s="559"/>
    </row>
    <row r="7" spans="1:72" ht="14.5">
      <c r="A7" s="569" t="s">
        <v>1078</v>
      </c>
      <c r="B7" s="562" t="s">
        <v>1079</v>
      </c>
      <c r="C7" s="562"/>
      <c r="D7" s="570" t="s">
        <v>40</v>
      </c>
      <c r="E7" s="949">
        <v>245.8</v>
      </c>
      <c r="F7" s="950">
        <v>245.8</v>
      </c>
      <c r="G7" s="949">
        <v>245.8</v>
      </c>
      <c r="H7" s="950">
        <v>245.8</v>
      </c>
      <c r="I7" s="949">
        <v>245.8</v>
      </c>
      <c r="J7" s="950">
        <v>245.8</v>
      </c>
      <c r="K7" s="631">
        <f t="shared" si="0"/>
        <v>737.40000000000009</v>
      </c>
      <c r="L7" s="631">
        <f>SUM(F7,H7,J7)</f>
        <v>737.40000000000009</v>
      </c>
      <c r="M7" s="949">
        <v>245.8</v>
      </c>
      <c r="N7" s="950">
        <v>245.8</v>
      </c>
      <c r="O7" s="949">
        <v>245.8</v>
      </c>
      <c r="P7" s="950">
        <v>246.2</v>
      </c>
      <c r="Q7" s="625">
        <v>245.8</v>
      </c>
      <c r="R7" s="949">
        <v>245.8</v>
      </c>
      <c r="S7" s="950">
        <v>237.5</v>
      </c>
      <c r="T7" s="625">
        <v>245.8</v>
      </c>
      <c r="U7" s="631">
        <f t="shared" si="1"/>
        <v>737.40000000000009</v>
      </c>
      <c r="V7" s="951">
        <f t="shared" ref="V7:V65" si="10">N7+P7+S7</f>
        <v>729.5</v>
      </c>
      <c r="W7" s="625">
        <f t="shared" si="2"/>
        <v>737.40000000000009</v>
      </c>
      <c r="X7" s="949">
        <v>245.8</v>
      </c>
      <c r="Y7" s="950">
        <v>237.5</v>
      </c>
      <c r="Z7" s="625">
        <v>245.8</v>
      </c>
      <c r="AA7" s="949">
        <v>245.8</v>
      </c>
      <c r="AB7" s="950">
        <f>237500000/10^6</f>
        <v>237.5</v>
      </c>
      <c r="AC7" s="625">
        <v>245.8</v>
      </c>
      <c r="AD7" s="949">
        <v>245.8</v>
      </c>
      <c r="AE7" s="554"/>
      <c r="AF7" s="625">
        <v>245.8</v>
      </c>
      <c r="AG7" s="953">
        <v>237.5</v>
      </c>
      <c r="AH7" s="631">
        <f t="shared" si="3"/>
        <v>737.40000000000009</v>
      </c>
      <c r="AI7" s="954">
        <f t="shared" si="4"/>
        <v>475</v>
      </c>
      <c r="AJ7" s="953">
        <f t="shared" si="5"/>
        <v>729.1</v>
      </c>
      <c r="AK7" s="949">
        <v>245.8</v>
      </c>
      <c r="AL7" s="554"/>
      <c r="AM7" s="625">
        <v>245.8</v>
      </c>
      <c r="AN7" s="953">
        <v>237.5</v>
      </c>
      <c r="AO7" s="949">
        <v>245.8</v>
      </c>
      <c r="AP7" s="554"/>
      <c r="AQ7" s="625">
        <v>245.8</v>
      </c>
      <c r="AR7" s="953">
        <v>237.5</v>
      </c>
      <c r="AS7" s="949">
        <v>245.8</v>
      </c>
      <c r="AT7" s="554"/>
      <c r="AU7" s="625">
        <v>245.8</v>
      </c>
      <c r="AV7" s="953">
        <v>237.5</v>
      </c>
      <c r="AW7" s="631">
        <f t="shared" si="6"/>
        <v>737.40000000000009</v>
      </c>
      <c r="AX7" s="954">
        <f t="shared" si="7"/>
        <v>0</v>
      </c>
      <c r="AY7" s="953">
        <f t="shared" si="8"/>
        <v>712.5</v>
      </c>
      <c r="AZ7" s="631">
        <f t="shared" si="9"/>
        <v>2949.6000000000004</v>
      </c>
      <c r="BA7" s="955">
        <f t="shared" ref="BA7:BA59" si="11">SUM(L7,V7,Y7,AB7,AF7,AM7,AQ7,AU7)</f>
        <v>2925.1000000000008</v>
      </c>
      <c r="BB7" s="956">
        <f t="shared" ref="BB7:BB59" si="12">SUM(L7,V7,Y7,AB7,AG7,AN7,AR7,AV7)</f>
        <v>2891.9</v>
      </c>
      <c r="BC7" s="957"/>
      <c r="BD7" s="560">
        <v>237.5</v>
      </c>
      <c r="BE7" s="560">
        <v>237.5</v>
      </c>
      <c r="BF7" s="560">
        <v>237.5</v>
      </c>
      <c r="BG7" s="560">
        <v>237.5</v>
      </c>
      <c r="BH7" s="560">
        <v>237.5</v>
      </c>
      <c r="BI7" s="560">
        <v>237.5</v>
      </c>
      <c r="BJ7" s="560">
        <v>237.5</v>
      </c>
      <c r="BK7" s="560">
        <v>237.5</v>
      </c>
      <c r="BL7" s="560">
        <v>237.5</v>
      </c>
      <c r="BM7" s="560">
        <v>237.5</v>
      </c>
      <c r="BN7" s="560">
        <v>237.5</v>
      </c>
      <c r="BO7" s="560">
        <v>237.5</v>
      </c>
      <c r="BP7" s="561">
        <f>SUM(BD7,BE7,BF7,BG7,BH7,BI7,BJ7,BK7,BL7,BM7,BN7,BO7)</f>
        <v>2850</v>
      </c>
      <c r="BQ7" s="561"/>
      <c r="BR7" s="561"/>
      <c r="BS7" s="561"/>
      <c r="BT7" s="561"/>
    </row>
    <row r="8" spans="1:72" ht="14.5">
      <c r="A8" s="569" t="s">
        <v>1076</v>
      </c>
      <c r="B8" s="562" t="s">
        <v>1080</v>
      </c>
      <c r="C8" s="562"/>
      <c r="D8" s="570" t="s">
        <v>40</v>
      </c>
      <c r="E8" s="949">
        <v>68.37</v>
      </c>
      <c r="F8" s="950">
        <v>65.03</v>
      </c>
      <c r="G8" s="949">
        <v>68.37</v>
      </c>
      <c r="H8" s="950">
        <v>81.128039999999999</v>
      </c>
      <c r="I8" s="949">
        <v>68.37</v>
      </c>
      <c r="J8" s="950">
        <v>0</v>
      </c>
      <c r="K8" s="631">
        <f t="shared" si="0"/>
        <v>205.11</v>
      </c>
      <c r="L8" s="631">
        <f t="shared" si="0"/>
        <v>146.15804</v>
      </c>
      <c r="M8" s="949">
        <v>68.37</v>
      </c>
      <c r="N8" s="950">
        <v>0</v>
      </c>
      <c r="O8" s="949">
        <v>68.37</v>
      </c>
      <c r="P8" s="950">
        <v>0</v>
      </c>
      <c r="Q8" s="625">
        <v>20</v>
      </c>
      <c r="R8" s="949">
        <v>68.37</v>
      </c>
      <c r="S8" s="950">
        <v>0</v>
      </c>
      <c r="T8" s="625">
        <v>20</v>
      </c>
      <c r="U8" s="631">
        <f t="shared" si="1"/>
        <v>205.11</v>
      </c>
      <c r="V8" s="951">
        <f t="shared" si="10"/>
        <v>0</v>
      </c>
      <c r="W8" s="625">
        <f t="shared" si="2"/>
        <v>40</v>
      </c>
      <c r="X8" s="949">
        <v>68.37</v>
      </c>
      <c r="Y8" s="950">
        <v>0</v>
      </c>
      <c r="Z8" s="625">
        <v>20</v>
      </c>
      <c r="AA8" s="949">
        <v>68.37</v>
      </c>
      <c r="AB8" s="950">
        <v>0</v>
      </c>
      <c r="AC8" s="625">
        <v>20</v>
      </c>
      <c r="AD8" s="949">
        <v>68.37</v>
      </c>
      <c r="AE8" s="554"/>
      <c r="AF8" s="625">
        <v>20</v>
      </c>
      <c r="AG8" s="953">
        <v>0</v>
      </c>
      <c r="AH8" s="631">
        <f t="shared" si="3"/>
        <v>205.11</v>
      </c>
      <c r="AI8" s="954">
        <f t="shared" si="4"/>
        <v>0</v>
      </c>
      <c r="AJ8" s="953">
        <f t="shared" si="5"/>
        <v>40</v>
      </c>
      <c r="AK8" s="949">
        <v>68.37</v>
      </c>
      <c r="AL8" s="554"/>
      <c r="AM8" s="625">
        <v>20</v>
      </c>
      <c r="AN8" s="953">
        <v>0</v>
      </c>
      <c r="AO8" s="949">
        <v>68.37</v>
      </c>
      <c r="AP8" s="554"/>
      <c r="AQ8" s="625">
        <v>20</v>
      </c>
      <c r="AR8" s="953">
        <v>0</v>
      </c>
      <c r="AS8" s="949">
        <v>68.37</v>
      </c>
      <c r="AT8" s="554"/>
      <c r="AU8" s="625">
        <v>20</v>
      </c>
      <c r="AV8" s="953">
        <v>0</v>
      </c>
      <c r="AW8" s="631">
        <f t="shared" si="6"/>
        <v>205.11</v>
      </c>
      <c r="AX8" s="954">
        <f t="shared" si="7"/>
        <v>0</v>
      </c>
      <c r="AY8" s="953">
        <f t="shared" si="8"/>
        <v>0</v>
      </c>
      <c r="AZ8" s="631">
        <f t="shared" si="9"/>
        <v>820.44</v>
      </c>
      <c r="BA8" s="955">
        <f t="shared" si="11"/>
        <v>226.15804</v>
      </c>
      <c r="BB8" s="956">
        <f t="shared" si="12"/>
        <v>146.15804</v>
      </c>
      <c r="BC8" s="957"/>
      <c r="BD8" s="560">
        <v>5.5</v>
      </c>
      <c r="BE8" s="560">
        <v>5.5</v>
      </c>
      <c r="BF8" s="560">
        <v>5.5</v>
      </c>
      <c r="BG8" s="560">
        <v>5.5</v>
      </c>
      <c r="BH8" s="560">
        <v>5.5</v>
      </c>
      <c r="BI8" s="560">
        <v>5.5</v>
      </c>
      <c r="BJ8" s="560">
        <v>5.5</v>
      </c>
      <c r="BK8" s="560">
        <v>5.5</v>
      </c>
      <c r="BL8" s="560">
        <v>5.5</v>
      </c>
      <c r="BM8" s="560">
        <v>5.5</v>
      </c>
      <c r="BN8" s="560">
        <v>5.5</v>
      </c>
      <c r="BO8" s="560">
        <v>5.5</v>
      </c>
      <c r="BP8" s="561">
        <f t="shared" ref="BP8:BP59" si="13">SUM(BD8,BE8,BF8,BG8,BH8,BI8,BJ8,BK8,BL8,BM8,BN8,BO8)</f>
        <v>66</v>
      </c>
      <c r="BQ8" s="561"/>
      <c r="BR8" s="561"/>
      <c r="BS8" s="561"/>
      <c r="BT8" s="561"/>
    </row>
    <row r="9" spans="1:72" ht="14.5">
      <c r="A9" s="569" t="s">
        <v>1076</v>
      </c>
      <c r="B9" s="562" t="s">
        <v>1081</v>
      </c>
      <c r="C9" s="562"/>
      <c r="D9" s="570" t="s">
        <v>40</v>
      </c>
      <c r="E9" s="949">
        <v>68.37</v>
      </c>
      <c r="F9" s="950">
        <v>64.5</v>
      </c>
      <c r="G9" s="949">
        <v>68.37</v>
      </c>
      <c r="H9" s="950">
        <v>82.044000000000011</v>
      </c>
      <c r="I9" s="949">
        <v>68.37</v>
      </c>
      <c r="J9" s="950">
        <v>123.85029800000001</v>
      </c>
      <c r="K9" s="632">
        <f t="shared" si="0"/>
        <v>205.11</v>
      </c>
      <c r="L9" s="631">
        <f t="shared" si="0"/>
        <v>270.39429800000005</v>
      </c>
      <c r="M9" s="949">
        <v>68.37</v>
      </c>
      <c r="N9" s="950">
        <v>160.82763800000001</v>
      </c>
      <c r="O9" s="949">
        <v>68.37</v>
      </c>
      <c r="P9" s="950">
        <v>121.5025</v>
      </c>
      <c r="Q9" s="625">
        <v>68.37</v>
      </c>
      <c r="R9" s="949">
        <v>68.37</v>
      </c>
      <c r="S9" s="950">
        <v>108.36450000000001</v>
      </c>
      <c r="T9" s="625">
        <v>68.37</v>
      </c>
      <c r="U9" s="632">
        <f t="shared" si="1"/>
        <v>205.11</v>
      </c>
      <c r="V9" s="951">
        <f t="shared" si="10"/>
        <v>390.69463800000005</v>
      </c>
      <c r="W9" s="625">
        <f t="shared" si="2"/>
        <v>297.56763799999999</v>
      </c>
      <c r="X9" s="949">
        <v>68.37</v>
      </c>
      <c r="Y9" s="950">
        <v>95.364000000000004</v>
      </c>
      <c r="Z9" s="625">
        <v>68.37</v>
      </c>
      <c r="AA9" s="949">
        <v>68.37</v>
      </c>
      <c r="AB9" s="950">
        <f>78334000/10^6</f>
        <v>78.334000000000003</v>
      </c>
      <c r="AC9" s="625">
        <v>68.37</v>
      </c>
      <c r="AD9" s="949">
        <v>68.37</v>
      </c>
      <c r="AE9" s="554"/>
      <c r="AF9" s="625">
        <v>68.37</v>
      </c>
      <c r="AG9" s="953">
        <v>73.37</v>
      </c>
      <c r="AH9" s="632">
        <f t="shared" si="3"/>
        <v>205.11</v>
      </c>
      <c r="AI9" s="954">
        <f t="shared" si="4"/>
        <v>173.69800000000001</v>
      </c>
      <c r="AJ9" s="953">
        <f t="shared" si="5"/>
        <v>210.11</v>
      </c>
      <c r="AK9" s="949">
        <v>68.37</v>
      </c>
      <c r="AL9" s="554"/>
      <c r="AM9" s="625">
        <v>68.37</v>
      </c>
      <c r="AN9" s="953">
        <v>107.55500000000001</v>
      </c>
      <c r="AO9" s="949">
        <v>68.37</v>
      </c>
      <c r="AP9" s="554"/>
      <c r="AQ9" s="625">
        <v>68.37</v>
      </c>
      <c r="AR9" s="953">
        <v>107.55500000000001</v>
      </c>
      <c r="AS9" s="949">
        <v>68.37</v>
      </c>
      <c r="AT9" s="554"/>
      <c r="AU9" s="625">
        <v>68.37</v>
      </c>
      <c r="AV9" s="953">
        <v>107.55500000000001</v>
      </c>
      <c r="AW9" s="632">
        <f t="shared" si="6"/>
        <v>205.11</v>
      </c>
      <c r="AX9" s="954">
        <f t="shared" si="7"/>
        <v>0</v>
      </c>
      <c r="AY9" s="953">
        <f t="shared" si="8"/>
        <v>322.66500000000002</v>
      </c>
      <c r="AZ9" s="632">
        <f t="shared" si="9"/>
        <v>820.44</v>
      </c>
      <c r="BA9" s="955">
        <f t="shared" si="11"/>
        <v>1108.266936</v>
      </c>
      <c r="BB9" s="956">
        <f t="shared" si="12"/>
        <v>1230.8219360000003</v>
      </c>
      <c r="BC9" s="957"/>
      <c r="BD9" s="560">
        <v>68.37</v>
      </c>
      <c r="BE9" s="560">
        <v>68.37</v>
      </c>
      <c r="BF9" s="560">
        <v>68.37</v>
      </c>
      <c r="BG9" s="560">
        <v>68.37</v>
      </c>
      <c r="BH9" s="560">
        <v>68.37</v>
      </c>
      <c r="BI9" s="560">
        <v>68.37</v>
      </c>
      <c r="BJ9" s="560">
        <v>68.37</v>
      </c>
      <c r="BK9" s="560">
        <v>68.37</v>
      </c>
      <c r="BL9" s="560">
        <v>68.37</v>
      </c>
      <c r="BM9" s="560">
        <v>68.37</v>
      </c>
      <c r="BN9" s="560">
        <v>68.37</v>
      </c>
      <c r="BO9" s="560">
        <v>68.37</v>
      </c>
      <c r="BP9" s="561">
        <f t="shared" si="13"/>
        <v>820.44</v>
      </c>
      <c r="BQ9" s="561"/>
      <c r="BR9" s="561"/>
      <c r="BS9" s="561"/>
      <c r="BT9" s="561"/>
    </row>
    <row r="10" spans="1:72" ht="14.5">
      <c r="A10" s="569" t="s">
        <v>1076</v>
      </c>
      <c r="B10" s="571" t="s">
        <v>1082</v>
      </c>
      <c r="C10" s="571"/>
      <c r="D10" s="572" t="s">
        <v>40</v>
      </c>
      <c r="E10" s="949">
        <v>0</v>
      </c>
      <c r="F10" s="950">
        <v>0</v>
      </c>
      <c r="G10" s="949">
        <v>0</v>
      </c>
      <c r="H10" s="950">
        <v>0</v>
      </c>
      <c r="I10" s="949">
        <v>0</v>
      </c>
      <c r="J10" s="950">
        <v>0</v>
      </c>
      <c r="K10" s="632">
        <f t="shared" si="0"/>
        <v>0</v>
      </c>
      <c r="L10" s="631">
        <f t="shared" si="0"/>
        <v>0</v>
      </c>
      <c r="M10" s="949">
        <v>0</v>
      </c>
      <c r="N10" s="950">
        <v>0</v>
      </c>
      <c r="O10" s="949">
        <v>0</v>
      </c>
      <c r="P10" s="950">
        <v>0</v>
      </c>
      <c r="Q10" s="625">
        <v>0</v>
      </c>
      <c r="R10" s="949">
        <v>0</v>
      </c>
      <c r="S10" s="950">
        <v>0</v>
      </c>
      <c r="T10" s="625">
        <v>0</v>
      </c>
      <c r="U10" s="632">
        <f t="shared" si="1"/>
        <v>0</v>
      </c>
      <c r="V10" s="951">
        <f t="shared" si="10"/>
        <v>0</v>
      </c>
      <c r="W10" s="625">
        <f t="shared" si="2"/>
        <v>0</v>
      </c>
      <c r="X10" s="949">
        <v>0</v>
      </c>
      <c r="Y10" s="950">
        <v>0</v>
      </c>
      <c r="Z10" s="625">
        <v>0</v>
      </c>
      <c r="AA10" s="949">
        <v>0</v>
      </c>
      <c r="AB10" s="950">
        <v>0</v>
      </c>
      <c r="AC10" s="625">
        <v>0</v>
      </c>
      <c r="AD10" s="949">
        <v>0</v>
      </c>
      <c r="AE10" s="554"/>
      <c r="AF10" s="625">
        <v>0</v>
      </c>
      <c r="AG10" s="953">
        <v>0</v>
      </c>
      <c r="AH10" s="632">
        <f t="shared" si="3"/>
        <v>0</v>
      </c>
      <c r="AI10" s="954">
        <f t="shared" si="4"/>
        <v>0</v>
      </c>
      <c r="AJ10" s="953">
        <f t="shared" si="5"/>
        <v>0</v>
      </c>
      <c r="AK10" s="949">
        <v>0</v>
      </c>
      <c r="AL10" s="554"/>
      <c r="AM10" s="625">
        <v>0</v>
      </c>
      <c r="AN10" s="953">
        <v>0</v>
      </c>
      <c r="AO10" s="949">
        <v>0</v>
      </c>
      <c r="AP10" s="554"/>
      <c r="AQ10" s="625">
        <v>0</v>
      </c>
      <c r="AR10" s="953">
        <v>0</v>
      </c>
      <c r="AS10" s="949">
        <v>0</v>
      </c>
      <c r="AT10" s="554"/>
      <c r="AU10" s="625">
        <v>0</v>
      </c>
      <c r="AV10" s="953">
        <v>0</v>
      </c>
      <c r="AW10" s="632">
        <f t="shared" si="6"/>
        <v>0</v>
      </c>
      <c r="AX10" s="954">
        <f t="shared" si="7"/>
        <v>0</v>
      </c>
      <c r="AY10" s="953">
        <f t="shared" si="8"/>
        <v>0</v>
      </c>
      <c r="AZ10" s="632">
        <f t="shared" si="9"/>
        <v>0</v>
      </c>
      <c r="BA10" s="955">
        <f t="shared" si="11"/>
        <v>0</v>
      </c>
      <c r="BB10" s="956">
        <f t="shared" si="12"/>
        <v>0</v>
      </c>
      <c r="BC10" s="957"/>
      <c r="BD10" s="560">
        <v>0</v>
      </c>
      <c r="BE10" s="560">
        <v>0</v>
      </c>
      <c r="BF10" s="560">
        <v>0</v>
      </c>
      <c r="BG10" s="560">
        <v>0</v>
      </c>
      <c r="BH10" s="560">
        <v>0</v>
      </c>
      <c r="BI10" s="560">
        <v>0</v>
      </c>
      <c r="BJ10" s="560">
        <v>0</v>
      </c>
      <c r="BK10" s="560">
        <v>0</v>
      </c>
      <c r="BL10" s="560">
        <v>0</v>
      </c>
      <c r="BM10" s="560">
        <v>0</v>
      </c>
      <c r="BN10" s="560">
        <v>0</v>
      </c>
      <c r="BO10" s="560">
        <v>0</v>
      </c>
      <c r="BP10" s="561">
        <f t="shared" si="13"/>
        <v>0</v>
      </c>
      <c r="BQ10" s="561"/>
      <c r="BR10" s="561"/>
      <c r="BS10" s="561"/>
      <c r="BT10" s="561"/>
    </row>
    <row r="11" spans="1:72" ht="14.5">
      <c r="A11" s="569" t="s">
        <v>1076</v>
      </c>
      <c r="B11" s="562" t="s">
        <v>1083</v>
      </c>
      <c r="C11" s="562"/>
      <c r="D11" s="570" t="s">
        <v>40</v>
      </c>
      <c r="E11" s="949">
        <v>0</v>
      </c>
      <c r="F11" s="950">
        <v>0</v>
      </c>
      <c r="G11" s="949">
        <v>0</v>
      </c>
      <c r="H11" s="950">
        <v>0</v>
      </c>
      <c r="I11" s="949">
        <v>0</v>
      </c>
      <c r="J11" s="950">
        <v>0</v>
      </c>
      <c r="K11" s="631">
        <f t="shared" si="0"/>
        <v>0</v>
      </c>
      <c r="L11" s="631">
        <f t="shared" si="0"/>
        <v>0</v>
      </c>
      <c r="M11" s="949">
        <v>0</v>
      </c>
      <c r="N11" s="950">
        <v>0</v>
      </c>
      <c r="O11" s="949">
        <v>0</v>
      </c>
      <c r="P11" s="950">
        <v>0</v>
      </c>
      <c r="Q11" s="625">
        <v>0</v>
      </c>
      <c r="R11" s="949">
        <v>0</v>
      </c>
      <c r="S11" s="950">
        <v>0</v>
      </c>
      <c r="T11" s="625">
        <v>0</v>
      </c>
      <c r="U11" s="631">
        <f t="shared" si="1"/>
        <v>0</v>
      </c>
      <c r="V11" s="951">
        <f t="shared" si="10"/>
        <v>0</v>
      </c>
      <c r="W11" s="625">
        <f t="shared" si="2"/>
        <v>0</v>
      </c>
      <c r="X11" s="949">
        <v>0</v>
      </c>
      <c r="Y11" s="950">
        <v>0</v>
      </c>
      <c r="Z11" s="625">
        <v>0</v>
      </c>
      <c r="AA11" s="949">
        <v>0</v>
      </c>
      <c r="AB11" s="950">
        <v>0</v>
      </c>
      <c r="AC11" s="625">
        <v>0</v>
      </c>
      <c r="AD11" s="949">
        <v>142.5</v>
      </c>
      <c r="AE11" s="554"/>
      <c r="AF11" s="625">
        <v>142.5</v>
      </c>
      <c r="AG11" s="953">
        <v>0</v>
      </c>
      <c r="AH11" s="631">
        <f t="shared" si="3"/>
        <v>142.5</v>
      </c>
      <c r="AI11" s="954">
        <f t="shared" si="4"/>
        <v>0</v>
      </c>
      <c r="AJ11" s="953">
        <f t="shared" si="5"/>
        <v>0</v>
      </c>
      <c r="AK11" s="949">
        <v>142.5</v>
      </c>
      <c r="AL11" s="554"/>
      <c r="AM11" s="625">
        <v>142.5</v>
      </c>
      <c r="AN11" s="953">
        <v>0</v>
      </c>
      <c r="AO11" s="949">
        <v>165</v>
      </c>
      <c r="AP11" s="554"/>
      <c r="AQ11" s="625">
        <v>142.5</v>
      </c>
      <c r="AR11" s="953">
        <v>0</v>
      </c>
      <c r="AS11" s="949">
        <v>0</v>
      </c>
      <c r="AT11" s="554"/>
      <c r="AU11" s="625">
        <v>122.5</v>
      </c>
      <c r="AV11" s="953">
        <v>0</v>
      </c>
      <c r="AW11" s="631">
        <f t="shared" si="6"/>
        <v>307.5</v>
      </c>
      <c r="AX11" s="954">
        <f t="shared" si="7"/>
        <v>0</v>
      </c>
      <c r="AY11" s="953">
        <f t="shared" si="8"/>
        <v>0</v>
      </c>
      <c r="AZ11" s="631">
        <f t="shared" si="9"/>
        <v>450</v>
      </c>
      <c r="BA11" s="955">
        <f t="shared" si="11"/>
        <v>550</v>
      </c>
      <c r="BB11" s="956">
        <f t="shared" si="12"/>
        <v>0</v>
      </c>
      <c r="BC11" s="957"/>
      <c r="BD11" s="560">
        <v>0</v>
      </c>
      <c r="BE11" s="560">
        <v>0</v>
      </c>
      <c r="BF11" s="560">
        <v>0</v>
      </c>
      <c r="BG11" s="560">
        <v>0</v>
      </c>
      <c r="BH11" s="560">
        <v>0</v>
      </c>
      <c r="BI11" s="560">
        <v>0</v>
      </c>
      <c r="BJ11" s="560">
        <v>0</v>
      </c>
      <c r="BK11" s="560">
        <v>0</v>
      </c>
      <c r="BL11" s="560">
        <v>0</v>
      </c>
      <c r="BM11" s="560">
        <v>0</v>
      </c>
      <c r="BN11" s="560">
        <v>0</v>
      </c>
      <c r="BO11" s="560">
        <v>0</v>
      </c>
      <c r="BP11" s="561">
        <f t="shared" si="13"/>
        <v>0</v>
      </c>
      <c r="BQ11" s="561"/>
      <c r="BR11" s="561"/>
      <c r="BS11" s="561"/>
      <c r="BT11" s="561"/>
    </row>
    <row r="12" spans="1:72" ht="14.5">
      <c r="A12" s="569" t="s">
        <v>1076</v>
      </c>
      <c r="B12" s="562" t="s">
        <v>1084</v>
      </c>
      <c r="C12" s="562"/>
      <c r="D12" s="570" t="s">
        <v>40</v>
      </c>
      <c r="E12" s="949">
        <v>119.25</v>
      </c>
      <c r="F12" s="950">
        <v>112.5</v>
      </c>
      <c r="G12" s="949">
        <v>119.25</v>
      </c>
      <c r="H12" s="950">
        <v>119.25</v>
      </c>
      <c r="I12" s="949">
        <v>119.25</v>
      </c>
      <c r="J12" s="950">
        <v>116.82725000000001</v>
      </c>
      <c r="K12" s="631">
        <f t="shared" si="0"/>
        <v>357.75</v>
      </c>
      <c r="L12" s="631">
        <f t="shared" si="0"/>
        <v>348.57724999999999</v>
      </c>
      <c r="M12" s="949">
        <v>119.25</v>
      </c>
      <c r="N12" s="950">
        <v>120.0175</v>
      </c>
      <c r="O12" s="949">
        <v>119.25</v>
      </c>
      <c r="P12" s="950">
        <v>112.5</v>
      </c>
      <c r="Q12" s="625">
        <v>119.25</v>
      </c>
      <c r="R12" s="949">
        <v>119.25</v>
      </c>
      <c r="S12" s="950">
        <v>112.625</v>
      </c>
      <c r="T12" s="625">
        <v>119.25</v>
      </c>
      <c r="U12" s="631">
        <f t="shared" si="1"/>
        <v>357.75</v>
      </c>
      <c r="V12" s="951">
        <f t="shared" si="10"/>
        <v>345.14249999999998</v>
      </c>
      <c r="W12" s="625">
        <f t="shared" si="2"/>
        <v>358.51749999999998</v>
      </c>
      <c r="X12" s="949">
        <v>119.25</v>
      </c>
      <c r="Y12" s="950">
        <v>116.59025</v>
      </c>
      <c r="Z12" s="625">
        <v>119.25</v>
      </c>
      <c r="AA12" s="949">
        <v>119.25</v>
      </c>
      <c r="AB12" s="950">
        <f>113125000/10^6</f>
        <v>113.125</v>
      </c>
      <c r="AC12" s="625">
        <v>119.25</v>
      </c>
      <c r="AD12" s="949">
        <v>119.25</v>
      </c>
      <c r="AE12" s="554"/>
      <c r="AF12" s="625">
        <v>119.25</v>
      </c>
      <c r="AG12" s="953">
        <v>119.25</v>
      </c>
      <c r="AH12" s="631">
        <f t="shared" si="3"/>
        <v>357.75</v>
      </c>
      <c r="AI12" s="954">
        <f t="shared" si="4"/>
        <v>229.71525</v>
      </c>
      <c r="AJ12" s="953">
        <f t="shared" si="5"/>
        <v>357.75</v>
      </c>
      <c r="AK12" s="949">
        <v>119.25</v>
      </c>
      <c r="AL12" s="554"/>
      <c r="AM12" s="625">
        <v>119.25</v>
      </c>
      <c r="AN12" s="953">
        <v>119.25</v>
      </c>
      <c r="AO12" s="949">
        <v>119.25</v>
      </c>
      <c r="AP12" s="554"/>
      <c r="AQ12" s="625">
        <v>119.25</v>
      </c>
      <c r="AR12" s="953">
        <v>0</v>
      </c>
      <c r="AS12" s="949">
        <v>119.25</v>
      </c>
      <c r="AT12" s="554"/>
      <c r="AU12" s="625">
        <v>119.25</v>
      </c>
      <c r="AV12" s="953">
        <v>0</v>
      </c>
      <c r="AW12" s="631">
        <f t="shared" si="6"/>
        <v>357.75</v>
      </c>
      <c r="AX12" s="954">
        <f t="shared" si="7"/>
        <v>0</v>
      </c>
      <c r="AY12" s="953">
        <f t="shared" si="8"/>
        <v>119.25</v>
      </c>
      <c r="AZ12" s="631">
        <f t="shared" si="9"/>
        <v>1431</v>
      </c>
      <c r="BA12" s="955">
        <f t="shared" si="11"/>
        <v>1400.4349999999999</v>
      </c>
      <c r="BB12" s="956">
        <f t="shared" si="12"/>
        <v>1161.9349999999999</v>
      </c>
      <c r="BC12" s="957"/>
      <c r="BD12" s="560">
        <v>0</v>
      </c>
      <c r="BE12" s="560">
        <v>0</v>
      </c>
      <c r="BF12" s="560">
        <v>0</v>
      </c>
      <c r="BG12" s="560">
        <v>0</v>
      </c>
      <c r="BH12" s="560">
        <v>0</v>
      </c>
      <c r="BI12" s="560">
        <v>0</v>
      </c>
      <c r="BJ12" s="560">
        <v>0</v>
      </c>
      <c r="BK12" s="560">
        <v>0</v>
      </c>
      <c r="BL12" s="560">
        <v>0</v>
      </c>
      <c r="BM12" s="560">
        <v>0</v>
      </c>
      <c r="BN12" s="560">
        <v>0</v>
      </c>
      <c r="BO12" s="560">
        <v>0</v>
      </c>
      <c r="BP12" s="561">
        <f t="shared" si="13"/>
        <v>0</v>
      </c>
      <c r="BQ12" s="561"/>
      <c r="BR12" s="561"/>
      <c r="BS12" s="561"/>
      <c r="BT12" s="561"/>
    </row>
    <row r="13" spans="1:72" ht="14.5">
      <c r="A13" s="569" t="s">
        <v>1076</v>
      </c>
      <c r="B13" s="571" t="s">
        <v>1085</v>
      </c>
      <c r="C13" s="571"/>
      <c r="D13" s="572" t="s">
        <v>40</v>
      </c>
      <c r="E13" s="949">
        <v>119.25</v>
      </c>
      <c r="F13" s="950">
        <v>112.5</v>
      </c>
      <c r="G13" s="949">
        <v>119.25</v>
      </c>
      <c r="H13" s="950">
        <v>119.25</v>
      </c>
      <c r="I13" s="949">
        <v>119.25</v>
      </c>
      <c r="J13" s="950">
        <v>112.52</v>
      </c>
      <c r="K13" s="631">
        <f t="shared" si="0"/>
        <v>357.75</v>
      </c>
      <c r="L13" s="631">
        <f t="shared" si="0"/>
        <v>344.27</v>
      </c>
      <c r="M13" s="949">
        <v>119.25</v>
      </c>
      <c r="N13" s="950">
        <v>112.52</v>
      </c>
      <c r="O13" s="949">
        <v>119.25</v>
      </c>
      <c r="P13" s="950">
        <v>112.52</v>
      </c>
      <c r="Q13" s="625">
        <v>119.25</v>
      </c>
      <c r="R13" s="949">
        <v>119.25</v>
      </c>
      <c r="S13" s="950">
        <v>112.5</v>
      </c>
      <c r="T13" s="625">
        <v>119.25</v>
      </c>
      <c r="U13" s="631">
        <f t="shared" si="1"/>
        <v>357.75</v>
      </c>
      <c r="V13" s="951">
        <f t="shared" si="10"/>
        <v>337.53999999999996</v>
      </c>
      <c r="W13" s="625">
        <f t="shared" si="2"/>
        <v>351.02</v>
      </c>
      <c r="X13" s="949">
        <v>119.25</v>
      </c>
      <c r="Y13" s="950">
        <v>112.5</v>
      </c>
      <c r="Z13" s="625">
        <v>119.25</v>
      </c>
      <c r="AA13" s="949">
        <v>119.25</v>
      </c>
      <c r="AB13" s="950">
        <f>112520000/10^6</f>
        <v>112.52</v>
      </c>
      <c r="AC13" s="625">
        <v>119.25</v>
      </c>
      <c r="AD13" s="949">
        <v>119.25</v>
      </c>
      <c r="AE13" s="554"/>
      <c r="AF13" s="625">
        <v>119.25</v>
      </c>
      <c r="AG13" s="953">
        <v>70</v>
      </c>
      <c r="AH13" s="631">
        <f t="shared" si="3"/>
        <v>357.75</v>
      </c>
      <c r="AI13" s="954">
        <f t="shared" si="4"/>
        <v>225.01999999999998</v>
      </c>
      <c r="AJ13" s="953">
        <f t="shared" si="5"/>
        <v>308.5</v>
      </c>
      <c r="AK13" s="949">
        <v>119.25</v>
      </c>
      <c r="AL13" s="554"/>
      <c r="AM13" s="625">
        <v>119.25</v>
      </c>
      <c r="AN13" s="953">
        <v>79.5</v>
      </c>
      <c r="AO13" s="949">
        <v>119.25</v>
      </c>
      <c r="AP13" s="554"/>
      <c r="AQ13" s="625">
        <v>119.25</v>
      </c>
      <c r="AR13" s="953">
        <v>79.5</v>
      </c>
      <c r="AS13" s="949">
        <v>119.25</v>
      </c>
      <c r="AT13" s="554"/>
      <c r="AU13" s="625">
        <v>119.25</v>
      </c>
      <c r="AV13" s="953">
        <v>79.5</v>
      </c>
      <c r="AW13" s="631">
        <f t="shared" si="6"/>
        <v>357.75</v>
      </c>
      <c r="AX13" s="954">
        <f t="shared" si="7"/>
        <v>0</v>
      </c>
      <c r="AY13" s="953">
        <f t="shared" si="8"/>
        <v>238.5</v>
      </c>
      <c r="AZ13" s="631">
        <f t="shared" si="9"/>
        <v>1431</v>
      </c>
      <c r="BA13" s="955">
        <f t="shared" si="11"/>
        <v>1383.83</v>
      </c>
      <c r="BB13" s="956">
        <f t="shared" si="12"/>
        <v>1215.33</v>
      </c>
      <c r="BC13" s="957"/>
      <c r="BD13" s="560">
        <v>23.85</v>
      </c>
      <c r="BE13" s="560">
        <v>23.85</v>
      </c>
      <c r="BF13" s="560">
        <v>23.85</v>
      </c>
      <c r="BG13" s="560">
        <v>23.85</v>
      </c>
      <c r="BH13" s="560">
        <v>23.85</v>
      </c>
      <c r="BI13" s="560">
        <v>23.85</v>
      </c>
      <c r="BJ13" s="560">
        <v>23.85</v>
      </c>
      <c r="BK13" s="560">
        <v>23.85</v>
      </c>
      <c r="BL13" s="560">
        <v>23.85</v>
      </c>
      <c r="BM13" s="560">
        <v>23.85</v>
      </c>
      <c r="BN13" s="560">
        <v>23.85</v>
      </c>
      <c r="BO13" s="560">
        <v>23.85</v>
      </c>
      <c r="BP13" s="561">
        <f t="shared" si="13"/>
        <v>286.2</v>
      </c>
      <c r="BQ13" s="561"/>
      <c r="BR13" s="561"/>
      <c r="BS13" s="561"/>
      <c r="BT13" s="561"/>
    </row>
    <row r="14" spans="1:72" ht="14.5">
      <c r="A14" s="569" t="s">
        <v>1076</v>
      </c>
      <c r="B14" s="562" t="s">
        <v>1086</v>
      </c>
      <c r="C14" s="562"/>
      <c r="D14" s="570" t="s">
        <v>40</v>
      </c>
      <c r="E14" s="949">
        <v>0</v>
      </c>
      <c r="F14" s="950">
        <v>0</v>
      </c>
      <c r="G14" s="949">
        <v>0</v>
      </c>
      <c r="H14" s="950">
        <v>0</v>
      </c>
      <c r="I14" s="949">
        <v>0</v>
      </c>
      <c r="J14" s="950">
        <v>0</v>
      </c>
      <c r="K14" s="631">
        <f t="shared" si="0"/>
        <v>0</v>
      </c>
      <c r="L14" s="631">
        <f t="shared" si="0"/>
        <v>0</v>
      </c>
      <c r="M14" s="949">
        <v>0</v>
      </c>
      <c r="N14" s="950">
        <v>0</v>
      </c>
      <c r="O14" s="949">
        <v>0</v>
      </c>
      <c r="P14" s="950">
        <v>0</v>
      </c>
      <c r="Q14" s="625">
        <v>0</v>
      </c>
      <c r="R14" s="949">
        <v>0</v>
      </c>
      <c r="S14" s="950">
        <v>0</v>
      </c>
      <c r="T14" s="625">
        <v>0</v>
      </c>
      <c r="U14" s="631">
        <f t="shared" si="1"/>
        <v>0</v>
      </c>
      <c r="V14" s="951">
        <f t="shared" si="10"/>
        <v>0</v>
      </c>
      <c r="W14" s="625">
        <f t="shared" si="2"/>
        <v>0</v>
      </c>
      <c r="X14" s="949">
        <v>0</v>
      </c>
      <c r="Y14" s="950">
        <v>0</v>
      </c>
      <c r="Z14" s="625">
        <v>0</v>
      </c>
      <c r="AA14" s="949">
        <v>0</v>
      </c>
      <c r="AB14" s="950">
        <v>0</v>
      </c>
      <c r="AC14" s="625">
        <v>0</v>
      </c>
      <c r="AD14" s="949">
        <v>0</v>
      </c>
      <c r="AE14" s="554"/>
      <c r="AF14" s="625">
        <v>0</v>
      </c>
      <c r="AG14" s="953">
        <v>0</v>
      </c>
      <c r="AH14" s="631">
        <f t="shared" si="3"/>
        <v>0</v>
      </c>
      <c r="AI14" s="954">
        <f t="shared" si="4"/>
        <v>0</v>
      </c>
      <c r="AJ14" s="953">
        <f t="shared" si="5"/>
        <v>0</v>
      </c>
      <c r="AK14" s="949">
        <v>0</v>
      </c>
      <c r="AL14" s="554"/>
      <c r="AM14" s="625">
        <v>0</v>
      </c>
      <c r="AN14" s="953">
        <v>0</v>
      </c>
      <c r="AO14" s="949">
        <v>0</v>
      </c>
      <c r="AP14" s="554"/>
      <c r="AQ14" s="625">
        <v>0</v>
      </c>
      <c r="AR14" s="953">
        <v>0</v>
      </c>
      <c r="AS14" s="949">
        <v>0</v>
      </c>
      <c r="AT14" s="554"/>
      <c r="AU14" s="625">
        <v>0</v>
      </c>
      <c r="AV14" s="953">
        <v>0</v>
      </c>
      <c r="AW14" s="631">
        <f t="shared" si="6"/>
        <v>0</v>
      </c>
      <c r="AX14" s="954">
        <f t="shared" si="7"/>
        <v>0</v>
      </c>
      <c r="AY14" s="953">
        <f t="shared" si="8"/>
        <v>0</v>
      </c>
      <c r="AZ14" s="631">
        <f t="shared" si="9"/>
        <v>0</v>
      </c>
      <c r="BA14" s="955">
        <f t="shared" si="11"/>
        <v>0</v>
      </c>
      <c r="BB14" s="956">
        <f t="shared" si="12"/>
        <v>0</v>
      </c>
      <c r="BC14" s="957"/>
      <c r="BD14" s="560">
        <v>0</v>
      </c>
      <c r="BE14" s="560">
        <v>0</v>
      </c>
      <c r="BF14" s="560">
        <v>0</v>
      </c>
      <c r="BG14" s="560">
        <v>0</v>
      </c>
      <c r="BH14" s="560">
        <v>0</v>
      </c>
      <c r="BI14" s="560">
        <v>0</v>
      </c>
      <c r="BJ14" s="560">
        <v>0</v>
      </c>
      <c r="BK14" s="560">
        <v>0</v>
      </c>
      <c r="BL14" s="560">
        <v>0</v>
      </c>
      <c r="BM14" s="560">
        <v>0</v>
      </c>
      <c r="BN14" s="560">
        <v>0</v>
      </c>
      <c r="BO14" s="560">
        <v>0</v>
      </c>
      <c r="BP14" s="561">
        <f t="shared" si="13"/>
        <v>0</v>
      </c>
      <c r="BQ14" s="561"/>
      <c r="BR14" s="561"/>
      <c r="BS14" s="561"/>
      <c r="BT14" s="561"/>
    </row>
    <row r="15" spans="1:72" ht="12.65" customHeight="1">
      <c r="A15" s="569" t="s">
        <v>1087</v>
      </c>
      <c r="B15" s="562" t="s">
        <v>1088</v>
      </c>
      <c r="C15" s="562"/>
      <c r="D15" s="570" t="s">
        <v>40</v>
      </c>
      <c r="E15" s="949">
        <v>172.5</v>
      </c>
      <c r="F15" s="950">
        <v>142.5</v>
      </c>
      <c r="G15" s="949">
        <v>0</v>
      </c>
      <c r="H15" s="950">
        <v>0</v>
      </c>
      <c r="I15" s="949">
        <v>0</v>
      </c>
      <c r="J15" s="950">
        <v>0</v>
      </c>
      <c r="K15" s="631">
        <f t="shared" si="0"/>
        <v>172.5</v>
      </c>
      <c r="L15" s="631">
        <f t="shared" si="0"/>
        <v>142.5</v>
      </c>
      <c r="M15" s="949">
        <v>0</v>
      </c>
      <c r="N15" s="950">
        <v>47.5</v>
      </c>
      <c r="O15" s="949">
        <v>0</v>
      </c>
      <c r="P15" s="950">
        <v>47.5</v>
      </c>
      <c r="Q15" s="625">
        <v>47.5</v>
      </c>
      <c r="R15" s="949">
        <v>0</v>
      </c>
      <c r="S15" s="950">
        <v>47.5</v>
      </c>
      <c r="T15" s="625">
        <v>57.5</v>
      </c>
      <c r="U15" s="631">
        <f t="shared" si="1"/>
        <v>0</v>
      </c>
      <c r="V15" s="951">
        <f t="shared" si="10"/>
        <v>142.5</v>
      </c>
      <c r="W15" s="625">
        <f t="shared" si="2"/>
        <v>152.5</v>
      </c>
      <c r="X15" s="949">
        <v>0</v>
      </c>
      <c r="Y15" s="950">
        <v>57.5</v>
      </c>
      <c r="Z15" s="625">
        <v>47.5</v>
      </c>
      <c r="AA15" s="949">
        <v>0</v>
      </c>
      <c r="AB15" s="950">
        <v>0</v>
      </c>
      <c r="AC15" s="625">
        <v>0</v>
      </c>
      <c r="AD15" s="949">
        <v>190</v>
      </c>
      <c r="AE15" s="554"/>
      <c r="AF15" s="625">
        <v>142.5</v>
      </c>
      <c r="AG15" s="953">
        <v>142.5</v>
      </c>
      <c r="AH15" s="631">
        <f t="shared" si="3"/>
        <v>190</v>
      </c>
      <c r="AI15" s="954">
        <f t="shared" si="4"/>
        <v>57.5</v>
      </c>
      <c r="AJ15" s="953">
        <f t="shared" si="5"/>
        <v>190</v>
      </c>
      <c r="AK15" s="949">
        <v>190</v>
      </c>
      <c r="AL15" s="554"/>
      <c r="AM15" s="625">
        <v>142.5</v>
      </c>
      <c r="AN15" s="953">
        <v>142.5</v>
      </c>
      <c r="AO15" s="949">
        <v>190</v>
      </c>
      <c r="AP15" s="554"/>
      <c r="AQ15" s="625">
        <v>190</v>
      </c>
      <c r="AR15" s="953">
        <v>190</v>
      </c>
      <c r="AS15" s="949">
        <v>180</v>
      </c>
      <c r="AT15" s="554"/>
      <c r="AU15" s="625">
        <v>220</v>
      </c>
      <c r="AV15" s="953">
        <v>220</v>
      </c>
      <c r="AW15" s="631">
        <f t="shared" si="6"/>
        <v>560</v>
      </c>
      <c r="AX15" s="954">
        <f t="shared" si="7"/>
        <v>0</v>
      </c>
      <c r="AY15" s="953">
        <f t="shared" si="8"/>
        <v>552.5</v>
      </c>
      <c r="AZ15" s="631">
        <f t="shared" si="9"/>
        <v>922.5</v>
      </c>
      <c r="BA15" s="955">
        <f t="shared" si="11"/>
        <v>1037.5</v>
      </c>
      <c r="BB15" s="956">
        <f t="shared" si="12"/>
        <v>1037.5</v>
      </c>
      <c r="BC15" s="957"/>
      <c r="BD15" s="560">
        <v>0</v>
      </c>
      <c r="BE15" s="560">
        <v>0</v>
      </c>
      <c r="BF15" s="560">
        <v>0</v>
      </c>
      <c r="BG15" s="560">
        <v>47.5</v>
      </c>
      <c r="BH15" s="560">
        <v>47.5</v>
      </c>
      <c r="BI15" s="560">
        <v>47.5</v>
      </c>
      <c r="BJ15" s="560">
        <v>57.5</v>
      </c>
      <c r="BK15" s="560">
        <v>0</v>
      </c>
      <c r="BL15" s="560">
        <v>142.5</v>
      </c>
      <c r="BM15" s="560">
        <v>142.5</v>
      </c>
      <c r="BN15" s="560">
        <v>190</v>
      </c>
      <c r="BO15" s="560">
        <v>220</v>
      </c>
      <c r="BP15" s="561">
        <f t="shared" si="13"/>
        <v>895</v>
      </c>
      <c r="BQ15" s="561"/>
      <c r="BR15" s="561"/>
      <c r="BS15" s="561"/>
      <c r="BT15" s="561"/>
    </row>
    <row r="16" spans="1:72" ht="14.5">
      <c r="A16" s="569" t="s">
        <v>1087</v>
      </c>
      <c r="B16" s="562" t="s">
        <v>1089</v>
      </c>
      <c r="C16" s="562"/>
      <c r="D16" s="570" t="s">
        <v>40</v>
      </c>
      <c r="E16" s="949">
        <v>0</v>
      </c>
      <c r="F16" s="950">
        <v>190</v>
      </c>
      <c r="G16" s="949">
        <v>0</v>
      </c>
      <c r="H16" s="950">
        <v>0</v>
      </c>
      <c r="I16" s="949">
        <v>0</v>
      </c>
      <c r="J16" s="950">
        <v>0</v>
      </c>
      <c r="K16" s="631">
        <f t="shared" si="0"/>
        <v>0</v>
      </c>
      <c r="L16" s="631">
        <f t="shared" si="0"/>
        <v>190</v>
      </c>
      <c r="M16" s="949">
        <v>0</v>
      </c>
      <c r="N16" s="950">
        <v>0</v>
      </c>
      <c r="O16" s="949">
        <v>0</v>
      </c>
      <c r="P16" s="950">
        <v>0</v>
      </c>
      <c r="Q16" s="625">
        <v>0</v>
      </c>
      <c r="R16" s="949">
        <v>0</v>
      </c>
      <c r="S16" s="950">
        <v>0</v>
      </c>
      <c r="T16" s="625">
        <v>0</v>
      </c>
      <c r="U16" s="631">
        <f t="shared" si="1"/>
        <v>0</v>
      </c>
      <c r="V16" s="951">
        <f t="shared" si="10"/>
        <v>0</v>
      </c>
      <c r="W16" s="625">
        <f t="shared" si="2"/>
        <v>0</v>
      </c>
      <c r="X16" s="949">
        <v>0</v>
      </c>
      <c r="Y16" s="950">
        <v>142.5</v>
      </c>
      <c r="Z16" s="625">
        <v>0</v>
      </c>
      <c r="AA16" s="949">
        <v>142.5</v>
      </c>
      <c r="AB16" s="950">
        <v>142.5</v>
      </c>
      <c r="AC16" s="625">
        <v>142.5</v>
      </c>
      <c r="AD16" s="949">
        <v>142.5</v>
      </c>
      <c r="AE16" s="554"/>
      <c r="AF16" s="625">
        <v>142.5</v>
      </c>
      <c r="AG16" s="953">
        <v>142.5</v>
      </c>
      <c r="AH16" s="631">
        <f t="shared" si="3"/>
        <v>285</v>
      </c>
      <c r="AI16" s="954">
        <f t="shared" si="4"/>
        <v>285</v>
      </c>
      <c r="AJ16" s="953">
        <f t="shared" si="5"/>
        <v>285</v>
      </c>
      <c r="AK16" s="949">
        <v>142.5</v>
      </c>
      <c r="AL16" s="554"/>
      <c r="AM16" s="625">
        <v>142.5</v>
      </c>
      <c r="AN16" s="953">
        <v>142.5</v>
      </c>
      <c r="AO16" s="949">
        <v>142.5</v>
      </c>
      <c r="AP16" s="554"/>
      <c r="AQ16" s="625">
        <v>142.5</v>
      </c>
      <c r="AR16" s="953">
        <v>60</v>
      </c>
      <c r="AS16" s="949">
        <v>60</v>
      </c>
      <c r="AT16" s="554"/>
      <c r="AU16" s="625">
        <v>60</v>
      </c>
      <c r="AV16" s="953">
        <v>0</v>
      </c>
      <c r="AW16" s="631">
        <f t="shared" si="6"/>
        <v>345</v>
      </c>
      <c r="AX16" s="954">
        <f t="shared" si="7"/>
        <v>0</v>
      </c>
      <c r="AY16" s="953">
        <f t="shared" si="8"/>
        <v>202.5</v>
      </c>
      <c r="AZ16" s="631">
        <f t="shared" si="9"/>
        <v>630</v>
      </c>
      <c r="BA16" s="955">
        <f t="shared" si="11"/>
        <v>962.5</v>
      </c>
      <c r="BB16" s="956">
        <f t="shared" si="12"/>
        <v>820</v>
      </c>
      <c r="BC16" s="957"/>
      <c r="BD16" s="560">
        <v>0</v>
      </c>
      <c r="BE16" s="560">
        <v>0</v>
      </c>
      <c r="BF16" s="560">
        <v>0</v>
      </c>
      <c r="BG16" s="560">
        <v>0</v>
      </c>
      <c r="BH16" s="560">
        <v>0</v>
      </c>
      <c r="BI16" s="560">
        <v>0</v>
      </c>
      <c r="BJ16" s="560">
        <v>142.5</v>
      </c>
      <c r="BK16" s="560">
        <v>142.5</v>
      </c>
      <c r="BL16" s="560">
        <v>142.5</v>
      </c>
      <c r="BM16" s="560">
        <v>142.5</v>
      </c>
      <c r="BN16" s="560">
        <v>60</v>
      </c>
      <c r="BO16" s="560">
        <v>0</v>
      </c>
      <c r="BP16" s="561">
        <f t="shared" si="13"/>
        <v>630</v>
      </c>
      <c r="BQ16" s="561"/>
      <c r="BR16" s="561"/>
      <c r="BS16" s="561"/>
      <c r="BT16" s="561"/>
    </row>
    <row r="17" spans="1:72" ht="14.5">
      <c r="A17" s="569" t="s">
        <v>1076</v>
      </c>
      <c r="B17" s="562" t="s">
        <v>1090</v>
      </c>
      <c r="C17" s="562"/>
      <c r="D17" s="570" t="s">
        <v>40</v>
      </c>
      <c r="E17" s="949">
        <v>0</v>
      </c>
      <c r="F17" s="950">
        <v>37.5</v>
      </c>
      <c r="G17" s="949">
        <v>0</v>
      </c>
      <c r="H17" s="950">
        <v>39.75</v>
      </c>
      <c r="I17" s="949">
        <v>0</v>
      </c>
      <c r="J17" s="950">
        <v>52.528189999999995</v>
      </c>
      <c r="K17" s="631">
        <f t="shared" si="0"/>
        <v>0</v>
      </c>
      <c r="L17" s="631">
        <f t="shared" si="0"/>
        <v>129.77819</v>
      </c>
      <c r="M17" s="949">
        <v>0</v>
      </c>
      <c r="N17" s="950">
        <v>58.83867</v>
      </c>
      <c r="O17" s="949">
        <v>0</v>
      </c>
      <c r="P17" s="950">
        <v>60.599110000000003</v>
      </c>
      <c r="Q17" s="625">
        <v>39.75</v>
      </c>
      <c r="R17" s="949">
        <v>0</v>
      </c>
      <c r="S17" s="950">
        <v>98.848479999999995</v>
      </c>
      <c r="T17" s="625">
        <v>39.75</v>
      </c>
      <c r="U17" s="631">
        <f t="shared" si="1"/>
        <v>0</v>
      </c>
      <c r="V17" s="951">
        <f t="shared" si="10"/>
        <v>218.28626</v>
      </c>
      <c r="W17" s="625">
        <f t="shared" si="2"/>
        <v>138.33867000000001</v>
      </c>
      <c r="X17" s="949">
        <v>0</v>
      </c>
      <c r="Y17" s="950">
        <v>82.935135000000002</v>
      </c>
      <c r="Z17" s="625">
        <v>39.75</v>
      </c>
      <c r="AA17" s="949">
        <v>0</v>
      </c>
      <c r="AB17" s="950">
        <f>258063520/10^6</f>
        <v>258.06351999999998</v>
      </c>
      <c r="AC17" s="625">
        <v>39.75</v>
      </c>
      <c r="AD17" s="949">
        <v>0</v>
      </c>
      <c r="AE17" s="554"/>
      <c r="AF17" s="625">
        <v>39.75</v>
      </c>
      <c r="AG17" s="953">
        <v>182.25</v>
      </c>
      <c r="AH17" s="631">
        <f t="shared" si="3"/>
        <v>0</v>
      </c>
      <c r="AI17" s="954">
        <f t="shared" si="4"/>
        <v>340.99865499999999</v>
      </c>
      <c r="AJ17" s="953">
        <f t="shared" si="5"/>
        <v>261.75</v>
      </c>
      <c r="AK17" s="949">
        <v>0</v>
      </c>
      <c r="AL17" s="554"/>
      <c r="AM17" s="625">
        <v>39.75</v>
      </c>
      <c r="AN17" s="953">
        <v>182.25</v>
      </c>
      <c r="AO17" s="949">
        <v>0</v>
      </c>
      <c r="AP17" s="554"/>
      <c r="AQ17" s="625">
        <v>39.75</v>
      </c>
      <c r="AR17" s="953">
        <v>182.25</v>
      </c>
      <c r="AS17" s="949">
        <v>0</v>
      </c>
      <c r="AT17" s="554"/>
      <c r="AU17" s="625">
        <v>39.75</v>
      </c>
      <c r="AV17" s="953">
        <v>76.75</v>
      </c>
      <c r="AW17" s="631">
        <f t="shared" si="6"/>
        <v>0</v>
      </c>
      <c r="AX17" s="954">
        <f t="shared" si="7"/>
        <v>0</v>
      </c>
      <c r="AY17" s="953">
        <f t="shared" si="8"/>
        <v>441.25</v>
      </c>
      <c r="AZ17" s="631">
        <f t="shared" si="9"/>
        <v>0</v>
      </c>
      <c r="BA17" s="955">
        <f t="shared" si="11"/>
        <v>848.06310499999995</v>
      </c>
      <c r="BB17" s="956">
        <f t="shared" si="12"/>
        <v>1312.563105</v>
      </c>
      <c r="BC17" s="957"/>
      <c r="BD17" s="560">
        <v>39.75</v>
      </c>
      <c r="BE17" s="560">
        <v>39.75</v>
      </c>
      <c r="BF17" s="560">
        <v>39.75</v>
      </c>
      <c r="BG17" s="560">
        <v>39.75</v>
      </c>
      <c r="BH17" s="560">
        <v>39.75</v>
      </c>
      <c r="BI17" s="560">
        <v>39.75</v>
      </c>
      <c r="BJ17" s="560">
        <v>39.75</v>
      </c>
      <c r="BK17" s="560">
        <v>182.25</v>
      </c>
      <c r="BL17" s="560">
        <v>182.25</v>
      </c>
      <c r="BM17" s="560">
        <v>182.25</v>
      </c>
      <c r="BN17" s="560">
        <v>182.25</v>
      </c>
      <c r="BO17" s="560">
        <v>76.75</v>
      </c>
      <c r="BP17" s="561">
        <f t="shared" si="13"/>
        <v>1084</v>
      </c>
      <c r="BQ17" s="561"/>
      <c r="BR17" s="561"/>
      <c r="BS17" s="561"/>
      <c r="BT17" s="561"/>
    </row>
    <row r="18" spans="1:72" ht="14.5">
      <c r="A18" s="569" t="s">
        <v>1087</v>
      </c>
      <c r="B18" s="562" t="s">
        <v>1091</v>
      </c>
      <c r="C18" s="562"/>
      <c r="D18" s="570" t="s">
        <v>40</v>
      </c>
      <c r="E18" s="949">
        <v>0</v>
      </c>
      <c r="F18" s="950">
        <v>0</v>
      </c>
      <c r="G18" s="949">
        <v>0</v>
      </c>
      <c r="H18" s="950">
        <v>190</v>
      </c>
      <c r="I18" s="949">
        <v>0</v>
      </c>
      <c r="J18" s="950">
        <v>140</v>
      </c>
      <c r="K18" s="631">
        <f t="shared" si="0"/>
        <v>0</v>
      </c>
      <c r="L18" s="631">
        <f t="shared" si="0"/>
        <v>330</v>
      </c>
      <c r="M18" s="949">
        <v>147.5</v>
      </c>
      <c r="N18" s="950">
        <v>0</v>
      </c>
      <c r="O18" s="949">
        <v>47.5</v>
      </c>
      <c r="P18" s="950">
        <v>0</v>
      </c>
      <c r="Q18" s="625">
        <v>0</v>
      </c>
      <c r="R18" s="949">
        <v>190</v>
      </c>
      <c r="S18" s="950">
        <v>0</v>
      </c>
      <c r="T18" s="625">
        <v>0</v>
      </c>
      <c r="U18" s="631">
        <f t="shared" si="1"/>
        <v>385</v>
      </c>
      <c r="V18" s="951">
        <f t="shared" si="10"/>
        <v>0</v>
      </c>
      <c r="W18" s="625">
        <f t="shared" si="2"/>
        <v>0</v>
      </c>
      <c r="X18" s="949">
        <v>190</v>
      </c>
      <c r="Y18" s="950">
        <v>0</v>
      </c>
      <c r="Z18" s="625">
        <v>0</v>
      </c>
      <c r="AA18" s="949">
        <v>162.5</v>
      </c>
      <c r="AB18" s="950">
        <v>0</v>
      </c>
      <c r="AC18" s="625">
        <v>0</v>
      </c>
      <c r="AD18" s="949">
        <v>0</v>
      </c>
      <c r="AE18" s="554"/>
      <c r="AF18" s="625">
        <v>0</v>
      </c>
      <c r="AG18" s="953">
        <v>0</v>
      </c>
      <c r="AH18" s="631">
        <f t="shared" si="3"/>
        <v>352.5</v>
      </c>
      <c r="AI18" s="954">
        <f t="shared" si="4"/>
        <v>0</v>
      </c>
      <c r="AJ18" s="953">
        <f t="shared" si="5"/>
        <v>0</v>
      </c>
      <c r="AK18" s="949">
        <v>0</v>
      </c>
      <c r="AL18" s="554"/>
      <c r="AM18" s="625">
        <v>0</v>
      </c>
      <c r="AN18" s="953">
        <v>0</v>
      </c>
      <c r="AO18" s="949">
        <v>0</v>
      </c>
      <c r="AP18" s="554"/>
      <c r="AQ18" s="625">
        <v>0</v>
      </c>
      <c r="AR18" s="953">
        <v>0</v>
      </c>
      <c r="AS18" s="949">
        <v>0</v>
      </c>
      <c r="AT18" s="554"/>
      <c r="AU18" s="625">
        <v>0</v>
      </c>
      <c r="AV18" s="953">
        <v>0</v>
      </c>
      <c r="AW18" s="631">
        <f t="shared" si="6"/>
        <v>0</v>
      </c>
      <c r="AX18" s="954">
        <f t="shared" si="7"/>
        <v>0</v>
      </c>
      <c r="AY18" s="953">
        <f t="shared" si="8"/>
        <v>0</v>
      </c>
      <c r="AZ18" s="631">
        <f t="shared" si="9"/>
        <v>737.5</v>
      </c>
      <c r="BA18" s="955">
        <f t="shared" si="11"/>
        <v>330</v>
      </c>
      <c r="BB18" s="956">
        <f t="shared" si="12"/>
        <v>330</v>
      </c>
      <c r="BC18" s="957"/>
      <c r="BD18" s="560">
        <v>0</v>
      </c>
      <c r="BE18" s="560">
        <v>0</v>
      </c>
      <c r="BF18" s="560">
        <v>0</v>
      </c>
      <c r="BG18" s="560">
        <v>0</v>
      </c>
      <c r="BH18" s="560">
        <v>0</v>
      </c>
      <c r="BI18" s="560">
        <v>0</v>
      </c>
      <c r="BJ18" s="560">
        <v>0</v>
      </c>
      <c r="BK18" s="560">
        <v>0</v>
      </c>
      <c r="BL18" s="560">
        <v>0</v>
      </c>
      <c r="BM18" s="560">
        <v>0</v>
      </c>
      <c r="BN18" s="560">
        <v>0</v>
      </c>
      <c r="BO18" s="560">
        <v>0</v>
      </c>
      <c r="BP18" s="561">
        <f t="shared" si="13"/>
        <v>0</v>
      </c>
      <c r="BQ18" s="561"/>
      <c r="BR18" s="561"/>
      <c r="BS18" s="561"/>
      <c r="BT18" s="561"/>
    </row>
    <row r="19" spans="1:72" ht="14.5">
      <c r="A19" s="569" t="s">
        <v>1087</v>
      </c>
      <c r="B19" s="562" t="s">
        <v>1092</v>
      </c>
      <c r="C19" s="562"/>
      <c r="D19" s="570" t="s">
        <v>40</v>
      </c>
      <c r="E19" s="949">
        <v>142.5</v>
      </c>
      <c r="F19" s="950">
        <v>0</v>
      </c>
      <c r="G19" s="949">
        <v>142.5</v>
      </c>
      <c r="H19" s="950">
        <v>113</v>
      </c>
      <c r="I19" s="949">
        <v>80</v>
      </c>
      <c r="J19" s="950">
        <v>0</v>
      </c>
      <c r="K19" s="631">
        <f t="shared" si="0"/>
        <v>365</v>
      </c>
      <c r="L19" s="631">
        <f t="shared" si="0"/>
        <v>113</v>
      </c>
      <c r="M19" s="949">
        <v>0</v>
      </c>
      <c r="N19" s="950">
        <v>0</v>
      </c>
      <c r="O19" s="949">
        <v>0</v>
      </c>
      <c r="P19" s="950">
        <v>0</v>
      </c>
      <c r="Q19" s="625">
        <v>0</v>
      </c>
      <c r="R19" s="949">
        <v>0</v>
      </c>
      <c r="S19" s="950">
        <v>0</v>
      </c>
      <c r="T19" s="625">
        <v>0</v>
      </c>
      <c r="U19" s="631">
        <f t="shared" si="1"/>
        <v>0</v>
      </c>
      <c r="V19" s="951">
        <f t="shared" si="10"/>
        <v>0</v>
      </c>
      <c r="W19" s="625">
        <f t="shared" si="2"/>
        <v>0</v>
      </c>
      <c r="X19" s="949">
        <v>0</v>
      </c>
      <c r="Y19" s="950">
        <v>0</v>
      </c>
      <c r="Z19" s="625">
        <v>0</v>
      </c>
      <c r="AA19" s="949">
        <v>0</v>
      </c>
      <c r="AB19" s="950">
        <v>0</v>
      </c>
      <c r="AC19" s="625">
        <v>0</v>
      </c>
      <c r="AD19" s="949">
        <v>0</v>
      </c>
      <c r="AE19" s="554"/>
      <c r="AF19" s="625">
        <v>0</v>
      </c>
      <c r="AG19" s="953">
        <v>0</v>
      </c>
      <c r="AH19" s="631">
        <f t="shared" si="3"/>
        <v>0</v>
      </c>
      <c r="AI19" s="954">
        <f t="shared" si="4"/>
        <v>0</v>
      </c>
      <c r="AJ19" s="953">
        <f t="shared" si="5"/>
        <v>0</v>
      </c>
      <c r="AK19" s="949">
        <v>0</v>
      </c>
      <c r="AL19" s="554"/>
      <c r="AM19" s="625">
        <v>142.5</v>
      </c>
      <c r="AN19" s="953">
        <v>142.5</v>
      </c>
      <c r="AO19" s="949">
        <v>142.5</v>
      </c>
      <c r="AP19" s="554"/>
      <c r="AQ19" s="625">
        <v>142.5</v>
      </c>
      <c r="AR19" s="953">
        <v>142.5</v>
      </c>
      <c r="AS19" s="949">
        <v>142.5</v>
      </c>
      <c r="AT19" s="554"/>
      <c r="AU19" s="625">
        <v>142.5</v>
      </c>
      <c r="AV19" s="953">
        <v>142.5</v>
      </c>
      <c r="AW19" s="631">
        <f t="shared" si="6"/>
        <v>285</v>
      </c>
      <c r="AX19" s="954">
        <f t="shared" si="7"/>
        <v>0</v>
      </c>
      <c r="AY19" s="953">
        <f t="shared" si="8"/>
        <v>427.5</v>
      </c>
      <c r="AZ19" s="631">
        <f t="shared" si="9"/>
        <v>650</v>
      </c>
      <c r="BA19" s="955">
        <f t="shared" si="11"/>
        <v>540.5</v>
      </c>
      <c r="BB19" s="956">
        <f t="shared" si="12"/>
        <v>540.5</v>
      </c>
      <c r="BC19" s="957"/>
      <c r="BD19" s="560">
        <v>142.5</v>
      </c>
      <c r="BE19" s="560">
        <v>113</v>
      </c>
      <c r="BF19" s="560">
        <v>0</v>
      </c>
      <c r="BG19" s="560">
        <v>0</v>
      </c>
      <c r="BH19" s="560">
        <v>0</v>
      </c>
      <c r="BI19" s="560">
        <v>0</v>
      </c>
      <c r="BJ19" s="560">
        <v>0</v>
      </c>
      <c r="BK19" s="560">
        <v>0</v>
      </c>
      <c r="BL19" s="560">
        <v>0</v>
      </c>
      <c r="BM19" s="560">
        <v>142.5</v>
      </c>
      <c r="BN19" s="560">
        <v>142.5</v>
      </c>
      <c r="BO19" s="560">
        <v>142.5</v>
      </c>
      <c r="BP19" s="561">
        <f t="shared" si="13"/>
        <v>683</v>
      </c>
      <c r="BQ19" s="561"/>
      <c r="BR19" s="561"/>
      <c r="BS19" s="561"/>
      <c r="BT19" s="561"/>
    </row>
    <row r="20" spans="1:72" ht="14.5">
      <c r="A20" s="569" t="s">
        <v>1087</v>
      </c>
      <c r="B20" s="562" t="s">
        <v>1093</v>
      </c>
      <c r="C20" s="562"/>
      <c r="D20" s="570" t="s">
        <v>40</v>
      </c>
      <c r="E20" s="949">
        <v>0</v>
      </c>
      <c r="F20" s="950">
        <v>0</v>
      </c>
      <c r="G20" s="949">
        <v>0</v>
      </c>
      <c r="H20" s="950">
        <v>0</v>
      </c>
      <c r="I20" s="949">
        <v>142.5</v>
      </c>
      <c r="J20" s="950">
        <v>0</v>
      </c>
      <c r="K20" s="632">
        <f t="shared" si="0"/>
        <v>142.5</v>
      </c>
      <c r="L20" s="631">
        <f t="shared" si="0"/>
        <v>0</v>
      </c>
      <c r="M20" s="949">
        <v>142.5</v>
      </c>
      <c r="N20" s="950">
        <v>0</v>
      </c>
      <c r="O20" s="949">
        <v>142.5</v>
      </c>
      <c r="P20" s="950">
        <v>0</v>
      </c>
      <c r="Q20" s="625">
        <v>0</v>
      </c>
      <c r="R20" s="949">
        <v>172.5</v>
      </c>
      <c r="S20" s="950">
        <v>0</v>
      </c>
      <c r="T20" s="625">
        <v>0</v>
      </c>
      <c r="U20" s="632">
        <f t="shared" si="1"/>
        <v>457.5</v>
      </c>
      <c r="V20" s="951">
        <f t="shared" si="10"/>
        <v>0</v>
      </c>
      <c r="W20" s="625">
        <f t="shared" si="2"/>
        <v>0</v>
      </c>
      <c r="X20" s="949">
        <v>0</v>
      </c>
      <c r="Y20" s="950">
        <v>0</v>
      </c>
      <c r="Z20" s="625">
        <v>0</v>
      </c>
      <c r="AA20" s="949">
        <v>0</v>
      </c>
      <c r="AB20" s="950">
        <v>0</v>
      </c>
      <c r="AC20" s="625">
        <v>0</v>
      </c>
      <c r="AD20" s="949">
        <v>0</v>
      </c>
      <c r="AE20" s="554"/>
      <c r="AF20" s="625">
        <v>0</v>
      </c>
      <c r="AG20" s="953">
        <v>0</v>
      </c>
      <c r="AH20" s="632">
        <f t="shared" si="3"/>
        <v>0</v>
      </c>
      <c r="AI20" s="954">
        <f t="shared" si="4"/>
        <v>0</v>
      </c>
      <c r="AJ20" s="953">
        <f t="shared" si="5"/>
        <v>0</v>
      </c>
      <c r="AK20" s="949">
        <v>0</v>
      </c>
      <c r="AL20" s="554"/>
      <c r="AM20" s="625">
        <v>0</v>
      </c>
      <c r="AN20" s="953">
        <v>0</v>
      </c>
      <c r="AO20" s="949">
        <v>0</v>
      </c>
      <c r="AP20" s="554"/>
      <c r="AQ20" s="625">
        <v>0</v>
      </c>
      <c r="AR20" s="953">
        <v>150</v>
      </c>
      <c r="AS20" s="949">
        <v>0</v>
      </c>
      <c r="AT20" s="554"/>
      <c r="AU20" s="625">
        <v>0</v>
      </c>
      <c r="AV20" s="953">
        <v>150</v>
      </c>
      <c r="AW20" s="632">
        <f t="shared" si="6"/>
        <v>0</v>
      </c>
      <c r="AX20" s="954">
        <f t="shared" si="7"/>
        <v>0</v>
      </c>
      <c r="AY20" s="953">
        <f t="shared" si="8"/>
        <v>300</v>
      </c>
      <c r="AZ20" s="632">
        <f t="shared" si="9"/>
        <v>600</v>
      </c>
      <c r="BA20" s="955">
        <f t="shared" si="11"/>
        <v>0</v>
      </c>
      <c r="BB20" s="956">
        <f t="shared" si="12"/>
        <v>300</v>
      </c>
      <c r="BC20" s="957"/>
      <c r="BD20" s="560">
        <v>0</v>
      </c>
      <c r="BE20" s="560">
        <v>0</v>
      </c>
      <c r="BF20" s="560">
        <v>0</v>
      </c>
      <c r="BG20" s="560">
        <v>0</v>
      </c>
      <c r="BH20" s="560">
        <v>0</v>
      </c>
      <c r="BI20" s="560">
        <v>0</v>
      </c>
      <c r="BJ20" s="560">
        <v>0</v>
      </c>
      <c r="BK20" s="560">
        <v>0</v>
      </c>
      <c r="BL20" s="560">
        <v>0</v>
      </c>
      <c r="BM20" s="560">
        <v>0</v>
      </c>
      <c r="BN20" s="560">
        <v>0</v>
      </c>
      <c r="BO20" s="560">
        <v>0</v>
      </c>
      <c r="BP20" s="561">
        <f t="shared" si="13"/>
        <v>0</v>
      </c>
      <c r="BQ20" s="561"/>
      <c r="BR20" s="561"/>
      <c r="BS20" s="561"/>
      <c r="BT20" s="561"/>
    </row>
    <row r="21" spans="1:72" ht="14.5">
      <c r="A21" s="569" t="s">
        <v>1087</v>
      </c>
      <c r="B21" s="562" t="s">
        <v>1094</v>
      </c>
      <c r="C21" s="562"/>
      <c r="D21" s="570" t="s">
        <v>40</v>
      </c>
      <c r="E21" s="949">
        <v>50</v>
      </c>
      <c r="F21" s="950">
        <v>52.5</v>
      </c>
      <c r="G21" s="949">
        <v>50</v>
      </c>
      <c r="H21" s="950">
        <v>52.5</v>
      </c>
      <c r="I21" s="949">
        <v>50</v>
      </c>
      <c r="J21" s="950">
        <v>52.5</v>
      </c>
      <c r="K21" s="632">
        <f t="shared" si="0"/>
        <v>150</v>
      </c>
      <c r="L21" s="631">
        <f t="shared" si="0"/>
        <v>157.5</v>
      </c>
      <c r="M21" s="949">
        <v>50</v>
      </c>
      <c r="N21" s="950">
        <v>52.5</v>
      </c>
      <c r="O21" s="949">
        <v>50</v>
      </c>
      <c r="P21" s="950">
        <v>52.5</v>
      </c>
      <c r="Q21" s="625">
        <v>52.5</v>
      </c>
      <c r="R21" s="949">
        <v>50</v>
      </c>
      <c r="S21" s="950">
        <v>52.5</v>
      </c>
      <c r="T21" s="625">
        <v>52.5</v>
      </c>
      <c r="U21" s="632">
        <f t="shared" si="1"/>
        <v>150</v>
      </c>
      <c r="V21" s="951">
        <f t="shared" si="10"/>
        <v>157.5</v>
      </c>
      <c r="W21" s="625">
        <f t="shared" si="2"/>
        <v>157.5</v>
      </c>
      <c r="X21" s="949">
        <v>50</v>
      </c>
      <c r="Y21" s="950">
        <v>52.5</v>
      </c>
      <c r="Z21" s="625">
        <v>52.5</v>
      </c>
      <c r="AA21" s="949">
        <v>50</v>
      </c>
      <c r="AB21" s="950">
        <f>52500000/10^6</f>
        <v>52.5</v>
      </c>
      <c r="AC21" s="625">
        <v>52.5</v>
      </c>
      <c r="AD21" s="949">
        <v>50</v>
      </c>
      <c r="AE21" s="554"/>
      <c r="AF21" s="625">
        <v>52.5</v>
      </c>
      <c r="AG21" s="953">
        <v>52.5</v>
      </c>
      <c r="AH21" s="632">
        <f t="shared" si="3"/>
        <v>150</v>
      </c>
      <c r="AI21" s="954">
        <f t="shared" si="4"/>
        <v>105</v>
      </c>
      <c r="AJ21" s="953">
        <f t="shared" si="5"/>
        <v>157.5</v>
      </c>
      <c r="AK21" s="949">
        <v>50</v>
      </c>
      <c r="AL21" s="554"/>
      <c r="AM21" s="625">
        <v>52.5</v>
      </c>
      <c r="AN21" s="953">
        <v>52.5</v>
      </c>
      <c r="AO21" s="949">
        <v>50</v>
      </c>
      <c r="AP21" s="554"/>
      <c r="AQ21" s="625">
        <v>52.5</v>
      </c>
      <c r="AR21" s="953">
        <v>52.5</v>
      </c>
      <c r="AS21" s="949">
        <v>50</v>
      </c>
      <c r="AT21" s="554"/>
      <c r="AU21" s="625">
        <v>52.5</v>
      </c>
      <c r="AV21" s="953">
        <v>52.5</v>
      </c>
      <c r="AW21" s="632">
        <f t="shared" si="6"/>
        <v>150</v>
      </c>
      <c r="AX21" s="954">
        <f t="shared" si="7"/>
        <v>0</v>
      </c>
      <c r="AY21" s="953">
        <f t="shared" si="8"/>
        <v>157.5</v>
      </c>
      <c r="AZ21" s="632">
        <f t="shared" si="9"/>
        <v>600</v>
      </c>
      <c r="BA21" s="955">
        <f t="shared" si="11"/>
        <v>630</v>
      </c>
      <c r="BB21" s="956">
        <f t="shared" si="12"/>
        <v>630</v>
      </c>
      <c r="BC21" s="957"/>
      <c r="BD21" s="560">
        <v>52.5</v>
      </c>
      <c r="BE21" s="560">
        <v>52.5</v>
      </c>
      <c r="BF21" s="560">
        <v>52.5</v>
      </c>
      <c r="BG21" s="560">
        <v>52.5</v>
      </c>
      <c r="BH21" s="560">
        <v>52.5</v>
      </c>
      <c r="BI21" s="560">
        <v>52.5</v>
      </c>
      <c r="BJ21" s="560">
        <v>52.5</v>
      </c>
      <c r="BK21" s="560">
        <v>52.5</v>
      </c>
      <c r="BL21" s="560">
        <v>52.5</v>
      </c>
      <c r="BM21" s="560">
        <v>52.5</v>
      </c>
      <c r="BN21" s="560">
        <v>52.5</v>
      </c>
      <c r="BO21" s="560">
        <v>52.5</v>
      </c>
      <c r="BP21" s="561">
        <f t="shared" si="13"/>
        <v>630</v>
      </c>
      <c r="BQ21" s="561"/>
      <c r="BR21" s="561"/>
      <c r="BS21" s="561"/>
      <c r="BT21" s="561"/>
    </row>
    <row r="22" spans="1:72" ht="14.5">
      <c r="A22" s="569" t="s">
        <v>1087</v>
      </c>
      <c r="B22" s="562" t="s">
        <v>1095</v>
      </c>
      <c r="C22" s="562"/>
      <c r="D22" s="570" t="s">
        <v>40</v>
      </c>
      <c r="E22" s="949">
        <v>0</v>
      </c>
      <c r="F22" s="950">
        <v>0</v>
      </c>
      <c r="G22" s="949">
        <v>0</v>
      </c>
      <c r="H22" s="950">
        <v>0</v>
      </c>
      <c r="I22" s="949">
        <v>0</v>
      </c>
      <c r="J22" s="950">
        <v>0</v>
      </c>
      <c r="K22" s="632">
        <f t="shared" si="0"/>
        <v>0</v>
      </c>
      <c r="L22" s="631">
        <f t="shared" si="0"/>
        <v>0</v>
      </c>
      <c r="M22" s="949">
        <v>0</v>
      </c>
      <c r="N22" s="950">
        <v>0</v>
      </c>
      <c r="O22" s="949">
        <v>150</v>
      </c>
      <c r="P22" s="950">
        <v>142.5</v>
      </c>
      <c r="Q22" s="625">
        <v>142.5</v>
      </c>
      <c r="R22" s="949">
        <v>120</v>
      </c>
      <c r="S22" s="950">
        <v>142.5</v>
      </c>
      <c r="T22" s="625">
        <v>142.5</v>
      </c>
      <c r="U22" s="632">
        <f t="shared" si="1"/>
        <v>270</v>
      </c>
      <c r="V22" s="951">
        <f t="shared" si="10"/>
        <v>285</v>
      </c>
      <c r="W22" s="625">
        <f t="shared" si="2"/>
        <v>285</v>
      </c>
      <c r="X22" s="949">
        <v>150</v>
      </c>
      <c r="Y22" s="950">
        <v>142.5</v>
      </c>
      <c r="Z22" s="625">
        <v>142.5</v>
      </c>
      <c r="AA22" s="949">
        <v>130</v>
      </c>
      <c r="AB22" s="950">
        <f>142500000/10^6</f>
        <v>142.5</v>
      </c>
      <c r="AC22" s="625">
        <v>122.5</v>
      </c>
      <c r="AD22" s="949">
        <v>0</v>
      </c>
      <c r="AE22" s="554"/>
      <c r="AF22" s="625">
        <v>0</v>
      </c>
      <c r="AG22" s="953">
        <v>37</v>
      </c>
      <c r="AH22" s="632">
        <f t="shared" si="3"/>
        <v>280</v>
      </c>
      <c r="AI22" s="954">
        <f t="shared" si="4"/>
        <v>285</v>
      </c>
      <c r="AJ22" s="953">
        <f t="shared" si="5"/>
        <v>302</v>
      </c>
      <c r="AK22" s="949">
        <v>0</v>
      </c>
      <c r="AL22" s="554"/>
      <c r="AM22" s="625">
        <v>0</v>
      </c>
      <c r="AN22" s="953">
        <v>0</v>
      </c>
      <c r="AO22" s="949">
        <v>0</v>
      </c>
      <c r="AP22" s="554"/>
      <c r="AQ22" s="625">
        <v>0</v>
      </c>
      <c r="AR22" s="953">
        <v>0</v>
      </c>
      <c r="AS22" s="949">
        <v>0</v>
      </c>
      <c r="AT22" s="554"/>
      <c r="AU22" s="625">
        <v>0</v>
      </c>
      <c r="AV22" s="953">
        <v>0</v>
      </c>
      <c r="AW22" s="632">
        <f t="shared" si="6"/>
        <v>0</v>
      </c>
      <c r="AX22" s="954">
        <f t="shared" si="7"/>
        <v>0</v>
      </c>
      <c r="AY22" s="953">
        <f t="shared" si="8"/>
        <v>0</v>
      </c>
      <c r="AZ22" s="632">
        <f t="shared" si="9"/>
        <v>550</v>
      </c>
      <c r="BA22" s="955">
        <f t="shared" si="11"/>
        <v>570</v>
      </c>
      <c r="BB22" s="956">
        <f t="shared" si="12"/>
        <v>607</v>
      </c>
      <c r="BC22" s="957"/>
      <c r="BD22" s="560">
        <v>0</v>
      </c>
      <c r="BE22" s="560">
        <v>0</v>
      </c>
      <c r="BF22" s="560">
        <v>0</v>
      </c>
      <c r="BG22" s="560">
        <v>0</v>
      </c>
      <c r="BH22" s="560">
        <v>142.5</v>
      </c>
      <c r="BI22" s="560">
        <v>142.5</v>
      </c>
      <c r="BJ22" s="560">
        <v>142.5</v>
      </c>
      <c r="BK22" s="560">
        <v>142.5</v>
      </c>
      <c r="BL22" s="560">
        <v>37</v>
      </c>
      <c r="BM22" s="560">
        <v>0</v>
      </c>
      <c r="BN22" s="560">
        <v>0</v>
      </c>
      <c r="BO22" s="560">
        <v>0</v>
      </c>
      <c r="BP22" s="561">
        <f t="shared" si="13"/>
        <v>607</v>
      </c>
      <c r="BQ22" s="561"/>
      <c r="BR22" s="561"/>
      <c r="BS22" s="561"/>
      <c r="BT22" s="561"/>
    </row>
    <row r="23" spans="1:72" ht="14.5">
      <c r="A23" s="569" t="s">
        <v>1087</v>
      </c>
      <c r="B23" s="562" t="s">
        <v>1096</v>
      </c>
      <c r="C23" s="562"/>
      <c r="D23" s="570" t="s">
        <v>40</v>
      </c>
      <c r="E23" s="949">
        <v>0</v>
      </c>
      <c r="F23" s="950">
        <v>0</v>
      </c>
      <c r="G23" s="949">
        <v>0</v>
      </c>
      <c r="H23" s="950">
        <v>0</v>
      </c>
      <c r="I23" s="949">
        <v>0</v>
      </c>
      <c r="J23" s="950">
        <v>0</v>
      </c>
      <c r="K23" s="632">
        <f t="shared" si="0"/>
        <v>0</v>
      </c>
      <c r="L23" s="631">
        <f t="shared" si="0"/>
        <v>0</v>
      </c>
      <c r="M23" s="949">
        <v>0</v>
      </c>
      <c r="N23" s="950">
        <v>0</v>
      </c>
      <c r="O23" s="949">
        <v>0</v>
      </c>
      <c r="P23" s="950">
        <v>0</v>
      </c>
      <c r="Q23" s="625">
        <v>0</v>
      </c>
      <c r="R23" s="949">
        <v>0</v>
      </c>
      <c r="S23" s="950">
        <v>0</v>
      </c>
      <c r="T23" s="625">
        <v>0</v>
      </c>
      <c r="U23" s="632">
        <f t="shared" si="1"/>
        <v>0</v>
      </c>
      <c r="V23" s="951">
        <f t="shared" si="10"/>
        <v>0</v>
      </c>
      <c r="W23" s="625">
        <f t="shared" si="2"/>
        <v>0</v>
      </c>
      <c r="X23" s="949">
        <v>127.5</v>
      </c>
      <c r="Y23" s="950">
        <v>142.5</v>
      </c>
      <c r="Z23" s="625">
        <v>127.5</v>
      </c>
      <c r="AA23" s="949">
        <v>157.5</v>
      </c>
      <c r="AB23" s="950">
        <f>142500000/10^6</f>
        <v>142.5</v>
      </c>
      <c r="AC23" s="625">
        <v>157.5</v>
      </c>
      <c r="AD23" s="949">
        <v>142.5</v>
      </c>
      <c r="AE23" s="554"/>
      <c r="AF23" s="625">
        <v>142.5</v>
      </c>
      <c r="AG23" s="953">
        <v>142.5</v>
      </c>
      <c r="AH23" s="632">
        <f t="shared" si="3"/>
        <v>427.5</v>
      </c>
      <c r="AI23" s="954">
        <f t="shared" si="4"/>
        <v>285</v>
      </c>
      <c r="AJ23" s="953">
        <f t="shared" si="5"/>
        <v>427.5</v>
      </c>
      <c r="AK23" s="949">
        <v>122.5</v>
      </c>
      <c r="AL23" s="554"/>
      <c r="AM23" s="625">
        <v>122.5</v>
      </c>
      <c r="AN23" s="953">
        <v>133.6</v>
      </c>
      <c r="AO23" s="949">
        <v>0</v>
      </c>
      <c r="AP23" s="554"/>
      <c r="AQ23" s="625">
        <v>0</v>
      </c>
      <c r="AR23" s="953">
        <v>0</v>
      </c>
      <c r="AS23" s="949">
        <v>0</v>
      </c>
      <c r="AT23" s="554"/>
      <c r="AU23" s="625">
        <v>0</v>
      </c>
      <c r="AV23" s="953">
        <v>0</v>
      </c>
      <c r="AW23" s="632">
        <f t="shared" si="6"/>
        <v>122.5</v>
      </c>
      <c r="AX23" s="954">
        <f t="shared" si="7"/>
        <v>0</v>
      </c>
      <c r="AY23" s="953">
        <f t="shared" si="8"/>
        <v>133.6</v>
      </c>
      <c r="AZ23" s="632">
        <f t="shared" si="9"/>
        <v>550</v>
      </c>
      <c r="BA23" s="955">
        <f t="shared" si="11"/>
        <v>550</v>
      </c>
      <c r="BB23" s="956">
        <f t="shared" si="12"/>
        <v>561.1</v>
      </c>
      <c r="BC23" s="957"/>
      <c r="BD23" s="560">
        <v>0</v>
      </c>
      <c r="BE23" s="560">
        <v>0</v>
      </c>
      <c r="BF23" s="560">
        <v>0</v>
      </c>
      <c r="BG23" s="560">
        <v>0</v>
      </c>
      <c r="BH23" s="560">
        <v>0</v>
      </c>
      <c r="BI23" s="560">
        <v>0</v>
      </c>
      <c r="BJ23" s="560">
        <v>142.5</v>
      </c>
      <c r="BK23" s="560">
        <v>142.5</v>
      </c>
      <c r="BL23" s="560">
        <v>142.5</v>
      </c>
      <c r="BM23" s="560">
        <v>133.6</v>
      </c>
      <c r="BN23" s="560">
        <v>0</v>
      </c>
      <c r="BO23" s="560">
        <v>0</v>
      </c>
      <c r="BP23" s="561">
        <f t="shared" si="13"/>
        <v>561.1</v>
      </c>
      <c r="BQ23" s="561"/>
      <c r="BR23" s="561"/>
      <c r="BS23" s="561"/>
      <c r="BT23" s="561"/>
    </row>
    <row r="24" spans="1:72" ht="14.5">
      <c r="A24" s="569" t="s">
        <v>1087</v>
      </c>
      <c r="B24" s="562" t="s">
        <v>1097</v>
      </c>
      <c r="C24" s="562"/>
      <c r="D24" s="570" t="s">
        <v>40</v>
      </c>
      <c r="E24" s="949">
        <v>0</v>
      </c>
      <c r="F24" s="950">
        <v>142.5</v>
      </c>
      <c r="G24" s="949">
        <v>0</v>
      </c>
      <c r="H24" s="950">
        <v>142.5</v>
      </c>
      <c r="I24" s="949">
        <v>142.5</v>
      </c>
      <c r="J24" s="950">
        <v>142.5</v>
      </c>
      <c r="K24" s="632">
        <f t="shared" si="0"/>
        <v>142.5</v>
      </c>
      <c r="L24" s="631">
        <f t="shared" si="0"/>
        <v>427.5</v>
      </c>
      <c r="M24" s="949">
        <v>142.5</v>
      </c>
      <c r="N24" s="950">
        <v>142.5</v>
      </c>
      <c r="O24" s="949">
        <v>142.5</v>
      </c>
      <c r="P24" s="950">
        <v>-80</v>
      </c>
      <c r="Q24" s="625">
        <v>0</v>
      </c>
      <c r="R24" s="949">
        <v>72.5</v>
      </c>
      <c r="S24" s="950">
        <v>0</v>
      </c>
      <c r="T24" s="625">
        <v>0</v>
      </c>
      <c r="U24" s="632">
        <f t="shared" si="1"/>
        <v>357.5</v>
      </c>
      <c r="V24" s="951">
        <f t="shared" si="10"/>
        <v>62.5</v>
      </c>
      <c r="W24" s="625">
        <f t="shared" si="2"/>
        <v>142.5</v>
      </c>
      <c r="X24" s="949">
        <v>0</v>
      </c>
      <c r="Y24" s="950">
        <v>0</v>
      </c>
      <c r="Z24" s="625">
        <v>0</v>
      </c>
      <c r="AA24" s="949">
        <v>0</v>
      </c>
      <c r="AB24" s="950">
        <v>0</v>
      </c>
      <c r="AC24" s="625">
        <v>0</v>
      </c>
      <c r="AD24" s="949">
        <v>0</v>
      </c>
      <c r="AE24" s="554"/>
      <c r="AF24" s="625">
        <v>0</v>
      </c>
      <c r="AG24" s="953">
        <v>0</v>
      </c>
      <c r="AH24" s="632">
        <f t="shared" si="3"/>
        <v>0</v>
      </c>
      <c r="AI24" s="954">
        <f t="shared" si="4"/>
        <v>0</v>
      </c>
      <c r="AJ24" s="953">
        <f t="shared" si="5"/>
        <v>0</v>
      </c>
      <c r="AK24" s="949">
        <v>0</v>
      </c>
      <c r="AL24" s="554"/>
      <c r="AM24" s="625">
        <v>0</v>
      </c>
      <c r="AN24" s="953">
        <v>0</v>
      </c>
      <c r="AO24" s="949">
        <v>0</v>
      </c>
      <c r="AP24" s="554"/>
      <c r="AQ24" s="625">
        <v>0</v>
      </c>
      <c r="AR24" s="953">
        <v>0</v>
      </c>
      <c r="AS24" s="949">
        <v>0</v>
      </c>
      <c r="AT24" s="554"/>
      <c r="AU24" s="625">
        <v>0</v>
      </c>
      <c r="AV24" s="953">
        <v>0</v>
      </c>
      <c r="AW24" s="632">
        <f t="shared" si="6"/>
        <v>0</v>
      </c>
      <c r="AX24" s="954">
        <f t="shared" si="7"/>
        <v>0</v>
      </c>
      <c r="AY24" s="953">
        <f t="shared" si="8"/>
        <v>0</v>
      </c>
      <c r="AZ24" s="632">
        <f t="shared" si="9"/>
        <v>500</v>
      </c>
      <c r="BA24" s="955">
        <f t="shared" si="11"/>
        <v>490</v>
      </c>
      <c r="BB24" s="956">
        <f t="shared" si="12"/>
        <v>490</v>
      </c>
      <c r="BC24" s="957"/>
      <c r="BD24" s="560">
        <v>142.5</v>
      </c>
      <c r="BE24" s="560">
        <v>142.5</v>
      </c>
      <c r="BF24" s="560">
        <v>142.5</v>
      </c>
      <c r="BG24" s="560">
        <v>62.5</v>
      </c>
      <c r="BH24" s="560">
        <v>0</v>
      </c>
      <c r="BI24" s="560">
        <v>0</v>
      </c>
      <c r="BJ24" s="560">
        <v>0</v>
      </c>
      <c r="BK24" s="560">
        <v>0</v>
      </c>
      <c r="BL24" s="560">
        <v>0</v>
      </c>
      <c r="BM24" s="560">
        <v>0</v>
      </c>
      <c r="BN24" s="560">
        <v>0</v>
      </c>
      <c r="BO24" s="560">
        <v>0</v>
      </c>
      <c r="BP24" s="561">
        <f t="shared" si="13"/>
        <v>490</v>
      </c>
      <c r="BQ24" s="561"/>
      <c r="BR24" s="561"/>
      <c r="BS24" s="561"/>
      <c r="BT24" s="561"/>
    </row>
    <row r="25" spans="1:72" ht="14.5">
      <c r="A25" s="569" t="s">
        <v>1087</v>
      </c>
      <c r="B25" s="562" t="s">
        <v>1098</v>
      </c>
      <c r="C25" s="562"/>
      <c r="D25" s="570" t="s">
        <v>40</v>
      </c>
      <c r="E25" s="949">
        <v>0</v>
      </c>
      <c r="F25" s="950">
        <v>0</v>
      </c>
      <c r="G25" s="949">
        <v>0</v>
      </c>
      <c r="H25" s="950">
        <v>0</v>
      </c>
      <c r="I25" s="949">
        <v>0</v>
      </c>
      <c r="J25" s="950">
        <v>0</v>
      </c>
      <c r="K25" s="632">
        <f t="shared" si="0"/>
        <v>0</v>
      </c>
      <c r="L25" s="631">
        <f t="shared" si="0"/>
        <v>0</v>
      </c>
      <c r="M25" s="949">
        <v>0</v>
      </c>
      <c r="N25" s="950">
        <v>0</v>
      </c>
      <c r="O25" s="949">
        <v>0</v>
      </c>
      <c r="P25" s="950">
        <v>0</v>
      </c>
      <c r="Q25" s="625">
        <v>0</v>
      </c>
      <c r="R25" s="949">
        <v>0</v>
      </c>
      <c r="S25" s="950">
        <v>0</v>
      </c>
      <c r="T25" s="625">
        <v>0</v>
      </c>
      <c r="U25" s="632">
        <f t="shared" si="1"/>
        <v>0</v>
      </c>
      <c r="V25" s="951">
        <f t="shared" si="10"/>
        <v>0</v>
      </c>
      <c r="W25" s="625">
        <f t="shared" si="2"/>
        <v>0</v>
      </c>
      <c r="X25" s="949">
        <v>0</v>
      </c>
      <c r="Y25" s="950">
        <v>0</v>
      </c>
      <c r="Z25" s="625">
        <v>0</v>
      </c>
      <c r="AA25" s="949">
        <v>0</v>
      </c>
      <c r="AB25" s="950">
        <v>0</v>
      </c>
      <c r="AC25" s="625">
        <v>0</v>
      </c>
      <c r="AD25" s="949">
        <v>0</v>
      </c>
      <c r="AE25" s="554"/>
      <c r="AF25" s="625">
        <v>0</v>
      </c>
      <c r="AG25" s="953">
        <v>0</v>
      </c>
      <c r="AH25" s="632">
        <f t="shared" si="3"/>
        <v>0</v>
      </c>
      <c r="AI25" s="954">
        <f t="shared" si="4"/>
        <v>0</v>
      </c>
      <c r="AJ25" s="953">
        <f t="shared" si="5"/>
        <v>0</v>
      </c>
      <c r="AK25" s="949">
        <v>0</v>
      </c>
      <c r="AL25" s="554"/>
      <c r="AM25" s="625">
        <v>0</v>
      </c>
      <c r="AN25" s="953">
        <v>0</v>
      </c>
      <c r="AO25" s="949">
        <v>0</v>
      </c>
      <c r="AP25" s="554"/>
      <c r="AQ25" s="625">
        <v>0</v>
      </c>
      <c r="AR25" s="953">
        <v>0</v>
      </c>
      <c r="AS25" s="949">
        <v>0</v>
      </c>
      <c r="AT25" s="554"/>
      <c r="AU25" s="625">
        <v>0</v>
      </c>
      <c r="AV25" s="953">
        <v>0</v>
      </c>
      <c r="AW25" s="632">
        <f t="shared" si="6"/>
        <v>0</v>
      </c>
      <c r="AX25" s="954">
        <f t="shared" si="7"/>
        <v>0</v>
      </c>
      <c r="AY25" s="953">
        <f t="shared" si="8"/>
        <v>0</v>
      </c>
      <c r="AZ25" s="632">
        <f t="shared" si="9"/>
        <v>0</v>
      </c>
      <c r="BA25" s="955">
        <f t="shared" si="11"/>
        <v>0</v>
      </c>
      <c r="BB25" s="956">
        <f t="shared" si="12"/>
        <v>0</v>
      </c>
      <c r="BC25" s="957"/>
      <c r="BD25" s="560">
        <v>0</v>
      </c>
      <c r="BE25" s="560">
        <v>0</v>
      </c>
      <c r="BF25" s="560">
        <v>0</v>
      </c>
      <c r="BG25" s="560">
        <v>0</v>
      </c>
      <c r="BH25" s="560">
        <v>0</v>
      </c>
      <c r="BI25" s="560">
        <v>0</v>
      </c>
      <c r="BJ25" s="560">
        <v>0</v>
      </c>
      <c r="BK25" s="560">
        <v>0</v>
      </c>
      <c r="BL25" s="560">
        <v>0</v>
      </c>
      <c r="BM25" s="560">
        <v>0</v>
      </c>
      <c r="BN25" s="560">
        <v>0</v>
      </c>
      <c r="BO25" s="560">
        <v>0</v>
      </c>
      <c r="BP25" s="561">
        <f t="shared" si="13"/>
        <v>0</v>
      </c>
      <c r="BQ25" s="561"/>
      <c r="BR25" s="561"/>
      <c r="BS25" s="561"/>
      <c r="BT25" s="561"/>
    </row>
    <row r="26" spans="1:72" ht="14.5">
      <c r="A26" s="569" t="s">
        <v>1076</v>
      </c>
      <c r="B26" s="562" t="s">
        <v>1099</v>
      </c>
      <c r="C26" s="562"/>
      <c r="D26" s="570" t="s">
        <v>40</v>
      </c>
      <c r="E26" s="949">
        <v>0</v>
      </c>
      <c r="F26" s="950">
        <v>0</v>
      </c>
      <c r="G26" s="949">
        <v>0</v>
      </c>
      <c r="H26" s="950">
        <v>275</v>
      </c>
      <c r="I26" s="949">
        <v>0</v>
      </c>
      <c r="J26" s="950">
        <v>150</v>
      </c>
      <c r="K26" s="632">
        <f t="shared" si="0"/>
        <v>0</v>
      </c>
      <c r="L26" s="631">
        <f t="shared" si="0"/>
        <v>425</v>
      </c>
      <c r="M26" s="949">
        <v>0</v>
      </c>
      <c r="N26" s="950">
        <v>0</v>
      </c>
      <c r="O26" s="949">
        <v>0</v>
      </c>
      <c r="P26" s="950">
        <v>0</v>
      </c>
      <c r="Q26" s="625">
        <v>0</v>
      </c>
      <c r="R26" s="949">
        <v>0</v>
      </c>
      <c r="S26" s="950">
        <v>212.5</v>
      </c>
      <c r="T26" s="625">
        <v>291.5</v>
      </c>
      <c r="U26" s="632">
        <f t="shared" si="1"/>
        <v>0</v>
      </c>
      <c r="V26" s="951">
        <f t="shared" si="10"/>
        <v>212.5</v>
      </c>
      <c r="W26" s="625">
        <f t="shared" si="2"/>
        <v>291.5</v>
      </c>
      <c r="X26" s="949">
        <v>0</v>
      </c>
      <c r="Y26" s="950">
        <v>212.5</v>
      </c>
      <c r="Z26" s="625">
        <v>159</v>
      </c>
      <c r="AA26" s="949">
        <v>0</v>
      </c>
      <c r="AB26" s="950">
        <v>0</v>
      </c>
      <c r="AC26" s="625">
        <v>0</v>
      </c>
      <c r="AD26" s="949">
        <v>0</v>
      </c>
      <c r="AE26" s="554"/>
      <c r="AF26" s="625">
        <v>0</v>
      </c>
      <c r="AG26" s="953">
        <v>0</v>
      </c>
      <c r="AH26" s="632">
        <f t="shared" si="3"/>
        <v>0</v>
      </c>
      <c r="AI26" s="954">
        <f t="shared" si="4"/>
        <v>212.5</v>
      </c>
      <c r="AJ26" s="953">
        <f t="shared" si="5"/>
        <v>159</v>
      </c>
      <c r="AK26" s="949">
        <v>0</v>
      </c>
      <c r="AL26" s="554"/>
      <c r="AM26" s="625">
        <v>159</v>
      </c>
      <c r="AN26" s="953">
        <v>159</v>
      </c>
      <c r="AO26" s="949">
        <v>0</v>
      </c>
      <c r="AP26" s="554"/>
      <c r="AQ26" s="625">
        <v>159</v>
      </c>
      <c r="AR26" s="953">
        <v>159</v>
      </c>
      <c r="AS26" s="949">
        <v>0</v>
      </c>
      <c r="AT26" s="554"/>
      <c r="AU26" s="625">
        <v>0</v>
      </c>
      <c r="AV26" s="953">
        <v>0</v>
      </c>
      <c r="AW26" s="632">
        <f t="shared" si="6"/>
        <v>0</v>
      </c>
      <c r="AX26" s="954">
        <f t="shared" si="7"/>
        <v>0</v>
      </c>
      <c r="AY26" s="953">
        <f t="shared" si="8"/>
        <v>318</v>
      </c>
      <c r="AZ26" s="632">
        <f t="shared" si="9"/>
        <v>0</v>
      </c>
      <c r="BA26" s="955">
        <f t="shared" si="11"/>
        <v>1168</v>
      </c>
      <c r="BB26" s="956">
        <f t="shared" si="12"/>
        <v>1168</v>
      </c>
      <c r="BC26" s="957"/>
      <c r="BD26" s="560">
        <v>0</v>
      </c>
      <c r="BE26" s="560">
        <v>0</v>
      </c>
      <c r="BF26" s="560">
        <v>159</v>
      </c>
      <c r="BG26" s="560">
        <v>159</v>
      </c>
      <c r="BH26" s="560">
        <v>0</v>
      </c>
      <c r="BI26" s="560">
        <v>0</v>
      </c>
      <c r="BJ26" s="560">
        <v>159</v>
      </c>
      <c r="BK26" s="560">
        <v>159</v>
      </c>
      <c r="BL26" s="560">
        <v>0</v>
      </c>
      <c r="BM26" s="560">
        <v>0</v>
      </c>
      <c r="BN26" s="560">
        <v>159</v>
      </c>
      <c r="BO26" s="560">
        <v>159</v>
      </c>
      <c r="BP26" s="561">
        <f t="shared" si="13"/>
        <v>954</v>
      </c>
      <c r="BQ26" s="561"/>
      <c r="BR26" s="561"/>
      <c r="BS26" s="561"/>
      <c r="BT26" s="561"/>
    </row>
    <row r="27" spans="1:72" ht="14.5">
      <c r="A27" s="569" t="s">
        <v>1087</v>
      </c>
      <c r="B27" s="562" t="s">
        <v>1100</v>
      </c>
      <c r="C27" s="562"/>
      <c r="D27" s="570" t="s">
        <v>40</v>
      </c>
      <c r="E27" s="949">
        <v>0</v>
      </c>
      <c r="F27" s="950">
        <v>47.5</v>
      </c>
      <c r="G27" s="949">
        <v>47.5</v>
      </c>
      <c r="H27" s="950">
        <v>47.5</v>
      </c>
      <c r="I27" s="949">
        <v>47.5</v>
      </c>
      <c r="J27" s="950">
        <v>47.5</v>
      </c>
      <c r="K27" s="632">
        <f t="shared" si="0"/>
        <v>95</v>
      </c>
      <c r="L27" s="631">
        <f t="shared" si="0"/>
        <v>142.5</v>
      </c>
      <c r="M27" s="949">
        <v>47.5</v>
      </c>
      <c r="N27" s="950">
        <v>47.5</v>
      </c>
      <c r="O27" s="949">
        <v>57.5</v>
      </c>
      <c r="P27" s="950">
        <v>0</v>
      </c>
      <c r="Q27" s="625">
        <v>57.5</v>
      </c>
      <c r="R27" s="949">
        <v>0</v>
      </c>
      <c r="S27" s="950">
        <v>0</v>
      </c>
      <c r="T27" s="625">
        <v>0</v>
      </c>
      <c r="U27" s="632">
        <f t="shared" si="1"/>
        <v>105</v>
      </c>
      <c r="V27" s="951">
        <f t="shared" si="10"/>
        <v>47.5</v>
      </c>
      <c r="W27" s="625">
        <f t="shared" si="2"/>
        <v>105</v>
      </c>
      <c r="X27" s="949">
        <v>0</v>
      </c>
      <c r="Y27" s="950">
        <v>0</v>
      </c>
      <c r="Z27" s="625">
        <v>0</v>
      </c>
      <c r="AA27" s="949">
        <v>0</v>
      </c>
      <c r="AB27" s="950">
        <v>0</v>
      </c>
      <c r="AC27" s="625">
        <v>0</v>
      </c>
      <c r="AD27" s="949">
        <v>0</v>
      </c>
      <c r="AE27" s="554"/>
      <c r="AF27" s="625">
        <v>0</v>
      </c>
      <c r="AG27" s="953">
        <v>0</v>
      </c>
      <c r="AH27" s="632">
        <f t="shared" si="3"/>
        <v>0</v>
      </c>
      <c r="AI27" s="954">
        <f t="shared" si="4"/>
        <v>0</v>
      </c>
      <c r="AJ27" s="953">
        <f t="shared" si="5"/>
        <v>0</v>
      </c>
      <c r="AK27" s="949">
        <v>0</v>
      </c>
      <c r="AL27" s="554"/>
      <c r="AM27" s="625">
        <v>0</v>
      </c>
      <c r="AN27" s="953">
        <v>0</v>
      </c>
      <c r="AO27" s="949">
        <v>0</v>
      </c>
      <c r="AP27" s="554"/>
      <c r="AQ27" s="625">
        <v>0</v>
      </c>
      <c r="AR27" s="953">
        <v>0</v>
      </c>
      <c r="AS27" s="949">
        <v>0</v>
      </c>
      <c r="AT27" s="554"/>
      <c r="AU27" s="625">
        <v>0</v>
      </c>
      <c r="AV27" s="953">
        <v>0</v>
      </c>
      <c r="AW27" s="632">
        <f t="shared" si="6"/>
        <v>0</v>
      </c>
      <c r="AX27" s="954">
        <f t="shared" si="7"/>
        <v>0</v>
      </c>
      <c r="AY27" s="953">
        <f t="shared" si="8"/>
        <v>0</v>
      </c>
      <c r="AZ27" s="632">
        <f t="shared" si="9"/>
        <v>200</v>
      </c>
      <c r="BA27" s="955">
        <f t="shared" si="11"/>
        <v>190</v>
      </c>
      <c r="BB27" s="956">
        <f t="shared" si="12"/>
        <v>190</v>
      </c>
      <c r="BC27" s="957"/>
      <c r="BD27" s="560">
        <v>0</v>
      </c>
      <c r="BE27" s="560">
        <v>0</v>
      </c>
      <c r="BF27" s="560">
        <v>0</v>
      </c>
      <c r="BG27" s="560">
        <v>0</v>
      </c>
      <c r="BH27" s="560">
        <v>0</v>
      </c>
      <c r="BI27" s="560">
        <v>0</v>
      </c>
      <c r="BJ27" s="560">
        <v>0</v>
      </c>
      <c r="BK27" s="560">
        <v>0</v>
      </c>
      <c r="BL27" s="560">
        <v>0</v>
      </c>
      <c r="BM27" s="560">
        <v>0</v>
      </c>
      <c r="BN27" s="560">
        <v>0</v>
      </c>
      <c r="BO27" s="560">
        <v>0</v>
      </c>
      <c r="BP27" s="561">
        <f t="shared" si="13"/>
        <v>0</v>
      </c>
      <c r="BQ27" s="561"/>
      <c r="BR27" s="561"/>
      <c r="BS27" s="561"/>
      <c r="BT27" s="561"/>
    </row>
    <row r="28" spans="1:72" ht="14.5">
      <c r="A28" s="569" t="s">
        <v>1087</v>
      </c>
      <c r="B28" s="562" t="s">
        <v>1101</v>
      </c>
      <c r="C28" s="562"/>
      <c r="D28" s="570" t="s">
        <v>40</v>
      </c>
      <c r="E28" s="949">
        <v>0</v>
      </c>
      <c r="F28" s="950">
        <v>0</v>
      </c>
      <c r="G28" s="949">
        <v>0</v>
      </c>
      <c r="H28" s="950">
        <v>0</v>
      </c>
      <c r="I28" s="949">
        <v>0</v>
      </c>
      <c r="J28" s="950">
        <v>0</v>
      </c>
      <c r="K28" s="632">
        <f t="shared" si="0"/>
        <v>0</v>
      </c>
      <c r="L28" s="631">
        <f t="shared" si="0"/>
        <v>0</v>
      </c>
      <c r="M28" s="949">
        <v>0</v>
      </c>
      <c r="N28" s="950">
        <v>0</v>
      </c>
      <c r="O28" s="949">
        <v>0</v>
      </c>
      <c r="P28" s="950">
        <v>0</v>
      </c>
      <c r="Q28" s="625">
        <v>0</v>
      </c>
      <c r="R28" s="949">
        <v>0</v>
      </c>
      <c r="S28" s="950">
        <v>0</v>
      </c>
      <c r="T28" s="625">
        <v>0</v>
      </c>
      <c r="U28" s="632">
        <f t="shared" si="1"/>
        <v>0</v>
      </c>
      <c r="V28" s="951">
        <f t="shared" si="10"/>
        <v>0</v>
      </c>
      <c r="W28" s="625">
        <f t="shared" si="2"/>
        <v>0</v>
      </c>
      <c r="X28" s="949">
        <v>100</v>
      </c>
      <c r="Y28" s="950">
        <v>0</v>
      </c>
      <c r="Z28" s="625">
        <v>100</v>
      </c>
      <c r="AA28" s="949">
        <v>0</v>
      </c>
      <c r="AB28" s="950">
        <f>142500000/10^6</f>
        <v>142.5</v>
      </c>
      <c r="AC28" s="625">
        <v>0</v>
      </c>
      <c r="AD28" s="949">
        <v>135</v>
      </c>
      <c r="AE28" s="554"/>
      <c r="AF28" s="625">
        <v>135</v>
      </c>
      <c r="AG28" s="953">
        <v>142.5</v>
      </c>
      <c r="AH28" s="632">
        <f t="shared" si="3"/>
        <v>235</v>
      </c>
      <c r="AI28" s="954">
        <f t="shared" si="4"/>
        <v>142.5</v>
      </c>
      <c r="AJ28" s="953">
        <f t="shared" si="5"/>
        <v>242.5</v>
      </c>
      <c r="AK28" s="949">
        <v>174</v>
      </c>
      <c r="AL28" s="554"/>
      <c r="AM28" s="625">
        <v>174</v>
      </c>
      <c r="AN28" s="953">
        <v>165</v>
      </c>
      <c r="AO28" s="949">
        <v>0</v>
      </c>
      <c r="AP28" s="554"/>
      <c r="AQ28" s="625">
        <v>0</v>
      </c>
      <c r="AR28" s="953">
        <v>0</v>
      </c>
      <c r="AS28" s="949">
        <v>0</v>
      </c>
      <c r="AT28" s="554"/>
      <c r="AU28" s="625">
        <v>0</v>
      </c>
      <c r="AV28" s="953">
        <v>0</v>
      </c>
      <c r="AW28" s="632">
        <f t="shared" si="6"/>
        <v>174</v>
      </c>
      <c r="AX28" s="954">
        <f t="shared" si="7"/>
        <v>0</v>
      </c>
      <c r="AY28" s="953">
        <f t="shared" si="8"/>
        <v>165</v>
      </c>
      <c r="AZ28" s="632">
        <f t="shared" si="9"/>
        <v>409</v>
      </c>
      <c r="BA28" s="955">
        <f t="shared" si="11"/>
        <v>451.5</v>
      </c>
      <c r="BB28" s="956">
        <f t="shared" si="12"/>
        <v>450</v>
      </c>
      <c r="BC28" s="957"/>
      <c r="BD28" s="560">
        <v>0</v>
      </c>
      <c r="BE28" s="560">
        <v>0</v>
      </c>
      <c r="BF28" s="560">
        <v>0</v>
      </c>
      <c r="BG28" s="560">
        <v>0</v>
      </c>
      <c r="BH28" s="560">
        <v>0</v>
      </c>
      <c r="BI28" s="560">
        <v>0</v>
      </c>
      <c r="BJ28" s="560">
        <v>0</v>
      </c>
      <c r="BK28" s="560">
        <v>142.5</v>
      </c>
      <c r="BL28" s="560">
        <v>142.5</v>
      </c>
      <c r="BM28" s="560">
        <v>165</v>
      </c>
      <c r="BN28" s="560">
        <v>0</v>
      </c>
      <c r="BO28" s="560">
        <v>0</v>
      </c>
      <c r="BP28" s="561">
        <f t="shared" si="13"/>
        <v>450</v>
      </c>
      <c r="BQ28" s="561"/>
      <c r="BR28" s="561"/>
      <c r="BS28" s="561"/>
      <c r="BT28" s="561"/>
    </row>
    <row r="29" spans="1:72" ht="14.5">
      <c r="A29" s="569" t="s">
        <v>1087</v>
      </c>
      <c r="B29" s="562" t="s">
        <v>1102</v>
      </c>
      <c r="C29" s="562"/>
      <c r="D29" s="570" t="s">
        <v>40</v>
      </c>
      <c r="E29" s="949">
        <v>0</v>
      </c>
      <c r="F29" s="950">
        <v>95</v>
      </c>
      <c r="G29" s="949">
        <v>95</v>
      </c>
      <c r="H29" s="950">
        <v>95</v>
      </c>
      <c r="I29" s="949">
        <v>95</v>
      </c>
      <c r="J29" s="950">
        <v>95</v>
      </c>
      <c r="K29" s="632">
        <f t="shared" si="0"/>
        <v>190</v>
      </c>
      <c r="L29" s="631">
        <f t="shared" si="0"/>
        <v>285</v>
      </c>
      <c r="M29" s="949">
        <v>95</v>
      </c>
      <c r="N29" s="950">
        <v>95</v>
      </c>
      <c r="O29" s="949">
        <v>115</v>
      </c>
      <c r="P29" s="950">
        <v>60</v>
      </c>
      <c r="Q29" s="625">
        <v>0</v>
      </c>
      <c r="R29" s="949">
        <v>0</v>
      </c>
      <c r="S29" s="950">
        <v>0</v>
      </c>
      <c r="T29" s="625">
        <v>0</v>
      </c>
      <c r="U29" s="632">
        <f t="shared" si="1"/>
        <v>210</v>
      </c>
      <c r="V29" s="951">
        <f t="shared" si="10"/>
        <v>155</v>
      </c>
      <c r="W29" s="625">
        <f t="shared" si="2"/>
        <v>95</v>
      </c>
      <c r="X29" s="949">
        <v>0</v>
      </c>
      <c r="Y29" s="950">
        <v>0</v>
      </c>
      <c r="Z29" s="625">
        <v>0</v>
      </c>
      <c r="AA29" s="949">
        <v>0</v>
      </c>
      <c r="AB29" s="950">
        <v>0</v>
      </c>
      <c r="AC29" s="625">
        <v>0</v>
      </c>
      <c r="AD29" s="949">
        <v>0</v>
      </c>
      <c r="AE29" s="554"/>
      <c r="AF29" s="625">
        <v>0</v>
      </c>
      <c r="AG29" s="953">
        <v>0</v>
      </c>
      <c r="AH29" s="632">
        <f t="shared" si="3"/>
        <v>0</v>
      </c>
      <c r="AI29" s="954">
        <f t="shared" si="4"/>
        <v>0</v>
      </c>
      <c r="AJ29" s="953">
        <f t="shared" si="5"/>
        <v>0</v>
      </c>
      <c r="AK29" s="949">
        <v>0</v>
      </c>
      <c r="AL29" s="554"/>
      <c r="AM29" s="625">
        <v>0</v>
      </c>
      <c r="AN29" s="953">
        <v>0</v>
      </c>
      <c r="AO29" s="949">
        <v>0</v>
      </c>
      <c r="AP29" s="554"/>
      <c r="AQ29" s="625">
        <v>0</v>
      </c>
      <c r="AR29" s="953">
        <v>0</v>
      </c>
      <c r="AS29" s="949">
        <v>0</v>
      </c>
      <c r="AT29" s="554"/>
      <c r="AU29" s="625">
        <v>0</v>
      </c>
      <c r="AV29" s="953">
        <v>0</v>
      </c>
      <c r="AW29" s="632">
        <f t="shared" si="6"/>
        <v>0</v>
      </c>
      <c r="AX29" s="954">
        <f t="shared" si="7"/>
        <v>0</v>
      </c>
      <c r="AY29" s="953">
        <f t="shared" si="8"/>
        <v>0</v>
      </c>
      <c r="AZ29" s="632">
        <f t="shared" si="9"/>
        <v>400</v>
      </c>
      <c r="BA29" s="955">
        <f t="shared" si="11"/>
        <v>440</v>
      </c>
      <c r="BB29" s="956">
        <f t="shared" si="12"/>
        <v>440</v>
      </c>
      <c r="BC29" s="957"/>
      <c r="BD29" s="560">
        <v>95</v>
      </c>
      <c r="BE29" s="560">
        <v>142.5</v>
      </c>
      <c r="BF29" s="560">
        <v>142.5</v>
      </c>
      <c r="BG29" s="560">
        <v>142.5</v>
      </c>
      <c r="BH29" s="560">
        <v>60</v>
      </c>
      <c r="BI29" s="560">
        <v>0</v>
      </c>
      <c r="BJ29" s="560">
        <v>0</v>
      </c>
      <c r="BK29" s="560">
        <v>0</v>
      </c>
      <c r="BL29" s="560">
        <v>0</v>
      </c>
      <c r="BM29" s="560">
        <v>0</v>
      </c>
      <c r="BN29" s="560">
        <v>0</v>
      </c>
      <c r="BO29" s="560">
        <v>0</v>
      </c>
      <c r="BP29" s="561">
        <f t="shared" si="13"/>
        <v>582.5</v>
      </c>
      <c r="BQ29" s="561"/>
      <c r="BR29" s="561"/>
      <c r="BS29" s="561"/>
      <c r="BT29" s="561"/>
    </row>
    <row r="30" spans="1:72" ht="14.5">
      <c r="A30" s="569" t="s">
        <v>1087</v>
      </c>
      <c r="B30" s="562" t="s">
        <v>1103</v>
      </c>
      <c r="C30" s="562"/>
      <c r="D30" s="570" t="s">
        <v>40</v>
      </c>
      <c r="E30" s="949">
        <v>42.5</v>
      </c>
      <c r="F30" s="950">
        <v>0</v>
      </c>
      <c r="G30" s="949">
        <v>0</v>
      </c>
      <c r="H30" s="950">
        <v>0</v>
      </c>
      <c r="I30" s="949">
        <v>0</v>
      </c>
      <c r="J30" s="950">
        <v>0</v>
      </c>
      <c r="K30" s="632">
        <f t="shared" si="0"/>
        <v>42.5</v>
      </c>
      <c r="L30" s="631">
        <f t="shared" si="0"/>
        <v>0</v>
      </c>
      <c r="M30" s="949">
        <v>0</v>
      </c>
      <c r="N30" s="950">
        <v>0</v>
      </c>
      <c r="O30" s="949">
        <v>0</v>
      </c>
      <c r="P30" s="950">
        <v>47.5</v>
      </c>
      <c r="Q30" s="625">
        <v>0</v>
      </c>
      <c r="R30" s="949">
        <v>47.5</v>
      </c>
      <c r="S30" s="950">
        <v>47.5</v>
      </c>
      <c r="T30" s="625">
        <v>47.5</v>
      </c>
      <c r="U30" s="632">
        <f t="shared" si="1"/>
        <v>47.5</v>
      </c>
      <c r="V30" s="951">
        <f t="shared" si="10"/>
        <v>95</v>
      </c>
      <c r="W30" s="625">
        <f t="shared" si="2"/>
        <v>47.5</v>
      </c>
      <c r="X30" s="949">
        <v>47.5</v>
      </c>
      <c r="Y30" s="950">
        <v>47.5</v>
      </c>
      <c r="Z30" s="625">
        <v>47.5</v>
      </c>
      <c r="AA30" s="949">
        <v>47.5</v>
      </c>
      <c r="AB30" s="950">
        <v>47.5</v>
      </c>
      <c r="AC30" s="625">
        <v>47.5</v>
      </c>
      <c r="AD30" s="949">
        <v>47.5</v>
      </c>
      <c r="AE30" s="554"/>
      <c r="AF30" s="625">
        <v>47.5</v>
      </c>
      <c r="AG30" s="953">
        <v>47.5</v>
      </c>
      <c r="AH30" s="632">
        <f t="shared" si="3"/>
        <v>142.5</v>
      </c>
      <c r="AI30" s="954">
        <f t="shared" si="4"/>
        <v>95</v>
      </c>
      <c r="AJ30" s="953">
        <f t="shared" si="5"/>
        <v>142.5</v>
      </c>
      <c r="AK30" s="949">
        <v>47.5</v>
      </c>
      <c r="AL30" s="554"/>
      <c r="AM30" s="625">
        <v>47.5</v>
      </c>
      <c r="AN30" s="953">
        <v>47.5</v>
      </c>
      <c r="AO30" s="949">
        <v>47.5</v>
      </c>
      <c r="AP30" s="554"/>
      <c r="AQ30" s="625">
        <v>47.5</v>
      </c>
      <c r="AR30" s="953">
        <v>47.5</v>
      </c>
      <c r="AS30" s="949">
        <v>47.5</v>
      </c>
      <c r="AT30" s="554"/>
      <c r="AU30" s="625">
        <v>47.5</v>
      </c>
      <c r="AV30" s="953">
        <v>47.5</v>
      </c>
      <c r="AW30" s="632">
        <f t="shared" si="6"/>
        <v>142.5</v>
      </c>
      <c r="AX30" s="954">
        <f t="shared" si="7"/>
        <v>0</v>
      </c>
      <c r="AY30" s="953">
        <f t="shared" si="8"/>
        <v>142.5</v>
      </c>
      <c r="AZ30" s="632">
        <f t="shared" si="9"/>
        <v>375</v>
      </c>
      <c r="BA30" s="955">
        <f t="shared" si="11"/>
        <v>380</v>
      </c>
      <c r="BB30" s="956">
        <f t="shared" si="12"/>
        <v>380</v>
      </c>
      <c r="BC30" s="957"/>
      <c r="BD30" s="560">
        <v>47.5</v>
      </c>
      <c r="BE30" s="560">
        <v>0</v>
      </c>
      <c r="BF30" s="560">
        <v>0</v>
      </c>
      <c r="BG30" s="560">
        <v>0</v>
      </c>
      <c r="BH30" s="560">
        <v>47.5</v>
      </c>
      <c r="BI30" s="560">
        <v>47.5</v>
      </c>
      <c r="BJ30" s="560">
        <v>47.5</v>
      </c>
      <c r="BK30" s="560">
        <v>47.5</v>
      </c>
      <c r="BL30" s="560">
        <v>47.5</v>
      </c>
      <c r="BM30" s="560">
        <v>47.5</v>
      </c>
      <c r="BN30" s="560">
        <v>47.5</v>
      </c>
      <c r="BO30" s="560">
        <v>47.5</v>
      </c>
      <c r="BP30" s="561">
        <f t="shared" si="13"/>
        <v>427.5</v>
      </c>
      <c r="BQ30" s="561"/>
      <c r="BR30" s="561"/>
      <c r="BS30" s="561"/>
      <c r="BT30" s="561"/>
    </row>
    <row r="31" spans="1:72" ht="14.5">
      <c r="A31" s="569" t="s">
        <v>1104</v>
      </c>
      <c r="B31" s="562" t="s">
        <v>1105</v>
      </c>
      <c r="C31" s="562"/>
      <c r="D31" s="570" t="s">
        <v>40</v>
      </c>
      <c r="E31" s="949">
        <v>0</v>
      </c>
      <c r="F31" s="950">
        <v>16.11</v>
      </c>
      <c r="G31" s="949">
        <v>0</v>
      </c>
      <c r="H31" s="950">
        <v>58.86</v>
      </c>
      <c r="I31" s="949">
        <v>0</v>
      </c>
      <c r="J31" s="950">
        <v>25.44</v>
      </c>
      <c r="K31" s="632">
        <f t="shared" si="0"/>
        <v>0</v>
      </c>
      <c r="L31" s="631">
        <f t="shared" si="0"/>
        <v>100.41</v>
      </c>
      <c r="M31" s="949">
        <v>0</v>
      </c>
      <c r="N31" s="950">
        <v>18.27</v>
      </c>
      <c r="O31" s="949">
        <v>0</v>
      </c>
      <c r="P31" s="950">
        <v>33.15</v>
      </c>
      <c r="Q31" s="625">
        <v>40</v>
      </c>
      <c r="R31" s="949">
        <v>0</v>
      </c>
      <c r="S31" s="950">
        <v>23.4</v>
      </c>
      <c r="T31" s="625">
        <v>40</v>
      </c>
      <c r="U31" s="632">
        <f t="shared" si="1"/>
        <v>0</v>
      </c>
      <c r="V31" s="951">
        <f t="shared" si="10"/>
        <v>74.819999999999993</v>
      </c>
      <c r="W31" s="625">
        <f t="shared" si="2"/>
        <v>98.27</v>
      </c>
      <c r="X31" s="949">
        <v>0</v>
      </c>
      <c r="Y31" s="950">
        <v>24.06</v>
      </c>
      <c r="Z31" s="625">
        <v>40</v>
      </c>
      <c r="AA31" s="949">
        <v>0</v>
      </c>
      <c r="AB31" s="950">
        <f>17760000/10^6</f>
        <v>17.760000000000002</v>
      </c>
      <c r="AC31" s="625">
        <v>40</v>
      </c>
      <c r="AD31" s="949">
        <v>0</v>
      </c>
      <c r="AE31" s="554"/>
      <c r="AF31" s="625">
        <v>40</v>
      </c>
      <c r="AG31" s="953">
        <v>20</v>
      </c>
      <c r="AH31" s="632">
        <f t="shared" si="3"/>
        <v>0</v>
      </c>
      <c r="AI31" s="954">
        <f t="shared" si="4"/>
        <v>41.82</v>
      </c>
      <c r="AJ31" s="953">
        <f t="shared" si="5"/>
        <v>100</v>
      </c>
      <c r="AK31" s="949">
        <v>0</v>
      </c>
      <c r="AL31" s="554"/>
      <c r="AM31" s="625">
        <v>40</v>
      </c>
      <c r="AN31" s="953">
        <v>20</v>
      </c>
      <c r="AO31" s="949">
        <v>0</v>
      </c>
      <c r="AP31" s="554"/>
      <c r="AQ31" s="625">
        <v>40</v>
      </c>
      <c r="AR31" s="953">
        <v>20</v>
      </c>
      <c r="AS31" s="949">
        <v>0</v>
      </c>
      <c r="AT31" s="554"/>
      <c r="AU31" s="625">
        <v>40</v>
      </c>
      <c r="AV31" s="953">
        <v>20</v>
      </c>
      <c r="AW31" s="632">
        <f t="shared" si="6"/>
        <v>0</v>
      </c>
      <c r="AX31" s="954">
        <f t="shared" si="7"/>
        <v>0</v>
      </c>
      <c r="AY31" s="953">
        <f t="shared" si="8"/>
        <v>60</v>
      </c>
      <c r="AZ31" s="632">
        <f t="shared" si="9"/>
        <v>0</v>
      </c>
      <c r="BA31" s="955">
        <f t="shared" si="11"/>
        <v>377.04999999999995</v>
      </c>
      <c r="BB31" s="956">
        <f t="shared" si="12"/>
        <v>297.04999999999995</v>
      </c>
      <c r="BC31" s="957"/>
      <c r="BD31" s="560">
        <v>22</v>
      </c>
      <c r="BE31" s="560">
        <v>22</v>
      </c>
      <c r="BF31" s="560">
        <v>22</v>
      </c>
      <c r="BG31" s="560">
        <v>22</v>
      </c>
      <c r="BH31" s="560">
        <v>22</v>
      </c>
      <c r="BI31" s="560">
        <v>22</v>
      </c>
      <c r="BJ31" s="560">
        <v>22</v>
      </c>
      <c r="BK31" s="560">
        <v>22</v>
      </c>
      <c r="BL31" s="560">
        <v>22</v>
      </c>
      <c r="BM31" s="560">
        <v>22</v>
      </c>
      <c r="BN31" s="560">
        <v>22</v>
      </c>
      <c r="BO31" s="560">
        <v>22</v>
      </c>
      <c r="BP31" s="561">
        <f t="shared" si="13"/>
        <v>264</v>
      </c>
      <c r="BQ31" s="561"/>
      <c r="BR31" s="561"/>
      <c r="BS31" s="561"/>
      <c r="BT31" s="561"/>
    </row>
    <row r="32" spans="1:72" ht="14.5">
      <c r="A32" s="569" t="s">
        <v>1076</v>
      </c>
      <c r="B32" s="562" t="s">
        <v>1106</v>
      </c>
      <c r="C32" s="562"/>
      <c r="D32" s="570" t="s">
        <v>40</v>
      </c>
      <c r="E32" s="949">
        <v>74.2</v>
      </c>
      <c r="F32" s="950">
        <v>76.195750000000004</v>
      </c>
      <c r="G32" s="949">
        <v>74.2</v>
      </c>
      <c r="H32" s="950">
        <v>74.2</v>
      </c>
      <c r="I32" s="949">
        <v>74.2</v>
      </c>
      <c r="J32" s="950">
        <v>80.448999999999998</v>
      </c>
      <c r="K32" s="632">
        <f t="shared" si="0"/>
        <v>222.60000000000002</v>
      </c>
      <c r="L32" s="631">
        <f t="shared" si="0"/>
        <v>230.84475000000003</v>
      </c>
      <c r="M32" s="949">
        <v>74.2</v>
      </c>
      <c r="N32" s="950">
        <v>84.248500000000007</v>
      </c>
      <c r="O32" s="949">
        <v>74.2</v>
      </c>
      <c r="P32" s="950">
        <v>73.447500000000005</v>
      </c>
      <c r="Q32" s="625">
        <v>74.2</v>
      </c>
      <c r="R32" s="949">
        <v>74.2</v>
      </c>
      <c r="S32" s="950">
        <v>77.903374999999997</v>
      </c>
      <c r="T32" s="625">
        <v>74.2</v>
      </c>
      <c r="U32" s="632">
        <f t="shared" si="1"/>
        <v>222.60000000000002</v>
      </c>
      <c r="V32" s="951">
        <f t="shared" si="10"/>
        <v>235.59937500000001</v>
      </c>
      <c r="W32" s="625">
        <f t="shared" si="2"/>
        <v>232.64850000000001</v>
      </c>
      <c r="X32" s="949">
        <v>74.2</v>
      </c>
      <c r="Y32" s="950">
        <v>74.132249999999999</v>
      </c>
      <c r="Z32" s="625">
        <v>74.2</v>
      </c>
      <c r="AA32" s="949">
        <v>74.2</v>
      </c>
      <c r="AB32" s="950">
        <f>82047750/10^6</f>
        <v>82.047749999999994</v>
      </c>
      <c r="AC32" s="625">
        <v>74.2</v>
      </c>
      <c r="AD32" s="949">
        <v>74.2</v>
      </c>
      <c r="AE32" s="554"/>
      <c r="AF32" s="625">
        <v>74.2</v>
      </c>
      <c r="AG32" s="953">
        <v>74.2</v>
      </c>
      <c r="AH32" s="632">
        <f t="shared" si="3"/>
        <v>222.60000000000002</v>
      </c>
      <c r="AI32" s="954">
        <f t="shared" si="4"/>
        <v>156.18</v>
      </c>
      <c r="AJ32" s="953">
        <f t="shared" si="5"/>
        <v>222.60000000000002</v>
      </c>
      <c r="AK32" s="949">
        <v>74.2</v>
      </c>
      <c r="AL32" s="554"/>
      <c r="AM32" s="625">
        <v>74.2</v>
      </c>
      <c r="AN32" s="953">
        <v>74.2</v>
      </c>
      <c r="AO32" s="949">
        <v>74.2</v>
      </c>
      <c r="AP32" s="554"/>
      <c r="AQ32" s="625">
        <v>74.2</v>
      </c>
      <c r="AR32" s="953">
        <v>74.2</v>
      </c>
      <c r="AS32" s="949">
        <v>74.2</v>
      </c>
      <c r="AT32" s="554"/>
      <c r="AU32" s="625">
        <v>74.2</v>
      </c>
      <c r="AV32" s="953">
        <v>74.2</v>
      </c>
      <c r="AW32" s="632">
        <f t="shared" si="6"/>
        <v>222.60000000000002</v>
      </c>
      <c r="AX32" s="954">
        <f t="shared" si="7"/>
        <v>0</v>
      </c>
      <c r="AY32" s="953">
        <f t="shared" si="8"/>
        <v>222.60000000000002</v>
      </c>
      <c r="AZ32" s="632">
        <f t="shared" si="9"/>
        <v>890.40000000000009</v>
      </c>
      <c r="BA32" s="955">
        <f t="shared" si="11"/>
        <v>919.42412500000023</v>
      </c>
      <c r="BB32" s="956">
        <f t="shared" si="12"/>
        <v>919.42412500000023</v>
      </c>
      <c r="BC32" s="957"/>
      <c r="BD32" s="560">
        <v>74.2</v>
      </c>
      <c r="BE32" s="560">
        <v>74.2</v>
      </c>
      <c r="BF32" s="560">
        <v>74.2</v>
      </c>
      <c r="BG32" s="560">
        <v>74.2</v>
      </c>
      <c r="BH32" s="560">
        <v>74.2</v>
      </c>
      <c r="BI32" s="560">
        <v>74.2</v>
      </c>
      <c r="BJ32" s="560">
        <v>74.2</v>
      </c>
      <c r="BK32" s="560">
        <v>74.2</v>
      </c>
      <c r="BL32" s="560">
        <v>74.2</v>
      </c>
      <c r="BM32" s="560">
        <v>74.2</v>
      </c>
      <c r="BN32" s="560">
        <v>74.2</v>
      </c>
      <c r="BO32" s="560">
        <v>74.2</v>
      </c>
      <c r="BP32" s="561">
        <f t="shared" si="13"/>
        <v>890.4000000000002</v>
      </c>
      <c r="BQ32" s="561"/>
      <c r="BR32" s="561"/>
      <c r="BS32" s="561"/>
      <c r="BT32" s="561"/>
    </row>
    <row r="33" spans="1:72" ht="14.5">
      <c r="A33" s="677" t="s">
        <v>1076</v>
      </c>
      <c r="B33" s="573" t="s">
        <v>1107</v>
      </c>
      <c r="C33" s="573"/>
      <c r="D33" s="574" t="s">
        <v>108</v>
      </c>
      <c r="E33" s="949">
        <v>278.25</v>
      </c>
      <c r="F33" s="950">
        <v>0</v>
      </c>
      <c r="G33" s="949">
        <v>278.25</v>
      </c>
      <c r="H33" s="950">
        <v>0</v>
      </c>
      <c r="I33" s="949">
        <v>278.25</v>
      </c>
      <c r="J33" s="950">
        <v>116.25</v>
      </c>
      <c r="K33" s="632">
        <f t="shared" si="0"/>
        <v>834.75</v>
      </c>
      <c r="L33" s="631">
        <f t="shared" si="0"/>
        <v>116.25</v>
      </c>
      <c r="M33" s="949">
        <v>278.25</v>
      </c>
      <c r="N33" s="950">
        <v>116.25</v>
      </c>
      <c r="O33" s="949">
        <v>278.25</v>
      </c>
      <c r="P33" s="950">
        <v>116.25</v>
      </c>
      <c r="Q33" s="625">
        <v>123.22499999999999</v>
      </c>
      <c r="R33" s="949">
        <v>278.25</v>
      </c>
      <c r="S33" s="950">
        <v>116.25</v>
      </c>
      <c r="T33" s="625">
        <v>123.22499999999999</v>
      </c>
      <c r="U33" s="632">
        <f t="shared" si="1"/>
        <v>834.75</v>
      </c>
      <c r="V33" s="951">
        <f t="shared" si="10"/>
        <v>348.75</v>
      </c>
      <c r="W33" s="625">
        <f t="shared" si="2"/>
        <v>362.7</v>
      </c>
      <c r="X33" s="949">
        <v>278.25</v>
      </c>
      <c r="Y33" s="950">
        <v>-116.25</v>
      </c>
      <c r="Z33" s="625">
        <v>123.22499999999999</v>
      </c>
      <c r="AA33" s="949">
        <v>278.25</v>
      </c>
      <c r="AB33" s="950">
        <f>116250000/10^6</f>
        <v>116.25</v>
      </c>
      <c r="AC33" s="625">
        <v>123.22499999999999</v>
      </c>
      <c r="AD33" s="949">
        <v>278.25</v>
      </c>
      <c r="AE33" s="554"/>
      <c r="AF33" s="625">
        <v>123.22499999999999</v>
      </c>
      <c r="AG33" s="953">
        <v>123.22499999999999</v>
      </c>
      <c r="AH33" s="632">
        <f t="shared" si="3"/>
        <v>834.75</v>
      </c>
      <c r="AI33" s="954">
        <f t="shared" si="4"/>
        <v>0</v>
      </c>
      <c r="AJ33" s="953">
        <f t="shared" si="5"/>
        <v>369.67499999999995</v>
      </c>
      <c r="AK33" s="949">
        <v>278.25</v>
      </c>
      <c r="AL33" s="554"/>
      <c r="AM33" s="625">
        <v>123.22499999999999</v>
      </c>
      <c r="AN33" s="953">
        <v>123.22499999999999</v>
      </c>
      <c r="AO33" s="949">
        <v>278.25</v>
      </c>
      <c r="AP33" s="554"/>
      <c r="AQ33" s="625">
        <v>123.22499999999999</v>
      </c>
      <c r="AR33" s="953">
        <v>123.22499999999999</v>
      </c>
      <c r="AS33" s="949">
        <v>278.25</v>
      </c>
      <c r="AT33" s="554"/>
      <c r="AU33" s="625">
        <v>123.22499999999999</v>
      </c>
      <c r="AV33" s="953">
        <v>123.22499999999999</v>
      </c>
      <c r="AW33" s="632">
        <f t="shared" si="6"/>
        <v>834.75</v>
      </c>
      <c r="AX33" s="954">
        <f t="shared" si="7"/>
        <v>0</v>
      </c>
      <c r="AY33" s="953">
        <f t="shared" si="8"/>
        <v>369.67499999999995</v>
      </c>
      <c r="AZ33" s="632">
        <f t="shared" si="9"/>
        <v>3339</v>
      </c>
      <c r="BA33" s="955">
        <f t="shared" si="11"/>
        <v>957.90000000000009</v>
      </c>
      <c r="BB33" s="956">
        <f t="shared" si="12"/>
        <v>957.90000000000009</v>
      </c>
      <c r="BC33" s="957"/>
      <c r="BD33" s="560">
        <v>123.22499999999999</v>
      </c>
      <c r="BE33" s="560">
        <v>123.22499999999999</v>
      </c>
      <c r="BF33" s="560">
        <v>123.22499999999999</v>
      </c>
      <c r="BG33" s="560">
        <v>123.22499999999999</v>
      </c>
      <c r="BH33" s="560">
        <v>123.22499999999999</v>
      </c>
      <c r="BI33" s="560">
        <v>123.22499999999999</v>
      </c>
      <c r="BJ33" s="560">
        <v>123.22499999999999</v>
      </c>
      <c r="BK33" s="560">
        <v>123.22499999999999</v>
      </c>
      <c r="BL33" s="560">
        <v>123.22499999999999</v>
      </c>
      <c r="BM33" s="560">
        <v>123.22499999999999</v>
      </c>
      <c r="BN33" s="560">
        <v>123.22499999999999</v>
      </c>
      <c r="BO33" s="560">
        <v>123.22499999999999</v>
      </c>
      <c r="BP33" s="561">
        <f t="shared" si="13"/>
        <v>1478.6999999999998</v>
      </c>
      <c r="BQ33" s="561"/>
      <c r="BR33" s="561"/>
      <c r="BS33" s="561"/>
      <c r="BT33" s="561"/>
    </row>
    <row r="34" spans="1:72" ht="14.5">
      <c r="A34" s="677" t="s">
        <v>1108</v>
      </c>
      <c r="B34" s="573" t="s">
        <v>1109</v>
      </c>
      <c r="C34" s="573"/>
      <c r="D34" s="574" t="s">
        <v>108</v>
      </c>
      <c r="E34" s="949">
        <v>0</v>
      </c>
      <c r="F34" s="950">
        <v>38.28</v>
      </c>
      <c r="G34" s="949">
        <v>0</v>
      </c>
      <c r="H34" s="950">
        <v>0</v>
      </c>
      <c r="I34" s="949">
        <v>0</v>
      </c>
      <c r="J34" s="950">
        <v>38.28</v>
      </c>
      <c r="K34" s="632">
        <f t="shared" si="0"/>
        <v>0</v>
      </c>
      <c r="L34" s="631">
        <f t="shared" si="0"/>
        <v>76.56</v>
      </c>
      <c r="M34" s="949">
        <v>0</v>
      </c>
      <c r="N34" s="950">
        <v>38.28</v>
      </c>
      <c r="O34" s="949">
        <v>0</v>
      </c>
      <c r="P34" s="950">
        <v>0</v>
      </c>
      <c r="Q34" s="625">
        <v>0</v>
      </c>
      <c r="R34" s="949">
        <v>0</v>
      </c>
      <c r="S34" s="950">
        <v>38.28</v>
      </c>
      <c r="T34" s="625">
        <v>0</v>
      </c>
      <c r="U34" s="632">
        <f t="shared" si="1"/>
        <v>0</v>
      </c>
      <c r="V34" s="951">
        <f t="shared" si="10"/>
        <v>76.56</v>
      </c>
      <c r="W34" s="625">
        <f t="shared" si="2"/>
        <v>38.28</v>
      </c>
      <c r="X34" s="949">
        <v>0</v>
      </c>
      <c r="Y34" s="950">
        <v>0</v>
      </c>
      <c r="Z34" s="625">
        <v>0</v>
      </c>
      <c r="AA34" s="949">
        <v>0</v>
      </c>
      <c r="AB34" s="950">
        <f>38280000/10^6</f>
        <v>38.28</v>
      </c>
      <c r="AC34" s="625">
        <v>0</v>
      </c>
      <c r="AD34" s="949">
        <v>0</v>
      </c>
      <c r="AE34" s="554"/>
      <c r="AF34" s="625">
        <v>0</v>
      </c>
      <c r="AG34" s="953">
        <v>0</v>
      </c>
      <c r="AH34" s="632">
        <f t="shared" si="3"/>
        <v>0</v>
      </c>
      <c r="AI34" s="954">
        <f t="shared" si="4"/>
        <v>38.28</v>
      </c>
      <c r="AJ34" s="953">
        <f t="shared" si="5"/>
        <v>0</v>
      </c>
      <c r="AK34" s="949">
        <v>0</v>
      </c>
      <c r="AL34" s="554"/>
      <c r="AM34" s="625">
        <v>0</v>
      </c>
      <c r="AN34" s="953">
        <v>0</v>
      </c>
      <c r="AO34" s="949">
        <v>0</v>
      </c>
      <c r="AP34" s="554"/>
      <c r="AQ34" s="625">
        <v>0</v>
      </c>
      <c r="AR34" s="953">
        <v>0</v>
      </c>
      <c r="AS34" s="949">
        <v>0</v>
      </c>
      <c r="AT34" s="554"/>
      <c r="AU34" s="625">
        <v>0</v>
      </c>
      <c r="AV34" s="953">
        <v>0</v>
      </c>
      <c r="AW34" s="632">
        <f t="shared" si="6"/>
        <v>0</v>
      </c>
      <c r="AX34" s="954">
        <f t="shared" si="7"/>
        <v>0</v>
      </c>
      <c r="AY34" s="953">
        <f t="shared" si="8"/>
        <v>0</v>
      </c>
      <c r="AZ34" s="632">
        <f t="shared" si="9"/>
        <v>0</v>
      </c>
      <c r="BA34" s="955">
        <f t="shared" si="11"/>
        <v>191.4</v>
      </c>
      <c r="BB34" s="956">
        <f t="shared" si="12"/>
        <v>191.4</v>
      </c>
      <c r="BC34" s="957"/>
      <c r="BD34" s="560">
        <v>38.28</v>
      </c>
      <c r="BE34" s="560">
        <v>0</v>
      </c>
      <c r="BF34" s="560">
        <v>38.28</v>
      </c>
      <c r="BG34" s="560">
        <v>38.28</v>
      </c>
      <c r="BH34" s="560">
        <v>0</v>
      </c>
      <c r="BI34" s="560">
        <v>38.28</v>
      </c>
      <c r="BJ34" s="560">
        <v>0</v>
      </c>
      <c r="BK34" s="560">
        <v>38.28</v>
      </c>
      <c r="BL34" s="560">
        <v>0</v>
      </c>
      <c r="BM34" s="560">
        <v>38.28</v>
      </c>
      <c r="BN34" s="560">
        <v>0</v>
      </c>
      <c r="BO34" s="560">
        <v>38.28</v>
      </c>
      <c r="BP34" s="561">
        <f t="shared" si="13"/>
        <v>267.96000000000004</v>
      </c>
      <c r="BQ34" s="561"/>
      <c r="BR34" s="561"/>
      <c r="BS34" s="561"/>
      <c r="BT34" s="561"/>
    </row>
    <row r="35" spans="1:72" ht="14.5">
      <c r="A35" s="677" t="s">
        <v>1104</v>
      </c>
      <c r="B35" s="573" t="s">
        <v>1110</v>
      </c>
      <c r="C35" s="573"/>
      <c r="D35" s="574" t="s">
        <v>108</v>
      </c>
      <c r="E35" s="949">
        <v>0</v>
      </c>
      <c r="F35" s="950">
        <v>0</v>
      </c>
      <c r="G35" s="949">
        <v>0</v>
      </c>
      <c r="H35" s="950">
        <v>4.1734</v>
      </c>
      <c r="I35" s="949">
        <v>0</v>
      </c>
      <c r="J35" s="950">
        <v>38.968200000000003</v>
      </c>
      <c r="K35" s="632">
        <f t="shared" si="0"/>
        <v>0</v>
      </c>
      <c r="L35" s="631">
        <f t="shared" si="0"/>
        <v>43.141600000000004</v>
      </c>
      <c r="M35" s="949">
        <v>0</v>
      </c>
      <c r="N35" s="950">
        <v>2.8144</v>
      </c>
      <c r="O35" s="949">
        <v>0</v>
      </c>
      <c r="P35" s="950">
        <v>0</v>
      </c>
      <c r="Q35" s="625">
        <v>20</v>
      </c>
      <c r="R35" s="949">
        <v>0</v>
      </c>
      <c r="S35" s="950">
        <v>0.72883200000000004</v>
      </c>
      <c r="T35" s="625">
        <v>20</v>
      </c>
      <c r="U35" s="632">
        <f t="shared" si="1"/>
        <v>0</v>
      </c>
      <c r="V35" s="951">
        <f t="shared" si="10"/>
        <v>3.5432320000000002</v>
      </c>
      <c r="W35" s="625">
        <f t="shared" si="2"/>
        <v>42.814399999999999</v>
      </c>
      <c r="X35" s="949">
        <v>0</v>
      </c>
      <c r="Y35" s="950">
        <v>0</v>
      </c>
      <c r="Z35" s="625">
        <v>20</v>
      </c>
      <c r="AA35" s="949">
        <v>0</v>
      </c>
      <c r="AB35" s="950">
        <v>0</v>
      </c>
      <c r="AC35" s="625">
        <v>20</v>
      </c>
      <c r="AD35" s="949">
        <v>0</v>
      </c>
      <c r="AE35" s="554"/>
      <c r="AF35" s="625">
        <v>20</v>
      </c>
      <c r="AG35" s="953">
        <v>0</v>
      </c>
      <c r="AH35" s="632">
        <f t="shared" si="3"/>
        <v>0</v>
      </c>
      <c r="AI35" s="954">
        <f t="shared" si="4"/>
        <v>0</v>
      </c>
      <c r="AJ35" s="953">
        <f t="shared" si="5"/>
        <v>40</v>
      </c>
      <c r="AK35" s="949">
        <v>0</v>
      </c>
      <c r="AL35" s="554"/>
      <c r="AM35" s="625">
        <v>20</v>
      </c>
      <c r="AN35" s="953">
        <v>38.28</v>
      </c>
      <c r="AO35" s="949">
        <v>0</v>
      </c>
      <c r="AP35" s="554"/>
      <c r="AQ35" s="625">
        <v>20</v>
      </c>
      <c r="AR35" s="953">
        <v>0</v>
      </c>
      <c r="AS35" s="949">
        <v>0</v>
      </c>
      <c r="AT35" s="554"/>
      <c r="AU35" s="625">
        <v>20</v>
      </c>
      <c r="AV35" s="953">
        <v>38.28</v>
      </c>
      <c r="AW35" s="632">
        <f t="shared" si="6"/>
        <v>0</v>
      </c>
      <c r="AX35" s="954">
        <f t="shared" si="7"/>
        <v>0</v>
      </c>
      <c r="AY35" s="953">
        <f t="shared" si="8"/>
        <v>76.56</v>
      </c>
      <c r="AZ35" s="632">
        <f t="shared" si="9"/>
        <v>0</v>
      </c>
      <c r="BA35" s="955">
        <f t="shared" si="11"/>
        <v>126.684832</v>
      </c>
      <c r="BB35" s="956">
        <f t="shared" si="12"/>
        <v>123.244832</v>
      </c>
      <c r="BC35" s="957"/>
      <c r="BD35" s="560">
        <v>0</v>
      </c>
      <c r="BE35" s="560">
        <v>0</v>
      </c>
      <c r="BF35" s="560">
        <v>0</v>
      </c>
      <c r="BG35" s="560">
        <v>0</v>
      </c>
      <c r="BH35" s="560">
        <v>0</v>
      </c>
      <c r="BI35" s="560">
        <v>0</v>
      </c>
      <c r="BJ35" s="560">
        <v>0</v>
      </c>
      <c r="BK35" s="560">
        <v>0</v>
      </c>
      <c r="BL35" s="560">
        <v>0</v>
      </c>
      <c r="BM35" s="560">
        <v>0</v>
      </c>
      <c r="BN35" s="560">
        <v>0</v>
      </c>
      <c r="BO35" s="560">
        <v>0</v>
      </c>
      <c r="BP35" s="561">
        <f t="shared" si="13"/>
        <v>0</v>
      </c>
      <c r="BQ35" s="561"/>
      <c r="BR35" s="561"/>
      <c r="BS35" s="561"/>
      <c r="BT35" s="561"/>
    </row>
    <row r="36" spans="1:72" ht="14.5">
      <c r="A36" s="677" t="s">
        <v>1076</v>
      </c>
      <c r="B36" s="573" t="s">
        <v>1111</v>
      </c>
      <c r="C36" s="573"/>
      <c r="D36" s="574" t="s">
        <v>108</v>
      </c>
      <c r="E36" s="949">
        <v>0</v>
      </c>
      <c r="F36" s="950">
        <v>0</v>
      </c>
      <c r="G36" s="949">
        <v>0</v>
      </c>
      <c r="H36" s="950">
        <v>647.06640000000004</v>
      </c>
      <c r="I36" s="949">
        <v>0</v>
      </c>
      <c r="J36" s="950">
        <v>545.75842499999999</v>
      </c>
      <c r="K36" s="632">
        <f t="shared" si="0"/>
        <v>0</v>
      </c>
      <c r="L36" s="631">
        <f t="shared" si="0"/>
        <v>1192.8248250000001</v>
      </c>
      <c r="M36" s="949">
        <v>0</v>
      </c>
      <c r="N36" s="950">
        <v>966.94115499999998</v>
      </c>
      <c r="O36" s="949">
        <v>0</v>
      </c>
      <c r="P36" s="950">
        <v>269.81486999999998</v>
      </c>
      <c r="Q36" s="625">
        <v>0</v>
      </c>
      <c r="R36" s="949">
        <v>0</v>
      </c>
      <c r="S36" s="950">
        <v>3.8</v>
      </c>
      <c r="T36" s="625">
        <v>127.2</v>
      </c>
      <c r="U36" s="632">
        <f t="shared" si="1"/>
        <v>0</v>
      </c>
      <c r="V36" s="951">
        <f t="shared" si="10"/>
        <v>1240.5560249999999</v>
      </c>
      <c r="W36" s="625">
        <f t="shared" si="2"/>
        <v>1094.141155</v>
      </c>
      <c r="X36" s="949">
        <v>0</v>
      </c>
      <c r="Y36" s="950">
        <v>0.9</v>
      </c>
      <c r="Z36" s="625">
        <v>127.2</v>
      </c>
      <c r="AA36" s="949">
        <v>0</v>
      </c>
      <c r="AB36" s="950">
        <f>84806780/10^6</f>
        <v>84.806780000000003</v>
      </c>
      <c r="AC36" s="625">
        <v>127.2</v>
      </c>
      <c r="AD36" s="949">
        <v>0</v>
      </c>
      <c r="AE36" s="554"/>
      <c r="AF36" s="625">
        <v>127.2</v>
      </c>
      <c r="AG36" s="953">
        <v>212.94760000000002</v>
      </c>
      <c r="AH36" s="632">
        <f t="shared" si="3"/>
        <v>0</v>
      </c>
      <c r="AI36" s="954">
        <f t="shared" si="4"/>
        <v>85.706780000000009</v>
      </c>
      <c r="AJ36" s="953">
        <f t="shared" si="5"/>
        <v>467.34760000000006</v>
      </c>
      <c r="AK36" s="949">
        <v>0</v>
      </c>
      <c r="AL36" s="554"/>
      <c r="AM36" s="625">
        <v>127.2</v>
      </c>
      <c r="AN36" s="953">
        <v>264.39999999999998</v>
      </c>
      <c r="AO36" s="949">
        <v>0</v>
      </c>
      <c r="AP36" s="554"/>
      <c r="AQ36" s="625">
        <v>127.2</v>
      </c>
      <c r="AR36" s="953">
        <v>264.39999999999998</v>
      </c>
      <c r="AS36" s="949">
        <v>0</v>
      </c>
      <c r="AT36" s="554"/>
      <c r="AU36" s="625">
        <v>127.2</v>
      </c>
      <c r="AV36" s="953">
        <v>264.39999999999998</v>
      </c>
      <c r="AW36" s="632">
        <f t="shared" si="6"/>
        <v>0</v>
      </c>
      <c r="AX36" s="954">
        <f t="shared" si="7"/>
        <v>0</v>
      </c>
      <c r="AY36" s="953">
        <f t="shared" si="8"/>
        <v>793.19999999999993</v>
      </c>
      <c r="AZ36" s="632">
        <f t="shared" si="9"/>
        <v>0</v>
      </c>
      <c r="BA36" s="955">
        <f t="shared" si="11"/>
        <v>3027.8876299999993</v>
      </c>
      <c r="BB36" s="956">
        <f t="shared" si="12"/>
        <v>3525.2352300000002</v>
      </c>
      <c r="BC36" s="957"/>
      <c r="BD36" s="560">
        <v>138.19999999999999</v>
      </c>
      <c r="BE36" s="560">
        <v>138.19999999999999</v>
      </c>
      <c r="BF36" s="560">
        <v>138.19999999999999</v>
      </c>
      <c r="BG36" s="560">
        <v>138.19999999999999</v>
      </c>
      <c r="BH36" s="560">
        <v>138.19999999999999</v>
      </c>
      <c r="BI36" s="560">
        <v>138.19999999999999</v>
      </c>
      <c r="BJ36" s="560">
        <v>138.19999999999999</v>
      </c>
      <c r="BK36" s="560">
        <v>138.19999999999999</v>
      </c>
      <c r="BL36" s="560">
        <v>138.19999999999999</v>
      </c>
      <c r="BM36" s="560">
        <v>138.19999999999999</v>
      </c>
      <c r="BN36" s="560">
        <v>138.19999999999999</v>
      </c>
      <c r="BO36" s="560">
        <v>138.19999999999999</v>
      </c>
      <c r="BP36" s="561">
        <f t="shared" si="13"/>
        <v>1658.4000000000003</v>
      </c>
      <c r="BQ36" s="561"/>
      <c r="BR36" s="561"/>
      <c r="BS36" s="561"/>
      <c r="BT36" s="561"/>
    </row>
    <row r="37" spans="1:72" ht="14.5">
      <c r="A37" s="677" t="s">
        <v>1076</v>
      </c>
      <c r="B37" s="573" t="s">
        <v>1112</v>
      </c>
      <c r="C37" s="573"/>
      <c r="D37" s="574" t="s">
        <v>108</v>
      </c>
      <c r="E37" s="949">
        <v>0</v>
      </c>
      <c r="F37" s="950">
        <v>0</v>
      </c>
      <c r="G37" s="949">
        <v>0</v>
      </c>
      <c r="H37" s="950">
        <v>0</v>
      </c>
      <c r="I37" s="949">
        <v>0</v>
      </c>
      <c r="J37" s="950">
        <v>0</v>
      </c>
      <c r="K37" s="632">
        <f t="shared" si="0"/>
        <v>0</v>
      </c>
      <c r="L37" s="631">
        <f t="shared" si="0"/>
        <v>0</v>
      </c>
      <c r="M37" s="949">
        <v>0</v>
      </c>
      <c r="N37" s="950">
        <v>0</v>
      </c>
      <c r="O37" s="949">
        <v>0</v>
      </c>
      <c r="P37" s="950">
        <v>426.66666700000002</v>
      </c>
      <c r="Q37" s="625">
        <v>452.26666666666671</v>
      </c>
      <c r="R37" s="949">
        <v>0</v>
      </c>
      <c r="S37" s="950">
        <v>427.88666699999999</v>
      </c>
      <c r="T37" s="625">
        <v>452.26666666666671</v>
      </c>
      <c r="U37" s="632">
        <f t="shared" si="1"/>
        <v>0</v>
      </c>
      <c r="V37" s="951">
        <f t="shared" si="10"/>
        <v>854.55333399999995</v>
      </c>
      <c r="W37" s="625">
        <f t="shared" si="2"/>
        <v>904.53333333333342</v>
      </c>
      <c r="X37" s="949">
        <v>0</v>
      </c>
      <c r="Y37" s="950">
        <v>427.186666</v>
      </c>
      <c r="Z37" s="625">
        <v>452.26666666666671</v>
      </c>
      <c r="AA37" s="949">
        <v>0</v>
      </c>
      <c r="AB37" s="950">
        <f>2380000/10^6</f>
        <v>2.38</v>
      </c>
      <c r="AC37" s="625">
        <v>0</v>
      </c>
      <c r="AD37" s="949">
        <v>0</v>
      </c>
      <c r="AE37" s="554"/>
      <c r="AF37" s="625">
        <v>0</v>
      </c>
      <c r="AG37" s="953">
        <v>0</v>
      </c>
      <c r="AH37" s="632">
        <f t="shared" si="3"/>
        <v>0</v>
      </c>
      <c r="AI37" s="954">
        <f t="shared" si="4"/>
        <v>429.566666</v>
      </c>
      <c r="AJ37" s="953">
        <f t="shared" si="5"/>
        <v>452.26666666666671</v>
      </c>
      <c r="AK37" s="949">
        <v>0</v>
      </c>
      <c r="AL37" s="554"/>
      <c r="AM37" s="625">
        <v>0</v>
      </c>
      <c r="AN37" s="953">
        <v>301.51111111111106</v>
      </c>
      <c r="AO37" s="949">
        <v>0</v>
      </c>
      <c r="AP37" s="554"/>
      <c r="AQ37" s="625">
        <v>0</v>
      </c>
      <c r="AR37" s="953">
        <v>301.51111111111106</v>
      </c>
      <c r="AS37" s="949">
        <v>0</v>
      </c>
      <c r="AT37" s="554"/>
      <c r="AU37" s="625">
        <v>0</v>
      </c>
      <c r="AV37" s="953">
        <v>301.51111111111106</v>
      </c>
      <c r="AW37" s="632">
        <f t="shared" si="6"/>
        <v>0</v>
      </c>
      <c r="AX37" s="954">
        <f t="shared" si="7"/>
        <v>0</v>
      </c>
      <c r="AY37" s="953">
        <f t="shared" si="8"/>
        <v>904.53333333333319</v>
      </c>
      <c r="AZ37" s="632">
        <f t="shared" si="9"/>
        <v>0</v>
      </c>
      <c r="BA37" s="955">
        <f t="shared" si="11"/>
        <v>1284.1200000000001</v>
      </c>
      <c r="BB37" s="956">
        <f t="shared" si="12"/>
        <v>2188.6533333333332</v>
      </c>
      <c r="BC37" s="957"/>
      <c r="BD37" s="560">
        <v>0</v>
      </c>
      <c r="BE37" s="560">
        <v>113.06666666666668</v>
      </c>
      <c r="BF37" s="560">
        <v>113.06666666666668</v>
      </c>
      <c r="BG37" s="560">
        <v>113.06666666666668</v>
      </c>
      <c r="BH37" s="560">
        <v>0</v>
      </c>
      <c r="BI37" s="560">
        <v>0</v>
      </c>
      <c r="BJ37" s="560">
        <v>0</v>
      </c>
      <c r="BK37" s="560">
        <v>113.06666666666668</v>
      </c>
      <c r="BL37" s="560">
        <v>113.06666666666668</v>
      </c>
      <c r="BM37" s="560">
        <v>113.06666666666668</v>
      </c>
      <c r="BN37" s="560">
        <v>0</v>
      </c>
      <c r="BO37" s="560">
        <v>0</v>
      </c>
      <c r="BP37" s="561">
        <f t="shared" si="13"/>
        <v>678.40000000000009</v>
      </c>
      <c r="BQ37" s="561"/>
      <c r="BR37" s="561"/>
      <c r="BS37" s="561"/>
      <c r="BT37" s="561"/>
    </row>
    <row r="38" spans="1:72" ht="14.5">
      <c r="A38" s="678" t="s">
        <v>1076</v>
      </c>
      <c r="B38" s="675" t="s">
        <v>1113</v>
      </c>
      <c r="C38" s="675"/>
      <c r="D38" s="676" t="s">
        <v>121</v>
      </c>
      <c r="E38" s="949">
        <v>656.08397887287708</v>
      </c>
      <c r="F38" s="950">
        <v>0</v>
      </c>
      <c r="G38" s="949">
        <v>657.72418882005934</v>
      </c>
      <c r="H38" s="950">
        <v>0</v>
      </c>
      <c r="I38" s="949">
        <v>659.36849929210939</v>
      </c>
      <c r="J38" s="950">
        <v>0</v>
      </c>
      <c r="K38" s="631">
        <f t="shared" ref="K38:L65" si="14">SUM(E38,G38,I38)</f>
        <v>1973.1766669850458</v>
      </c>
      <c r="L38" s="631">
        <f t="shared" si="14"/>
        <v>0</v>
      </c>
      <c r="M38" s="949">
        <v>661.0169205403397</v>
      </c>
      <c r="N38" s="950">
        <v>0</v>
      </c>
      <c r="O38" s="949">
        <v>662.66946284169035</v>
      </c>
      <c r="P38" s="950">
        <v>0</v>
      </c>
      <c r="Q38" s="625">
        <v>0</v>
      </c>
      <c r="R38" s="949">
        <v>664.32613649879465</v>
      </c>
      <c r="S38" s="950">
        <v>0</v>
      </c>
      <c r="T38" s="625">
        <v>0</v>
      </c>
      <c r="U38" s="631">
        <f t="shared" ref="U38:U65" si="15">SUM(M38,O38,R38)</f>
        <v>1988.0125198808246</v>
      </c>
      <c r="V38" s="951">
        <f t="shared" si="10"/>
        <v>0</v>
      </c>
      <c r="W38" s="625">
        <f t="shared" ref="W38:W65" si="16">SUM(N38,Q38,T38)</f>
        <v>0</v>
      </c>
      <c r="X38" s="949">
        <v>665.98695184004146</v>
      </c>
      <c r="Y38" s="950">
        <v>0</v>
      </c>
      <c r="Z38" s="625">
        <v>1306.45</v>
      </c>
      <c r="AA38" s="949">
        <v>667.65191921964151</v>
      </c>
      <c r="AB38" s="950">
        <v>0</v>
      </c>
      <c r="AC38" s="625">
        <v>1306.45</v>
      </c>
      <c r="AD38" s="949">
        <v>669.32104901769048</v>
      </c>
      <c r="AE38" s="554"/>
      <c r="AF38" s="625">
        <v>1306.45</v>
      </c>
      <c r="AG38" s="953">
        <v>0</v>
      </c>
      <c r="AH38" s="631">
        <f t="shared" ref="AH38:AH65" si="17">SUM(X38,AA38,AD38)</f>
        <v>2002.9599200773735</v>
      </c>
      <c r="AI38" s="954">
        <f t="shared" ref="AI38:AI59" si="18">Y38+AB38+AE38</f>
        <v>0</v>
      </c>
      <c r="AJ38" s="953">
        <f t="shared" ref="AJ38:AJ65" si="19">SUM(Z38,AC38,AG38)</f>
        <v>2612.9</v>
      </c>
      <c r="AK38" s="949">
        <v>670.99435164023475</v>
      </c>
      <c r="AL38" s="554"/>
      <c r="AM38" s="625">
        <v>1306.45</v>
      </c>
      <c r="AN38" s="953">
        <v>0</v>
      </c>
      <c r="AO38" s="949">
        <v>672.67183751933521</v>
      </c>
      <c r="AP38" s="554"/>
      <c r="AQ38" s="625">
        <v>1306.45</v>
      </c>
      <c r="AR38" s="953">
        <v>0</v>
      </c>
      <c r="AS38" s="949">
        <v>674.35351711313365</v>
      </c>
      <c r="AT38" s="554"/>
      <c r="AU38" s="625">
        <v>1306.45</v>
      </c>
      <c r="AV38" s="953">
        <v>0</v>
      </c>
      <c r="AW38" s="631">
        <f t="shared" ref="AW38:AW65" si="20">SUM(AK38,AO38,AS38)</f>
        <v>2018.0197062727036</v>
      </c>
      <c r="AX38" s="954">
        <f t="shared" ref="AX38:AX59" si="21">AL38+AP38+AT38</f>
        <v>0</v>
      </c>
      <c r="AY38" s="953">
        <f t="shared" ref="AY38:AY65" si="22">SUM(AN38,AR38,AV38)</f>
        <v>0</v>
      </c>
      <c r="AZ38" s="631">
        <f t="shared" ref="AZ38:AZ65" si="23">SUM(AW38,AH38,U38,K38)</f>
        <v>7982.168813215947</v>
      </c>
      <c r="BA38" s="955">
        <f t="shared" si="11"/>
        <v>5225.8</v>
      </c>
      <c r="BB38" s="956">
        <f t="shared" si="12"/>
        <v>0</v>
      </c>
      <c r="BC38" s="957"/>
      <c r="BD38" s="560">
        <v>0</v>
      </c>
      <c r="BE38" s="560">
        <v>0</v>
      </c>
      <c r="BF38" s="560">
        <v>0</v>
      </c>
      <c r="BG38" s="560">
        <v>1401.4675195254506</v>
      </c>
      <c r="BH38" s="560">
        <v>1404.9711883242642</v>
      </c>
      <c r="BI38" s="560">
        <v>1408.4836162950749</v>
      </c>
      <c r="BJ38" s="560">
        <v>1412.0048253358125</v>
      </c>
      <c r="BK38" s="560">
        <v>1415.5348373991521</v>
      </c>
      <c r="BL38" s="560">
        <v>1419.0736744926498</v>
      </c>
      <c r="BM38" s="560">
        <v>1422.6213586788813</v>
      </c>
      <c r="BN38" s="560">
        <v>1426.1779120755784</v>
      </c>
      <c r="BO38" s="560">
        <v>1429.7433568557674</v>
      </c>
      <c r="BP38" s="561">
        <f t="shared" si="13"/>
        <v>12740.078288982631</v>
      </c>
      <c r="BQ38" s="561"/>
      <c r="BR38" s="561"/>
      <c r="BS38" s="561"/>
      <c r="BT38" s="561"/>
    </row>
    <row r="39" spans="1:72" ht="14.5">
      <c r="A39" s="678" t="s">
        <v>1087</v>
      </c>
      <c r="B39" s="675" t="s">
        <v>1114</v>
      </c>
      <c r="C39" s="675"/>
      <c r="D39" s="676" t="s">
        <v>121</v>
      </c>
      <c r="E39" s="949">
        <v>142.5</v>
      </c>
      <c r="F39" s="950">
        <v>0</v>
      </c>
      <c r="G39" s="949">
        <v>0</v>
      </c>
      <c r="H39" s="950">
        <v>0</v>
      </c>
      <c r="I39" s="949">
        <v>0</v>
      </c>
      <c r="J39" s="950">
        <v>0</v>
      </c>
      <c r="K39" s="632">
        <f t="shared" si="14"/>
        <v>142.5</v>
      </c>
      <c r="L39" s="631">
        <f t="shared" si="14"/>
        <v>0</v>
      </c>
      <c r="M39" s="949">
        <v>0</v>
      </c>
      <c r="N39" s="950">
        <v>0</v>
      </c>
      <c r="O39" s="949">
        <v>0</v>
      </c>
      <c r="P39" s="950">
        <v>0</v>
      </c>
      <c r="Q39" s="625">
        <v>0</v>
      </c>
      <c r="R39" s="949">
        <v>0</v>
      </c>
      <c r="S39" s="950">
        <v>0</v>
      </c>
      <c r="T39" s="625">
        <v>0</v>
      </c>
      <c r="U39" s="632">
        <f t="shared" si="15"/>
        <v>0</v>
      </c>
      <c r="V39" s="951">
        <f t="shared" si="10"/>
        <v>0</v>
      </c>
      <c r="W39" s="625">
        <f t="shared" si="16"/>
        <v>0</v>
      </c>
      <c r="X39" s="949">
        <v>0</v>
      </c>
      <c r="Y39" s="950">
        <v>0</v>
      </c>
      <c r="Z39" s="625">
        <v>0</v>
      </c>
      <c r="AA39" s="949">
        <v>0</v>
      </c>
      <c r="AB39" s="950">
        <v>0</v>
      </c>
      <c r="AC39" s="625">
        <v>0</v>
      </c>
      <c r="AD39" s="949">
        <v>0</v>
      </c>
      <c r="AE39" s="554"/>
      <c r="AF39" s="625">
        <v>0</v>
      </c>
      <c r="AG39" s="953">
        <v>0</v>
      </c>
      <c r="AH39" s="632">
        <f t="shared" si="17"/>
        <v>0</v>
      </c>
      <c r="AI39" s="954">
        <f t="shared" si="18"/>
        <v>0</v>
      </c>
      <c r="AJ39" s="953">
        <f t="shared" si="19"/>
        <v>0</v>
      </c>
      <c r="AK39" s="949">
        <v>142.5</v>
      </c>
      <c r="AL39" s="554"/>
      <c r="AM39" s="625">
        <v>0</v>
      </c>
      <c r="AN39" s="953">
        <v>0</v>
      </c>
      <c r="AO39" s="949">
        <v>142.5</v>
      </c>
      <c r="AP39" s="554"/>
      <c r="AQ39" s="625">
        <v>0</v>
      </c>
      <c r="AR39" s="953">
        <v>0</v>
      </c>
      <c r="AS39" s="949">
        <v>142.5</v>
      </c>
      <c r="AT39" s="554"/>
      <c r="AU39" s="625">
        <v>0</v>
      </c>
      <c r="AV39" s="953">
        <v>0</v>
      </c>
      <c r="AW39" s="632">
        <f t="shared" si="20"/>
        <v>427.5</v>
      </c>
      <c r="AX39" s="954">
        <f t="shared" si="21"/>
        <v>0</v>
      </c>
      <c r="AY39" s="953">
        <f t="shared" si="22"/>
        <v>0</v>
      </c>
      <c r="AZ39" s="632">
        <f t="shared" si="23"/>
        <v>570</v>
      </c>
      <c r="BA39" s="955">
        <f t="shared" si="11"/>
        <v>0</v>
      </c>
      <c r="BB39" s="956">
        <f t="shared" si="12"/>
        <v>0</v>
      </c>
      <c r="BC39" s="957"/>
      <c r="BD39" s="560">
        <v>0</v>
      </c>
      <c r="BE39" s="560">
        <v>0</v>
      </c>
      <c r="BF39" s="560">
        <v>0</v>
      </c>
      <c r="BG39" s="560">
        <v>0</v>
      </c>
      <c r="BH39" s="560">
        <v>0</v>
      </c>
      <c r="BI39" s="560">
        <v>0</v>
      </c>
      <c r="BJ39" s="560">
        <v>0</v>
      </c>
      <c r="BK39" s="560">
        <v>0</v>
      </c>
      <c r="BL39" s="560">
        <v>0</v>
      </c>
      <c r="BM39" s="560">
        <v>0</v>
      </c>
      <c r="BN39" s="560">
        <v>0</v>
      </c>
      <c r="BO39" s="560">
        <v>0</v>
      </c>
      <c r="BP39" s="561">
        <f t="shared" si="13"/>
        <v>0</v>
      </c>
      <c r="BQ39" s="561"/>
      <c r="BR39" s="561"/>
      <c r="BS39" s="561"/>
      <c r="BT39" s="561"/>
    </row>
    <row r="40" spans="1:72" ht="14.5">
      <c r="A40" s="678" t="s">
        <v>1087</v>
      </c>
      <c r="B40" s="675" t="s">
        <v>1115</v>
      </c>
      <c r="C40" s="675"/>
      <c r="D40" s="676" t="s">
        <v>121</v>
      </c>
      <c r="E40" s="949">
        <v>142.5</v>
      </c>
      <c r="F40" s="950">
        <v>0</v>
      </c>
      <c r="G40" s="949">
        <v>172.5</v>
      </c>
      <c r="H40" s="950">
        <v>0</v>
      </c>
      <c r="I40" s="949">
        <v>0</v>
      </c>
      <c r="J40" s="950">
        <v>0</v>
      </c>
      <c r="K40" s="632">
        <f t="shared" si="14"/>
        <v>315</v>
      </c>
      <c r="L40" s="631">
        <f t="shared" si="14"/>
        <v>0</v>
      </c>
      <c r="M40" s="949">
        <v>0</v>
      </c>
      <c r="N40" s="950">
        <v>0</v>
      </c>
      <c r="O40" s="949">
        <v>0</v>
      </c>
      <c r="P40" s="950">
        <v>0</v>
      </c>
      <c r="Q40" s="625">
        <v>0</v>
      </c>
      <c r="R40" s="949">
        <v>0</v>
      </c>
      <c r="S40" s="950">
        <v>0</v>
      </c>
      <c r="T40" s="625">
        <v>0</v>
      </c>
      <c r="U40" s="632">
        <f t="shared" si="15"/>
        <v>0</v>
      </c>
      <c r="V40" s="951">
        <f t="shared" si="10"/>
        <v>0</v>
      </c>
      <c r="W40" s="625">
        <f t="shared" si="16"/>
        <v>0</v>
      </c>
      <c r="X40" s="949">
        <v>0</v>
      </c>
      <c r="Y40" s="950">
        <v>0</v>
      </c>
      <c r="Z40" s="625">
        <v>0</v>
      </c>
      <c r="AA40" s="949">
        <v>0</v>
      </c>
      <c r="AB40" s="950">
        <v>0</v>
      </c>
      <c r="AC40" s="625">
        <v>0</v>
      </c>
      <c r="AD40" s="949">
        <v>0</v>
      </c>
      <c r="AE40" s="554"/>
      <c r="AF40" s="625">
        <v>0</v>
      </c>
      <c r="AG40" s="953">
        <v>0</v>
      </c>
      <c r="AH40" s="632">
        <f t="shared" si="17"/>
        <v>0</v>
      </c>
      <c r="AI40" s="954">
        <f t="shared" si="18"/>
        <v>0</v>
      </c>
      <c r="AJ40" s="953">
        <f t="shared" si="19"/>
        <v>0</v>
      </c>
      <c r="AK40" s="949">
        <v>0</v>
      </c>
      <c r="AL40" s="554"/>
      <c r="AM40" s="625">
        <v>0</v>
      </c>
      <c r="AN40" s="953">
        <v>0</v>
      </c>
      <c r="AO40" s="949">
        <v>142.5</v>
      </c>
      <c r="AP40" s="554"/>
      <c r="AQ40" s="625">
        <v>0</v>
      </c>
      <c r="AR40" s="953">
        <v>0</v>
      </c>
      <c r="AS40" s="949">
        <v>142.5</v>
      </c>
      <c r="AT40" s="554"/>
      <c r="AU40" s="625">
        <v>0</v>
      </c>
      <c r="AV40" s="953">
        <v>0</v>
      </c>
      <c r="AW40" s="632">
        <f t="shared" si="20"/>
        <v>285</v>
      </c>
      <c r="AX40" s="954">
        <f t="shared" si="21"/>
        <v>0</v>
      </c>
      <c r="AY40" s="953">
        <f t="shared" si="22"/>
        <v>0</v>
      </c>
      <c r="AZ40" s="632">
        <f>SUM(AW40,AH40,U40,K40)</f>
        <v>600</v>
      </c>
      <c r="BA40" s="955">
        <f t="shared" si="11"/>
        <v>0</v>
      </c>
      <c r="BB40" s="956">
        <f t="shared" si="12"/>
        <v>0</v>
      </c>
      <c r="BC40" s="957"/>
      <c r="BD40" s="560">
        <v>0</v>
      </c>
      <c r="BE40" s="560">
        <v>0</v>
      </c>
      <c r="BF40" s="560">
        <v>0</v>
      </c>
      <c r="BG40" s="560">
        <v>0</v>
      </c>
      <c r="BH40" s="560">
        <v>0</v>
      </c>
      <c r="BI40" s="560">
        <v>0</v>
      </c>
      <c r="BJ40" s="560">
        <v>0</v>
      </c>
      <c r="BK40" s="560">
        <v>0</v>
      </c>
      <c r="BL40" s="560">
        <v>0</v>
      </c>
      <c r="BM40" s="560">
        <v>0</v>
      </c>
      <c r="BN40" s="560">
        <v>0</v>
      </c>
      <c r="BO40" s="560">
        <v>0</v>
      </c>
      <c r="BP40" s="561">
        <f t="shared" si="13"/>
        <v>0</v>
      </c>
      <c r="BQ40" s="561"/>
      <c r="BR40" s="561"/>
      <c r="BS40" s="561"/>
      <c r="BT40" s="561"/>
    </row>
    <row r="41" spans="1:72" ht="15" customHeight="1">
      <c r="A41" s="678" t="s">
        <v>1076</v>
      </c>
      <c r="B41" s="675" t="s">
        <v>1116</v>
      </c>
      <c r="C41" s="675"/>
      <c r="D41" s="676" t="s">
        <v>121</v>
      </c>
      <c r="E41" s="949">
        <v>0</v>
      </c>
      <c r="F41" s="950">
        <v>0</v>
      </c>
      <c r="G41" s="949">
        <v>0</v>
      </c>
      <c r="H41" s="950">
        <v>0</v>
      </c>
      <c r="I41" s="949">
        <v>0</v>
      </c>
      <c r="J41" s="950">
        <v>0</v>
      </c>
      <c r="K41" s="632">
        <f t="shared" si="14"/>
        <v>0</v>
      </c>
      <c r="L41" s="631">
        <f t="shared" si="14"/>
        <v>0</v>
      </c>
      <c r="M41" s="949">
        <v>0</v>
      </c>
      <c r="N41" s="950">
        <v>0</v>
      </c>
      <c r="O41" s="949">
        <v>0</v>
      </c>
      <c r="P41" s="950">
        <v>0</v>
      </c>
      <c r="Q41" s="625">
        <v>0</v>
      </c>
      <c r="R41" s="949">
        <v>0</v>
      </c>
      <c r="S41" s="950">
        <v>0</v>
      </c>
      <c r="T41" s="625">
        <v>0</v>
      </c>
      <c r="U41" s="632">
        <f t="shared" si="15"/>
        <v>0</v>
      </c>
      <c r="V41" s="951">
        <f t="shared" si="10"/>
        <v>0</v>
      </c>
      <c r="W41" s="625">
        <f t="shared" si="16"/>
        <v>0</v>
      </c>
      <c r="X41" s="949">
        <v>0</v>
      </c>
      <c r="Y41" s="950">
        <v>0</v>
      </c>
      <c r="Z41" s="625">
        <v>0</v>
      </c>
      <c r="AA41" s="949">
        <v>0</v>
      </c>
      <c r="AB41" s="950">
        <v>0</v>
      </c>
      <c r="AC41" s="625">
        <v>0</v>
      </c>
      <c r="AD41" s="949">
        <v>0</v>
      </c>
      <c r="AE41" s="554"/>
      <c r="AF41" s="625">
        <v>0</v>
      </c>
      <c r="AG41" s="953">
        <v>0</v>
      </c>
      <c r="AH41" s="632">
        <f t="shared" si="17"/>
        <v>0</v>
      </c>
      <c r="AI41" s="954">
        <f t="shared" si="18"/>
        <v>0</v>
      </c>
      <c r="AJ41" s="953">
        <f t="shared" si="19"/>
        <v>0</v>
      </c>
      <c r="AK41" s="949">
        <v>0</v>
      </c>
      <c r="AL41" s="554"/>
      <c r="AM41" s="625">
        <v>0</v>
      </c>
      <c r="AN41" s="953">
        <v>0</v>
      </c>
      <c r="AO41" s="949">
        <v>0</v>
      </c>
      <c r="AP41" s="554"/>
      <c r="AQ41" s="625">
        <v>0</v>
      </c>
      <c r="AR41" s="953">
        <v>0</v>
      </c>
      <c r="AS41" s="949">
        <v>0</v>
      </c>
      <c r="AT41" s="554"/>
      <c r="AU41" s="625">
        <v>0</v>
      </c>
      <c r="AV41" s="953">
        <v>0</v>
      </c>
      <c r="AW41" s="632">
        <f t="shared" si="20"/>
        <v>0</v>
      </c>
      <c r="AX41" s="954">
        <f t="shared" si="21"/>
        <v>0</v>
      </c>
      <c r="AY41" s="953">
        <f t="shared" si="22"/>
        <v>0</v>
      </c>
      <c r="AZ41" s="632">
        <f t="shared" si="23"/>
        <v>0</v>
      </c>
      <c r="BA41" s="955">
        <f t="shared" si="11"/>
        <v>0</v>
      </c>
      <c r="BB41" s="956">
        <f t="shared" si="12"/>
        <v>0</v>
      </c>
      <c r="BC41" s="957"/>
      <c r="BD41" s="560">
        <v>0</v>
      </c>
      <c r="BE41" s="560">
        <v>0</v>
      </c>
      <c r="BF41" s="560">
        <v>0</v>
      </c>
      <c r="BG41" s="560">
        <v>0</v>
      </c>
      <c r="BH41" s="560">
        <v>0</v>
      </c>
      <c r="BI41" s="560">
        <v>0</v>
      </c>
      <c r="BJ41" s="560">
        <v>0</v>
      </c>
      <c r="BK41" s="560">
        <v>0</v>
      </c>
      <c r="BL41" s="560">
        <v>0</v>
      </c>
      <c r="BM41" s="560">
        <v>0</v>
      </c>
      <c r="BN41" s="560">
        <v>0</v>
      </c>
      <c r="BO41" s="560">
        <v>0</v>
      </c>
      <c r="BP41" s="561">
        <f t="shared" si="13"/>
        <v>0</v>
      </c>
      <c r="BQ41" s="561"/>
      <c r="BR41" s="561"/>
      <c r="BS41" s="561"/>
      <c r="BT41" s="561"/>
    </row>
    <row r="42" spans="1:72" ht="14.5">
      <c r="A42" s="678" t="s">
        <v>1076</v>
      </c>
      <c r="B42" s="675" t="s">
        <v>1117</v>
      </c>
      <c r="C42" s="675"/>
      <c r="D42" s="676" t="s">
        <v>121</v>
      </c>
      <c r="E42" s="949">
        <v>180.2</v>
      </c>
      <c r="F42" s="950">
        <v>0</v>
      </c>
      <c r="G42" s="949">
        <v>180.2</v>
      </c>
      <c r="H42" s="950">
        <v>0</v>
      </c>
      <c r="I42" s="949">
        <v>180.2</v>
      </c>
      <c r="J42" s="950">
        <v>0</v>
      </c>
      <c r="K42" s="632">
        <f t="shared" si="14"/>
        <v>540.59999999999991</v>
      </c>
      <c r="L42" s="631">
        <f t="shared" si="14"/>
        <v>0</v>
      </c>
      <c r="M42" s="949">
        <v>180.2</v>
      </c>
      <c r="N42" s="950">
        <v>0</v>
      </c>
      <c r="O42" s="949">
        <v>180.2</v>
      </c>
      <c r="P42" s="950">
        <v>0</v>
      </c>
      <c r="Q42" s="625">
        <v>0</v>
      </c>
      <c r="R42" s="949">
        <v>180.2</v>
      </c>
      <c r="S42" s="950">
        <v>0</v>
      </c>
      <c r="T42" s="625">
        <v>0</v>
      </c>
      <c r="U42" s="632">
        <f t="shared" si="15"/>
        <v>540.59999999999991</v>
      </c>
      <c r="V42" s="951">
        <f t="shared" si="10"/>
        <v>0</v>
      </c>
      <c r="W42" s="625">
        <f t="shared" si="16"/>
        <v>0</v>
      </c>
      <c r="X42" s="949">
        <v>180.2</v>
      </c>
      <c r="Y42" s="950">
        <v>0</v>
      </c>
      <c r="Z42" s="625">
        <v>0</v>
      </c>
      <c r="AA42" s="949">
        <v>180.2</v>
      </c>
      <c r="AB42" s="950">
        <v>0</v>
      </c>
      <c r="AC42" s="625">
        <v>0</v>
      </c>
      <c r="AD42" s="949">
        <v>180.2</v>
      </c>
      <c r="AE42" s="554"/>
      <c r="AF42" s="625">
        <v>0</v>
      </c>
      <c r="AG42" s="953">
        <v>0</v>
      </c>
      <c r="AH42" s="632">
        <f t="shared" si="17"/>
        <v>540.59999999999991</v>
      </c>
      <c r="AI42" s="954">
        <f t="shared" si="18"/>
        <v>0</v>
      </c>
      <c r="AJ42" s="953">
        <f t="shared" si="19"/>
        <v>0</v>
      </c>
      <c r="AK42" s="949">
        <v>180.2</v>
      </c>
      <c r="AL42" s="554"/>
      <c r="AM42" s="625">
        <v>0</v>
      </c>
      <c r="AN42" s="953">
        <v>0</v>
      </c>
      <c r="AO42" s="949">
        <v>180.2</v>
      </c>
      <c r="AP42" s="554"/>
      <c r="AQ42" s="625">
        <v>0</v>
      </c>
      <c r="AR42" s="953">
        <v>0</v>
      </c>
      <c r="AS42" s="949">
        <v>180.2</v>
      </c>
      <c r="AT42" s="554"/>
      <c r="AU42" s="625">
        <v>0</v>
      </c>
      <c r="AV42" s="953">
        <v>0</v>
      </c>
      <c r="AW42" s="632">
        <f t="shared" si="20"/>
        <v>540.59999999999991</v>
      </c>
      <c r="AX42" s="954">
        <f t="shared" si="21"/>
        <v>0</v>
      </c>
      <c r="AY42" s="953">
        <f t="shared" si="22"/>
        <v>0</v>
      </c>
      <c r="AZ42" s="632">
        <f t="shared" si="23"/>
        <v>2162.3999999999996</v>
      </c>
      <c r="BA42" s="955">
        <f t="shared" si="11"/>
        <v>0</v>
      </c>
      <c r="BB42" s="956">
        <f t="shared" si="12"/>
        <v>0</v>
      </c>
      <c r="BC42" s="957"/>
      <c r="BD42" s="560">
        <v>0</v>
      </c>
      <c r="BE42" s="560">
        <v>0</v>
      </c>
      <c r="BF42" s="560">
        <v>0</v>
      </c>
      <c r="BG42" s="560">
        <v>0</v>
      </c>
      <c r="BH42" s="560">
        <v>0</v>
      </c>
      <c r="BI42" s="560">
        <v>0</v>
      </c>
      <c r="BJ42" s="560">
        <v>0</v>
      </c>
      <c r="BK42" s="560">
        <v>0</v>
      </c>
      <c r="BL42" s="560">
        <v>0</v>
      </c>
      <c r="BM42" s="560">
        <v>0</v>
      </c>
      <c r="BN42" s="560">
        <v>0</v>
      </c>
      <c r="BO42" s="560">
        <v>0</v>
      </c>
      <c r="BP42" s="561">
        <f t="shared" si="13"/>
        <v>0</v>
      </c>
      <c r="BQ42" s="561"/>
      <c r="BR42" s="561"/>
      <c r="BS42" s="561"/>
      <c r="BT42" s="561"/>
    </row>
    <row r="43" spans="1:72" ht="14.5">
      <c r="A43" s="678" t="s">
        <v>1087</v>
      </c>
      <c r="B43" s="675" t="s">
        <v>1118</v>
      </c>
      <c r="C43" s="675"/>
      <c r="D43" s="676" t="s">
        <v>121</v>
      </c>
      <c r="E43" s="949">
        <v>142.5</v>
      </c>
      <c r="F43" s="950">
        <v>0</v>
      </c>
      <c r="G43" s="949">
        <v>142.5</v>
      </c>
      <c r="H43" s="950">
        <v>0</v>
      </c>
      <c r="I43" s="949">
        <v>172.5</v>
      </c>
      <c r="J43" s="950">
        <v>0</v>
      </c>
      <c r="K43" s="632">
        <f t="shared" si="14"/>
        <v>457.5</v>
      </c>
      <c r="L43" s="631">
        <f t="shared" si="14"/>
        <v>0</v>
      </c>
      <c r="M43" s="949">
        <v>0</v>
      </c>
      <c r="N43" s="950">
        <v>0</v>
      </c>
      <c r="O43" s="949">
        <v>0</v>
      </c>
      <c r="P43" s="950">
        <v>0</v>
      </c>
      <c r="Q43" s="625">
        <v>0</v>
      </c>
      <c r="R43" s="949">
        <v>0</v>
      </c>
      <c r="S43" s="950">
        <v>0</v>
      </c>
      <c r="T43" s="625">
        <v>0</v>
      </c>
      <c r="U43" s="632">
        <f t="shared" si="15"/>
        <v>0</v>
      </c>
      <c r="V43" s="951">
        <f t="shared" si="10"/>
        <v>0</v>
      </c>
      <c r="W43" s="625">
        <f t="shared" si="16"/>
        <v>0</v>
      </c>
      <c r="X43" s="949">
        <v>0</v>
      </c>
      <c r="Y43" s="950">
        <v>0</v>
      </c>
      <c r="Z43" s="625">
        <v>0</v>
      </c>
      <c r="AA43" s="949">
        <v>0</v>
      </c>
      <c r="AB43" s="950">
        <v>0</v>
      </c>
      <c r="AC43" s="625">
        <v>0</v>
      </c>
      <c r="AD43" s="949">
        <v>0</v>
      </c>
      <c r="AE43" s="554"/>
      <c r="AF43" s="625">
        <v>0</v>
      </c>
      <c r="AG43" s="953">
        <v>0</v>
      </c>
      <c r="AH43" s="632">
        <f t="shared" si="17"/>
        <v>0</v>
      </c>
      <c r="AI43" s="954">
        <f t="shared" si="18"/>
        <v>0</v>
      </c>
      <c r="AJ43" s="953">
        <f t="shared" si="19"/>
        <v>0</v>
      </c>
      <c r="AK43" s="949">
        <v>0</v>
      </c>
      <c r="AL43" s="554"/>
      <c r="AM43" s="625">
        <v>0</v>
      </c>
      <c r="AN43" s="953">
        <v>0</v>
      </c>
      <c r="AO43" s="949">
        <v>0</v>
      </c>
      <c r="AP43" s="554"/>
      <c r="AQ43" s="625">
        <v>0</v>
      </c>
      <c r="AR43" s="953">
        <v>0</v>
      </c>
      <c r="AS43" s="949">
        <v>142.5</v>
      </c>
      <c r="AT43" s="554"/>
      <c r="AU43" s="625">
        <v>0</v>
      </c>
      <c r="AV43" s="953">
        <v>0</v>
      </c>
      <c r="AW43" s="632">
        <f t="shared" si="20"/>
        <v>142.5</v>
      </c>
      <c r="AX43" s="954">
        <f t="shared" si="21"/>
        <v>0</v>
      </c>
      <c r="AY43" s="953">
        <f t="shared" si="22"/>
        <v>0</v>
      </c>
      <c r="AZ43" s="632">
        <f t="shared" si="23"/>
        <v>600</v>
      </c>
      <c r="BA43" s="955">
        <f t="shared" si="11"/>
        <v>0</v>
      </c>
      <c r="BB43" s="956">
        <f t="shared" si="12"/>
        <v>0</v>
      </c>
      <c r="BC43" s="957"/>
      <c r="BD43" s="560">
        <v>0</v>
      </c>
      <c r="BE43" s="560">
        <v>0</v>
      </c>
      <c r="BF43" s="560">
        <v>0</v>
      </c>
      <c r="BG43" s="560">
        <v>0</v>
      </c>
      <c r="BH43" s="560">
        <v>0</v>
      </c>
      <c r="BI43" s="560">
        <v>0</v>
      </c>
      <c r="BJ43" s="560">
        <v>0</v>
      </c>
      <c r="BK43" s="560">
        <v>0</v>
      </c>
      <c r="BL43" s="560">
        <v>0</v>
      </c>
      <c r="BM43" s="560">
        <v>0</v>
      </c>
      <c r="BN43" s="560">
        <v>0</v>
      </c>
      <c r="BO43" s="560">
        <v>0</v>
      </c>
      <c r="BP43" s="561">
        <f t="shared" si="13"/>
        <v>0</v>
      </c>
      <c r="BQ43" s="561"/>
      <c r="BR43" s="561"/>
      <c r="BS43" s="561"/>
      <c r="BT43" s="561"/>
    </row>
    <row r="44" spans="1:72" ht="14.5">
      <c r="A44" s="678" t="s">
        <v>1087</v>
      </c>
      <c r="B44" s="675" t="s">
        <v>1119</v>
      </c>
      <c r="C44" s="675"/>
      <c r="D44" s="676" t="s">
        <v>121</v>
      </c>
      <c r="E44" s="949">
        <v>142.5</v>
      </c>
      <c r="F44" s="950">
        <v>0</v>
      </c>
      <c r="G44" s="949">
        <v>142.5</v>
      </c>
      <c r="H44" s="950">
        <v>0</v>
      </c>
      <c r="I44" s="949">
        <v>172.5</v>
      </c>
      <c r="J44" s="950">
        <v>0</v>
      </c>
      <c r="K44" s="632">
        <f t="shared" si="14"/>
        <v>457.5</v>
      </c>
      <c r="L44" s="631">
        <f t="shared" si="14"/>
        <v>0</v>
      </c>
      <c r="M44" s="949">
        <v>0</v>
      </c>
      <c r="N44" s="950">
        <v>0</v>
      </c>
      <c r="O44" s="949">
        <v>0</v>
      </c>
      <c r="P44" s="950">
        <v>0</v>
      </c>
      <c r="Q44" s="625">
        <v>0</v>
      </c>
      <c r="R44" s="949">
        <v>0</v>
      </c>
      <c r="S44" s="950">
        <v>0</v>
      </c>
      <c r="T44" s="625">
        <v>0</v>
      </c>
      <c r="U44" s="632">
        <f t="shared" si="15"/>
        <v>0</v>
      </c>
      <c r="V44" s="951">
        <f t="shared" si="10"/>
        <v>0</v>
      </c>
      <c r="W44" s="625">
        <f t="shared" si="16"/>
        <v>0</v>
      </c>
      <c r="X44" s="949">
        <v>0</v>
      </c>
      <c r="Y44" s="950">
        <v>0</v>
      </c>
      <c r="Z44" s="625">
        <v>0</v>
      </c>
      <c r="AA44" s="949">
        <v>0</v>
      </c>
      <c r="AB44" s="950">
        <v>0</v>
      </c>
      <c r="AC44" s="625">
        <v>0</v>
      </c>
      <c r="AD44" s="949">
        <v>0</v>
      </c>
      <c r="AE44" s="554"/>
      <c r="AF44" s="625">
        <v>0</v>
      </c>
      <c r="AG44" s="953">
        <v>0</v>
      </c>
      <c r="AH44" s="632">
        <f t="shared" si="17"/>
        <v>0</v>
      </c>
      <c r="AI44" s="954">
        <f t="shared" si="18"/>
        <v>0</v>
      </c>
      <c r="AJ44" s="953">
        <f t="shared" si="19"/>
        <v>0</v>
      </c>
      <c r="AK44" s="949">
        <v>0</v>
      </c>
      <c r="AL44" s="554"/>
      <c r="AM44" s="625">
        <v>0</v>
      </c>
      <c r="AN44" s="953">
        <v>0</v>
      </c>
      <c r="AO44" s="949">
        <v>0</v>
      </c>
      <c r="AP44" s="554"/>
      <c r="AQ44" s="625">
        <v>0</v>
      </c>
      <c r="AR44" s="953">
        <v>0</v>
      </c>
      <c r="AS44" s="949">
        <v>142.5</v>
      </c>
      <c r="AT44" s="554"/>
      <c r="AU44" s="625">
        <v>0</v>
      </c>
      <c r="AV44" s="953">
        <v>0</v>
      </c>
      <c r="AW44" s="632">
        <f t="shared" si="20"/>
        <v>142.5</v>
      </c>
      <c r="AX44" s="954">
        <f t="shared" si="21"/>
        <v>0</v>
      </c>
      <c r="AY44" s="953">
        <f t="shared" si="22"/>
        <v>0</v>
      </c>
      <c r="AZ44" s="632">
        <f t="shared" si="23"/>
        <v>600</v>
      </c>
      <c r="BA44" s="955">
        <f t="shared" si="11"/>
        <v>0</v>
      </c>
      <c r="BB44" s="956">
        <f t="shared" si="12"/>
        <v>0</v>
      </c>
      <c r="BC44" s="957"/>
      <c r="BD44" s="560">
        <v>0</v>
      </c>
      <c r="BE44" s="560">
        <v>0</v>
      </c>
      <c r="BF44" s="560">
        <v>0</v>
      </c>
      <c r="BG44" s="560">
        <v>0</v>
      </c>
      <c r="BH44" s="560">
        <v>0</v>
      </c>
      <c r="BI44" s="560">
        <v>0</v>
      </c>
      <c r="BJ44" s="560">
        <v>0</v>
      </c>
      <c r="BK44" s="560">
        <v>0</v>
      </c>
      <c r="BL44" s="560">
        <v>0</v>
      </c>
      <c r="BM44" s="560">
        <v>0</v>
      </c>
      <c r="BN44" s="560">
        <v>0</v>
      </c>
      <c r="BO44" s="560">
        <v>0</v>
      </c>
      <c r="BP44" s="561">
        <f t="shared" si="13"/>
        <v>0</v>
      </c>
      <c r="BQ44" s="561"/>
      <c r="BR44" s="561"/>
      <c r="BS44" s="561"/>
      <c r="BT44" s="561"/>
    </row>
    <row r="45" spans="1:72" ht="14.5">
      <c r="A45" s="678" t="s">
        <v>1076</v>
      </c>
      <c r="B45" s="675" t="s">
        <v>1120</v>
      </c>
      <c r="C45" s="675"/>
      <c r="D45" s="676" t="s">
        <v>121</v>
      </c>
      <c r="E45" s="949">
        <v>0</v>
      </c>
      <c r="F45" s="950">
        <v>0</v>
      </c>
      <c r="G45" s="949">
        <v>0</v>
      </c>
      <c r="H45" s="950">
        <v>0</v>
      </c>
      <c r="I45" s="949">
        <v>0</v>
      </c>
      <c r="J45" s="950">
        <v>0</v>
      </c>
      <c r="K45" s="632">
        <f t="shared" si="14"/>
        <v>0</v>
      </c>
      <c r="L45" s="631">
        <f t="shared" si="14"/>
        <v>0</v>
      </c>
      <c r="M45" s="949">
        <v>238.5</v>
      </c>
      <c r="N45" s="950">
        <v>0</v>
      </c>
      <c r="O45" s="949">
        <v>238.5</v>
      </c>
      <c r="P45" s="950">
        <v>0</v>
      </c>
      <c r="Q45" s="625">
        <v>0</v>
      </c>
      <c r="R45" s="949">
        <v>238.5</v>
      </c>
      <c r="S45" s="950">
        <v>0</v>
      </c>
      <c r="T45" s="625">
        <v>0</v>
      </c>
      <c r="U45" s="632">
        <f t="shared" si="15"/>
        <v>715.5</v>
      </c>
      <c r="V45" s="951">
        <f t="shared" si="10"/>
        <v>0</v>
      </c>
      <c r="W45" s="625">
        <f t="shared" si="16"/>
        <v>0</v>
      </c>
      <c r="X45" s="949">
        <v>238.5</v>
      </c>
      <c r="Y45" s="950">
        <v>0</v>
      </c>
      <c r="Z45" s="625">
        <v>0</v>
      </c>
      <c r="AA45" s="949">
        <v>238.5</v>
      </c>
      <c r="AB45" s="950">
        <v>0</v>
      </c>
      <c r="AC45" s="625">
        <v>0</v>
      </c>
      <c r="AD45" s="949">
        <v>238.5</v>
      </c>
      <c r="AE45" s="554"/>
      <c r="AF45" s="625">
        <v>0</v>
      </c>
      <c r="AG45" s="953">
        <v>0</v>
      </c>
      <c r="AH45" s="632">
        <f t="shared" si="17"/>
        <v>715.5</v>
      </c>
      <c r="AI45" s="954">
        <f t="shared" si="18"/>
        <v>0</v>
      </c>
      <c r="AJ45" s="953">
        <f t="shared" si="19"/>
        <v>0</v>
      </c>
      <c r="AK45" s="949">
        <v>238.5</v>
      </c>
      <c r="AL45" s="554"/>
      <c r="AM45" s="625">
        <v>0</v>
      </c>
      <c r="AN45" s="953">
        <v>0</v>
      </c>
      <c r="AO45" s="949">
        <v>238.5</v>
      </c>
      <c r="AP45" s="554"/>
      <c r="AQ45" s="625">
        <v>0</v>
      </c>
      <c r="AR45" s="953">
        <v>0</v>
      </c>
      <c r="AS45" s="949">
        <v>238.5</v>
      </c>
      <c r="AT45" s="554"/>
      <c r="AU45" s="625">
        <v>0</v>
      </c>
      <c r="AV45" s="953">
        <v>0</v>
      </c>
      <c r="AW45" s="632">
        <f t="shared" si="20"/>
        <v>715.5</v>
      </c>
      <c r="AX45" s="954">
        <f t="shared" si="21"/>
        <v>0</v>
      </c>
      <c r="AY45" s="953">
        <f t="shared" si="22"/>
        <v>0</v>
      </c>
      <c r="AZ45" s="632">
        <f t="shared" si="23"/>
        <v>2146.5</v>
      </c>
      <c r="BA45" s="955">
        <f t="shared" si="11"/>
        <v>0</v>
      </c>
      <c r="BB45" s="956">
        <f t="shared" si="12"/>
        <v>0</v>
      </c>
      <c r="BC45" s="957"/>
      <c r="BD45" s="560">
        <v>0</v>
      </c>
      <c r="BE45" s="560">
        <v>0</v>
      </c>
      <c r="BF45" s="560">
        <v>0</v>
      </c>
      <c r="BG45" s="560">
        <v>0</v>
      </c>
      <c r="BH45" s="560">
        <v>0</v>
      </c>
      <c r="BI45" s="560">
        <v>0</v>
      </c>
      <c r="BJ45" s="560">
        <v>0</v>
      </c>
      <c r="BK45" s="560">
        <v>0</v>
      </c>
      <c r="BL45" s="560">
        <v>0</v>
      </c>
      <c r="BM45" s="560">
        <v>0</v>
      </c>
      <c r="BN45" s="560">
        <v>0</v>
      </c>
      <c r="BO45" s="560">
        <v>0</v>
      </c>
      <c r="BP45" s="561">
        <f t="shared" si="13"/>
        <v>0</v>
      </c>
      <c r="BQ45" s="561"/>
      <c r="BR45" s="561"/>
      <c r="BS45" s="561"/>
      <c r="BT45" s="561"/>
    </row>
    <row r="46" spans="1:72" ht="15" customHeight="1">
      <c r="A46" s="678" t="s">
        <v>1076</v>
      </c>
      <c r="B46" s="675" t="s">
        <v>1121</v>
      </c>
      <c r="C46" s="675"/>
      <c r="D46" s="676" t="s">
        <v>121</v>
      </c>
      <c r="E46" s="949">
        <v>0</v>
      </c>
      <c r="F46" s="950">
        <v>0</v>
      </c>
      <c r="G46" s="949">
        <v>0</v>
      </c>
      <c r="H46" s="950">
        <v>0</v>
      </c>
      <c r="I46" s="949">
        <v>0</v>
      </c>
      <c r="J46" s="950">
        <v>0</v>
      </c>
      <c r="K46" s="632">
        <f t="shared" si="14"/>
        <v>0</v>
      </c>
      <c r="L46" s="631">
        <f t="shared" si="14"/>
        <v>0</v>
      </c>
      <c r="M46" s="949">
        <v>0</v>
      </c>
      <c r="N46" s="950">
        <v>0</v>
      </c>
      <c r="O46" s="949">
        <v>0</v>
      </c>
      <c r="P46" s="950">
        <v>0</v>
      </c>
      <c r="Q46" s="625">
        <v>0</v>
      </c>
      <c r="R46" s="949">
        <v>0</v>
      </c>
      <c r="S46" s="950">
        <v>0</v>
      </c>
      <c r="T46" s="625">
        <v>0</v>
      </c>
      <c r="U46" s="632">
        <f t="shared" si="15"/>
        <v>0</v>
      </c>
      <c r="V46" s="951">
        <f t="shared" si="10"/>
        <v>0</v>
      </c>
      <c r="W46" s="625">
        <f t="shared" si="16"/>
        <v>0</v>
      </c>
      <c r="X46" s="949">
        <v>0</v>
      </c>
      <c r="Y46" s="950">
        <v>0</v>
      </c>
      <c r="Z46" s="625">
        <v>0</v>
      </c>
      <c r="AA46" s="949">
        <v>0</v>
      </c>
      <c r="AB46" s="950">
        <v>0</v>
      </c>
      <c r="AC46" s="625">
        <v>0</v>
      </c>
      <c r="AD46" s="949">
        <v>0</v>
      </c>
      <c r="AE46" s="554"/>
      <c r="AF46" s="625">
        <v>0</v>
      </c>
      <c r="AG46" s="953">
        <v>0</v>
      </c>
      <c r="AH46" s="632">
        <f t="shared" si="17"/>
        <v>0</v>
      </c>
      <c r="AI46" s="954">
        <f t="shared" si="18"/>
        <v>0</v>
      </c>
      <c r="AJ46" s="953">
        <f t="shared" si="19"/>
        <v>0</v>
      </c>
      <c r="AK46" s="949">
        <v>0</v>
      </c>
      <c r="AL46" s="554"/>
      <c r="AM46" s="625">
        <v>0</v>
      </c>
      <c r="AN46" s="953">
        <v>0</v>
      </c>
      <c r="AO46" s="949">
        <v>0</v>
      </c>
      <c r="AP46" s="554"/>
      <c r="AQ46" s="625">
        <v>0</v>
      </c>
      <c r="AR46" s="953">
        <v>0</v>
      </c>
      <c r="AS46" s="949">
        <v>0</v>
      </c>
      <c r="AT46" s="554"/>
      <c r="AU46" s="625">
        <v>0</v>
      </c>
      <c r="AV46" s="953">
        <v>0</v>
      </c>
      <c r="AW46" s="632">
        <f t="shared" si="20"/>
        <v>0</v>
      </c>
      <c r="AX46" s="954">
        <f t="shared" si="21"/>
        <v>0</v>
      </c>
      <c r="AY46" s="953">
        <f t="shared" si="22"/>
        <v>0</v>
      </c>
      <c r="AZ46" s="632">
        <f t="shared" si="23"/>
        <v>0</v>
      </c>
      <c r="BA46" s="955">
        <f t="shared" si="11"/>
        <v>0</v>
      </c>
      <c r="BB46" s="956">
        <f t="shared" si="12"/>
        <v>0</v>
      </c>
      <c r="BC46" s="957"/>
      <c r="BD46" s="560">
        <v>0</v>
      </c>
      <c r="BE46" s="560">
        <v>0</v>
      </c>
      <c r="BF46" s="560">
        <v>0</v>
      </c>
      <c r="BG46" s="560">
        <v>0</v>
      </c>
      <c r="BH46" s="560">
        <v>0</v>
      </c>
      <c r="BI46" s="560">
        <v>0</v>
      </c>
      <c r="BJ46" s="560">
        <v>0</v>
      </c>
      <c r="BK46" s="560">
        <v>0</v>
      </c>
      <c r="BL46" s="560">
        <v>0</v>
      </c>
      <c r="BM46" s="560">
        <v>0</v>
      </c>
      <c r="BN46" s="560">
        <v>0</v>
      </c>
      <c r="BO46" s="560">
        <v>0</v>
      </c>
      <c r="BP46" s="561">
        <f t="shared" si="13"/>
        <v>0</v>
      </c>
      <c r="BQ46" s="561"/>
      <c r="BR46" s="561"/>
      <c r="BS46" s="561"/>
      <c r="BT46" s="561"/>
    </row>
    <row r="47" spans="1:72" ht="15" customHeight="1">
      <c r="A47" s="678" t="s">
        <v>1076</v>
      </c>
      <c r="B47" s="675" t="s">
        <v>1122</v>
      </c>
      <c r="C47" s="675"/>
      <c r="D47" s="676" t="s">
        <v>121</v>
      </c>
      <c r="E47" s="949">
        <v>0</v>
      </c>
      <c r="F47" s="950">
        <v>0</v>
      </c>
      <c r="G47" s="949">
        <v>0</v>
      </c>
      <c r="H47" s="950">
        <v>0</v>
      </c>
      <c r="I47" s="949">
        <v>0</v>
      </c>
      <c r="J47" s="950">
        <v>0</v>
      </c>
      <c r="K47" s="632">
        <f t="shared" si="14"/>
        <v>0</v>
      </c>
      <c r="L47" s="631">
        <f t="shared" si="14"/>
        <v>0</v>
      </c>
      <c r="M47" s="949">
        <v>0</v>
      </c>
      <c r="N47" s="950">
        <v>0</v>
      </c>
      <c r="O47" s="949">
        <v>0</v>
      </c>
      <c r="P47" s="950">
        <v>0</v>
      </c>
      <c r="Q47" s="625">
        <v>0</v>
      </c>
      <c r="R47" s="949">
        <v>0</v>
      </c>
      <c r="S47" s="950">
        <v>0</v>
      </c>
      <c r="T47" s="625">
        <v>0</v>
      </c>
      <c r="U47" s="632">
        <f t="shared" si="15"/>
        <v>0</v>
      </c>
      <c r="V47" s="951">
        <f t="shared" si="10"/>
        <v>0</v>
      </c>
      <c r="W47" s="625">
        <f t="shared" si="16"/>
        <v>0</v>
      </c>
      <c r="X47" s="949">
        <v>0</v>
      </c>
      <c r="Y47" s="950">
        <v>0</v>
      </c>
      <c r="Z47" s="625">
        <v>0</v>
      </c>
      <c r="AA47" s="949">
        <v>0</v>
      </c>
      <c r="AB47" s="950">
        <v>0</v>
      </c>
      <c r="AC47" s="625">
        <v>0</v>
      </c>
      <c r="AD47" s="949">
        <v>0</v>
      </c>
      <c r="AE47" s="554"/>
      <c r="AF47" s="625">
        <v>0</v>
      </c>
      <c r="AG47" s="953">
        <v>0</v>
      </c>
      <c r="AH47" s="632">
        <f t="shared" si="17"/>
        <v>0</v>
      </c>
      <c r="AI47" s="954">
        <f t="shared" si="18"/>
        <v>0</v>
      </c>
      <c r="AJ47" s="953">
        <f t="shared" si="19"/>
        <v>0</v>
      </c>
      <c r="AK47" s="949">
        <v>0</v>
      </c>
      <c r="AL47" s="554"/>
      <c r="AM47" s="625">
        <v>0</v>
      </c>
      <c r="AN47" s="953">
        <v>0</v>
      </c>
      <c r="AO47" s="949">
        <v>0</v>
      </c>
      <c r="AP47" s="554"/>
      <c r="AQ47" s="625">
        <v>0</v>
      </c>
      <c r="AR47" s="953">
        <v>0</v>
      </c>
      <c r="AS47" s="949">
        <v>0</v>
      </c>
      <c r="AT47" s="554"/>
      <c r="AU47" s="625">
        <v>0</v>
      </c>
      <c r="AV47" s="953">
        <v>0</v>
      </c>
      <c r="AW47" s="632">
        <f t="shared" si="20"/>
        <v>0</v>
      </c>
      <c r="AX47" s="954">
        <f t="shared" si="21"/>
        <v>0</v>
      </c>
      <c r="AY47" s="953">
        <f t="shared" si="22"/>
        <v>0</v>
      </c>
      <c r="AZ47" s="632">
        <f t="shared" si="23"/>
        <v>0</v>
      </c>
      <c r="BA47" s="955">
        <f t="shared" si="11"/>
        <v>0</v>
      </c>
      <c r="BB47" s="956">
        <f t="shared" si="12"/>
        <v>0</v>
      </c>
      <c r="BC47" s="957"/>
      <c r="BD47" s="560">
        <v>0</v>
      </c>
      <c r="BE47" s="560">
        <v>0</v>
      </c>
      <c r="BF47" s="560">
        <v>0</v>
      </c>
      <c r="BG47" s="560">
        <v>0</v>
      </c>
      <c r="BH47" s="560">
        <v>0</v>
      </c>
      <c r="BI47" s="560">
        <v>0</v>
      </c>
      <c r="BJ47" s="560">
        <v>0</v>
      </c>
      <c r="BK47" s="560">
        <v>0</v>
      </c>
      <c r="BL47" s="560">
        <v>0</v>
      </c>
      <c r="BM47" s="560">
        <v>0</v>
      </c>
      <c r="BN47" s="560">
        <v>0</v>
      </c>
      <c r="BO47" s="560">
        <v>0</v>
      </c>
      <c r="BP47" s="561">
        <f t="shared" si="13"/>
        <v>0</v>
      </c>
      <c r="BQ47" s="561"/>
      <c r="BR47" s="561"/>
      <c r="BS47" s="561"/>
      <c r="BT47" s="561"/>
    </row>
    <row r="48" spans="1:72" ht="15" customHeight="1">
      <c r="A48" s="678" t="s">
        <v>1076</v>
      </c>
      <c r="B48" s="675" t="s">
        <v>1123</v>
      </c>
      <c r="C48" s="675"/>
      <c r="D48" s="676" t="s">
        <v>121</v>
      </c>
      <c r="E48" s="949">
        <v>0</v>
      </c>
      <c r="F48" s="950">
        <v>0</v>
      </c>
      <c r="G48" s="949">
        <v>0</v>
      </c>
      <c r="H48" s="950">
        <v>0</v>
      </c>
      <c r="I48" s="949">
        <v>0</v>
      </c>
      <c r="J48" s="950">
        <v>0</v>
      </c>
      <c r="K48" s="632">
        <f t="shared" si="14"/>
        <v>0</v>
      </c>
      <c r="L48" s="631">
        <f t="shared" si="14"/>
        <v>0</v>
      </c>
      <c r="M48" s="949">
        <v>0</v>
      </c>
      <c r="N48" s="950">
        <v>0</v>
      </c>
      <c r="O48" s="949">
        <v>0</v>
      </c>
      <c r="P48" s="950">
        <v>0</v>
      </c>
      <c r="Q48" s="625">
        <v>0</v>
      </c>
      <c r="R48" s="949">
        <v>0</v>
      </c>
      <c r="S48" s="950">
        <v>0</v>
      </c>
      <c r="T48" s="625">
        <v>0</v>
      </c>
      <c r="U48" s="632">
        <f t="shared" si="15"/>
        <v>0</v>
      </c>
      <c r="V48" s="951">
        <f t="shared" si="10"/>
        <v>0</v>
      </c>
      <c r="W48" s="625">
        <f t="shared" si="16"/>
        <v>0</v>
      </c>
      <c r="X48" s="949">
        <v>0</v>
      </c>
      <c r="Y48" s="950">
        <v>0</v>
      </c>
      <c r="Z48" s="625">
        <v>0</v>
      </c>
      <c r="AA48" s="949">
        <v>0</v>
      </c>
      <c r="AB48" s="950">
        <v>0</v>
      </c>
      <c r="AC48" s="625">
        <v>0</v>
      </c>
      <c r="AD48" s="949">
        <v>0</v>
      </c>
      <c r="AE48" s="554"/>
      <c r="AF48" s="625">
        <v>0</v>
      </c>
      <c r="AG48" s="953">
        <v>0</v>
      </c>
      <c r="AH48" s="632">
        <f t="shared" si="17"/>
        <v>0</v>
      </c>
      <c r="AI48" s="954">
        <f t="shared" si="18"/>
        <v>0</v>
      </c>
      <c r="AJ48" s="953">
        <f t="shared" si="19"/>
        <v>0</v>
      </c>
      <c r="AK48" s="949">
        <v>0</v>
      </c>
      <c r="AL48" s="554"/>
      <c r="AM48" s="625">
        <v>0</v>
      </c>
      <c r="AN48" s="953">
        <v>0</v>
      </c>
      <c r="AO48" s="949">
        <v>0</v>
      </c>
      <c r="AP48" s="554"/>
      <c r="AQ48" s="625">
        <v>0</v>
      </c>
      <c r="AR48" s="953">
        <v>0</v>
      </c>
      <c r="AS48" s="949">
        <v>0</v>
      </c>
      <c r="AT48" s="554"/>
      <c r="AU48" s="625">
        <v>0</v>
      </c>
      <c r="AV48" s="953">
        <v>0</v>
      </c>
      <c r="AW48" s="632">
        <f t="shared" si="20"/>
        <v>0</v>
      </c>
      <c r="AX48" s="954">
        <f t="shared" si="21"/>
        <v>0</v>
      </c>
      <c r="AY48" s="953">
        <f t="shared" si="22"/>
        <v>0</v>
      </c>
      <c r="AZ48" s="632">
        <f t="shared" si="23"/>
        <v>0</v>
      </c>
      <c r="BA48" s="955">
        <f t="shared" si="11"/>
        <v>0</v>
      </c>
      <c r="BB48" s="956">
        <f t="shared" si="12"/>
        <v>0</v>
      </c>
      <c r="BC48" s="957"/>
      <c r="BD48" s="560">
        <v>0</v>
      </c>
      <c r="BE48" s="560">
        <v>0</v>
      </c>
      <c r="BF48" s="560">
        <v>0</v>
      </c>
      <c r="BG48" s="560">
        <v>0</v>
      </c>
      <c r="BH48" s="560">
        <v>0</v>
      </c>
      <c r="BI48" s="560">
        <v>0</v>
      </c>
      <c r="BJ48" s="560">
        <v>0</v>
      </c>
      <c r="BK48" s="560">
        <v>0</v>
      </c>
      <c r="BL48" s="560">
        <v>0</v>
      </c>
      <c r="BM48" s="560">
        <v>0</v>
      </c>
      <c r="BN48" s="560">
        <v>0</v>
      </c>
      <c r="BO48" s="560">
        <v>0</v>
      </c>
      <c r="BP48" s="561">
        <f t="shared" si="13"/>
        <v>0</v>
      </c>
      <c r="BQ48" s="561"/>
      <c r="BR48" s="561"/>
      <c r="BS48" s="561"/>
      <c r="BT48" s="561"/>
    </row>
    <row r="49" spans="1:72" ht="15" customHeight="1">
      <c r="A49" s="678" t="s">
        <v>1076</v>
      </c>
      <c r="B49" s="675" t="s">
        <v>1124</v>
      </c>
      <c r="C49" s="675"/>
      <c r="D49" s="676" t="s">
        <v>121</v>
      </c>
      <c r="E49" s="949">
        <v>0</v>
      </c>
      <c r="F49" s="950">
        <v>0</v>
      </c>
      <c r="G49" s="949">
        <v>0</v>
      </c>
      <c r="H49" s="950">
        <v>0</v>
      </c>
      <c r="I49" s="949">
        <v>0</v>
      </c>
      <c r="J49" s="950">
        <v>0</v>
      </c>
      <c r="K49" s="632">
        <f t="shared" si="14"/>
        <v>0</v>
      </c>
      <c r="L49" s="631">
        <f t="shared" si="14"/>
        <v>0</v>
      </c>
      <c r="M49" s="949">
        <v>0</v>
      </c>
      <c r="N49" s="950">
        <v>0</v>
      </c>
      <c r="O49" s="949">
        <v>0</v>
      </c>
      <c r="P49" s="950">
        <v>0</v>
      </c>
      <c r="Q49" s="625">
        <v>0</v>
      </c>
      <c r="R49" s="949">
        <v>0</v>
      </c>
      <c r="S49" s="950">
        <v>0</v>
      </c>
      <c r="T49" s="625">
        <v>0</v>
      </c>
      <c r="U49" s="632">
        <f t="shared" si="15"/>
        <v>0</v>
      </c>
      <c r="V49" s="951">
        <f t="shared" si="10"/>
        <v>0</v>
      </c>
      <c r="W49" s="625">
        <f t="shared" si="16"/>
        <v>0</v>
      </c>
      <c r="X49" s="949">
        <v>0</v>
      </c>
      <c r="Y49" s="950">
        <v>0</v>
      </c>
      <c r="Z49" s="625">
        <v>0</v>
      </c>
      <c r="AA49" s="949">
        <v>0</v>
      </c>
      <c r="AB49" s="950">
        <v>0</v>
      </c>
      <c r="AC49" s="625">
        <v>0</v>
      </c>
      <c r="AD49" s="949">
        <v>0</v>
      </c>
      <c r="AE49" s="554"/>
      <c r="AF49" s="625">
        <v>0</v>
      </c>
      <c r="AG49" s="953">
        <v>0</v>
      </c>
      <c r="AH49" s="632">
        <f t="shared" si="17"/>
        <v>0</v>
      </c>
      <c r="AI49" s="954">
        <f t="shared" si="18"/>
        <v>0</v>
      </c>
      <c r="AJ49" s="953">
        <f t="shared" si="19"/>
        <v>0</v>
      </c>
      <c r="AK49" s="949">
        <v>0</v>
      </c>
      <c r="AL49" s="554"/>
      <c r="AM49" s="625">
        <v>0</v>
      </c>
      <c r="AN49" s="953">
        <v>0</v>
      </c>
      <c r="AO49" s="949">
        <v>0</v>
      </c>
      <c r="AP49" s="554"/>
      <c r="AQ49" s="625">
        <v>0</v>
      </c>
      <c r="AR49" s="953">
        <v>0</v>
      </c>
      <c r="AS49" s="949">
        <v>0</v>
      </c>
      <c r="AT49" s="554"/>
      <c r="AU49" s="625">
        <v>0</v>
      </c>
      <c r="AV49" s="953">
        <v>0</v>
      </c>
      <c r="AW49" s="632">
        <f t="shared" si="20"/>
        <v>0</v>
      </c>
      <c r="AX49" s="954">
        <f t="shared" si="21"/>
        <v>0</v>
      </c>
      <c r="AY49" s="953">
        <f t="shared" si="22"/>
        <v>0</v>
      </c>
      <c r="AZ49" s="632">
        <f t="shared" si="23"/>
        <v>0</v>
      </c>
      <c r="BA49" s="955">
        <f t="shared" si="11"/>
        <v>0</v>
      </c>
      <c r="BB49" s="956">
        <f t="shared" si="12"/>
        <v>0</v>
      </c>
      <c r="BC49" s="957"/>
      <c r="BD49" s="560">
        <v>0</v>
      </c>
      <c r="BE49" s="560">
        <v>0</v>
      </c>
      <c r="BF49" s="560">
        <v>0</v>
      </c>
      <c r="BG49" s="560">
        <v>0</v>
      </c>
      <c r="BH49" s="560">
        <v>0</v>
      </c>
      <c r="BI49" s="560">
        <v>0</v>
      </c>
      <c r="BJ49" s="560">
        <v>0</v>
      </c>
      <c r="BK49" s="560">
        <v>0</v>
      </c>
      <c r="BL49" s="560">
        <v>0</v>
      </c>
      <c r="BM49" s="560">
        <v>0</v>
      </c>
      <c r="BN49" s="560">
        <v>0</v>
      </c>
      <c r="BO49" s="560">
        <v>0</v>
      </c>
      <c r="BP49" s="561">
        <f t="shared" si="13"/>
        <v>0</v>
      </c>
      <c r="BQ49" s="561"/>
      <c r="BR49" s="561"/>
      <c r="BS49" s="561"/>
      <c r="BT49" s="561"/>
    </row>
    <row r="50" spans="1:72" ht="15" customHeight="1">
      <c r="A50" s="678" t="s">
        <v>1076</v>
      </c>
      <c r="B50" s="675" t="s">
        <v>1125</v>
      </c>
      <c r="C50" s="675"/>
      <c r="D50" s="676" t="s">
        <v>121</v>
      </c>
      <c r="E50" s="949">
        <v>0</v>
      </c>
      <c r="F50" s="950">
        <v>0</v>
      </c>
      <c r="G50" s="949">
        <v>0</v>
      </c>
      <c r="H50" s="950">
        <v>0</v>
      </c>
      <c r="I50" s="949">
        <v>0</v>
      </c>
      <c r="J50" s="950">
        <v>0</v>
      </c>
      <c r="K50" s="632">
        <f t="shared" si="14"/>
        <v>0</v>
      </c>
      <c r="L50" s="631">
        <f t="shared" si="14"/>
        <v>0</v>
      </c>
      <c r="M50" s="949">
        <v>0</v>
      </c>
      <c r="N50" s="950">
        <v>0</v>
      </c>
      <c r="O50" s="949">
        <v>0</v>
      </c>
      <c r="P50" s="950">
        <v>0</v>
      </c>
      <c r="Q50" s="625">
        <v>0</v>
      </c>
      <c r="R50" s="949">
        <v>0</v>
      </c>
      <c r="S50" s="950">
        <v>0</v>
      </c>
      <c r="T50" s="625">
        <v>0</v>
      </c>
      <c r="U50" s="632">
        <f t="shared" si="15"/>
        <v>0</v>
      </c>
      <c r="V50" s="951">
        <f t="shared" si="10"/>
        <v>0</v>
      </c>
      <c r="W50" s="625">
        <f t="shared" si="16"/>
        <v>0</v>
      </c>
      <c r="X50" s="949">
        <v>0</v>
      </c>
      <c r="Y50" s="950">
        <v>0</v>
      </c>
      <c r="Z50" s="625">
        <v>0</v>
      </c>
      <c r="AA50" s="949">
        <v>0</v>
      </c>
      <c r="AB50" s="950">
        <v>0</v>
      </c>
      <c r="AC50" s="625">
        <v>0</v>
      </c>
      <c r="AD50" s="949">
        <v>0</v>
      </c>
      <c r="AE50" s="554"/>
      <c r="AF50" s="625">
        <v>0</v>
      </c>
      <c r="AG50" s="953">
        <v>0</v>
      </c>
      <c r="AH50" s="632">
        <f t="shared" si="17"/>
        <v>0</v>
      </c>
      <c r="AI50" s="954">
        <f t="shared" si="18"/>
        <v>0</v>
      </c>
      <c r="AJ50" s="953">
        <f t="shared" si="19"/>
        <v>0</v>
      </c>
      <c r="AK50" s="949">
        <v>0</v>
      </c>
      <c r="AL50" s="554"/>
      <c r="AM50" s="625">
        <v>0</v>
      </c>
      <c r="AN50" s="953">
        <v>0</v>
      </c>
      <c r="AO50" s="949">
        <v>0</v>
      </c>
      <c r="AP50" s="554"/>
      <c r="AQ50" s="625">
        <v>0</v>
      </c>
      <c r="AR50" s="953">
        <v>0</v>
      </c>
      <c r="AS50" s="949">
        <v>0</v>
      </c>
      <c r="AT50" s="554"/>
      <c r="AU50" s="625">
        <v>0</v>
      </c>
      <c r="AV50" s="953">
        <v>0</v>
      </c>
      <c r="AW50" s="632">
        <f t="shared" si="20"/>
        <v>0</v>
      </c>
      <c r="AX50" s="954">
        <f t="shared" si="21"/>
        <v>0</v>
      </c>
      <c r="AY50" s="953">
        <f t="shared" si="22"/>
        <v>0</v>
      </c>
      <c r="AZ50" s="632">
        <f t="shared" si="23"/>
        <v>0</v>
      </c>
      <c r="BA50" s="955">
        <f t="shared" si="11"/>
        <v>0</v>
      </c>
      <c r="BB50" s="956">
        <f t="shared" si="12"/>
        <v>0</v>
      </c>
      <c r="BC50" s="957"/>
      <c r="BD50" s="560">
        <v>0</v>
      </c>
      <c r="BE50" s="560">
        <v>0</v>
      </c>
      <c r="BF50" s="560">
        <v>0</v>
      </c>
      <c r="BG50" s="560">
        <v>0</v>
      </c>
      <c r="BH50" s="560">
        <v>0</v>
      </c>
      <c r="BI50" s="560">
        <v>0</v>
      </c>
      <c r="BJ50" s="560">
        <v>0</v>
      </c>
      <c r="BK50" s="560">
        <v>0</v>
      </c>
      <c r="BL50" s="560">
        <v>0</v>
      </c>
      <c r="BM50" s="560">
        <v>0</v>
      </c>
      <c r="BN50" s="560">
        <v>0</v>
      </c>
      <c r="BO50" s="560">
        <v>0</v>
      </c>
      <c r="BP50" s="561">
        <f t="shared" si="13"/>
        <v>0</v>
      </c>
      <c r="BQ50" s="561"/>
      <c r="BR50" s="561"/>
      <c r="BS50" s="561"/>
      <c r="BT50" s="561"/>
    </row>
    <row r="51" spans="1:72" ht="15" customHeight="1">
      <c r="A51" s="678" t="s">
        <v>1076</v>
      </c>
      <c r="B51" s="675" t="s">
        <v>1126</v>
      </c>
      <c r="C51" s="675"/>
      <c r="D51" s="676" t="s">
        <v>121</v>
      </c>
      <c r="E51" s="949">
        <v>0</v>
      </c>
      <c r="F51" s="950">
        <v>0</v>
      </c>
      <c r="G51" s="949">
        <v>0</v>
      </c>
      <c r="H51" s="950">
        <v>0</v>
      </c>
      <c r="I51" s="949">
        <v>0</v>
      </c>
      <c r="J51" s="950">
        <v>0</v>
      </c>
      <c r="K51" s="632">
        <f t="shared" si="14"/>
        <v>0</v>
      </c>
      <c r="L51" s="631">
        <f t="shared" si="14"/>
        <v>0</v>
      </c>
      <c r="M51" s="949">
        <v>0</v>
      </c>
      <c r="N51" s="950">
        <v>0</v>
      </c>
      <c r="O51" s="949">
        <v>0</v>
      </c>
      <c r="P51" s="950">
        <v>0</v>
      </c>
      <c r="Q51" s="625">
        <v>0</v>
      </c>
      <c r="R51" s="949">
        <v>0</v>
      </c>
      <c r="S51" s="950">
        <v>0</v>
      </c>
      <c r="T51" s="625">
        <v>0</v>
      </c>
      <c r="U51" s="632">
        <f t="shared" si="15"/>
        <v>0</v>
      </c>
      <c r="V51" s="951">
        <f t="shared" si="10"/>
        <v>0</v>
      </c>
      <c r="W51" s="625">
        <f t="shared" si="16"/>
        <v>0</v>
      </c>
      <c r="X51" s="949">
        <v>0</v>
      </c>
      <c r="Y51" s="950">
        <v>0</v>
      </c>
      <c r="Z51" s="625">
        <v>0</v>
      </c>
      <c r="AA51" s="949">
        <v>0</v>
      </c>
      <c r="AB51" s="950">
        <v>0</v>
      </c>
      <c r="AC51" s="625">
        <v>0</v>
      </c>
      <c r="AD51" s="949">
        <v>0</v>
      </c>
      <c r="AE51" s="554"/>
      <c r="AF51" s="625">
        <v>0</v>
      </c>
      <c r="AG51" s="953">
        <v>0</v>
      </c>
      <c r="AH51" s="632">
        <f t="shared" si="17"/>
        <v>0</v>
      </c>
      <c r="AI51" s="954">
        <f t="shared" si="18"/>
        <v>0</v>
      </c>
      <c r="AJ51" s="953">
        <f t="shared" si="19"/>
        <v>0</v>
      </c>
      <c r="AK51" s="949">
        <v>0</v>
      </c>
      <c r="AL51" s="554"/>
      <c r="AM51" s="625">
        <v>0</v>
      </c>
      <c r="AN51" s="953">
        <v>0</v>
      </c>
      <c r="AO51" s="949">
        <v>0</v>
      </c>
      <c r="AP51" s="554"/>
      <c r="AQ51" s="625">
        <v>0</v>
      </c>
      <c r="AR51" s="953">
        <v>0</v>
      </c>
      <c r="AS51" s="949">
        <v>0</v>
      </c>
      <c r="AT51" s="554"/>
      <c r="AU51" s="625">
        <v>0</v>
      </c>
      <c r="AV51" s="953">
        <v>0</v>
      </c>
      <c r="AW51" s="632">
        <f t="shared" si="20"/>
        <v>0</v>
      </c>
      <c r="AX51" s="954">
        <f t="shared" si="21"/>
        <v>0</v>
      </c>
      <c r="AY51" s="953">
        <f t="shared" si="22"/>
        <v>0</v>
      </c>
      <c r="AZ51" s="632">
        <f t="shared" si="23"/>
        <v>0</v>
      </c>
      <c r="BA51" s="955">
        <f t="shared" si="11"/>
        <v>0</v>
      </c>
      <c r="BB51" s="956">
        <f t="shared" si="12"/>
        <v>0</v>
      </c>
      <c r="BC51" s="957"/>
      <c r="BD51" s="560">
        <v>0</v>
      </c>
      <c r="BE51" s="560">
        <v>0</v>
      </c>
      <c r="BF51" s="560">
        <v>0</v>
      </c>
      <c r="BG51" s="560">
        <v>0</v>
      </c>
      <c r="BH51" s="560">
        <v>0</v>
      </c>
      <c r="BI51" s="560">
        <v>0</v>
      </c>
      <c r="BJ51" s="560">
        <v>0</v>
      </c>
      <c r="BK51" s="560">
        <v>0</v>
      </c>
      <c r="BL51" s="560">
        <v>0</v>
      </c>
      <c r="BM51" s="560">
        <v>0</v>
      </c>
      <c r="BN51" s="560">
        <v>0</v>
      </c>
      <c r="BO51" s="560">
        <v>0</v>
      </c>
      <c r="BP51" s="561">
        <f t="shared" si="13"/>
        <v>0</v>
      </c>
      <c r="BQ51" s="561"/>
      <c r="BR51" s="561"/>
      <c r="BS51" s="561"/>
      <c r="BT51" s="561"/>
    </row>
    <row r="52" spans="1:72" ht="15" customHeight="1">
      <c r="A52" s="678" t="s">
        <v>1076</v>
      </c>
      <c r="B52" s="675" t="s">
        <v>1127</v>
      </c>
      <c r="C52" s="675"/>
      <c r="D52" s="676" t="s">
        <v>121</v>
      </c>
      <c r="E52" s="949">
        <v>0</v>
      </c>
      <c r="F52" s="950">
        <v>0</v>
      </c>
      <c r="G52" s="949">
        <v>0</v>
      </c>
      <c r="H52" s="950">
        <v>0</v>
      </c>
      <c r="I52" s="949">
        <v>0</v>
      </c>
      <c r="J52" s="950">
        <v>0</v>
      </c>
      <c r="K52" s="632">
        <f t="shared" si="14"/>
        <v>0</v>
      </c>
      <c r="L52" s="631">
        <f t="shared" si="14"/>
        <v>0</v>
      </c>
      <c r="M52" s="949">
        <v>0</v>
      </c>
      <c r="N52" s="950">
        <v>0</v>
      </c>
      <c r="O52" s="949">
        <v>0</v>
      </c>
      <c r="P52" s="950">
        <v>0</v>
      </c>
      <c r="Q52" s="625">
        <v>0</v>
      </c>
      <c r="R52" s="949">
        <v>0</v>
      </c>
      <c r="S52" s="950">
        <v>0</v>
      </c>
      <c r="T52" s="625">
        <v>0</v>
      </c>
      <c r="U52" s="632">
        <f t="shared" si="15"/>
        <v>0</v>
      </c>
      <c r="V52" s="951">
        <f t="shared" si="10"/>
        <v>0</v>
      </c>
      <c r="W52" s="625">
        <f t="shared" si="16"/>
        <v>0</v>
      </c>
      <c r="X52" s="949">
        <v>0</v>
      </c>
      <c r="Y52" s="950">
        <v>0</v>
      </c>
      <c r="Z52" s="625">
        <v>0</v>
      </c>
      <c r="AA52" s="949">
        <v>0</v>
      </c>
      <c r="AB52" s="950">
        <v>0</v>
      </c>
      <c r="AC52" s="625">
        <v>0</v>
      </c>
      <c r="AD52" s="949">
        <v>0</v>
      </c>
      <c r="AE52" s="554"/>
      <c r="AF52" s="625">
        <v>0</v>
      </c>
      <c r="AG52" s="953">
        <v>0</v>
      </c>
      <c r="AH52" s="632">
        <f t="shared" si="17"/>
        <v>0</v>
      </c>
      <c r="AI52" s="954">
        <f t="shared" si="18"/>
        <v>0</v>
      </c>
      <c r="AJ52" s="953">
        <f t="shared" si="19"/>
        <v>0</v>
      </c>
      <c r="AK52" s="949">
        <v>0</v>
      </c>
      <c r="AL52" s="554"/>
      <c r="AM52" s="625">
        <v>0</v>
      </c>
      <c r="AN52" s="953">
        <v>0</v>
      </c>
      <c r="AO52" s="949">
        <v>0</v>
      </c>
      <c r="AP52" s="554"/>
      <c r="AQ52" s="625">
        <v>0</v>
      </c>
      <c r="AR52" s="953">
        <v>0</v>
      </c>
      <c r="AS52" s="949">
        <v>0</v>
      </c>
      <c r="AT52" s="554"/>
      <c r="AU52" s="625">
        <v>0</v>
      </c>
      <c r="AV52" s="953">
        <v>0</v>
      </c>
      <c r="AW52" s="632">
        <f t="shared" si="20"/>
        <v>0</v>
      </c>
      <c r="AX52" s="954">
        <f t="shared" si="21"/>
        <v>0</v>
      </c>
      <c r="AY52" s="953">
        <f t="shared" si="22"/>
        <v>0</v>
      </c>
      <c r="AZ52" s="632">
        <f t="shared" si="23"/>
        <v>0</v>
      </c>
      <c r="BA52" s="955">
        <f t="shared" si="11"/>
        <v>0</v>
      </c>
      <c r="BB52" s="956">
        <f t="shared" si="12"/>
        <v>0</v>
      </c>
      <c r="BC52" s="957"/>
      <c r="BD52" s="560">
        <v>0</v>
      </c>
      <c r="BE52" s="560">
        <v>0</v>
      </c>
      <c r="BF52" s="560">
        <v>0</v>
      </c>
      <c r="BG52" s="560">
        <v>0</v>
      </c>
      <c r="BH52" s="560">
        <v>0</v>
      </c>
      <c r="BI52" s="560">
        <v>0</v>
      </c>
      <c r="BJ52" s="560">
        <v>0</v>
      </c>
      <c r="BK52" s="560">
        <v>0</v>
      </c>
      <c r="BL52" s="560">
        <v>0</v>
      </c>
      <c r="BM52" s="560">
        <v>0</v>
      </c>
      <c r="BN52" s="560">
        <v>0</v>
      </c>
      <c r="BO52" s="560">
        <v>0</v>
      </c>
      <c r="BP52" s="561">
        <f t="shared" si="13"/>
        <v>0</v>
      </c>
      <c r="BQ52" s="561"/>
      <c r="BR52" s="561"/>
      <c r="BS52" s="561"/>
      <c r="BT52" s="561"/>
    </row>
    <row r="53" spans="1:72" ht="15" customHeight="1">
      <c r="A53" s="678" t="s">
        <v>1076</v>
      </c>
      <c r="B53" s="675" t="s">
        <v>1128</v>
      </c>
      <c r="C53" s="675"/>
      <c r="D53" s="676" t="s">
        <v>121</v>
      </c>
      <c r="E53" s="949">
        <v>0</v>
      </c>
      <c r="F53" s="950">
        <v>0</v>
      </c>
      <c r="G53" s="949">
        <v>0</v>
      </c>
      <c r="H53" s="950">
        <v>0</v>
      </c>
      <c r="I53" s="949">
        <v>0</v>
      </c>
      <c r="J53" s="950">
        <v>0</v>
      </c>
      <c r="K53" s="632">
        <f t="shared" si="14"/>
        <v>0</v>
      </c>
      <c r="L53" s="631">
        <f t="shared" si="14"/>
        <v>0</v>
      </c>
      <c r="M53" s="949">
        <v>0</v>
      </c>
      <c r="N53" s="950">
        <v>0</v>
      </c>
      <c r="O53" s="949">
        <v>0</v>
      </c>
      <c r="P53" s="950">
        <v>0</v>
      </c>
      <c r="Q53" s="625">
        <v>0</v>
      </c>
      <c r="R53" s="949">
        <v>0</v>
      </c>
      <c r="S53" s="950">
        <v>0</v>
      </c>
      <c r="T53" s="625">
        <v>0</v>
      </c>
      <c r="U53" s="632">
        <f t="shared" si="15"/>
        <v>0</v>
      </c>
      <c r="V53" s="951">
        <f t="shared" si="10"/>
        <v>0</v>
      </c>
      <c r="W53" s="625">
        <f t="shared" si="16"/>
        <v>0</v>
      </c>
      <c r="X53" s="949">
        <v>0</v>
      </c>
      <c r="Y53" s="950">
        <v>0</v>
      </c>
      <c r="Z53" s="625">
        <v>0</v>
      </c>
      <c r="AA53" s="949">
        <v>0</v>
      </c>
      <c r="AB53" s="950">
        <v>0</v>
      </c>
      <c r="AC53" s="625">
        <v>0</v>
      </c>
      <c r="AD53" s="949">
        <v>0</v>
      </c>
      <c r="AE53" s="554"/>
      <c r="AF53" s="625">
        <v>0</v>
      </c>
      <c r="AG53" s="953">
        <v>0</v>
      </c>
      <c r="AH53" s="632">
        <f t="shared" si="17"/>
        <v>0</v>
      </c>
      <c r="AI53" s="954">
        <f t="shared" si="18"/>
        <v>0</v>
      </c>
      <c r="AJ53" s="953">
        <f t="shared" si="19"/>
        <v>0</v>
      </c>
      <c r="AK53" s="949">
        <v>0</v>
      </c>
      <c r="AL53" s="554"/>
      <c r="AM53" s="625">
        <v>0</v>
      </c>
      <c r="AN53" s="953">
        <v>0</v>
      </c>
      <c r="AO53" s="949">
        <v>0</v>
      </c>
      <c r="AP53" s="554"/>
      <c r="AQ53" s="625">
        <v>0</v>
      </c>
      <c r="AR53" s="953">
        <v>0</v>
      </c>
      <c r="AS53" s="949">
        <v>0</v>
      </c>
      <c r="AT53" s="554"/>
      <c r="AU53" s="625">
        <v>0</v>
      </c>
      <c r="AV53" s="953">
        <v>0</v>
      </c>
      <c r="AW53" s="632">
        <f t="shared" si="20"/>
        <v>0</v>
      </c>
      <c r="AX53" s="954">
        <f t="shared" si="21"/>
        <v>0</v>
      </c>
      <c r="AY53" s="953">
        <f t="shared" si="22"/>
        <v>0</v>
      </c>
      <c r="AZ53" s="632">
        <f t="shared" si="23"/>
        <v>0</v>
      </c>
      <c r="BA53" s="955">
        <f t="shared" si="11"/>
        <v>0</v>
      </c>
      <c r="BB53" s="956">
        <f t="shared" si="12"/>
        <v>0</v>
      </c>
      <c r="BC53" s="957"/>
      <c r="BD53" s="560">
        <v>0</v>
      </c>
      <c r="BE53" s="560">
        <v>0</v>
      </c>
      <c r="BF53" s="560">
        <v>0</v>
      </c>
      <c r="BG53" s="560">
        <v>0</v>
      </c>
      <c r="BH53" s="560">
        <v>0</v>
      </c>
      <c r="BI53" s="560">
        <v>0</v>
      </c>
      <c r="BJ53" s="560">
        <v>0</v>
      </c>
      <c r="BK53" s="560">
        <v>0</v>
      </c>
      <c r="BL53" s="560">
        <v>0</v>
      </c>
      <c r="BM53" s="560">
        <v>0</v>
      </c>
      <c r="BN53" s="560">
        <v>0</v>
      </c>
      <c r="BO53" s="560">
        <v>0</v>
      </c>
      <c r="BP53" s="561">
        <f t="shared" si="13"/>
        <v>0</v>
      </c>
      <c r="BQ53" s="561"/>
      <c r="BR53" s="561"/>
      <c r="BS53" s="561"/>
      <c r="BT53" s="561"/>
    </row>
    <row r="54" spans="1:72" ht="15" customHeight="1">
      <c r="A54" s="678" t="s">
        <v>1076</v>
      </c>
      <c r="B54" s="675" t="s">
        <v>1129</v>
      </c>
      <c r="C54" s="675"/>
      <c r="D54" s="676" t="s">
        <v>121</v>
      </c>
      <c r="E54" s="949">
        <v>0</v>
      </c>
      <c r="F54" s="950">
        <v>0</v>
      </c>
      <c r="G54" s="949">
        <v>0</v>
      </c>
      <c r="H54" s="950">
        <v>0</v>
      </c>
      <c r="I54" s="949">
        <v>0</v>
      </c>
      <c r="J54" s="950">
        <v>0</v>
      </c>
      <c r="K54" s="632">
        <f t="shared" si="14"/>
        <v>0</v>
      </c>
      <c r="L54" s="631">
        <f t="shared" si="14"/>
        <v>0</v>
      </c>
      <c r="M54" s="949">
        <v>0</v>
      </c>
      <c r="N54" s="950">
        <v>0</v>
      </c>
      <c r="O54" s="949">
        <v>0</v>
      </c>
      <c r="P54" s="950">
        <v>0</v>
      </c>
      <c r="Q54" s="625">
        <v>0</v>
      </c>
      <c r="R54" s="949">
        <v>0</v>
      </c>
      <c r="S54" s="950">
        <v>0</v>
      </c>
      <c r="T54" s="625">
        <v>0</v>
      </c>
      <c r="U54" s="632">
        <f t="shared" si="15"/>
        <v>0</v>
      </c>
      <c r="V54" s="951">
        <f t="shared" si="10"/>
        <v>0</v>
      </c>
      <c r="W54" s="625">
        <f t="shared" si="16"/>
        <v>0</v>
      </c>
      <c r="X54" s="949">
        <v>0</v>
      </c>
      <c r="Y54" s="950">
        <v>0</v>
      </c>
      <c r="Z54" s="625">
        <v>0</v>
      </c>
      <c r="AA54" s="949">
        <v>0</v>
      </c>
      <c r="AB54" s="950">
        <v>0</v>
      </c>
      <c r="AC54" s="625">
        <v>0</v>
      </c>
      <c r="AD54" s="949">
        <v>0</v>
      </c>
      <c r="AE54" s="554"/>
      <c r="AF54" s="625">
        <v>0</v>
      </c>
      <c r="AG54" s="953">
        <v>0</v>
      </c>
      <c r="AH54" s="632">
        <f t="shared" si="17"/>
        <v>0</v>
      </c>
      <c r="AI54" s="954">
        <f t="shared" si="18"/>
        <v>0</v>
      </c>
      <c r="AJ54" s="953">
        <f t="shared" si="19"/>
        <v>0</v>
      </c>
      <c r="AK54" s="949">
        <v>0</v>
      </c>
      <c r="AL54" s="554"/>
      <c r="AM54" s="625">
        <v>0</v>
      </c>
      <c r="AN54" s="953">
        <v>0</v>
      </c>
      <c r="AO54" s="949">
        <v>0</v>
      </c>
      <c r="AP54" s="554"/>
      <c r="AQ54" s="625">
        <v>0</v>
      </c>
      <c r="AR54" s="953">
        <v>0</v>
      </c>
      <c r="AS54" s="949">
        <v>0</v>
      </c>
      <c r="AT54" s="554"/>
      <c r="AU54" s="625">
        <v>0</v>
      </c>
      <c r="AV54" s="953">
        <v>0</v>
      </c>
      <c r="AW54" s="632">
        <f t="shared" si="20"/>
        <v>0</v>
      </c>
      <c r="AX54" s="954">
        <f t="shared" si="21"/>
        <v>0</v>
      </c>
      <c r="AY54" s="953">
        <f t="shared" si="22"/>
        <v>0</v>
      </c>
      <c r="AZ54" s="632">
        <f t="shared" si="23"/>
        <v>0</v>
      </c>
      <c r="BA54" s="955">
        <f t="shared" si="11"/>
        <v>0</v>
      </c>
      <c r="BB54" s="956">
        <f t="shared" si="12"/>
        <v>0</v>
      </c>
      <c r="BC54" s="957"/>
      <c r="BD54" s="560">
        <v>0</v>
      </c>
      <c r="BE54" s="560">
        <v>0</v>
      </c>
      <c r="BF54" s="560">
        <v>0</v>
      </c>
      <c r="BG54" s="560">
        <v>0</v>
      </c>
      <c r="BH54" s="560">
        <v>0</v>
      </c>
      <c r="BI54" s="560">
        <v>0</v>
      </c>
      <c r="BJ54" s="560">
        <v>0</v>
      </c>
      <c r="BK54" s="560">
        <v>0</v>
      </c>
      <c r="BL54" s="560">
        <v>0</v>
      </c>
      <c r="BM54" s="560">
        <v>0</v>
      </c>
      <c r="BN54" s="560">
        <v>0</v>
      </c>
      <c r="BO54" s="560">
        <v>0</v>
      </c>
      <c r="BP54" s="561">
        <f t="shared" si="13"/>
        <v>0</v>
      </c>
      <c r="BQ54" s="561"/>
      <c r="BR54" s="561"/>
      <c r="BS54" s="561"/>
      <c r="BT54" s="561"/>
    </row>
    <row r="55" spans="1:72" ht="14.5">
      <c r="A55" s="678" t="s">
        <v>1076</v>
      </c>
      <c r="B55" s="675" t="s">
        <v>1130</v>
      </c>
      <c r="C55" s="675"/>
      <c r="D55" s="676" t="s">
        <v>121</v>
      </c>
      <c r="E55" s="949">
        <v>0</v>
      </c>
      <c r="F55" s="950">
        <v>0</v>
      </c>
      <c r="G55" s="949">
        <v>0</v>
      </c>
      <c r="H55" s="950">
        <v>0</v>
      </c>
      <c r="I55" s="949">
        <v>0</v>
      </c>
      <c r="J55" s="950">
        <v>0</v>
      </c>
      <c r="K55" s="632">
        <f t="shared" si="14"/>
        <v>0</v>
      </c>
      <c r="L55" s="631">
        <f t="shared" si="14"/>
        <v>0</v>
      </c>
      <c r="M55" s="949">
        <v>0</v>
      </c>
      <c r="N55" s="950">
        <v>0</v>
      </c>
      <c r="O55" s="949">
        <v>0</v>
      </c>
      <c r="P55" s="950">
        <v>0</v>
      </c>
      <c r="Q55" s="625">
        <v>0</v>
      </c>
      <c r="R55" s="949">
        <v>0</v>
      </c>
      <c r="S55" s="950">
        <v>0</v>
      </c>
      <c r="T55" s="625">
        <v>0</v>
      </c>
      <c r="U55" s="632">
        <f t="shared" si="15"/>
        <v>0</v>
      </c>
      <c r="V55" s="951">
        <f t="shared" si="10"/>
        <v>0</v>
      </c>
      <c r="W55" s="625">
        <f t="shared" si="16"/>
        <v>0</v>
      </c>
      <c r="X55" s="949">
        <v>0</v>
      </c>
      <c r="Y55" s="950">
        <v>0</v>
      </c>
      <c r="Z55" s="625">
        <v>0</v>
      </c>
      <c r="AA55" s="949">
        <v>0</v>
      </c>
      <c r="AB55" s="950">
        <v>0</v>
      </c>
      <c r="AC55" s="625">
        <v>148.4</v>
      </c>
      <c r="AD55" s="949">
        <v>0</v>
      </c>
      <c r="AE55" s="554"/>
      <c r="AF55" s="625">
        <v>148.4</v>
      </c>
      <c r="AG55" s="953">
        <v>0</v>
      </c>
      <c r="AH55" s="632">
        <f t="shared" si="17"/>
        <v>0</v>
      </c>
      <c r="AI55" s="954">
        <f t="shared" si="18"/>
        <v>0</v>
      </c>
      <c r="AJ55" s="953">
        <f t="shared" si="19"/>
        <v>148.4</v>
      </c>
      <c r="AK55" s="949">
        <v>0</v>
      </c>
      <c r="AL55" s="554"/>
      <c r="AM55" s="625">
        <v>148.4</v>
      </c>
      <c r="AN55" s="953">
        <v>0</v>
      </c>
      <c r="AO55" s="949">
        <v>0</v>
      </c>
      <c r="AP55" s="554"/>
      <c r="AQ55" s="625">
        <v>148.4</v>
      </c>
      <c r="AR55" s="953">
        <v>0</v>
      </c>
      <c r="AS55" s="949">
        <v>0</v>
      </c>
      <c r="AT55" s="554"/>
      <c r="AU55" s="625">
        <v>148.4</v>
      </c>
      <c r="AV55" s="953">
        <v>0</v>
      </c>
      <c r="AW55" s="632">
        <f t="shared" si="20"/>
        <v>0</v>
      </c>
      <c r="AX55" s="954">
        <f t="shared" si="21"/>
        <v>0</v>
      </c>
      <c r="AY55" s="953">
        <f t="shared" si="22"/>
        <v>0</v>
      </c>
      <c r="AZ55" s="632">
        <f t="shared" si="23"/>
        <v>0</v>
      </c>
      <c r="BA55" s="955">
        <f t="shared" si="11"/>
        <v>593.6</v>
      </c>
      <c r="BB55" s="956">
        <f t="shared" si="12"/>
        <v>0</v>
      </c>
      <c r="BC55" s="957"/>
      <c r="BD55" s="560">
        <v>0</v>
      </c>
      <c r="BE55" s="560">
        <v>0</v>
      </c>
      <c r="BF55" s="560">
        <v>0</v>
      </c>
      <c r="BG55" s="560">
        <v>0</v>
      </c>
      <c r="BH55" s="560">
        <v>0</v>
      </c>
      <c r="BI55" s="560">
        <v>0</v>
      </c>
      <c r="BJ55" s="560">
        <v>0</v>
      </c>
      <c r="BK55" s="560">
        <v>0</v>
      </c>
      <c r="BL55" s="560">
        <v>0</v>
      </c>
      <c r="BM55" s="560">
        <v>0</v>
      </c>
      <c r="BN55" s="560">
        <v>0</v>
      </c>
      <c r="BO55" s="560">
        <v>0</v>
      </c>
      <c r="BP55" s="561">
        <f t="shared" si="13"/>
        <v>0</v>
      </c>
      <c r="BQ55" s="561"/>
      <c r="BR55" s="561"/>
      <c r="BS55" s="561"/>
      <c r="BT55" s="561"/>
    </row>
    <row r="56" spans="1:72" ht="14.5">
      <c r="A56" s="678" t="s">
        <v>1076</v>
      </c>
      <c r="B56" s="675" t="s">
        <v>1131</v>
      </c>
      <c r="C56" s="675"/>
      <c r="D56" s="676" t="s">
        <v>121</v>
      </c>
      <c r="E56" s="949">
        <v>0</v>
      </c>
      <c r="F56" s="950">
        <v>0</v>
      </c>
      <c r="G56" s="949">
        <v>0</v>
      </c>
      <c r="H56" s="950">
        <v>0</v>
      </c>
      <c r="I56" s="949">
        <v>0</v>
      </c>
      <c r="J56" s="950">
        <v>0</v>
      </c>
      <c r="K56" s="632">
        <f t="shared" si="14"/>
        <v>0</v>
      </c>
      <c r="L56" s="631">
        <f t="shared" si="14"/>
        <v>0</v>
      </c>
      <c r="M56" s="949">
        <v>0</v>
      </c>
      <c r="N56" s="950">
        <v>0</v>
      </c>
      <c r="O56" s="949">
        <v>0</v>
      </c>
      <c r="P56" s="950">
        <v>0</v>
      </c>
      <c r="Q56" s="625">
        <v>0</v>
      </c>
      <c r="R56" s="949">
        <v>0</v>
      </c>
      <c r="S56" s="950">
        <v>0</v>
      </c>
      <c r="T56" s="625">
        <v>0</v>
      </c>
      <c r="U56" s="632">
        <f t="shared" si="15"/>
        <v>0</v>
      </c>
      <c r="V56" s="951">
        <f t="shared" si="10"/>
        <v>0</v>
      </c>
      <c r="W56" s="625">
        <f t="shared" si="16"/>
        <v>0</v>
      </c>
      <c r="X56" s="949">
        <v>0</v>
      </c>
      <c r="Y56" s="950">
        <v>0</v>
      </c>
      <c r="Z56" s="625">
        <v>0</v>
      </c>
      <c r="AA56" s="949">
        <v>0</v>
      </c>
      <c r="AB56" s="950">
        <v>0</v>
      </c>
      <c r="AC56" s="625">
        <v>148.4</v>
      </c>
      <c r="AD56" s="949">
        <v>0</v>
      </c>
      <c r="AE56" s="554"/>
      <c r="AF56" s="625">
        <v>148.4</v>
      </c>
      <c r="AG56" s="953">
        <v>0</v>
      </c>
      <c r="AH56" s="632">
        <f t="shared" si="17"/>
        <v>0</v>
      </c>
      <c r="AI56" s="954">
        <f t="shared" si="18"/>
        <v>0</v>
      </c>
      <c r="AJ56" s="953">
        <f t="shared" si="19"/>
        <v>148.4</v>
      </c>
      <c r="AK56" s="949">
        <v>0</v>
      </c>
      <c r="AL56" s="554"/>
      <c r="AM56" s="625">
        <v>148.4</v>
      </c>
      <c r="AN56" s="953">
        <v>144.16</v>
      </c>
      <c r="AO56" s="949">
        <v>0</v>
      </c>
      <c r="AP56" s="554"/>
      <c r="AQ56" s="625">
        <v>148.4</v>
      </c>
      <c r="AR56" s="953">
        <v>0</v>
      </c>
      <c r="AS56" s="949">
        <v>0</v>
      </c>
      <c r="AT56" s="554"/>
      <c r="AU56" s="625">
        <v>148.4</v>
      </c>
      <c r="AV56" s="953">
        <v>0</v>
      </c>
      <c r="AW56" s="632">
        <f t="shared" si="20"/>
        <v>0</v>
      </c>
      <c r="AX56" s="954">
        <f t="shared" si="21"/>
        <v>0</v>
      </c>
      <c r="AY56" s="953">
        <f t="shared" si="22"/>
        <v>144.16</v>
      </c>
      <c r="AZ56" s="632">
        <f t="shared" si="23"/>
        <v>0</v>
      </c>
      <c r="BA56" s="955">
        <f t="shared" si="11"/>
        <v>593.6</v>
      </c>
      <c r="BB56" s="956">
        <f t="shared" si="12"/>
        <v>144.16</v>
      </c>
      <c r="BC56" s="957"/>
      <c r="BD56" s="560">
        <v>0</v>
      </c>
      <c r="BE56" s="560">
        <v>0</v>
      </c>
      <c r="BF56" s="560">
        <v>0</v>
      </c>
      <c r="BG56" s="560">
        <v>0</v>
      </c>
      <c r="BH56" s="560">
        <v>0</v>
      </c>
      <c r="BI56" s="560">
        <v>0</v>
      </c>
      <c r="BJ56" s="560">
        <v>0</v>
      </c>
      <c r="BK56" s="560">
        <v>0</v>
      </c>
      <c r="BL56" s="560">
        <v>0</v>
      </c>
      <c r="BM56" s="560">
        <v>0</v>
      </c>
      <c r="BN56" s="560">
        <v>0</v>
      </c>
      <c r="BO56" s="560">
        <v>0</v>
      </c>
      <c r="BP56" s="561">
        <f t="shared" si="13"/>
        <v>0</v>
      </c>
      <c r="BQ56" s="561"/>
      <c r="BR56" s="561"/>
      <c r="BS56" s="561"/>
      <c r="BT56" s="561"/>
    </row>
    <row r="57" spans="1:72" ht="14.5">
      <c r="A57" s="678" t="s">
        <v>1076</v>
      </c>
      <c r="B57" s="675" t="s">
        <v>1132</v>
      </c>
      <c r="C57" s="675"/>
      <c r="D57" s="676" t="s">
        <v>121</v>
      </c>
      <c r="E57" s="949">
        <v>0</v>
      </c>
      <c r="F57" s="950">
        <v>0</v>
      </c>
      <c r="G57" s="949">
        <v>0</v>
      </c>
      <c r="H57" s="950">
        <v>0</v>
      </c>
      <c r="I57" s="949">
        <v>0</v>
      </c>
      <c r="J57" s="950">
        <v>0</v>
      </c>
      <c r="K57" s="632">
        <f t="shared" si="14"/>
        <v>0</v>
      </c>
      <c r="L57" s="631">
        <f t="shared" si="14"/>
        <v>0</v>
      </c>
      <c r="M57" s="949">
        <v>0</v>
      </c>
      <c r="N57" s="950">
        <v>0</v>
      </c>
      <c r="O57" s="949">
        <v>0</v>
      </c>
      <c r="P57" s="950">
        <v>0</v>
      </c>
      <c r="Q57" s="625">
        <v>0</v>
      </c>
      <c r="R57" s="949">
        <v>0</v>
      </c>
      <c r="S57" s="950">
        <v>85.114649999999997</v>
      </c>
      <c r="T57" s="625">
        <v>84.8</v>
      </c>
      <c r="U57" s="632">
        <f t="shared" si="15"/>
        <v>0</v>
      </c>
      <c r="V57" s="951">
        <f t="shared" si="10"/>
        <v>85.114649999999997</v>
      </c>
      <c r="W57" s="625">
        <f t="shared" si="16"/>
        <v>84.8</v>
      </c>
      <c r="X57" s="949">
        <v>0</v>
      </c>
      <c r="Y57" s="950">
        <v>81.113</v>
      </c>
      <c r="Z57" s="625">
        <v>84.8</v>
      </c>
      <c r="AA57" s="949">
        <v>0</v>
      </c>
      <c r="AB57" s="950">
        <v>0</v>
      </c>
      <c r="AC57" s="625">
        <v>84.8</v>
      </c>
      <c r="AD57" s="949">
        <v>0</v>
      </c>
      <c r="AE57" s="554"/>
      <c r="AF57" s="625">
        <v>84.8</v>
      </c>
      <c r="AG57" s="953">
        <v>0</v>
      </c>
      <c r="AH57" s="632">
        <f t="shared" si="17"/>
        <v>0</v>
      </c>
      <c r="AI57" s="954">
        <f t="shared" si="18"/>
        <v>81.113</v>
      </c>
      <c r="AJ57" s="953">
        <f t="shared" si="19"/>
        <v>169.6</v>
      </c>
      <c r="AK57" s="949">
        <v>0</v>
      </c>
      <c r="AL57" s="554"/>
      <c r="AM57" s="625">
        <v>84.8</v>
      </c>
      <c r="AN57" s="953">
        <v>0</v>
      </c>
      <c r="AO57" s="949">
        <v>0</v>
      </c>
      <c r="AP57" s="554"/>
      <c r="AQ57" s="625">
        <v>84.8</v>
      </c>
      <c r="AR57" s="953">
        <v>0</v>
      </c>
      <c r="AS57" s="949">
        <v>0</v>
      </c>
      <c r="AT57" s="554"/>
      <c r="AU57" s="625">
        <v>84.8</v>
      </c>
      <c r="AV57" s="953">
        <v>0</v>
      </c>
      <c r="AW57" s="632">
        <f t="shared" si="20"/>
        <v>0</v>
      </c>
      <c r="AX57" s="954">
        <f t="shared" si="21"/>
        <v>0</v>
      </c>
      <c r="AY57" s="953">
        <f t="shared" si="22"/>
        <v>0</v>
      </c>
      <c r="AZ57" s="632">
        <f t="shared" si="23"/>
        <v>0</v>
      </c>
      <c r="BA57" s="955">
        <f t="shared" si="11"/>
        <v>505.42765000000003</v>
      </c>
      <c r="BB57" s="956">
        <f t="shared" si="12"/>
        <v>166.22764999999998</v>
      </c>
      <c r="BC57" s="957"/>
      <c r="BD57" s="560">
        <v>0</v>
      </c>
      <c r="BE57" s="560">
        <v>0</v>
      </c>
      <c r="BF57" s="560">
        <v>0</v>
      </c>
      <c r="BG57" s="560">
        <v>0</v>
      </c>
      <c r="BH57" s="560">
        <v>0</v>
      </c>
      <c r="BI57" s="560">
        <v>0</v>
      </c>
      <c r="BJ57" s="560">
        <v>0</v>
      </c>
      <c r="BK57" s="560">
        <v>0</v>
      </c>
      <c r="BL57" s="560">
        <v>0</v>
      </c>
      <c r="BM57" s="560">
        <v>0</v>
      </c>
      <c r="BN57" s="560">
        <v>0</v>
      </c>
      <c r="BO57" s="560">
        <v>0</v>
      </c>
      <c r="BP57" s="561">
        <f t="shared" si="13"/>
        <v>0</v>
      </c>
      <c r="BQ57" s="561"/>
      <c r="BR57" s="561"/>
      <c r="BS57" s="561"/>
      <c r="BT57" s="561"/>
    </row>
    <row r="58" spans="1:72" ht="14.5">
      <c r="A58" s="678" t="s">
        <v>1076</v>
      </c>
      <c r="B58" s="675" t="s">
        <v>1133</v>
      </c>
      <c r="C58" s="675"/>
      <c r="D58" s="676" t="s">
        <v>121</v>
      </c>
      <c r="E58" s="949">
        <v>0</v>
      </c>
      <c r="F58" s="950">
        <v>0</v>
      </c>
      <c r="G58" s="949">
        <v>0</v>
      </c>
      <c r="H58" s="950">
        <v>0</v>
      </c>
      <c r="I58" s="949">
        <v>0</v>
      </c>
      <c r="J58" s="950">
        <v>0</v>
      </c>
      <c r="K58" s="632">
        <f t="shared" si="14"/>
        <v>0</v>
      </c>
      <c r="L58" s="631">
        <f t="shared" si="14"/>
        <v>0</v>
      </c>
      <c r="M58" s="949">
        <v>0</v>
      </c>
      <c r="N58" s="950">
        <v>0</v>
      </c>
      <c r="O58" s="949">
        <v>0</v>
      </c>
      <c r="P58" s="950">
        <v>0</v>
      </c>
      <c r="Q58" s="625">
        <v>0</v>
      </c>
      <c r="R58" s="949">
        <v>0</v>
      </c>
      <c r="S58" s="950">
        <v>146.86000000000001</v>
      </c>
      <c r="T58" s="625">
        <v>148.4</v>
      </c>
      <c r="U58" s="632">
        <f t="shared" si="15"/>
        <v>0</v>
      </c>
      <c r="V58" s="951">
        <f t="shared" si="10"/>
        <v>146.86000000000001</v>
      </c>
      <c r="W58" s="625">
        <f t="shared" si="16"/>
        <v>148.4</v>
      </c>
      <c r="X58" s="949">
        <v>0</v>
      </c>
      <c r="Y58" s="950">
        <v>66.641400000000004</v>
      </c>
      <c r="Z58" s="625">
        <v>148.4</v>
      </c>
      <c r="AA58" s="949">
        <v>0</v>
      </c>
      <c r="AB58" s="950">
        <v>0</v>
      </c>
      <c r="AC58" s="625">
        <v>148.4</v>
      </c>
      <c r="AD58" s="949">
        <v>0</v>
      </c>
      <c r="AE58" s="554"/>
      <c r="AF58" s="625">
        <v>148.4</v>
      </c>
      <c r="AG58" s="953">
        <v>0</v>
      </c>
      <c r="AH58" s="632">
        <f t="shared" si="17"/>
        <v>0</v>
      </c>
      <c r="AI58" s="954">
        <f t="shared" si="18"/>
        <v>66.641400000000004</v>
      </c>
      <c r="AJ58" s="953">
        <f t="shared" si="19"/>
        <v>296.8</v>
      </c>
      <c r="AK58" s="949">
        <v>0</v>
      </c>
      <c r="AL58" s="554"/>
      <c r="AM58" s="625">
        <v>148.4</v>
      </c>
      <c r="AN58" s="953">
        <v>148.4</v>
      </c>
      <c r="AO58" s="949">
        <v>0</v>
      </c>
      <c r="AP58" s="554"/>
      <c r="AQ58" s="625">
        <v>148.4</v>
      </c>
      <c r="AR58" s="953">
        <v>148.4</v>
      </c>
      <c r="AS58" s="949">
        <v>0</v>
      </c>
      <c r="AT58" s="554"/>
      <c r="AU58" s="625">
        <v>148.4</v>
      </c>
      <c r="AV58" s="953">
        <v>148.4</v>
      </c>
      <c r="AW58" s="632">
        <f t="shared" si="20"/>
        <v>0</v>
      </c>
      <c r="AX58" s="954">
        <f t="shared" si="21"/>
        <v>0</v>
      </c>
      <c r="AY58" s="953">
        <f t="shared" si="22"/>
        <v>445.20000000000005</v>
      </c>
      <c r="AZ58" s="632">
        <f t="shared" si="23"/>
        <v>0</v>
      </c>
      <c r="BA58" s="955">
        <f t="shared" si="11"/>
        <v>807.10140000000001</v>
      </c>
      <c r="BB58" s="956">
        <f t="shared" si="12"/>
        <v>658.70140000000004</v>
      </c>
      <c r="BC58" s="957"/>
      <c r="BD58" s="560">
        <v>0</v>
      </c>
      <c r="BE58" s="560">
        <v>0</v>
      </c>
      <c r="BF58" s="560">
        <v>0</v>
      </c>
      <c r="BG58" s="560">
        <v>0</v>
      </c>
      <c r="BH58" s="560">
        <v>0</v>
      </c>
      <c r="BI58" s="560">
        <v>155.67160000000001</v>
      </c>
      <c r="BJ58" s="560">
        <v>0</v>
      </c>
      <c r="BK58" s="560">
        <v>0</v>
      </c>
      <c r="BL58" s="560">
        <v>0</v>
      </c>
      <c r="BM58" s="560">
        <v>148.4</v>
      </c>
      <c r="BN58" s="560">
        <v>148.4</v>
      </c>
      <c r="BO58" s="560">
        <v>148.4</v>
      </c>
      <c r="BP58" s="561">
        <f t="shared" si="13"/>
        <v>600.87159999999994</v>
      </c>
      <c r="BQ58" s="561"/>
      <c r="BR58" s="561"/>
      <c r="BS58" s="561"/>
      <c r="BT58" s="561"/>
    </row>
    <row r="59" spans="1:72" ht="14.5">
      <c r="A59" s="678" t="s">
        <v>1076</v>
      </c>
      <c r="B59" s="675" t="s">
        <v>1134</v>
      </c>
      <c r="C59" s="675"/>
      <c r="D59" s="676" t="s">
        <v>121</v>
      </c>
      <c r="E59" s="949">
        <v>0</v>
      </c>
      <c r="F59" s="950">
        <v>0</v>
      </c>
      <c r="G59" s="949">
        <v>0</v>
      </c>
      <c r="H59" s="950">
        <v>0</v>
      </c>
      <c r="I59" s="949">
        <v>0</v>
      </c>
      <c r="J59" s="950">
        <v>0</v>
      </c>
      <c r="K59" s="632">
        <f t="shared" si="14"/>
        <v>0</v>
      </c>
      <c r="L59" s="631">
        <f t="shared" si="14"/>
        <v>0</v>
      </c>
      <c r="M59" s="949">
        <v>0</v>
      </c>
      <c r="N59" s="950">
        <v>0</v>
      </c>
      <c r="O59" s="949">
        <v>0</v>
      </c>
      <c r="P59" s="950">
        <v>0</v>
      </c>
      <c r="Q59" s="625">
        <v>0</v>
      </c>
      <c r="R59" s="949">
        <v>0</v>
      </c>
      <c r="S59" s="950">
        <v>0</v>
      </c>
      <c r="T59" s="625">
        <v>0</v>
      </c>
      <c r="U59" s="632">
        <f t="shared" si="15"/>
        <v>0</v>
      </c>
      <c r="V59" s="951">
        <f t="shared" si="10"/>
        <v>0</v>
      </c>
      <c r="W59" s="625">
        <f t="shared" si="16"/>
        <v>0</v>
      </c>
      <c r="X59" s="949">
        <v>0</v>
      </c>
      <c r="Y59" s="950">
        <v>0</v>
      </c>
      <c r="Z59" s="625">
        <v>0</v>
      </c>
      <c r="AA59" s="949">
        <v>0</v>
      </c>
      <c r="AB59" s="950">
        <v>0</v>
      </c>
      <c r="AC59" s="625">
        <v>691.65</v>
      </c>
      <c r="AD59" s="949">
        <v>0</v>
      </c>
      <c r="AE59" s="554"/>
      <c r="AF59" s="625">
        <v>691.65</v>
      </c>
      <c r="AG59" s="953">
        <v>0</v>
      </c>
      <c r="AH59" s="632">
        <f t="shared" si="17"/>
        <v>0</v>
      </c>
      <c r="AI59" s="954">
        <f t="shared" si="18"/>
        <v>0</v>
      </c>
      <c r="AJ59" s="953">
        <f t="shared" si="19"/>
        <v>691.65</v>
      </c>
      <c r="AK59" s="949">
        <v>0</v>
      </c>
      <c r="AL59" s="554"/>
      <c r="AM59" s="625">
        <v>691.65</v>
      </c>
      <c r="AN59" s="953">
        <v>0</v>
      </c>
      <c r="AO59" s="949">
        <v>0</v>
      </c>
      <c r="AP59" s="554"/>
      <c r="AQ59" s="625">
        <v>691.65</v>
      </c>
      <c r="AR59" s="953">
        <v>0</v>
      </c>
      <c r="AS59" s="949">
        <v>0</v>
      </c>
      <c r="AT59" s="554"/>
      <c r="AU59" s="625">
        <v>691.65</v>
      </c>
      <c r="AV59" s="953">
        <v>0</v>
      </c>
      <c r="AW59" s="632">
        <f t="shared" si="20"/>
        <v>0</v>
      </c>
      <c r="AX59" s="954">
        <f t="shared" si="21"/>
        <v>0</v>
      </c>
      <c r="AY59" s="953">
        <f t="shared" si="22"/>
        <v>0</v>
      </c>
      <c r="AZ59" s="632">
        <f t="shared" si="23"/>
        <v>0</v>
      </c>
      <c r="BA59" s="955">
        <f t="shared" si="11"/>
        <v>2766.6</v>
      </c>
      <c r="BB59" s="956">
        <f t="shared" si="12"/>
        <v>0</v>
      </c>
      <c r="BC59" s="957"/>
      <c r="BD59" s="560">
        <v>0</v>
      </c>
      <c r="BE59" s="560">
        <v>0</v>
      </c>
      <c r="BF59" s="560">
        <v>0</v>
      </c>
      <c r="BG59" s="560">
        <v>0</v>
      </c>
      <c r="BH59" s="560">
        <v>0</v>
      </c>
      <c r="BI59" s="560">
        <v>0</v>
      </c>
      <c r="BJ59" s="560">
        <v>0</v>
      </c>
      <c r="BK59" s="560">
        <v>0</v>
      </c>
      <c r="BL59" s="560">
        <v>0</v>
      </c>
      <c r="BM59" s="560">
        <v>0</v>
      </c>
      <c r="BN59" s="560">
        <v>0</v>
      </c>
      <c r="BO59" s="560">
        <v>0</v>
      </c>
      <c r="BP59" s="561">
        <f t="shared" si="13"/>
        <v>0</v>
      </c>
      <c r="BQ59" s="561"/>
      <c r="BR59" s="561"/>
      <c r="BS59" s="561"/>
      <c r="BT59" s="561"/>
    </row>
    <row r="60" spans="1:72" ht="15" customHeight="1">
      <c r="A60" s="569" t="s">
        <v>1087</v>
      </c>
      <c r="B60" s="562" t="s">
        <v>1135</v>
      </c>
      <c r="C60" s="562"/>
      <c r="D60" s="570"/>
      <c r="E60" s="949">
        <v>0</v>
      </c>
      <c r="F60" s="950">
        <v>0</v>
      </c>
      <c r="G60" s="949">
        <v>0</v>
      </c>
      <c r="H60" s="950">
        <v>0</v>
      </c>
      <c r="I60" s="949">
        <v>0</v>
      </c>
      <c r="J60" s="950">
        <v>0</v>
      </c>
      <c r="K60" s="632">
        <f t="shared" si="14"/>
        <v>0</v>
      </c>
      <c r="L60" s="631">
        <f t="shared" si="14"/>
        <v>0</v>
      </c>
      <c r="M60" s="949">
        <v>0</v>
      </c>
      <c r="N60" s="950">
        <v>0</v>
      </c>
      <c r="O60" s="949">
        <v>0</v>
      </c>
      <c r="P60" s="950">
        <v>0</v>
      </c>
      <c r="Q60" s="625">
        <v>0</v>
      </c>
      <c r="R60" s="949">
        <v>0</v>
      </c>
      <c r="S60" s="950">
        <v>0</v>
      </c>
      <c r="T60" s="625">
        <v>0</v>
      </c>
      <c r="U60" s="632">
        <f t="shared" si="15"/>
        <v>0</v>
      </c>
      <c r="V60" s="951">
        <f t="shared" si="10"/>
        <v>0</v>
      </c>
      <c r="W60" s="625">
        <f t="shared" si="16"/>
        <v>0</v>
      </c>
      <c r="X60" s="949">
        <v>0</v>
      </c>
      <c r="Y60" s="950">
        <v>0</v>
      </c>
      <c r="Z60" s="625">
        <v>0</v>
      </c>
      <c r="AA60" s="949">
        <v>0</v>
      </c>
      <c r="AB60" s="950">
        <v>0</v>
      </c>
      <c r="AC60" s="625">
        <v>0</v>
      </c>
      <c r="AD60" s="949">
        <v>0</v>
      </c>
      <c r="AE60" s="554">
        <v>0</v>
      </c>
      <c r="AF60" s="625">
        <v>0</v>
      </c>
      <c r="AG60" s="953">
        <v>0</v>
      </c>
      <c r="AH60" s="632">
        <f t="shared" si="17"/>
        <v>0</v>
      </c>
      <c r="AI60" s="952">
        <v>0</v>
      </c>
      <c r="AJ60" s="953">
        <f t="shared" si="19"/>
        <v>0</v>
      </c>
      <c r="AK60" s="949">
        <v>0</v>
      </c>
      <c r="AL60" s="554">
        <v>0</v>
      </c>
      <c r="AM60" s="625">
        <v>0</v>
      </c>
      <c r="AN60" s="953">
        <v>0</v>
      </c>
      <c r="AO60" s="949">
        <v>0</v>
      </c>
      <c r="AP60" s="554">
        <v>0</v>
      </c>
      <c r="AQ60" s="625">
        <v>0</v>
      </c>
      <c r="AR60" s="953">
        <v>0</v>
      </c>
      <c r="AS60" s="949">
        <v>0</v>
      </c>
      <c r="AT60" s="554">
        <v>0</v>
      </c>
      <c r="AU60" s="625">
        <v>0</v>
      </c>
      <c r="AV60" s="953">
        <v>0</v>
      </c>
      <c r="AW60" s="632">
        <f t="shared" si="20"/>
        <v>0</v>
      </c>
      <c r="AX60" s="952">
        <v>0</v>
      </c>
      <c r="AY60" s="953">
        <f t="shared" si="22"/>
        <v>0</v>
      </c>
      <c r="AZ60" s="632">
        <f t="shared" si="23"/>
        <v>0</v>
      </c>
      <c r="BA60" s="958">
        <f t="shared" ref="BA60:BA65" si="24">SUM(AX60,AI60,V60,L60)</f>
        <v>0</v>
      </c>
      <c r="BB60" s="953">
        <f t="shared" ref="BB60:BB65" si="25">SUM(AY60,AJ60,W60,L60)</f>
        <v>0</v>
      </c>
      <c r="BC60" s="957"/>
      <c r="BD60" s="560">
        <v>0</v>
      </c>
      <c r="BE60" s="560">
        <v>0</v>
      </c>
      <c r="BF60" s="560">
        <v>0</v>
      </c>
      <c r="BG60" s="560">
        <v>0</v>
      </c>
      <c r="BH60" s="560">
        <v>0</v>
      </c>
      <c r="BI60" s="560">
        <v>0</v>
      </c>
      <c r="BJ60" s="560">
        <v>0</v>
      </c>
      <c r="BK60" s="560">
        <v>0</v>
      </c>
      <c r="BL60" s="560">
        <v>0</v>
      </c>
      <c r="BM60" s="560">
        <v>0</v>
      </c>
      <c r="BN60" s="560">
        <v>0</v>
      </c>
      <c r="BO60" s="560">
        <v>0</v>
      </c>
      <c r="BP60" s="560">
        <v>0</v>
      </c>
      <c r="BQ60" s="560">
        <v>0</v>
      </c>
      <c r="BR60" s="560">
        <v>0</v>
      </c>
      <c r="BS60" s="560">
        <v>0</v>
      </c>
      <c r="BT60" s="560">
        <v>0</v>
      </c>
    </row>
    <row r="61" spans="1:72" ht="15" customHeight="1">
      <c r="A61" s="569" t="s">
        <v>1087</v>
      </c>
      <c r="B61" s="562" t="s">
        <v>1136</v>
      </c>
      <c r="C61" s="562"/>
      <c r="D61" s="570"/>
      <c r="E61" s="949">
        <v>0</v>
      </c>
      <c r="F61" s="950">
        <v>0</v>
      </c>
      <c r="G61" s="949">
        <v>0</v>
      </c>
      <c r="H61" s="950">
        <v>0</v>
      </c>
      <c r="I61" s="949">
        <v>0</v>
      </c>
      <c r="J61" s="950">
        <v>0</v>
      </c>
      <c r="K61" s="632">
        <f t="shared" si="14"/>
        <v>0</v>
      </c>
      <c r="L61" s="631">
        <f t="shared" si="14"/>
        <v>0</v>
      </c>
      <c r="M61" s="949">
        <v>0</v>
      </c>
      <c r="N61" s="950">
        <v>0</v>
      </c>
      <c r="O61" s="949">
        <v>0</v>
      </c>
      <c r="P61" s="950">
        <v>0</v>
      </c>
      <c r="Q61" s="625">
        <v>0</v>
      </c>
      <c r="R61" s="949">
        <v>0</v>
      </c>
      <c r="S61" s="950">
        <v>0</v>
      </c>
      <c r="T61" s="625">
        <v>0</v>
      </c>
      <c r="U61" s="632">
        <f t="shared" si="15"/>
        <v>0</v>
      </c>
      <c r="V61" s="951">
        <f t="shared" si="10"/>
        <v>0</v>
      </c>
      <c r="W61" s="625">
        <f t="shared" si="16"/>
        <v>0</v>
      </c>
      <c r="X61" s="949">
        <v>0</v>
      </c>
      <c r="Y61" s="950">
        <v>0</v>
      </c>
      <c r="Z61" s="625">
        <v>0</v>
      </c>
      <c r="AA61" s="949">
        <v>0</v>
      </c>
      <c r="AB61" s="950">
        <v>0</v>
      </c>
      <c r="AC61" s="625">
        <v>0</v>
      </c>
      <c r="AD61" s="949">
        <v>0</v>
      </c>
      <c r="AE61" s="554">
        <v>0</v>
      </c>
      <c r="AF61" s="625">
        <v>0</v>
      </c>
      <c r="AG61" s="953">
        <v>0</v>
      </c>
      <c r="AH61" s="632">
        <f t="shared" si="17"/>
        <v>0</v>
      </c>
      <c r="AI61" s="952">
        <v>0</v>
      </c>
      <c r="AJ61" s="953">
        <f t="shared" si="19"/>
        <v>0</v>
      </c>
      <c r="AK61" s="949">
        <v>0</v>
      </c>
      <c r="AL61" s="554">
        <v>0</v>
      </c>
      <c r="AM61" s="625">
        <v>0</v>
      </c>
      <c r="AN61" s="953">
        <v>0</v>
      </c>
      <c r="AO61" s="949">
        <v>0</v>
      </c>
      <c r="AP61" s="554">
        <v>0</v>
      </c>
      <c r="AQ61" s="625">
        <v>0</v>
      </c>
      <c r="AR61" s="953">
        <v>0</v>
      </c>
      <c r="AS61" s="949">
        <v>0</v>
      </c>
      <c r="AT61" s="554">
        <v>0</v>
      </c>
      <c r="AU61" s="625">
        <v>0</v>
      </c>
      <c r="AV61" s="953">
        <v>0</v>
      </c>
      <c r="AW61" s="632">
        <f t="shared" si="20"/>
        <v>0</v>
      </c>
      <c r="AX61" s="952">
        <v>0</v>
      </c>
      <c r="AY61" s="953">
        <f t="shared" si="22"/>
        <v>0</v>
      </c>
      <c r="AZ61" s="632">
        <f t="shared" si="23"/>
        <v>0</v>
      </c>
      <c r="BA61" s="958">
        <f t="shared" si="24"/>
        <v>0</v>
      </c>
      <c r="BB61" s="953">
        <f t="shared" si="25"/>
        <v>0</v>
      </c>
      <c r="BC61" s="957"/>
      <c r="BD61" s="560">
        <v>0</v>
      </c>
      <c r="BE61" s="560">
        <v>0</v>
      </c>
      <c r="BF61" s="560">
        <v>0</v>
      </c>
      <c r="BG61" s="560">
        <v>0</v>
      </c>
      <c r="BH61" s="560">
        <v>0</v>
      </c>
      <c r="BI61" s="560">
        <v>0</v>
      </c>
      <c r="BJ61" s="560">
        <v>0</v>
      </c>
      <c r="BK61" s="560">
        <v>0</v>
      </c>
      <c r="BL61" s="560">
        <v>0</v>
      </c>
      <c r="BM61" s="560">
        <v>0</v>
      </c>
      <c r="BN61" s="560">
        <v>0</v>
      </c>
      <c r="BO61" s="560">
        <v>0</v>
      </c>
      <c r="BP61" s="560">
        <v>0</v>
      </c>
      <c r="BQ61" s="560">
        <v>0</v>
      </c>
      <c r="BR61" s="560">
        <v>0</v>
      </c>
      <c r="BS61" s="560">
        <v>0</v>
      </c>
      <c r="BT61" s="560">
        <v>0</v>
      </c>
    </row>
    <row r="62" spans="1:72" ht="15" customHeight="1">
      <c r="A62" s="569" t="s">
        <v>1087</v>
      </c>
      <c r="B62" s="562" t="s">
        <v>1137</v>
      </c>
      <c r="C62" s="562"/>
      <c r="D62" s="570"/>
      <c r="E62" s="949">
        <v>0</v>
      </c>
      <c r="F62" s="950">
        <v>0</v>
      </c>
      <c r="G62" s="949">
        <v>0</v>
      </c>
      <c r="H62" s="950">
        <v>0</v>
      </c>
      <c r="I62" s="949">
        <v>0</v>
      </c>
      <c r="J62" s="950">
        <v>0</v>
      </c>
      <c r="K62" s="632">
        <f t="shared" si="14"/>
        <v>0</v>
      </c>
      <c r="L62" s="631">
        <f t="shared" si="14"/>
        <v>0</v>
      </c>
      <c r="M62" s="949">
        <v>0</v>
      </c>
      <c r="N62" s="950">
        <v>0</v>
      </c>
      <c r="O62" s="949">
        <v>0</v>
      </c>
      <c r="P62" s="950">
        <v>0</v>
      </c>
      <c r="Q62" s="625">
        <v>0</v>
      </c>
      <c r="R62" s="949">
        <v>0</v>
      </c>
      <c r="S62" s="950">
        <v>0</v>
      </c>
      <c r="T62" s="625">
        <v>0</v>
      </c>
      <c r="U62" s="632">
        <f t="shared" si="15"/>
        <v>0</v>
      </c>
      <c r="V62" s="951">
        <f t="shared" si="10"/>
        <v>0</v>
      </c>
      <c r="W62" s="625">
        <f t="shared" si="16"/>
        <v>0</v>
      </c>
      <c r="X62" s="949">
        <v>0</v>
      </c>
      <c r="Y62" s="950">
        <v>0</v>
      </c>
      <c r="Z62" s="625">
        <v>0</v>
      </c>
      <c r="AA62" s="949">
        <v>0</v>
      </c>
      <c r="AB62" s="950">
        <v>0</v>
      </c>
      <c r="AC62" s="625">
        <v>0</v>
      </c>
      <c r="AD62" s="949">
        <v>0</v>
      </c>
      <c r="AE62" s="554">
        <v>0</v>
      </c>
      <c r="AF62" s="625">
        <v>0</v>
      </c>
      <c r="AG62" s="953">
        <v>0</v>
      </c>
      <c r="AH62" s="632">
        <f t="shared" si="17"/>
        <v>0</v>
      </c>
      <c r="AI62" s="952">
        <v>0</v>
      </c>
      <c r="AJ62" s="953">
        <f t="shared" si="19"/>
        <v>0</v>
      </c>
      <c r="AK62" s="949">
        <v>0</v>
      </c>
      <c r="AL62" s="554">
        <v>0</v>
      </c>
      <c r="AM62" s="625">
        <v>0</v>
      </c>
      <c r="AN62" s="953">
        <v>0</v>
      </c>
      <c r="AO62" s="949">
        <v>0</v>
      </c>
      <c r="AP62" s="554">
        <v>0</v>
      </c>
      <c r="AQ62" s="625">
        <v>0</v>
      </c>
      <c r="AR62" s="953">
        <v>0</v>
      </c>
      <c r="AS62" s="949">
        <v>0</v>
      </c>
      <c r="AT62" s="554">
        <v>0</v>
      </c>
      <c r="AU62" s="625">
        <v>0</v>
      </c>
      <c r="AV62" s="953">
        <v>0</v>
      </c>
      <c r="AW62" s="632">
        <f t="shared" si="20"/>
        <v>0</v>
      </c>
      <c r="AX62" s="952">
        <v>0</v>
      </c>
      <c r="AY62" s="953">
        <f t="shared" si="22"/>
        <v>0</v>
      </c>
      <c r="AZ62" s="632">
        <f t="shared" si="23"/>
        <v>0</v>
      </c>
      <c r="BA62" s="958">
        <f t="shared" si="24"/>
        <v>0</v>
      </c>
      <c r="BB62" s="953">
        <f t="shared" si="25"/>
        <v>0</v>
      </c>
      <c r="BC62" s="957"/>
      <c r="BD62" s="560">
        <v>0</v>
      </c>
      <c r="BE62" s="560">
        <v>0</v>
      </c>
      <c r="BF62" s="560">
        <v>0</v>
      </c>
      <c r="BG62" s="560">
        <v>0</v>
      </c>
      <c r="BH62" s="560">
        <v>0</v>
      </c>
      <c r="BI62" s="560">
        <v>0</v>
      </c>
      <c r="BJ62" s="560">
        <v>0</v>
      </c>
      <c r="BK62" s="560">
        <v>0</v>
      </c>
      <c r="BL62" s="560">
        <v>0</v>
      </c>
      <c r="BM62" s="560">
        <v>0</v>
      </c>
      <c r="BN62" s="560">
        <v>0</v>
      </c>
      <c r="BO62" s="560">
        <v>0</v>
      </c>
      <c r="BP62" s="560">
        <v>0</v>
      </c>
      <c r="BQ62" s="560">
        <v>0</v>
      </c>
      <c r="BR62" s="560">
        <v>0</v>
      </c>
      <c r="BS62" s="560">
        <v>0</v>
      </c>
      <c r="BT62" s="560">
        <v>0</v>
      </c>
    </row>
    <row r="63" spans="1:72" ht="15" customHeight="1">
      <c r="A63" s="569" t="s">
        <v>1076</v>
      </c>
      <c r="B63" s="562" t="s">
        <v>1138</v>
      </c>
      <c r="C63" s="562"/>
      <c r="D63" s="570"/>
      <c r="E63" s="949">
        <v>0</v>
      </c>
      <c r="F63" s="950">
        <v>0</v>
      </c>
      <c r="G63" s="949">
        <v>0</v>
      </c>
      <c r="H63" s="950">
        <v>0</v>
      </c>
      <c r="I63" s="949">
        <v>0</v>
      </c>
      <c r="J63" s="950">
        <v>0</v>
      </c>
      <c r="K63" s="632">
        <f t="shared" si="14"/>
        <v>0</v>
      </c>
      <c r="L63" s="631">
        <f t="shared" si="14"/>
        <v>0</v>
      </c>
      <c r="M63" s="949">
        <v>0</v>
      </c>
      <c r="N63" s="950">
        <v>0</v>
      </c>
      <c r="O63" s="949">
        <v>0</v>
      </c>
      <c r="P63" s="950">
        <v>0</v>
      </c>
      <c r="Q63" s="625">
        <v>0</v>
      </c>
      <c r="R63" s="949">
        <v>0</v>
      </c>
      <c r="S63" s="950">
        <v>0</v>
      </c>
      <c r="T63" s="625">
        <v>0</v>
      </c>
      <c r="U63" s="632">
        <f t="shared" si="15"/>
        <v>0</v>
      </c>
      <c r="V63" s="951">
        <f t="shared" si="10"/>
        <v>0</v>
      </c>
      <c r="W63" s="625">
        <f t="shared" si="16"/>
        <v>0</v>
      </c>
      <c r="X63" s="949">
        <v>0</v>
      </c>
      <c r="Y63" s="950">
        <v>0</v>
      </c>
      <c r="Z63" s="625">
        <v>0</v>
      </c>
      <c r="AA63" s="949">
        <v>0</v>
      </c>
      <c r="AB63" s="950">
        <v>0</v>
      </c>
      <c r="AC63" s="625">
        <v>0</v>
      </c>
      <c r="AD63" s="949">
        <v>0</v>
      </c>
      <c r="AE63" s="554">
        <v>0</v>
      </c>
      <c r="AF63" s="625">
        <v>0</v>
      </c>
      <c r="AG63" s="953">
        <v>0</v>
      </c>
      <c r="AH63" s="632">
        <f t="shared" si="17"/>
        <v>0</v>
      </c>
      <c r="AI63" s="952">
        <v>0</v>
      </c>
      <c r="AJ63" s="953">
        <f t="shared" si="19"/>
        <v>0</v>
      </c>
      <c r="AK63" s="949">
        <v>0</v>
      </c>
      <c r="AL63" s="554">
        <v>0</v>
      </c>
      <c r="AM63" s="625">
        <v>0</v>
      </c>
      <c r="AN63" s="953">
        <v>0</v>
      </c>
      <c r="AO63" s="949">
        <v>0</v>
      </c>
      <c r="AP63" s="554">
        <v>0</v>
      </c>
      <c r="AQ63" s="625">
        <v>0</v>
      </c>
      <c r="AR63" s="953">
        <v>0</v>
      </c>
      <c r="AS63" s="949">
        <v>0</v>
      </c>
      <c r="AT63" s="554">
        <v>0</v>
      </c>
      <c r="AU63" s="625">
        <v>0</v>
      </c>
      <c r="AV63" s="953">
        <v>0</v>
      </c>
      <c r="AW63" s="632">
        <f t="shared" si="20"/>
        <v>0</v>
      </c>
      <c r="AX63" s="952">
        <v>0</v>
      </c>
      <c r="AY63" s="953">
        <f t="shared" si="22"/>
        <v>0</v>
      </c>
      <c r="AZ63" s="632">
        <f t="shared" si="23"/>
        <v>0</v>
      </c>
      <c r="BA63" s="958">
        <f t="shared" si="24"/>
        <v>0</v>
      </c>
      <c r="BB63" s="953">
        <f t="shared" si="25"/>
        <v>0</v>
      </c>
      <c r="BC63" s="957"/>
      <c r="BD63" s="560">
        <v>0</v>
      </c>
      <c r="BE63" s="560">
        <v>0</v>
      </c>
      <c r="BF63" s="560">
        <v>0</v>
      </c>
      <c r="BG63" s="560">
        <v>0</v>
      </c>
      <c r="BH63" s="560">
        <v>0</v>
      </c>
      <c r="BI63" s="560">
        <v>0</v>
      </c>
      <c r="BJ63" s="560">
        <v>0</v>
      </c>
      <c r="BK63" s="560">
        <v>0</v>
      </c>
      <c r="BL63" s="560">
        <v>0</v>
      </c>
      <c r="BM63" s="560">
        <v>0</v>
      </c>
      <c r="BN63" s="560">
        <v>0</v>
      </c>
      <c r="BO63" s="560">
        <v>0</v>
      </c>
      <c r="BP63" s="560">
        <v>0</v>
      </c>
      <c r="BQ63" s="560">
        <v>0</v>
      </c>
      <c r="BR63" s="560">
        <v>0</v>
      </c>
      <c r="BS63" s="560">
        <v>0</v>
      </c>
      <c r="BT63" s="560">
        <v>0</v>
      </c>
    </row>
    <row r="64" spans="1:72" ht="15" customHeight="1">
      <c r="A64" s="569" t="s">
        <v>1076</v>
      </c>
      <c r="B64" s="562" t="s">
        <v>1139</v>
      </c>
      <c r="C64" s="562"/>
      <c r="D64" s="570"/>
      <c r="E64" s="949">
        <v>0</v>
      </c>
      <c r="F64" s="950">
        <v>0</v>
      </c>
      <c r="G64" s="949">
        <v>0</v>
      </c>
      <c r="H64" s="950">
        <v>0</v>
      </c>
      <c r="I64" s="949">
        <v>0</v>
      </c>
      <c r="J64" s="950">
        <v>0</v>
      </c>
      <c r="K64" s="632">
        <f t="shared" si="14"/>
        <v>0</v>
      </c>
      <c r="L64" s="631">
        <f t="shared" si="14"/>
        <v>0</v>
      </c>
      <c r="M64" s="949">
        <v>0</v>
      </c>
      <c r="N64" s="950">
        <v>0</v>
      </c>
      <c r="O64" s="949">
        <v>0</v>
      </c>
      <c r="P64" s="950">
        <v>0</v>
      </c>
      <c r="Q64" s="625">
        <v>0</v>
      </c>
      <c r="R64" s="949">
        <v>0</v>
      </c>
      <c r="S64" s="950">
        <v>0</v>
      </c>
      <c r="T64" s="625">
        <v>0</v>
      </c>
      <c r="U64" s="632">
        <f t="shared" si="15"/>
        <v>0</v>
      </c>
      <c r="V64" s="951">
        <f t="shared" si="10"/>
        <v>0</v>
      </c>
      <c r="W64" s="625">
        <f t="shared" si="16"/>
        <v>0</v>
      </c>
      <c r="X64" s="949">
        <v>0</v>
      </c>
      <c r="Y64" s="950">
        <v>0</v>
      </c>
      <c r="Z64" s="625">
        <v>0</v>
      </c>
      <c r="AA64" s="949">
        <v>0</v>
      </c>
      <c r="AB64" s="950">
        <v>0</v>
      </c>
      <c r="AC64" s="625">
        <v>0</v>
      </c>
      <c r="AD64" s="949">
        <v>0</v>
      </c>
      <c r="AE64" s="554">
        <v>0</v>
      </c>
      <c r="AF64" s="625">
        <v>0</v>
      </c>
      <c r="AG64" s="953">
        <v>0</v>
      </c>
      <c r="AH64" s="632">
        <f t="shared" si="17"/>
        <v>0</v>
      </c>
      <c r="AI64" s="952">
        <v>0</v>
      </c>
      <c r="AJ64" s="953">
        <f t="shared" si="19"/>
        <v>0</v>
      </c>
      <c r="AK64" s="949">
        <v>0</v>
      </c>
      <c r="AL64" s="554">
        <v>0</v>
      </c>
      <c r="AM64" s="625">
        <v>0</v>
      </c>
      <c r="AN64" s="953">
        <v>0</v>
      </c>
      <c r="AO64" s="949">
        <v>0</v>
      </c>
      <c r="AP64" s="554">
        <v>0</v>
      </c>
      <c r="AQ64" s="625">
        <v>0</v>
      </c>
      <c r="AR64" s="953">
        <v>0</v>
      </c>
      <c r="AS64" s="949">
        <v>0</v>
      </c>
      <c r="AT64" s="554">
        <v>0</v>
      </c>
      <c r="AU64" s="625">
        <v>0</v>
      </c>
      <c r="AV64" s="953">
        <v>0</v>
      </c>
      <c r="AW64" s="632">
        <f t="shared" si="20"/>
        <v>0</v>
      </c>
      <c r="AX64" s="952">
        <v>0</v>
      </c>
      <c r="AY64" s="953">
        <f t="shared" si="22"/>
        <v>0</v>
      </c>
      <c r="AZ64" s="632">
        <f t="shared" si="23"/>
        <v>0</v>
      </c>
      <c r="BA64" s="958">
        <f t="shared" si="24"/>
        <v>0</v>
      </c>
      <c r="BB64" s="953">
        <f t="shared" si="25"/>
        <v>0</v>
      </c>
      <c r="BC64" s="957"/>
      <c r="BD64" s="560">
        <v>0</v>
      </c>
      <c r="BE64" s="560">
        <v>0</v>
      </c>
      <c r="BF64" s="560">
        <v>0</v>
      </c>
      <c r="BG64" s="560">
        <v>0</v>
      </c>
      <c r="BH64" s="560">
        <v>0</v>
      </c>
      <c r="BI64" s="560">
        <v>0</v>
      </c>
      <c r="BJ64" s="560">
        <v>0</v>
      </c>
      <c r="BK64" s="560">
        <v>0</v>
      </c>
      <c r="BL64" s="560">
        <v>0</v>
      </c>
      <c r="BM64" s="560">
        <v>0</v>
      </c>
      <c r="BN64" s="560">
        <v>0</v>
      </c>
      <c r="BO64" s="560">
        <v>0</v>
      </c>
      <c r="BP64" s="560">
        <v>0</v>
      </c>
      <c r="BQ64" s="560">
        <v>0</v>
      </c>
      <c r="BR64" s="560">
        <v>0</v>
      </c>
      <c r="BS64" s="560">
        <v>0</v>
      </c>
      <c r="BT64" s="560">
        <v>0</v>
      </c>
    </row>
    <row r="65" spans="1:72" ht="15" customHeight="1">
      <c r="A65" s="569" t="s">
        <v>1076</v>
      </c>
      <c r="B65" s="562" t="s">
        <v>1140</v>
      </c>
      <c r="C65" s="562"/>
      <c r="D65" s="570"/>
      <c r="E65" s="949">
        <v>0</v>
      </c>
      <c r="F65" s="950">
        <v>0</v>
      </c>
      <c r="G65" s="949">
        <v>0</v>
      </c>
      <c r="H65" s="950">
        <v>0</v>
      </c>
      <c r="I65" s="949">
        <v>0</v>
      </c>
      <c r="J65" s="950">
        <v>0</v>
      </c>
      <c r="K65" s="632">
        <f t="shared" si="14"/>
        <v>0</v>
      </c>
      <c r="L65" s="631">
        <f t="shared" si="14"/>
        <v>0</v>
      </c>
      <c r="M65" s="949">
        <v>0</v>
      </c>
      <c r="N65" s="950">
        <v>0</v>
      </c>
      <c r="O65" s="949">
        <v>0</v>
      </c>
      <c r="P65" s="950">
        <v>0</v>
      </c>
      <c r="Q65" s="625">
        <v>0</v>
      </c>
      <c r="R65" s="949">
        <v>0</v>
      </c>
      <c r="S65" s="950">
        <v>0</v>
      </c>
      <c r="T65" s="625">
        <v>0</v>
      </c>
      <c r="U65" s="632">
        <f t="shared" si="15"/>
        <v>0</v>
      </c>
      <c r="V65" s="951">
        <f t="shared" si="10"/>
        <v>0</v>
      </c>
      <c r="W65" s="625">
        <f t="shared" si="16"/>
        <v>0</v>
      </c>
      <c r="X65" s="949">
        <v>0</v>
      </c>
      <c r="Y65" s="950">
        <v>0</v>
      </c>
      <c r="Z65" s="625">
        <v>0</v>
      </c>
      <c r="AA65" s="949">
        <v>0</v>
      </c>
      <c r="AB65" s="950">
        <v>0</v>
      </c>
      <c r="AC65" s="625">
        <v>0</v>
      </c>
      <c r="AD65" s="949">
        <v>0</v>
      </c>
      <c r="AE65" s="554">
        <v>0</v>
      </c>
      <c r="AF65" s="625">
        <v>0</v>
      </c>
      <c r="AG65" s="953">
        <v>0</v>
      </c>
      <c r="AH65" s="632">
        <f t="shared" si="17"/>
        <v>0</v>
      </c>
      <c r="AI65" s="952">
        <v>0</v>
      </c>
      <c r="AJ65" s="953">
        <f t="shared" si="19"/>
        <v>0</v>
      </c>
      <c r="AK65" s="949">
        <v>0</v>
      </c>
      <c r="AL65" s="554">
        <v>0</v>
      </c>
      <c r="AM65" s="625">
        <v>0</v>
      </c>
      <c r="AN65" s="953">
        <v>0</v>
      </c>
      <c r="AO65" s="949">
        <v>0</v>
      </c>
      <c r="AP65" s="554">
        <v>0</v>
      </c>
      <c r="AQ65" s="625">
        <v>0</v>
      </c>
      <c r="AR65" s="953">
        <v>0</v>
      </c>
      <c r="AS65" s="949">
        <v>0</v>
      </c>
      <c r="AT65" s="554">
        <v>0</v>
      </c>
      <c r="AU65" s="625">
        <v>0</v>
      </c>
      <c r="AV65" s="953">
        <v>0</v>
      </c>
      <c r="AW65" s="632">
        <f t="shared" si="20"/>
        <v>0</v>
      </c>
      <c r="AX65" s="952">
        <v>0</v>
      </c>
      <c r="AY65" s="953">
        <f t="shared" si="22"/>
        <v>0</v>
      </c>
      <c r="AZ65" s="632">
        <f t="shared" si="23"/>
        <v>0</v>
      </c>
      <c r="BA65" s="958">
        <f t="shared" si="24"/>
        <v>0</v>
      </c>
      <c r="BB65" s="953">
        <f t="shared" si="25"/>
        <v>0</v>
      </c>
      <c r="BC65" s="957"/>
      <c r="BD65" s="560">
        <v>0</v>
      </c>
      <c r="BE65" s="560">
        <v>0</v>
      </c>
      <c r="BF65" s="560">
        <v>0</v>
      </c>
      <c r="BG65" s="560">
        <v>0</v>
      </c>
      <c r="BH65" s="560">
        <v>0</v>
      </c>
      <c r="BI65" s="560">
        <v>0</v>
      </c>
      <c r="BJ65" s="560">
        <v>0</v>
      </c>
      <c r="BK65" s="560">
        <v>0</v>
      </c>
      <c r="BL65" s="560">
        <v>0</v>
      </c>
      <c r="BM65" s="560">
        <v>0</v>
      </c>
      <c r="BN65" s="560">
        <v>0</v>
      </c>
      <c r="BO65" s="560">
        <v>0</v>
      </c>
      <c r="BP65" s="560">
        <v>0</v>
      </c>
      <c r="BQ65" s="560">
        <v>0</v>
      </c>
      <c r="BR65" s="560">
        <v>0</v>
      </c>
      <c r="BS65" s="560">
        <v>0</v>
      </c>
      <c r="BT65" s="560">
        <v>0</v>
      </c>
    </row>
    <row r="66" spans="1:72" ht="14.5">
      <c r="A66" s="678" t="s">
        <v>1076</v>
      </c>
      <c r="B66" s="675" t="s">
        <v>1141</v>
      </c>
      <c r="C66" s="675"/>
      <c r="D66" s="676" t="s">
        <v>121</v>
      </c>
      <c r="E66" s="949">
        <v>0</v>
      </c>
      <c r="F66" s="950">
        <v>0</v>
      </c>
      <c r="G66" s="949">
        <v>0</v>
      </c>
      <c r="H66" s="950">
        <v>0</v>
      </c>
      <c r="I66" s="949">
        <v>0</v>
      </c>
      <c r="J66" s="950">
        <v>0</v>
      </c>
      <c r="K66" s="632">
        <f>SUM(E66,G66,I66)</f>
        <v>0</v>
      </c>
      <c r="L66" s="631">
        <f>SUM(F66,H66,J66)</f>
        <v>0</v>
      </c>
      <c r="M66" s="949">
        <v>0</v>
      </c>
      <c r="N66" s="950">
        <v>0</v>
      </c>
      <c r="O66" s="949">
        <v>0</v>
      </c>
      <c r="P66" s="950">
        <v>0</v>
      </c>
      <c r="Q66" s="625">
        <v>0</v>
      </c>
      <c r="R66" s="949">
        <v>0</v>
      </c>
      <c r="S66" s="950">
        <v>0</v>
      </c>
      <c r="T66" s="625">
        <v>0</v>
      </c>
      <c r="U66" s="632">
        <f>SUM(M66,O66,R66)</f>
        <v>0</v>
      </c>
      <c r="V66" s="951">
        <f>N66+P66+S66</f>
        <v>0</v>
      </c>
      <c r="W66" s="625">
        <f>SUM(N66,Q66,T66)</f>
        <v>0</v>
      </c>
      <c r="X66" s="949">
        <v>0</v>
      </c>
      <c r="Y66" s="950">
        <v>0</v>
      </c>
      <c r="Z66" s="625">
        <v>0</v>
      </c>
      <c r="AA66" s="949">
        <v>0</v>
      </c>
      <c r="AB66" s="950">
        <v>0</v>
      </c>
      <c r="AC66" s="625">
        <v>0</v>
      </c>
      <c r="AD66" s="949">
        <v>0</v>
      </c>
      <c r="AE66" s="554">
        <v>0</v>
      </c>
      <c r="AF66" s="625">
        <v>0</v>
      </c>
      <c r="AG66" s="953">
        <v>0</v>
      </c>
      <c r="AH66" s="632">
        <f>SUM(X66,AA66,AD66)</f>
        <v>0</v>
      </c>
      <c r="AI66" s="952">
        <v>0</v>
      </c>
      <c r="AJ66" s="953">
        <f>SUM(Z66,AC66,AG66)</f>
        <v>0</v>
      </c>
      <c r="AK66" s="949">
        <v>0</v>
      </c>
      <c r="AL66" s="554">
        <v>0</v>
      </c>
      <c r="AM66" s="625">
        <v>0</v>
      </c>
      <c r="AN66" s="953">
        <v>0</v>
      </c>
      <c r="AO66" s="949">
        <v>0</v>
      </c>
      <c r="AP66" s="554">
        <v>0</v>
      </c>
      <c r="AQ66" s="625">
        <v>0</v>
      </c>
      <c r="AR66" s="953">
        <v>0</v>
      </c>
      <c r="AS66" s="949">
        <v>0</v>
      </c>
      <c r="AT66" s="554">
        <v>0</v>
      </c>
      <c r="AU66" s="625">
        <v>0</v>
      </c>
      <c r="AV66" s="953">
        <v>0</v>
      </c>
      <c r="AW66" s="632">
        <f>SUM(AK66,AO66,AS66)</f>
        <v>0</v>
      </c>
      <c r="AX66" s="952">
        <v>0</v>
      </c>
      <c r="AY66" s="953">
        <f>SUM(AN66,AR66,AV66)</f>
        <v>0</v>
      </c>
      <c r="AZ66" s="632">
        <f>SUM(AW66,AH66,U66,K66)</f>
        <v>0</v>
      </c>
      <c r="BA66" s="958">
        <f>SUM(AX66,AI66,V66,L66)</f>
        <v>0</v>
      </c>
      <c r="BB66" s="953">
        <f>SUM(AY66,AJ66,W66,L66)</f>
        <v>0</v>
      </c>
      <c r="BC66" s="957"/>
      <c r="BD66" s="560">
        <v>0</v>
      </c>
      <c r="BE66" s="560">
        <v>633.85744187499995</v>
      </c>
      <c r="BF66" s="560">
        <v>635.44208547968731</v>
      </c>
      <c r="BG66" s="560">
        <v>637.03069069338665</v>
      </c>
      <c r="BH66" s="560">
        <v>638.6232674201201</v>
      </c>
      <c r="BI66" s="560">
        <v>640.21982558867035</v>
      </c>
      <c r="BJ66" s="560">
        <v>641.82037515264199</v>
      </c>
      <c r="BK66" s="560">
        <v>643.42492609052363</v>
      </c>
      <c r="BL66" s="560">
        <v>645.03348840574995</v>
      </c>
      <c r="BM66" s="560">
        <v>646.64607212676424</v>
      </c>
      <c r="BN66" s="560">
        <v>648.26268730708102</v>
      </c>
      <c r="BO66" s="560">
        <v>649.88334402534883</v>
      </c>
      <c r="BP66" s="561">
        <f>SUM(BD66,BE66,BF66,BG66,BH66,BI66,BJ66,BK66,BL66,BM66,BN66,BO66)</f>
        <v>7060.2442041649738</v>
      </c>
      <c r="BQ66" s="560">
        <v>0</v>
      </c>
      <c r="BR66" s="560">
        <v>0</v>
      </c>
      <c r="BS66" s="560">
        <v>0</v>
      </c>
      <c r="BT66" s="560">
        <v>0</v>
      </c>
    </row>
    <row r="67" spans="1:72">
      <c r="A67" s="575"/>
      <c r="B67" s="562"/>
      <c r="C67" s="562"/>
      <c r="D67" s="570"/>
      <c r="E67" s="959"/>
      <c r="F67" s="960"/>
      <c r="G67" s="959"/>
      <c r="H67" s="960"/>
      <c r="I67" s="959"/>
      <c r="J67" s="960"/>
      <c r="K67" s="633"/>
      <c r="L67" s="633"/>
      <c r="M67" s="959"/>
      <c r="N67" s="960"/>
      <c r="O67" s="959"/>
      <c r="P67" s="960"/>
      <c r="Q67" s="626"/>
      <c r="R67" s="959"/>
      <c r="S67" s="960"/>
      <c r="T67" s="626"/>
      <c r="U67" s="633"/>
      <c r="V67" s="633"/>
      <c r="W67" s="626"/>
      <c r="X67" s="959"/>
      <c r="Y67" s="960"/>
      <c r="Z67" s="626"/>
      <c r="AA67" s="959"/>
      <c r="AB67" s="960"/>
      <c r="AC67" s="626"/>
      <c r="AD67" s="959"/>
      <c r="AE67" s="555"/>
      <c r="AF67" s="626"/>
      <c r="AG67" s="962"/>
      <c r="AH67" s="633"/>
      <c r="AI67" s="961"/>
      <c r="AJ67" s="962"/>
      <c r="AK67" s="959"/>
      <c r="AL67" s="555"/>
      <c r="AM67" s="626"/>
      <c r="AN67" s="962"/>
      <c r="AO67" s="959"/>
      <c r="AP67" s="555"/>
      <c r="AQ67" s="626"/>
      <c r="AR67" s="962"/>
      <c r="AS67" s="959"/>
      <c r="AT67" s="555"/>
      <c r="AU67" s="626"/>
      <c r="AV67" s="962"/>
      <c r="AW67" s="633"/>
      <c r="AX67" s="961"/>
      <c r="AY67" s="962"/>
      <c r="AZ67" s="633"/>
      <c r="BA67" s="959"/>
      <c r="BB67" s="962"/>
      <c r="BC67" s="963"/>
      <c r="BD67" s="562"/>
      <c r="BE67" s="562"/>
      <c r="BF67" s="562"/>
      <c r="BG67" s="562"/>
      <c r="BH67" s="562"/>
      <c r="BI67" s="562"/>
      <c r="BJ67" s="562"/>
      <c r="BK67" s="562"/>
      <c r="BL67" s="562"/>
      <c r="BM67" s="562"/>
      <c r="BN67" s="562"/>
      <c r="BO67" s="562"/>
      <c r="BP67" s="562"/>
      <c r="BQ67" s="562"/>
      <c r="BR67" s="562"/>
      <c r="BS67" s="562"/>
      <c r="BT67" s="562"/>
    </row>
    <row r="68" spans="1:72" s="264" customFormat="1" ht="13">
      <c r="A68" s="1003"/>
      <c r="B68" s="1004" t="s">
        <v>1063</v>
      </c>
      <c r="C68" s="1004"/>
      <c r="D68" s="1004"/>
      <c r="E68" s="964">
        <f t="shared" ref="E68:L68" si="26">SUM(E6:E67)</f>
        <v>2967.4739788728771</v>
      </c>
      <c r="F68" s="965">
        <f t="shared" si="26"/>
        <v>1638.43209</v>
      </c>
      <c r="G68" s="964">
        <f t="shared" si="26"/>
        <v>2784.1141888200591</v>
      </c>
      <c r="H68" s="965">
        <f t="shared" si="26"/>
        <v>2567.2218399999997</v>
      </c>
      <c r="I68" s="964">
        <f t="shared" si="26"/>
        <v>2895.7584992921093</v>
      </c>
      <c r="J68" s="965">
        <f t="shared" si="26"/>
        <v>2294.1713630000004</v>
      </c>
      <c r="K68" s="634">
        <f t="shared" si="26"/>
        <v>8647.3466669850459</v>
      </c>
      <c r="L68" s="634">
        <f t="shared" si="26"/>
        <v>6499.8252929999999</v>
      </c>
      <c r="M68" s="964">
        <f t="shared" ref="M68:AZ68" si="27">SUM(M6:M67)</f>
        <v>2858.4069205403393</v>
      </c>
      <c r="N68" s="965">
        <f t="shared" si="27"/>
        <v>2309.807863</v>
      </c>
      <c r="O68" s="964">
        <f t="shared" si="27"/>
        <v>3075.2094628416903</v>
      </c>
      <c r="P68" s="965">
        <f t="shared" si="27"/>
        <v>1842.6506469999999</v>
      </c>
      <c r="Q68" s="627">
        <f t="shared" si="27"/>
        <v>1622.1116666666667</v>
      </c>
      <c r="R68" s="964">
        <f t="shared" si="27"/>
        <v>3024.3661364987947</v>
      </c>
      <c r="S68" s="965">
        <f t="shared" si="27"/>
        <v>2092.5615040000002</v>
      </c>
      <c r="T68" s="627">
        <f t="shared" si="27"/>
        <v>2274.0116666666668</v>
      </c>
      <c r="U68" s="634">
        <f t="shared" si="27"/>
        <v>8957.9825198808248</v>
      </c>
      <c r="V68" s="634">
        <f>SUM(V6:V67)</f>
        <v>6245.0200139999997</v>
      </c>
      <c r="W68" s="627">
        <f t="shared" si="27"/>
        <v>6205.9311963333339</v>
      </c>
      <c r="X68" s="964">
        <f t="shared" si="27"/>
        <v>3038.5269518400414</v>
      </c>
      <c r="Y68" s="965">
        <f>SUM(Y6:Y67)</f>
        <v>2000.1727010000002</v>
      </c>
      <c r="Z68" s="627">
        <f t="shared" si="27"/>
        <v>3665.4616666666675</v>
      </c>
      <c r="AA68" s="964">
        <f t="shared" si="27"/>
        <v>3065.1919192196415</v>
      </c>
      <c r="AB68" s="965">
        <f>SUM(AB6:AB67)</f>
        <v>1811.0670500000001</v>
      </c>
      <c r="AC68" s="627">
        <f t="shared" si="27"/>
        <v>4047.6450000000004</v>
      </c>
      <c r="AD68" s="964">
        <f t="shared" si="27"/>
        <v>3226.8610490176907</v>
      </c>
      <c r="AE68" s="966">
        <f>SUM(AE6:AE67)</f>
        <v>0</v>
      </c>
      <c r="AF68" s="627">
        <f>SUM(AF6:AF67)</f>
        <v>4330.1450000000004</v>
      </c>
      <c r="AG68" s="967">
        <f>SUM(AG6:AG67)</f>
        <v>1819.7425999999998</v>
      </c>
      <c r="AH68" s="634">
        <f t="shared" si="27"/>
        <v>9330.5799200773745</v>
      </c>
      <c r="AI68" s="966">
        <f>SUM(AI6:AI67)</f>
        <v>3811.2397510000001</v>
      </c>
      <c r="AJ68" s="967">
        <f t="shared" si="27"/>
        <v>9532.8492666666662</v>
      </c>
      <c r="AK68" s="964">
        <f t="shared" si="27"/>
        <v>3390.0343516402345</v>
      </c>
      <c r="AL68" s="966">
        <f>SUM(AL6:AL67)</f>
        <v>0</v>
      </c>
      <c r="AM68" s="627">
        <f>SUM(AM6:AM67)</f>
        <v>4650.6450000000004</v>
      </c>
      <c r="AN68" s="967">
        <f>SUM(AN6:AN67)</f>
        <v>2825.3311111111107</v>
      </c>
      <c r="AO68" s="964">
        <f t="shared" si="27"/>
        <v>3402.7118375193349</v>
      </c>
      <c r="AP68" s="966">
        <f>SUM(AP6:AP67)</f>
        <v>0</v>
      </c>
      <c r="AQ68" s="627">
        <f>SUM(AQ6:AQ67)</f>
        <v>4401.6450000000004</v>
      </c>
      <c r="AR68" s="967">
        <f>SUM(AR6:AR67)</f>
        <v>2340.0411111111111</v>
      </c>
      <c r="AS68" s="964">
        <f t="shared" si="27"/>
        <v>3431.8935171131334</v>
      </c>
      <c r="AT68" s="966">
        <f>SUM(AT6:AT67)</f>
        <v>0</v>
      </c>
      <c r="AU68" s="627">
        <f>SUM(AU6:AU67)</f>
        <v>4170.1450000000004</v>
      </c>
      <c r="AV68" s="967">
        <f>SUM(AV6:AV67)</f>
        <v>2083.8211111111109</v>
      </c>
      <c r="AW68" s="634">
        <f t="shared" si="27"/>
        <v>10224.639706272705</v>
      </c>
      <c r="AX68" s="966">
        <f>SUM(AX6:AX67)</f>
        <v>0</v>
      </c>
      <c r="AY68" s="967">
        <f t="shared" si="27"/>
        <v>7249.1933333333327</v>
      </c>
      <c r="AZ68" s="634">
        <f t="shared" si="27"/>
        <v>37160.548813215952</v>
      </c>
      <c r="BA68" s="964">
        <f>SUM(BA6:BA67)</f>
        <v>34108.665057999999</v>
      </c>
      <c r="BB68" s="967">
        <f>SUM(BB6:BB67)</f>
        <v>25625.020991333342</v>
      </c>
      <c r="BC68" s="968"/>
      <c r="BD68" s="563">
        <f>SUM(BD6:BD67)</f>
        <v>1250.875</v>
      </c>
      <c r="BE68" s="563">
        <f t="shared" ref="BE68:BO68" si="28">SUM(BE6:BE67)</f>
        <v>1930.0191085416666</v>
      </c>
      <c r="BF68" s="563">
        <f t="shared" si="28"/>
        <v>2015.8837521463538</v>
      </c>
      <c r="BG68" s="563">
        <f t="shared" si="28"/>
        <v>3386.4398768855035</v>
      </c>
      <c r="BH68" s="563">
        <f t="shared" si="28"/>
        <v>3126.1894557443843</v>
      </c>
      <c r="BI68" s="563">
        <f t="shared" si="28"/>
        <v>3265.2500418837453</v>
      </c>
      <c r="BJ68" s="563">
        <f t="shared" si="28"/>
        <v>3530.4202004884546</v>
      </c>
      <c r="BK68" s="563">
        <f t="shared" si="28"/>
        <v>3914.401430156342</v>
      </c>
      <c r="BL68" s="563">
        <f t="shared" si="28"/>
        <v>3759.2688295650669</v>
      </c>
      <c r="BM68" s="563">
        <f t="shared" si="28"/>
        <v>4070.2090974723124</v>
      </c>
      <c r="BN68" s="563">
        <f t="shared" si="28"/>
        <v>3749.4355993826593</v>
      </c>
      <c r="BO68" s="563">
        <f t="shared" si="28"/>
        <v>3657.4017008811161</v>
      </c>
      <c r="BP68" s="563">
        <f>SUM(BP6:BP67)</f>
        <v>37655.794093147604</v>
      </c>
      <c r="BQ68" s="563">
        <f>SUM(BQ6:BQ67)</f>
        <v>0</v>
      </c>
      <c r="BR68" s="563">
        <f>SUM(BR6:BR67)</f>
        <v>0</v>
      </c>
      <c r="BS68" s="563">
        <f>SUM(BS6:BS67)</f>
        <v>0</v>
      </c>
      <c r="BT68" s="563">
        <f>SUM(BT6:BT67)</f>
        <v>0</v>
      </c>
    </row>
    <row r="69" spans="1:72">
      <c r="E69" s="628"/>
      <c r="F69" s="628"/>
      <c r="G69" s="628"/>
      <c r="H69" s="628"/>
      <c r="I69" s="628"/>
      <c r="J69" s="628"/>
      <c r="M69" s="628"/>
      <c r="N69" s="628"/>
      <c r="O69" s="628"/>
      <c r="P69" s="628"/>
      <c r="Q69" s="628"/>
      <c r="R69" s="628"/>
      <c r="S69" s="628"/>
      <c r="T69" s="628"/>
      <c r="X69" s="628"/>
      <c r="Y69" s="628"/>
      <c r="Z69" s="628"/>
      <c r="AA69" s="628"/>
      <c r="AB69" s="628"/>
      <c r="AC69" s="628"/>
      <c r="AD69" s="628"/>
      <c r="AE69" s="628"/>
      <c r="AF69" s="628"/>
      <c r="AG69" s="628"/>
      <c r="AI69" s="628"/>
      <c r="AK69" s="628"/>
      <c r="AL69" s="628"/>
      <c r="AM69" s="628"/>
      <c r="AN69" s="628"/>
      <c r="AO69" s="628"/>
      <c r="AP69" s="628"/>
      <c r="AQ69" s="628"/>
      <c r="AR69" s="628"/>
      <c r="AS69" s="628"/>
      <c r="AT69" s="628"/>
      <c r="AU69" s="628">
        <v>0</v>
      </c>
      <c r="AV69" s="628">
        <v>0</v>
      </c>
      <c r="AX69" s="628"/>
      <c r="BA69" s="628"/>
      <c r="BD69" s="556"/>
      <c r="BE69" s="556"/>
      <c r="BF69" s="556"/>
      <c r="BG69" s="556"/>
      <c r="BH69" s="556"/>
      <c r="BI69" s="556"/>
      <c r="BJ69" s="556"/>
      <c r="BK69" s="556"/>
      <c r="BL69" s="556"/>
      <c r="BM69" s="556"/>
      <c r="BN69" s="556"/>
      <c r="BO69" s="556"/>
      <c r="BP69" s="556">
        <f>SUM([170]Sheet1!$W$48:$AH$48)</f>
        <v>37655.794093147597</v>
      </c>
      <c r="BQ69" s="556"/>
      <c r="BR69" s="556"/>
      <c r="BS69" s="556"/>
      <c r="BT69" s="556"/>
    </row>
    <row r="70" spans="1:72">
      <c r="E70" s="628"/>
      <c r="M70" s="628"/>
      <c r="N70" s="628"/>
      <c r="Q70" s="628"/>
      <c r="T70" s="628">
        <f>4207-T68</f>
        <v>1932.9883333333332</v>
      </c>
      <c r="X70" s="628"/>
      <c r="Y70" s="969">
        <v>2000.172701</v>
      </c>
      <c r="Z70" s="628"/>
      <c r="AB70" s="969">
        <f>1811067050/10^6</f>
        <v>1811.0670500000001</v>
      </c>
      <c r="AC70" s="628"/>
      <c r="AE70" s="969"/>
      <c r="AF70" s="628"/>
      <c r="AG70" s="628"/>
      <c r="AI70" s="969"/>
      <c r="AK70" s="628"/>
      <c r="AL70" s="969"/>
      <c r="AM70" s="628"/>
      <c r="AN70" s="628"/>
      <c r="AP70" s="969"/>
      <c r="AQ70" s="628"/>
      <c r="AR70" s="628"/>
      <c r="AT70" s="969"/>
      <c r="AU70" s="628"/>
      <c r="AV70" s="628"/>
      <c r="AX70" s="969"/>
      <c r="BA70" s="969"/>
      <c r="BD70" s="557"/>
      <c r="BE70" s="557"/>
      <c r="BF70" s="557"/>
      <c r="BG70" s="557"/>
      <c r="BH70" s="557"/>
      <c r="BI70" s="557"/>
      <c r="BJ70" s="557"/>
      <c r="BK70" s="557"/>
      <c r="BL70" s="557"/>
      <c r="BM70" s="557"/>
      <c r="BN70" s="557"/>
      <c r="BO70" s="557"/>
      <c r="BP70" s="557"/>
      <c r="BQ70" s="557"/>
      <c r="BR70" s="557"/>
      <c r="BS70" s="557"/>
      <c r="BT70" s="557"/>
    </row>
    <row r="71" spans="1:72" ht="14.5">
      <c r="E71" s="970"/>
      <c r="M71" s="970"/>
      <c r="X71" s="970"/>
      <c r="Y71" s="628">
        <f>Y68-Y70</f>
        <v>0</v>
      </c>
      <c r="AB71" s="628"/>
      <c r="AE71" s="628"/>
      <c r="AI71" s="628"/>
      <c r="AK71" s="970"/>
      <c r="AL71" s="628"/>
      <c r="AP71" s="628"/>
      <c r="AT71" s="628"/>
      <c r="AX71" s="628"/>
      <c r="BA71" s="628"/>
      <c r="BD71" s="556"/>
      <c r="BE71" s="556"/>
      <c r="BF71" s="556"/>
      <c r="BG71" s="556"/>
      <c r="BH71" s="556"/>
      <c r="BI71" s="556"/>
      <c r="BJ71" s="556"/>
      <c r="BK71" s="556"/>
      <c r="BL71" s="556"/>
      <c r="BM71" s="556"/>
      <c r="BN71" s="556"/>
      <c r="BO71" s="556"/>
      <c r="BP71" s="556"/>
      <c r="BQ71" s="556"/>
      <c r="BR71" s="556"/>
      <c r="BS71" s="556"/>
      <c r="BT71" s="556"/>
    </row>
    <row r="72" spans="1:72" ht="14.5">
      <c r="E72" s="970"/>
      <c r="M72" s="970"/>
      <c r="X72" s="970"/>
      <c r="AK72" s="970"/>
    </row>
  </sheetData>
  <sheetProtection password="F6D4" sheet="1" objects="1" scenarios="1" insertRows="0"/>
  <mergeCells count="21">
    <mergeCell ref="X4:Z4"/>
    <mergeCell ref="A4:A5"/>
    <mergeCell ref="B4:B5"/>
    <mergeCell ref="D4:D5"/>
    <mergeCell ref="E4:F4"/>
    <mergeCell ref="G4:H4"/>
    <mergeCell ref="I4:J4"/>
    <mergeCell ref="K4:L4"/>
    <mergeCell ref="M4:N4"/>
    <mergeCell ref="O4:Q4"/>
    <mergeCell ref="R4:T4"/>
    <mergeCell ref="U4:W4"/>
    <mergeCell ref="C4:C5"/>
    <mergeCell ref="AZ4:BB4"/>
    <mergeCell ref="AD4:AG4"/>
    <mergeCell ref="AA4:AC4"/>
    <mergeCell ref="AS4:AV4"/>
    <mergeCell ref="AO4:AR4"/>
    <mergeCell ref="AK4:AN4"/>
    <mergeCell ref="AW4:AY4"/>
    <mergeCell ref="AH4:AJ4"/>
  </mergeCells>
  <pageMargins left="0.70866141732283472" right="0.70866141732283472" top="0.74803149606299213" bottom="0.74803149606299213" header="0.31496062992125984" footer="0.31496062992125984"/>
  <pageSetup paperSize="9" scale="7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QW49"/>
  <sheetViews>
    <sheetView zoomScale="80" zoomScaleNormal="80" workbookViewId="0">
      <pane xSplit="5" ySplit="6" topLeftCell="AZ7" activePane="bottomRight" state="frozen"/>
      <selection pane="topRight" activeCell="F1" sqref="F1"/>
      <selection pane="bottomLeft" activeCell="A4" sqref="A4"/>
      <selection pane="bottomRight" activeCell="CS11" sqref="CS11"/>
    </sheetView>
  </sheetViews>
  <sheetFormatPr defaultColWidth="9.1796875" defaultRowHeight="14.5" outlineLevelRow="1" outlineLevelCol="2"/>
  <cols>
    <col min="2" max="2" width="11" hidden="1" customWidth="1"/>
    <col min="3" max="3" width="9.7265625" hidden="1" customWidth="1"/>
    <col min="4" max="4" width="8.7265625" hidden="1" customWidth="1"/>
    <col min="5" max="5" width="11.26953125" hidden="1" customWidth="1"/>
    <col min="6" max="7" width="8.7265625" style="50" customWidth="1" outlineLevel="1"/>
    <col min="8" max="8" width="8.7265625" style="50" hidden="1" customWidth="1" outlineLevel="1"/>
    <col min="9" max="9" width="8.7265625" style="50" customWidth="1" outlineLevel="1"/>
    <col min="10" max="10" width="8.7265625" style="50" hidden="1" customWidth="1" outlineLevel="1"/>
    <col min="11" max="11" width="8.7265625" style="50" customWidth="1" outlineLevel="1"/>
    <col min="12" max="12" width="8.7265625" style="50" hidden="1" customWidth="1" outlineLevel="1"/>
    <col min="13" max="13" width="8.7265625" style="50" customWidth="1" outlineLevel="1"/>
    <col min="14" max="14" width="8.7265625" style="50" hidden="1" customWidth="1" outlineLevel="1"/>
    <col min="15" max="15" width="8.7265625" style="50" customWidth="1" outlineLevel="1"/>
    <col min="16" max="16" width="8.7265625" style="50" hidden="1" customWidth="1" outlineLevel="1"/>
    <col min="17" max="17" width="8.7265625" style="50" customWidth="1" outlineLevel="2"/>
    <col min="18" max="18" width="8.7265625" style="50" hidden="1" customWidth="1" outlineLevel="1"/>
    <col min="19" max="19" width="8.7265625" style="50" customWidth="1" outlineLevel="2"/>
    <col min="20" max="20" width="8.7265625" style="50" hidden="1" customWidth="1" outlineLevel="1"/>
    <col min="21" max="21" width="8.7265625" style="50" customWidth="1" outlineLevel="2"/>
    <col min="22" max="22" width="8.7265625" style="50" hidden="1" customWidth="1" outlineLevel="1"/>
    <col min="23" max="23" width="8.7265625" style="50" customWidth="1" outlineLevel="1"/>
    <col min="24" max="24" width="8.7265625" style="50" hidden="1" customWidth="1" outlineLevel="2"/>
    <col min="25" max="25" width="8.7265625" style="50" hidden="1" customWidth="1" outlineLevel="1" collapsed="1"/>
    <col min="26" max="26" width="8.7265625" style="50" customWidth="1" outlineLevel="1"/>
    <col min="27" max="27" width="8.7265625" style="50" hidden="1" customWidth="1" outlineLevel="2"/>
    <col min="28" max="28" width="8.7265625" style="50" hidden="1" customWidth="1" outlineLevel="1" collapsed="1"/>
    <col min="29" max="29" width="8.7265625" style="50" customWidth="1" outlineLevel="1"/>
    <col min="30" max="30" width="8.7265625" style="50" hidden="1" customWidth="1" outlineLevel="2"/>
    <col min="31" max="31" width="8.7265625" style="50" hidden="1" customWidth="1" outlineLevel="1" collapsed="1"/>
    <col min="32" max="32" width="8.7265625" style="50" customWidth="1" outlineLevel="1"/>
    <col min="33" max="36" width="8.7265625" style="50" hidden="1" customWidth="1" outlineLevel="2"/>
    <col min="37" max="37" width="12.7265625" style="50" customWidth="1" outlineLevel="1" collapsed="1"/>
    <col min="38" max="38" width="12.7265625" style="50" customWidth="1"/>
    <col min="39" max="50" width="8.7265625" style="50" customWidth="1"/>
    <col min="51" max="51" width="10.1796875" style="50" customWidth="1"/>
    <col min="52" max="53" width="8.7265625" style="50" customWidth="1" outlineLevel="1"/>
    <col min="54" max="54" width="8.7265625" style="50" hidden="1" customWidth="1" outlineLevel="1"/>
    <col min="55" max="55" width="8.7265625" style="50" customWidth="1" outlineLevel="1"/>
    <col min="56" max="56" width="8.7265625" style="50" hidden="1" customWidth="1" outlineLevel="1"/>
    <col min="57" max="57" width="8.7265625" style="50" customWidth="1" outlineLevel="1"/>
    <col min="58" max="58" width="8.7265625" style="50" hidden="1" customWidth="1" outlineLevel="1"/>
    <col min="59" max="59" width="8.7265625" style="50" customWidth="1" outlineLevel="1"/>
    <col min="60" max="60" width="8.7265625" style="50" hidden="1" customWidth="1" outlineLevel="1"/>
    <col min="61" max="61" width="8.7265625" style="50" customWidth="1" outlineLevel="1"/>
    <col min="62" max="62" width="8.7265625" style="50" hidden="1" customWidth="1" outlineLevel="1"/>
    <col min="63" max="63" width="8.7265625" style="50" customWidth="1" outlineLevel="2"/>
    <col min="64" max="64" width="8.7265625" style="50" hidden="1" customWidth="1" outlineLevel="1"/>
    <col min="65" max="65" width="8.7265625" style="50" customWidth="1" outlineLevel="2"/>
    <col min="66" max="66" width="8.7265625" style="50" hidden="1" customWidth="1" outlineLevel="1"/>
    <col min="67" max="67" width="8.7265625" style="50" customWidth="1" outlineLevel="2"/>
    <col min="68" max="68" width="8.7265625" style="50" hidden="1" customWidth="1" outlineLevel="1"/>
    <col min="69" max="69" width="8.7265625" style="50" customWidth="1" outlineLevel="1"/>
    <col min="70" max="70" width="8.7265625" style="50" hidden="1" customWidth="1" outlineLevel="2"/>
    <col min="71" max="71" width="8.7265625" style="50" hidden="1" customWidth="1" outlineLevel="1"/>
    <col min="72" max="72" width="8.7265625" style="50" customWidth="1" outlineLevel="1"/>
    <col min="73" max="73" width="8.7265625" style="50" hidden="1" customWidth="1" outlineLevel="2"/>
    <col min="74" max="74" width="8.7265625" style="50" hidden="1" customWidth="1" outlineLevel="1" collapsed="1"/>
    <col min="75" max="75" width="8.7265625" style="50" customWidth="1" outlineLevel="1"/>
    <col min="76" max="76" width="8.7265625" style="50" hidden="1" customWidth="1" outlineLevel="2"/>
    <col min="77" max="77" width="8.7265625" style="50" hidden="1" customWidth="1" outlineLevel="1" collapsed="1"/>
    <col min="78" max="78" width="8.7265625" style="50" customWidth="1" outlineLevel="1"/>
    <col min="79" max="82" width="8.7265625" style="50" hidden="1" customWidth="1" outlineLevel="2"/>
    <col min="83" max="83" width="12.7265625" style="50" customWidth="1" outlineLevel="1" collapsed="1"/>
    <col min="84" max="84" width="12.7265625" style="50" customWidth="1"/>
    <col min="85" max="97" width="8.7265625" style="50" customWidth="1"/>
    <col min="98" max="99" width="8.7265625" style="50" customWidth="1" outlineLevel="1"/>
    <col min="100" max="100" width="8.7265625" style="50" hidden="1" customWidth="1" outlineLevel="1"/>
    <col min="101" max="101" width="8.7265625" style="50" customWidth="1" outlineLevel="1"/>
    <col min="102" max="102" width="8.7265625" style="50" hidden="1" customWidth="1" outlineLevel="1"/>
    <col min="103" max="103" width="8.7265625" style="50" customWidth="1" outlineLevel="1"/>
    <col min="104" max="104" width="8.7265625" style="50" hidden="1" customWidth="1" outlineLevel="1"/>
    <col min="105" max="105" width="8.7265625" style="50" customWidth="1" outlineLevel="1"/>
    <col min="106" max="106" width="8.7265625" style="50" hidden="1" customWidth="1" outlineLevel="1"/>
    <col min="107" max="107" width="8.7265625" style="50" customWidth="1" outlineLevel="1"/>
    <col min="108" max="108" width="8.7265625" style="50" hidden="1" customWidth="1" outlineLevel="1"/>
    <col min="109" max="109" width="8.7265625" style="50" customWidth="1" outlineLevel="2"/>
    <col min="110" max="110" width="8.7265625" style="50" hidden="1" customWidth="1" outlineLevel="1"/>
    <col min="111" max="111" width="8.7265625" style="50" customWidth="1" outlineLevel="2"/>
    <col min="112" max="112" width="8.7265625" style="50" hidden="1" customWidth="1" outlineLevel="1"/>
    <col min="113" max="113" width="8.7265625" style="50" customWidth="1" outlineLevel="2"/>
    <col min="114" max="114" width="8.7265625" style="50" hidden="1" customWidth="1" outlineLevel="1"/>
    <col min="115" max="115" width="8.7265625" style="50" customWidth="1" outlineLevel="1"/>
    <col min="116" max="116" width="8.7265625" style="50" hidden="1" customWidth="1" outlineLevel="2"/>
    <col min="117" max="117" width="8.7265625" style="50" hidden="1" customWidth="1" outlineLevel="1" collapsed="1"/>
    <col min="118" max="118" width="8.7265625" style="50" customWidth="1" outlineLevel="1"/>
    <col min="119" max="119" width="8.7265625" style="50" hidden="1" customWidth="1" outlineLevel="2"/>
    <col min="120" max="120" width="8.7265625" style="50" hidden="1" customWidth="1" outlineLevel="1" collapsed="1"/>
    <col min="121" max="121" width="8.7265625" style="50" customWidth="1" outlineLevel="1"/>
    <col min="122" max="122" width="8.7265625" style="50" hidden="1" customWidth="1" outlineLevel="2"/>
    <col min="123" max="123" width="8.7265625" style="50" hidden="1" customWidth="1" outlineLevel="1" collapsed="1"/>
    <col min="124" max="124" width="8.7265625" style="50" customWidth="1" outlineLevel="1"/>
    <col min="125" max="126" width="8.7265625" style="155" hidden="1" customWidth="1" outlineLevel="2"/>
    <col min="127" max="128" width="8.7265625" style="50" hidden="1" customWidth="1" outlineLevel="2"/>
    <col min="129" max="129" width="12.7265625" style="50" customWidth="1" outlineLevel="1" collapsed="1"/>
    <col min="130" max="130" width="12.7265625" style="50" customWidth="1"/>
    <col min="131" max="143" width="8.7265625" style="50" customWidth="1"/>
    <col min="144" max="145" width="8.7265625" style="50" customWidth="1" outlineLevel="1"/>
    <col min="146" max="146" width="8.7265625" style="50" hidden="1" customWidth="1" outlineLevel="1"/>
    <col min="147" max="147" width="8.7265625" style="50" customWidth="1" outlineLevel="1"/>
    <col min="148" max="148" width="8.7265625" style="50" hidden="1" customWidth="1" outlineLevel="1"/>
    <col min="149" max="149" width="8.7265625" style="50" customWidth="1" outlineLevel="1"/>
    <col min="150" max="150" width="8.7265625" style="50" hidden="1" customWidth="1" outlineLevel="1"/>
    <col min="151" max="151" width="8.7265625" style="50" customWidth="1" outlineLevel="1"/>
    <col min="152" max="152" width="8.7265625" style="50" hidden="1" customWidth="1" outlineLevel="1"/>
    <col min="153" max="153" width="8.7265625" style="50" customWidth="1" outlineLevel="1"/>
    <col min="154" max="154" width="8.7265625" style="50" hidden="1" customWidth="1" outlineLevel="1"/>
    <col min="155" max="155" width="8.7265625" style="50" hidden="1" customWidth="1" outlineLevel="2"/>
    <col min="156" max="156" width="8.7265625" style="50" hidden="1" customWidth="1" outlineLevel="1"/>
    <col min="157" max="157" width="8.7265625" style="50" customWidth="1" outlineLevel="2"/>
    <col min="158" max="158" width="8.7265625" style="50" hidden="1" customWidth="1" outlineLevel="1"/>
    <col min="159" max="159" width="8.7265625" style="50" customWidth="1" outlineLevel="2"/>
    <col min="160" max="160" width="8.7265625" style="50" hidden="1" customWidth="1" outlineLevel="1"/>
    <col min="161" max="161" width="8.7265625" style="50" customWidth="1" outlineLevel="1"/>
    <col min="162" max="162" width="8.7265625" style="50" hidden="1" customWidth="1" outlineLevel="2"/>
    <col min="163" max="163" width="8.7265625" style="50" hidden="1" customWidth="1" outlineLevel="1" collapsed="1"/>
    <col min="164" max="164" width="8.7265625" style="50" customWidth="1" outlineLevel="1"/>
    <col min="165" max="165" width="8.7265625" style="50" hidden="1" customWidth="1" outlineLevel="2"/>
    <col min="166" max="166" width="8.7265625" style="50" hidden="1" customWidth="1" outlineLevel="1" collapsed="1"/>
    <col min="167" max="167" width="8.7265625" style="50" customWidth="1" outlineLevel="1"/>
    <col min="168" max="168" width="8.7265625" style="50" hidden="1" customWidth="1" outlineLevel="2"/>
    <col min="169" max="169" width="8.7265625" style="50" hidden="1" customWidth="1" outlineLevel="1" collapsed="1"/>
    <col min="170" max="170" width="8.7265625" style="50" customWidth="1" outlineLevel="1"/>
    <col min="171" max="172" width="8.7265625" style="155" hidden="1" customWidth="1" outlineLevel="2"/>
    <col min="173" max="174" width="8.7265625" style="50" hidden="1" customWidth="1" outlineLevel="2"/>
    <col min="175" max="175" width="12.7265625" style="50" customWidth="1" outlineLevel="1" collapsed="1"/>
    <col min="176" max="176" width="12.7265625" style="50" customWidth="1"/>
    <col min="177" max="188" width="8.7265625" style="50" customWidth="1"/>
    <col min="189" max="189" width="9.54296875" style="50" bestFit="1" customWidth="1"/>
    <col min="190" max="191" width="8.7265625" style="50" customWidth="1" outlineLevel="1"/>
    <col min="192" max="192" width="8.7265625" style="50" hidden="1" customWidth="1" outlineLevel="1"/>
    <col min="193" max="193" width="8.7265625" style="50" customWidth="1" outlineLevel="1"/>
    <col min="194" max="194" width="8.7265625" style="50" hidden="1" customWidth="1" outlineLevel="1"/>
    <col min="195" max="195" width="8.7265625" style="50" customWidth="1" outlineLevel="1"/>
    <col min="196" max="196" width="8.7265625" style="50" hidden="1" customWidth="1" outlineLevel="1"/>
    <col min="197" max="197" width="8.7265625" style="50" customWidth="1" outlineLevel="1"/>
    <col min="198" max="198" width="8.7265625" style="50" hidden="1" customWidth="1" outlineLevel="1"/>
    <col min="199" max="199" width="8.7265625" style="50" customWidth="1" outlineLevel="1"/>
    <col min="200" max="200" width="8.7265625" style="50" hidden="1" customWidth="1" outlineLevel="1"/>
    <col min="201" max="201" width="8.7265625" style="50" customWidth="1" outlineLevel="2"/>
    <col min="202" max="202" width="8.7265625" style="50" hidden="1" customWidth="1" outlineLevel="1"/>
    <col min="203" max="203" width="8.7265625" style="50" customWidth="1" outlineLevel="2"/>
    <col min="204" max="204" width="8.7265625" style="50" hidden="1" customWidth="1" outlineLevel="1"/>
    <col min="205" max="205" width="8.7265625" style="50" customWidth="1" outlineLevel="2"/>
    <col min="206" max="206" width="8.7265625" style="50" hidden="1" customWidth="1" outlineLevel="1"/>
    <col min="207" max="207" width="8.7265625" style="50" customWidth="1" outlineLevel="1"/>
    <col min="208" max="208" width="8.7265625" style="50" hidden="1" customWidth="1" outlineLevel="2"/>
    <col min="209" max="209" width="8.7265625" style="50" hidden="1" customWidth="1" outlineLevel="1" collapsed="1"/>
    <col min="210" max="210" width="8.7265625" style="50" customWidth="1" outlineLevel="1"/>
    <col min="211" max="211" width="8.7265625" style="50" hidden="1" customWidth="1" outlineLevel="2"/>
    <col min="212" max="212" width="8.7265625" style="50" hidden="1" customWidth="1" outlineLevel="1" collapsed="1"/>
    <col min="213" max="213" width="8.7265625" style="50" customWidth="1" outlineLevel="1"/>
    <col min="214" max="214" width="8.7265625" style="50" hidden="1" customWidth="1" outlineLevel="2"/>
    <col min="215" max="215" width="8.7265625" style="50" hidden="1" customWidth="1" outlineLevel="1" collapsed="1"/>
    <col min="216" max="216" width="8.7265625" style="50" customWidth="1" outlineLevel="1"/>
    <col min="217" max="218" width="8.7265625" style="155" hidden="1" customWidth="1" outlineLevel="2"/>
    <col min="219" max="220" width="8.7265625" style="50" hidden="1" customWidth="1" outlineLevel="2"/>
    <col min="221" max="221" width="12.7265625" style="50" customWidth="1" outlineLevel="1" collapsed="1"/>
    <col min="222" max="222" width="12.7265625" style="50" customWidth="1"/>
    <col min="223" max="235" width="8.7265625" style="50" customWidth="1"/>
    <col min="236" max="237" width="8.7265625" style="50" customWidth="1" outlineLevel="1"/>
    <col min="238" max="238" width="8.7265625" style="50" hidden="1" customWidth="1" outlineLevel="1"/>
    <col min="239" max="239" width="8.7265625" style="50" customWidth="1" outlineLevel="1"/>
    <col min="240" max="240" width="8.7265625" style="50" hidden="1" customWidth="1" outlineLevel="1"/>
    <col min="241" max="241" width="8.7265625" style="50" customWidth="1" outlineLevel="1"/>
    <col min="242" max="242" width="8.7265625" style="50" hidden="1" customWidth="1" outlineLevel="1"/>
    <col min="243" max="243" width="8.7265625" style="50" customWidth="1" outlineLevel="1"/>
    <col min="244" max="244" width="8.7265625" style="50" hidden="1" customWidth="1" outlineLevel="1"/>
    <col min="245" max="245" width="8.7265625" style="50" customWidth="1" outlineLevel="1"/>
    <col min="246" max="246" width="8.7265625" style="50" hidden="1" customWidth="1" outlineLevel="1"/>
    <col min="247" max="247" width="8.7265625" style="50" customWidth="1" outlineLevel="2"/>
    <col min="248" max="248" width="8.7265625" style="50" hidden="1" customWidth="1" outlineLevel="1"/>
    <col min="249" max="249" width="8.7265625" style="50" customWidth="1" outlineLevel="2"/>
    <col min="250" max="250" width="8.7265625" style="50" hidden="1" customWidth="1" outlineLevel="1"/>
    <col min="251" max="251" width="8.7265625" style="50" customWidth="1" outlineLevel="2"/>
    <col min="252" max="252" width="8.7265625" style="50" hidden="1" customWidth="1" outlineLevel="1"/>
    <col min="253" max="253" width="8.7265625" style="50" customWidth="1" outlineLevel="1"/>
    <col min="254" max="254" width="8.7265625" style="50" hidden="1" customWidth="1" outlineLevel="2"/>
    <col min="255" max="255" width="8.7265625" style="50" hidden="1" customWidth="1" outlineLevel="1" collapsed="1"/>
    <col min="256" max="256" width="8.7265625" style="50" customWidth="1" outlineLevel="1"/>
    <col min="257" max="257" width="8.7265625" style="50" hidden="1" customWidth="1" outlineLevel="2"/>
    <col min="258" max="258" width="8.7265625" style="50" hidden="1" customWidth="1" outlineLevel="1" collapsed="1"/>
    <col min="259" max="259" width="8.7265625" style="50" customWidth="1" outlineLevel="1"/>
    <col min="260" max="260" width="8.7265625" style="50" hidden="1" customWidth="1" outlineLevel="2"/>
    <col min="261" max="261" width="8.7265625" style="50" hidden="1" customWidth="1" outlineLevel="1" collapsed="1"/>
    <col min="262" max="262" width="8.7265625" style="50" customWidth="1" outlineLevel="1"/>
    <col min="263" max="266" width="8.7265625" style="155" hidden="1" customWidth="1" outlineLevel="2"/>
    <col min="267" max="267" width="12.7265625" style="50" customWidth="1" outlineLevel="1" collapsed="1"/>
    <col min="268" max="268" width="12.7265625" style="50" customWidth="1"/>
    <col min="269" max="281" width="8.7265625" style="50" customWidth="1"/>
    <col min="282" max="283" width="8.7265625" style="50" customWidth="1" outlineLevel="1"/>
    <col min="284" max="284" width="8.7265625" style="50" hidden="1" customWidth="1" outlineLevel="1"/>
    <col min="285" max="285" width="8.7265625" style="50" customWidth="1" outlineLevel="1"/>
    <col min="286" max="286" width="8.7265625" style="50" hidden="1" customWidth="1" outlineLevel="1"/>
    <col min="287" max="287" width="8.7265625" style="50" customWidth="1" outlineLevel="1"/>
    <col min="288" max="288" width="8.7265625" style="50" hidden="1" customWidth="1" outlineLevel="1"/>
    <col min="289" max="289" width="8.7265625" style="50" customWidth="1" outlineLevel="1"/>
    <col min="290" max="290" width="8.7265625" style="50" hidden="1" customWidth="1" outlineLevel="1"/>
    <col min="291" max="291" width="8.7265625" style="50" customWidth="1" outlineLevel="1"/>
    <col min="292" max="292" width="8.7265625" style="50" hidden="1" customWidth="1" outlineLevel="1"/>
    <col min="293" max="293" width="8.7265625" style="50" customWidth="1" outlineLevel="2"/>
    <col min="294" max="294" width="8.7265625" style="50" hidden="1" customWidth="1" outlineLevel="1"/>
    <col min="295" max="295" width="8.7265625" style="50" customWidth="1" outlineLevel="2"/>
    <col min="296" max="296" width="8.7265625" style="50" hidden="1" customWidth="1" outlineLevel="1"/>
    <col min="297" max="297" width="8.7265625" style="50" customWidth="1" outlineLevel="2"/>
    <col min="298" max="298" width="8.7265625" style="50" hidden="1" customWidth="1" outlineLevel="1"/>
    <col min="299" max="299" width="8.7265625" style="50" customWidth="1" outlineLevel="1"/>
    <col min="300" max="300" width="8.7265625" style="50" hidden="1" customWidth="1" outlineLevel="2"/>
    <col min="301" max="301" width="8.7265625" style="50" hidden="1" customWidth="1" outlineLevel="1" collapsed="1"/>
    <col min="302" max="302" width="8.7265625" style="50" customWidth="1" outlineLevel="1"/>
    <col min="303" max="303" width="8.7265625" style="50" hidden="1" customWidth="1" outlineLevel="2"/>
    <col min="304" max="304" width="8.7265625" style="50" hidden="1" customWidth="1" outlineLevel="1" collapsed="1"/>
    <col min="305" max="305" width="8.7265625" style="50" customWidth="1" outlineLevel="1"/>
    <col min="306" max="306" width="8.7265625" style="50" hidden="1" customWidth="1" outlineLevel="2"/>
    <col min="307" max="307" width="8.7265625" style="50" hidden="1" customWidth="1" outlineLevel="1" collapsed="1"/>
    <col min="308" max="308" width="8.7265625" style="50" customWidth="1" outlineLevel="1"/>
    <col min="309" max="312" width="8.7265625" style="155" hidden="1" customWidth="1" outlineLevel="2"/>
    <col min="313" max="313" width="12.7265625" style="50" customWidth="1" outlineLevel="1" collapsed="1"/>
    <col min="314" max="314" width="12.7265625" style="50" customWidth="1"/>
    <col min="315" max="327" width="8.7265625" style="50" customWidth="1"/>
    <col min="328" max="329" width="8.7265625" style="155" customWidth="1" outlineLevel="1"/>
    <col min="330" max="330" width="8.7265625" style="155" hidden="1" customWidth="1" outlineLevel="1"/>
    <col min="331" max="331" width="8.7265625" style="155" customWidth="1" outlineLevel="1"/>
    <col min="332" max="332" width="8.7265625" style="155" hidden="1" customWidth="1" outlineLevel="1"/>
    <col min="333" max="333" width="8.7265625" style="155" customWidth="1" outlineLevel="1"/>
    <col min="334" max="334" width="8.7265625" style="155" hidden="1" customWidth="1" outlineLevel="1"/>
    <col min="335" max="335" width="8.7265625" style="155" customWidth="1" outlineLevel="1"/>
    <col min="336" max="336" width="8.7265625" style="155" hidden="1" customWidth="1" outlineLevel="1"/>
    <col min="337" max="337" width="8.7265625" style="155" customWidth="1" outlineLevel="1"/>
    <col min="338" max="338" width="8.7265625" style="155" hidden="1" customWidth="1" outlineLevel="1"/>
    <col min="339" max="339" width="8.7265625" style="155" customWidth="1" outlineLevel="2"/>
    <col min="340" max="340" width="8.7265625" style="155" hidden="1" customWidth="1" outlineLevel="1"/>
    <col min="341" max="341" width="8.7265625" style="155" customWidth="1" outlineLevel="2"/>
    <col min="342" max="342" width="8.7265625" style="155" hidden="1" customWidth="1" outlineLevel="1"/>
    <col min="343" max="343" width="8.7265625" style="155" customWidth="1" outlineLevel="2"/>
    <col min="344" max="344" width="8.7265625" style="155" hidden="1" customWidth="1" outlineLevel="1"/>
    <col min="345" max="345" width="8.7265625" style="50" customWidth="1" outlineLevel="1"/>
    <col min="346" max="346" width="8.7265625" style="155" hidden="1" customWidth="1" outlineLevel="2"/>
    <col min="347" max="347" width="8.7265625" style="155" hidden="1" customWidth="1" outlineLevel="1" collapsed="1"/>
    <col min="348" max="348" width="8.7265625" style="50" customWidth="1" outlineLevel="1"/>
    <col min="349" max="349" width="8.7265625" style="155" hidden="1" customWidth="1" outlineLevel="2"/>
    <col min="350" max="350" width="8.7265625" style="155" hidden="1" customWidth="1" outlineLevel="1" collapsed="1"/>
    <col min="351" max="351" width="8.7265625" style="50" customWidth="1" outlineLevel="1"/>
    <col min="352" max="352" width="8.7265625" style="155" hidden="1" customWidth="1" outlineLevel="2"/>
    <col min="353" max="353" width="8.7265625" style="155" hidden="1" customWidth="1" outlineLevel="1" collapsed="1"/>
    <col min="354" max="354" width="8.7265625" style="50" customWidth="1" outlineLevel="1"/>
    <col min="355" max="358" width="8.7265625" style="155" hidden="1" customWidth="1" outlineLevel="2"/>
    <col min="359" max="359" width="12.7265625" style="50" customWidth="1" outlineLevel="1" collapsed="1"/>
    <col min="360" max="360" width="12.7265625" style="50" customWidth="1"/>
    <col min="361" max="373" width="8.7265625" style="50" customWidth="1"/>
    <col min="374" max="375" width="8.7265625" customWidth="1" outlineLevel="1"/>
    <col min="376" max="376" width="8.7265625" hidden="1" customWidth="1" outlineLevel="1"/>
    <col min="377" max="377" width="8.7265625" customWidth="1" outlineLevel="1"/>
    <col min="378" max="378" width="8.7265625" hidden="1" customWidth="1" outlineLevel="1"/>
    <col min="379" max="379" width="8.7265625" customWidth="1" outlineLevel="1"/>
    <col min="380" max="380" width="8.7265625" hidden="1" customWidth="1" outlineLevel="1"/>
    <col min="381" max="381" width="8.7265625" customWidth="1" outlineLevel="1"/>
    <col min="382" max="382" width="8.7265625" hidden="1" customWidth="1" outlineLevel="1"/>
    <col min="383" max="383" width="8.7265625" customWidth="1" outlineLevel="1"/>
    <col min="384" max="384" width="8.7265625" hidden="1" customWidth="1" outlineLevel="1"/>
    <col min="385" max="385" width="8.7265625" customWidth="1" outlineLevel="1"/>
    <col min="386" max="386" width="8.7265625" hidden="1" customWidth="1" outlineLevel="1"/>
    <col min="387" max="387" width="8.7265625" customWidth="1" outlineLevel="2"/>
    <col min="388" max="388" width="8.7265625" hidden="1" customWidth="1" outlineLevel="1"/>
    <col min="389" max="389" width="8.7265625" customWidth="1" outlineLevel="2"/>
    <col min="390" max="390" width="8.7265625" hidden="1" customWidth="1" outlineLevel="1"/>
    <col min="391" max="391" width="8.7265625" hidden="1" customWidth="1" outlineLevel="2"/>
    <col min="392" max="392" width="8.7265625" customWidth="1" outlineLevel="1" collapsed="1"/>
    <col min="393" max="393" width="8.7265625" hidden="1" customWidth="1" outlineLevel="2"/>
    <col min="394" max="394" width="8.7265625" customWidth="1" outlineLevel="1" collapsed="1"/>
    <col min="395" max="395" width="8.7265625" hidden="1" customWidth="1" outlineLevel="2"/>
    <col min="396" max="396" width="8.7265625" customWidth="1" outlineLevel="1" collapsed="1"/>
    <col min="397" max="400" width="8.7265625" hidden="1" customWidth="1" outlineLevel="1"/>
    <col min="401" max="401" width="8.7265625" style="50" customWidth="1" collapsed="1"/>
    <col min="402" max="414" width="8.7265625" style="50" customWidth="1"/>
    <col min="415" max="416" width="8.7265625" customWidth="1" outlineLevel="1"/>
    <col min="417" max="417" width="8.7265625" hidden="1" customWidth="1" outlineLevel="1"/>
    <col min="418" max="418" width="8.7265625" customWidth="1" outlineLevel="1"/>
    <col min="419" max="419" width="8.7265625" hidden="1" customWidth="1" outlineLevel="1"/>
    <col min="420" max="420" width="8.7265625" customWidth="1" outlineLevel="1"/>
    <col min="421" max="421" width="8.7265625" hidden="1" customWidth="1" outlineLevel="1"/>
    <col min="422" max="422" width="8.7265625" customWidth="1" outlineLevel="1"/>
    <col min="423" max="423" width="8.7265625" hidden="1" customWidth="1" outlineLevel="1"/>
    <col min="424" max="424" width="8.7265625" customWidth="1" outlineLevel="1"/>
    <col min="425" max="425" width="8.7265625" hidden="1" customWidth="1" outlineLevel="1"/>
    <col min="426" max="426" width="8.7265625" customWidth="1" outlineLevel="1"/>
    <col min="427" max="427" width="8.7265625" hidden="1" customWidth="1" outlineLevel="1"/>
    <col min="428" max="428" width="8.7265625" customWidth="1" outlineLevel="2"/>
    <col min="429" max="429" width="8.7265625" hidden="1" customWidth="1" outlineLevel="1"/>
    <col min="430" max="430" width="8.7265625" customWidth="1" outlineLevel="2"/>
    <col min="431" max="431" width="8.7265625" hidden="1" customWidth="1" outlineLevel="1"/>
    <col min="432" max="432" width="8.7265625" style="50" customWidth="1" outlineLevel="1"/>
    <col min="433" max="433" width="8.7265625" hidden="1" customWidth="1" outlineLevel="2"/>
    <col min="434" max="434" width="8.7265625" hidden="1" customWidth="1" outlineLevel="1"/>
    <col min="435" max="435" width="8.7265625" style="50" customWidth="1" outlineLevel="1"/>
    <col min="436" max="436" width="8.7265625" hidden="1" customWidth="1" outlineLevel="2"/>
    <col min="437" max="437" width="8.7265625" hidden="1" customWidth="1" outlineLevel="1"/>
    <col min="438" max="438" width="8.7265625" style="50" customWidth="1" outlineLevel="1"/>
    <col min="439" max="439" width="8.7265625" hidden="1" customWidth="1" outlineLevel="2"/>
    <col min="440" max="440" width="8.7265625" hidden="1" customWidth="1" outlineLevel="1"/>
    <col min="441" max="441" width="8.7265625" style="50" customWidth="1" outlineLevel="1"/>
    <col min="442" max="445" width="8.7265625" hidden="1" customWidth="1" outlineLevel="2"/>
    <col min="446" max="446" width="12.7265625" style="50" customWidth="1" outlineLevel="1" collapsed="1"/>
    <col min="447" max="447" width="12.7265625" style="50" customWidth="1"/>
    <col min="448" max="448" width="12.7265625" style="50" hidden="1" customWidth="1" outlineLevel="1"/>
    <col min="449" max="449" width="7.7265625" style="50" hidden="1" customWidth="1" outlineLevel="1"/>
    <col min="450" max="450" width="8.7265625" style="50" customWidth="1" collapsed="1"/>
    <col min="451" max="461" width="8.7265625" style="50" customWidth="1"/>
    <col min="462" max="462" width="9.54296875" style="50" bestFit="1" customWidth="1"/>
    <col min="463" max="463" width="9.1796875" style="164"/>
  </cols>
  <sheetData>
    <row r="1" spans="1:465">
      <c r="A1" s="51" t="s">
        <v>1142</v>
      </c>
      <c r="W1" s="636" t="s">
        <v>1143</v>
      </c>
      <c r="BQ1" s="636" t="s">
        <v>1143</v>
      </c>
      <c r="DK1" s="636" t="s">
        <v>1143</v>
      </c>
      <c r="FE1" s="636" t="s">
        <v>1143</v>
      </c>
      <c r="GY1" s="636" t="s">
        <v>1143</v>
      </c>
      <c r="IS1" s="636" t="s">
        <v>1143</v>
      </c>
      <c r="KM1" s="636" t="s">
        <v>1143</v>
      </c>
      <c r="MG1" s="636" t="s">
        <v>1143</v>
      </c>
    </row>
    <row r="2" spans="1:465">
      <c r="A2" s="51" t="s">
        <v>1144</v>
      </c>
      <c r="W2" s="636" t="s">
        <v>1145</v>
      </c>
      <c r="BQ2" s="636" t="s">
        <v>1145</v>
      </c>
      <c r="DK2" s="636" t="s">
        <v>1145</v>
      </c>
      <c r="FE2" s="636" t="s">
        <v>1145</v>
      </c>
      <c r="GY2" s="636" t="s">
        <v>1145</v>
      </c>
      <c r="IS2" s="636" t="s">
        <v>1145</v>
      </c>
      <c r="KM2" s="636" t="s">
        <v>1145</v>
      </c>
      <c r="MG2" s="636" t="s">
        <v>1145</v>
      </c>
    </row>
    <row r="3" spans="1:465">
      <c r="W3" s="636" t="s">
        <v>7</v>
      </c>
      <c r="AL3" s="690">
        <v>99981</v>
      </c>
      <c r="AM3" s="690"/>
      <c r="AN3" s="690"/>
      <c r="AO3" s="690"/>
      <c r="AP3" s="690"/>
      <c r="AQ3" s="690"/>
      <c r="AR3" s="690"/>
      <c r="AS3" s="690"/>
      <c r="AT3" s="690"/>
      <c r="AU3" s="690"/>
      <c r="AV3" s="690"/>
      <c r="AW3" s="690"/>
      <c r="AX3" s="690"/>
      <c r="AY3" s="690"/>
      <c r="BQ3" s="636" t="s">
        <v>7</v>
      </c>
      <c r="CF3" s="690">
        <v>57695</v>
      </c>
      <c r="CG3" s="690"/>
      <c r="CH3" s="690"/>
      <c r="CI3" s="690"/>
      <c r="CJ3" s="690"/>
      <c r="CK3" s="690"/>
      <c r="CL3" s="690"/>
      <c r="CM3" s="690"/>
      <c r="CN3" s="690"/>
      <c r="CO3" s="690"/>
      <c r="CP3" s="690"/>
      <c r="CQ3" s="690"/>
      <c r="CR3" s="690"/>
      <c r="CS3" s="690"/>
      <c r="DK3" s="636" t="s">
        <v>7</v>
      </c>
      <c r="DZ3" s="690">
        <v>10733</v>
      </c>
      <c r="EA3" s="690"/>
      <c r="EB3" s="690"/>
      <c r="EC3" s="690"/>
      <c r="ED3" s="690"/>
      <c r="EE3" s="690"/>
      <c r="EF3" s="690"/>
      <c r="EG3" s="690"/>
      <c r="EH3" s="690"/>
      <c r="EI3" s="690"/>
      <c r="EJ3" s="690"/>
      <c r="EK3" s="690"/>
      <c r="EL3" s="690"/>
      <c r="EM3" s="690"/>
      <c r="FE3" s="636" t="s">
        <v>7</v>
      </c>
      <c r="FT3" s="690">
        <v>144571</v>
      </c>
      <c r="FU3" s="690"/>
      <c r="FV3" s="690"/>
      <c r="FW3" s="690"/>
      <c r="FX3" s="690"/>
      <c r="FY3" s="690"/>
      <c r="FZ3" s="690"/>
      <c r="GA3" s="690"/>
      <c r="GB3" s="690"/>
      <c r="GC3" s="690"/>
      <c r="GD3" s="690"/>
      <c r="GE3" s="690"/>
      <c r="GF3" s="690"/>
      <c r="GG3" s="690"/>
      <c r="GY3" s="636" t="s">
        <v>7</v>
      </c>
      <c r="HN3" s="690">
        <v>39672</v>
      </c>
      <c r="HO3" s="690"/>
      <c r="HP3" s="690"/>
      <c r="HQ3" s="690"/>
      <c r="HR3" s="690"/>
      <c r="HS3" s="690"/>
      <c r="HT3" s="690"/>
      <c r="HU3" s="690"/>
      <c r="HV3" s="690"/>
      <c r="HW3" s="690"/>
      <c r="HX3" s="690"/>
      <c r="HY3" s="690"/>
      <c r="HZ3" s="690"/>
      <c r="IA3" s="690"/>
      <c r="IS3" s="636" t="s">
        <v>7</v>
      </c>
      <c r="JH3" s="690">
        <v>67909</v>
      </c>
      <c r="JI3" s="690"/>
      <c r="JJ3" s="690"/>
      <c r="JK3" s="690"/>
      <c r="JL3" s="690"/>
      <c r="JM3" s="690"/>
      <c r="JN3" s="690"/>
      <c r="JO3" s="690"/>
      <c r="JP3" s="690"/>
      <c r="JQ3" s="690"/>
      <c r="JR3" s="690"/>
      <c r="JS3" s="690"/>
      <c r="JT3" s="690"/>
      <c r="JU3" s="690"/>
      <c r="KM3" s="636" t="s">
        <v>7</v>
      </c>
      <c r="LB3" s="690">
        <v>23948</v>
      </c>
      <c r="LC3" s="690"/>
      <c r="LD3" s="690"/>
      <c r="LE3" s="690"/>
      <c r="LF3" s="690"/>
      <c r="LG3" s="690"/>
      <c r="LH3" s="690"/>
      <c r="LI3" s="690"/>
      <c r="LJ3" s="690"/>
      <c r="LK3" s="690"/>
      <c r="LL3" s="690"/>
      <c r="LM3" s="690"/>
      <c r="LN3" s="690"/>
      <c r="LO3" s="690"/>
      <c r="MG3" s="636" t="s">
        <v>7</v>
      </c>
      <c r="MW3" s="690"/>
      <c r="MX3" s="690"/>
      <c r="MY3" s="690"/>
      <c r="MZ3" s="690"/>
      <c r="NA3" s="690"/>
      <c r="NB3" s="690"/>
      <c r="NC3" s="690"/>
      <c r="ND3" s="690"/>
      <c r="NE3" s="690"/>
      <c r="NF3" s="690"/>
      <c r="NG3" s="690"/>
      <c r="NH3" s="690"/>
      <c r="NI3" s="690"/>
      <c r="OL3" s="690"/>
      <c r="OM3" s="690"/>
      <c r="ON3" s="690"/>
      <c r="OO3" s="690"/>
      <c r="OP3" s="690"/>
      <c r="OQ3" s="690"/>
      <c r="OR3" s="690"/>
      <c r="OS3" s="690"/>
      <c r="OT3" s="690"/>
      <c r="OU3" s="690"/>
      <c r="OV3" s="690"/>
      <c r="OW3" s="690"/>
      <c r="OX3" s="690"/>
      <c r="QE3" s="690">
        <v>456126</v>
      </c>
      <c r="QF3" s="50" t="s">
        <v>1146</v>
      </c>
      <c r="QH3" s="690"/>
      <c r="QI3" s="690"/>
      <c r="QJ3" s="690"/>
      <c r="QK3" s="690"/>
      <c r="QL3" s="690"/>
      <c r="QM3" s="690"/>
      <c r="QN3" s="690"/>
      <c r="QO3" s="690"/>
      <c r="QP3" s="690"/>
      <c r="QQ3" s="690"/>
      <c r="QR3" s="690"/>
      <c r="QS3" s="690"/>
      <c r="QT3" s="690"/>
    </row>
    <row r="4" spans="1:465" s="51" customFormat="1">
      <c r="A4" s="1303" t="s">
        <v>1075</v>
      </c>
      <c r="B4" s="590" t="s">
        <v>1147</v>
      </c>
      <c r="C4" s="591"/>
      <c r="D4" s="591"/>
      <c r="E4" s="591"/>
      <c r="F4" s="1277" t="s">
        <v>1148</v>
      </c>
      <c r="G4" s="1277"/>
      <c r="H4" s="1277"/>
      <c r="I4" s="1277"/>
      <c r="J4" s="1277"/>
      <c r="K4" s="1277"/>
      <c r="L4" s="1277"/>
      <c r="M4" s="1277"/>
      <c r="N4" s="1277"/>
      <c r="O4" s="1277"/>
      <c r="P4" s="1277"/>
      <c r="Q4" s="1277"/>
      <c r="R4" s="1277"/>
      <c r="S4" s="1277"/>
      <c r="T4" s="1277"/>
      <c r="U4" s="1277"/>
      <c r="V4" s="1277"/>
      <c r="W4" s="1277"/>
      <c r="X4" s="1277"/>
      <c r="Y4" s="1277"/>
      <c r="Z4" s="1277"/>
      <c r="AA4" s="1277"/>
      <c r="AB4" s="1277"/>
      <c r="AC4" s="1277"/>
      <c r="AD4" s="1277"/>
      <c r="AE4" s="1277"/>
      <c r="AF4" s="1277"/>
      <c r="AG4" s="1277"/>
      <c r="AH4" s="1277"/>
      <c r="AI4" s="1277"/>
      <c r="AJ4" s="1277"/>
      <c r="AK4" s="1277"/>
      <c r="AL4" s="1277"/>
      <c r="AM4" s="1277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1277"/>
      <c r="BB4" s="1277"/>
      <c r="BC4" s="1277"/>
      <c r="BD4" s="1277"/>
      <c r="BE4" s="1277"/>
      <c r="BF4" s="1277"/>
      <c r="BG4" s="1277"/>
      <c r="BH4" s="1277"/>
      <c r="BI4" s="1277"/>
      <c r="BJ4" s="1277"/>
      <c r="BK4" s="1277"/>
      <c r="BL4" s="1277"/>
      <c r="BM4" s="1277"/>
      <c r="BN4" s="1277"/>
      <c r="BO4" s="1277"/>
      <c r="BP4" s="1277"/>
      <c r="BQ4" s="1277"/>
      <c r="BR4" s="1277"/>
      <c r="BS4" s="1277"/>
      <c r="BT4" s="1277"/>
      <c r="BU4" s="1277"/>
      <c r="BV4" s="1277"/>
      <c r="BW4" s="1277"/>
      <c r="BX4" s="1277"/>
      <c r="BY4" s="1277"/>
      <c r="BZ4" s="1277"/>
      <c r="CA4" s="1277"/>
      <c r="CB4" s="1277"/>
      <c r="CC4" s="1277"/>
      <c r="CD4" s="1277"/>
      <c r="CE4" s="1277"/>
      <c r="CF4" s="1277"/>
      <c r="CG4" s="1277"/>
      <c r="CH4" s="1277"/>
      <c r="CI4" s="1277"/>
      <c r="CJ4" s="1277"/>
      <c r="CK4" s="1277"/>
      <c r="CL4" s="1277"/>
      <c r="CM4" s="1277"/>
      <c r="CN4" s="1277"/>
      <c r="CO4" s="1277"/>
      <c r="CP4" s="1277"/>
      <c r="CQ4" s="1277"/>
      <c r="CR4" s="1277"/>
      <c r="CS4" s="1277"/>
      <c r="CT4" s="1277"/>
      <c r="CU4" s="1277"/>
      <c r="CV4" s="1277"/>
      <c r="CW4" s="1277"/>
      <c r="CX4" s="1277"/>
      <c r="CY4" s="1277"/>
      <c r="CZ4" s="1277"/>
      <c r="DA4" s="1277"/>
      <c r="DB4" s="1277"/>
      <c r="DC4" s="1277"/>
      <c r="DD4" s="1277"/>
      <c r="DE4" s="1277"/>
      <c r="DF4" s="1277"/>
      <c r="DG4" s="1277"/>
      <c r="DH4" s="1277"/>
      <c r="DI4" s="1277"/>
      <c r="DJ4" s="1277"/>
      <c r="DK4" s="1277"/>
      <c r="DL4" s="1277"/>
      <c r="DM4" s="1277"/>
      <c r="DN4" s="1277"/>
      <c r="DO4" s="1277"/>
      <c r="DP4" s="1277"/>
      <c r="DQ4" s="1277"/>
      <c r="DR4" s="1277"/>
      <c r="DS4" s="1277"/>
      <c r="DT4" s="1277"/>
      <c r="DU4" s="1277"/>
      <c r="DV4" s="1277"/>
      <c r="DW4" s="1277"/>
      <c r="DX4" s="1277"/>
      <c r="DY4" s="1277"/>
      <c r="DZ4" s="1277"/>
      <c r="EA4" s="1277"/>
      <c r="EB4" s="1277"/>
      <c r="EC4" s="1277"/>
      <c r="ED4" s="1277"/>
      <c r="EE4" s="1277"/>
      <c r="EF4" s="1277"/>
      <c r="EG4" s="1277"/>
      <c r="EH4" s="1277"/>
      <c r="EI4" s="1277"/>
      <c r="EJ4" s="1277"/>
      <c r="EK4" s="1277"/>
      <c r="EL4" s="1277"/>
      <c r="EM4" s="1278"/>
      <c r="EN4" s="1279" t="s">
        <v>1149</v>
      </c>
      <c r="EO4" s="1280"/>
      <c r="EP4" s="1280"/>
      <c r="EQ4" s="1280"/>
      <c r="ER4" s="1280"/>
      <c r="ES4" s="1280"/>
      <c r="ET4" s="1280"/>
      <c r="EU4" s="1280"/>
      <c r="EV4" s="1280"/>
      <c r="EW4" s="1280"/>
      <c r="EX4" s="1280"/>
      <c r="EY4" s="1280"/>
      <c r="EZ4" s="1280"/>
      <c r="FA4" s="1280"/>
      <c r="FB4" s="1280"/>
      <c r="FC4" s="1280"/>
      <c r="FD4" s="1280"/>
      <c r="FE4" s="1280"/>
      <c r="FF4" s="1280"/>
      <c r="FG4" s="1280"/>
      <c r="FH4" s="1280"/>
      <c r="FI4" s="1280"/>
      <c r="FJ4" s="1280"/>
      <c r="FK4" s="1280"/>
      <c r="FL4" s="1280"/>
      <c r="FM4" s="1280"/>
      <c r="FN4" s="1280"/>
      <c r="FO4" s="1280"/>
      <c r="FP4" s="1280"/>
      <c r="FQ4" s="1280"/>
      <c r="FR4" s="1280"/>
      <c r="FS4" s="1280"/>
      <c r="FT4" s="1280"/>
      <c r="FU4" s="1280"/>
      <c r="FV4" s="1280"/>
      <c r="FW4" s="1280"/>
      <c r="FX4" s="1280"/>
      <c r="FY4" s="1280"/>
      <c r="FZ4" s="1280"/>
      <c r="GA4" s="1280"/>
      <c r="GB4" s="1280"/>
      <c r="GC4" s="1280"/>
      <c r="GD4" s="1280"/>
      <c r="GE4" s="1280"/>
      <c r="GF4" s="1280"/>
      <c r="GG4" s="1280"/>
      <c r="GH4" s="1280"/>
      <c r="GI4" s="1280"/>
      <c r="GJ4" s="1280"/>
      <c r="GK4" s="1280"/>
      <c r="GL4" s="1280"/>
      <c r="GM4" s="1280"/>
      <c r="GN4" s="1280"/>
      <c r="GO4" s="1280"/>
      <c r="GP4" s="1280"/>
      <c r="GQ4" s="1280"/>
      <c r="GR4" s="1280"/>
      <c r="GS4" s="1280"/>
      <c r="GT4" s="1280"/>
      <c r="GU4" s="1280"/>
      <c r="GV4" s="1280"/>
      <c r="GW4" s="1280"/>
      <c r="GX4" s="1280"/>
      <c r="GY4" s="1280"/>
      <c r="GZ4" s="1280"/>
      <c r="HA4" s="1280"/>
      <c r="HB4" s="1280"/>
      <c r="HC4" s="1280"/>
      <c r="HD4" s="1280"/>
      <c r="HE4" s="1280"/>
      <c r="HF4" s="1280"/>
      <c r="HG4" s="1280"/>
      <c r="HH4" s="1280"/>
      <c r="HI4" s="1280"/>
      <c r="HJ4" s="1280"/>
      <c r="HK4" s="1280"/>
      <c r="HL4" s="1280"/>
      <c r="HM4" s="1280"/>
      <c r="HN4" s="1280"/>
      <c r="HO4" s="1280"/>
      <c r="HP4" s="1280"/>
      <c r="HQ4" s="1280"/>
      <c r="HR4" s="1280"/>
      <c r="HS4" s="1280"/>
      <c r="HT4" s="1280"/>
      <c r="HU4" s="1280"/>
      <c r="HV4" s="1280"/>
      <c r="HW4" s="1280"/>
      <c r="HX4" s="1280"/>
      <c r="HY4" s="1280"/>
      <c r="HZ4" s="1280"/>
      <c r="IA4" s="1281"/>
      <c r="IB4" s="1282" t="s">
        <v>1150</v>
      </c>
      <c r="IC4" s="1283"/>
      <c r="ID4" s="1283"/>
      <c r="IE4" s="1283"/>
      <c r="IF4" s="1283"/>
      <c r="IG4" s="1283"/>
      <c r="IH4" s="1283"/>
      <c r="II4" s="1283"/>
      <c r="IJ4" s="1283"/>
      <c r="IK4" s="1283"/>
      <c r="IL4" s="1283"/>
      <c r="IM4" s="1283"/>
      <c r="IN4" s="1283"/>
      <c r="IO4" s="1283"/>
      <c r="IP4" s="1283"/>
      <c r="IQ4" s="1283"/>
      <c r="IR4" s="1283"/>
      <c r="IS4" s="1283"/>
      <c r="IT4" s="1283"/>
      <c r="IU4" s="1283"/>
      <c r="IV4" s="1283"/>
      <c r="IW4" s="1283"/>
      <c r="IX4" s="1283"/>
      <c r="IY4" s="1283"/>
      <c r="IZ4" s="1283"/>
      <c r="JA4" s="1283"/>
      <c r="JB4" s="1283"/>
      <c r="JC4" s="1283"/>
      <c r="JD4" s="1283"/>
      <c r="JE4" s="1283"/>
      <c r="JF4" s="1283"/>
      <c r="JG4" s="1283"/>
      <c r="JH4" s="1283"/>
      <c r="JI4" s="1283"/>
      <c r="JJ4" s="1283"/>
      <c r="JK4" s="1283"/>
      <c r="JL4" s="1283"/>
      <c r="JM4" s="1283"/>
      <c r="JN4" s="1283"/>
      <c r="JO4" s="1283"/>
      <c r="JP4" s="1283"/>
      <c r="JQ4" s="1283"/>
      <c r="JR4" s="1283"/>
      <c r="JS4" s="1283"/>
      <c r="JT4" s="1283"/>
      <c r="JU4" s="1284"/>
      <c r="JV4" s="1288" t="s">
        <v>1151</v>
      </c>
      <c r="JW4" s="1289"/>
      <c r="JX4" s="1289"/>
      <c r="JY4" s="1289"/>
      <c r="JZ4" s="1289"/>
      <c r="KA4" s="1289"/>
      <c r="KB4" s="1289"/>
      <c r="KC4" s="1289"/>
      <c r="KD4" s="1289"/>
      <c r="KE4" s="1289"/>
      <c r="KF4" s="1289"/>
      <c r="KG4" s="1289"/>
      <c r="KH4" s="1289"/>
      <c r="KI4" s="1289"/>
      <c r="KJ4" s="1289"/>
      <c r="KK4" s="1289"/>
      <c r="KL4" s="1289"/>
      <c r="KM4" s="1289"/>
      <c r="KN4" s="1289"/>
      <c r="KO4" s="1289"/>
      <c r="KP4" s="1289"/>
      <c r="KQ4" s="1289"/>
      <c r="KR4" s="1289"/>
      <c r="KS4" s="1289"/>
      <c r="KT4" s="1289"/>
      <c r="KU4" s="1289"/>
      <c r="KV4" s="1289"/>
      <c r="KW4" s="1289"/>
      <c r="KX4" s="1289"/>
      <c r="KY4" s="1289"/>
      <c r="KZ4" s="1289"/>
      <c r="LA4" s="1289"/>
      <c r="LB4" s="1289"/>
      <c r="LC4" s="1289"/>
      <c r="LD4" s="1289"/>
      <c r="LE4" s="1289"/>
      <c r="LF4" s="1289"/>
      <c r="LG4" s="1289"/>
      <c r="LH4" s="1289"/>
      <c r="LI4" s="1289"/>
      <c r="LJ4" s="1289"/>
      <c r="LK4" s="1289"/>
      <c r="LL4" s="1289"/>
      <c r="LM4" s="1289"/>
      <c r="LN4" s="1289"/>
      <c r="LO4" s="1290"/>
      <c r="LP4" s="1268" t="s">
        <v>1152</v>
      </c>
      <c r="LQ4" s="1269"/>
      <c r="LR4" s="1269"/>
      <c r="LS4" s="1269"/>
      <c r="LT4" s="1269"/>
      <c r="LU4" s="1269"/>
      <c r="LV4" s="1269"/>
      <c r="LW4" s="1269"/>
      <c r="LX4" s="1269"/>
      <c r="LY4" s="1269"/>
      <c r="LZ4" s="1269"/>
      <c r="MA4" s="1269"/>
      <c r="MB4" s="1269"/>
      <c r="MC4" s="1269"/>
      <c r="MD4" s="1269"/>
      <c r="ME4" s="1269"/>
      <c r="MF4" s="1269"/>
      <c r="MG4" s="1269"/>
      <c r="MH4" s="1269"/>
      <c r="MI4" s="1269"/>
      <c r="MJ4" s="1269"/>
      <c r="MK4" s="1269"/>
      <c r="ML4" s="1269"/>
      <c r="MM4" s="1269"/>
      <c r="MN4" s="1269"/>
      <c r="MO4" s="1269"/>
      <c r="MP4" s="1269"/>
      <c r="MQ4" s="1269"/>
      <c r="MR4" s="1269"/>
      <c r="MS4" s="1269"/>
      <c r="MT4" s="1269"/>
      <c r="MU4" s="1269"/>
      <c r="MV4" s="1269"/>
      <c r="MW4" s="1269"/>
      <c r="MX4" s="1269"/>
      <c r="MY4" s="1269"/>
      <c r="MZ4" s="1269"/>
      <c r="NA4" s="1269"/>
      <c r="NB4" s="1269"/>
      <c r="NC4" s="1269"/>
      <c r="ND4" s="1269"/>
      <c r="NE4" s="1269"/>
      <c r="NF4" s="1269"/>
      <c r="NG4" s="1269"/>
      <c r="NH4" s="1269"/>
      <c r="NI4" s="1270"/>
      <c r="NJ4" s="1294" t="s">
        <v>1153</v>
      </c>
      <c r="NK4" s="1295"/>
      <c r="NL4" s="1295"/>
      <c r="NM4" s="1295"/>
      <c r="NN4" s="1295"/>
      <c r="NO4" s="1295"/>
      <c r="NP4" s="1295"/>
      <c r="NQ4" s="1295"/>
      <c r="NR4" s="1295"/>
      <c r="NS4" s="1295"/>
      <c r="NT4" s="1295"/>
      <c r="NU4" s="1295"/>
      <c r="NV4" s="1295"/>
      <c r="NW4" s="1295"/>
      <c r="NX4" s="1295"/>
      <c r="NY4" s="1295"/>
      <c r="NZ4" s="1295"/>
      <c r="OA4" s="1295"/>
      <c r="OB4" s="1295"/>
      <c r="OC4" s="1295"/>
      <c r="OD4" s="1295"/>
      <c r="OE4" s="1295"/>
      <c r="OF4" s="1295"/>
      <c r="OG4" s="1295"/>
      <c r="OH4" s="1295"/>
      <c r="OI4" s="1295"/>
      <c r="OJ4" s="1295"/>
      <c r="OK4" s="1295"/>
      <c r="OL4" s="1295"/>
      <c r="OM4" s="1295"/>
      <c r="ON4" s="1295"/>
      <c r="OO4" s="1295"/>
      <c r="OP4" s="1295"/>
      <c r="OQ4" s="1295"/>
      <c r="OR4" s="1295"/>
      <c r="OS4" s="1295"/>
      <c r="OT4" s="1295"/>
      <c r="OU4" s="1295"/>
      <c r="OV4" s="1295"/>
      <c r="OW4" s="1295"/>
      <c r="OX4" s="1296"/>
      <c r="OY4" s="1252" t="s">
        <v>1154</v>
      </c>
      <c r="OZ4" s="1253"/>
      <c r="PA4" s="1253"/>
      <c r="PB4" s="1253"/>
      <c r="PC4" s="1253"/>
      <c r="PD4" s="1253"/>
      <c r="PE4" s="1253"/>
      <c r="PF4" s="1253"/>
      <c r="PG4" s="1253"/>
      <c r="PH4" s="1253"/>
      <c r="PI4" s="1253"/>
      <c r="PJ4" s="1253"/>
      <c r="PK4" s="1253"/>
      <c r="PL4" s="1253"/>
      <c r="PM4" s="1253"/>
      <c r="PN4" s="1253"/>
      <c r="PO4" s="1253"/>
      <c r="PP4" s="1253"/>
      <c r="PQ4" s="1253"/>
      <c r="PR4" s="1253"/>
      <c r="PS4" s="1253"/>
      <c r="PT4" s="1253"/>
      <c r="PU4" s="1253"/>
      <c r="PV4" s="1253"/>
      <c r="PW4" s="1253"/>
      <c r="PX4" s="1253"/>
      <c r="PY4" s="1253"/>
      <c r="PZ4" s="1253"/>
      <c r="QA4" s="1253"/>
      <c r="QB4" s="1253"/>
      <c r="QC4" s="1253"/>
      <c r="QD4" s="1253"/>
      <c r="QE4" s="1253"/>
      <c r="QF4" s="1253"/>
      <c r="QG4" s="1253"/>
      <c r="QH4" s="1253"/>
      <c r="QI4" s="1253"/>
      <c r="QJ4" s="1253"/>
      <c r="QK4" s="1253"/>
      <c r="QL4" s="1253"/>
      <c r="QM4" s="1253"/>
      <c r="QN4" s="1253"/>
      <c r="QO4" s="1253"/>
      <c r="QP4" s="1253"/>
      <c r="QQ4" s="1253"/>
      <c r="QR4" s="1253"/>
      <c r="QS4" s="1253"/>
      <c r="QT4" s="1253"/>
      <c r="QU4" s="166"/>
    </row>
    <row r="5" spans="1:465" s="51" customFormat="1">
      <c r="A5" s="1303"/>
      <c r="B5" s="588" t="s">
        <v>304</v>
      </c>
      <c r="C5" s="589"/>
      <c r="D5" s="589"/>
      <c r="E5" s="589"/>
      <c r="F5" s="1256" t="s">
        <v>1155</v>
      </c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7"/>
      <c r="AZ5" s="1258" t="s">
        <v>305</v>
      </c>
      <c r="BA5" s="1259"/>
      <c r="BB5" s="1259"/>
      <c r="BC5" s="1259"/>
      <c r="BD5" s="1259"/>
      <c r="BE5" s="1259"/>
      <c r="BF5" s="1259"/>
      <c r="BG5" s="1259"/>
      <c r="BH5" s="1259"/>
      <c r="BI5" s="1259"/>
      <c r="BJ5" s="1259"/>
      <c r="BK5" s="1259"/>
      <c r="BL5" s="1259"/>
      <c r="BM5" s="1259"/>
      <c r="BN5" s="1259"/>
      <c r="BO5" s="1259"/>
      <c r="BP5" s="1259"/>
      <c r="BQ5" s="1259"/>
      <c r="BR5" s="1259"/>
      <c r="BS5" s="1259"/>
      <c r="BT5" s="1259"/>
      <c r="BU5" s="1259"/>
      <c r="BV5" s="1259"/>
      <c r="BW5" s="1259"/>
      <c r="BX5" s="1259"/>
      <c r="BY5" s="1259"/>
      <c r="BZ5" s="1259"/>
      <c r="CA5" s="1259"/>
      <c r="CB5" s="1259"/>
      <c r="CC5" s="1259"/>
      <c r="CD5" s="1259"/>
      <c r="CE5" s="1259"/>
      <c r="CF5" s="1259"/>
      <c r="CG5" s="1259"/>
      <c r="CH5" s="1259"/>
      <c r="CI5" s="1259"/>
      <c r="CJ5" s="1259"/>
      <c r="CK5" s="1259"/>
      <c r="CL5" s="1259"/>
      <c r="CM5" s="1259"/>
      <c r="CN5" s="1259"/>
      <c r="CO5" s="1259"/>
      <c r="CP5" s="1259"/>
      <c r="CQ5" s="1259"/>
      <c r="CR5" s="1259"/>
      <c r="CS5" s="1260"/>
      <c r="CT5" s="1261" t="s">
        <v>1156</v>
      </c>
      <c r="CU5" s="1262"/>
      <c r="CV5" s="1262"/>
      <c r="CW5" s="1262"/>
      <c r="CX5" s="1262"/>
      <c r="CY5" s="1262"/>
      <c r="CZ5" s="1262"/>
      <c r="DA5" s="1262"/>
      <c r="DB5" s="1262"/>
      <c r="DC5" s="1262"/>
      <c r="DD5" s="1262"/>
      <c r="DE5" s="1262"/>
      <c r="DF5" s="1262"/>
      <c r="DG5" s="1262"/>
      <c r="DH5" s="1262"/>
      <c r="DI5" s="1262"/>
      <c r="DJ5" s="1262"/>
      <c r="DK5" s="1262"/>
      <c r="DL5" s="1262"/>
      <c r="DM5" s="1262"/>
      <c r="DN5" s="1262"/>
      <c r="DO5" s="1262"/>
      <c r="DP5" s="1262"/>
      <c r="DQ5" s="1262"/>
      <c r="DR5" s="1262"/>
      <c r="DS5" s="1262"/>
      <c r="DT5" s="1262"/>
      <c r="DU5" s="1262"/>
      <c r="DV5" s="1262"/>
      <c r="DW5" s="1262"/>
      <c r="DX5" s="1262"/>
      <c r="DY5" s="1262"/>
      <c r="DZ5" s="1262"/>
      <c r="EA5" s="1262"/>
      <c r="EB5" s="1262"/>
      <c r="EC5" s="1262"/>
      <c r="ED5" s="1262"/>
      <c r="EE5" s="1262"/>
      <c r="EF5" s="1262"/>
      <c r="EG5" s="1262"/>
      <c r="EH5" s="1262"/>
      <c r="EI5" s="1262"/>
      <c r="EJ5" s="1262"/>
      <c r="EK5" s="1262"/>
      <c r="EL5" s="1262"/>
      <c r="EM5" s="1263"/>
      <c r="EN5" s="1300" t="s">
        <v>1155</v>
      </c>
      <c r="EO5" s="1301"/>
      <c r="EP5" s="1301"/>
      <c r="EQ5" s="1301"/>
      <c r="ER5" s="1301"/>
      <c r="ES5" s="1301"/>
      <c r="ET5" s="1301"/>
      <c r="EU5" s="1301"/>
      <c r="EV5" s="1301"/>
      <c r="EW5" s="1301"/>
      <c r="EX5" s="1301"/>
      <c r="EY5" s="1301"/>
      <c r="EZ5" s="1301"/>
      <c r="FA5" s="1301"/>
      <c r="FB5" s="1301"/>
      <c r="FC5" s="1301"/>
      <c r="FD5" s="1301"/>
      <c r="FE5" s="1301"/>
      <c r="FF5" s="1301"/>
      <c r="FG5" s="1301"/>
      <c r="FH5" s="1301"/>
      <c r="FI5" s="1301"/>
      <c r="FJ5" s="1301"/>
      <c r="FK5" s="1301"/>
      <c r="FL5" s="1301"/>
      <c r="FM5" s="1301"/>
      <c r="FN5" s="1301"/>
      <c r="FO5" s="1301"/>
      <c r="FP5" s="1301"/>
      <c r="FQ5" s="1301"/>
      <c r="FR5" s="1301"/>
      <c r="FS5" s="1301"/>
      <c r="FT5" s="1301"/>
      <c r="FU5" s="1301"/>
      <c r="FV5" s="1301"/>
      <c r="FW5" s="1301"/>
      <c r="FX5" s="1301"/>
      <c r="FY5" s="1301"/>
      <c r="FZ5" s="1301"/>
      <c r="GA5" s="1301"/>
      <c r="GB5" s="1301"/>
      <c r="GC5" s="1301"/>
      <c r="GD5" s="1301"/>
      <c r="GE5" s="1301"/>
      <c r="GF5" s="1301"/>
      <c r="GG5" s="1302"/>
      <c r="GH5" s="1265" t="s">
        <v>305</v>
      </c>
      <c r="GI5" s="1266"/>
      <c r="GJ5" s="1266"/>
      <c r="GK5" s="1266"/>
      <c r="GL5" s="1266"/>
      <c r="GM5" s="1266"/>
      <c r="GN5" s="1266"/>
      <c r="GO5" s="1266"/>
      <c r="GP5" s="1266"/>
      <c r="GQ5" s="1266"/>
      <c r="GR5" s="1266"/>
      <c r="GS5" s="1266"/>
      <c r="GT5" s="1266"/>
      <c r="GU5" s="1266"/>
      <c r="GV5" s="1266"/>
      <c r="GW5" s="1266"/>
      <c r="GX5" s="1266"/>
      <c r="GY5" s="1266"/>
      <c r="GZ5" s="1266"/>
      <c r="HA5" s="1266"/>
      <c r="HB5" s="1266"/>
      <c r="HC5" s="1266"/>
      <c r="HD5" s="1266"/>
      <c r="HE5" s="1266"/>
      <c r="HF5" s="1266"/>
      <c r="HG5" s="1266"/>
      <c r="HH5" s="1266"/>
      <c r="HI5" s="1266"/>
      <c r="HJ5" s="1266"/>
      <c r="HK5" s="1266"/>
      <c r="HL5" s="1266"/>
      <c r="HM5" s="1266"/>
      <c r="HN5" s="1266"/>
      <c r="HO5" s="1266"/>
      <c r="HP5" s="1266"/>
      <c r="HQ5" s="1266"/>
      <c r="HR5" s="1266"/>
      <c r="HS5" s="1266"/>
      <c r="HT5" s="1266"/>
      <c r="HU5" s="1266"/>
      <c r="HV5" s="1266"/>
      <c r="HW5" s="1266"/>
      <c r="HX5" s="1266"/>
      <c r="HY5" s="1266"/>
      <c r="HZ5" s="1266"/>
      <c r="IA5" s="1267"/>
      <c r="IB5" s="1285"/>
      <c r="IC5" s="1286"/>
      <c r="ID5" s="1286"/>
      <c r="IE5" s="1286"/>
      <c r="IF5" s="1286"/>
      <c r="IG5" s="1286"/>
      <c r="IH5" s="1286"/>
      <c r="II5" s="1286"/>
      <c r="IJ5" s="1286"/>
      <c r="IK5" s="1286"/>
      <c r="IL5" s="1286"/>
      <c r="IM5" s="1286"/>
      <c r="IN5" s="1286"/>
      <c r="IO5" s="1286"/>
      <c r="IP5" s="1286"/>
      <c r="IQ5" s="1286"/>
      <c r="IR5" s="1286"/>
      <c r="IS5" s="1286"/>
      <c r="IT5" s="1286"/>
      <c r="IU5" s="1286"/>
      <c r="IV5" s="1286"/>
      <c r="IW5" s="1286"/>
      <c r="IX5" s="1286"/>
      <c r="IY5" s="1286"/>
      <c r="IZ5" s="1286"/>
      <c r="JA5" s="1286"/>
      <c r="JB5" s="1286"/>
      <c r="JC5" s="1286"/>
      <c r="JD5" s="1286"/>
      <c r="JE5" s="1286"/>
      <c r="JF5" s="1286"/>
      <c r="JG5" s="1286"/>
      <c r="JH5" s="1286"/>
      <c r="JI5" s="1286"/>
      <c r="JJ5" s="1286"/>
      <c r="JK5" s="1286"/>
      <c r="JL5" s="1286"/>
      <c r="JM5" s="1286"/>
      <c r="JN5" s="1286"/>
      <c r="JO5" s="1286"/>
      <c r="JP5" s="1286"/>
      <c r="JQ5" s="1286"/>
      <c r="JR5" s="1286"/>
      <c r="JS5" s="1286"/>
      <c r="JT5" s="1286"/>
      <c r="JU5" s="1287"/>
      <c r="JV5" s="1291"/>
      <c r="JW5" s="1292"/>
      <c r="JX5" s="1292"/>
      <c r="JY5" s="1292"/>
      <c r="JZ5" s="1292"/>
      <c r="KA5" s="1292"/>
      <c r="KB5" s="1292"/>
      <c r="KC5" s="1292"/>
      <c r="KD5" s="1292"/>
      <c r="KE5" s="1292"/>
      <c r="KF5" s="1292"/>
      <c r="KG5" s="1292"/>
      <c r="KH5" s="1292"/>
      <c r="KI5" s="1292"/>
      <c r="KJ5" s="1292"/>
      <c r="KK5" s="1292"/>
      <c r="KL5" s="1292"/>
      <c r="KM5" s="1292"/>
      <c r="KN5" s="1292"/>
      <c r="KO5" s="1292"/>
      <c r="KP5" s="1292"/>
      <c r="KQ5" s="1292"/>
      <c r="KR5" s="1292"/>
      <c r="KS5" s="1292"/>
      <c r="KT5" s="1292"/>
      <c r="KU5" s="1292"/>
      <c r="KV5" s="1292"/>
      <c r="KW5" s="1292"/>
      <c r="KX5" s="1292"/>
      <c r="KY5" s="1292"/>
      <c r="KZ5" s="1292"/>
      <c r="LA5" s="1292"/>
      <c r="LB5" s="1292"/>
      <c r="LC5" s="1292"/>
      <c r="LD5" s="1292"/>
      <c r="LE5" s="1292"/>
      <c r="LF5" s="1292"/>
      <c r="LG5" s="1292"/>
      <c r="LH5" s="1292"/>
      <c r="LI5" s="1292"/>
      <c r="LJ5" s="1292"/>
      <c r="LK5" s="1292"/>
      <c r="LL5" s="1292"/>
      <c r="LM5" s="1292"/>
      <c r="LN5" s="1292"/>
      <c r="LO5" s="1293"/>
      <c r="LP5" s="1271"/>
      <c r="LQ5" s="1272"/>
      <c r="LR5" s="1272"/>
      <c r="LS5" s="1272"/>
      <c r="LT5" s="1272"/>
      <c r="LU5" s="1272"/>
      <c r="LV5" s="1272"/>
      <c r="LW5" s="1272"/>
      <c r="LX5" s="1272"/>
      <c r="LY5" s="1272"/>
      <c r="LZ5" s="1272"/>
      <c r="MA5" s="1272"/>
      <c r="MB5" s="1272"/>
      <c r="MC5" s="1272"/>
      <c r="MD5" s="1272"/>
      <c r="ME5" s="1272"/>
      <c r="MF5" s="1272"/>
      <c r="MG5" s="1272"/>
      <c r="MH5" s="1272"/>
      <c r="MI5" s="1272"/>
      <c r="MJ5" s="1272"/>
      <c r="MK5" s="1272"/>
      <c r="ML5" s="1272"/>
      <c r="MM5" s="1272"/>
      <c r="MN5" s="1272"/>
      <c r="MO5" s="1272"/>
      <c r="MP5" s="1272"/>
      <c r="MQ5" s="1272"/>
      <c r="MR5" s="1272"/>
      <c r="MS5" s="1272"/>
      <c r="MT5" s="1272"/>
      <c r="MU5" s="1272"/>
      <c r="MV5" s="1272"/>
      <c r="MW5" s="1272"/>
      <c r="MX5" s="1272"/>
      <c r="MY5" s="1272"/>
      <c r="MZ5" s="1272"/>
      <c r="NA5" s="1272"/>
      <c r="NB5" s="1272"/>
      <c r="NC5" s="1272"/>
      <c r="ND5" s="1272"/>
      <c r="NE5" s="1272"/>
      <c r="NF5" s="1272"/>
      <c r="NG5" s="1272"/>
      <c r="NH5" s="1272"/>
      <c r="NI5" s="1273"/>
      <c r="NJ5" s="1249"/>
      <c r="NK5" s="1250"/>
      <c r="NL5" s="1250"/>
      <c r="NM5" s="1250"/>
      <c r="NN5" s="1250"/>
      <c r="NO5" s="1250"/>
      <c r="NP5" s="1250"/>
      <c r="NQ5" s="1250"/>
      <c r="NR5" s="1250"/>
      <c r="NS5" s="1250"/>
      <c r="NT5" s="1250"/>
      <c r="NU5" s="1250"/>
      <c r="NV5" s="1250"/>
      <c r="NW5" s="1250"/>
      <c r="NX5" s="1250"/>
      <c r="NY5" s="1250"/>
      <c r="NZ5" s="1250"/>
      <c r="OA5" s="1250"/>
      <c r="OB5" s="1250"/>
      <c r="OC5" s="1250"/>
      <c r="OD5" s="1250"/>
      <c r="OE5" s="1250"/>
      <c r="OF5" s="1250"/>
      <c r="OG5" s="1250"/>
      <c r="OH5" s="1250"/>
      <c r="OI5" s="1250"/>
      <c r="OJ5" s="1250"/>
      <c r="OK5" s="1250"/>
      <c r="OL5" s="1250"/>
      <c r="OM5" s="1250"/>
      <c r="ON5" s="1250"/>
      <c r="OO5" s="1250"/>
      <c r="OP5" s="1250"/>
      <c r="OQ5" s="1250"/>
      <c r="OR5" s="1250"/>
      <c r="OS5" s="1250"/>
      <c r="OT5" s="1250"/>
      <c r="OU5" s="1250"/>
      <c r="OV5" s="1250"/>
      <c r="OW5" s="1250"/>
      <c r="OX5" s="1251"/>
      <c r="OY5" s="1252"/>
      <c r="OZ5" s="1253"/>
      <c r="PA5" s="1253"/>
      <c r="PB5" s="1253"/>
      <c r="PC5" s="1253"/>
      <c r="PD5" s="1253"/>
      <c r="PE5" s="1253"/>
      <c r="PF5" s="1253"/>
      <c r="PG5" s="1253"/>
      <c r="PH5" s="1253"/>
      <c r="PI5" s="1253"/>
      <c r="PJ5" s="1253"/>
      <c r="PK5" s="1253"/>
      <c r="PL5" s="1253"/>
      <c r="PM5" s="1253"/>
      <c r="PN5" s="1253"/>
      <c r="PO5" s="1253"/>
      <c r="PP5" s="1253"/>
      <c r="PQ5" s="1253"/>
      <c r="PR5" s="1253"/>
      <c r="PS5" s="1253"/>
      <c r="PT5" s="1253"/>
      <c r="PU5" s="1253"/>
      <c r="PV5" s="1253"/>
      <c r="PW5" s="1253"/>
      <c r="PX5" s="1253"/>
      <c r="PY5" s="1253"/>
      <c r="PZ5" s="1253"/>
      <c r="QA5" s="1253"/>
      <c r="QB5" s="1253"/>
      <c r="QC5" s="1253"/>
      <c r="QD5" s="1253"/>
      <c r="QE5" s="1253"/>
      <c r="QF5" s="1253"/>
      <c r="QG5" s="1253"/>
      <c r="QH5" s="1253"/>
      <c r="QI5" s="1253"/>
      <c r="QJ5" s="1253"/>
      <c r="QK5" s="1253"/>
      <c r="QL5" s="1253"/>
      <c r="QM5" s="1253"/>
      <c r="QN5" s="1253"/>
      <c r="QO5" s="1253"/>
      <c r="QP5" s="1253"/>
      <c r="QQ5" s="1253"/>
      <c r="QR5" s="1253"/>
      <c r="QS5" s="1253"/>
      <c r="QT5" s="1253"/>
      <c r="QU5" s="166"/>
    </row>
    <row r="6" spans="1:465" s="601" customFormat="1" ht="44.25" customHeight="1">
      <c r="A6" s="1303"/>
      <c r="B6" s="597">
        <v>44105</v>
      </c>
      <c r="C6" s="597">
        <v>44136</v>
      </c>
      <c r="D6" s="597">
        <v>44166</v>
      </c>
      <c r="E6" s="597" t="s">
        <v>1157</v>
      </c>
      <c r="F6" s="598" t="s">
        <v>1158</v>
      </c>
      <c r="G6" s="598" t="s">
        <v>1159</v>
      </c>
      <c r="H6" s="598" t="s">
        <v>1160</v>
      </c>
      <c r="I6" s="598" t="s">
        <v>1161</v>
      </c>
      <c r="J6" s="598" t="s">
        <v>1162</v>
      </c>
      <c r="K6" s="598" t="s">
        <v>1163</v>
      </c>
      <c r="L6" s="598" t="s">
        <v>1164</v>
      </c>
      <c r="M6" s="598" t="s">
        <v>1165</v>
      </c>
      <c r="N6" s="598" t="s">
        <v>1166</v>
      </c>
      <c r="O6" s="598" t="s">
        <v>1167</v>
      </c>
      <c r="P6" s="598" t="s">
        <v>1168</v>
      </c>
      <c r="Q6" s="598" t="s">
        <v>1169</v>
      </c>
      <c r="R6" s="598" t="s">
        <v>1170</v>
      </c>
      <c r="S6" s="598" t="s">
        <v>1171</v>
      </c>
      <c r="T6" s="598" t="s">
        <v>1172</v>
      </c>
      <c r="U6" s="598" t="s">
        <v>1173</v>
      </c>
      <c r="V6" s="598" t="s">
        <v>1174</v>
      </c>
      <c r="W6" s="606" t="s">
        <v>1175</v>
      </c>
      <c r="X6" s="598" t="s">
        <v>1176</v>
      </c>
      <c r="Y6" s="598" t="s">
        <v>1177</v>
      </c>
      <c r="Z6" s="606" t="s">
        <v>1178</v>
      </c>
      <c r="AA6" s="598" t="s">
        <v>1179</v>
      </c>
      <c r="AB6" s="598" t="s">
        <v>1180</v>
      </c>
      <c r="AC6" s="606" t="s">
        <v>1181</v>
      </c>
      <c r="AD6" s="598" t="s">
        <v>1182</v>
      </c>
      <c r="AE6" s="598" t="s">
        <v>1183</v>
      </c>
      <c r="AF6" s="606" t="s">
        <v>1184</v>
      </c>
      <c r="AG6" s="599" t="s">
        <v>1185</v>
      </c>
      <c r="AH6" s="599" t="s">
        <v>1186</v>
      </c>
      <c r="AI6" s="599" t="s">
        <v>1187</v>
      </c>
      <c r="AJ6" s="599" t="s">
        <v>1188</v>
      </c>
      <c r="AK6" s="600" t="s">
        <v>1189</v>
      </c>
      <c r="AL6" s="606" t="s">
        <v>1190</v>
      </c>
      <c r="AM6" s="929" t="s">
        <v>1191</v>
      </c>
      <c r="AN6" s="929" t="s">
        <v>1192</v>
      </c>
      <c r="AO6" s="929" t="s">
        <v>1193</v>
      </c>
      <c r="AP6" s="929" t="s">
        <v>1194</v>
      </c>
      <c r="AQ6" s="929" t="s">
        <v>1195</v>
      </c>
      <c r="AR6" s="929" t="s">
        <v>1196</v>
      </c>
      <c r="AS6" s="929" t="s">
        <v>1197</v>
      </c>
      <c r="AT6" s="929" t="s">
        <v>1198</v>
      </c>
      <c r="AU6" s="929" t="s">
        <v>1199</v>
      </c>
      <c r="AV6" s="929" t="s">
        <v>1200</v>
      </c>
      <c r="AW6" s="929" t="s">
        <v>1201</v>
      </c>
      <c r="AX6" s="929" t="s">
        <v>1202</v>
      </c>
      <c r="AY6" s="929" t="s">
        <v>1203</v>
      </c>
      <c r="AZ6" s="598" t="s">
        <v>1158</v>
      </c>
      <c r="BA6" s="598" t="s">
        <v>1159</v>
      </c>
      <c r="BB6" s="598" t="s">
        <v>1160</v>
      </c>
      <c r="BC6" s="598" t="s">
        <v>1161</v>
      </c>
      <c r="BD6" s="598" t="s">
        <v>1162</v>
      </c>
      <c r="BE6" s="598" t="s">
        <v>1163</v>
      </c>
      <c r="BF6" s="598" t="s">
        <v>1164</v>
      </c>
      <c r="BG6" s="598" t="s">
        <v>1165</v>
      </c>
      <c r="BH6" s="598" t="s">
        <v>1166</v>
      </c>
      <c r="BI6" s="598" t="s">
        <v>1167</v>
      </c>
      <c r="BJ6" s="598" t="s">
        <v>1168</v>
      </c>
      <c r="BK6" s="598" t="s">
        <v>1169</v>
      </c>
      <c r="BL6" s="598" t="s">
        <v>1170</v>
      </c>
      <c r="BM6" s="598" t="s">
        <v>1171</v>
      </c>
      <c r="BN6" s="598" t="s">
        <v>1172</v>
      </c>
      <c r="BO6" s="598" t="s">
        <v>1173</v>
      </c>
      <c r="BP6" s="598" t="s">
        <v>1174</v>
      </c>
      <c r="BQ6" s="606" t="s">
        <v>1175</v>
      </c>
      <c r="BR6" s="598" t="s">
        <v>1176</v>
      </c>
      <c r="BS6" s="598" t="s">
        <v>1177</v>
      </c>
      <c r="BT6" s="606" t="s">
        <v>1178</v>
      </c>
      <c r="BU6" s="598" t="s">
        <v>1179</v>
      </c>
      <c r="BV6" s="598" t="s">
        <v>1180</v>
      </c>
      <c r="BW6" s="606" t="s">
        <v>1181</v>
      </c>
      <c r="BX6" s="598" t="s">
        <v>1182</v>
      </c>
      <c r="BY6" s="598" t="s">
        <v>1183</v>
      </c>
      <c r="BZ6" s="606" t="s">
        <v>1184</v>
      </c>
      <c r="CA6" s="599" t="s">
        <v>1185</v>
      </c>
      <c r="CB6" s="599" t="s">
        <v>1186</v>
      </c>
      <c r="CC6" s="599" t="s">
        <v>1187</v>
      </c>
      <c r="CD6" s="599" t="s">
        <v>1188</v>
      </c>
      <c r="CE6" s="600" t="s">
        <v>1189</v>
      </c>
      <c r="CF6" s="606" t="s">
        <v>1204</v>
      </c>
      <c r="CG6" s="929" t="s">
        <v>1191</v>
      </c>
      <c r="CH6" s="929" t="s">
        <v>1192</v>
      </c>
      <c r="CI6" s="929" t="s">
        <v>1193</v>
      </c>
      <c r="CJ6" s="929" t="s">
        <v>1194</v>
      </c>
      <c r="CK6" s="929" t="s">
        <v>1195</v>
      </c>
      <c r="CL6" s="929" t="s">
        <v>1196</v>
      </c>
      <c r="CM6" s="929" t="s">
        <v>1197</v>
      </c>
      <c r="CN6" s="929" t="s">
        <v>1198</v>
      </c>
      <c r="CO6" s="929" t="s">
        <v>1199</v>
      </c>
      <c r="CP6" s="929" t="s">
        <v>1200</v>
      </c>
      <c r="CQ6" s="929" t="s">
        <v>1201</v>
      </c>
      <c r="CR6" s="929" t="s">
        <v>1202</v>
      </c>
      <c r="CS6" s="929" t="s">
        <v>1203</v>
      </c>
      <c r="CT6" s="598" t="s">
        <v>1158</v>
      </c>
      <c r="CU6" s="598" t="s">
        <v>1159</v>
      </c>
      <c r="CV6" s="598" t="s">
        <v>1160</v>
      </c>
      <c r="CW6" s="598" t="s">
        <v>1161</v>
      </c>
      <c r="CX6" s="598" t="s">
        <v>1162</v>
      </c>
      <c r="CY6" s="598" t="s">
        <v>1163</v>
      </c>
      <c r="CZ6" s="598" t="s">
        <v>1164</v>
      </c>
      <c r="DA6" s="598" t="s">
        <v>1165</v>
      </c>
      <c r="DB6" s="598" t="s">
        <v>1166</v>
      </c>
      <c r="DC6" s="598" t="s">
        <v>1167</v>
      </c>
      <c r="DD6" s="598" t="s">
        <v>1168</v>
      </c>
      <c r="DE6" s="598" t="s">
        <v>1169</v>
      </c>
      <c r="DF6" s="598" t="s">
        <v>1170</v>
      </c>
      <c r="DG6" s="598" t="s">
        <v>1171</v>
      </c>
      <c r="DH6" s="598" t="s">
        <v>1172</v>
      </c>
      <c r="DI6" s="598" t="s">
        <v>1173</v>
      </c>
      <c r="DJ6" s="598" t="s">
        <v>1174</v>
      </c>
      <c r="DK6" s="606" t="s">
        <v>1175</v>
      </c>
      <c r="DL6" s="598" t="s">
        <v>1176</v>
      </c>
      <c r="DM6" s="598" t="s">
        <v>1177</v>
      </c>
      <c r="DN6" s="606" t="s">
        <v>1178</v>
      </c>
      <c r="DO6" s="598" t="s">
        <v>1179</v>
      </c>
      <c r="DP6" s="598" t="s">
        <v>1180</v>
      </c>
      <c r="DQ6" s="606" t="s">
        <v>1181</v>
      </c>
      <c r="DR6" s="598" t="s">
        <v>1182</v>
      </c>
      <c r="DS6" s="598" t="s">
        <v>1183</v>
      </c>
      <c r="DT6" s="606" t="s">
        <v>1184</v>
      </c>
      <c r="DU6" s="599" t="s">
        <v>1185</v>
      </c>
      <c r="DV6" s="599" t="s">
        <v>1186</v>
      </c>
      <c r="DW6" s="599" t="s">
        <v>1187</v>
      </c>
      <c r="DX6" s="599" t="s">
        <v>1188</v>
      </c>
      <c r="DY6" s="600" t="s">
        <v>1189</v>
      </c>
      <c r="DZ6" s="606" t="s">
        <v>1204</v>
      </c>
      <c r="EA6" s="929" t="s">
        <v>1191</v>
      </c>
      <c r="EB6" s="929" t="s">
        <v>1192</v>
      </c>
      <c r="EC6" s="929" t="s">
        <v>1193</v>
      </c>
      <c r="ED6" s="929" t="s">
        <v>1194</v>
      </c>
      <c r="EE6" s="929" t="s">
        <v>1195</v>
      </c>
      <c r="EF6" s="929" t="s">
        <v>1196</v>
      </c>
      <c r="EG6" s="929" t="s">
        <v>1197</v>
      </c>
      <c r="EH6" s="929" t="s">
        <v>1198</v>
      </c>
      <c r="EI6" s="929" t="s">
        <v>1199</v>
      </c>
      <c r="EJ6" s="929" t="s">
        <v>1200</v>
      </c>
      <c r="EK6" s="929" t="s">
        <v>1201</v>
      </c>
      <c r="EL6" s="929" t="s">
        <v>1202</v>
      </c>
      <c r="EM6" s="929" t="s">
        <v>1203</v>
      </c>
      <c r="EN6" s="598" t="s">
        <v>1158</v>
      </c>
      <c r="EO6" s="598" t="s">
        <v>1159</v>
      </c>
      <c r="EP6" s="598" t="s">
        <v>1160</v>
      </c>
      <c r="EQ6" s="598" t="s">
        <v>1161</v>
      </c>
      <c r="ER6" s="598" t="s">
        <v>1162</v>
      </c>
      <c r="ES6" s="598" t="s">
        <v>1163</v>
      </c>
      <c r="ET6" s="598" t="s">
        <v>1164</v>
      </c>
      <c r="EU6" s="598" t="s">
        <v>1165</v>
      </c>
      <c r="EV6" s="598" t="s">
        <v>1166</v>
      </c>
      <c r="EW6" s="598" t="s">
        <v>1167</v>
      </c>
      <c r="EX6" s="598" t="s">
        <v>1168</v>
      </c>
      <c r="EY6" s="598" t="s">
        <v>1169</v>
      </c>
      <c r="EZ6" s="598" t="s">
        <v>1170</v>
      </c>
      <c r="FA6" s="598" t="s">
        <v>1171</v>
      </c>
      <c r="FB6" s="598" t="s">
        <v>1172</v>
      </c>
      <c r="FC6" s="598" t="s">
        <v>1173</v>
      </c>
      <c r="FD6" s="598" t="s">
        <v>1174</v>
      </c>
      <c r="FE6" s="606" t="s">
        <v>1175</v>
      </c>
      <c r="FF6" s="598" t="s">
        <v>1176</v>
      </c>
      <c r="FG6" s="598" t="s">
        <v>1177</v>
      </c>
      <c r="FH6" s="606" t="s">
        <v>1178</v>
      </c>
      <c r="FI6" s="598" t="s">
        <v>1179</v>
      </c>
      <c r="FJ6" s="598" t="s">
        <v>1180</v>
      </c>
      <c r="FK6" s="606" t="s">
        <v>1181</v>
      </c>
      <c r="FL6" s="598" t="s">
        <v>1182</v>
      </c>
      <c r="FM6" s="598" t="s">
        <v>1183</v>
      </c>
      <c r="FN6" s="606" t="s">
        <v>1184</v>
      </c>
      <c r="FO6" s="599" t="s">
        <v>1185</v>
      </c>
      <c r="FP6" s="599" t="s">
        <v>1186</v>
      </c>
      <c r="FQ6" s="599" t="s">
        <v>1187</v>
      </c>
      <c r="FR6" s="599" t="s">
        <v>1188</v>
      </c>
      <c r="FS6" s="600" t="s">
        <v>1189</v>
      </c>
      <c r="FT6" s="606" t="s">
        <v>1204</v>
      </c>
      <c r="FU6" s="929" t="s">
        <v>1191</v>
      </c>
      <c r="FV6" s="929" t="s">
        <v>1192</v>
      </c>
      <c r="FW6" s="929" t="s">
        <v>1193</v>
      </c>
      <c r="FX6" s="929" t="s">
        <v>1194</v>
      </c>
      <c r="FY6" s="929" t="s">
        <v>1195</v>
      </c>
      <c r="FZ6" s="929" t="s">
        <v>1196</v>
      </c>
      <c r="GA6" s="929" t="s">
        <v>1197</v>
      </c>
      <c r="GB6" s="929" t="s">
        <v>1198</v>
      </c>
      <c r="GC6" s="929" t="s">
        <v>1199</v>
      </c>
      <c r="GD6" s="929" t="s">
        <v>1200</v>
      </c>
      <c r="GE6" s="929" t="s">
        <v>1201</v>
      </c>
      <c r="GF6" s="929" t="s">
        <v>1202</v>
      </c>
      <c r="GG6" s="929" t="s">
        <v>1203</v>
      </c>
      <c r="GH6" s="598" t="s">
        <v>1158</v>
      </c>
      <c r="GI6" s="598" t="s">
        <v>1159</v>
      </c>
      <c r="GJ6" s="598" t="s">
        <v>1160</v>
      </c>
      <c r="GK6" s="598" t="s">
        <v>1161</v>
      </c>
      <c r="GL6" s="598" t="s">
        <v>1162</v>
      </c>
      <c r="GM6" s="598" t="s">
        <v>1163</v>
      </c>
      <c r="GN6" s="598" t="s">
        <v>1164</v>
      </c>
      <c r="GO6" s="598" t="s">
        <v>1165</v>
      </c>
      <c r="GP6" s="598" t="s">
        <v>1166</v>
      </c>
      <c r="GQ6" s="598" t="s">
        <v>1167</v>
      </c>
      <c r="GR6" s="598" t="s">
        <v>1168</v>
      </c>
      <c r="GS6" s="598" t="s">
        <v>1169</v>
      </c>
      <c r="GT6" s="598" t="s">
        <v>1170</v>
      </c>
      <c r="GU6" s="598" t="s">
        <v>1171</v>
      </c>
      <c r="GV6" s="598" t="s">
        <v>1172</v>
      </c>
      <c r="GW6" s="598" t="s">
        <v>1173</v>
      </c>
      <c r="GX6" s="598" t="s">
        <v>1174</v>
      </c>
      <c r="GY6" s="606" t="s">
        <v>1175</v>
      </c>
      <c r="GZ6" s="598" t="s">
        <v>1176</v>
      </c>
      <c r="HA6" s="598" t="s">
        <v>1177</v>
      </c>
      <c r="HB6" s="606" t="s">
        <v>1178</v>
      </c>
      <c r="HC6" s="598" t="s">
        <v>1179</v>
      </c>
      <c r="HD6" s="598" t="s">
        <v>1180</v>
      </c>
      <c r="HE6" s="606" t="s">
        <v>1181</v>
      </c>
      <c r="HF6" s="598" t="s">
        <v>1182</v>
      </c>
      <c r="HG6" s="598" t="s">
        <v>1183</v>
      </c>
      <c r="HH6" s="606" t="s">
        <v>1184</v>
      </c>
      <c r="HI6" s="599" t="s">
        <v>1185</v>
      </c>
      <c r="HJ6" s="599" t="s">
        <v>1186</v>
      </c>
      <c r="HK6" s="599" t="s">
        <v>1187</v>
      </c>
      <c r="HL6" s="599" t="s">
        <v>1188</v>
      </c>
      <c r="HM6" s="600" t="s">
        <v>1189</v>
      </c>
      <c r="HN6" s="606" t="s">
        <v>1204</v>
      </c>
      <c r="HO6" s="929" t="s">
        <v>1191</v>
      </c>
      <c r="HP6" s="929" t="s">
        <v>1192</v>
      </c>
      <c r="HQ6" s="929" t="s">
        <v>1193</v>
      </c>
      <c r="HR6" s="929" t="s">
        <v>1194</v>
      </c>
      <c r="HS6" s="929" t="s">
        <v>1195</v>
      </c>
      <c r="HT6" s="929" t="s">
        <v>1196</v>
      </c>
      <c r="HU6" s="929" t="s">
        <v>1197</v>
      </c>
      <c r="HV6" s="929" t="s">
        <v>1198</v>
      </c>
      <c r="HW6" s="929" t="s">
        <v>1199</v>
      </c>
      <c r="HX6" s="929" t="s">
        <v>1200</v>
      </c>
      <c r="HY6" s="929" t="s">
        <v>1201</v>
      </c>
      <c r="HZ6" s="929" t="s">
        <v>1202</v>
      </c>
      <c r="IA6" s="929" t="s">
        <v>1203</v>
      </c>
      <c r="IB6" s="598" t="s">
        <v>1158</v>
      </c>
      <c r="IC6" s="598" t="s">
        <v>1159</v>
      </c>
      <c r="ID6" s="598" t="s">
        <v>1160</v>
      </c>
      <c r="IE6" s="598" t="s">
        <v>1161</v>
      </c>
      <c r="IF6" s="598" t="s">
        <v>1162</v>
      </c>
      <c r="IG6" s="598" t="s">
        <v>1163</v>
      </c>
      <c r="IH6" s="598" t="s">
        <v>1164</v>
      </c>
      <c r="II6" s="598" t="s">
        <v>1165</v>
      </c>
      <c r="IJ6" s="598" t="s">
        <v>1166</v>
      </c>
      <c r="IK6" s="598" t="s">
        <v>1167</v>
      </c>
      <c r="IL6" s="598" t="s">
        <v>1168</v>
      </c>
      <c r="IM6" s="598" t="s">
        <v>1169</v>
      </c>
      <c r="IN6" s="598" t="s">
        <v>1170</v>
      </c>
      <c r="IO6" s="598" t="s">
        <v>1171</v>
      </c>
      <c r="IP6" s="598" t="s">
        <v>1172</v>
      </c>
      <c r="IQ6" s="598" t="s">
        <v>1173</v>
      </c>
      <c r="IR6" s="598" t="s">
        <v>1174</v>
      </c>
      <c r="IS6" s="606" t="s">
        <v>1175</v>
      </c>
      <c r="IT6" s="598" t="s">
        <v>1176</v>
      </c>
      <c r="IU6" s="598" t="s">
        <v>1177</v>
      </c>
      <c r="IV6" s="606" t="s">
        <v>1178</v>
      </c>
      <c r="IW6" s="598" t="s">
        <v>1179</v>
      </c>
      <c r="IX6" s="598" t="s">
        <v>1180</v>
      </c>
      <c r="IY6" s="606" t="s">
        <v>1181</v>
      </c>
      <c r="IZ6" s="598" t="s">
        <v>1182</v>
      </c>
      <c r="JA6" s="598" t="s">
        <v>1183</v>
      </c>
      <c r="JB6" s="606" t="s">
        <v>1184</v>
      </c>
      <c r="JC6" s="599" t="s">
        <v>1185</v>
      </c>
      <c r="JD6" s="599" t="s">
        <v>1186</v>
      </c>
      <c r="JE6" s="599" t="s">
        <v>1187</v>
      </c>
      <c r="JF6" s="599" t="s">
        <v>1188</v>
      </c>
      <c r="JG6" s="600" t="s">
        <v>1189</v>
      </c>
      <c r="JH6" s="606" t="s">
        <v>1204</v>
      </c>
      <c r="JI6" s="929" t="s">
        <v>1191</v>
      </c>
      <c r="JJ6" s="929" t="s">
        <v>1192</v>
      </c>
      <c r="JK6" s="929" t="s">
        <v>1193</v>
      </c>
      <c r="JL6" s="929" t="s">
        <v>1194</v>
      </c>
      <c r="JM6" s="929" t="s">
        <v>1195</v>
      </c>
      <c r="JN6" s="929" t="s">
        <v>1196</v>
      </c>
      <c r="JO6" s="929" t="s">
        <v>1197</v>
      </c>
      <c r="JP6" s="929" t="s">
        <v>1198</v>
      </c>
      <c r="JQ6" s="929" t="s">
        <v>1199</v>
      </c>
      <c r="JR6" s="929" t="s">
        <v>1200</v>
      </c>
      <c r="JS6" s="929" t="s">
        <v>1201</v>
      </c>
      <c r="JT6" s="929" t="s">
        <v>1202</v>
      </c>
      <c r="JU6" s="929" t="s">
        <v>1203</v>
      </c>
      <c r="JV6" s="598" t="s">
        <v>1158</v>
      </c>
      <c r="JW6" s="598" t="s">
        <v>1159</v>
      </c>
      <c r="JX6" s="598" t="s">
        <v>1160</v>
      </c>
      <c r="JY6" s="598" t="s">
        <v>1161</v>
      </c>
      <c r="JZ6" s="598" t="s">
        <v>1162</v>
      </c>
      <c r="KA6" s="598" t="s">
        <v>1163</v>
      </c>
      <c r="KB6" s="598" t="s">
        <v>1164</v>
      </c>
      <c r="KC6" s="598" t="s">
        <v>1165</v>
      </c>
      <c r="KD6" s="598" t="s">
        <v>1166</v>
      </c>
      <c r="KE6" s="598" t="s">
        <v>1167</v>
      </c>
      <c r="KF6" s="598" t="s">
        <v>1168</v>
      </c>
      <c r="KG6" s="598" t="s">
        <v>1169</v>
      </c>
      <c r="KH6" s="598" t="s">
        <v>1170</v>
      </c>
      <c r="KI6" s="598" t="s">
        <v>1171</v>
      </c>
      <c r="KJ6" s="598" t="s">
        <v>1172</v>
      </c>
      <c r="KK6" s="598" t="s">
        <v>1173</v>
      </c>
      <c r="KL6" s="598" t="s">
        <v>1174</v>
      </c>
      <c r="KM6" s="606" t="s">
        <v>1175</v>
      </c>
      <c r="KN6" s="598" t="s">
        <v>1176</v>
      </c>
      <c r="KO6" s="598" t="s">
        <v>1177</v>
      </c>
      <c r="KP6" s="606" t="s">
        <v>1178</v>
      </c>
      <c r="KQ6" s="598" t="s">
        <v>1179</v>
      </c>
      <c r="KR6" s="598" t="s">
        <v>1180</v>
      </c>
      <c r="KS6" s="606" t="s">
        <v>1181</v>
      </c>
      <c r="KT6" s="598" t="s">
        <v>1182</v>
      </c>
      <c r="KU6" s="598" t="s">
        <v>1183</v>
      </c>
      <c r="KV6" s="606" t="s">
        <v>1184</v>
      </c>
      <c r="KW6" s="599" t="s">
        <v>1185</v>
      </c>
      <c r="KX6" s="599" t="s">
        <v>1186</v>
      </c>
      <c r="KY6" s="599" t="s">
        <v>1187</v>
      </c>
      <c r="KZ6" s="599" t="s">
        <v>1188</v>
      </c>
      <c r="LA6" s="600" t="s">
        <v>1189</v>
      </c>
      <c r="LB6" s="606" t="s">
        <v>1204</v>
      </c>
      <c r="LC6" s="929" t="s">
        <v>1191</v>
      </c>
      <c r="LD6" s="929" t="s">
        <v>1192</v>
      </c>
      <c r="LE6" s="929" t="s">
        <v>1193</v>
      </c>
      <c r="LF6" s="929" t="s">
        <v>1194</v>
      </c>
      <c r="LG6" s="929" t="s">
        <v>1195</v>
      </c>
      <c r="LH6" s="929" t="s">
        <v>1196</v>
      </c>
      <c r="LI6" s="929" t="s">
        <v>1197</v>
      </c>
      <c r="LJ6" s="929" t="s">
        <v>1198</v>
      </c>
      <c r="LK6" s="929" t="s">
        <v>1199</v>
      </c>
      <c r="LL6" s="929" t="s">
        <v>1200</v>
      </c>
      <c r="LM6" s="929" t="s">
        <v>1201</v>
      </c>
      <c r="LN6" s="929" t="s">
        <v>1202</v>
      </c>
      <c r="LO6" s="929" t="s">
        <v>1203</v>
      </c>
      <c r="LP6" s="598" t="s">
        <v>1158</v>
      </c>
      <c r="LQ6" s="598" t="s">
        <v>1159</v>
      </c>
      <c r="LR6" s="598" t="s">
        <v>1160</v>
      </c>
      <c r="LS6" s="598" t="s">
        <v>1161</v>
      </c>
      <c r="LT6" s="598" t="s">
        <v>1162</v>
      </c>
      <c r="LU6" s="598" t="s">
        <v>1163</v>
      </c>
      <c r="LV6" s="598" t="s">
        <v>1164</v>
      </c>
      <c r="LW6" s="598" t="s">
        <v>1165</v>
      </c>
      <c r="LX6" s="598" t="s">
        <v>1166</v>
      </c>
      <c r="LY6" s="598" t="s">
        <v>1167</v>
      </c>
      <c r="LZ6" s="598" t="s">
        <v>1168</v>
      </c>
      <c r="MA6" s="598" t="s">
        <v>1169</v>
      </c>
      <c r="MB6" s="598" t="s">
        <v>1170</v>
      </c>
      <c r="MC6" s="598" t="s">
        <v>1171</v>
      </c>
      <c r="MD6" s="598" t="s">
        <v>1172</v>
      </c>
      <c r="ME6" s="598" t="s">
        <v>1173</v>
      </c>
      <c r="MF6" s="598" t="s">
        <v>1174</v>
      </c>
      <c r="MG6" s="606" t="s">
        <v>1175</v>
      </c>
      <c r="MH6" s="598" t="s">
        <v>1176</v>
      </c>
      <c r="MI6" s="598" t="s">
        <v>1177</v>
      </c>
      <c r="MJ6" s="606" t="s">
        <v>1178</v>
      </c>
      <c r="MK6" s="598" t="s">
        <v>1179</v>
      </c>
      <c r="ML6" s="598" t="s">
        <v>1180</v>
      </c>
      <c r="MM6" s="606" t="s">
        <v>1181</v>
      </c>
      <c r="MN6" s="598" t="s">
        <v>1182</v>
      </c>
      <c r="MO6" s="598" t="s">
        <v>1183</v>
      </c>
      <c r="MP6" s="606" t="s">
        <v>1184</v>
      </c>
      <c r="MQ6" s="599" t="s">
        <v>1185</v>
      </c>
      <c r="MR6" s="599" t="s">
        <v>1186</v>
      </c>
      <c r="MS6" s="599" t="s">
        <v>1187</v>
      </c>
      <c r="MT6" s="599" t="s">
        <v>1188</v>
      </c>
      <c r="MU6" s="600" t="s">
        <v>1189</v>
      </c>
      <c r="MV6" s="606" t="s">
        <v>1204</v>
      </c>
      <c r="MW6" s="929" t="s">
        <v>1191</v>
      </c>
      <c r="MX6" s="929" t="s">
        <v>1192</v>
      </c>
      <c r="MY6" s="929" t="s">
        <v>1193</v>
      </c>
      <c r="MZ6" s="929" t="s">
        <v>1194</v>
      </c>
      <c r="NA6" s="929" t="s">
        <v>1195</v>
      </c>
      <c r="NB6" s="929" t="s">
        <v>1196</v>
      </c>
      <c r="NC6" s="929" t="s">
        <v>1197</v>
      </c>
      <c r="ND6" s="929" t="s">
        <v>1198</v>
      </c>
      <c r="NE6" s="929" t="s">
        <v>1199</v>
      </c>
      <c r="NF6" s="929" t="s">
        <v>1200</v>
      </c>
      <c r="NG6" s="929" t="s">
        <v>1201</v>
      </c>
      <c r="NH6" s="929" t="s">
        <v>1202</v>
      </c>
      <c r="NI6" s="929" t="s">
        <v>1203</v>
      </c>
      <c r="NJ6" s="598" t="s">
        <v>1158</v>
      </c>
      <c r="NK6" s="598" t="s">
        <v>1159</v>
      </c>
      <c r="NL6" s="598" t="s">
        <v>1160</v>
      </c>
      <c r="NM6" s="598" t="s">
        <v>1161</v>
      </c>
      <c r="NN6" s="598" t="s">
        <v>1162</v>
      </c>
      <c r="NO6" s="598" t="s">
        <v>1163</v>
      </c>
      <c r="NP6" s="598" t="s">
        <v>1164</v>
      </c>
      <c r="NQ6" s="598" t="s">
        <v>1165</v>
      </c>
      <c r="NR6" s="598" t="s">
        <v>1166</v>
      </c>
      <c r="NS6" s="598" t="s">
        <v>1167</v>
      </c>
      <c r="NT6" s="598" t="s">
        <v>1168</v>
      </c>
      <c r="NU6" s="598" t="s">
        <v>1169</v>
      </c>
      <c r="NV6" s="598" t="s">
        <v>1170</v>
      </c>
      <c r="NW6" s="598" t="s">
        <v>1171</v>
      </c>
      <c r="NX6" s="598" t="s">
        <v>1172</v>
      </c>
      <c r="NY6" s="598" t="s">
        <v>1173</v>
      </c>
      <c r="NZ6" s="598" t="s">
        <v>1174</v>
      </c>
      <c r="OA6" s="598" t="s">
        <v>1176</v>
      </c>
      <c r="OB6" s="598" t="s">
        <v>1177</v>
      </c>
      <c r="OC6" s="598" t="s">
        <v>1179</v>
      </c>
      <c r="OD6" s="598" t="s">
        <v>1180</v>
      </c>
      <c r="OE6" s="598" t="s">
        <v>1182</v>
      </c>
      <c r="OF6" s="598" t="s">
        <v>1183</v>
      </c>
      <c r="OG6" s="599" t="s">
        <v>1185</v>
      </c>
      <c r="OH6" s="599" t="s">
        <v>1186</v>
      </c>
      <c r="OI6" s="599" t="s">
        <v>1187</v>
      </c>
      <c r="OJ6" s="599" t="s">
        <v>1188</v>
      </c>
      <c r="OK6" s="599" t="s">
        <v>1205</v>
      </c>
      <c r="OL6" s="929" t="s">
        <v>1191</v>
      </c>
      <c r="OM6" s="929" t="s">
        <v>1192</v>
      </c>
      <c r="ON6" s="929" t="s">
        <v>1193</v>
      </c>
      <c r="OO6" s="929" t="s">
        <v>1194</v>
      </c>
      <c r="OP6" s="929" t="s">
        <v>1195</v>
      </c>
      <c r="OQ6" s="929" t="s">
        <v>1196</v>
      </c>
      <c r="OR6" s="929" t="s">
        <v>1197</v>
      </c>
      <c r="OS6" s="929" t="s">
        <v>1198</v>
      </c>
      <c r="OT6" s="929" t="s">
        <v>1199</v>
      </c>
      <c r="OU6" s="929" t="s">
        <v>1200</v>
      </c>
      <c r="OV6" s="929" t="s">
        <v>1201</v>
      </c>
      <c r="OW6" s="929" t="s">
        <v>1202</v>
      </c>
      <c r="OX6" s="929" t="s">
        <v>1203</v>
      </c>
      <c r="OY6" s="598" t="s">
        <v>1158</v>
      </c>
      <c r="OZ6" s="598" t="s">
        <v>1159</v>
      </c>
      <c r="PA6" s="598" t="s">
        <v>1160</v>
      </c>
      <c r="PB6" s="598" t="s">
        <v>1161</v>
      </c>
      <c r="PC6" s="598" t="s">
        <v>1162</v>
      </c>
      <c r="PD6" s="598" t="s">
        <v>1163</v>
      </c>
      <c r="PE6" s="598" t="s">
        <v>1164</v>
      </c>
      <c r="PF6" s="598" t="s">
        <v>1165</v>
      </c>
      <c r="PG6" s="598" t="s">
        <v>1166</v>
      </c>
      <c r="PH6" s="598" t="s">
        <v>1167</v>
      </c>
      <c r="PI6" s="598" t="s">
        <v>1168</v>
      </c>
      <c r="PJ6" s="598" t="s">
        <v>1169</v>
      </c>
      <c r="PK6" s="598" t="s">
        <v>1170</v>
      </c>
      <c r="PL6" s="598" t="s">
        <v>1171</v>
      </c>
      <c r="PM6" s="598" t="s">
        <v>1172</v>
      </c>
      <c r="PN6" s="598" t="s">
        <v>1173</v>
      </c>
      <c r="PO6" s="598" t="s">
        <v>1174</v>
      </c>
      <c r="PP6" s="606" t="s">
        <v>1175</v>
      </c>
      <c r="PQ6" s="598" t="s">
        <v>1176</v>
      </c>
      <c r="PR6" s="598" t="s">
        <v>1177</v>
      </c>
      <c r="PS6" s="606" t="s">
        <v>1178</v>
      </c>
      <c r="PT6" s="598" t="s">
        <v>1179</v>
      </c>
      <c r="PU6" s="598" t="s">
        <v>1180</v>
      </c>
      <c r="PV6" s="606" t="s">
        <v>1181</v>
      </c>
      <c r="PW6" s="598" t="s">
        <v>1182</v>
      </c>
      <c r="PX6" s="598" t="s">
        <v>1183</v>
      </c>
      <c r="PY6" s="606" t="s">
        <v>1184</v>
      </c>
      <c r="PZ6" s="599" t="s">
        <v>1185</v>
      </c>
      <c r="QA6" s="599" t="s">
        <v>1186</v>
      </c>
      <c r="QB6" s="599" t="s">
        <v>1187</v>
      </c>
      <c r="QC6" s="599" t="s">
        <v>1188</v>
      </c>
      <c r="QD6" s="600" t="s">
        <v>1189</v>
      </c>
      <c r="QE6" s="606" t="s">
        <v>1204</v>
      </c>
      <c r="QF6" s="686" t="s">
        <v>1206</v>
      </c>
      <c r="QG6" s="686" t="s">
        <v>1207</v>
      </c>
      <c r="QH6" s="929" t="s">
        <v>1191</v>
      </c>
      <c r="QI6" s="929" t="s">
        <v>1192</v>
      </c>
      <c r="QJ6" s="929" t="s">
        <v>1193</v>
      </c>
      <c r="QK6" s="929" t="s">
        <v>1194</v>
      </c>
      <c r="QL6" s="929" t="s">
        <v>1195</v>
      </c>
      <c r="QM6" s="929" t="s">
        <v>1196</v>
      </c>
      <c r="QN6" s="929" t="s">
        <v>1197</v>
      </c>
      <c r="QO6" s="929" t="s">
        <v>1198</v>
      </c>
      <c r="QP6" s="929" t="s">
        <v>1199</v>
      </c>
      <c r="QQ6" s="929" t="s">
        <v>1200</v>
      </c>
      <c r="QR6" s="929" t="s">
        <v>1201</v>
      </c>
      <c r="QS6" s="929" t="s">
        <v>1202</v>
      </c>
      <c r="QT6" s="929" t="s">
        <v>1203</v>
      </c>
      <c r="QU6" s="688"/>
    </row>
    <row r="7" spans="1:465">
      <c r="A7" s="143" t="s">
        <v>303</v>
      </c>
      <c r="B7" s="143"/>
      <c r="C7" s="143"/>
      <c r="D7" s="143"/>
      <c r="E7" s="143"/>
      <c r="F7" s="157">
        <f>'BUDGET REVENUE CML 2021-2025'!BA119/10^6</f>
        <v>3472.2784329999999</v>
      </c>
      <c r="G7" s="157">
        <f>'BUDGET REVENUE CML 2021-2025'!BB119/10^6</f>
        <v>3402.5741720000001</v>
      </c>
      <c r="H7" s="157">
        <f>'BUDGET REVENUE CML 2021-2025'!BC119/10^6</f>
        <v>3471.1169249999998</v>
      </c>
      <c r="I7" s="157">
        <f>'BUDGET REVENUE CML 2021-2025'!BD119/10^6</f>
        <v>3188.802064</v>
      </c>
      <c r="J7" s="157">
        <f>'BUDGET REVENUE CML 2021-2025'!BE119/10^6</f>
        <v>3564.401879</v>
      </c>
      <c r="K7" s="157">
        <f>'BUDGET REVENUE CML 2021-2025'!BF119/10^6</f>
        <v>3181.0978970000001</v>
      </c>
      <c r="L7" s="157">
        <v>3418.5067265322632</v>
      </c>
      <c r="M7" s="157">
        <f>'BUDGET REVENUE CML 2021-2025'!BH119/10^6</f>
        <v>2983.135683</v>
      </c>
      <c r="N7" s="157">
        <v>3438.9881352298908</v>
      </c>
      <c r="O7" s="157">
        <f>'BUDGET REVENUE CML 2021-2025'!BJ119/10^6</f>
        <v>3464.7192580000001</v>
      </c>
      <c r="P7" s="577">
        <v>4603.0931617848428</v>
      </c>
      <c r="Q7" s="205">
        <f>'BUDGET REVENUE CML 2021-2025'!BL119/10^6</f>
        <v>3020.2773510000002</v>
      </c>
      <c r="R7" s="578">
        <f>'BUDGET REVENUE CML 2021-2025'!AE119/10^6</f>
        <v>5121.8355577274187</v>
      </c>
      <c r="S7" s="205">
        <f>'BUDGET REVENUE CML 2021-2025'!BN119/10^6</f>
        <v>4727.0161770000004</v>
      </c>
      <c r="T7" s="578">
        <f>'BUDGET REVENUE CML 2021-2025'!AF119/10^6</f>
        <v>5121.8355577274187</v>
      </c>
      <c r="U7" s="577">
        <f>'BUDGET REVENUE CML 2021-2025'!BP119/10^6</f>
        <v>0</v>
      </c>
      <c r="V7" s="578">
        <f>'BUDGET REVENUE CML 2021-2025'!AG119/10^6</f>
        <v>5121.8355577274187</v>
      </c>
      <c r="W7" s="637">
        <f>'BUDGET REVENUE CML 2021-2025'!BR119/10^6</f>
        <v>4525.3281619999998</v>
      </c>
      <c r="X7" s="577">
        <f>'BUDGET REVENUE CML 2021-2025'!BS119/10^6</f>
        <v>0</v>
      </c>
      <c r="Y7" s="578">
        <f>'BUDGET REVENUE CML 2021-2025'!AH119/10^6</f>
        <v>5121.8355577274187</v>
      </c>
      <c r="Z7" s="637">
        <f>'BUDGET REVENUE CML 2021-2025'!BU119/10^6</f>
        <v>4731.3281619999998</v>
      </c>
      <c r="AA7" s="577">
        <f>'BUDGET REVENUE CML 2021-2025'!BV119/10^6</f>
        <v>0</v>
      </c>
      <c r="AB7" s="578">
        <f>'BUDGET REVENUE CML 2021-2025'!AI119/10^6</f>
        <v>5121.8355577274187</v>
      </c>
      <c r="AC7" s="637">
        <f>'BUDGET REVENUE CML 2021-2025'!BX119/10^6</f>
        <v>5116.3281619999998</v>
      </c>
      <c r="AD7" s="577">
        <f>'BUDGET REVENUE CML 2021-2025'!BY119/10^6</f>
        <v>0</v>
      </c>
      <c r="AE7" s="578">
        <f>'BUDGET REVENUE CML 2021-2025'!AJ119/10^6</f>
        <v>5121.8355577274187</v>
      </c>
      <c r="AF7" s="637">
        <f>'BUDGET REVENUE CML 2021-2025'!CA119/10^6</f>
        <v>5320.7361620000001</v>
      </c>
      <c r="AG7" s="170">
        <f>SUM(F7,G7,I7)</f>
        <v>10063.654669</v>
      </c>
      <c r="AH7" s="170">
        <f>SUM(K7,M7,O7)</f>
        <v>9628.9528380000011</v>
      </c>
      <c r="AI7" s="170">
        <f>SUM(Q7,S7,V7)</f>
        <v>12869.129085727418</v>
      </c>
      <c r="AJ7" s="170">
        <f>SUM(Z7,AC7,AF7)</f>
        <v>15168.392486000001</v>
      </c>
      <c r="AK7" s="170">
        <f>AG7+AH7+AI7+AJ7</f>
        <v>47730.129078727419</v>
      </c>
      <c r="AL7" s="592">
        <f>F7+G7+I7+K7+M7+O7+Q7+S7+W7+Z7+AC7+AF7</f>
        <v>47133.621682999998</v>
      </c>
      <c r="AM7" s="930">
        <f>'BUDGET REVENUE CML 2021-2025'!CE119/10^6</f>
        <v>3238.7249999999999</v>
      </c>
      <c r="AN7" s="930">
        <f>'BUDGET REVENUE CML 2021-2025'!CF119/10^6</f>
        <v>3229.1685590000002</v>
      </c>
      <c r="AO7" s="930">
        <f>'BUDGET REVENUE CML 2021-2025'!CG119/10^6</f>
        <v>4493.3</v>
      </c>
      <c r="AP7" s="930">
        <f>'BUDGET REVENUE CML 2021-2025'!CH119/10^6</f>
        <v>4506.3250889999999</v>
      </c>
      <c r="AQ7" s="930">
        <f>'BUDGET REVENUE CML 2021-2025'!CI119/10^6</f>
        <v>4881.2</v>
      </c>
      <c r="AR7" s="930">
        <f>'BUDGET REVENUE CML 2021-2025'!CJ119/10^6</f>
        <v>5092.5384830000003</v>
      </c>
      <c r="AS7" s="930">
        <f>'BUDGET REVENUE CML 2021-2025'!CK119/10^6</f>
        <v>5111.3</v>
      </c>
      <c r="AT7" s="930">
        <f>'BUDGET REVENUE CML 2021-2025'!CL119/10^6</f>
        <v>5163.0274989999998</v>
      </c>
      <c r="AU7" s="930">
        <f>'BUDGET REVENUE CML 2021-2025'!CM119/10^6</f>
        <v>5192.8</v>
      </c>
      <c r="AV7" s="930">
        <f>'BUDGET REVENUE CML 2021-2025'!CN119/10^6</f>
        <v>5183.8</v>
      </c>
      <c r="AW7" s="930">
        <f>'BUDGET REVENUE CML 2021-2025'!CO119/10^6</f>
        <v>5223.8</v>
      </c>
      <c r="AX7" s="930">
        <f>'BUDGET REVENUE CML 2021-2025'!CP119/10^6</f>
        <v>5212.3</v>
      </c>
      <c r="AY7" s="930">
        <f>AM7+AN7+AO7+AP7+AQ7+AR7+AS7+AT7+AU7+AV7+AW7+AX7</f>
        <v>56528.284630000009</v>
      </c>
      <c r="AZ7" s="157">
        <f>'BUDGET REVENUE CML 2021-2025'!BA288/10^6</f>
        <v>2580.8225940000002</v>
      </c>
      <c r="BA7" s="157">
        <f>'BUDGET REVENUE CML 2021-2025'!BB288/10^6</f>
        <v>3193.4840380000001</v>
      </c>
      <c r="BB7" s="157">
        <f>'BUDGET REVENUE CML 2021-2025'!BC288/10^6</f>
        <v>2934</v>
      </c>
      <c r="BC7" s="157">
        <f>'BUDGET REVENUE CML 2021-2025'!BD288/10^6</f>
        <v>5887.190364</v>
      </c>
      <c r="BD7" s="157">
        <f>'BUDGET REVENUE CML 2021-2025'!BE288/10^6</f>
        <v>3371</v>
      </c>
      <c r="BE7" s="157">
        <f>'BUDGET REVENUE CML 2021-2025'!BF288/10^6</f>
        <v>4127.8155070000003</v>
      </c>
      <c r="BF7" s="157">
        <v>3628.4130836236932</v>
      </c>
      <c r="BG7" s="157">
        <f>'BUDGET REVENUE CML 2021-2025'!BH288/10^6</f>
        <v>2598.940204</v>
      </c>
      <c r="BH7" s="157">
        <v>4439.1382247910769</v>
      </c>
      <c r="BI7" s="157">
        <f>'BUDGET REVENUE CML 2021-2025'!BJ288/10^6</f>
        <v>3048.9433469999999</v>
      </c>
      <c r="BJ7" s="157">
        <v>3999.4128377984248</v>
      </c>
      <c r="BK7" s="157">
        <f>'BUDGET REVENUE CML 2021-2025'!BL288/10^6</f>
        <v>2671.5773450000002</v>
      </c>
      <c r="BL7" s="157">
        <f>'BUDGET REVENUE CML 2021-2025'!AE288/10^6</f>
        <v>3753.6315458406411</v>
      </c>
      <c r="BM7" s="157">
        <f>'BUDGET REVENUE CML 2021-2025'!BN288/10^6</f>
        <v>3393.4856890000001</v>
      </c>
      <c r="BN7" s="157">
        <f>'BUDGET REVENUE CML 2021-2025'!AF288/10^6</f>
        <v>5353.6315458406407</v>
      </c>
      <c r="BO7" s="157">
        <f>'BUDGET REVENUE CML 2021-2025'!BP288/10^6</f>
        <v>0</v>
      </c>
      <c r="BP7" s="157">
        <f>'BUDGET REVENUE CML 2021-2025'!AG288/10^6</f>
        <v>3933.6315458406411</v>
      </c>
      <c r="BQ7" s="637">
        <f>'BUDGET REVENUE CML 2021-2025'!BR288/10^6</f>
        <v>3819.5</v>
      </c>
      <c r="BR7" s="157">
        <f>'BUDGET REVENUE CML 2021-2025'!BS288/10^6</f>
        <v>0</v>
      </c>
      <c r="BS7" s="157">
        <f>'BUDGET REVENUE CML 2021-2025'!AH288/10^6</f>
        <v>3753.6315458406411</v>
      </c>
      <c r="BT7" s="637">
        <f>'BUDGET REVENUE CML 2021-2025'!BU288/10^6</f>
        <v>3994.5</v>
      </c>
      <c r="BU7" s="157">
        <f>'BUDGET REVENUE CML 2021-2025'!BV288/10^6</f>
        <v>0</v>
      </c>
      <c r="BV7" s="157">
        <f>'BUDGET REVENUE CML 2021-2025'!AI288/10^6</f>
        <v>3753.6315458406411</v>
      </c>
      <c r="BW7" s="637">
        <f>'BUDGET REVENUE CML 2021-2025'!BX288/10^6</f>
        <v>4169.5</v>
      </c>
      <c r="BX7" s="157">
        <f>'BUDGET REVENUE CML 2021-2025'!BY288/10^6</f>
        <v>0</v>
      </c>
      <c r="BY7" s="157">
        <f>'BUDGET REVENUE CML 2021-2025'!AJ288/10^6</f>
        <v>5533.6315458406407</v>
      </c>
      <c r="BZ7" s="637">
        <f>'BUDGET REVENUE CML 2021-2025'!CA288/10^6</f>
        <v>4354.8999999999996</v>
      </c>
      <c r="CA7" s="170">
        <f>SUM(AZ7,BA7,BC7)</f>
        <v>11661.496996</v>
      </c>
      <c r="CB7" s="170">
        <f>SUM(BE7,BG7,BI7)</f>
        <v>9775.6990580000002</v>
      </c>
      <c r="CC7" s="170">
        <f>SUM(BK7,BM7,BP7)</f>
        <v>9998.6945798406414</v>
      </c>
      <c r="CD7" s="170">
        <f>SUM(BS7,BV7,BY7)</f>
        <v>13040.894637521924</v>
      </c>
      <c r="CE7" s="170">
        <f>CA7+CB7+CC7+CD7</f>
        <v>44476.785271362562</v>
      </c>
      <c r="CF7" s="592">
        <f>AZ7+BA7+BC7+BE7+BG7+BI7+BK7+BM7+BQ7+BT7+BW7+BZ7</f>
        <v>43840.659088000008</v>
      </c>
      <c r="CG7" s="930">
        <f>'BUDGET REVENUE CML 2021-2025'!CE288/10^6</f>
        <v>4117.3</v>
      </c>
      <c r="CH7" s="930">
        <f>'BUDGET REVENUE CML 2021-2025'!CF288/10^6</f>
        <v>4127.3</v>
      </c>
      <c r="CI7" s="930">
        <f>'BUDGET REVENUE CML 2021-2025'!CG288/10^6</f>
        <v>4127.3</v>
      </c>
      <c r="CJ7" s="930">
        <f>'BUDGET REVENUE CML 2021-2025'!CH288/10^6</f>
        <v>4117.3</v>
      </c>
      <c r="CK7" s="930">
        <f>'BUDGET REVENUE CML 2021-2025'!CI288/10^6</f>
        <v>4212.3</v>
      </c>
      <c r="CL7" s="930">
        <f>'BUDGET REVENUE CML 2021-2025'!CJ288/10^6</f>
        <v>4342.3</v>
      </c>
      <c r="CM7" s="930">
        <f>'BUDGET REVENUE CML 2021-2025'!CK288/10^6</f>
        <v>4332.3</v>
      </c>
      <c r="CN7" s="930">
        <f>'BUDGET REVENUE CML 2021-2025'!CL288/10^6</f>
        <v>4302.3</v>
      </c>
      <c r="CO7" s="930">
        <f>'BUDGET REVENUE CML 2021-2025'!CM288/10^6</f>
        <v>4302.3</v>
      </c>
      <c r="CP7" s="930">
        <f>'BUDGET REVENUE CML 2021-2025'!CN288/10^6</f>
        <v>4302.3</v>
      </c>
      <c r="CQ7" s="930">
        <f>'BUDGET REVENUE CML 2021-2025'!CO288/10^6</f>
        <v>4322.3</v>
      </c>
      <c r="CR7" s="930">
        <f>'BUDGET REVENUE CML 2021-2025'!CP288/10^6</f>
        <v>4282.3</v>
      </c>
      <c r="CS7" s="930">
        <f>CG7+CH7+CI7+CJ7+CK7+CL7+CM7+CN7+CO7+CP7+CQ7+CR7</f>
        <v>50887.600000000013</v>
      </c>
      <c r="CT7" s="157">
        <f>'BUDGET REVENUE CLI 2021-2025'!U58/10^6-4.23110999999994</f>
        <v>513</v>
      </c>
      <c r="CU7" s="157">
        <f>'BUDGET REVENUE CLI 2021-2025'!V58/10^6-3.75704826999998</f>
        <v>363</v>
      </c>
      <c r="CV7" s="157">
        <f>'BUDGET REVENUE CLI 2021-2025'!W58/10^6</f>
        <v>319.5</v>
      </c>
      <c r="CW7" s="157">
        <f>'BUDGET REVENUE CLI 2021-2025'!X58/10^6-2.45015900000001</f>
        <v>244</v>
      </c>
      <c r="CX7" s="157">
        <f>'BUDGET REVENUE CLI 2021-2025'!Y58/10^6</f>
        <v>1710.3</v>
      </c>
      <c r="CY7" s="157">
        <f>'BUDGET REVENUE CLI 2021-2025'!Z58/10^6+4.65776800000003</f>
        <v>1638.4</v>
      </c>
      <c r="CZ7" s="157">
        <f>'BUDGET REVENUE CLI 2021-2025'!AA58/10^6</f>
        <v>1270.8</v>
      </c>
      <c r="DA7" s="157">
        <f>'BUDGET REVENUE CLI 2021-2025'!AB58/10^6</f>
        <v>743.33573200000001</v>
      </c>
      <c r="DB7" s="157">
        <v>1038.5</v>
      </c>
      <c r="DC7" s="157">
        <f>'BUDGET REVENUE CLI 2021-2025'!AD58/10^6</f>
        <v>723.23184500000002</v>
      </c>
      <c r="DD7" s="157">
        <v>1038.5</v>
      </c>
      <c r="DE7" s="157">
        <f>'BUDGET REVENUE CLI 2021-2025'!AF58/10^6</f>
        <v>772.67918099999997</v>
      </c>
      <c r="DF7" s="157">
        <v>1480.1400000000003</v>
      </c>
      <c r="DG7" s="157">
        <f>'BUDGET REVENUE CLI 2021-2025'!AH58/10^6</f>
        <v>701.88104999999996</v>
      </c>
      <c r="DH7" s="157">
        <v>1480.1400000000003</v>
      </c>
      <c r="DI7" s="157">
        <f>'BUDGET REVENUE CLI 2021-2025'!AJ58/10^6</f>
        <v>0</v>
      </c>
      <c r="DJ7" s="157">
        <v>1781.6500000000003</v>
      </c>
      <c r="DK7" s="637">
        <f>'BUDGET REVENUE CLI 2021-2025'!AL58/10^6</f>
        <v>1383.3</v>
      </c>
      <c r="DL7" s="157">
        <f>'BUDGET REVENUE CLI 2021-2025'!AM58/10^6</f>
        <v>0</v>
      </c>
      <c r="DM7" s="157">
        <v>1781.6500000000003</v>
      </c>
      <c r="DN7" s="637">
        <f>'BUDGET REVENUE CLI 2021-2025'!AO58/10^6</f>
        <v>1493.8</v>
      </c>
      <c r="DO7" s="157">
        <f>'BUDGET REVENUE CLI 2021-2025'!AP58/10^6</f>
        <v>0</v>
      </c>
      <c r="DP7" s="157">
        <v>1781.6500000000003</v>
      </c>
      <c r="DQ7" s="637">
        <f>'BUDGET REVENUE CLI 2021-2025'!AR58/10^6</f>
        <v>1604.3</v>
      </c>
      <c r="DR7" s="157">
        <f>'BUDGET REVENUE CLI 2021-2025'!AS58/10^6</f>
        <v>0</v>
      </c>
      <c r="DS7" s="157">
        <v>1781.6500000000003</v>
      </c>
      <c r="DT7" s="637">
        <f>'BUDGET REVENUE CLI 2021-2025'!AU58/10^6</f>
        <v>1694.8</v>
      </c>
      <c r="DU7" s="170">
        <f>SUM(CT7,CU7,CW7)</f>
        <v>1120</v>
      </c>
      <c r="DV7" s="170">
        <f>SUM(CY7,DA7,DC7)</f>
        <v>3104.9675770000003</v>
      </c>
      <c r="DW7" s="170">
        <f>SUM(DE7,DG7,DJ7)</f>
        <v>3256.210231</v>
      </c>
      <c r="DX7" s="170">
        <f>SUM(DM7,DP7,DS7)</f>
        <v>5344.9500000000007</v>
      </c>
      <c r="DY7" s="170">
        <f>DU7+DV7+DW7+DX7</f>
        <v>12826.127808000001</v>
      </c>
      <c r="DZ7" s="592">
        <f>CT7+CU7+CW7+CY7+DA7+DC7+DE7+DG7+DK7+DN7+DQ7+DT7</f>
        <v>11875.727808</v>
      </c>
      <c r="EA7" s="930">
        <f>'BUDGET REVENUE CLI 2021-2025'!AX58/10^6</f>
        <v>1801</v>
      </c>
      <c r="EB7" s="930">
        <f>'BUDGET REVENUE CLI 2021-2025'!AY58/10^6</f>
        <v>1871</v>
      </c>
      <c r="EC7" s="930">
        <f>'BUDGET REVENUE CLI 2021-2025'!AZ58/10^6</f>
        <v>1921</v>
      </c>
      <c r="ED7" s="930">
        <f>'BUDGET REVENUE CLI 2021-2025'!BA58/10^6</f>
        <v>2041</v>
      </c>
      <c r="EE7" s="930">
        <f>'BUDGET REVENUE CLI 2021-2025'!BB58/10^6</f>
        <v>2041</v>
      </c>
      <c r="EF7" s="930">
        <f>'BUDGET REVENUE CLI 2021-2025'!BC58/10^6</f>
        <v>2041</v>
      </c>
      <c r="EG7" s="930">
        <f>'BUDGET REVENUE CLI 2021-2025'!BD58/10^6</f>
        <v>2041</v>
      </c>
      <c r="EH7" s="930">
        <f>'BUDGET REVENUE CLI 2021-2025'!BE58/10^6</f>
        <v>2041</v>
      </c>
      <c r="EI7" s="930">
        <f>'BUDGET REVENUE CLI 2021-2025'!BF58/10^6</f>
        <v>2041</v>
      </c>
      <c r="EJ7" s="930">
        <f>'BUDGET REVENUE CLI 2021-2025'!BG58/10^6</f>
        <v>2041</v>
      </c>
      <c r="EK7" s="930">
        <f>'BUDGET REVENUE CLI 2021-2025'!BH58/10^6</f>
        <v>2041</v>
      </c>
      <c r="EL7" s="930">
        <f>'BUDGET REVENUE CLI 2021-2025'!BI58/10^6</f>
        <v>2041</v>
      </c>
      <c r="EM7" s="930">
        <f>EA7+EB7+EC7+ED7+EE7+EF7+EG7+EH7+EI7+EJ7+EK7+EL7</f>
        <v>23962</v>
      </c>
      <c r="EN7" s="157">
        <f>'BUDGET REVENUE BP 2021-2025'!CP240/1000000</f>
        <v>5751.5844889999998</v>
      </c>
      <c r="EO7" s="157">
        <f>'BUDGET REVENUE BP 2021-2025'!CQ240/1000000</f>
        <v>5466.2709619999996</v>
      </c>
      <c r="EP7" s="157">
        <f>'BUDGET REVENUE BP 2021-2025'!CR240/1000000</f>
        <v>6261.7379810000002</v>
      </c>
      <c r="EQ7" s="157">
        <f>'BUDGET REVENUE BP 2021-2025'!CS240/1000000+2.2400000000016</f>
        <v>6716.1195560000015</v>
      </c>
      <c r="ER7" s="157">
        <f>'BUDGET REVENUE BP 2021-2025'!CT240/1000000</f>
        <v>7468.0173219999997</v>
      </c>
      <c r="ES7" s="157">
        <f>'BUDGET REVENUE BP 2021-2025'!CU240/1000000+22.159999999998</f>
        <v>6503.1847739999985</v>
      </c>
      <c r="ET7" s="157">
        <v>7868.8750773271304</v>
      </c>
      <c r="EU7" s="157">
        <f>'BUDGET REVENUE BP 2021-2025'!CW240/1000000</f>
        <v>4958.3539369999999</v>
      </c>
      <c r="EV7" s="157">
        <v>7272.1434375537401</v>
      </c>
      <c r="EW7" s="157">
        <f>'BUDGET REVENUE BP 2021-2025'!CY240/1000000-42</f>
        <v>6069.4990319999997</v>
      </c>
      <c r="EX7" s="157">
        <v>7255.2588331364141</v>
      </c>
      <c r="EY7" s="157">
        <f>'BUDGET REVENUE BP 2021-2025'!DA240/1000000</f>
        <v>6447.8385630000002</v>
      </c>
      <c r="EZ7" s="157">
        <v>6889.0738260687976</v>
      </c>
      <c r="FA7" s="157">
        <f>'BUDGET REVENUE BP 2021-2025'!DC240/1000000</f>
        <v>6600.4883769999997</v>
      </c>
      <c r="FB7" s="157">
        <v>6951.6751623814062</v>
      </c>
      <c r="FC7" s="157">
        <f>'BUDGET REVENUE BP 2021-2025'!DE240/1000000</f>
        <v>0</v>
      </c>
      <c r="FD7" s="157">
        <v>7123.3323433931764</v>
      </c>
      <c r="FE7" s="637">
        <f>'BUDGET REVENUE BP 2021-2025'!DG240/1000000</f>
        <v>8624.6600589999998</v>
      </c>
      <c r="FF7" s="157">
        <f>'BUDGET REVENUE BP 2021-2025'!DH240/1000000</f>
        <v>0</v>
      </c>
      <c r="FG7" s="157">
        <v>7193.0617035522919</v>
      </c>
      <c r="FH7" s="637">
        <f>'BUDGET REVENUE BP 2021-2025'!DJ240/1000000</f>
        <v>9004.6600589999998</v>
      </c>
      <c r="FI7" s="157">
        <f>'BUDGET REVENUE BP 2021-2025'!DK240/1000000</f>
        <v>0</v>
      </c>
      <c r="FJ7" s="157">
        <v>6945.1815728757329</v>
      </c>
      <c r="FK7" s="637">
        <f>'BUDGET REVENUE BP 2021-2025'!DM240/1000000</f>
        <v>9049.6600589999998</v>
      </c>
      <c r="FL7" s="157">
        <f>'BUDGET REVENUE BP 2021-2025'!DN240/1000000</f>
        <v>0</v>
      </c>
      <c r="FM7" s="157">
        <v>6892.0835403459141</v>
      </c>
      <c r="FN7" s="637">
        <f>'BUDGET REVENUE BP 2021-2025'!DP240/1000000</f>
        <v>9174.6600589999998</v>
      </c>
      <c r="FO7" s="170">
        <f>SUM(EN7,EO7,EQ7)</f>
        <v>17933.975007000001</v>
      </c>
      <c r="FP7" s="170">
        <f>SUM(ES7,EU7,EW7)</f>
        <v>17531.037742999997</v>
      </c>
      <c r="FQ7" s="170">
        <f>SUM(EY7,FA7,FD7)</f>
        <v>20171.659283393175</v>
      </c>
      <c r="FR7" s="170">
        <f>SUM(FG7,FJ7,FM7)</f>
        <v>21030.326816773937</v>
      </c>
      <c r="FS7" s="170">
        <f>FO7+FP7+FQ7+FR7</f>
        <v>76666.998850167118</v>
      </c>
      <c r="FT7" s="592">
        <f>EN7+EO7+EQ7+ES7+EU7+EW7+EY7+FA7+FE7+FH7+FK7+FN7</f>
        <v>84366.979926</v>
      </c>
      <c r="FU7" s="930">
        <f>'BUDGET REVENUE BP 2021-2025'!DS240/10^6</f>
        <v>6938.7769509999998</v>
      </c>
      <c r="FV7" s="930">
        <f>'BUDGET REVENUE BP 2021-2025'!DT240/10^6</f>
        <v>7208.7769509999998</v>
      </c>
      <c r="FW7" s="930">
        <f>'BUDGET REVENUE BP 2021-2025'!DU240/10^6</f>
        <v>7534.4769509999996</v>
      </c>
      <c r="FX7" s="930">
        <f>'BUDGET REVENUE BP 2021-2025'!DV240/10^6</f>
        <v>7153.4769509999996</v>
      </c>
      <c r="FY7" s="930">
        <f>'BUDGET REVENUE BP 2021-2025'!DW240/10^6</f>
        <v>7292.4769509999996</v>
      </c>
      <c r="FZ7" s="930">
        <f>'BUDGET REVENUE BP 2021-2025'!DX240/10^6</f>
        <v>8479.4769510000006</v>
      </c>
      <c r="GA7" s="930">
        <f>'BUDGET REVENUE BP 2021-2025'!DY240/10^6</f>
        <v>8904.4769510000006</v>
      </c>
      <c r="GB7" s="930">
        <f>'BUDGET REVENUE BP 2021-2025'!DZ240/10^6</f>
        <v>8899.4769510000006</v>
      </c>
      <c r="GC7" s="930">
        <f>'BUDGET REVENUE BP 2021-2025'!EA240/10^6</f>
        <v>8819.4769510000006</v>
      </c>
      <c r="GD7" s="930">
        <f>'BUDGET REVENUE BP 2021-2025'!EB240/10^6</f>
        <v>8739.4769510000006</v>
      </c>
      <c r="GE7" s="930">
        <f>'BUDGET REVENUE BP 2021-2025'!EC240/10^6</f>
        <v>8689.4769510000006</v>
      </c>
      <c r="GF7" s="930">
        <f>'BUDGET REVENUE BP 2021-2025'!ED240/10^6</f>
        <v>8679.4769510000006</v>
      </c>
      <c r="GG7" s="930">
        <f>FU7+FV7+FW7+FX7+FY7+FZ7+GA7+GB7+GC7+GD7+GE7+GF7</f>
        <v>97339.323412000027</v>
      </c>
      <c r="GH7" s="157">
        <f>'BUDGET REVENUE BP 2021-2025'!CP833/1000000</f>
        <v>0</v>
      </c>
      <c r="GI7" s="157">
        <f>'BUDGET REVENUE BP 2021-2025'!CQ833/1000000</f>
        <v>0</v>
      </c>
      <c r="GJ7" s="157">
        <f>'BUDGET REVENUE BP 2021-2025'!CR833/1000000</f>
        <v>264</v>
      </c>
      <c r="GK7" s="157">
        <f>'BUDGET REVENUE BP 2021-2025'!CS833/1000000-34.5000000000005</f>
        <v>587.9188749999995</v>
      </c>
      <c r="GL7" s="157">
        <f>'BUDGET REVENUE BP 2021-2025'!CT833/1000000</f>
        <v>2027.2969000000001</v>
      </c>
      <c r="GM7" s="157">
        <f>'BUDGET REVENUE BP 2021-2025'!CU833/1000000</f>
        <v>1571.5254660000001</v>
      </c>
      <c r="GN7" s="157">
        <v>421.03162170002906</v>
      </c>
      <c r="GO7" s="157">
        <f>'BUDGET REVENUE BP 2021-2025'!CW833/1000000</f>
        <v>0</v>
      </c>
      <c r="GP7" s="157">
        <v>1562.3114956736711</v>
      </c>
      <c r="GQ7" s="157">
        <f>'BUDGET REVENUE BP 2021-2025'!CY833/1000000</f>
        <v>132.19999999999999</v>
      </c>
      <c r="GR7" s="157">
        <v>207.01754385964912</v>
      </c>
      <c r="GS7" s="157">
        <f>'BUDGET REVENUE BP 2021-2025'!DA833/1000000</f>
        <v>0</v>
      </c>
      <c r="GT7" s="157">
        <v>291.65393668093947</v>
      </c>
      <c r="GU7" s="157">
        <f>'BUDGET REVENUE BP 2021-2025'!DC833/1000000</f>
        <v>80</v>
      </c>
      <c r="GV7" s="157">
        <v>1197.5164662476086</v>
      </c>
      <c r="GW7" s="157">
        <f>'BUDGET REVENUE BP 2021-2025'!DE833/1000000</f>
        <v>0</v>
      </c>
      <c r="GX7" s="157">
        <v>3164.2323084112149</v>
      </c>
      <c r="GY7" s="637">
        <f>'BUDGET REVENUE BP 2021-2025'!DG833/1000000</f>
        <v>1480</v>
      </c>
      <c r="GZ7" s="157">
        <f>'BUDGET REVENUE BP 2021-2025'!DH833/1000000</f>
        <v>0</v>
      </c>
      <c r="HA7" s="157">
        <v>3371.8818886792451</v>
      </c>
      <c r="HB7" s="637">
        <f>'BUDGET REVENUE BP 2021-2025'!DJ833/1000000</f>
        <v>1680</v>
      </c>
      <c r="HC7" s="157">
        <f>'BUDGET REVENUE BP 2021-2025'!DK833/1000000</f>
        <v>0</v>
      </c>
      <c r="HD7" s="157">
        <v>1556.0114761664986</v>
      </c>
      <c r="HE7" s="637">
        <f>'BUDGET REVENUE BP 2021-2025'!DM833/1000000</f>
        <v>1715</v>
      </c>
      <c r="HF7" s="157">
        <f>'BUDGET REVENUE BP 2021-2025'!DN833/1000000</f>
        <v>0</v>
      </c>
      <c r="HG7" s="157">
        <v>552.79768786127158</v>
      </c>
      <c r="HH7" s="637">
        <f>'BUDGET REVENUE BP 2021-2025'!DP833/1000000</f>
        <v>1350</v>
      </c>
      <c r="HI7" s="170">
        <f>SUM(GH7,GI7,GK7)</f>
        <v>587.9188749999995</v>
      </c>
      <c r="HJ7" s="170">
        <f>SUM(GM7,GO7,GQ7)</f>
        <v>1703.7254660000001</v>
      </c>
      <c r="HK7" s="170">
        <f>SUM(GS7,GU7,GX7)</f>
        <v>3244.2323084112149</v>
      </c>
      <c r="HL7" s="170">
        <f>SUM(HA7,HD7,HG7)</f>
        <v>5480.6910527070158</v>
      </c>
      <c r="HM7" s="170">
        <f>HI7+HJ7+HK7+HL7</f>
        <v>11016.567702118231</v>
      </c>
      <c r="HN7" s="592">
        <f>GH7+GI7+GK7+GM7+GO7+GQ7+GS7+GU7+GY7+HB7+HE7+HH7</f>
        <v>8596.6443409999993</v>
      </c>
      <c r="HO7" s="930">
        <f>'BUDGET REVENUE BP 2021-2025'!DS833/10^6</f>
        <v>750</v>
      </c>
      <c r="HP7" s="930">
        <f>'BUDGET REVENUE BP 2021-2025'!DT833/10^6</f>
        <v>850</v>
      </c>
      <c r="HQ7" s="930">
        <f>'BUDGET REVENUE BP 2021-2025'!DU833/10^6</f>
        <v>850</v>
      </c>
      <c r="HR7" s="930">
        <f>'BUDGET REVENUE BP 2021-2025'!DV833/10^6</f>
        <v>850</v>
      </c>
      <c r="HS7" s="930">
        <f>'BUDGET REVENUE BP 2021-2025'!DW833/10^6</f>
        <v>750</v>
      </c>
      <c r="HT7" s="930">
        <f>'BUDGET REVENUE BP 2021-2025'!DX833/10^6</f>
        <v>950</v>
      </c>
      <c r="HU7" s="930">
        <f>'BUDGET REVENUE BP 2021-2025'!DY833/10^6</f>
        <v>750</v>
      </c>
      <c r="HV7" s="930">
        <f>'BUDGET REVENUE BP 2021-2025'!DZ833/10^6</f>
        <v>950</v>
      </c>
      <c r="HW7" s="930">
        <f>'BUDGET REVENUE BP 2021-2025'!EA833/10^6</f>
        <v>750</v>
      </c>
      <c r="HX7" s="930">
        <f>'BUDGET REVENUE BP 2021-2025'!EB833/10^6</f>
        <v>950</v>
      </c>
      <c r="HY7" s="930">
        <f>'BUDGET REVENUE BP 2021-2025'!EC833/10^6</f>
        <v>750</v>
      </c>
      <c r="HZ7" s="930">
        <f>'BUDGET REVENUE BP 2021-2025'!ED833/10^6</f>
        <v>850</v>
      </c>
      <c r="IA7" s="930">
        <f>HO7+HP7+HQ7+HR7+HS7+HT7+HU7+HV7+HW7+HX7+HY7+HZ7</f>
        <v>10000</v>
      </c>
      <c r="IB7" s="157">
        <f>('BUDGET REVENUE BP 2021-2025'!CP624/1000000)+('BUDGET REVENUE CML 2021-2025'!BA342/10^6)-26.9999999999995</f>
        <v>1892.6627360000002</v>
      </c>
      <c r="IC7" s="157">
        <f>('BUDGET REVENUE BP 2021-2025'!CQ624/1000000)+('BUDGET REVENUE CML 2021-2025'!BB342/10^6)</f>
        <v>1770.6424890000001</v>
      </c>
      <c r="ID7" s="157">
        <f>'BUDGET REVENUE BP 2021-2025'!CR624/1000000</f>
        <v>1736.1969999999999</v>
      </c>
      <c r="IE7" s="157">
        <f>'BUDGET REVENUE BP 2021-2025'!CS624/1000000+71.1660699999993</f>
        <v>1805.8070689999993</v>
      </c>
      <c r="IF7" s="157">
        <f>'BUDGET REVENUE BP 2021-2025'!CT624/1000000</f>
        <v>1219</v>
      </c>
      <c r="IG7" s="157">
        <f>'BUDGET REVENUE BP 2021-2025'!CU624/1000000-2.05719999999974</f>
        <v>1544.0751660000003</v>
      </c>
      <c r="IH7" s="157">
        <v>1861.0025369244138</v>
      </c>
      <c r="II7" s="157">
        <f>'BUDGET REVENUE BP 2021-2025'!CW624/1000000+129</f>
        <v>1840.0431120000001</v>
      </c>
      <c r="IJ7" s="157">
        <v>1469.4341217762449</v>
      </c>
      <c r="IK7" s="157">
        <f>'BUDGET REVENUE BP 2021-2025'!CY624/1000000</f>
        <v>2914.732469</v>
      </c>
      <c r="IL7" s="157">
        <v>1769.7065727558181</v>
      </c>
      <c r="IM7" s="157">
        <f>'BUDGET REVENUE BP 2021-2025'!DA624/1000000+189</f>
        <v>2679.6586600000001</v>
      </c>
      <c r="IN7" s="157">
        <v>2817.6194882093491</v>
      </c>
      <c r="IO7" s="157">
        <f>'BUDGET REVENUE BP 2021-2025'!DC624/1000000</f>
        <v>2730.3038569999999</v>
      </c>
      <c r="IP7" s="157">
        <v>2843.7324257622308</v>
      </c>
      <c r="IQ7" s="157">
        <f>'BUDGET REVENUE BP 2021-2025'!DE624/1000000</f>
        <v>0</v>
      </c>
      <c r="IR7" s="157">
        <v>3430.9868425828708</v>
      </c>
      <c r="IS7" s="637">
        <f>'BUDGET REVENUE BP 2021-2025'!DG624/1000000</f>
        <v>3253</v>
      </c>
      <c r="IT7" s="157">
        <f>'BUDGET REVENUE BP 2021-2025'!DH624/1000000</f>
        <v>0</v>
      </c>
      <c r="IU7" s="157">
        <v>2751.4608915541244</v>
      </c>
      <c r="IV7" s="637">
        <f>'BUDGET REVENUE BP 2021-2025'!DJ624/1000000</f>
        <v>3403</v>
      </c>
      <c r="IW7" s="157">
        <f>'BUDGET REVENUE BP 2021-2025'!DK624/1000000</f>
        <v>0</v>
      </c>
      <c r="IX7" s="157">
        <v>3335.9212264070961</v>
      </c>
      <c r="IY7" s="637">
        <f>'BUDGET REVENUE BP 2021-2025'!DM624/1000000</f>
        <v>3518</v>
      </c>
      <c r="IZ7" s="157">
        <f>'BUDGET REVENUE BP 2021-2025'!DN624/1000000</f>
        <v>0</v>
      </c>
      <c r="JA7" s="157">
        <v>3195.5501994421857</v>
      </c>
      <c r="JB7" s="637">
        <f>'BUDGET REVENUE BP 2021-2025'!DP624/1000000</f>
        <v>3548</v>
      </c>
      <c r="JC7" s="170">
        <f>SUM(IB7,IC7,IE7)</f>
        <v>5469.1122939999996</v>
      </c>
      <c r="JD7" s="170">
        <f>SUM(IG7,II7,IK7)</f>
        <v>6298.8507470000004</v>
      </c>
      <c r="JE7" s="170">
        <f>SUM(IM7,IO7,IR7)</f>
        <v>8840.9493595828717</v>
      </c>
      <c r="JF7" s="170">
        <f>SUM(IU7,IX7,JA7)</f>
        <v>9282.9323174034071</v>
      </c>
      <c r="JG7" s="170">
        <f>JC7+JD7+JE7+JF7</f>
        <v>29891.844717986278</v>
      </c>
      <c r="JH7" s="592">
        <f>IB7+IC7+IE7+IG7+II7+IK7+IM7+IO7+IS7+IV7+IY7+JB7</f>
        <v>30899.925557999999</v>
      </c>
      <c r="JI7" s="930">
        <f>'BUDGET REVENUE BP 2021-2025'!DS624/10^6</f>
        <v>2375</v>
      </c>
      <c r="JJ7" s="930">
        <f>'BUDGET REVENUE BP 2021-2025'!DT624/10^6</f>
        <v>2595</v>
      </c>
      <c r="JK7" s="930">
        <f>'BUDGET REVENUE BP 2021-2025'!DU624/10^6</f>
        <v>2625</v>
      </c>
      <c r="JL7" s="930">
        <f>'BUDGET REVENUE BP 2021-2025'!DV624/10^6</f>
        <v>2645</v>
      </c>
      <c r="JM7" s="930">
        <f>'BUDGET REVENUE BP 2021-2025'!DW624/10^6</f>
        <v>2425</v>
      </c>
      <c r="JN7" s="930">
        <f>'BUDGET REVENUE BP 2021-2025'!DX624/10^6</f>
        <v>3095</v>
      </c>
      <c r="JO7" s="930">
        <f>'BUDGET REVENUE BP 2021-2025'!DY624/10^6</f>
        <v>3125</v>
      </c>
      <c r="JP7" s="930">
        <f>'BUDGET REVENUE BP 2021-2025'!DZ624/10^6</f>
        <v>3595</v>
      </c>
      <c r="JQ7" s="930">
        <f>'BUDGET REVENUE BP 2021-2025'!EA624/10^6</f>
        <v>3225</v>
      </c>
      <c r="JR7" s="930">
        <f>'BUDGET REVENUE BP 2021-2025'!EB624/10^6</f>
        <v>3195</v>
      </c>
      <c r="JS7" s="930">
        <f>'BUDGET REVENUE BP 2021-2025'!EC624/10^6</f>
        <v>3625</v>
      </c>
      <c r="JT7" s="930">
        <f>'BUDGET REVENUE BP 2021-2025'!ED624/10^6</f>
        <v>3245</v>
      </c>
      <c r="JU7" s="930">
        <f>JI7+JJ7+JK7+JL7+JM7+JN7+JO7+JP7+JQ7+JR7+JS7+JT7</f>
        <v>35770</v>
      </c>
      <c r="JV7" s="157">
        <f>'BUDGET REVENUE TBS 2021'!F68</f>
        <v>1638.43209</v>
      </c>
      <c r="JW7" s="157">
        <f>'BUDGET REVENUE TBS 2021'!G68-217.114188820059</f>
        <v>2567</v>
      </c>
      <c r="JX7" s="157">
        <v>0</v>
      </c>
      <c r="JY7" s="157">
        <f>'BUDGET REVENUE TBS 2021'!J68</f>
        <v>2294.1713630000004</v>
      </c>
      <c r="JZ7" s="157">
        <v>0</v>
      </c>
      <c r="KA7" s="157">
        <f>'BUDGET REVENUE TBS 2021'!N68</f>
        <v>2309.807863</v>
      </c>
      <c r="KB7" s="157">
        <v>2142.91</v>
      </c>
      <c r="KC7" s="157">
        <f>'BUDGET REVENUE TBS 2021'!P68</f>
        <v>1842.6506469999999</v>
      </c>
      <c r="KD7" s="157">
        <v>2121.3940000000002</v>
      </c>
      <c r="KE7" s="157">
        <f>'BUDGET REVENUE TBS 2021'!S68</f>
        <v>2092.5615040000002</v>
      </c>
      <c r="KF7" s="157">
        <v>4207.3680000000004</v>
      </c>
      <c r="KG7" s="157">
        <f>'BUDGET REVENUE TBS 2021'!Y68</f>
        <v>2000.1727010000002</v>
      </c>
      <c r="KH7" s="157">
        <v>3038.5269518400414</v>
      </c>
      <c r="KI7" s="157">
        <f>'BUDGET REVENUE TBS 2021'!AB68</f>
        <v>1811.0670500000001</v>
      </c>
      <c r="KJ7" s="157">
        <v>3065.1919192196415</v>
      </c>
      <c r="KK7" s="157">
        <f>'BUDGET REVENUE TBS 2021'!AE68</f>
        <v>0</v>
      </c>
      <c r="KL7" s="157">
        <v>3226.8610490176902</v>
      </c>
      <c r="KM7" s="637">
        <f>'BUDGET REVENUE TBS 2021'!AG68</f>
        <v>1819.7425999999998</v>
      </c>
      <c r="KN7" s="157">
        <f>'BUDGET REVENUE TBS 2021'!AL68</f>
        <v>0</v>
      </c>
      <c r="KO7" s="157">
        <v>3390.0343516402349</v>
      </c>
      <c r="KP7" s="637">
        <f>'BUDGET REVENUE TBS 2021'!AN68</f>
        <v>2825.3311111111107</v>
      </c>
      <c r="KQ7" s="157">
        <f>'BUDGET REVENUE TBS 2021'!AP68</f>
        <v>0</v>
      </c>
      <c r="KR7" s="157">
        <v>3402.7118375193349</v>
      </c>
      <c r="KS7" s="637">
        <f>'BUDGET REVENUE TBS 2021'!AR68</f>
        <v>2340.0411111111111</v>
      </c>
      <c r="KT7" s="157">
        <f>'BUDGET REVENUE TBS 2021'!AT68</f>
        <v>0</v>
      </c>
      <c r="KU7" s="157">
        <v>3431.8935171131334</v>
      </c>
      <c r="KV7" s="637">
        <f>'BUDGET REVENUE TBS 2021'!AV68</f>
        <v>2083.8211111111109</v>
      </c>
      <c r="KW7" s="170">
        <f>SUM(JV7,JW7,JY7)</f>
        <v>6499.6034530000006</v>
      </c>
      <c r="KX7" s="170">
        <f>SUM(KA7,KC7,KE7)</f>
        <v>6245.0200140000006</v>
      </c>
      <c r="KY7" s="170">
        <f>SUM(KG7,KI7,KL7)</f>
        <v>7038.1008000176898</v>
      </c>
      <c r="KZ7" s="170">
        <f>SUM(KO7,KR7,KU7)</f>
        <v>10224.639706272705</v>
      </c>
      <c r="LA7" s="170">
        <f>KW7+KX7+KY7+KZ7</f>
        <v>30007.363973290398</v>
      </c>
      <c r="LB7" s="592">
        <f>JV7+JW7+JY7+KA7+KC7+KE7+KG7+KI7+KM7+KP7+KS7+KV7</f>
        <v>25624.799151333336</v>
      </c>
      <c r="LC7" s="930">
        <f>'BUDGET REVENUE TBS 2021'!BD68</f>
        <v>1250.875</v>
      </c>
      <c r="LD7" s="930">
        <f>'BUDGET REVENUE TBS 2021'!BE68</f>
        <v>1930.0191085416666</v>
      </c>
      <c r="LE7" s="930">
        <f>'BUDGET REVENUE TBS 2021'!BF68</f>
        <v>2015.8837521463538</v>
      </c>
      <c r="LF7" s="930">
        <f>'BUDGET REVENUE TBS 2021'!BG68</f>
        <v>3386.4398768855035</v>
      </c>
      <c r="LG7" s="930">
        <f>'BUDGET REVENUE TBS 2021'!BH68</f>
        <v>3126.1894557443843</v>
      </c>
      <c r="LH7" s="930">
        <f>'BUDGET REVENUE TBS 2021'!BI68</f>
        <v>3265.2500418837453</v>
      </c>
      <c r="LI7" s="930">
        <f>'BUDGET REVENUE TBS 2021'!BJ68</f>
        <v>3530.4202004884546</v>
      </c>
      <c r="LJ7" s="930">
        <f>'BUDGET REVENUE TBS 2021'!BK68</f>
        <v>3914.401430156342</v>
      </c>
      <c r="LK7" s="930">
        <f>'BUDGET REVENUE TBS 2021'!BL68</f>
        <v>3759.2688295650669</v>
      </c>
      <c r="LL7" s="930">
        <f>'BUDGET REVENUE TBS 2021'!BM68</f>
        <v>4070.2090974723124</v>
      </c>
      <c r="LM7" s="930">
        <f>'BUDGET REVENUE TBS 2021'!BN68</f>
        <v>3749.4355993826593</v>
      </c>
      <c r="LN7" s="930">
        <f>'BUDGET REVENUE TBS 2021'!BO68</f>
        <v>3657.4017008811161</v>
      </c>
      <c r="LO7" s="930">
        <f>LC7+LD7+LE7+LF7+LG7+LH7+LI7+LJ7+LK7+LL7+LM7+LN7</f>
        <v>37655.794093147597</v>
      </c>
      <c r="LP7" s="578">
        <v>1589.842948</v>
      </c>
      <c r="LQ7" s="578">
        <v>1730.7087859999999</v>
      </c>
      <c r="LR7" s="578">
        <f>LQ7</f>
        <v>1730.7087859999999</v>
      </c>
      <c r="LS7" s="578">
        <v>1750.7055809999999</v>
      </c>
      <c r="LT7" s="578">
        <f>LS7</f>
        <v>1750.7055809999999</v>
      </c>
      <c r="LU7" s="578">
        <v>1720.604685</v>
      </c>
      <c r="LV7" s="578">
        <v>1749.0000000000002</v>
      </c>
      <c r="LW7" s="578">
        <v>1497.091398</v>
      </c>
      <c r="LX7" s="578">
        <v>1749.0000000000002</v>
      </c>
      <c r="LY7" s="578">
        <v>1683.5309540000001</v>
      </c>
      <c r="LZ7" s="578">
        <v>1749.0000000000002</v>
      </c>
      <c r="MA7" s="578">
        <v>1590.1190779999999</v>
      </c>
      <c r="MB7" s="578">
        <v>1765.4932143405001</v>
      </c>
      <c r="MC7" s="578">
        <v>1724.252054</v>
      </c>
      <c r="MD7" s="578">
        <v>1765.4932143405001</v>
      </c>
      <c r="ME7" s="578"/>
      <c r="MF7" s="578">
        <v>1765.4932143405001</v>
      </c>
      <c r="MG7" s="637">
        <f>MF7</f>
        <v>1765.4932143405001</v>
      </c>
      <c r="MH7" s="578"/>
      <c r="MI7" s="578">
        <v>1765.4932143405001</v>
      </c>
      <c r="MJ7" s="637">
        <f>MI7</f>
        <v>1765.4932143405001</v>
      </c>
      <c r="MK7" s="578"/>
      <c r="ML7" s="578">
        <v>1765.4932143405001</v>
      </c>
      <c r="MM7" s="637">
        <f>ML7</f>
        <v>1765.4932143405001</v>
      </c>
      <c r="MN7" s="578"/>
      <c r="MO7" s="578">
        <v>1765.4932143405001</v>
      </c>
      <c r="MP7" s="637">
        <f>MO7</f>
        <v>1765.4932143405001</v>
      </c>
      <c r="MQ7" s="170">
        <f>SUM(LP7,LQ7,LT7)</f>
        <v>5071.2573149999998</v>
      </c>
      <c r="MR7" s="170">
        <f>SUM(LU7,LW7,LY7)</f>
        <v>4901.2270369999997</v>
      </c>
      <c r="MS7" s="170">
        <f>SUM(MA7,MC7,MF7)</f>
        <v>5079.8643463405006</v>
      </c>
      <c r="MT7" s="170">
        <f>SUM(MI7,ML7,MO7)</f>
        <v>5296.4796430215001</v>
      </c>
      <c r="MU7" s="170">
        <f>MQ7+MR7+MS7+MT7</f>
        <v>20348.828341362001</v>
      </c>
      <c r="MV7" s="592">
        <f>LP7+LQ7+LS7+LU7+LW7+LY7+MA7+MC7+MG7+MJ7+MM7+MP7</f>
        <v>20348.828341361997</v>
      </c>
      <c r="MW7" s="1046">
        <v>1780</v>
      </c>
      <c r="MX7" s="1046">
        <v>1780</v>
      </c>
      <c r="MY7" s="1046">
        <v>1780</v>
      </c>
      <c r="MZ7" s="1046">
        <v>1780</v>
      </c>
      <c r="NA7" s="1046">
        <v>1669</v>
      </c>
      <c r="NB7" s="1046">
        <v>1780</v>
      </c>
      <c r="NC7" s="1046">
        <v>1780</v>
      </c>
      <c r="ND7" s="1046">
        <v>1780</v>
      </c>
      <c r="NE7" s="1046">
        <v>1780</v>
      </c>
      <c r="NF7" s="1046">
        <v>1780</v>
      </c>
      <c r="NG7" s="1046">
        <v>1780</v>
      </c>
      <c r="NH7" s="1046">
        <v>1780</v>
      </c>
      <c r="NI7" s="930">
        <f>MW7+MX7+MY7+MZ7+NA7+NB7+NC7+ND7+NE7+NF7+NG7+NH7</f>
        <v>21249</v>
      </c>
      <c r="NJ7" s="576">
        <v>-461.22300000000001</v>
      </c>
      <c r="NK7" s="576">
        <v>-633.92826500000001</v>
      </c>
      <c r="NL7" s="576">
        <f>NM7</f>
        <v>-438.40600000000001</v>
      </c>
      <c r="NM7" s="576">
        <v>-438.40600000000001</v>
      </c>
      <c r="NN7" s="576">
        <f>NO7</f>
        <v>-448.74567300000001</v>
      </c>
      <c r="NO7" s="576">
        <v>-448.74567300000001</v>
      </c>
      <c r="NP7" s="576">
        <v>-634</v>
      </c>
      <c r="NQ7" s="576">
        <v>-427.40750000000003</v>
      </c>
      <c r="NR7" s="576">
        <v>-634</v>
      </c>
      <c r="NS7" s="576">
        <v>-432.95230800000002</v>
      </c>
      <c r="NT7" s="576">
        <v>-634</v>
      </c>
      <c r="NU7" s="576">
        <v>-431.05950000000001</v>
      </c>
      <c r="NV7" s="576">
        <v>-1061.33927421095</v>
      </c>
      <c r="NW7" s="596">
        <v>-432.18549999999999</v>
      </c>
      <c r="NX7" s="576">
        <v>-1171.4024445256</v>
      </c>
      <c r="NY7" s="596"/>
      <c r="NZ7" s="576">
        <v>-1139.34973912635</v>
      </c>
      <c r="OA7" s="596"/>
      <c r="OB7" s="576">
        <v>-1143.9785733566098</v>
      </c>
      <c r="OC7" s="596"/>
      <c r="OD7" s="576">
        <v>-1162.39459878912</v>
      </c>
      <c r="OE7" s="596"/>
      <c r="OF7" s="576">
        <v>-1130.9643490446797</v>
      </c>
      <c r="OG7" s="170">
        <f>SUM(NJ7,NK7,NN7)</f>
        <v>-1543.8969379999999</v>
      </c>
      <c r="OH7" s="170">
        <f>SUM(NO7,NQ7,NS7)</f>
        <v>-1309.1054810000001</v>
      </c>
      <c r="OI7" s="170">
        <f>SUM(NU7,NW7,NZ7)</f>
        <v>-2002.5947391263499</v>
      </c>
      <c r="OJ7" s="170">
        <f>SUM(OB7,OD7,OF7)</f>
        <v>-3437.3375211904095</v>
      </c>
      <c r="OK7" s="170">
        <f>OG7+OH7+OI7+OJ7</f>
        <v>-8292.9346793167588</v>
      </c>
      <c r="OL7" s="934">
        <v>-463</v>
      </c>
      <c r="OM7" s="934">
        <v>-463</v>
      </c>
      <c r="ON7" s="934">
        <v>-463</v>
      </c>
      <c r="OO7" s="934">
        <v>-463</v>
      </c>
      <c r="OP7" s="934">
        <v>-463</v>
      </c>
      <c r="OQ7" s="934">
        <v>-463</v>
      </c>
      <c r="OR7" s="934">
        <v>-463</v>
      </c>
      <c r="OS7" s="934">
        <v>-463</v>
      </c>
      <c r="OT7" s="934">
        <v>-463</v>
      </c>
      <c r="OU7" s="934">
        <v>-463</v>
      </c>
      <c r="OV7" s="934">
        <v>-463</v>
      </c>
      <c r="OW7" s="934">
        <v>-463</v>
      </c>
      <c r="OX7" s="930">
        <f>OL7+OM7+ON7+OO7+OP7+OQ7+OR7+OS7+OT7+OU7+OV7+OW7</f>
        <v>-5556</v>
      </c>
      <c r="OY7" s="157">
        <f t="shared" ref="OY7:PN7" si="0">SUM(F7,AZ7,CT7,EN7,GH7,IB7,JV7,LP7,NJ7)</f>
        <v>16977.400290000001</v>
      </c>
      <c r="OZ7" s="157">
        <f t="shared" si="0"/>
        <v>17859.752182</v>
      </c>
      <c r="PA7" s="157">
        <f t="shared" si="0"/>
        <v>16278.854691999999</v>
      </c>
      <c r="PB7" s="157">
        <f t="shared" si="0"/>
        <v>22036.308872000001</v>
      </c>
      <c r="PC7" s="157">
        <f t="shared" si="0"/>
        <v>20661.976008999998</v>
      </c>
      <c r="PD7" s="157">
        <f t="shared" si="0"/>
        <v>22147.765684999995</v>
      </c>
      <c r="PE7" s="157">
        <f t="shared" si="0"/>
        <v>21726.539046107529</v>
      </c>
      <c r="PF7" s="157">
        <f t="shared" si="0"/>
        <v>16036.143213000001</v>
      </c>
      <c r="PG7" s="157">
        <f t="shared" si="0"/>
        <v>22456.909415024624</v>
      </c>
      <c r="PH7" s="157">
        <f t="shared" si="0"/>
        <v>19696.466101000002</v>
      </c>
      <c r="PI7" s="157">
        <f t="shared" si="0"/>
        <v>24195.356949335146</v>
      </c>
      <c r="PJ7" s="157">
        <f t="shared" si="0"/>
        <v>18751.263379</v>
      </c>
      <c r="PK7" s="157">
        <f t="shared" si="0"/>
        <v>24096.635246496739</v>
      </c>
      <c r="PL7" s="157">
        <f t="shared" si="0"/>
        <v>21336.308754000001</v>
      </c>
      <c r="PM7" s="157">
        <f t="shared" si="0"/>
        <v>26607.813846993842</v>
      </c>
      <c r="PN7" s="157">
        <f t="shared" si="0"/>
        <v>0</v>
      </c>
      <c r="PO7" s="157">
        <f>SUM(V7,BP7,BQ7,DJ7,FD7,GX7,IR7,KL7,MF7,NZ7)</f>
        <v>32228.17312218716</v>
      </c>
      <c r="PP7" s="637">
        <f t="shared" ref="PP7:PQ10" si="1">SUM(W7,BQ7,DK7,FE7,GY7,IS7,KM7,MG7,NZ7)</f>
        <v>25531.674296214151</v>
      </c>
      <c r="PQ7" s="157">
        <f t="shared" si="1"/>
        <v>0</v>
      </c>
      <c r="PR7" s="157">
        <f>SUM(Y7,BS7,BT7,DM7,FG7,HA7,IU7,KO7,MI7,OC7)</f>
        <v>33123.549153334461</v>
      </c>
      <c r="PS7" s="637">
        <f t="shared" ref="PS7:PT10" si="2">SUM(Z7,BT7,DN7,FH7,HB7,IV7,KP7,MJ7,OB7)</f>
        <v>27754.133973094999</v>
      </c>
      <c r="PT7" s="157">
        <f t="shared" si="2"/>
        <v>0</v>
      </c>
      <c r="PU7" s="157">
        <f>SUM(AB7,BV7,BW7,DP7,FJ7,HD7,IX7,KR7,ML7,OF7)</f>
        <v>30700.97208183254</v>
      </c>
      <c r="PV7" s="637">
        <f t="shared" ref="PV7:PW10" si="3">SUM(AC7,BW7,DQ7,FK7,HE7,IY7,KS7,MM7,OD7)</f>
        <v>28115.927947662487</v>
      </c>
      <c r="PW7" s="157">
        <f t="shared" si="3"/>
        <v>0</v>
      </c>
      <c r="PX7" s="157">
        <f>SUM(AE7,BY7,BZ7,DS7,FM7,HG7,JA7,KU7,MO7,OI7)</f>
        <v>30627.240523544711</v>
      </c>
      <c r="PY7" s="637">
        <f>SUM(AF7,BZ7,DT7,FN7,HH7,JB7,KV7,MP7,OF7)</f>
        <v>28161.446197406931</v>
      </c>
      <c r="PZ7" s="170">
        <f>SUM(OY7,OZ7,PB7)</f>
        <v>56873.461344000003</v>
      </c>
      <c r="QA7" s="170">
        <f>SUM(PD7,PF7,PH7)</f>
        <v>57880.374998999992</v>
      </c>
      <c r="QB7" s="170">
        <f>SUM(PJ7,PL7,PO7)</f>
        <v>72315.745255187154</v>
      </c>
      <c r="QC7" s="170">
        <f>SUM(PR7,PU7,PX7)</f>
        <v>94451.761758711713</v>
      </c>
      <c r="QD7" s="170">
        <f>PZ7+QA7+QB7+QC7</f>
        <v>281521.34335689887</v>
      </c>
      <c r="QE7" s="592">
        <f>OY7+OZ7+PB7+PD7+PF7+PH7+PJ7+PL7+PP7+PS7+PV7+PY7</f>
        <v>264404.59089037857</v>
      </c>
      <c r="QF7" s="681"/>
      <c r="QG7" s="681"/>
      <c r="QH7" s="930">
        <f>AM7+CG7+EA7+FU7+HO7+JI7+LC7+MW7+OL7</f>
        <v>21788.676951000001</v>
      </c>
      <c r="QI7" s="930">
        <f t="shared" ref="QI7:QR7" si="4">AN7+CH7+EB7+FV7+HP7+JJ7+LD7+MX7+OM7</f>
        <v>23128.264618541667</v>
      </c>
      <c r="QJ7" s="930">
        <f t="shared" si="4"/>
        <v>24883.960703146353</v>
      </c>
      <c r="QK7" s="930">
        <f t="shared" si="4"/>
        <v>26016.541916885504</v>
      </c>
      <c r="QL7" s="930">
        <f t="shared" si="4"/>
        <v>25934.166406744385</v>
      </c>
      <c r="QM7" s="930">
        <f t="shared" si="4"/>
        <v>28582.565475883745</v>
      </c>
      <c r="QN7" s="930">
        <f t="shared" si="4"/>
        <v>29111.497151488456</v>
      </c>
      <c r="QO7" s="930">
        <f t="shared" si="4"/>
        <v>30182.20588015634</v>
      </c>
      <c r="QP7" s="930">
        <f t="shared" si="4"/>
        <v>29406.845780565069</v>
      </c>
      <c r="QQ7" s="930">
        <f t="shared" si="4"/>
        <v>29798.786048472313</v>
      </c>
      <c r="QR7" s="930">
        <f t="shared" si="4"/>
        <v>29718.012550382664</v>
      </c>
      <c r="QS7" s="930">
        <f>AX7+CR7+EL7+GF7+HZ7+JT7+LN7+NH7+OW7</f>
        <v>29284.47865188112</v>
      </c>
      <c r="QT7" s="930">
        <f>QH7+QI7+QJ7+QK7+QL7+QM7+QN7+QO7+QP7+QQ7+QR7+QS7</f>
        <v>327836.00213514763</v>
      </c>
      <c r="QU7" s="167">
        <f>SUM(AG7,CA7,DU7,FO7,HI7,JC7,KW7)</f>
        <v>53335.761294000004</v>
      </c>
    </row>
    <row r="8" spans="1:465">
      <c r="A8" s="143" t="s">
        <v>308</v>
      </c>
      <c r="B8" s="143"/>
      <c r="C8" s="143"/>
      <c r="D8" s="143"/>
      <c r="E8" s="143"/>
      <c r="F8" s="157">
        <f>'BUDGET REVENUE CML 2021-2025'!BA169/10^6</f>
        <v>879.65052300000002</v>
      </c>
      <c r="G8" s="157">
        <f>'BUDGET REVENUE CML 2021-2025'!BB169/10^6</f>
        <v>986.75852499999996</v>
      </c>
      <c r="H8" s="157">
        <f>'BUDGET REVENUE CML 2021-2025'!BC169/10^6</f>
        <v>881.86172799999997</v>
      </c>
      <c r="I8" s="157">
        <f>'BUDGET REVENUE CML 2021-2025'!BD169/10^6</f>
        <v>957.99112200000002</v>
      </c>
      <c r="J8" s="157">
        <f>'BUDGET REVENUE CML 2021-2025'!BE169/10^6</f>
        <v>926.53749500000004</v>
      </c>
      <c r="K8" s="157">
        <f>'BUDGET REVENUE CML 2021-2025'!BF169/10^6</f>
        <v>922.71155199999998</v>
      </c>
      <c r="L8" s="157">
        <v>1088.7246096779177</v>
      </c>
      <c r="M8" s="157">
        <f>'BUDGET REVENUE CML 2021-2025'!BH169/10^6</f>
        <v>913.58542799999998</v>
      </c>
      <c r="N8" s="157">
        <v>1204.7275638629649</v>
      </c>
      <c r="O8" s="157">
        <f>'BUDGET REVENUE CML 2021-2025'!BJ169/10^6</f>
        <v>1012.531575</v>
      </c>
      <c r="P8" s="578">
        <v>1276.9364863166563</v>
      </c>
      <c r="Q8" s="157">
        <f>'BUDGET REVENUE CML 2021-2025'!BL169/10^6</f>
        <v>864.33399099999997</v>
      </c>
      <c r="R8" s="578">
        <f>'BUDGET REVENUE CML 2021-2025'!AE169/10^6</f>
        <v>1353.7642231500001</v>
      </c>
      <c r="S8" s="578">
        <f>'BUDGET REVENUE CML 2021-2025'!BN169/10^6</f>
        <v>753.43856200000005</v>
      </c>
      <c r="T8" s="578">
        <f>'BUDGET REVENUE CML 2021-2025'!AF169/10^6</f>
        <v>1353.7642231500001</v>
      </c>
      <c r="U8" s="578">
        <f>'BUDGET REVENUE CML 2021-2025'!BP169/10^6</f>
        <v>0</v>
      </c>
      <c r="V8" s="578">
        <f>'BUDGET REVENUE CML 2021-2025'!AG169/10^6</f>
        <v>1353.7642231500001</v>
      </c>
      <c r="W8" s="637">
        <f>'BUDGET REVENUE CML 2021-2025'!BR169/10^6</f>
        <v>1179.8440000000001</v>
      </c>
      <c r="X8" s="578">
        <f>'BUDGET REVENUE CML 2021-2025'!BS169/10^6</f>
        <v>0</v>
      </c>
      <c r="Y8" s="578">
        <f>'BUDGET REVENUE CML 2021-2025'!AH169/10^6</f>
        <v>1448.7642231500001</v>
      </c>
      <c r="Z8" s="637">
        <f>'BUDGET REVENUE CML 2021-2025'!BU169/10^6</f>
        <v>1365.8440000000001</v>
      </c>
      <c r="AA8" s="578">
        <f>'BUDGET REVENUE CML 2021-2025'!BV169/10^6</f>
        <v>0</v>
      </c>
      <c r="AB8" s="578">
        <f>'BUDGET REVENUE CML 2021-2025'!AI169/10^6</f>
        <v>1448.7642231500001</v>
      </c>
      <c r="AC8" s="637">
        <f>'BUDGET REVENUE CML 2021-2025'!BX169/10^6</f>
        <v>1391.8440000000001</v>
      </c>
      <c r="AD8" s="578">
        <f>'BUDGET REVENUE CML 2021-2025'!BY169/10^6</f>
        <v>0</v>
      </c>
      <c r="AE8" s="578">
        <f>'BUDGET REVENUE CML 2021-2025'!AJ169/10^6</f>
        <v>1448.7642231500001</v>
      </c>
      <c r="AF8" s="637">
        <f>'BUDGET REVENUE CML 2021-2025'!CA169/10^6</f>
        <v>1411.8440000000001</v>
      </c>
      <c r="AG8" s="170">
        <f>SUM(F8,G8,I8)</f>
        <v>2824.4001699999999</v>
      </c>
      <c r="AH8" s="170">
        <f>SUM(K8,M8,O8)</f>
        <v>2848.8285550000001</v>
      </c>
      <c r="AI8" s="170">
        <f>SUM(Q8,S8,V8)</f>
        <v>2971.5367761500002</v>
      </c>
      <c r="AJ8" s="170">
        <f>SUM(Z8,AC8,AF8)</f>
        <v>4169.5320000000002</v>
      </c>
      <c r="AK8" s="170">
        <f>AG8+AH8+AI8+AJ8</f>
        <v>12814.297501149998</v>
      </c>
      <c r="AL8" s="592">
        <f>F8+G8+I8+K8+M8+O8+Q8+S8+W8+Z8+AC8+AF8</f>
        <v>12640.377278000004</v>
      </c>
      <c r="AM8" s="930">
        <f>'BUDGET REVENUE CML 2021-2025'!CE169/10^6</f>
        <v>861</v>
      </c>
      <c r="AN8" s="930">
        <f>'BUDGET REVENUE CML 2021-2025'!CF169/10^6</f>
        <v>861</v>
      </c>
      <c r="AO8" s="930">
        <f>'BUDGET REVENUE CML 2021-2025'!CG169/10^6</f>
        <v>861</v>
      </c>
      <c r="AP8" s="930">
        <f>'BUDGET REVENUE CML 2021-2025'!CH169/10^6</f>
        <v>1411</v>
      </c>
      <c r="AQ8" s="930">
        <f>'BUDGET REVENUE CML 2021-2025'!CI169/10^6</f>
        <v>1411</v>
      </c>
      <c r="AR8" s="930">
        <f>'BUDGET REVENUE CML 2021-2025'!CJ169/10^6</f>
        <v>1441</v>
      </c>
      <c r="AS8" s="930">
        <f>'BUDGET REVENUE CML 2021-2025'!CK169/10^6</f>
        <v>1441</v>
      </c>
      <c r="AT8" s="930">
        <f>'BUDGET REVENUE CML 2021-2025'!CL169/10^6</f>
        <v>1441</v>
      </c>
      <c r="AU8" s="930">
        <f>'BUDGET REVENUE CML 2021-2025'!CM169/10^6</f>
        <v>1441</v>
      </c>
      <c r="AV8" s="930">
        <f>'BUDGET REVENUE CML 2021-2025'!CN169/10^6</f>
        <v>1441</v>
      </c>
      <c r="AW8" s="930">
        <f>'BUDGET REVENUE CML 2021-2025'!CO169/10^6</f>
        <v>1441</v>
      </c>
      <c r="AX8" s="930">
        <f>'BUDGET REVENUE CML 2021-2025'!CP169/10^6</f>
        <v>1441</v>
      </c>
      <c r="AY8" s="930">
        <f>AM8+AN8+AO8+AP8+AQ8+AR8+AS8+AT8+AU8+AV8+AW8+AX8</f>
        <v>15492</v>
      </c>
      <c r="AZ8" s="157">
        <f>'BUDGET REVENUE CML 2021-2025'!BA293/10^6</f>
        <v>0</v>
      </c>
      <c r="BA8" s="157">
        <f>'BUDGET REVENUE CML 2021-2025'!BB293/10^6</f>
        <v>0</v>
      </c>
      <c r="BB8" s="157">
        <f>'BUDGET REVENUE CML 2021-2025'!BC293/10^6</f>
        <v>0</v>
      </c>
      <c r="BC8" s="157">
        <f>'BUDGET REVENUE CML 2021-2025'!BD293/10^6</f>
        <v>0</v>
      </c>
      <c r="BD8" s="157">
        <f>'BUDGET REVENUE CML 2021-2025'!BE293/10^6</f>
        <v>0</v>
      </c>
      <c r="BE8" s="157">
        <f>'BUDGET REVENUE CML 2021-2025'!BF293/10^6</f>
        <v>0</v>
      </c>
      <c r="BF8" s="157">
        <v>0</v>
      </c>
      <c r="BG8" s="157">
        <f>'BUDGET REVENUE CML 2021-2025'!BH293/10^6</f>
        <v>0</v>
      </c>
      <c r="BH8" s="157">
        <v>0</v>
      </c>
      <c r="BI8" s="157">
        <f>'BUDGET REVENUE CML 2021-2025'!BJ293/10^6</f>
        <v>0</v>
      </c>
      <c r="BJ8" s="157">
        <v>0</v>
      </c>
      <c r="BK8" s="157">
        <f>'BUDGET REVENUE CML 2021-2025'!BL293/10^6</f>
        <v>0</v>
      </c>
      <c r="BL8" s="157">
        <f>'BUDGET REVENUE CML 2021-2025'!AE293/10^6</f>
        <v>0</v>
      </c>
      <c r="BM8" s="157">
        <f>'BUDGET REVENUE CML 2021-2025'!BN293/10^6</f>
        <v>0</v>
      </c>
      <c r="BN8" s="157">
        <f>'BUDGET REVENUE CML 2021-2025'!AF293/10^6</f>
        <v>0</v>
      </c>
      <c r="BO8" s="157">
        <f>'BUDGET REVENUE CML 2021-2025'!BP293/10^6</f>
        <v>0</v>
      </c>
      <c r="BP8" s="157">
        <f>'BUDGET REVENUE CML 2021-2025'!AG293/10^6</f>
        <v>0</v>
      </c>
      <c r="BQ8" s="637">
        <f>'BUDGET REVENUE CML 2021-2025'!BR293/10^6</f>
        <v>0</v>
      </c>
      <c r="BR8" s="157">
        <f>'BUDGET REVENUE CML 2021-2025'!BS293/10^6</f>
        <v>0</v>
      </c>
      <c r="BS8" s="157">
        <f>'BUDGET REVENUE CML 2021-2025'!AH293/10^6</f>
        <v>0</v>
      </c>
      <c r="BT8" s="637">
        <f>'BUDGET REVENUE CML 2021-2025'!BU293/10^6</f>
        <v>0</v>
      </c>
      <c r="BU8" s="157">
        <f>'BUDGET REVENUE CML 2021-2025'!BV293/10^6</f>
        <v>0</v>
      </c>
      <c r="BV8" s="157">
        <f>'BUDGET REVENUE CML 2021-2025'!AI293/10^6</f>
        <v>0</v>
      </c>
      <c r="BW8" s="637">
        <f>'BUDGET REVENUE CML 2021-2025'!BX293/10^6</f>
        <v>0</v>
      </c>
      <c r="BX8" s="157">
        <f>'BUDGET REVENUE CML 2021-2025'!BY293/10^6</f>
        <v>0</v>
      </c>
      <c r="BY8" s="157">
        <f>'BUDGET REVENUE CML 2021-2025'!AJ293/10^6</f>
        <v>0</v>
      </c>
      <c r="BZ8" s="637">
        <f>'BUDGET REVENUE CML 2021-2025'!CA293/10^6</f>
        <v>0</v>
      </c>
      <c r="CA8" s="170">
        <f>SUM(AZ8,BA8,BC8)</f>
        <v>0</v>
      </c>
      <c r="CB8" s="170">
        <f>SUM(BE8,BG8,BI8)</f>
        <v>0</v>
      </c>
      <c r="CC8" s="170">
        <f>SUM(BK8,BM8,BP8)</f>
        <v>0</v>
      </c>
      <c r="CD8" s="170">
        <f>SUM(BS8,BV8,BY8)</f>
        <v>0</v>
      </c>
      <c r="CE8" s="170">
        <f>CA8+CB8+CC8+CD8</f>
        <v>0</v>
      </c>
      <c r="CF8" s="592">
        <f>AZ8+BA8+BC8+BE8+BG8+BI8+BK8+BM8+BQ8+BT8+BW8+BZ8</f>
        <v>0</v>
      </c>
      <c r="CG8" s="930">
        <f>'BUDGET REVENUE CML 2021-2025'!CE293/10^6</f>
        <v>177.4</v>
      </c>
      <c r="CH8" s="930">
        <f>'BUDGET REVENUE CML 2021-2025'!CF293/10^6</f>
        <v>177.4</v>
      </c>
      <c r="CI8" s="930">
        <f>'BUDGET REVENUE CML 2021-2025'!CG293/10^6</f>
        <v>177.4</v>
      </c>
      <c r="CJ8" s="930">
        <f>'BUDGET REVENUE CML 2021-2025'!CH293/10^6</f>
        <v>177.4</v>
      </c>
      <c r="CK8" s="930">
        <f>'BUDGET REVENUE CML 2021-2025'!CI293/10^6</f>
        <v>177.4</v>
      </c>
      <c r="CL8" s="930">
        <f>'BUDGET REVENUE CML 2021-2025'!CJ293/10^6</f>
        <v>177.4</v>
      </c>
      <c r="CM8" s="930">
        <f>'BUDGET REVENUE CML 2021-2025'!CK293/10^6</f>
        <v>177.4</v>
      </c>
      <c r="CN8" s="930">
        <f>'BUDGET REVENUE CML 2021-2025'!CL293/10^6</f>
        <v>177.4</v>
      </c>
      <c r="CO8" s="930">
        <f>'BUDGET REVENUE CML 2021-2025'!CM293/10^6</f>
        <v>177.4</v>
      </c>
      <c r="CP8" s="930">
        <f>'BUDGET REVENUE CML 2021-2025'!CN293/10^6</f>
        <v>177.4</v>
      </c>
      <c r="CQ8" s="930">
        <f>'BUDGET REVENUE CML 2021-2025'!CO293/10^6</f>
        <v>177.4</v>
      </c>
      <c r="CR8" s="930">
        <f>'BUDGET REVENUE CML 2021-2025'!CP293/10^6</f>
        <v>177.4</v>
      </c>
      <c r="CS8" s="930">
        <f>CG8+CH8+CI8+CJ8+CK8+CL8+CM8+CN8+CO8+CP8+CQ8+CR8</f>
        <v>2128.8000000000006</v>
      </c>
      <c r="CT8" s="157">
        <v>0</v>
      </c>
      <c r="CU8" s="157">
        <v>0</v>
      </c>
      <c r="CV8" s="157">
        <v>0</v>
      </c>
      <c r="CW8" s="157">
        <v>0</v>
      </c>
      <c r="CX8" s="157">
        <v>0</v>
      </c>
      <c r="CY8" s="157">
        <v>0</v>
      </c>
      <c r="CZ8" s="157">
        <v>0</v>
      </c>
      <c r="DA8" s="157">
        <v>0</v>
      </c>
      <c r="DB8" s="157">
        <v>0</v>
      </c>
      <c r="DC8" s="157">
        <v>0</v>
      </c>
      <c r="DD8" s="157">
        <v>0</v>
      </c>
      <c r="DE8" s="157">
        <v>0</v>
      </c>
      <c r="DF8" s="157">
        <v>0</v>
      </c>
      <c r="DG8" s="157">
        <v>0</v>
      </c>
      <c r="DH8" s="157">
        <v>0</v>
      </c>
      <c r="DI8" s="157">
        <v>0</v>
      </c>
      <c r="DJ8" s="157">
        <v>0</v>
      </c>
      <c r="DK8" s="637"/>
      <c r="DL8" s="157">
        <v>0</v>
      </c>
      <c r="DM8" s="157">
        <v>0</v>
      </c>
      <c r="DN8" s="637"/>
      <c r="DO8" s="157">
        <v>0</v>
      </c>
      <c r="DP8" s="157">
        <v>0</v>
      </c>
      <c r="DQ8" s="637"/>
      <c r="DR8" s="157">
        <v>0</v>
      </c>
      <c r="DS8" s="157">
        <v>0</v>
      </c>
      <c r="DT8" s="637"/>
      <c r="DU8" s="170">
        <f>SUM(CT8,CU8,CW8)</f>
        <v>0</v>
      </c>
      <c r="DV8" s="170">
        <f>SUM(CY8,DA8,DC8)</f>
        <v>0</v>
      </c>
      <c r="DW8" s="170">
        <f>SUM(DE8,DG8,DJ8)</f>
        <v>0</v>
      </c>
      <c r="DX8" s="170">
        <f>SUM(DM8,DP8,DS8)</f>
        <v>0</v>
      </c>
      <c r="DY8" s="170">
        <f>DU8+DV8+DW8+DX8</f>
        <v>0</v>
      </c>
      <c r="DZ8" s="592">
        <f>CT8+CU8+CW8+CY8+DA8+DC8+DE8+DG8+DK8+DN8+DQ8+DT8</f>
        <v>0</v>
      </c>
      <c r="EA8" s="930">
        <v>0</v>
      </c>
      <c r="EB8" s="930">
        <v>0</v>
      </c>
      <c r="EC8" s="930">
        <v>0</v>
      </c>
      <c r="ED8" s="930">
        <v>0</v>
      </c>
      <c r="EE8" s="930">
        <v>0</v>
      </c>
      <c r="EF8" s="930">
        <v>0</v>
      </c>
      <c r="EG8" s="930">
        <v>0</v>
      </c>
      <c r="EH8" s="930">
        <v>0</v>
      </c>
      <c r="EI8" s="930">
        <v>0</v>
      </c>
      <c r="EJ8" s="930">
        <v>0</v>
      </c>
      <c r="EK8" s="930">
        <v>0</v>
      </c>
      <c r="EL8" s="930">
        <v>0</v>
      </c>
      <c r="EM8" s="930">
        <f>EA8+EB8+EC8+ED8+EE8+EF8+EG8+EH8+EI8+EJ8+EK8+EL8</f>
        <v>0</v>
      </c>
      <c r="EN8" s="157">
        <f>'BUDGET REVENUE BP 2021-2025'!CP295/1000000</f>
        <v>1533.7662789999999</v>
      </c>
      <c r="EO8" s="157">
        <f>'BUDGET REVENUE BP 2021-2025'!CQ295/1000000</f>
        <v>1515.123883</v>
      </c>
      <c r="EP8" s="157">
        <f>'BUDGET REVENUE BP 2021-2025'!CR295/1000000</f>
        <v>1426.575051</v>
      </c>
      <c r="EQ8" s="157">
        <f>'BUDGET REVENUE BP 2021-2025'!CS295/1000000</f>
        <v>1095.505962</v>
      </c>
      <c r="ER8" s="157">
        <f>'BUDGET REVENUE BP 2021-2025'!CT295/1000000</f>
        <v>1523</v>
      </c>
      <c r="ES8" s="157">
        <f>'BUDGET REVENUE BP 2021-2025'!CU295/1000000</f>
        <v>976.20256500000005</v>
      </c>
      <c r="ET8" s="157">
        <v>1536.5242586138966</v>
      </c>
      <c r="EU8" s="157">
        <f>'BUDGET REVENUE BP 2021-2025'!CW295/1000000</f>
        <v>830.95003299999996</v>
      </c>
      <c r="EV8" s="157">
        <v>1203.7445320014231</v>
      </c>
      <c r="EW8" s="157">
        <f>'BUDGET REVENUE BP 2021-2025'!CY295/1000000</f>
        <v>1358.5606029999999</v>
      </c>
      <c r="EX8" s="157">
        <v>1331.0043530621051</v>
      </c>
      <c r="EY8" s="157">
        <f>'BUDGET REVENUE BP 2021-2025'!DA295/1000000</f>
        <v>869.446146</v>
      </c>
      <c r="EZ8" s="157">
        <v>1444.2590174477962</v>
      </c>
      <c r="FA8" s="157">
        <f>'BUDGET REVENUE BP 2021-2025'!DC295/1000000</f>
        <v>1203.626442</v>
      </c>
      <c r="FB8" s="157">
        <v>1613.9653300141561</v>
      </c>
      <c r="FC8" s="157">
        <f>'BUDGET REVENUE BP 2021-2025'!DE295/1000000</f>
        <v>0</v>
      </c>
      <c r="FD8" s="157">
        <v>1743.8782944172215</v>
      </c>
      <c r="FE8" s="637">
        <f>'BUDGET REVENUE BP 2021-2025'!DG295/1000000</f>
        <v>1975</v>
      </c>
      <c r="FF8" s="157">
        <f>'BUDGET REVENUE BP 2021-2025'!DH295/1000000</f>
        <v>0</v>
      </c>
      <c r="FG8" s="157">
        <v>1755.4858962135138</v>
      </c>
      <c r="FH8" s="637">
        <f>'BUDGET REVENUE BP 2021-2025'!DJ295/1000000</f>
        <v>2025</v>
      </c>
      <c r="FI8" s="157">
        <f>'BUDGET REVENUE BP 2021-2025'!DK295/1000000</f>
        <v>0</v>
      </c>
      <c r="FJ8" s="157">
        <v>1679.2957364258261</v>
      </c>
      <c r="FK8" s="637">
        <f>'BUDGET REVENUE BP 2021-2025'!DM295/1000000</f>
        <v>2015</v>
      </c>
      <c r="FL8" s="157">
        <f>'BUDGET REVENUE BP 2021-2025'!DN295/1000000</f>
        <v>0</v>
      </c>
      <c r="FM8" s="157">
        <v>1650.8826435023382</v>
      </c>
      <c r="FN8" s="637">
        <f>'BUDGET REVENUE BP 2021-2025'!DP295/1000000</f>
        <v>1995</v>
      </c>
      <c r="FO8" s="170">
        <f>SUM(EN8,EO8,EQ8)</f>
        <v>4144.3961239999999</v>
      </c>
      <c r="FP8" s="170">
        <f>SUM(ES8,EU8,EW8)</f>
        <v>3165.713201</v>
      </c>
      <c r="FQ8" s="170">
        <f>SUM(EY8,FA8,FD8)</f>
        <v>3816.9508824172217</v>
      </c>
      <c r="FR8" s="170">
        <f>SUM(FG8,FJ8,FM8)</f>
        <v>5085.6642761416779</v>
      </c>
      <c r="FS8" s="170">
        <f>FO8+FP8+FQ8+FR8</f>
        <v>16212.724483558897</v>
      </c>
      <c r="FT8" s="592">
        <f>EN8+EO8+EQ8+ES8+EU8+EW8+EY8+FA8+FE8+FH8+FK8+FN8</f>
        <v>17393.181913</v>
      </c>
      <c r="FU8" s="930">
        <f>'BUDGET REVENUE BP 2021-2025'!DS295/10^6</f>
        <v>1638.5</v>
      </c>
      <c r="FV8" s="930">
        <f>'BUDGET REVENUE BP 2021-2025'!DT295/10^6</f>
        <v>1648.5</v>
      </c>
      <c r="FW8" s="930">
        <f>'BUDGET REVENUE BP 2021-2025'!DU295/10^6</f>
        <v>1588.5</v>
      </c>
      <c r="FX8" s="930">
        <f>'BUDGET REVENUE BP 2021-2025'!DV295/10^6</f>
        <v>1266.5</v>
      </c>
      <c r="FY8" s="930">
        <f>'BUDGET REVENUE BP 2021-2025'!DW295/10^6</f>
        <v>1316.5</v>
      </c>
      <c r="FZ8" s="930">
        <f>'BUDGET REVENUE BP 2021-2025'!DX295/10^6</f>
        <v>1628.5</v>
      </c>
      <c r="GA8" s="930">
        <f>'BUDGET REVENUE BP 2021-2025'!DY295/10^6</f>
        <v>1328.5</v>
      </c>
      <c r="GB8" s="930">
        <f>'BUDGET REVENUE BP 2021-2025'!DZ295/10^6</f>
        <v>1328.5</v>
      </c>
      <c r="GC8" s="930">
        <f>'BUDGET REVENUE BP 2021-2025'!EA295/10^6</f>
        <v>1628.5</v>
      </c>
      <c r="GD8" s="930">
        <f>'BUDGET REVENUE BP 2021-2025'!EB295/10^6</f>
        <v>1328.5</v>
      </c>
      <c r="GE8" s="930">
        <f>'BUDGET REVENUE BP 2021-2025'!EC295/10^6</f>
        <v>1328.5</v>
      </c>
      <c r="GF8" s="930">
        <f>'BUDGET REVENUE BP 2021-2025'!ED295/10^6</f>
        <v>1628.5</v>
      </c>
      <c r="GG8" s="930">
        <f>FU8+FV8+FW8+FX8+FY8+FZ8+GA8+GB8+GC8+GD8+GE8+GF8</f>
        <v>17658</v>
      </c>
      <c r="GH8" s="157">
        <v>0</v>
      </c>
      <c r="GI8" s="157">
        <v>0</v>
      </c>
      <c r="GJ8" s="157">
        <v>0</v>
      </c>
      <c r="GK8" s="157">
        <v>0</v>
      </c>
      <c r="GL8" s="157">
        <v>0</v>
      </c>
      <c r="GM8" s="157">
        <v>0</v>
      </c>
      <c r="GN8" s="157">
        <v>0</v>
      </c>
      <c r="GO8" s="157">
        <v>0</v>
      </c>
      <c r="GP8" s="157">
        <v>0</v>
      </c>
      <c r="GQ8" s="157">
        <v>0</v>
      </c>
      <c r="GR8" s="157">
        <v>0</v>
      </c>
      <c r="GS8" s="157">
        <v>0</v>
      </c>
      <c r="GT8" s="157">
        <v>0</v>
      </c>
      <c r="GU8" s="157">
        <v>0</v>
      </c>
      <c r="GV8" s="157">
        <v>0</v>
      </c>
      <c r="GW8" s="157">
        <v>0</v>
      </c>
      <c r="GX8" s="157">
        <v>0</v>
      </c>
      <c r="GY8" s="637"/>
      <c r="GZ8" s="157">
        <v>0</v>
      </c>
      <c r="HA8" s="157">
        <v>0</v>
      </c>
      <c r="HB8" s="637"/>
      <c r="HC8" s="157">
        <v>0</v>
      </c>
      <c r="HD8" s="157">
        <v>0</v>
      </c>
      <c r="HE8" s="637"/>
      <c r="HF8" s="157">
        <v>0</v>
      </c>
      <c r="HG8" s="157">
        <v>0</v>
      </c>
      <c r="HH8" s="637"/>
      <c r="HI8" s="170">
        <f>SUM(GH8,GI8,GK8)</f>
        <v>0</v>
      </c>
      <c r="HJ8" s="170">
        <f>SUM(GM8,GO8,GQ8)</f>
        <v>0</v>
      </c>
      <c r="HK8" s="170">
        <f>SUM(GS8,GU8,GX8)</f>
        <v>0</v>
      </c>
      <c r="HL8" s="170">
        <f>SUM(HA8,HD8,HG8)</f>
        <v>0</v>
      </c>
      <c r="HM8" s="170">
        <f>HI8+HJ8+HK8+HL8</f>
        <v>0</v>
      </c>
      <c r="HN8" s="592">
        <f>GH8+GI8+GK8+GM8+GO8+GQ8+GS8+GU8+GY8+HB8+HE8+HH8</f>
        <v>0</v>
      </c>
      <c r="HO8" s="930">
        <f>'BUDGET REVENUE BP 2021-2025'!DS838</f>
        <v>0</v>
      </c>
      <c r="HP8" s="930">
        <f>'BUDGET REVENUE BP 2021-2025'!DT838</f>
        <v>0</v>
      </c>
      <c r="HQ8" s="930">
        <f>'BUDGET REVENUE BP 2021-2025'!DU838</f>
        <v>0</v>
      </c>
      <c r="HR8" s="930">
        <f>'BUDGET REVENUE BP 2021-2025'!DV838</f>
        <v>0</v>
      </c>
      <c r="HS8" s="930">
        <f>'BUDGET REVENUE BP 2021-2025'!DW838</f>
        <v>0</v>
      </c>
      <c r="HT8" s="930">
        <f>'BUDGET REVENUE BP 2021-2025'!DX838</f>
        <v>0</v>
      </c>
      <c r="HU8" s="930">
        <f>'BUDGET REVENUE BP 2021-2025'!DY838</f>
        <v>0</v>
      </c>
      <c r="HV8" s="930">
        <f>'BUDGET REVENUE BP 2021-2025'!DZ838</f>
        <v>0</v>
      </c>
      <c r="HW8" s="930">
        <f>'BUDGET REVENUE BP 2021-2025'!EA838</f>
        <v>0</v>
      </c>
      <c r="HX8" s="930">
        <f>'BUDGET REVENUE BP 2021-2025'!EB838</f>
        <v>0</v>
      </c>
      <c r="HY8" s="930">
        <f>'BUDGET REVENUE BP 2021-2025'!EC838</f>
        <v>0</v>
      </c>
      <c r="HZ8" s="930">
        <f>'BUDGET REVENUE BP 2021-2025'!ED838</f>
        <v>0</v>
      </c>
      <c r="IA8" s="930">
        <f>HO8+HP8+HQ8+HR8+HS8+HT8+HU8+HV8+HW8+HX8+HY8+HZ8</f>
        <v>0</v>
      </c>
      <c r="IB8" s="157">
        <f>('BUDGET REVENUE BP 2021-2025'!CP655/1000000)+('BUDGET REVENUE CML 2021-2025'!BA344/10^6)</f>
        <v>145.02555000000001</v>
      </c>
      <c r="IC8" s="157">
        <f>'BUDGET REVENUE BP 2021-2025'!CQ655/1000000</f>
        <v>196.58661599999999</v>
      </c>
      <c r="ID8" s="157">
        <f>'BUDGET REVENUE BP 2021-2025'!CR655/1000000</f>
        <v>196</v>
      </c>
      <c r="IE8" s="157">
        <f>'BUDGET REVENUE BP 2021-2025'!CS655/1000000</f>
        <v>291.44792100000001</v>
      </c>
      <c r="IF8" s="157">
        <f>'BUDGET REVENUE BP 2021-2025'!CT655/1000000</f>
        <v>223</v>
      </c>
      <c r="IG8" s="157">
        <f>'BUDGET REVENUE BP 2021-2025'!CU655/1000000</f>
        <v>355.49098600000002</v>
      </c>
      <c r="IH8" s="157">
        <v>375.57101650738491</v>
      </c>
      <c r="II8" s="157">
        <f>'BUDGET REVENUE BP 2021-2025'!CW655/1000000</f>
        <v>280.68534</v>
      </c>
      <c r="IJ8" s="157">
        <v>348.79060225404953</v>
      </c>
      <c r="IK8" s="157">
        <f>'BUDGET REVENUE BP 2021-2025'!CY655/1000000</f>
        <v>356.585869</v>
      </c>
      <c r="IL8" s="157">
        <v>299.21603140896246</v>
      </c>
      <c r="IM8" s="157">
        <f>'BUDGET REVENUE BP 2021-2025'!DA655/1000000</f>
        <v>410.27898299999998</v>
      </c>
      <c r="IN8" s="157">
        <v>484.59246173484115</v>
      </c>
      <c r="IO8" s="157">
        <f>'BUDGET REVENUE BP 2021-2025'!DC655/1000000</f>
        <v>354.91984300000001</v>
      </c>
      <c r="IP8" s="157">
        <v>393.12690944735942</v>
      </c>
      <c r="IQ8" s="157">
        <f>'BUDGET REVENUE BP 2021-2025'!DE655/1000000</f>
        <v>0</v>
      </c>
      <c r="IR8" s="157">
        <v>406.78021586926093</v>
      </c>
      <c r="IS8" s="637">
        <f>'BUDGET REVENUE BP 2021-2025'!DG655/1000000</f>
        <v>418</v>
      </c>
      <c r="IT8" s="157">
        <f>'BUDGET REVENUE BP 2021-2025'!DH655/1000000</f>
        <v>0</v>
      </c>
      <c r="IU8" s="157">
        <v>432.60181542457576</v>
      </c>
      <c r="IV8" s="637">
        <f>'BUDGET REVENUE BP 2021-2025'!DJ655/1000000</f>
        <v>418</v>
      </c>
      <c r="IW8" s="157">
        <f>'BUDGET REVENUE BP 2021-2025'!DK655/1000000</f>
        <v>0</v>
      </c>
      <c r="IX8" s="157">
        <v>504.57461086342477</v>
      </c>
      <c r="IY8" s="637">
        <f>'BUDGET REVENUE BP 2021-2025'!DM655/1000000</f>
        <v>418</v>
      </c>
      <c r="IZ8" s="157">
        <f>'BUDGET REVENUE BP 2021-2025'!DN655/1000000</f>
        <v>0</v>
      </c>
      <c r="JA8" s="157">
        <v>435.84335656477697</v>
      </c>
      <c r="JB8" s="637">
        <f>'BUDGET REVENUE BP 2021-2025'!DP655/1000000</f>
        <v>418</v>
      </c>
      <c r="JC8" s="580">
        <f>SUM(IB8,IC8,IE8)</f>
        <v>633.06008700000007</v>
      </c>
      <c r="JD8" s="580">
        <f>SUM(IG8,II8,IK8)</f>
        <v>992.76219500000002</v>
      </c>
      <c r="JE8" s="170">
        <f>SUM(IM8,IO8,IR8)</f>
        <v>1171.979041869261</v>
      </c>
      <c r="JF8" s="580">
        <f>SUM(IU8,IX8,JA8)</f>
        <v>1373.0197828527776</v>
      </c>
      <c r="JG8" s="170">
        <f>JC8+JD8+JE8+JF8</f>
        <v>4170.8211067220382</v>
      </c>
      <c r="JH8" s="592">
        <f>IB8+IC8+IE8+IG8+II8+IK8+IM8+IO8+IS8+IV8+IY8+JB8</f>
        <v>4063.0211079999999</v>
      </c>
      <c r="JI8" s="930">
        <f>'BUDGET REVENUE BP 2021-2025'!DS655/10^6</f>
        <v>381</v>
      </c>
      <c r="JJ8" s="930">
        <f>'BUDGET REVENUE BP 2021-2025'!DT655/10^6</f>
        <v>381</v>
      </c>
      <c r="JK8" s="930">
        <f>'BUDGET REVENUE BP 2021-2025'!DU655/10^6</f>
        <v>381</v>
      </c>
      <c r="JL8" s="930">
        <f>'BUDGET REVENUE BP 2021-2025'!DV655/10^6</f>
        <v>381</v>
      </c>
      <c r="JM8" s="930">
        <f>'BUDGET REVENUE BP 2021-2025'!DW655/10^6</f>
        <v>381</v>
      </c>
      <c r="JN8" s="930">
        <f>'BUDGET REVENUE BP 2021-2025'!DX655/10^6</f>
        <v>381</v>
      </c>
      <c r="JO8" s="930">
        <f>'BUDGET REVENUE BP 2021-2025'!DY655/10^6</f>
        <v>381</v>
      </c>
      <c r="JP8" s="930">
        <f>'BUDGET REVENUE BP 2021-2025'!DZ655/10^6</f>
        <v>431</v>
      </c>
      <c r="JQ8" s="930">
        <f>'BUDGET REVENUE BP 2021-2025'!EA655/10^6</f>
        <v>431</v>
      </c>
      <c r="JR8" s="930">
        <f>'BUDGET REVENUE BP 2021-2025'!EB655/10^6</f>
        <v>431</v>
      </c>
      <c r="JS8" s="930">
        <f>'BUDGET REVENUE BP 2021-2025'!EC655/10^6</f>
        <v>431</v>
      </c>
      <c r="JT8" s="930">
        <f>'BUDGET REVENUE BP 2021-2025'!ED655/10^6</f>
        <v>431</v>
      </c>
      <c r="JU8" s="930">
        <f>JI8+JJ8+JK8+JL8+JM8+JN8+JO8+JP8+JQ8+JR8+JS8+JT8</f>
        <v>4822</v>
      </c>
      <c r="JV8" s="157">
        <v>0</v>
      </c>
      <c r="JW8" s="157">
        <v>0</v>
      </c>
      <c r="JX8" s="157">
        <v>0</v>
      </c>
      <c r="JY8" s="157">
        <v>0</v>
      </c>
      <c r="JZ8" s="157">
        <v>0</v>
      </c>
      <c r="KA8" s="157">
        <v>0</v>
      </c>
      <c r="KB8" s="157">
        <v>0</v>
      </c>
      <c r="KC8" s="157">
        <v>0</v>
      </c>
      <c r="KD8" s="157">
        <v>0</v>
      </c>
      <c r="KE8" s="157">
        <v>0</v>
      </c>
      <c r="KF8" s="157">
        <v>0</v>
      </c>
      <c r="KG8" s="157">
        <v>0</v>
      </c>
      <c r="KH8" s="157">
        <v>0</v>
      </c>
      <c r="KI8" s="157">
        <v>0</v>
      </c>
      <c r="KJ8" s="157">
        <v>0</v>
      </c>
      <c r="KK8" s="157">
        <v>0</v>
      </c>
      <c r="KL8" s="157">
        <v>0</v>
      </c>
      <c r="KM8" s="637"/>
      <c r="KN8" s="157">
        <v>0</v>
      </c>
      <c r="KO8" s="157">
        <v>0</v>
      </c>
      <c r="KP8" s="637"/>
      <c r="KQ8" s="157">
        <v>0</v>
      </c>
      <c r="KR8" s="157">
        <v>0</v>
      </c>
      <c r="KS8" s="637"/>
      <c r="KT8" s="157">
        <v>0</v>
      </c>
      <c r="KU8" s="157">
        <v>0</v>
      </c>
      <c r="KV8" s="637"/>
      <c r="KW8" s="170">
        <f>SUM(JV8,JW8,JZ8)</f>
        <v>0</v>
      </c>
      <c r="KX8" s="170">
        <f>SUM(KA8,KC8,KE8)</f>
        <v>0</v>
      </c>
      <c r="KY8" s="170">
        <f>SUM(KG8,KI8,KL8)</f>
        <v>0</v>
      </c>
      <c r="KZ8" s="170">
        <f>SUM(KO8,KR8,KU8)</f>
        <v>0</v>
      </c>
      <c r="LA8" s="170">
        <f>KW8+KX8+KY8+KZ8</f>
        <v>0</v>
      </c>
      <c r="LB8" s="592">
        <f>JV8+JW8+JY8+KA8+KC8+KE8+KG8+KI8+KM8+KP8+KS8+KV8</f>
        <v>0</v>
      </c>
      <c r="LC8" s="930">
        <v>0</v>
      </c>
      <c r="LD8" s="930">
        <v>0</v>
      </c>
      <c r="LE8" s="930">
        <v>0</v>
      </c>
      <c r="LF8" s="930">
        <v>0</v>
      </c>
      <c r="LG8" s="930">
        <v>0</v>
      </c>
      <c r="LH8" s="930">
        <v>0</v>
      </c>
      <c r="LI8" s="930">
        <v>0</v>
      </c>
      <c r="LJ8" s="930">
        <v>0</v>
      </c>
      <c r="LK8" s="930">
        <v>0</v>
      </c>
      <c r="LL8" s="930">
        <v>0</v>
      </c>
      <c r="LM8" s="930">
        <v>0</v>
      </c>
      <c r="LN8" s="930">
        <v>0</v>
      </c>
      <c r="LO8" s="930">
        <f>LC8+LD8+LE8+LF8+LG8+LH8+LI8+LJ8+LK8+LL8+LM8+LN8</f>
        <v>0</v>
      </c>
      <c r="LP8" s="578">
        <v>0</v>
      </c>
      <c r="LQ8" s="578">
        <v>0</v>
      </c>
      <c r="LR8" s="578">
        <v>0</v>
      </c>
      <c r="LS8" s="578">
        <v>0</v>
      </c>
      <c r="LT8" s="578">
        <v>0</v>
      </c>
      <c r="LU8" s="578">
        <v>0</v>
      </c>
      <c r="LV8" s="578">
        <v>0</v>
      </c>
      <c r="LW8" s="578">
        <v>0</v>
      </c>
      <c r="LX8" s="578">
        <v>0</v>
      </c>
      <c r="LY8" s="578">
        <v>0</v>
      </c>
      <c r="LZ8" s="578">
        <v>0</v>
      </c>
      <c r="MA8" s="578">
        <v>0</v>
      </c>
      <c r="MB8" s="578">
        <v>0</v>
      </c>
      <c r="MC8" s="578">
        <v>0</v>
      </c>
      <c r="MD8" s="578">
        <v>0</v>
      </c>
      <c r="ME8" s="578">
        <v>0</v>
      </c>
      <c r="MF8" s="578">
        <v>0</v>
      </c>
      <c r="MG8" s="637"/>
      <c r="MH8" s="578">
        <v>0</v>
      </c>
      <c r="MI8" s="578">
        <v>0</v>
      </c>
      <c r="MJ8" s="637"/>
      <c r="MK8" s="578">
        <v>0</v>
      </c>
      <c r="ML8" s="578">
        <v>0</v>
      </c>
      <c r="MM8" s="637"/>
      <c r="MN8" s="578">
        <v>0</v>
      </c>
      <c r="MO8" s="578">
        <v>0</v>
      </c>
      <c r="MP8" s="637"/>
      <c r="MQ8" s="170">
        <f>SUM(LP8,LQ8,LT8)</f>
        <v>0</v>
      </c>
      <c r="MR8" s="170">
        <f>SUM(LU8,LW8,LY8)</f>
        <v>0</v>
      </c>
      <c r="MS8" s="170">
        <f>SUM(MA8,MC8,MF8)</f>
        <v>0</v>
      </c>
      <c r="MT8" s="170">
        <f>SUM(MI8,ML8,MO8)</f>
        <v>0</v>
      </c>
      <c r="MU8" s="170">
        <f>MQ8+MR8+MS8+MT8</f>
        <v>0</v>
      </c>
      <c r="MV8" s="592">
        <f>LP8+LQ8+LS8+LU8+LW8+LY8+MA8+MC8+MG8+MJ8+MM8+MP8</f>
        <v>0</v>
      </c>
      <c r="MW8" s="930">
        <v>0</v>
      </c>
      <c r="MX8" s="930">
        <v>0</v>
      </c>
      <c r="MY8" s="930">
        <v>0</v>
      </c>
      <c r="MZ8" s="930">
        <v>0</v>
      </c>
      <c r="NA8" s="930">
        <v>0</v>
      </c>
      <c r="NB8" s="930">
        <v>0</v>
      </c>
      <c r="NC8" s="930">
        <v>0</v>
      </c>
      <c r="ND8" s="930">
        <v>0</v>
      </c>
      <c r="NE8" s="930">
        <v>0</v>
      </c>
      <c r="NF8" s="930">
        <v>0</v>
      </c>
      <c r="NG8" s="930">
        <v>0</v>
      </c>
      <c r="NH8" s="930">
        <v>0</v>
      </c>
      <c r="NI8" s="930">
        <f>MW8+MX8+MY8+MZ8+NA8+NB8+NC8+ND8+NE8+NF8+NG8+NH8</f>
        <v>0</v>
      </c>
      <c r="NJ8" s="157">
        <f t="shared" ref="NJ8:NT10" si="5">SUM(F8,AZ8,CT8,EN8,GH8,IB8,JV8)/SUM(F$11,AZ$11,CT$11,EN$11,GH$11,IB$11,JV$11)*NJ$12</f>
        <v>0</v>
      </c>
      <c r="NK8" s="157">
        <f t="shared" si="5"/>
        <v>0</v>
      </c>
      <c r="NL8" s="157">
        <f t="shared" si="5"/>
        <v>0</v>
      </c>
      <c r="NM8" s="157">
        <f t="shared" si="5"/>
        <v>0</v>
      </c>
      <c r="NN8" s="157">
        <f t="shared" si="5"/>
        <v>0</v>
      </c>
      <c r="NO8" s="157">
        <f t="shared" si="5"/>
        <v>0</v>
      </c>
      <c r="NP8" s="157">
        <f t="shared" si="5"/>
        <v>0</v>
      </c>
      <c r="NQ8" s="157">
        <f t="shared" si="5"/>
        <v>0</v>
      </c>
      <c r="NR8" s="157">
        <f t="shared" si="5"/>
        <v>0</v>
      </c>
      <c r="NS8" s="157">
        <f t="shared" si="5"/>
        <v>0</v>
      </c>
      <c r="NT8" s="157">
        <f t="shared" si="5"/>
        <v>0</v>
      </c>
      <c r="NU8" s="157"/>
      <c r="NV8" s="157"/>
      <c r="NW8" s="157"/>
      <c r="NX8" s="157"/>
      <c r="NY8" s="157"/>
      <c r="NZ8" s="157"/>
      <c r="OA8" s="157"/>
      <c r="OB8" s="157"/>
      <c r="OC8" s="157"/>
      <c r="OD8" s="157"/>
      <c r="OE8" s="157"/>
      <c r="OF8" s="157"/>
      <c r="OG8" s="170">
        <f>SUM(NJ8,NK8,NN8)</f>
        <v>0</v>
      </c>
      <c r="OH8" s="170">
        <f>SUM(NO8,NQ8,NS8)</f>
        <v>0</v>
      </c>
      <c r="OI8" s="170">
        <f>SUM(NU8,NW8,NZ8)</f>
        <v>0</v>
      </c>
      <c r="OJ8" s="170">
        <f>SUM(OB8,OD8,OF8)</f>
        <v>0</v>
      </c>
      <c r="OK8" s="170">
        <f>OG8+OH8+OI8+OJ8</f>
        <v>0</v>
      </c>
      <c r="OL8" s="930">
        <v>0</v>
      </c>
      <c r="OM8" s="930">
        <v>0</v>
      </c>
      <c r="ON8" s="930">
        <v>0</v>
      </c>
      <c r="OO8" s="930">
        <v>0</v>
      </c>
      <c r="OP8" s="930">
        <v>0</v>
      </c>
      <c r="OQ8" s="930">
        <v>0</v>
      </c>
      <c r="OR8" s="930">
        <v>0</v>
      </c>
      <c r="OS8" s="930">
        <v>0</v>
      </c>
      <c r="OT8" s="930">
        <v>0</v>
      </c>
      <c r="OU8" s="930">
        <v>0</v>
      </c>
      <c r="OV8" s="930">
        <v>0</v>
      </c>
      <c r="OW8" s="930">
        <v>0</v>
      </c>
      <c r="OX8" s="930">
        <f>OL8+OM8+ON8+OO8+OP8+OQ8+OR8+OS8+OT8+OU8+OV8+OW8</f>
        <v>0</v>
      </c>
      <c r="OY8" s="157">
        <f t="shared" ref="OY8:PJ10" si="6">SUM(F8,AZ8,CT8,EN8,GH8,IB8,JV8,LP8,NJ8)</f>
        <v>2558.4423519999996</v>
      </c>
      <c r="OZ8" s="157">
        <f t="shared" si="6"/>
        <v>2698.469024</v>
      </c>
      <c r="PA8" s="157">
        <f t="shared" si="6"/>
        <v>2504.4367790000001</v>
      </c>
      <c r="PB8" s="157">
        <f t="shared" si="6"/>
        <v>2344.945005</v>
      </c>
      <c r="PC8" s="157">
        <f t="shared" si="6"/>
        <v>2672.537495</v>
      </c>
      <c r="PD8" s="157">
        <f t="shared" si="6"/>
        <v>2254.4051030000001</v>
      </c>
      <c r="PE8" s="157">
        <f t="shared" si="6"/>
        <v>3000.8198847991989</v>
      </c>
      <c r="PF8" s="157">
        <f t="shared" si="6"/>
        <v>2025.2208009999999</v>
      </c>
      <c r="PG8" s="157">
        <f t="shared" si="6"/>
        <v>2757.2626981184376</v>
      </c>
      <c r="PH8" s="157">
        <f t="shared" si="6"/>
        <v>2727.6780469999999</v>
      </c>
      <c r="PI8" s="157">
        <f t="shared" si="6"/>
        <v>2907.1568707877241</v>
      </c>
      <c r="PJ8" s="157">
        <f t="shared" si="6"/>
        <v>2144.0591199999999</v>
      </c>
      <c r="PK8" s="157">
        <f t="shared" ref="PK8:PN10" si="7">SUM(R8,BL8,DF8,EZ8,GT8,IN8,KH8,MB8,NV8)</f>
        <v>3282.6157023326373</v>
      </c>
      <c r="PL8" s="157">
        <f t="shared" si="7"/>
        <v>2311.9848470000002</v>
      </c>
      <c r="PM8" s="157">
        <f t="shared" si="7"/>
        <v>3360.8564626115158</v>
      </c>
      <c r="PN8" s="157">
        <f t="shared" si="7"/>
        <v>0</v>
      </c>
      <c r="PO8" s="157">
        <f>SUM(V8,BP8,BQ8,DJ8,FD8,GX8,IR8,KL8,MF8,NZ8)</f>
        <v>3504.4227334364823</v>
      </c>
      <c r="PP8" s="637">
        <f t="shared" si="1"/>
        <v>3572.8440000000001</v>
      </c>
      <c r="PQ8" s="157">
        <f t="shared" si="1"/>
        <v>0</v>
      </c>
      <c r="PR8" s="157">
        <f>SUM(Y8,BS8,BT8,DM8,FG8,HA8,IU8,KO8,MI8,OC8)</f>
        <v>3636.8519347880897</v>
      </c>
      <c r="PS8" s="637">
        <f t="shared" si="2"/>
        <v>3808.8440000000001</v>
      </c>
      <c r="PT8" s="157">
        <f t="shared" si="2"/>
        <v>0</v>
      </c>
      <c r="PU8" s="157">
        <f>SUM(AB8,BV8,BW8,DP8,FJ8,HD8,IX8,KR8,ML8,OF8)</f>
        <v>3632.6345704392511</v>
      </c>
      <c r="PV8" s="637">
        <f t="shared" si="3"/>
        <v>3824.8440000000001</v>
      </c>
      <c r="PW8" s="157">
        <f t="shared" si="3"/>
        <v>0</v>
      </c>
      <c r="PX8" s="157">
        <f>SUM(AE8,BY8,BZ8,DS8,FM8,HG8,JA8,KU8,MO8,OI8)</f>
        <v>3535.4902232171153</v>
      </c>
      <c r="PY8" s="637">
        <f>SUM(AF8,BZ8,DT8,FN8,HH8,JB8,KV8,MP8,OF8)</f>
        <v>3824.8440000000001</v>
      </c>
      <c r="PZ8" s="170">
        <f>SUM(OY8,OZ8,PB8)</f>
        <v>7601.8563809999996</v>
      </c>
      <c r="QA8" s="170">
        <f>SUM(PD8,PF8,PH8)</f>
        <v>7007.3039509999999</v>
      </c>
      <c r="QB8" s="170">
        <f>SUM(PJ8,PL8,PO8)</f>
        <v>7960.4667004364819</v>
      </c>
      <c r="QC8" s="170">
        <f>SUM(PR8,PU8,PX8)</f>
        <v>10804.976728444457</v>
      </c>
      <c r="QD8" s="170">
        <f>PZ8+QA8+QB8+QC8</f>
        <v>33374.603760880942</v>
      </c>
      <c r="QE8" s="592">
        <f>OY8+OZ8+PB8+PD8+PF8+PH8+PJ8+PL8+PP8+PS8+PV8+PY8</f>
        <v>34096.580299000001</v>
      </c>
      <c r="QF8" s="681"/>
      <c r="QG8" s="681"/>
      <c r="QH8" s="930">
        <f>AM8+CG8+EA8+FU8+HO8+JI8+LC8+MW8+OL8</f>
        <v>3057.9</v>
      </c>
      <c r="QI8" s="930">
        <f t="shared" ref="QI8:QR10" si="8">AN8+CH8+EB8+FV8+HP8+JJ8+LD8+MX8+OM8</f>
        <v>3067.9</v>
      </c>
      <c r="QJ8" s="930">
        <f t="shared" si="8"/>
        <v>3007.9</v>
      </c>
      <c r="QK8" s="930">
        <f t="shared" si="8"/>
        <v>3235.9</v>
      </c>
      <c r="QL8" s="930">
        <f t="shared" si="8"/>
        <v>3285.9</v>
      </c>
      <c r="QM8" s="930">
        <f t="shared" si="8"/>
        <v>3627.9</v>
      </c>
      <c r="QN8" s="930">
        <f t="shared" si="8"/>
        <v>3327.9</v>
      </c>
      <c r="QO8" s="930">
        <f t="shared" si="8"/>
        <v>3377.9</v>
      </c>
      <c r="QP8" s="930">
        <f t="shared" si="8"/>
        <v>3677.9</v>
      </c>
      <c r="QQ8" s="930">
        <f t="shared" si="8"/>
        <v>3377.9</v>
      </c>
      <c r="QR8" s="930">
        <f t="shared" si="8"/>
        <v>3377.9</v>
      </c>
      <c r="QS8" s="930">
        <f>AX8+CR8+EL8+GF8+HZ8+JT8+LN8+NH8+OW8</f>
        <v>3677.9</v>
      </c>
      <c r="QT8" s="930">
        <f>QH8+QI8+QJ8+QK8+QL8+QM8+QN8+QO8+QP8+QQ8+QR8+QS8</f>
        <v>40100.80000000001</v>
      </c>
      <c r="QU8" s="167">
        <f>SUM(AG8,CA8,DU8,FO8,HI8,JC8,KW8)</f>
        <v>7601.8563809999996</v>
      </c>
    </row>
    <row r="9" spans="1:465">
      <c r="A9" s="143" t="s">
        <v>310</v>
      </c>
      <c r="B9" s="143"/>
      <c r="C9" s="143"/>
      <c r="D9" s="143"/>
      <c r="E9" s="143"/>
      <c r="F9" s="157">
        <f>'BUDGET REVENUE CML 2021-2025'!BA234/10^6</f>
        <v>3202.241657</v>
      </c>
      <c r="G9" s="157">
        <f>'BUDGET REVENUE CML 2021-2025'!BB234/10^6</f>
        <v>2651.3433850000001</v>
      </c>
      <c r="H9" s="157">
        <f>'BUDGET REVENUE CML 2021-2025'!BC234/10^6</f>
        <v>2857.219255</v>
      </c>
      <c r="I9" s="157">
        <f>'BUDGET REVENUE CML 2021-2025'!BD234/10^6</f>
        <v>2665.2141320000001</v>
      </c>
      <c r="J9" s="157">
        <f>'BUDGET REVENUE CML 2021-2025'!BE234/10^6</f>
        <v>2869.2592549999999</v>
      </c>
      <c r="K9" s="157">
        <f>'BUDGET REVENUE CML 2021-2025'!BF234/10^6</f>
        <v>3084.9622570000001</v>
      </c>
      <c r="L9" s="157">
        <v>3930.8359699627131</v>
      </c>
      <c r="M9" s="157">
        <f>'BUDGET REVENUE CML 2021-2025'!BH234/10^6</f>
        <v>2610.9200980000001</v>
      </c>
      <c r="N9" s="157">
        <v>3722.0431803771121</v>
      </c>
      <c r="O9" s="157">
        <f>'BUDGET REVENUE CML 2021-2025'!BJ234/10^6</f>
        <v>3268.0573599999998</v>
      </c>
      <c r="P9" s="157">
        <v>3536.8175413049557</v>
      </c>
      <c r="Q9" s="157">
        <f>'BUDGET REVENUE CML 2021-2025'!BL234/10^6</f>
        <v>2351.841148</v>
      </c>
      <c r="R9" s="157">
        <f>'BUDGET REVENUE CML 2021-2025'!AE234/10^6</f>
        <v>5059.1069783500006</v>
      </c>
      <c r="S9" s="157">
        <f>'BUDGET REVENUE CML 2021-2025'!BN234/10^6</f>
        <v>3851.7612159999999</v>
      </c>
      <c r="T9" s="157">
        <f>'BUDGET REVENUE CML 2021-2025'!AF234/10^6</f>
        <v>5054.1069783500006</v>
      </c>
      <c r="U9" s="157">
        <f>'BUDGET REVENUE CML 2021-2025'!BP234/10^6</f>
        <v>0</v>
      </c>
      <c r="V9" s="157">
        <f>'BUDGET REVENUE CML 2021-2025'!AG234/10^6</f>
        <v>5159.1069783500006</v>
      </c>
      <c r="W9" s="638">
        <f>'BUDGET REVENUE CML 2021-2025'!BR234/10^6</f>
        <v>3155.2</v>
      </c>
      <c r="X9" s="157">
        <f>'BUDGET REVENUE CML 2021-2025'!BS234/10^6</f>
        <v>0</v>
      </c>
      <c r="Y9" s="157">
        <f>'BUDGET REVENUE CML 2021-2025'!AH234/10^6</f>
        <v>5159.1069783500006</v>
      </c>
      <c r="Z9" s="638">
        <f>'BUDGET REVENUE CML 2021-2025'!BU234/10^6</f>
        <v>3681.2</v>
      </c>
      <c r="AA9" s="157">
        <f>'BUDGET REVENUE CML 2021-2025'!BV234/10^6</f>
        <v>0</v>
      </c>
      <c r="AB9" s="157">
        <f>'BUDGET REVENUE CML 2021-2025'!AI234/10^6</f>
        <v>5164.1069783500006</v>
      </c>
      <c r="AC9" s="638">
        <f>'BUDGET REVENUE CML 2021-2025'!BX234/10^6</f>
        <v>3836.2</v>
      </c>
      <c r="AD9" s="157">
        <f>'BUDGET REVENUE CML 2021-2025'!BY234/10^6</f>
        <v>0</v>
      </c>
      <c r="AE9" s="157">
        <f>'BUDGET REVENUE CML 2021-2025'!AJ234/10^6</f>
        <v>5159.1069783500006</v>
      </c>
      <c r="AF9" s="638">
        <f>'BUDGET REVENUE CML 2021-2025'!CA234/10^6</f>
        <v>4186.2</v>
      </c>
      <c r="AG9" s="170">
        <f>SUM(F9,G9,I9)</f>
        <v>8518.7991739999998</v>
      </c>
      <c r="AH9" s="170">
        <f>SUM(K9,M9,O9)</f>
        <v>8963.9397150000004</v>
      </c>
      <c r="AI9" s="170">
        <f>SUM(Q9,S9,V9)</f>
        <v>11362.709342350001</v>
      </c>
      <c r="AJ9" s="170">
        <f>SUM(Z9,AC9,AF9)</f>
        <v>11703.599999999999</v>
      </c>
      <c r="AK9" s="170">
        <f>AG9+AH9+AI9+AJ9</f>
        <v>40549.048231349996</v>
      </c>
      <c r="AL9" s="593">
        <f>F9+G9+I9+K9+M9+O9+Q9+S9+W9+Z9+AC9+AF9</f>
        <v>38545.141252999994</v>
      </c>
      <c r="AM9" s="931">
        <f>'BUDGET REVENUE CML 2021-2025'!CE234/10^6</f>
        <v>3539.3833330000002</v>
      </c>
      <c r="AN9" s="931">
        <f>'BUDGET REVENUE CML 2021-2025'!CF234/10^6</f>
        <v>3509.3833330000002</v>
      </c>
      <c r="AO9" s="931">
        <f>'BUDGET REVENUE CML 2021-2025'!CG234/10^6</f>
        <v>3956.2833329999999</v>
      </c>
      <c r="AP9" s="931">
        <f>'BUDGET REVENUE CML 2021-2025'!CH234/10^6</f>
        <v>3814.2833329999999</v>
      </c>
      <c r="AQ9" s="931">
        <f>'BUDGET REVENUE CML 2021-2025'!CI234/10^6</f>
        <v>3687.3833330000002</v>
      </c>
      <c r="AR9" s="931">
        <f>'BUDGET REVENUE CML 2021-2025'!CJ234/10^6</f>
        <v>3787.3833330000002</v>
      </c>
      <c r="AS9" s="931">
        <f>'BUDGET REVENUE CML 2021-2025'!CK234/10^6</f>
        <v>3787.3833330000002</v>
      </c>
      <c r="AT9" s="931">
        <f>'BUDGET REVENUE CML 2021-2025'!CL234/10^6</f>
        <v>3787.3833330000002</v>
      </c>
      <c r="AU9" s="931">
        <f>'BUDGET REVENUE CML 2021-2025'!CM234/10^6</f>
        <v>3837.3833330000002</v>
      </c>
      <c r="AV9" s="931">
        <f>'BUDGET REVENUE CML 2021-2025'!CN234/10^6</f>
        <v>3837.3833330000002</v>
      </c>
      <c r="AW9" s="931">
        <f>'BUDGET REVENUE CML 2021-2025'!CO234/10^6</f>
        <v>3964.3833330000002</v>
      </c>
      <c r="AX9" s="931">
        <f>'BUDGET REVENUE CML 2021-2025'!CP234/10^6</f>
        <v>4064.3833330000002</v>
      </c>
      <c r="AY9" s="930">
        <f>AM9+AN9+AO9+AP9+AQ9+AR9+AS9+AT9+AU9+AV9+AW9+AX9</f>
        <v>45572.399996</v>
      </c>
      <c r="AZ9" s="157">
        <f>'BUDGET REVENUE CML 2021-2025'!BA308/10^6</f>
        <v>439.64102500000001</v>
      </c>
      <c r="BA9" s="157">
        <f>'BUDGET REVENUE CML 2021-2025'!BB308/10^6</f>
        <v>659.05450499999995</v>
      </c>
      <c r="BB9" s="157">
        <f>'BUDGET REVENUE CML 2021-2025'!BC308/10^6</f>
        <v>620</v>
      </c>
      <c r="BC9" s="157">
        <f>'BUDGET REVENUE CML 2021-2025'!BD308/10^6</f>
        <v>631.13081599999998</v>
      </c>
      <c r="BD9" s="157">
        <f>'BUDGET REVENUE CML 2021-2025'!BE308/10^6</f>
        <v>770.4</v>
      </c>
      <c r="BE9" s="157">
        <f>'BUDGET REVENUE CML 2021-2025'!BF308/10^6</f>
        <v>347.23362500000002</v>
      </c>
      <c r="BF9" s="157">
        <v>571.87910569105691</v>
      </c>
      <c r="BG9" s="157">
        <f>'BUDGET REVENUE CML 2021-2025'!BH308/10^6</f>
        <v>1005.732219</v>
      </c>
      <c r="BH9" s="157">
        <v>508.91055038103309</v>
      </c>
      <c r="BI9" s="157">
        <f>'BUDGET REVENUE CML 2021-2025'!BJ308/10^6</f>
        <v>697.699164</v>
      </c>
      <c r="BJ9" s="157">
        <v>777.00882463230698</v>
      </c>
      <c r="BK9" s="157">
        <f>'BUDGET REVENUE CML 2021-2025'!BL308/10^6</f>
        <v>617.57700799999998</v>
      </c>
      <c r="BL9" s="157">
        <f>'BUDGET REVENUE CML 2021-2025'!AE308/10^6</f>
        <v>780</v>
      </c>
      <c r="BM9" s="157">
        <f>'BUDGET REVENUE CML 2021-2025'!BN308/10^6</f>
        <v>626.11084000000005</v>
      </c>
      <c r="BN9" s="157">
        <f>'BUDGET REVENUE CML 2021-2025'!AF308/10^6</f>
        <v>780</v>
      </c>
      <c r="BO9" s="157">
        <f>'BUDGET REVENUE CML 2021-2025'!BP308/10^6</f>
        <v>0</v>
      </c>
      <c r="BP9" s="157">
        <f>'BUDGET REVENUE CML 2021-2025'!AG308/10^6</f>
        <v>780</v>
      </c>
      <c r="BQ9" s="638">
        <f>'BUDGET REVENUE CML 2021-2025'!BR308/10^6</f>
        <v>715</v>
      </c>
      <c r="BR9" s="157">
        <f>'BUDGET REVENUE CML 2021-2025'!BS308/10^6</f>
        <v>0</v>
      </c>
      <c r="BS9" s="157">
        <f>'BUDGET REVENUE CML 2021-2025'!AH308/10^6</f>
        <v>780</v>
      </c>
      <c r="BT9" s="638">
        <f>'BUDGET REVENUE CML 2021-2025'!BU308/10^6</f>
        <v>765</v>
      </c>
      <c r="BU9" s="157">
        <f>'BUDGET REVENUE CML 2021-2025'!BV308/10^6</f>
        <v>0</v>
      </c>
      <c r="BV9" s="157">
        <f>'BUDGET REVENUE CML 2021-2025'!AI308/10^6</f>
        <v>780</v>
      </c>
      <c r="BW9" s="638">
        <f>'BUDGET REVENUE CML 2021-2025'!BX308/10^6</f>
        <v>2126</v>
      </c>
      <c r="BX9" s="157">
        <f>'BUDGET REVENUE CML 2021-2025'!BY308/10^6</f>
        <v>0</v>
      </c>
      <c r="BY9" s="157">
        <f>'BUDGET REVENUE CML 2021-2025'!AJ308/10^6</f>
        <v>780</v>
      </c>
      <c r="BZ9" s="638">
        <f>'BUDGET REVENUE CML 2021-2025'!CA308/10^6</f>
        <v>2941.5</v>
      </c>
      <c r="CA9" s="170">
        <f>SUM(AZ9,BA9,BC9)</f>
        <v>1729.8263459999998</v>
      </c>
      <c r="CB9" s="170">
        <f>SUM(BE9,BG9,BI9)</f>
        <v>2050.6650079999999</v>
      </c>
      <c r="CC9" s="170">
        <f>SUM(BK9,BM9,BP9)</f>
        <v>2023.687848</v>
      </c>
      <c r="CD9" s="170">
        <f>SUM(BS9,BV9,BY9)</f>
        <v>2340</v>
      </c>
      <c r="CE9" s="170">
        <f>CA9+CB9+CC9+CD9</f>
        <v>8144.1792019999993</v>
      </c>
      <c r="CF9" s="593">
        <f>AZ9+BA9+BC9+BE9+BG9+BI9+BK9+BM9+BQ9+BT9+BW9+BZ9</f>
        <v>11571.679201999999</v>
      </c>
      <c r="CG9" s="931">
        <f>'BUDGET REVENUE CML 2021-2025'!CE308/10^6</f>
        <v>952</v>
      </c>
      <c r="CH9" s="931">
        <f>'BUDGET REVENUE CML 2021-2025'!CF308/10^6</f>
        <v>952</v>
      </c>
      <c r="CI9" s="931">
        <f>'BUDGET REVENUE CML 2021-2025'!CG308/10^6</f>
        <v>952</v>
      </c>
      <c r="CJ9" s="931">
        <f>'BUDGET REVENUE CML 2021-2025'!CH308/10^6</f>
        <v>952</v>
      </c>
      <c r="CK9" s="931">
        <f>'BUDGET REVENUE CML 2021-2025'!CI308/10^6</f>
        <v>952</v>
      </c>
      <c r="CL9" s="931">
        <f>'BUDGET REVENUE CML 2021-2025'!CJ308/10^6</f>
        <v>952</v>
      </c>
      <c r="CM9" s="931">
        <f>'BUDGET REVENUE CML 2021-2025'!CK308/10^6</f>
        <v>952</v>
      </c>
      <c r="CN9" s="931">
        <f>'BUDGET REVENUE CML 2021-2025'!CL308/10^6</f>
        <v>952</v>
      </c>
      <c r="CO9" s="931">
        <f>'BUDGET REVENUE CML 2021-2025'!CM308/10^6</f>
        <v>952</v>
      </c>
      <c r="CP9" s="931">
        <f>'BUDGET REVENUE CML 2021-2025'!CN308/10^6</f>
        <v>952</v>
      </c>
      <c r="CQ9" s="931">
        <f>'BUDGET REVENUE CML 2021-2025'!CO308/10^6</f>
        <v>952</v>
      </c>
      <c r="CR9" s="931">
        <f>'BUDGET REVENUE CML 2021-2025'!CP308/10^6</f>
        <v>952</v>
      </c>
      <c r="CS9" s="930">
        <f>CG9+CH9+CI9+CJ9+CK9+CL9+CM9+CN9+CO9+CP9+CQ9+CR9</f>
        <v>11424</v>
      </c>
      <c r="CT9" s="157">
        <v>0</v>
      </c>
      <c r="CU9" s="157">
        <v>0</v>
      </c>
      <c r="CV9" s="157">
        <v>0</v>
      </c>
      <c r="CW9" s="157">
        <v>0</v>
      </c>
      <c r="CX9" s="157">
        <v>0</v>
      </c>
      <c r="CY9" s="157">
        <v>0</v>
      </c>
      <c r="CZ9" s="157">
        <v>0</v>
      </c>
      <c r="DA9" s="157">
        <v>0</v>
      </c>
      <c r="DB9" s="157">
        <v>0</v>
      </c>
      <c r="DC9" s="157">
        <v>0</v>
      </c>
      <c r="DD9" s="157">
        <v>0</v>
      </c>
      <c r="DE9" s="157">
        <v>0</v>
      </c>
      <c r="DF9" s="157">
        <v>0</v>
      </c>
      <c r="DG9" s="157">
        <v>0</v>
      </c>
      <c r="DH9" s="157">
        <v>0</v>
      </c>
      <c r="DI9" s="157">
        <v>0</v>
      </c>
      <c r="DJ9" s="157">
        <v>0</v>
      </c>
      <c r="DK9" s="638"/>
      <c r="DL9" s="157">
        <v>0</v>
      </c>
      <c r="DM9" s="157">
        <v>0</v>
      </c>
      <c r="DN9" s="638"/>
      <c r="DO9" s="157">
        <v>0</v>
      </c>
      <c r="DP9" s="157">
        <v>0</v>
      </c>
      <c r="DQ9" s="638"/>
      <c r="DR9" s="157">
        <v>0</v>
      </c>
      <c r="DS9" s="157">
        <v>0</v>
      </c>
      <c r="DT9" s="638"/>
      <c r="DU9" s="170">
        <f>SUM(CT9,CU9,CW9)</f>
        <v>0</v>
      </c>
      <c r="DV9" s="170">
        <f>SUM(CY9,DA9,DC9)</f>
        <v>0</v>
      </c>
      <c r="DW9" s="170">
        <f>SUM(DE9,DG9,DJ9)</f>
        <v>0</v>
      </c>
      <c r="DX9" s="170">
        <f>SUM(DM9,DP9,DS9)</f>
        <v>0</v>
      </c>
      <c r="DY9" s="170">
        <f>DU9+DV9+DW9+DX9</f>
        <v>0</v>
      </c>
      <c r="DZ9" s="593">
        <f>CT9+CU9+CW9+CY9+DA9+DC9+DE9+DG9+DK9+DN9+DQ9+DT9</f>
        <v>0</v>
      </c>
      <c r="EA9" s="931">
        <v>0</v>
      </c>
      <c r="EB9" s="931">
        <v>0</v>
      </c>
      <c r="EC9" s="931">
        <v>0</v>
      </c>
      <c r="ED9" s="931">
        <v>0</v>
      </c>
      <c r="EE9" s="931">
        <v>0</v>
      </c>
      <c r="EF9" s="931">
        <v>0</v>
      </c>
      <c r="EG9" s="931">
        <v>0</v>
      </c>
      <c r="EH9" s="931">
        <v>0</v>
      </c>
      <c r="EI9" s="931">
        <v>0</v>
      </c>
      <c r="EJ9" s="931">
        <v>0</v>
      </c>
      <c r="EK9" s="931">
        <v>0</v>
      </c>
      <c r="EL9" s="931">
        <v>0</v>
      </c>
      <c r="EM9" s="930">
        <f>EA9+EB9+EC9+ED9+EE9+EF9+EG9+EH9+EI9+EJ9+EK9+EL9</f>
        <v>0</v>
      </c>
      <c r="EN9" s="157">
        <f>'BUDGET REVENUE BP 2021-2025'!CP409/1000000</f>
        <v>1623.4373029999999</v>
      </c>
      <c r="EO9" s="157">
        <f>'BUDGET REVENUE BP 2021-2025'!CQ409/1000000</f>
        <v>1777.60194</v>
      </c>
      <c r="EP9" s="157">
        <f>'BUDGET REVENUE BP 2021-2025'!CR409/1000000</f>
        <v>1625.5</v>
      </c>
      <c r="EQ9" s="157">
        <f>'BUDGET REVENUE BP 2021-2025'!CS409/1000000</f>
        <v>2328.7304859999999</v>
      </c>
      <c r="ER9" s="157">
        <f>'BUDGET REVENUE BP 2021-2025'!CT409/1000000</f>
        <v>2413.1999999999998</v>
      </c>
      <c r="ES9" s="157">
        <f>'BUDGET REVENUE BP 2021-2025'!CU409/1000000</f>
        <v>2123.4777680000002</v>
      </c>
      <c r="ET9" s="157">
        <v>2704.1969157182466</v>
      </c>
      <c r="EU9" s="157">
        <f>'BUDGET REVENUE BP 2021-2025'!CW409/1000000</f>
        <v>2067.058129</v>
      </c>
      <c r="EV9" s="157">
        <v>2277.3708767829839</v>
      </c>
      <c r="EW9" s="157">
        <f>'BUDGET REVENUE BP 2021-2025'!CY409/1000000</f>
        <v>2333.3743850000001</v>
      </c>
      <c r="EX9" s="157">
        <v>4422.4969916985483</v>
      </c>
      <c r="EY9" s="157">
        <f>'BUDGET REVENUE BP 2021-2025'!DA409/1000000</f>
        <v>2201.6615660000002</v>
      </c>
      <c r="EZ9" s="157">
        <v>3905.9903988728602</v>
      </c>
      <c r="FA9" s="157">
        <f>'BUDGET REVENUE BP 2021-2025'!DC409/1000000</f>
        <v>2787.9472270000001</v>
      </c>
      <c r="FB9" s="157">
        <v>3902.2805305886818</v>
      </c>
      <c r="FC9" s="157">
        <f>'BUDGET REVENUE BP 2021-2025'!DE409/1000000</f>
        <v>0</v>
      </c>
      <c r="FD9" s="157">
        <v>3859.4564694285359</v>
      </c>
      <c r="FE9" s="638">
        <f>'BUDGET REVENUE BP 2021-2025'!DG409/1000000</f>
        <v>4031.5</v>
      </c>
      <c r="FF9" s="157">
        <f>'BUDGET REVENUE BP 2021-2025'!DH409/1000000</f>
        <v>0</v>
      </c>
      <c r="FG9" s="157">
        <v>3936.8396672491949</v>
      </c>
      <c r="FH9" s="638">
        <f>'BUDGET REVENUE BP 2021-2025'!DJ409/1000000</f>
        <v>4191.5</v>
      </c>
      <c r="FI9" s="157">
        <f>'BUDGET REVENUE BP 2021-2025'!DK409/1000000</f>
        <v>0</v>
      </c>
      <c r="FJ9" s="157">
        <v>4099.3649192002404</v>
      </c>
      <c r="FK9" s="638">
        <f>'BUDGET REVENUE BP 2021-2025'!DM409/1000000</f>
        <v>4396.5</v>
      </c>
      <c r="FL9" s="157">
        <f>'BUDGET REVENUE BP 2021-2025'!DN409/1000000</f>
        <v>0</v>
      </c>
      <c r="FM9" s="157">
        <v>4110.853525966435</v>
      </c>
      <c r="FN9" s="638">
        <f>'BUDGET REVENUE BP 2021-2025'!DP409/1000000</f>
        <v>4401.5</v>
      </c>
      <c r="FO9" s="170">
        <f>SUM(EN9,EO9,EQ9)</f>
        <v>5729.7697289999996</v>
      </c>
      <c r="FP9" s="170">
        <f>SUM(ES9,EU9,EW9)</f>
        <v>6523.9102819999998</v>
      </c>
      <c r="FQ9" s="170">
        <f>SUM(EY9,FA9,FD9)</f>
        <v>8849.0652624285358</v>
      </c>
      <c r="FR9" s="170">
        <f>SUM(FG9,FJ9,FM9)</f>
        <v>12147.058112415871</v>
      </c>
      <c r="FS9" s="170">
        <f>FO9+FP9+FQ9+FR9</f>
        <v>33249.803385844411</v>
      </c>
      <c r="FT9" s="593">
        <f>EN9+EO9+EQ9+ES9+EU9+EW9+EY9+FA9+FE9+FH9+FK9+FN9</f>
        <v>34264.288803999996</v>
      </c>
      <c r="FU9" s="931">
        <f>'BUDGET REVENUE BP 2021-2025'!DS409/10^6</f>
        <v>3798</v>
      </c>
      <c r="FV9" s="931">
        <f>'BUDGET REVENUE BP 2021-2025'!DT409/10^6</f>
        <v>3798</v>
      </c>
      <c r="FW9" s="931">
        <f>'BUDGET REVENUE BP 2021-2025'!DU409/10^6</f>
        <v>4088</v>
      </c>
      <c r="FX9" s="931">
        <f>'BUDGET REVENUE BP 2021-2025'!DV409/10^6</f>
        <v>4028</v>
      </c>
      <c r="FY9" s="931">
        <f>'BUDGET REVENUE BP 2021-2025'!DW409/10^6</f>
        <v>3738</v>
      </c>
      <c r="FZ9" s="931">
        <f>'BUDGET REVENUE BP 2021-2025'!DX409/10^6</f>
        <v>3748</v>
      </c>
      <c r="GA9" s="931">
        <f>'BUDGET REVENUE BP 2021-2025'!DY409/10^6</f>
        <v>3768</v>
      </c>
      <c r="GB9" s="931">
        <f>'BUDGET REVENUE BP 2021-2025'!DZ409/10^6</f>
        <v>3768</v>
      </c>
      <c r="GC9" s="931">
        <f>'BUDGET REVENUE BP 2021-2025'!EA409/10^6</f>
        <v>3868</v>
      </c>
      <c r="GD9" s="931">
        <f>'BUDGET REVENUE BP 2021-2025'!EB409/10^6</f>
        <v>3968</v>
      </c>
      <c r="GE9" s="931">
        <f>'BUDGET REVENUE BP 2021-2025'!EC409/10^6</f>
        <v>4145</v>
      </c>
      <c r="GF9" s="931">
        <f>'BUDGET REVENUE BP 2021-2025'!ED409/10^6</f>
        <v>4145</v>
      </c>
      <c r="GG9" s="930">
        <f>FU9+FV9+FW9+FX9+FY9+FZ9+GA9+GB9+GC9+GD9+GE9+GF9</f>
        <v>46860</v>
      </c>
      <c r="GH9" s="157">
        <f>'BUDGET REVENUE BP 2021-2025'!CP853/1000000</f>
        <v>66.418999999999997</v>
      </c>
      <c r="GI9" s="157">
        <f>'BUDGET REVENUE BP 2021-2025'!CQ853/1000000</f>
        <v>219.083</v>
      </c>
      <c r="GJ9" s="157">
        <f>'BUDGET REVENUE BP 2021-2025'!CR853/1000000</f>
        <v>125</v>
      </c>
      <c r="GK9" s="157">
        <f>'BUDGET REVENUE BP 2021-2025'!CS853/1000000</f>
        <v>113.0665</v>
      </c>
      <c r="GL9" s="157">
        <f>'BUDGET REVENUE BP 2021-2025'!CT853/1000000</f>
        <v>125</v>
      </c>
      <c r="GM9" s="157">
        <f>'BUDGET REVENUE BP 2021-2025'!CU853/1000000</f>
        <v>355.87656299999998</v>
      </c>
      <c r="GN9" s="157">
        <v>215.30026109660574</v>
      </c>
      <c r="GO9" s="157">
        <f>'BUDGET REVENUE BP 2021-2025'!CW853/1000000</f>
        <v>338.53557499999999</v>
      </c>
      <c r="GP9" s="157">
        <v>543.5877626699629</v>
      </c>
      <c r="GQ9" s="157">
        <f>'BUDGET REVENUE BP 2021-2025'!CY853/1000000</f>
        <v>153.41322500000001</v>
      </c>
      <c r="GR9" s="157">
        <v>434.73684210526318</v>
      </c>
      <c r="GS9" s="157">
        <f>'BUDGET REVENUE BP 2021-2025'!DA853/1000000</f>
        <v>32.479999999999997</v>
      </c>
      <c r="GT9" s="157">
        <v>482.49339120280274</v>
      </c>
      <c r="GU9" s="157">
        <f>'BUDGET REVENUE BP 2021-2025'!DC853/1000000</f>
        <v>467.07372700000002</v>
      </c>
      <c r="GV9" s="157">
        <v>323.32944588685433</v>
      </c>
      <c r="GW9" s="157">
        <f>'BUDGET REVENUE BP 2021-2025'!DE853/1000000</f>
        <v>0</v>
      </c>
      <c r="GX9" s="157">
        <v>283.03912850467287</v>
      </c>
      <c r="GY9" s="638">
        <f>'BUDGET REVENUE BP 2021-2025'!DG853/1000000</f>
        <v>195</v>
      </c>
      <c r="GZ9" s="157">
        <f>'BUDGET REVENUE BP 2021-2025'!DH853/1000000</f>
        <v>0</v>
      </c>
      <c r="HA9" s="157">
        <v>572.29188018867922</v>
      </c>
      <c r="HB9" s="638">
        <f>'BUDGET REVENUE BP 2021-2025'!DJ853/1000000</f>
        <v>370</v>
      </c>
      <c r="HC9" s="157">
        <f>'BUDGET REVENUE BP 2021-2025'!DK853/1000000</f>
        <v>0</v>
      </c>
      <c r="HD9" s="157">
        <v>834.55604229607241</v>
      </c>
      <c r="HE9" s="638">
        <f>'BUDGET REVENUE BP 2021-2025'!DM853/1000000</f>
        <v>1188</v>
      </c>
      <c r="HF9" s="157">
        <f>'BUDGET REVENUE BP 2021-2025'!DN853/1000000</f>
        <v>0</v>
      </c>
      <c r="HG9" s="157">
        <v>171.98150289017337</v>
      </c>
      <c r="HH9" s="638">
        <f>'BUDGET REVENUE BP 2021-2025'!DP853/1000000</f>
        <v>420</v>
      </c>
      <c r="HI9" s="170">
        <f>SUM(GH9,GI9,GK9)</f>
        <v>398.56850000000003</v>
      </c>
      <c r="HJ9" s="170">
        <f>SUM(GM9,GO9,GQ9)</f>
        <v>847.82536299999992</v>
      </c>
      <c r="HK9" s="170">
        <f>SUM(GS9,GU9,GX9)</f>
        <v>782.59285550467291</v>
      </c>
      <c r="HL9" s="170">
        <f>SUM(HA9,HD9,HG9)</f>
        <v>1578.829425374925</v>
      </c>
      <c r="HM9" s="170">
        <f>HI9+HJ9+HK9+HL9</f>
        <v>3607.8161438795978</v>
      </c>
      <c r="HN9" s="593">
        <f>GH9+GI9+GK9+GM9+GO9+GQ9+GS9+GU9+GY9+HB9+HE9+HH9</f>
        <v>3918.9475899999998</v>
      </c>
      <c r="HO9" s="931">
        <f>'BUDGET REVENUE BP 2021-2025'!DS853/10^6</f>
        <v>650</v>
      </c>
      <c r="HP9" s="931">
        <f>'BUDGET REVENUE BP 2021-2025'!DT853/10^6</f>
        <v>650</v>
      </c>
      <c r="HQ9" s="931">
        <f>'BUDGET REVENUE BP 2021-2025'!DU853/10^6</f>
        <v>700</v>
      </c>
      <c r="HR9" s="931">
        <f>'BUDGET REVENUE BP 2021-2025'!DV853/10^6</f>
        <v>675</v>
      </c>
      <c r="HS9" s="931">
        <f>'BUDGET REVENUE BP 2021-2025'!DW853/10^6</f>
        <v>625</v>
      </c>
      <c r="HT9" s="931">
        <f>'BUDGET REVENUE BP 2021-2025'!DX853/10^6</f>
        <v>625</v>
      </c>
      <c r="HU9" s="931">
        <f>'BUDGET REVENUE BP 2021-2025'!DY853/10^6</f>
        <v>625</v>
      </c>
      <c r="HV9" s="931">
        <f>'BUDGET REVENUE BP 2021-2025'!DZ853/10^6</f>
        <v>625</v>
      </c>
      <c r="HW9" s="931">
        <f>'BUDGET REVENUE BP 2021-2025'!EA853/10^6</f>
        <v>625</v>
      </c>
      <c r="HX9" s="931">
        <f>'BUDGET REVENUE BP 2021-2025'!EB853/10^6</f>
        <v>650</v>
      </c>
      <c r="HY9" s="931">
        <f>'BUDGET REVENUE BP 2021-2025'!EC853/10^6</f>
        <v>650</v>
      </c>
      <c r="HZ9" s="931">
        <f>'BUDGET REVENUE BP 2021-2025'!ED853/10^6</f>
        <v>650</v>
      </c>
      <c r="IA9" s="930">
        <f>HO9+HP9+HQ9+HR9+HS9+HT9+HU9+HV9+HW9+HX9+HY9+HZ9</f>
        <v>7750</v>
      </c>
      <c r="IB9" s="157">
        <f>('BUDGET REVENUE BP 2021-2025'!CP761/1000000)+('BUDGET REVENUE CML 2021-2025'!BA346/10^6)</f>
        <v>1375.9092800000001</v>
      </c>
      <c r="IC9" s="157">
        <f>'BUDGET REVENUE BP 2021-2025'!CQ761/1000000</f>
        <v>1318.9645</v>
      </c>
      <c r="ID9" s="157">
        <f>'BUDGET REVENUE BP 2021-2025'!CR761/1000000</f>
        <v>1456</v>
      </c>
      <c r="IE9" s="157">
        <f>'BUDGET REVENUE BP 2021-2025'!CS761/1000000</f>
        <v>1605.1949340000001</v>
      </c>
      <c r="IF9" s="157">
        <f>'BUDGET REVENUE BP 2021-2025'!CT761/1000000</f>
        <v>1393</v>
      </c>
      <c r="IG9" s="157">
        <f>'BUDGET REVENUE BP 2021-2025'!CU761/1000000</f>
        <v>686.57691899999998</v>
      </c>
      <c r="IH9" s="157">
        <v>2436.6975325803651</v>
      </c>
      <c r="II9" s="157">
        <f>'BUDGET REVENUE BP 2021-2025'!CW761/1000000</f>
        <v>1759.787611</v>
      </c>
      <c r="IJ9" s="157">
        <v>2926.7153496260175</v>
      </c>
      <c r="IK9" s="157">
        <f>'BUDGET REVENUE BP 2021-2025'!CY761/1000000</f>
        <v>2619.9243759999999</v>
      </c>
      <c r="IL9" s="157">
        <v>2573.5759732819461</v>
      </c>
      <c r="IM9" s="157">
        <f>'BUDGET REVENUE BP 2021-2025'!DA761/1000000</f>
        <v>2897.9526759999999</v>
      </c>
      <c r="IN9" s="157">
        <v>2599.3899388585678</v>
      </c>
      <c r="IO9" s="157">
        <f>'BUDGET REVENUE BP 2021-2025'!DC761/1000000</f>
        <v>6099.1420520000001</v>
      </c>
      <c r="IP9" s="157">
        <v>2331.3352754381694</v>
      </c>
      <c r="IQ9" s="157">
        <f>'BUDGET REVENUE BP 2021-2025'!DE761/1000000</f>
        <v>0</v>
      </c>
      <c r="IR9" s="157">
        <v>2016.5320970285331</v>
      </c>
      <c r="IS9" s="638">
        <f>'BUDGET REVENUE BP 2021-2025'!DG761/1000000</f>
        <v>2270.444</v>
      </c>
      <c r="IT9" s="157">
        <f>'BUDGET REVENUE BP 2021-2025'!DH761/1000000</f>
        <v>0</v>
      </c>
      <c r="IU9" s="157">
        <v>2327.4109906204967</v>
      </c>
      <c r="IV9" s="638">
        <f>'BUDGET REVENUE BP 2021-2025'!DJ761/1000000</f>
        <v>2464.0540000000001</v>
      </c>
      <c r="IW9" s="157">
        <f>'BUDGET REVENUE BP 2021-2025'!DK761/1000000</f>
        <v>0</v>
      </c>
      <c r="IX9" s="157">
        <v>2331.6745309211688</v>
      </c>
      <c r="IY9" s="638">
        <f>'BUDGET REVENUE BP 2021-2025'!DM761/1000000</f>
        <v>2116.4499999999998</v>
      </c>
      <c r="IZ9" s="157">
        <f>'BUDGET REVENUE BP 2021-2025'!DN761/1000000</f>
        <v>0</v>
      </c>
      <c r="JA9" s="157">
        <v>2039.7564249536485</v>
      </c>
      <c r="JB9" s="638">
        <f>'BUDGET REVENUE BP 2021-2025'!DP761/1000000</f>
        <v>2143.4499999999998</v>
      </c>
      <c r="JC9" s="580">
        <f>SUM(IB9,IC9,IE9)</f>
        <v>4300.068714</v>
      </c>
      <c r="JD9" s="580">
        <f>SUM(IG9,II9,IK9)</f>
        <v>5066.2889059999998</v>
      </c>
      <c r="JE9" s="170">
        <f>SUM(IM9,IO9,IR9)</f>
        <v>11013.626825028534</v>
      </c>
      <c r="JF9" s="580">
        <f>SUM(IU9,IX9,JA9)</f>
        <v>6698.8419464953131</v>
      </c>
      <c r="JG9" s="170">
        <f>JC9+JD9+JE9+JF9</f>
        <v>27078.826391523842</v>
      </c>
      <c r="JH9" s="593">
        <f>IB9+IC9+IE9+IG9+II9+IK9+IM9+IO9+IS9+IV9+IY9+JB9</f>
        <v>27357.850348</v>
      </c>
      <c r="JI9" s="931">
        <f>'BUDGET REVENUE BP 2021-2025'!DS761/10^6</f>
        <v>2634.916667</v>
      </c>
      <c r="JJ9" s="931">
        <f>'BUDGET REVENUE BP 2021-2025'!DT761/10^6</f>
        <v>2511.916667</v>
      </c>
      <c r="JK9" s="931">
        <f>'BUDGET REVENUE BP 2021-2025'!DU761/10^6</f>
        <v>2736.916667</v>
      </c>
      <c r="JL9" s="931">
        <f>'BUDGET REVENUE BP 2021-2025'!DV761/10^6</f>
        <v>2686.916667</v>
      </c>
      <c r="JM9" s="931">
        <f>'BUDGET REVENUE BP 2021-2025'!DW761/10^6</f>
        <v>2479.916667</v>
      </c>
      <c r="JN9" s="931">
        <f>'BUDGET REVENUE BP 2021-2025'!DX761/10^6</f>
        <v>2514.916667</v>
      </c>
      <c r="JO9" s="931">
        <f>'BUDGET REVENUE BP 2021-2025'!DY761/10^6</f>
        <v>2539.916667</v>
      </c>
      <c r="JP9" s="931">
        <f>'BUDGET REVENUE BP 2021-2025'!DZ761/10^6</f>
        <v>2459.916667</v>
      </c>
      <c r="JQ9" s="931">
        <f>'BUDGET REVENUE BP 2021-2025'!EA761/10^6</f>
        <v>2524.916667</v>
      </c>
      <c r="JR9" s="931">
        <f>'BUDGET REVENUE BP 2021-2025'!EB761/10^6</f>
        <v>2741.916667</v>
      </c>
      <c r="JS9" s="931">
        <f>'BUDGET REVENUE BP 2021-2025'!EC761/10^6</f>
        <v>2791.916667</v>
      </c>
      <c r="JT9" s="931">
        <f>'BUDGET REVENUE BP 2021-2025'!ED761/10^6</f>
        <v>2841.916667</v>
      </c>
      <c r="JU9" s="930">
        <f>JI9+JJ9+JK9+JL9+JM9+JN9+JO9+JP9+JQ9+JR9+JS9+JT9</f>
        <v>31466.000004000005</v>
      </c>
      <c r="JV9" s="157">
        <v>0</v>
      </c>
      <c r="JW9" s="157">
        <v>0</v>
      </c>
      <c r="JX9" s="157">
        <v>0</v>
      </c>
      <c r="JY9" s="157">
        <v>0</v>
      </c>
      <c r="JZ9" s="157">
        <v>0</v>
      </c>
      <c r="KA9" s="157">
        <v>0</v>
      </c>
      <c r="KB9" s="157">
        <v>0</v>
      </c>
      <c r="KC9" s="157">
        <v>0</v>
      </c>
      <c r="KD9" s="157">
        <v>0</v>
      </c>
      <c r="KE9" s="157">
        <v>0</v>
      </c>
      <c r="KF9" s="157">
        <v>0</v>
      </c>
      <c r="KG9" s="157">
        <v>0</v>
      </c>
      <c r="KH9" s="157">
        <v>0</v>
      </c>
      <c r="KI9" s="157">
        <v>0</v>
      </c>
      <c r="KJ9" s="157">
        <v>0</v>
      </c>
      <c r="KK9" s="157">
        <v>0</v>
      </c>
      <c r="KL9" s="157">
        <v>0</v>
      </c>
      <c r="KM9" s="638"/>
      <c r="KN9" s="157">
        <v>0</v>
      </c>
      <c r="KO9" s="157">
        <v>0</v>
      </c>
      <c r="KP9" s="638"/>
      <c r="KQ9" s="157">
        <v>0</v>
      </c>
      <c r="KR9" s="157">
        <v>0</v>
      </c>
      <c r="KS9" s="638"/>
      <c r="KT9" s="157">
        <v>0</v>
      </c>
      <c r="KU9" s="157">
        <v>0</v>
      </c>
      <c r="KV9" s="638"/>
      <c r="KW9" s="170">
        <f>SUM(JV9,JW9,JZ9)</f>
        <v>0</v>
      </c>
      <c r="KX9" s="170">
        <f>SUM(KA9,KC9,KE9)</f>
        <v>0</v>
      </c>
      <c r="KY9" s="170">
        <f>SUM(KG9,KI9,KL9)</f>
        <v>0</v>
      </c>
      <c r="KZ9" s="170">
        <f>SUM(KO9,KR9,KU9)</f>
        <v>0</v>
      </c>
      <c r="LA9" s="170">
        <f>KW9+KX9+KY9+KZ9</f>
        <v>0</v>
      </c>
      <c r="LB9" s="593">
        <f>JV9+JW9+JY9+KA9+KC9+KE9+KG9+KI9+KM9+KP9+KS9+KV9</f>
        <v>0</v>
      </c>
      <c r="LC9" s="931">
        <v>0</v>
      </c>
      <c r="LD9" s="931">
        <v>0</v>
      </c>
      <c r="LE9" s="931">
        <v>0</v>
      </c>
      <c r="LF9" s="931">
        <v>0</v>
      </c>
      <c r="LG9" s="931">
        <v>0</v>
      </c>
      <c r="LH9" s="931">
        <v>0</v>
      </c>
      <c r="LI9" s="931">
        <v>0</v>
      </c>
      <c r="LJ9" s="931">
        <v>0</v>
      </c>
      <c r="LK9" s="931">
        <v>0</v>
      </c>
      <c r="LL9" s="931">
        <v>0</v>
      </c>
      <c r="LM9" s="931">
        <v>0</v>
      </c>
      <c r="LN9" s="931">
        <v>0</v>
      </c>
      <c r="LO9" s="930">
        <f>LC9+LD9+LE9+LF9+LG9+LH9+LI9+LJ9+LK9+LL9+LM9+LN9</f>
        <v>0</v>
      </c>
      <c r="LP9" s="578">
        <v>0</v>
      </c>
      <c r="LQ9" s="578">
        <v>0</v>
      </c>
      <c r="LR9" s="578">
        <v>0</v>
      </c>
      <c r="LS9" s="578">
        <v>0</v>
      </c>
      <c r="LT9" s="578">
        <v>0</v>
      </c>
      <c r="LU9" s="578">
        <v>0</v>
      </c>
      <c r="LV9" s="578">
        <v>0</v>
      </c>
      <c r="LW9" s="578">
        <v>0</v>
      </c>
      <c r="LX9" s="578">
        <v>0</v>
      </c>
      <c r="LY9" s="578">
        <v>0</v>
      </c>
      <c r="LZ9" s="578">
        <v>0</v>
      </c>
      <c r="MA9" s="578">
        <v>0</v>
      </c>
      <c r="MB9" s="578">
        <v>0</v>
      </c>
      <c r="MC9" s="578">
        <v>0</v>
      </c>
      <c r="MD9" s="578">
        <v>0</v>
      </c>
      <c r="ME9" s="578">
        <v>0</v>
      </c>
      <c r="MF9" s="578">
        <v>0</v>
      </c>
      <c r="MG9" s="638"/>
      <c r="MH9" s="578">
        <v>0</v>
      </c>
      <c r="MI9" s="578">
        <v>0</v>
      </c>
      <c r="MJ9" s="638"/>
      <c r="MK9" s="578">
        <v>0</v>
      </c>
      <c r="ML9" s="578">
        <v>0</v>
      </c>
      <c r="MM9" s="638"/>
      <c r="MN9" s="578">
        <v>0</v>
      </c>
      <c r="MO9" s="578">
        <v>0</v>
      </c>
      <c r="MP9" s="638"/>
      <c r="MQ9" s="170">
        <f>SUM(LP9,LQ9,LT9)</f>
        <v>0</v>
      </c>
      <c r="MR9" s="170">
        <f>SUM(LU9,LW9,LY9)</f>
        <v>0</v>
      </c>
      <c r="MS9" s="170">
        <f>SUM(MA9,MC9,MF9)</f>
        <v>0</v>
      </c>
      <c r="MT9" s="170">
        <f>SUM(MI9,ML9,MO9)</f>
        <v>0</v>
      </c>
      <c r="MU9" s="170">
        <f>MQ9+MR9+MS9+MT9</f>
        <v>0</v>
      </c>
      <c r="MV9" s="593">
        <f>LP9+LQ9+LS9+LU9+LW9+LY9+MA9+MC9+MG9+MJ9+MM9+MP9</f>
        <v>0</v>
      </c>
      <c r="MW9" s="931">
        <v>0</v>
      </c>
      <c r="MX9" s="931">
        <v>0</v>
      </c>
      <c r="MY9" s="931">
        <v>0</v>
      </c>
      <c r="MZ9" s="931">
        <v>0</v>
      </c>
      <c r="NA9" s="931">
        <v>0</v>
      </c>
      <c r="NB9" s="931">
        <v>0</v>
      </c>
      <c r="NC9" s="931">
        <v>0</v>
      </c>
      <c r="ND9" s="931">
        <v>0</v>
      </c>
      <c r="NE9" s="931">
        <v>0</v>
      </c>
      <c r="NF9" s="931">
        <v>0</v>
      </c>
      <c r="NG9" s="931">
        <v>0</v>
      </c>
      <c r="NH9" s="931">
        <v>0</v>
      </c>
      <c r="NI9" s="930">
        <f>MW9+MX9+MY9+MZ9+NA9+NB9+NC9+ND9+NE9+NF9+NG9+NH9</f>
        <v>0</v>
      </c>
      <c r="NJ9" s="157">
        <f t="shared" si="5"/>
        <v>0</v>
      </c>
      <c r="NK9" s="157">
        <f t="shared" si="5"/>
        <v>0</v>
      </c>
      <c r="NL9" s="157">
        <f t="shared" si="5"/>
        <v>0</v>
      </c>
      <c r="NM9" s="157">
        <f t="shared" si="5"/>
        <v>0</v>
      </c>
      <c r="NN9" s="157">
        <f t="shared" si="5"/>
        <v>0</v>
      </c>
      <c r="NO9" s="157">
        <f t="shared" si="5"/>
        <v>0</v>
      </c>
      <c r="NP9" s="157">
        <f t="shared" si="5"/>
        <v>0</v>
      </c>
      <c r="NQ9" s="157">
        <f t="shared" si="5"/>
        <v>0</v>
      </c>
      <c r="NR9" s="157">
        <f t="shared" si="5"/>
        <v>0</v>
      </c>
      <c r="NS9" s="157">
        <f t="shared" si="5"/>
        <v>0</v>
      </c>
      <c r="NT9" s="157">
        <f t="shared" si="5"/>
        <v>0</v>
      </c>
      <c r="NU9" s="157"/>
      <c r="NV9" s="157"/>
      <c r="NW9" s="157"/>
      <c r="NX9" s="157"/>
      <c r="NY9" s="157"/>
      <c r="NZ9" s="157"/>
      <c r="OA9" s="157"/>
      <c r="OB9" s="157"/>
      <c r="OC9" s="157"/>
      <c r="OD9" s="157"/>
      <c r="OE9" s="157"/>
      <c r="OF9" s="157"/>
      <c r="OG9" s="170">
        <f>SUM(NJ9,NK9,NN9)</f>
        <v>0</v>
      </c>
      <c r="OH9" s="170">
        <f>SUM(NO9,NQ9,NS9)</f>
        <v>0</v>
      </c>
      <c r="OI9" s="170">
        <f>SUM(NU9,NW9,NZ9)</f>
        <v>0</v>
      </c>
      <c r="OJ9" s="170">
        <f>SUM(OB9,OD9,OF9)</f>
        <v>0</v>
      </c>
      <c r="OK9" s="170">
        <f>OG9+OH9+OI9+OJ9</f>
        <v>0</v>
      </c>
      <c r="OL9" s="931">
        <v>0</v>
      </c>
      <c r="OM9" s="931">
        <v>0</v>
      </c>
      <c r="ON9" s="931">
        <v>0</v>
      </c>
      <c r="OO9" s="931">
        <v>0</v>
      </c>
      <c r="OP9" s="931">
        <v>0</v>
      </c>
      <c r="OQ9" s="931">
        <v>0</v>
      </c>
      <c r="OR9" s="931">
        <v>0</v>
      </c>
      <c r="OS9" s="931">
        <v>0</v>
      </c>
      <c r="OT9" s="931">
        <v>0</v>
      </c>
      <c r="OU9" s="931">
        <v>0</v>
      </c>
      <c r="OV9" s="931">
        <v>0</v>
      </c>
      <c r="OW9" s="931">
        <v>0</v>
      </c>
      <c r="OX9" s="930">
        <f>OL9+OM9+ON9+OO9+OP9+OQ9+OR9+OS9+OT9+OU9+OV9+OW9</f>
        <v>0</v>
      </c>
      <c r="OY9" s="157">
        <f t="shared" si="6"/>
        <v>6707.6482649999998</v>
      </c>
      <c r="OZ9" s="157">
        <f t="shared" si="6"/>
        <v>6626.0473300000003</v>
      </c>
      <c r="PA9" s="157">
        <f t="shared" si="6"/>
        <v>6683.719255</v>
      </c>
      <c r="PB9" s="157">
        <f t="shared" si="6"/>
        <v>7343.3368680000003</v>
      </c>
      <c r="PC9" s="157">
        <f t="shared" si="6"/>
        <v>7570.8592549999994</v>
      </c>
      <c r="PD9" s="157">
        <f t="shared" si="6"/>
        <v>6598.1271320000005</v>
      </c>
      <c r="PE9" s="157">
        <f t="shared" si="6"/>
        <v>9858.9097850489889</v>
      </c>
      <c r="PF9" s="157">
        <f t="shared" si="6"/>
        <v>7782.0336319999997</v>
      </c>
      <c r="PG9" s="157">
        <f t="shared" si="6"/>
        <v>9978.6277198371099</v>
      </c>
      <c r="PH9" s="157">
        <f t="shared" si="6"/>
        <v>9072.4685099999988</v>
      </c>
      <c r="PI9" s="157">
        <f t="shared" si="6"/>
        <v>11744.63617302302</v>
      </c>
      <c r="PJ9" s="157">
        <f t="shared" si="6"/>
        <v>8101.5123979999998</v>
      </c>
      <c r="PK9" s="157">
        <f t="shared" si="7"/>
        <v>12826.98070728423</v>
      </c>
      <c r="PL9" s="157">
        <f t="shared" si="7"/>
        <v>13832.035062000001</v>
      </c>
      <c r="PM9" s="157">
        <f t="shared" si="7"/>
        <v>12391.052230263707</v>
      </c>
      <c r="PN9" s="157">
        <f t="shared" si="7"/>
        <v>0</v>
      </c>
      <c r="PO9" s="157">
        <f>SUM(V9,BP9,BQ9,DJ9,FD9,GX9,IR9,KL9,MF9,NZ9)</f>
        <v>12813.134673311744</v>
      </c>
      <c r="PP9" s="637">
        <f t="shared" si="1"/>
        <v>10367.144</v>
      </c>
      <c r="PQ9" s="157">
        <f t="shared" si="1"/>
        <v>0</v>
      </c>
      <c r="PR9" s="157">
        <f>SUM(Y9,BS9,BT9,DM9,FG9,HA9,IU9,KO9,MI9,OC9)</f>
        <v>13540.649516408372</v>
      </c>
      <c r="PS9" s="637">
        <f t="shared" si="2"/>
        <v>11471.754000000001</v>
      </c>
      <c r="PT9" s="157">
        <f t="shared" si="2"/>
        <v>0</v>
      </c>
      <c r="PU9" s="157">
        <f>SUM(AB9,BV9,BW9,DP9,FJ9,HD9,IX9,KR9,ML9,OF9)</f>
        <v>15335.702470767481</v>
      </c>
      <c r="PV9" s="637">
        <f t="shared" si="3"/>
        <v>13663.150000000001</v>
      </c>
      <c r="PW9" s="157">
        <f t="shared" si="3"/>
        <v>0</v>
      </c>
      <c r="PX9" s="157">
        <f>SUM(AE9,BY9,BZ9,DS9,FM9,HG9,JA9,KU9,MO9,OI9)</f>
        <v>15203.198432160258</v>
      </c>
      <c r="PY9" s="637">
        <f>SUM(AF9,BZ9,DT9,FN9,HH9,JB9,KV9,MP9,OF9)</f>
        <v>14092.650000000001</v>
      </c>
      <c r="PZ9" s="170">
        <f>SUM(OY9,OZ9,PB9)</f>
        <v>20677.032463000003</v>
      </c>
      <c r="QA9" s="170">
        <f>SUM(PD9,PF9,PH9)</f>
        <v>23452.629273999999</v>
      </c>
      <c r="QB9" s="170">
        <f>SUM(PJ9,PL9,PO9)</f>
        <v>34746.682133311748</v>
      </c>
      <c r="QC9" s="170">
        <f>SUM(PR9,PU9,PX9)</f>
        <v>44079.550419336112</v>
      </c>
      <c r="QD9" s="170">
        <f>PZ9+QA9+QB9+QC9</f>
        <v>122955.89428964785</v>
      </c>
      <c r="QE9" s="593">
        <f>OY9+OZ9+PB9+PD9+PF9+PH9+PJ9+PL9+PP9+PS9+PV9+PY9</f>
        <v>115657.90719699999</v>
      </c>
      <c r="QF9" s="682"/>
      <c r="QG9" s="682"/>
      <c r="QH9" s="930">
        <f>AM9+CG9+EA9+FU9+HO9+JI9+LC9+MW9+OL9</f>
        <v>11574.3</v>
      </c>
      <c r="QI9" s="930">
        <f t="shared" si="8"/>
        <v>11421.3</v>
      </c>
      <c r="QJ9" s="930">
        <f t="shared" si="8"/>
        <v>12433.199999999999</v>
      </c>
      <c r="QK9" s="930">
        <f t="shared" si="8"/>
        <v>12156.199999999999</v>
      </c>
      <c r="QL9" s="930">
        <f t="shared" si="8"/>
        <v>11482.3</v>
      </c>
      <c r="QM9" s="930">
        <f t="shared" si="8"/>
        <v>11627.3</v>
      </c>
      <c r="QN9" s="930">
        <f t="shared" si="8"/>
        <v>11672.3</v>
      </c>
      <c r="QO9" s="930">
        <f t="shared" si="8"/>
        <v>11592.3</v>
      </c>
      <c r="QP9" s="930">
        <f t="shared" si="8"/>
        <v>11807.3</v>
      </c>
      <c r="QQ9" s="930">
        <f t="shared" si="8"/>
        <v>12149.3</v>
      </c>
      <c r="QR9" s="930">
        <f t="shared" si="8"/>
        <v>12503.3</v>
      </c>
      <c r="QS9" s="930">
        <f>AX9+CR9+EL9+GF9+HZ9+JT9+LN9+NH9+OW9</f>
        <v>12653.3</v>
      </c>
      <c r="QT9" s="930">
        <f>QH9+QI9+QJ9+QK9+QL9+QM9+QN9+QO9+QP9+QQ9+QR9+QS9</f>
        <v>143072.4</v>
      </c>
      <c r="QU9" s="167">
        <f>SUM(AG9,CA9,DU9,FO9,HI9,JC9,KW9)</f>
        <v>20677.032463</v>
      </c>
    </row>
    <row r="10" spans="1:465">
      <c r="A10" s="143" t="s">
        <v>312</v>
      </c>
      <c r="B10" s="143"/>
      <c r="C10" s="143"/>
      <c r="D10" s="143"/>
      <c r="E10" s="143"/>
      <c r="F10" s="157">
        <f>'BUDGET REVENUE CML 2021-2025'!BA265/10^6</f>
        <v>341.08299799999998</v>
      </c>
      <c r="G10" s="157">
        <f>'BUDGET REVENUE CML 2021-2025'!BB265/10^6</f>
        <v>301.888193</v>
      </c>
      <c r="H10" s="157">
        <f>'BUDGET REVENUE CML 2021-2025'!BC265/10^6</f>
        <v>292.26399300000003</v>
      </c>
      <c r="I10" s="157">
        <f>'BUDGET REVENUE CML 2021-2025'!BD265/10^6</f>
        <v>295.79563300000001</v>
      </c>
      <c r="J10" s="157">
        <f>'BUDGET REVENUE CML 2021-2025'!BE265/10^6</f>
        <v>298.07</v>
      </c>
      <c r="K10" s="157">
        <f>'BUDGET REVENUE CML 2021-2025'!BF265/10^6</f>
        <v>332.95927999999998</v>
      </c>
      <c r="L10" s="157">
        <v>318.83867912710525</v>
      </c>
      <c r="M10" s="157">
        <f>'BUDGET REVENUE CML 2021-2025'!BH265/10^6</f>
        <v>149.16736499999999</v>
      </c>
      <c r="N10" s="157">
        <v>334.75692583003143</v>
      </c>
      <c r="O10" s="157">
        <f>'BUDGET REVENUE CML 2021-2025'!BJ265/10^6</f>
        <v>189.13627</v>
      </c>
      <c r="P10" s="157">
        <v>283.47160704354457</v>
      </c>
      <c r="Q10" s="157">
        <f>'BUDGET REVENUE CML 2021-2025'!BL265/10^6</f>
        <v>169.62256500000001</v>
      </c>
      <c r="R10" s="157">
        <f>'BUDGET REVENUE CML 2021-2025'!AE265/10^6</f>
        <v>621.12324999999998</v>
      </c>
      <c r="S10" s="157">
        <f>'BUDGET REVENUE CML 2021-2025'!BN265/10^6</f>
        <v>169.17416299999999</v>
      </c>
      <c r="T10" s="157">
        <f>'BUDGET REVENUE CML 2021-2025'!AF265/10^6</f>
        <v>621.12324999999998</v>
      </c>
      <c r="U10" s="157">
        <f>'BUDGET REVENUE CML 2021-2025'!BP265/10^6</f>
        <v>0</v>
      </c>
      <c r="V10" s="157">
        <f>'BUDGET REVENUE CML 2021-2025'!AG265/10^6</f>
        <v>621.12324999999998</v>
      </c>
      <c r="W10" s="638">
        <f>'BUDGET REVENUE CML 2021-2025'!BR265/10^6</f>
        <v>207.5</v>
      </c>
      <c r="X10" s="157">
        <f>'BUDGET REVENUE CML 2021-2025'!BS265/10^6</f>
        <v>0</v>
      </c>
      <c r="Y10" s="157">
        <f>'BUDGET REVENUE CML 2021-2025'!AH265/10^6</f>
        <v>576.12324999999998</v>
      </c>
      <c r="Z10" s="638">
        <f>'BUDGET REVENUE CML 2021-2025'!BU265/10^6</f>
        <v>275.7</v>
      </c>
      <c r="AA10" s="157">
        <f>'BUDGET REVENUE CML 2021-2025'!BV265/10^6</f>
        <v>0</v>
      </c>
      <c r="AB10" s="157">
        <f>'BUDGET REVENUE CML 2021-2025'!AI265/10^6</f>
        <v>576.12324999999998</v>
      </c>
      <c r="AC10" s="638">
        <f>'BUDGET REVENUE CML 2021-2025'!BX265/10^6</f>
        <v>364.7</v>
      </c>
      <c r="AD10" s="157">
        <f>'BUDGET REVENUE CML 2021-2025'!BY265/10^6</f>
        <v>0</v>
      </c>
      <c r="AE10" s="157">
        <f>'BUDGET REVENUE CML 2021-2025'!AJ265/10^6</f>
        <v>575.12324999999998</v>
      </c>
      <c r="AF10" s="638">
        <f>'BUDGET REVENUE CML 2021-2025'!CA265/10^6</f>
        <v>452.7</v>
      </c>
      <c r="AG10" s="170">
        <f>SUM(F10,G10,I10)</f>
        <v>938.76682400000004</v>
      </c>
      <c r="AH10" s="170">
        <f>SUM(K10,M10,O10)</f>
        <v>671.26291499999991</v>
      </c>
      <c r="AI10" s="170">
        <f>SUM(Q10,S10,V10)</f>
        <v>959.91997800000001</v>
      </c>
      <c r="AJ10" s="170">
        <f>SUM(Z10,AC10,AF10)</f>
        <v>1093.0999999999999</v>
      </c>
      <c r="AK10" s="170">
        <f>AG10+AH10+AI10+AJ10</f>
        <v>3663.0497169999999</v>
      </c>
      <c r="AL10" s="593">
        <f>F10+G10+I10+K10+M10+O10+Q10+S10+W10+Z10+AC10+AF10</f>
        <v>3249.4264669999993</v>
      </c>
      <c r="AM10" s="931">
        <f>'BUDGET REVENUE CML 2021-2025'!CE265/10^6</f>
        <v>360.38549999999998</v>
      </c>
      <c r="AN10" s="931">
        <f>'BUDGET REVENUE CML 2021-2025'!CF265/10^6</f>
        <v>365.23950000000002</v>
      </c>
      <c r="AO10" s="931">
        <f>'BUDGET REVENUE CML 2021-2025'!CG265/10^6</f>
        <v>363.94150000000002</v>
      </c>
      <c r="AP10" s="931">
        <f>'BUDGET REVENUE CML 2021-2025'!CH265/10^6</f>
        <v>289.16399999999999</v>
      </c>
      <c r="AQ10" s="931">
        <f>'BUDGET REVENUE CML 2021-2025'!CI265/10^6</f>
        <v>297.65949999999998</v>
      </c>
      <c r="AR10" s="931">
        <f>'BUDGET REVENUE CML 2021-2025'!CJ265/10^6</f>
        <v>291.89350000000002</v>
      </c>
      <c r="AS10" s="931">
        <f>'BUDGET REVENUE CML 2021-2025'!CK265/10^6</f>
        <v>298.78399999999999</v>
      </c>
      <c r="AT10" s="931">
        <f>'BUDGET REVENUE CML 2021-2025'!CL265/10^6</f>
        <v>297.46600000000001</v>
      </c>
      <c r="AU10" s="931">
        <f>'BUDGET REVENUE CML 2021-2025'!CM265/10^6</f>
        <v>298.8</v>
      </c>
      <c r="AV10" s="931">
        <f>'BUDGET REVENUE CML 2021-2025'!CN265/10^6</f>
        <v>300.8</v>
      </c>
      <c r="AW10" s="931">
        <f>'BUDGET REVENUE CML 2021-2025'!CO265/10^6</f>
        <v>352.8</v>
      </c>
      <c r="AX10" s="931">
        <f>'BUDGET REVENUE CML 2021-2025'!CP265/10^6</f>
        <v>403.8</v>
      </c>
      <c r="AY10" s="930">
        <f>AM10+AN10+AO10+AP10+AQ10+AR10+AS10+AT10+AU10+AV10+AW10+AX10</f>
        <v>3920.7335000000007</v>
      </c>
      <c r="AZ10" s="157">
        <f>'BUDGET REVENUE CML 2021-2025'!BA334/10^6</f>
        <v>427.06700000000001</v>
      </c>
      <c r="BA10" s="157">
        <f>'BUDGET REVENUE CML 2021-2025'!BB334/10^6</f>
        <v>430.79405000000003</v>
      </c>
      <c r="BB10" s="157">
        <f>'BUDGET REVENUE CML 2021-2025'!BC334/10^6</f>
        <v>430.79405000000003</v>
      </c>
      <c r="BC10" s="157">
        <f>'BUDGET REVENUE CML 2021-2025'!BD334/10^6</f>
        <v>423.21292999999997</v>
      </c>
      <c r="BD10" s="157">
        <f>'BUDGET REVENUE CML 2021-2025'!BE334/10^6</f>
        <v>363.5</v>
      </c>
      <c r="BE10" s="157">
        <f>'BUDGET REVENUE CML 2021-2025'!BF334/10^6</f>
        <v>408.15929999999997</v>
      </c>
      <c r="BF10" s="157">
        <v>387.17281068524966</v>
      </c>
      <c r="BG10" s="157">
        <f>'BUDGET REVENUE CML 2021-2025'!BH334/10^6</f>
        <v>456.69535000000002</v>
      </c>
      <c r="BH10" s="157">
        <v>418.23122482789086</v>
      </c>
      <c r="BI10" s="157">
        <f>'BUDGET REVENUE CML 2021-2025'!BJ334/10^6</f>
        <v>440.57384999999999</v>
      </c>
      <c r="BJ10" s="157">
        <v>462.05833756926785</v>
      </c>
      <c r="BK10" s="157">
        <f>'BUDGET REVENUE CML 2021-2025'!BL334/10^6</f>
        <v>386.95460700000001</v>
      </c>
      <c r="BL10" s="157">
        <f>'BUDGET REVENUE CML 2021-2025'!AE334/10^6</f>
        <v>579</v>
      </c>
      <c r="BM10" s="157">
        <f>'BUDGET REVENUE CML 2021-2025'!BN334/10^6</f>
        <v>370.51024699999999</v>
      </c>
      <c r="BN10" s="157">
        <f>'BUDGET REVENUE CML 2021-2025'!AF334/10^6</f>
        <v>579</v>
      </c>
      <c r="BO10" s="157">
        <f>'BUDGET REVENUE CML 2021-2025'!BP334/10^6</f>
        <v>0</v>
      </c>
      <c r="BP10" s="157">
        <f>'BUDGET REVENUE CML 2021-2025'!AG334/10^6</f>
        <v>609</v>
      </c>
      <c r="BQ10" s="638">
        <f>'BUDGET REVENUE CML 2021-2025'!BR334/10^6</f>
        <v>423.4</v>
      </c>
      <c r="BR10" s="157">
        <f>'BUDGET REVENUE CML 2021-2025'!BS334/10^6</f>
        <v>0</v>
      </c>
      <c r="BS10" s="157">
        <f>'BUDGET REVENUE CML 2021-2025'!AH334/10^6</f>
        <v>589</v>
      </c>
      <c r="BT10" s="638">
        <f>'BUDGET REVENUE CML 2021-2025'!BU334/10^6</f>
        <v>423.4</v>
      </c>
      <c r="BU10" s="157">
        <f>'BUDGET REVENUE CML 2021-2025'!BV334/10^6</f>
        <v>0</v>
      </c>
      <c r="BV10" s="157">
        <f>'BUDGET REVENUE CML 2021-2025'!AI334/10^6</f>
        <v>579</v>
      </c>
      <c r="BW10" s="638">
        <f>'BUDGET REVENUE CML 2021-2025'!BX334/10^6</f>
        <v>423.4</v>
      </c>
      <c r="BX10" s="157">
        <f>'BUDGET REVENUE CML 2021-2025'!BY334/10^6</f>
        <v>0</v>
      </c>
      <c r="BY10" s="157">
        <f>'BUDGET REVENUE CML 2021-2025'!AJ334/10^6</f>
        <v>579</v>
      </c>
      <c r="BZ10" s="638">
        <f>'BUDGET REVENUE CML 2021-2025'!CA334/10^6</f>
        <v>423.4</v>
      </c>
      <c r="CA10" s="170">
        <f>SUM(AZ10,BA10,BC10)</f>
        <v>1281.0739799999999</v>
      </c>
      <c r="CB10" s="170">
        <f>SUM(BE10,BG10,BI10)</f>
        <v>1305.4285</v>
      </c>
      <c r="CC10" s="170">
        <f>SUM(BK10,BM10,BP10)</f>
        <v>1366.4648540000001</v>
      </c>
      <c r="CD10" s="170">
        <f>SUM(BS10,BV10,BY10)</f>
        <v>1747</v>
      </c>
      <c r="CE10" s="170">
        <f>CA10+CB10+CC10+CD10</f>
        <v>5699.9673339999999</v>
      </c>
      <c r="CF10" s="593">
        <f>AZ10+BA10+BC10+BE10+BG10+BI10+BK10+BM10+BQ10+BT10+BW10+BZ10</f>
        <v>5037.5673339999994</v>
      </c>
      <c r="CG10" s="931">
        <f>'BUDGET REVENUE CML 2021-2025'!CE334/10^6</f>
        <v>450</v>
      </c>
      <c r="CH10" s="931">
        <f>'BUDGET REVENUE CML 2021-2025'!CF334/10^6</f>
        <v>450</v>
      </c>
      <c r="CI10" s="931">
        <f>'BUDGET REVENUE CML 2021-2025'!CG334/10^6</f>
        <v>450</v>
      </c>
      <c r="CJ10" s="931">
        <f>'BUDGET REVENUE CML 2021-2025'!CH334/10^6</f>
        <v>450</v>
      </c>
      <c r="CK10" s="931">
        <f>'BUDGET REVENUE CML 2021-2025'!CI334/10^6</f>
        <v>450</v>
      </c>
      <c r="CL10" s="931">
        <f>'BUDGET REVENUE CML 2021-2025'!CJ334/10^6</f>
        <v>450</v>
      </c>
      <c r="CM10" s="931">
        <f>'BUDGET REVENUE CML 2021-2025'!CK334/10^6</f>
        <v>450</v>
      </c>
      <c r="CN10" s="931">
        <f>'BUDGET REVENUE CML 2021-2025'!CL334/10^6</f>
        <v>450</v>
      </c>
      <c r="CO10" s="931">
        <f>'BUDGET REVENUE CML 2021-2025'!CM334/10^6</f>
        <v>450</v>
      </c>
      <c r="CP10" s="931">
        <f>'BUDGET REVENUE CML 2021-2025'!CN334/10^6</f>
        <v>450</v>
      </c>
      <c r="CQ10" s="931">
        <f>'BUDGET REVENUE CML 2021-2025'!CO334/10^6</f>
        <v>450</v>
      </c>
      <c r="CR10" s="931">
        <f>'BUDGET REVENUE CML 2021-2025'!CP334/10^6</f>
        <v>450</v>
      </c>
      <c r="CS10" s="930">
        <f>CG10+CH10+CI10+CJ10+CK10+CL10+CM10+CN10+CO10+CP10+CQ10+CR10</f>
        <v>5400</v>
      </c>
      <c r="CT10" s="157">
        <v>0</v>
      </c>
      <c r="CU10" s="157">
        <v>0</v>
      </c>
      <c r="CV10" s="157">
        <v>0</v>
      </c>
      <c r="CW10" s="157">
        <v>0</v>
      </c>
      <c r="CX10" s="157">
        <v>0</v>
      </c>
      <c r="CY10" s="157">
        <v>0</v>
      </c>
      <c r="CZ10" s="157">
        <v>0</v>
      </c>
      <c r="DA10" s="157">
        <v>0</v>
      </c>
      <c r="DB10" s="157">
        <v>0</v>
      </c>
      <c r="DC10" s="157">
        <v>0</v>
      </c>
      <c r="DD10" s="157">
        <v>0</v>
      </c>
      <c r="DE10" s="157">
        <v>0</v>
      </c>
      <c r="DF10" s="157">
        <v>0</v>
      </c>
      <c r="DG10" s="157">
        <v>0</v>
      </c>
      <c r="DH10" s="157">
        <v>0</v>
      </c>
      <c r="DI10" s="157">
        <v>0</v>
      </c>
      <c r="DJ10" s="157">
        <v>0</v>
      </c>
      <c r="DK10" s="638"/>
      <c r="DL10" s="157">
        <v>0</v>
      </c>
      <c r="DM10" s="157">
        <v>0</v>
      </c>
      <c r="DN10" s="638"/>
      <c r="DO10" s="157">
        <v>0</v>
      </c>
      <c r="DP10" s="157">
        <v>0</v>
      </c>
      <c r="DQ10" s="638"/>
      <c r="DR10" s="157">
        <v>0</v>
      </c>
      <c r="DS10" s="157">
        <v>0</v>
      </c>
      <c r="DT10" s="638"/>
      <c r="DU10" s="170">
        <f>SUM(CT10,CU10,CW10)</f>
        <v>0</v>
      </c>
      <c r="DV10" s="170">
        <f>SUM(CY10,DA10,DC10)</f>
        <v>0</v>
      </c>
      <c r="DW10" s="170">
        <f>SUM(DE10,DG10,DJ10)</f>
        <v>0</v>
      </c>
      <c r="DX10" s="170">
        <f>SUM(DM10,DP10,DS10)</f>
        <v>0</v>
      </c>
      <c r="DY10" s="170">
        <f>DU10+DV10+DW10+DX10</f>
        <v>0</v>
      </c>
      <c r="DZ10" s="593">
        <f>CT10+CU10+CW10+CY10+DA10+DC10+DE10+DG10+DK10+DN10+DQ10+DT10</f>
        <v>0</v>
      </c>
      <c r="EA10" s="931">
        <v>0</v>
      </c>
      <c r="EB10" s="931">
        <v>0</v>
      </c>
      <c r="EC10" s="931">
        <v>0</v>
      </c>
      <c r="ED10" s="931">
        <v>0</v>
      </c>
      <c r="EE10" s="931">
        <v>0</v>
      </c>
      <c r="EF10" s="931">
        <v>0</v>
      </c>
      <c r="EG10" s="931">
        <v>0</v>
      </c>
      <c r="EH10" s="931">
        <v>0</v>
      </c>
      <c r="EI10" s="931">
        <v>0</v>
      </c>
      <c r="EJ10" s="931">
        <v>0</v>
      </c>
      <c r="EK10" s="931">
        <v>0</v>
      </c>
      <c r="EL10" s="931">
        <v>0</v>
      </c>
      <c r="EM10" s="930">
        <f>EA10+EB10+EC10+ED10+EE10+EF10+EG10+EH10+EI10+EJ10+EK10+EL10</f>
        <v>0</v>
      </c>
      <c r="EN10" s="157">
        <f>'BUDGET REVENUE BP 2021-2025'!CP440/1000000</f>
        <v>277.25807200000003</v>
      </c>
      <c r="EO10" s="157">
        <f>'BUDGET REVENUE BP 2021-2025'!CQ440/1000000</f>
        <v>262.32605999999998</v>
      </c>
      <c r="EP10" s="157">
        <f>'BUDGET REVENUE BP 2021-2025'!CR440/1000000</f>
        <v>169.68606</v>
      </c>
      <c r="EQ10" s="157">
        <f>'BUDGET REVENUE BP 2021-2025'!CS440/1000000</f>
        <v>231.7791</v>
      </c>
      <c r="ER10" s="157">
        <f>'BUDGET REVENUE BP 2021-2025'!CT440/1000000</f>
        <v>380</v>
      </c>
      <c r="ES10" s="157">
        <f>'BUDGET REVENUE BP 2021-2025'!CU440/1000000</f>
        <v>1030.8847000000001</v>
      </c>
      <c r="ET10" s="157">
        <v>742.42107234072716</v>
      </c>
      <c r="EU10" s="157">
        <f>'BUDGET REVENUE BP 2021-2025'!CW440/1000000</f>
        <v>798.28679999999997</v>
      </c>
      <c r="EV10" s="157">
        <v>778.1672796618551</v>
      </c>
      <c r="EW10" s="157">
        <f>'BUDGET REVENUE BP 2021-2025'!CY440/1000000</f>
        <v>947.67665</v>
      </c>
      <c r="EX10" s="157">
        <v>612.55888070293156</v>
      </c>
      <c r="EY10" s="157">
        <f>'BUDGET REVENUE BP 2021-2025'!DA440/1000000</f>
        <v>1176.07375</v>
      </c>
      <c r="EZ10" s="157">
        <v>563.09874051054521</v>
      </c>
      <c r="FA10" s="157">
        <f>'BUDGET REVENUE BP 2021-2025'!DC440/1000000</f>
        <v>782.32420000000002</v>
      </c>
      <c r="FB10" s="157">
        <v>554.50095991575461</v>
      </c>
      <c r="FC10" s="157">
        <f>'BUDGET REVENUE BP 2021-2025'!DE440/1000000</f>
        <v>0</v>
      </c>
      <c r="FD10" s="157">
        <v>592.75487566106494</v>
      </c>
      <c r="FE10" s="638">
        <f>'BUDGET REVENUE BP 2021-2025'!DG440/1000000</f>
        <v>725</v>
      </c>
      <c r="FF10" s="157">
        <f>'BUDGET REVENUE BP 2021-2025'!DH440/1000000</f>
        <v>0</v>
      </c>
      <c r="FG10" s="157">
        <v>577.03471588499758</v>
      </c>
      <c r="FH10" s="638">
        <f>'BUDGET REVENUE BP 2021-2025'!DJ440/1000000</f>
        <v>725</v>
      </c>
      <c r="FI10" s="157">
        <f>'BUDGET REVENUE BP 2021-2025'!DK440/1000000</f>
        <v>0</v>
      </c>
      <c r="FJ10" s="157">
        <v>612.07975439819825</v>
      </c>
      <c r="FK10" s="638">
        <f>'BUDGET REVENUE BP 2021-2025'!DM440/1000000</f>
        <v>795</v>
      </c>
      <c r="FL10" s="157">
        <f>'BUDGET REVENUE BP 2021-2025'!DN440/1000000</f>
        <v>0</v>
      </c>
      <c r="FM10" s="157">
        <v>618.30227308530971</v>
      </c>
      <c r="FN10" s="638">
        <f>'BUDGET REVENUE BP 2021-2025'!DP440/1000000</f>
        <v>795</v>
      </c>
      <c r="FO10" s="170">
        <f>SUM(EN10,EO10,EQ10)</f>
        <v>771.36323199999993</v>
      </c>
      <c r="FP10" s="170">
        <f>SUM(ES10,EU10,EW10)</f>
        <v>2776.8481499999998</v>
      </c>
      <c r="FQ10" s="170">
        <f>SUM(EY10,FA10,FD10)</f>
        <v>2551.152825661065</v>
      </c>
      <c r="FR10" s="170">
        <f>SUM(FG10,FJ10,FM10)</f>
        <v>1807.4167433685054</v>
      </c>
      <c r="FS10" s="170">
        <f>FO10+FP10+FQ10+FR10</f>
        <v>7906.7809510295701</v>
      </c>
      <c r="FT10" s="593">
        <f>EN10+EO10+EQ10+ES10+EU10+EW10+EY10+FA10+FE10+FH10+FK10+FN10</f>
        <v>8546.609332</v>
      </c>
      <c r="FU10" s="931">
        <f>'BUDGET REVENUE BP 2021-2025'!DS440/10^6</f>
        <v>711.4</v>
      </c>
      <c r="FV10" s="931">
        <f>'BUDGET REVENUE BP 2021-2025'!DT440/10^6</f>
        <v>711.4</v>
      </c>
      <c r="FW10" s="931">
        <f>'BUDGET REVENUE BP 2021-2025'!DU440/10^6</f>
        <v>711.4</v>
      </c>
      <c r="FX10" s="931">
        <f>'BUDGET REVENUE BP 2021-2025'!DV440/10^6</f>
        <v>721.2</v>
      </c>
      <c r="FY10" s="931">
        <f>'BUDGET REVENUE BP 2021-2025'!DW440/10^6</f>
        <v>711.4</v>
      </c>
      <c r="FZ10" s="931">
        <f>'BUDGET REVENUE BP 2021-2025'!DX440/10^6</f>
        <v>725.4</v>
      </c>
      <c r="GA10" s="931">
        <f>'BUDGET REVENUE BP 2021-2025'!DY440/10^6</f>
        <v>711.4</v>
      </c>
      <c r="GB10" s="931">
        <f>'BUDGET REVENUE BP 2021-2025'!DZ440/10^6</f>
        <v>711.4</v>
      </c>
      <c r="GC10" s="931">
        <f>'BUDGET REVENUE BP 2021-2025'!EA440/10^6</f>
        <v>711.4</v>
      </c>
      <c r="GD10" s="931">
        <f>'BUDGET REVENUE BP 2021-2025'!EB440/10^6</f>
        <v>711.4</v>
      </c>
      <c r="GE10" s="931">
        <f>'BUDGET REVENUE BP 2021-2025'!EC440/10^6</f>
        <v>735.2</v>
      </c>
      <c r="GF10" s="931">
        <f>'BUDGET REVENUE BP 2021-2025'!ED440/10^6</f>
        <v>711.4</v>
      </c>
      <c r="GG10" s="930">
        <f>FU10+FV10+FW10+FX10+FY10+FZ10+GA10+GB10+GC10+GD10+GE10+GF10</f>
        <v>8584.3999999999978</v>
      </c>
      <c r="GH10" s="157">
        <f>'BUDGET REVENUE BP 2021-2025'!CP891/1000000</f>
        <v>1074.92201</v>
      </c>
      <c r="GI10" s="157">
        <f>'BUDGET REVENUE BP 2021-2025'!CQ891/1000000</f>
        <v>2509.108894</v>
      </c>
      <c r="GJ10" s="157">
        <f>'BUDGET REVENUE BP 2021-2025'!CR891/1000000</f>
        <v>2284.3088939999998</v>
      </c>
      <c r="GK10" s="157">
        <f>'BUDGET REVENUE BP 2021-2025'!CS891/1000000</f>
        <v>3055.7281400000002</v>
      </c>
      <c r="GL10" s="157">
        <f>'BUDGET REVENUE BP 2021-2025'!CT891/1000000</f>
        <v>2327.5</v>
      </c>
      <c r="GM10" s="157">
        <f>'BUDGET REVENUE BP 2021-2025'!CU891/1000000</f>
        <v>1903.71866</v>
      </c>
      <c r="GN10" s="157">
        <v>1719.6681172033652</v>
      </c>
      <c r="GO10" s="157">
        <f>'BUDGET REVENUE BP 2021-2025'!CW891/1000000-129</f>
        <v>464.60659999999996</v>
      </c>
      <c r="GP10" s="157">
        <v>1151.6007416563659</v>
      </c>
      <c r="GQ10" s="157">
        <f>'BUDGET REVENUE BP 2021-2025'!CY891/1000000</f>
        <v>2346.62799</v>
      </c>
      <c r="GR10" s="157">
        <v>3193.2456140350878</v>
      </c>
      <c r="GS10" s="157">
        <f>'BUDGET REVENUE BP 2021-2025'!DA891/1000000-189</f>
        <v>3147.2144199999998</v>
      </c>
      <c r="GT10" s="157">
        <v>525.14567211625797</v>
      </c>
      <c r="GU10" s="157">
        <f>'BUDGET REVENUE BP 2021-2025'!DC891/1000000</f>
        <v>4144.4422299999997</v>
      </c>
      <c r="GV10" s="157">
        <v>2860.866837865537</v>
      </c>
      <c r="GW10" s="157">
        <f>'BUDGET REVENUE BP 2021-2025'!DE891/1000000</f>
        <v>0</v>
      </c>
      <c r="GX10" s="157">
        <v>435.44481308411213</v>
      </c>
      <c r="GY10" s="638">
        <f>'BUDGET REVENUE BP 2021-2025'!DG891/1000000</f>
        <v>1800</v>
      </c>
      <c r="GZ10" s="157">
        <f>'BUDGET REVENUE BP 2021-2025'!DH891/1000000</f>
        <v>0</v>
      </c>
      <c r="HA10" s="157">
        <v>154.67348113207547</v>
      </c>
      <c r="HB10" s="638">
        <f>'BUDGET REVENUE BP 2021-2025'!DJ891/1000000</f>
        <v>1600</v>
      </c>
      <c r="HC10" s="157">
        <f>'BUDGET REVENUE BP 2021-2025'!DK891/1000000</f>
        <v>0</v>
      </c>
      <c r="HD10" s="157">
        <v>1794.8574815374282</v>
      </c>
      <c r="HE10" s="638">
        <f>'BUDGET REVENUE BP 2021-2025'!DM891/1000000</f>
        <v>2555</v>
      </c>
      <c r="HF10" s="157">
        <f>'BUDGET REVENUE BP 2021-2025'!DN891/1000000</f>
        <v>0</v>
      </c>
      <c r="HG10" s="157">
        <v>1046.2208092485548</v>
      </c>
      <c r="HH10" s="638">
        <f>'BUDGET REVENUE BP 2021-2025'!DP891/1000000</f>
        <v>2555</v>
      </c>
      <c r="HI10" s="170">
        <f>SUM(GH10,GI10,GK10)</f>
        <v>6639.7590440000004</v>
      </c>
      <c r="HJ10" s="170">
        <f>SUM(GM10,GO10,GQ10)</f>
        <v>4714.9532500000005</v>
      </c>
      <c r="HK10" s="170">
        <f>SUM(GS10,GU10,GX10)</f>
        <v>7727.1014630841109</v>
      </c>
      <c r="HL10" s="170">
        <f>SUM(HA10,HD10,HG10)</f>
        <v>2995.7517719180587</v>
      </c>
      <c r="HM10" s="170">
        <f>HI10+HJ10+HK10+HL10</f>
        <v>22077.565529002171</v>
      </c>
      <c r="HN10" s="593">
        <f>GH10+GI10+GK10+GM10+GO10+GQ10+GS10+GU10+GY10+HB10+HE10+HH10</f>
        <v>27156.368944000002</v>
      </c>
      <c r="HO10" s="931">
        <f>'BUDGET REVENUE BP 2021-2025'!DS891/10^6</f>
        <v>1782</v>
      </c>
      <c r="HP10" s="931">
        <f>'BUDGET REVENUE BP 2021-2025'!DT891/10^6</f>
        <v>3328.2</v>
      </c>
      <c r="HQ10" s="931">
        <f>'BUDGET REVENUE BP 2021-2025'!DU891/10^6</f>
        <v>2199.6</v>
      </c>
      <c r="HR10" s="931">
        <f>'BUDGET REVENUE BP 2021-2025'!DV891/10^6</f>
        <v>2612</v>
      </c>
      <c r="HS10" s="931">
        <f>'BUDGET REVENUE BP 2021-2025'!DW891/10^6</f>
        <v>1279</v>
      </c>
      <c r="HT10" s="931">
        <f>'BUDGET REVENUE BP 2021-2025'!DX891/10^6</f>
        <v>2962</v>
      </c>
      <c r="HU10" s="931">
        <f>'BUDGET REVENUE BP 2021-2025'!DY891/10^6</f>
        <v>2428.6</v>
      </c>
      <c r="HV10" s="931">
        <f>'BUDGET REVENUE BP 2021-2025'!DZ891/10^6</f>
        <v>2592.0509999999999</v>
      </c>
      <c r="HW10" s="931">
        <f>'BUDGET REVENUE BP 2021-2025'!EA891/10^6</f>
        <v>2021</v>
      </c>
      <c r="HX10" s="931">
        <f>'BUDGET REVENUE BP 2021-2025'!EB891/10^6</f>
        <v>2622</v>
      </c>
      <c r="HY10" s="931">
        <f>'BUDGET REVENUE BP 2021-2025'!EC891/10^6</f>
        <v>2368.6</v>
      </c>
      <c r="HZ10" s="931">
        <f>'BUDGET REVENUE BP 2021-2025'!ED891/10^6</f>
        <v>1680</v>
      </c>
      <c r="IA10" s="930">
        <f>HO10+HP10+HQ10+HR10+HS10+HT10+HU10+HV10+HW10+HX10+HY10+HZ10</f>
        <v>27875.050999999996</v>
      </c>
      <c r="IB10" s="157">
        <f>('BUDGET REVENUE BP 2021-2025'!CP810/1000000)+('BUDGET REVENUE CML 2021-2025'!BA348/10^6)</f>
        <v>498.76490999999999</v>
      </c>
      <c r="IC10" s="157">
        <f>'BUDGET REVENUE BP 2021-2025'!CQ810/1000000</f>
        <v>206.39223999999999</v>
      </c>
      <c r="ID10" s="157">
        <f>'BUDGET REVENUE BP 2021-2025'!CR810/1000000</f>
        <v>462.28268000000003</v>
      </c>
      <c r="IE10" s="157">
        <f>'BUDGET REVENUE BP 2021-2025'!CS810/1000000</f>
        <v>119.25463999999999</v>
      </c>
      <c r="IF10" s="157">
        <f>'BUDGET REVENUE BP 2021-2025'!CT810/1000000</f>
        <v>398.9</v>
      </c>
      <c r="IG10" s="157">
        <f>'BUDGET REVENUE BP 2021-2025'!CU810/1000000</f>
        <v>516.19605000000001</v>
      </c>
      <c r="IH10" s="157">
        <v>522.42891398783672</v>
      </c>
      <c r="II10" s="157">
        <f>'BUDGET REVENUE BP 2021-2025'!CW810/1000000</f>
        <v>437.57222000000002</v>
      </c>
      <c r="IJ10" s="157">
        <v>273.75992634368805</v>
      </c>
      <c r="IK10" s="157">
        <f>'BUDGET REVENUE BP 2021-2025'!CY810/1000000</f>
        <v>393.88423</v>
      </c>
      <c r="IL10" s="157">
        <v>213.00142255327393</v>
      </c>
      <c r="IM10" s="157">
        <f>'BUDGET REVENUE BP 2021-2025'!DA810/1000000</f>
        <v>292.40065399999997</v>
      </c>
      <c r="IN10" s="157">
        <v>470.30862279724209</v>
      </c>
      <c r="IO10" s="157">
        <f>'BUDGET REVENUE BP 2021-2025'!DC810/1000000</f>
        <v>692.62208999999996</v>
      </c>
      <c r="IP10" s="157">
        <v>527.88875395224022</v>
      </c>
      <c r="IQ10" s="157">
        <f>'BUDGET REVENUE BP 2021-2025'!DE810/1000000</f>
        <v>0</v>
      </c>
      <c r="IR10" s="157">
        <v>498.26135611933483</v>
      </c>
      <c r="IS10" s="638">
        <f>'BUDGET REVENUE BP 2021-2025'!DG810/1000000</f>
        <v>561</v>
      </c>
      <c r="IT10" s="157">
        <f>'BUDGET REVENUE BP 2021-2025'!DH810/1000000</f>
        <v>0</v>
      </c>
      <c r="IU10" s="157">
        <v>655.98681400080307</v>
      </c>
      <c r="IV10" s="638">
        <f>'BUDGET REVENUE BP 2021-2025'!DJ810/1000000</f>
        <v>694.5</v>
      </c>
      <c r="IW10" s="157">
        <f>'BUDGET REVENUE BP 2021-2025'!DK810/1000000</f>
        <v>0</v>
      </c>
      <c r="IX10" s="157">
        <v>677.54014340831054</v>
      </c>
      <c r="IY10" s="638">
        <f>'BUDGET REVENUE BP 2021-2025'!DM810/1000000</f>
        <v>615</v>
      </c>
      <c r="IZ10" s="157">
        <f>'BUDGET REVENUE BP 2021-2025'!DN810/1000000</f>
        <v>0</v>
      </c>
      <c r="JA10" s="157">
        <v>533.86053063938834</v>
      </c>
      <c r="JB10" s="638">
        <f>'BUDGET REVENUE BP 2021-2025'!DP810/1000000</f>
        <v>561</v>
      </c>
      <c r="JC10" s="580">
        <f>SUM(IB10,IC10,IE10)</f>
        <v>824.41179</v>
      </c>
      <c r="JD10" s="580">
        <f>SUM(IG10,II10,IK10)</f>
        <v>1347.6525000000001</v>
      </c>
      <c r="JE10" s="170">
        <f>SUM(IM10,IO10,IR10)</f>
        <v>1483.2841001193347</v>
      </c>
      <c r="JF10" s="580">
        <f>SUM(IU10,IX10,JA10)</f>
        <v>1867.3874880485018</v>
      </c>
      <c r="JG10" s="170">
        <f>JC10+JD10+JE10+JF10</f>
        <v>5522.7358781678367</v>
      </c>
      <c r="JH10" s="593">
        <f>IB10+IC10+IE10+IG10+II10+IK10+IM10+IO10+IS10+IV10+IY10+JB10</f>
        <v>5588.5870340000001</v>
      </c>
      <c r="JI10" s="931">
        <f>'BUDGET REVENUE BP 2021-2025'!DS810/10^6</f>
        <v>305.25</v>
      </c>
      <c r="JJ10" s="931">
        <f>'BUDGET REVENUE BP 2021-2025'!DT810/10^6</f>
        <v>589.45000000000005</v>
      </c>
      <c r="JK10" s="931">
        <f>'BUDGET REVENUE BP 2021-2025'!DU810/10^6</f>
        <v>603.85</v>
      </c>
      <c r="JL10" s="931">
        <f>'BUDGET REVENUE BP 2021-2025'!DV810/10^6</f>
        <v>526.95000000000005</v>
      </c>
      <c r="JM10" s="931">
        <f>'BUDGET REVENUE BP 2021-2025'!DW810/10^6</f>
        <v>501.5</v>
      </c>
      <c r="JN10" s="931">
        <f>'BUDGET REVENUE BP 2021-2025'!DX810/10^6</f>
        <v>654</v>
      </c>
      <c r="JO10" s="931">
        <f>'BUDGET REVENUE BP 2021-2025'!DY810/10^6</f>
        <v>537.29999999999995</v>
      </c>
      <c r="JP10" s="931">
        <f>'BUDGET REVENUE BP 2021-2025'!DZ810/10^6</f>
        <v>539.79999999999995</v>
      </c>
      <c r="JQ10" s="931">
        <f>'BUDGET REVENUE BP 2021-2025'!EA810/10^6</f>
        <v>599</v>
      </c>
      <c r="JR10" s="931">
        <f>'BUDGET REVENUE BP 2021-2025'!EB810/10^6</f>
        <v>552.20000000000005</v>
      </c>
      <c r="JS10" s="931">
        <f>'BUDGET REVENUE BP 2021-2025'!EC810/10^6</f>
        <v>505.3</v>
      </c>
      <c r="JT10" s="931">
        <f>'BUDGET REVENUE BP 2021-2025'!ED810/10^6</f>
        <v>599</v>
      </c>
      <c r="JU10" s="930">
        <f>JI10+JJ10+JK10+JL10+JM10+JN10+JO10+JP10+JQ10+JR10+JS10+JT10</f>
        <v>6513.6</v>
      </c>
      <c r="JV10" s="157">
        <v>0</v>
      </c>
      <c r="JW10" s="157">
        <v>0</v>
      </c>
      <c r="JX10" s="157">
        <v>0</v>
      </c>
      <c r="JY10" s="157">
        <v>0</v>
      </c>
      <c r="JZ10" s="157">
        <v>0</v>
      </c>
      <c r="KA10" s="157">
        <v>0</v>
      </c>
      <c r="KB10" s="157">
        <v>0</v>
      </c>
      <c r="KC10" s="157">
        <v>0</v>
      </c>
      <c r="KD10" s="157">
        <v>0</v>
      </c>
      <c r="KE10" s="157">
        <v>0</v>
      </c>
      <c r="KF10" s="157">
        <v>0</v>
      </c>
      <c r="KG10" s="157">
        <v>0</v>
      </c>
      <c r="KH10" s="157">
        <v>0</v>
      </c>
      <c r="KI10" s="157">
        <v>0</v>
      </c>
      <c r="KJ10" s="157">
        <v>0</v>
      </c>
      <c r="KK10" s="157">
        <v>0</v>
      </c>
      <c r="KL10" s="157">
        <v>0</v>
      </c>
      <c r="KM10" s="638"/>
      <c r="KN10" s="157">
        <v>0</v>
      </c>
      <c r="KO10" s="157">
        <v>0</v>
      </c>
      <c r="KP10" s="638"/>
      <c r="KQ10" s="157">
        <v>0</v>
      </c>
      <c r="KR10" s="157">
        <v>0</v>
      </c>
      <c r="KS10" s="638"/>
      <c r="KT10" s="157">
        <v>0</v>
      </c>
      <c r="KU10" s="157">
        <v>0</v>
      </c>
      <c r="KV10" s="638"/>
      <c r="KW10" s="170">
        <f>SUM(JV10,JW10,JZ10)</f>
        <v>0</v>
      </c>
      <c r="KX10" s="170">
        <f>SUM(KA10,KC10,KE10)</f>
        <v>0</v>
      </c>
      <c r="KY10" s="170">
        <f>SUM(KG10,KI10,KL10)</f>
        <v>0</v>
      </c>
      <c r="KZ10" s="170">
        <f>SUM(KO10,KR10,KU10)</f>
        <v>0</v>
      </c>
      <c r="LA10" s="170">
        <f>KW10+KX10+KY10+KZ10</f>
        <v>0</v>
      </c>
      <c r="LB10" s="593">
        <f>JV10+JW10+JY10+KA10+KC10+KE10+KG10+KI10+KM10+KP10+KS10+KV10</f>
        <v>0</v>
      </c>
      <c r="LC10" s="931">
        <v>0</v>
      </c>
      <c r="LD10" s="931">
        <v>0</v>
      </c>
      <c r="LE10" s="931">
        <v>0</v>
      </c>
      <c r="LF10" s="931">
        <v>0</v>
      </c>
      <c r="LG10" s="931">
        <v>0</v>
      </c>
      <c r="LH10" s="931">
        <v>0</v>
      </c>
      <c r="LI10" s="931">
        <v>0</v>
      </c>
      <c r="LJ10" s="931">
        <v>0</v>
      </c>
      <c r="LK10" s="931">
        <v>0</v>
      </c>
      <c r="LL10" s="931">
        <v>0</v>
      </c>
      <c r="LM10" s="931">
        <v>0</v>
      </c>
      <c r="LN10" s="931">
        <v>0</v>
      </c>
      <c r="LO10" s="930">
        <f>LC10+LD10+LE10+LF10+LG10+LH10+LI10+LJ10+LK10+LL10+LM10+LN10</f>
        <v>0</v>
      </c>
      <c r="LP10" s="578">
        <v>0</v>
      </c>
      <c r="LQ10" s="578">
        <v>0</v>
      </c>
      <c r="LR10" s="578">
        <v>0</v>
      </c>
      <c r="LS10" s="578">
        <v>0</v>
      </c>
      <c r="LT10" s="578">
        <v>0</v>
      </c>
      <c r="LU10" s="578">
        <v>0</v>
      </c>
      <c r="LV10" s="578">
        <v>0</v>
      </c>
      <c r="LW10" s="578">
        <v>0</v>
      </c>
      <c r="LX10" s="578">
        <v>0</v>
      </c>
      <c r="LY10" s="578">
        <v>0</v>
      </c>
      <c r="LZ10" s="578">
        <v>0</v>
      </c>
      <c r="MA10" s="578">
        <v>0</v>
      </c>
      <c r="MB10" s="578">
        <v>0</v>
      </c>
      <c r="MC10" s="578">
        <v>0</v>
      </c>
      <c r="MD10" s="578">
        <v>0</v>
      </c>
      <c r="ME10" s="578">
        <v>0</v>
      </c>
      <c r="MF10" s="578">
        <v>0</v>
      </c>
      <c r="MG10" s="638"/>
      <c r="MH10" s="578">
        <v>0</v>
      </c>
      <c r="MI10" s="578">
        <v>0</v>
      </c>
      <c r="MJ10" s="638"/>
      <c r="MK10" s="578">
        <v>0</v>
      </c>
      <c r="ML10" s="578">
        <v>0</v>
      </c>
      <c r="MM10" s="638"/>
      <c r="MN10" s="578">
        <v>0</v>
      </c>
      <c r="MO10" s="578">
        <v>0</v>
      </c>
      <c r="MP10" s="638"/>
      <c r="MQ10" s="170">
        <f>SUM(LP10,LQ10,LT10)</f>
        <v>0</v>
      </c>
      <c r="MR10" s="170">
        <f>SUM(LU10,LW10,LY10)</f>
        <v>0</v>
      </c>
      <c r="MS10" s="170">
        <f>SUM(MA10,MC10,MF10)</f>
        <v>0</v>
      </c>
      <c r="MT10" s="170">
        <f>SUM(MI10,ML10,MO10)</f>
        <v>0</v>
      </c>
      <c r="MU10" s="170">
        <f>MQ10+MR10+MS10+MT10</f>
        <v>0</v>
      </c>
      <c r="MV10" s="593">
        <f>LP10+LQ10+LS10+LU10+LW10+LY10+MA10+MC10+MG10+MJ10+MM10+MP10</f>
        <v>0</v>
      </c>
      <c r="MW10" s="931">
        <v>0</v>
      </c>
      <c r="MX10" s="931">
        <v>0</v>
      </c>
      <c r="MY10" s="931">
        <v>0</v>
      </c>
      <c r="MZ10" s="931">
        <v>0</v>
      </c>
      <c r="NA10" s="931">
        <v>0</v>
      </c>
      <c r="NB10" s="931">
        <v>0</v>
      </c>
      <c r="NC10" s="931">
        <v>0</v>
      </c>
      <c r="ND10" s="931">
        <v>0</v>
      </c>
      <c r="NE10" s="931">
        <v>0</v>
      </c>
      <c r="NF10" s="931">
        <v>0</v>
      </c>
      <c r="NG10" s="931">
        <v>0</v>
      </c>
      <c r="NH10" s="931">
        <v>0</v>
      </c>
      <c r="NI10" s="930">
        <f>MW10+MX10+MY10+MZ10+NA10+NB10+NC10+ND10+NE10+NF10+NG10+NH10</f>
        <v>0</v>
      </c>
      <c r="NJ10" s="157">
        <f t="shared" si="5"/>
        <v>0</v>
      </c>
      <c r="NK10" s="157">
        <f t="shared" si="5"/>
        <v>0</v>
      </c>
      <c r="NL10" s="157">
        <f t="shared" si="5"/>
        <v>0</v>
      </c>
      <c r="NM10" s="157">
        <f t="shared" si="5"/>
        <v>0</v>
      </c>
      <c r="NN10" s="157">
        <f t="shared" si="5"/>
        <v>0</v>
      </c>
      <c r="NO10" s="157">
        <f t="shared" si="5"/>
        <v>0</v>
      </c>
      <c r="NP10" s="157">
        <f t="shared" si="5"/>
        <v>0</v>
      </c>
      <c r="NQ10" s="157">
        <f t="shared" si="5"/>
        <v>0</v>
      </c>
      <c r="NR10" s="157">
        <f t="shared" si="5"/>
        <v>0</v>
      </c>
      <c r="NS10" s="157">
        <f t="shared" si="5"/>
        <v>0</v>
      </c>
      <c r="NT10" s="157">
        <f t="shared" si="5"/>
        <v>0</v>
      </c>
      <c r="NU10" s="157"/>
      <c r="NV10" s="157"/>
      <c r="NW10" s="157"/>
      <c r="NX10" s="157"/>
      <c r="NY10" s="157"/>
      <c r="NZ10" s="157"/>
      <c r="OA10" s="157"/>
      <c r="OB10" s="157"/>
      <c r="OC10" s="157"/>
      <c r="OD10" s="157"/>
      <c r="OE10" s="157"/>
      <c r="OF10" s="157"/>
      <c r="OG10" s="170">
        <f>SUM(NJ10,NK10,NN10)</f>
        <v>0</v>
      </c>
      <c r="OH10" s="170">
        <f>SUM(NO10,NQ10,NS10)</f>
        <v>0</v>
      </c>
      <c r="OI10" s="170">
        <f>SUM(NU10,NW10,NZ10)</f>
        <v>0</v>
      </c>
      <c r="OJ10" s="170">
        <f>SUM(OB10,OD10,OF10)</f>
        <v>0</v>
      </c>
      <c r="OK10" s="170">
        <f>OG10+OH10+OI10+OJ10</f>
        <v>0</v>
      </c>
      <c r="OL10" s="931">
        <v>0</v>
      </c>
      <c r="OM10" s="931">
        <v>0</v>
      </c>
      <c r="ON10" s="931">
        <v>0</v>
      </c>
      <c r="OO10" s="931">
        <v>0</v>
      </c>
      <c r="OP10" s="931">
        <v>0</v>
      </c>
      <c r="OQ10" s="931">
        <v>0</v>
      </c>
      <c r="OR10" s="931">
        <v>0</v>
      </c>
      <c r="OS10" s="931">
        <v>0</v>
      </c>
      <c r="OT10" s="931">
        <v>0</v>
      </c>
      <c r="OU10" s="931">
        <v>0</v>
      </c>
      <c r="OV10" s="931">
        <v>0</v>
      </c>
      <c r="OW10" s="931">
        <v>0</v>
      </c>
      <c r="OX10" s="930">
        <f>OL10+OM10+ON10+OO10+OP10+OQ10+OR10+OS10+OT10+OU10+OV10+OW10</f>
        <v>0</v>
      </c>
      <c r="OY10" s="157">
        <f t="shared" si="6"/>
        <v>2619.0949899999996</v>
      </c>
      <c r="OZ10" s="157">
        <f t="shared" si="6"/>
        <v>3710.5094370000002</v>
      </c>
      <c r="PA10" s="157">
        <f t="shared" si="6"/>
        <v>3639.335677</v>
      </c>
      <c r="PB10" s="157">
        <f t="shared" si="6"/>
        <v>4125.7704430000003</v>
      </c>
      <c r="PC10" s="157">
        <f t="shared" si="6"/>
        <v>3767.97</v>
      </c>
      <c r="PD10" s="157">
        <f t="shared" si="6"/>
        <v>4191.9179899999999</v>
      </c>
      <c r="PE10" s="157">
        <f t="shared" si="6"/>
        <v>3690.529593344284</v>
      </c>
      <c r="PF10" s="157">
        <f t="shared" si="6"/>
        <v>2306.3283350000002</v>
      </c>
      <c r="PG10" s="157">
        <f t="shared" si="6"/>
        <v>2956.5160983198316</v>
      </c>
      <c r="PH10" s="157">
        <f t="shared" si="6"/>
        <v>4317.8989899999997</v>
      </c>
      <c r="PI10" s="157">
        <f t="shared" si="6"/>
        <v>4764.3358619041064</v>
      </c>
      <c r="PJ10" s="157">
        <f t="shared" si="6"/>
        <v>5172.2659960000001</v>
      </c>
      <c r="PK10" s="157">
        <f t="shared" si="7"/>
        <v>2758.6762854240455</v>
      </c>
      <c r="PL10" s="157">
        <f t="shared" si="7"/>
        <v>6159.0729299999994</v>
      </c>
      <c r="PM10" s="157">
        <f t="shared" si="7"/>
        <v>5143.3798017335321</v>
      </c>
      <c r="PN10" s="157">
        <f t="shared" si="7"/>
        <v>0</v>
      </c>
      <c r="PO10" s="157">
        <f>SUM(V10,BP10,BQ10,DJ10,FD10,GX10,IR10,KL10,MF10,NZ10)</f>
        <v>3179.9842948645119</v>
      </c>
      <c r="PP10" s="637">
        <f t="shared" si="1"/>
        <v>3716.9</v>
      </c>
      <c r="PQ10" s="157">
        <f t="shared" si="1"/>
        <v>0</v>
      </c>
      <c r="PR10" s="157">
        <f>SUM(Y10,BS10,BT10,DM10,FG10,HA10,IU10,KO10,MI10,OC10)</f>
        <v>2976.2182610178761</v>
      </c>
      <c r="PS10" s="637">
        <f t="shared" si="2"/>
        <v>3718.6</v>
      </c>
      <c r="PT10" s="157">
        <f t="shared" si="2"/>
        <v>0</v>
      </c>
      <c r="PU10" s="157">
        <f>SUM(AB10,BV10,BW10,DP10,FJ10,HD10,IX10,KR10,ML10,OF10)</f>
        <v>4663.0006293439365</v>
      </c>
      <c r="PV10" s="637">
        <f t="shared" si="3"/>
        <v>4753.1000000000004</v>
      </c>
      <c r="PW10" s="157">
        <f t="shared" si="3"/>
        <v>0</v>
      </c>
      <c r="PX10" s="157">
        <f>SUM(AE10,BY10,BZ10,DS10,FM10,HG10,JA10,KU10,MO10,OI10)</f>
        <v>3775.9068629732533</v>
      </c>
      <c r="PY10" s="637">
        <f>SUM(AF10,BZ10,DT10,FN10,HH10,JB10,KV10,MP10,OF10)</f>
        <v>4787.1000000000004</v>
      </c>
      <c r="PZ10" s="170">
        <f>SUM(OY10,OZ10,PB10)</f>
        <v>10455.37487</v>
      </c>
      <c r="QA10" s="170">
        <f>SUM(PD10,PF10,PH10)</f>
        <v>10816.145315</v>
      </c>
      <c r="QB10" s="170">
        <f>SUM(PJ10,PL10,PO10)</f>
        <v>14511.323220864513</v>
      </c>
      <c r="QC10" s="170">
        <f>SUM(PR10,PU10,PX10)</f>
        <v>11415.125753335065</v>
      </c>
      <c r="QD10" s="170">
        <f>PZ10+QA10+QB10+QC10</f>
        <v>47197.96915919958</v>
      </c>
      <c r="QE10" s="593">
        <f>OY10+OZ10+PB10+PD10+PF10+PH10+PJ10+PL10+PP10+PS10+PV10+PY10</f>
        <v>49578.559110999995</v>
      </c>
      <c r="QF10" s="682"/>
      <c r="QG10" s="682"/>
      <c r="QH10" s="930">
        <f>AM10+CG10+EA10+FU10+HO10+JI10+LC10+MW10+OL10</f>
        <v>3609.0355</v>
      </c>
      <c r="QI10" s="930">
        <f t="shared" si="8"/>
        <v>5444.2894999999999</v>
      </c>
      <c r="QJ10" s="930">
        <f t="shared" si="8"/>
        <v>4328.7915000000003</v>
      </c>
      <c r="QK10" s="930">
        <f t="shared" si="8"/>
        <v>4599.3140000000003</v>
      </c>
      <c r="QL10" s="930">
        <f t="shared" si="8"/>
        <v>3239.5594999999998</v>
      </c>
      <c r="QM10" s="930">
        <f t="shared" si="8"/>
        <v>5083.2934999999998</v>
      </c>
      <c r="QN10" s="930">
        <f t="shared" si="8"/>
        <v>4426.0839999999998</v>
      </c>
      <c r="QO10" s="930">
        <f t="shared" si="8"/>
        <v>4590.7169999999996</v>
      </c>
      <c r="QP10" s="930">
        <f t="shared" si="8"/>
        <v>4080.2</v>
      </c>
      <c r="QQ10" s="930">
        <f t="shared" si="8"/>
        <v>4636.3999999999996</v>
      </c>
      <c r="QR10" s="930">
        <f t="shared" si="8"/>
        <v>4411.8999999999996</v>
      </c>
      <c r="QS10" s="930">
        <f>AX10+CR10+EL10+GF10+HZ10+JT10+LN10+NH10+OW10</f>
        <v>3844.2</v>
      </c>
      <c r="QT10" s="930">
        <f>QH10+QI10+QJ10+QK10+QL10+QM10+QN10+QO10+QP10+QQ10+QR10+QS10</f>
        <v>52293.784499999994</v>
      </c>
      <c r="QU10" s="167">
        <f>SUM(AG10,CA10,DU10,FO10,HI10,JC10,KW10)</f>
        <v>10455.374870000001</v>
      </c>
    </row>
    <row r="11" spans="1:465" s="51" customFormat="1">
      <c r="A11" s="156" t="s">
        <v>1208</v>
      </c>
      <c r="B11" s="156"/>
      <c r="C11" s="156"/>
      <c r="D11" s="156"/>
      <c r="E11" s="156"/>
      <c r="F11" s="158">
        <f t="shared" ref="F11:DB11" si="9">SUM(F7:F10)</f>
        <v>7895.2536110000001</v>
      </c>
      <c r="G11" s="158">
        <f t="shared" si="9"/>
        <v>7342.5642749999997</v>
      </c>
      <c r="H11" s="158">
        <f t="shared" si="9"/>
        <v>7502.4619010000006</v>
      </c>
      <c r="I11" s="158">
        <f t="shared" si="9"/>
        <v>7107.8029509999997</v>
      </c>
      <c r="J11" s="158">
        <f t="shared" si="9"/>
        <v>7658.2686289999992</v>
      </c>
      <c r="K11" s="158">
        <f t="shared" si="9"/>
        <v>7521.7309860000005</v>
      </c>
      <c r="L11" s="158">
        <f t="shared" si="9"/>
        <v>8756.9059852999999</v>
      </c>
      <c r="M11" s="158">
        <f t="shared" si="9"/>
        <v>6656.8085739999997</v>
      </c>
      <c r="N11" s="158">
        <f t="shared" si="9"/>
        <v>8700.5158052999996</v>
      </c>
      <c r="O11" s="158">
        <f t="shared" si="9"/>
        <v>7934.4444629999998</v>
      </c>
      <c r="P11" s="158">
        <f t="shared" si="9"/>
        <v>9700.3187964499994</v>
      </c>
      <c r="Q11" s="158">
        <f t="shared" si="9"/>
        <v>6406.0750549999993</v>
      </c>
      <c r="R11" s="158">
        <f t="shared" si="9"/>
        <v>12155.83000922742</v>
      </c>
      <c r="S11" s="158">
        <f t="shared" si="9"/>
        <v>9501.3901179999993</v>
      </c>
      <c r="T11" s="158">
        <f t="shared" si="9"/>
        <v>12150.83000922742</v>
      </c>
      <c r="U11" s="158">
        <f t="shared" si="9"/>
        <v>0</v>
      </c>
      <c r="V11" s="158">
        <f t="shared" si="9"/>
        <v>12255.83000922742</v>
      </c>
      <c r="W11" s="594">
        <f t="shared" si="9"/>
        <v>9067.8721619999997</v>
      </c>
      <c r="X11" s="158">
        <f t="shared" si="9"/>
        <v>0</v>
      </c>
      <c r="Y11" s="158">
        <f t="shared" si="9"/>
        <v>12305.83000922742</v>
      </c>
      <c r="Z11" s="594">
        <f t="shared" si="9"/>
        <v>10054.072162</v>
      </c>
      <c r="AA11" s="158">
        <f t="shared" si="9"/>
        <v>0</v>
      </c>
      <c r="AB11" s="158">
        <f t="shared" si="9"/>
        <v>12310.83000922742</v>
      </c>
      <c r="AC11" s="594">
        <f t="shared" si="9"/>
        <v>10709.072162</v>
      </c>
      <c r="AD11" s="158">
        <f t="shared" si="9"/>
        <v>0</v>
      </c>
      <c r="AE11" s="158">
        <f t="shared" si="9"/>
        <v>12304.83000922742</v>
      </c>
      <c r="AF11" s="594">
        <f t="shared" si="9"/>
        <v>11371.480162</v>
      </c>
      <c r="AG11" s="171">
        <f t="shared" si="9"/>
        <v>22345.620836999999</v>
      </c>
      <c r="AH11" s="579">
        <f t="shared" si="9"/>
        <v>22112.984023000001</v>
      </c>
      <c r="AI11" s="171">
        <f t="shared" si="9"/>
        <v>28163.295182227423</v>
      </c>
      <c r="AJ11" s="171">
        <f>SUM(AJ7:AJ10)</f>
        <v>32134.624485999997</v>
      </c>
      <c r="AK11" s="171">
        <f>SUM(AK7:AK10)</f>
        <v>104756.52452822741</v>
      </c>
      <c r="AL11" s="594">
        <f>SUM(AL7:AL10)</f>
        <v>101568.566681</v>
      </c>
      <c r="AM11" s="158">
        <f>SUM(AM7:AM10)</f>
        <v>7999.4938330000004</v>
      </c>
      <c r="AN11" s="158">
        <f t="shared" ref="AN11:AY11" si="10">SUM(AN7:AN10)</f>
        <v>7964.7913920000001</v>
      </c>
      <c r="AO11" s="158">
        <f t="shared" si="10"/>
        <v>9674.5248330000013</v>
      </c>
      <c r="AP11" s="158">
        <f t="shared" si="10"/>
        <v>10020.772422</v>
      </c>
      <c r="AQ11" s="158">
        <f t="shared" si="10"/>
        <v>10277.242833</v>
      </c>
      <c r="AR11" s="158">
        <f t="shared" si="10"/>
        <v>10612.815316</v>
      </c>
      <c r="AS11" s="158">
        <f t="shared" si="10"/>
        <v>10638.467333000001</v>
      </c>
      <c r="AT11" s="158">
        <f t="shared" si="10"/>
        <v>10688.876832</v>
      </c>
      <c r="AU11" s="158">
        <f t="shared" si="10"/>
        <v>10769.983333</v>
      </c>
      <c r="AV11" s="158">
        <f t="shared" si="10"/>
        <v>10762.983333</v>
      </c>
      <c r="AW11" s="158">
        <f t="shared" si="10"/>
        <v>10981.983333</v>
      </c>
      <c r="AX11" s="158">
        <f t="shared" si="10"/>
        <v>11121.483333</v>
      </c>
      <c r="AY11" s="158">
        <f t="shared" si="10"/>
        <v>121513.418126</v>
      </c>
      <c r="AZ11" s="158">
        <f>SUM(AZ7:AZ10)</f>
        <v>3447.5306190000001</v>
      </c>
      <c r="BA11" s="158">
        <f t="shared" si="9"/>
        <v>4283.3325930000001</v>
      </c>
      <c r="BB11" s="158">
        <f t="shared" si="9"/>
        <v>3984.79405</v>
      </c>
      <c r="BC11" s="158">
        <f t="shared" si="9"/>
        <v>6941.5341099999996</v>
      </c>
      <c r="BD11" s="158">
        <f t="shared" si="9"/>
        <v>4504.8999999999996</v>
      </c>
      <c r="BE11" s="595">
        <f t="shared" si="9"/>
        <v>4883.2084320000004</v>
      </c>
      <c r="BF11" s="595">
        <f t="shared" si="9"/>
        <v>4587.4650000000001</v>
      </c>
      <c r="BG11" s="595">
        <f t="shared" si="9"/>
        <v>4061.3677729999999</v>
      </c>
      <c r="BH11" s="595">
        <f t="shared" si="9"/>
        <v>5366.2800000000007</v>
      </c>
      <c r="BI11" s="595">
        <f t="shared" si="9"/>
        <v>4187.2163609999998</v>
      </c>
      <c r="BJ11" s="595">
        <f t="shared" si="9"/>
        <v>5238.4799999999996</v>
      </c>
      <c r="BK11" s="595">
        <f t="shared" si="9"/>
        <v>3676.10896</v>
      </c>
      <c r="BL11" s="595">
        <f t="shared" si="9"/>
        <v>5112.6315458406407</v>
      </c>
      <c r="BM11" s="595">
        <f t="shared" si="9"/>
        <v>4390.1067760000005</v>
      </c>
      <c r="BN11" s="595">
        <f t="shared" si="9"/>
        <v>6712.6315458406407</v>
      </c>
      <c r="BO11" s="595">
        <f t="shared" si="9"/>
        <v>0</v>
      </c>
      <c r="BP11" s="595">
        <f t="shared" si="9"/>
        <v>5322.6315458406407</v>
      </c>
      <c r="BQ11" s="594">
        <f t="shared" si="9"/>
        <v>4957.8999999999996</v>
      </c>
      <c r="BR11" s="158">
        <f t="shared" si="9"/>
        <v>0</v>
      </c>
      <c r="BS11" s="595">
        <f t="shared" si="9"/>
        <v>5122.6315458406407</v>
      </c>
      <c r="BT11" s="594">
        <f t="shared" si="9"/>
        <v>5182.8999999999996</v>
      </c>
      <c r="BU11" s="158">
        <f t="shared" si="9"/>
        <v>0</v>
      </c>
      <c r="BV11" s="595">
        <f t="shared" si="9"/>
        <v>5112.6315458406407</v>
      </c>
      <c r="BW11" s="594">
        <f t="shared" si="9"/>
        <v>6718.9</v>
      </c>
      <c r="BX11" s="158">
        <f t="shared" si="9"/>
        <v>0</v>
      </c>
      <c r="BY11" s="595">
        <f t="shared" si="9"/>
        <v>6892.6315458406407</v>
      </c>
      <c r="BZ11" s="594">
        <f t="shared" si="9"/>
        <v>7719.7999999999993</v>
      </c>
      <c r="CA11" s="171">
        <f t="shared" si="9"/>
        <v>14672.397321999999</v>
      </c>
      <c r="CB11" s="579">
        <f t="shared" si="9"/>
        <v>13131.792566</v>
      </c>
      <c r="CC11" s="579">
        <f t="shared" si="9"/>
        <v>13388.847281840641</v>
      </c>
      <c r="CD11" s="579">
        <f t="shared" si="9"/>
        <v>17127.894637521924</v>
      </c>
      <c r="CE11" s="171">
        <f t="shared" ref="CE11:CS11" si="11">SUM(CE7:CE10)</f>
        <v>58320.931807362562</v>
      </c>
      <c r="CF11" s="594">
        <f t="shared" si="11"/>
        <v>60449.905624000006</v>
      </c>
      <c r="CG11" s="158">
        <f t="shared" si="11"/>
        <v>5696.7</v>
      </c>
      <c r="CH11" s="158">
        <f t="shared" si="11"/>
        <v>5706.7</v>
      </c>
      <c r="CI11" s="158">
        <f t="shared" si="11"/>
        <v>5706.7</v>
      </c>
      <c r="CJ11" s="158">
        <f t="shared" si="11"/>
        <v>5696.7</v>
      </c>
      <c r="CK11" s="158">
        <f t="shared" si="11"/>
        <v>5791.7</v>
      </c>
      <c r="CL11" s="158">
        <f t="shared" si="11"/>
        <v>5921.7</v>
      </c>
      <c r="CM11" s="158">
        <f t="shared" si="11"/>
        <v>5911.7</v>
      </c>
      <c r="CN11" s="158">
        <f t="shared" si="11"/>
        <v>5881.7</v>
      </c>
      <c r="CO11" s="158">
        <f t="shared" si="11"/>
        <v>5881.7</v>
      </c>
      <c r="CP11" s="158">
        <f t="shared" si="11"/>
        <v>5881.7</v>
      </c>
      <c r="CQ11" s="158">
        <f t="shared" si="11"/>
        <v>5901.7</v>
      </c>
      <c r="CR11" s="158">
        <f t="shared" si="11"/>
        <v>5861.7</v>
      </c>
      <c r="CS11" s="158">
        <f t="shared" si="11"/>
        <v>69840.400000000023</v>
      </c>
      <c r="CT11" s="158">
        <f t="shared" si="9"/>
        <v>513</v>
      </c>
      <c r="CU11" s="158">
        <f t="shared" si="9"/>
        <v>363</v>
      </c>
      <c r="CV11" s="158">
        <f t="shared" si="9"/>
        <v>319.5</v>
      </c>
      <c r="CW11" s="158">
        <f t="shared" si="9"/>
        <v>244</v>
      </c>
      <c r="CX11" s="158">
        <f t="shared" si="9"/>
        <v>1710.3</v>
      </c>
      <c r="CY11" s="158">
        <f t="shared" si="9"/>
        <v>1638.4</v>
      </c>
      <c r="CZ11" s="158">
        <f t="shared" si="9"/>
        <v>1270.8</v>
      </c>
      <c r="DA11" s="158">
        <f t="shared" si="9"/>
        <v>743.33573200000001</v>
      </c>
      <c r="DB11" s="158">
        <f t="shared" si="9"/>
        <v>1038.5</v>
      </c>
      <c r="DC11" s="158">
        <f t="shared" ref="DC11:HA11" si="12">SUM(DC7:DC10)</f>
        <v>723.23184500000002</v>
      </c>
      <c r="DD11" s="158">
        <f t="shared" si="12"/>
        <v>1038.5</v>
      </c>
      <c r="DE11" s="158">
        <f t="shared" si="12"/>
        <v>772.67918099999997</v>
      </c>
      <c r="DF11" s="158">
        <f t="shared" si="12"/>
        <v>1480.1400000000003</v>
      </c>
      <c r="DG11" s="158">
        <f t="shared" si="12"/>
        <v>701.88104999999996</v>
      </c>
      <c r="DH11" s="158">
        <f t="shared" si="12"/>
        <v>1480.1400000000003</v>
      </c>
      <c r="DI11" s="158">
        <f t="shared" si="12"/>
        <v>0</v>
      </c>
      <c r="DJ11" s="158">
        <f t="shared" si="12"/>
        <v>1781.6500000000003</v>
      </c>
      <c r="DK11" s="594">
        <f t="shared" si="12"/>
        <v>1383.3</v>
      </c>
      <c r="DL11" s="158">
        <f t="shared" si="12"/>
        <v>0</v>
      </c>
      <c r="DM11" s="158">
        <f t="shared" si="12"/>
        <v>1781.6500000000003</v>
      </c>
      <c r="DN11" s="594">
        <f t="shared" si="12"/>
        <v>1493.8</v>
      </c>
      <c r="DO11" s="158">
        <f t="shared" si="12"/>
        <v>0</v>
      </c>
      <c r="DP11" s="158">
        <f t="shared" si="12"/>
        <v>1781.6500000000003</v>
      </c>
      <c r="DQ11" s="594">
        <f t="shared" si="12"/>
        <v>1604.3</v>
      </c>
      <c r="DR11" s="158">
        <f t="shared" si="12"/>
        <v>0</v>
      </c>
      <c r="DS11" s="158">
        <f t="shared" si="12"/>
        <v>1781.6500000000003</v>
      </c>
      <c r="DT11" s="594">
        <f t="shared" si="12"/>
        <v>1694.8</v>
      </c>
      <c r="DU11" s="171">
        <f t="shared" si="12"/>
        <v>1120</v>
      </c>
      <c r="DV11" s="579">
        <f t="shared" si="12"/>
        <v>3104.9675770000003</v>
      </c>
      <c r="DW11" s="579">
        <f>SUM(DW7:DW10)</f>
        <v>3256.210231</v>
      </c>
      <c r="DX11" s="579">
        <f t="shared" si="12"/>
        <v>5344.9500000000007</v>
      </c>
      <c r="DY11" s="171">
        <f t="shared" ref="DY11:EM11" si="13">SUM(DY7:DY10)</f>
        <v>12826.127808000001</v>
      </c>
      <c r="DZ11" s="594">
        <f t="shared" si="13"/>
        <v>11875.727808</v>
      </c>
      <c r="EA11" s="158">
        <f t="shared" si="13"/>
        <v>1801</v>
      </c>
      <c r="EB11" s="158">
        <f t="shared" si="13"/>
        <v>1871</v>
      </c>
      <c r="EC11" s="158">
        <f t="shared" si="13"/>
        <v>1921</v>
      </c>
      <c r="ED11" s="158">
        <f t="shared" si="13"/>
        <v>2041</v>
      </c>
      <c r="EE11" s="158">
        <f t="shared" si="13"/>
        <v>2041</v>
      </c>
      <c r="EF11" s="158">
        <f t="shared" si="13"/>
        <v>2041</v>
      </c>
      <c r="EG11" s="158">
        <f t="shared" si="13"/>
        <v>2041</v>
      </c>
      <c r="EH11" s="158">
        <f t="shared" si="13"/>
        <v>2041</v>
      </c>
      <c r="EI11" s="158">
        <f t="shared" si="13"/>
        <v>2041</v>
      </c>
      <c r="EJ11" s="158">
        <f t="shared" si="13"/>
        <v>2041</v>
      </c>
      <c r="EK11" s="158">
        <f t="shared" si="13"/>
        <v>2041</v>
      </c>
      <c r="EL11" s="158">
        <f t="shared" si="13"/>
        <v>2041</v>
      </c>
      <c r="EM11" s="158">
        <f t="shared" si="13"/>
        <v>23962</v>
      </c>
      <c r="EN11" s="158">
        <f t="shared" si="12"/>
        <v>9186.0461430000014</v>
      </c>
      <c r="EO11" s="158">
        <f t="shared" si="12"/>
        <v>9021.3228449999988</v>
      </c>
      <c r="EP11" s="158">
        <f t="shared" si="12"/>
        <v>9483.499092</v>
      </c>
      <c r="EQ11" s="158">
        <f t="shared" si="12"/>
        <v>10372.135104000001</v>
      </c>
      <c r="ER11" s="158">
        <f t="shared" si="12"/>
        <v>11784.217322</v>
      </c>
      <c r="ES11" s="158">
        <f t="shared" si="12"/>
        <v>10633.749807</v>
      </c>
      <c r="ET11" s="158">
        <f t="shared" si="12"/>
        <v>12852.017324</v>
      </c>
      <c r="EU11" s="158">
        <f t="shared" si="12"/>
        <v>8654.6488989999998</v>
      </c>
      <c r="EV11" s="158">
        <f t="shared" si="12"/>
        <v>11531.426126000002</v>
      </c>
      <c r="EW11" s="158">
        <f t="shared" si="12"/>
        <v>10709.11067</v>
      </c>
      <c r="EX11" s="158">
        <f t="shared" si="12"/>
        <v>13621.319058599998</v>
      </c>
      <c r="EY11" s="158">
        <f t="shared" si="12"/>
        <v>10695.020025</v>
      </c>
      <c r="EZ11" s="158">
        <f t="shared" si="12"/>
        <v>12802.421982899999</v>
      </c>
      <c r="FA11" s="158">
        <f t="shared" si="12"/>
        <v>11374.386245999998</v>
      </c>
      <c r="FB11" s="158">
        <f t="shared" si="12"/>
        <v>13022.421982899998</v>
      </c>
      <c r="FC11" s="158">
        <f t="shared" si="12"/>
        <v>0</v>
      </c>
      <c r="FD11" s="158">
        <f t="shared" si="12"/>
        <v>13319.421982899999</v>
      </c>
      <c r="FE11" s="594">
        <f t="shared" si="12"/>
        <v>15356.160059</v>
      </c>
      <c r="FF11" s="158">
        <f t="shared" si="12"/>
        <v>0</v>
      </c>
      <c r="FG11" s="158">
        <f t="shared" si="12"/>
        <v>13462.421982899998</v>
      </c>
      <c r="FH11" s="594">
        <f t="shared" si="12"/>
        <v>15946.160059</v>
      </c>
      <c r="FI11" s="158">
        <f t="shared" si="12"/>
        <v>0</v>
      </c>
      <c r="FJ11" s="158">
        <f t="shared" si="12"/>
        <v>13335.921982899998</v>
      </c>
      <c r="FK11" s="594">
        <f t="shared" si="12"/>
        <v>16256.160059</v>
      </c>
      <c r="FL11" s="158">
        <f t="shared" si="12"/>
        <v>0</v>
      </c>
      <c r="FM11" s="158">
        <f t="shared" si="12"/>
        <v>13272.121982899997</v>
      </c>
      <c r="FN11" s="594">
        <f t="shared" si="12"/>
        <v>16366.160059</v>
      </c>
      <c r="FO11" s="171">
        <f t="shared" si="12"/>
        <v>28579.504091999999</v>
      </c>
      <c r="FP11" s="579">
        <f t="shared" si="12"/>
        <v>29997.509375999995</v>
      </c>
      <c r="FQ11" s="171">
        <f t="shared" si="12"/>
        <v>35388.828253899992</v>
      </c>
      <c r="FR11" s="171">
        <f t="shared" si="12"/>
        <v>40070.465948699988</v>
      </c>
      <c r="FS11" s="171">
        <f t="shared" ref="FS11:GG11" si="14">SUM(FS7:FS10)</f>
        <v>134036.30767059998</v>
      </c>
      <c r="FT11" s="594">
        <f t="shared" si="14"/>
        <v>144571.05997500001</v>
      </c>
      <c r="FU11" s="158">
        <f t="shared" si="14"/>
        <v>13086.676950999999</v>
      </c>
      <c r="FV11" s="158">
        <f t="shared" si="14"/>
        <v>13366.676950999999</v>
      </c>
      <c r="FW11" s="158">
        <f t="shared" si="14"/>
        <v>13922.376951</v>
      </c>
      <c r="FX11" s="158">
        <f t="shared" si="14"/>
        <v>13169.176951000001</v>
      </c>
      <c r="FY11" s="158">
        <f t="shared" si="14"/>
        <v>13058.376951</v>
      </c>
      <c r="FZ11" s="158">
        <f t="shared" si="14"/>
        <v>14581.376951</v>
      </c>
      <c r="GA11" s="158">
        <f t="shared" si="14"/>
        <v>14712.376951</v>
      </c>
      <c r="GB11" s="158">
        <f t="shared" si="14"/>
        <v>14707.376951</v>
      </c>
      <c r="GC11" s="158">
        <f t="shared" si="14"/>
        <v>15027.376951</v>
      </c>
      <c r="GD11" s="158">
        <f t="shared" si="14"/>
        <v>14747.376951</v>
      </c>
      <c r="GE11" s="158">
        <f t="shared" si="14"/>
        <v>14898.176951000001</v>
      </c>
      <c r="GF11" s="158">
        <f t="shared" si="14"/>
        <v>15164.376951</v>
      </c>
      <c r="GG11" s="158">
        <f t="shared" si="14"/>
        <v>170441.72341200002</v>
      </c>
      <c r="GH11" s="158">
        <f t="shared" si="12"/>
        <v>1141.3410100000001</v>
      </c>
      <c r="GI11" s="158">
        <f t="shared" si="12"/>
        <v>2728.191894</v>
      </c>
      <c r="GJ11" s="158">
        <f t="shared" si="12"/>
        <v>2673.3088939999998</v>
      </c>
      <c r="GK11" s="158">
        <f t="shared" si="12"/>
        <v>3756.7135149999995</v>
      </c>
      <c r="GL11" s="158">
        <f t="shared" si="12"/>
        <v>4479.7969000000003</v>
      </c>
      <c r="GM11" s="158">
        <f t="shared" si="12"/>
        <v>3831.1206890000003</v>
      </c>
      <c r="GN11" s="158">
        <f t="shared" si="12"/>
        <v>2356</v>
      </c>
      <c r="GO11" s="158">
        <f t="shared" si="12"/>
        <v>803.14217499999995</v>
      </c>
      <c r="GP11" s="158">
        <f t="shared" si="12"/>
        <v>3257.5</v>
      </c>
      <c r="GQ11" s="158">
        <f t="shared" si="12"/>
        <v>2632.241215</v>
      </c>
      <c r="GR11" s="158">
        <f t="shared" si="12"/>
        <v>3835</v>
      </c>
      <c r="GS11" s="158">
        <f t="shared" si="12"/>
        <v>3179.6944199999998</v>
      </c>
      <c r="GT11" s="158">
        <f t="shared" si="12"/>
        <v>1299.2930000000001</v>
      </c>
      <c r="GU11" s="158">
        <f t="shared" si="12"/>
        <v>4691.5159569999996</v>
      </c>
      <c r="GV11" s="158">
        <f t="shared" si="12"/>
        <v>4381.7127499999997</v>
      </c>
      <c r="GW11" s="158">
        <f t="shared" si="12"/>
        <v>0</v>
      </c>
      <c r="GX11" s="158">
        <f t="shared" si="12"/>
        <v>3882.7162499999999</v>
      </c>
      <c r="GY11" s="594">
        <f t="shared" si="12"/>
        <v>3475</v>
      </c>
      <c r="GZ11" s="158">
        <f t="shared" si="12"/>
        <v>0</v>
      </c>
      <c r="HA11" s="158">
        <f t="shared" si="12"/>
        <v>4098.8472499999998</v>
      </c>
      <c r="HB11" s="594">
        <f t="shared" ref="HB11:KM11" si="15">SUM(HB7:HB10)</f>
        <v>3650</v>
      </c>
      <c r="HC11" s="158">
        <f t="shared" si="15"/>
        <v>0</v>
      </c>
      <c r="HD11" s="158">
        <f t="shared" si="15"/>
        <v>4185.4249999999993</v>
      </c>
      <c r="HE11" s="594">
        <f t="shared" si="15"/>
        <v>5458</v>
      </c>
      <c r="HF11" s="158">
        <f t="shared" si="15"/>
        <v>0</v>
      </c>
      <c r="HG11" s="158">
        <f t="shared" si="15"/>
        <v>1770.9999999999998</v>
      </c>
      <c r="HH11" s="594">
        <f t="shared" si="15"/>
        <v>4325</v>
      </c>
      <c r="HI11" s="171">
        <f t="shared" si="15"/>
        <v>7626.2464190000001</v>
      </c>
      <c r="HJ11" s="579">
        <f t="shared" si="15"/>
        <v>7266.5040790000003</v>
      </c>
      <c r="HK11" s="171">
        <f t="shared" si="15"/>
        <v>11753.926626999999</v>
      </c>
      <c r="HL11" s="171">
        <f t="shared" si="15"/>
        <v>10055.272249999998</v>
      </c>
      <c r="HM11" s="171">
        <f t="shared" ref="HM11:IA11" si="16">SUM(HM7:HM10)</f>
        <v>36701.949374999997</v>
      </c>
      <c r="HN11" s="594">
        <f t="shared" si="16"/>
        <v>39671.960875000004</v>
      </c>
      <c r="HO11" s="158">
        <f t="shared" si="16"/>
        <v>3182</v>
      </c>
      <c r="HP11" s="158">
        <f t="shared" si="16"/>
        <v>4828.2</v>
      </c>
      <c r="HQ11" s="158">
        <f t="shared" si="16"/>
        <v>3749.6</v>
      </c>
      <c r="HR11" s="158">
        <f t="shared" si="16"/>
        <v>4137</v>
      </c>
      <c r="HS11" s="158">
        <f t="shared" si="16"/>
        <v>2654</v>
      </c>
      <c r="HT11" s="158">
        <f t="shared" si="16"/>
        <v>4537</v>
      </c>
      <c r="HU11" s="158">
        <f t="shared" si="16"/>
        <v>3803.6</v>
      </c>
      <c r="HV11" s="158">
        <f t="shared" si="16"/>
        <v>4167.0509999999995</v>
      </c>
      <c r="HW11" s="158">
        <f t="shared" si="16"/>
        <v>3396</v>
      </c>
      <c r="HX11" s="158">
        <f t="shared" si="16"/>
        <v>4222</v>
      </c>
      <c r="HY11" s="158">
        <f t="shared" si="16"/>
        <v>3768.6</v>
      </c>
      <c r="HZ11" s="158">
        <f t="shared" si="16"/>
        <v>3180</v>
      </c>
      <c r="IA11" s="158">
        <f t="shared" si="16"/>
        <v>45625.050999999992</v>
      </c>
      <c r="IB11" s="158">
        <f t="shared" si="15"/>
        <v>3912.3624760000002</v>
      </c>
      <c r="IC11" s="158">
        <f t="shared" si="15"/>
        <v>3492.5858450000005</v>
      </c>
      <c r="ID11" s="158">
        <f t="shared" si="15"/>
        <v>3850.4796800000004</v>
      </c>
      <c r="IE11" s="158">
        <f t="shared" si="15"/>
        <v>3821.7045639999997</v>
      </c>
      <c r="IF11" s="158">
        <f t="shared" si="15"/>
        <v>3233.9</v>
      </c>
      <c r="IG11" s="158">
        <f t="shared" si="15"/>
        <v>3102.3391210000004</v>
      </c>
      <c r="IH11" s="158">
        <f t="shared" si="15"/>
        <v>5195.7000000000007</v>
      </c>
      <c r="II11" s="158">
        <f t="shared" si="15"/>
        <v>4318.088283</v>
      </c>
      <c r="IJ11" s="158">
        <f t="shared" si="15"/>
        <v>5018.7</v>
      </c>
      <c r="IK11" s="158">
        <f t="shared" si="15"/>
        <v>6285.1269439999996</v>
      </c>
      <c r="IL11" s="158">
        <f t="shared" si="15"/>
        <v>4855.5000000000009</v>
      </c>
      <c r="IM11" s="158">
        <f t="shared" si="15"/>
        <v>6280.2909730000001</v>
      </c>
      <c r="IN11" s="158">
        <f t="shared" si="15"/>
        <v>6371.9105115999992</v>
      </c>
      <c r="IO11" s="158">
        <f t="shared" si="15"/>
        <v>9876.9878420000005</v>
      </c>
      <c r="IP11" s="158">
        <f t="shared" si="15"/>
        <v>6096.0833646000001</v>
      </c>
      <c r="IQ11" s="158">
        <f t="shared" si="15"/>
        <v>0</v>
      </c>
      <c r="IR11" s="158">
        <f t="shared" si="15"/>
        <v>6352.5605115999997</v>
      </c>
      <c r="IS11" s="594">
        <f t="shared" si="15"/>
        <v>6502.4439999999995</v>
      </c>
      <c r="IT11" s="158">
        <f t="shared" si="15"/>
        <v>0</v>
      </c>
      <c r="IU11" s="158">
        <f t="shared" si="15"/>
        <v>6167.4605115999993</v>
      </c>
      <c r="IV11" s="594">
        <f t="shared" si="15"/>
        <v>6979.5540000000001</v>
      </c>
      <c r="IW11" s="158">
        <f t="shared" si="15"/>
        <v>0</v>
      </c>
      <c r="IX11" s="158">
        <f t="shared" si="15"/>
        <v>6849.7105116000002</v>
      </c>
      <c r="IY11" s="594">
        <f t="shared" si="15"/>
        <v>6667.45</v>
      </c>
      <c r="IZ11" s="158">
        <f t="shared" si="15"/>
        <v>0</v>
      </c>
      <c r="JA11" s="158">
        <f t="shared" si="15"/>
        <v>6205.0105115999995</v>
      </c>
      <c r="JB11" s="594">
        <f t="shared" si="15"/>
        <v>6670.45</v>
      </c>
      <c r="JC11" s="579">
        <f t="shared" si="15"/>
        <v>11226.652885</v>
      </c>
      <c r="JD11" s="579">
        <f t="shared" si="15"/>
        <v>13705.554348000001</v>
      </c>
      <c r="JE11" s="579">
        <f t="shared" si="15"/>
        <v>22509.839326600002</v>
      </c>
      <c r="JF11" s="579">
        <f t="shared" si="15"/>
        <v>19222.181534800002</v>
      </c>
      <c r="JG11" s="171">
        <f t="shared" ref="JG11:JU11" si="17">SUM(JG7:JG10)</f>
        <v>66664.228094399994</v>
      </c>
      <c r="JH11" s="594">
        <f t="shared" si="17"/>
        <v>67909.384047999993</v>
      </c>
      <c r="JI11" s="158">
        <f t="shared" si="17"/>
        <v>5696.1666669999995</v>
      </c>
      <c r="JJ11" s="158">
        <f t="shared" si="17"/>
        <v>6077.3666669999993</v>
      </c>
      <c r="JK11" s="158">
        <f t="shared" si="17"/>
        <v>6346.7666669999999</v>
      </c>
      <c r="JL11" s="158">
        <f t="shared" si="17"/>
        <v>6239.8666669999993</v>
      </c>
      <c r="JM11" s="158">
        <f t="shared" si="17"/>
        <v>5787.4166669999995</v>
      </c>
      <c r="JN11" s="158">
        <f t="shared" si="17"/>
        <v>6644.9166669999995</v>
      </c>
      <c r="JO11" s="158">
        <f t="shared" si="17"/>
        <v>6583.2166669999997</v>
      </c>
      <c r="JP11" s="158">
        <f t="shared" si="17"/>
        <v>7025.7166669999997</v>
      </c>
      <c r="JQ11" s="158">
        <f t="shared" si="17"/>
        <v>6779.9166669999995</v>
      </c>
      <c r="JR11" s="158">
        <f t="shared" si="17"/>
        <v>6920.1166669999993</v>
      </c>
      <c r="JS11" s="158">
        <f t="shared" si="17"/>
        <v>7353.2166669999997</v>
      </c>
      <c r="JT11" s="158">
        <f t="shared" si="17"/>
        <v>7116.9166669999995</v>
      </c>
      <c r="JU11" s="158">
        <f t="shared" si="17"/>
        <v>78571.600004000007</v>
      </c>
      <c r="JV11" s="158">
        <f t="shared" si="15"/>
        <v>1638.43209</v>
      </c>
      <c r="JW11" s="158">
        <f t="shared" si="15"/>
        <v>2567</v>
      </c>
      <c r="JX11" s="158">
        <f t="shared" si="15"/>
        <v>0</v>
      </c>
      <c r="JY11" s="158">
        <f t="shared" si="15"/>
        <v>2294.1713630000004</v>
      </c>
      <c r="JZ11" s="158">
        <f t="shared" si="15"/>
        <v>0</v>
      </c>
      <c r="KA11" s="158">
        <f t="shared" si="15"/>
        <v>2309.807863</v>
      </c>
      <c r="KB11" s="158">
        <f t="shared" si="15"/>
        <v>2142.91</v>
      </c>
      <c r="KC11" s="158">
        <f t="shared" si="15"/>
        <v>1842.6506469999999</v>
      </c>
      <c r="KD11" s="158">
        <f t="shared" si="15"/>
        <v>2121.3940000000002</v>
      </c>
      <c r="KE11" s="158">
        <f t="shared" si="15"/>
        <v>2092.5615040000002</v>
      </c>
      <c r="KF11" s="158">
        <f t="shared" si="15"/>
        <v>4207.3680000000004</v>
      </c>
      <c r="KG11" s="158">
        <f t="shared" si="15"/>
        <v>2000.1727010000002</v>
      </c>
      <c r="KH11" s="158">
        <f t="shared" si="15"/>
        <v>3038.5269518400414</v>
      </c>
      <c r="KI11" s="158">
        <f t="shared" si="15"/>
        <v>1811.0670500000001</v>
      </c>
      <c r="KJ11" s="158">
        <f t="shared" si="15"/>
        <v>3065.1919192196415</v>
      </c>
      <c r="KK11" s="158">
        <f t="shared" si="15"/>
        <v>0</v>
      </c>
      <c r="KL11" s="158">
        <f t="shared" si="15"/>
        <v>3226.8610490176902</v>
      </c>
      <c r="KM11" s="594">
        <f t="shared" si="15"/>
        <v>1819.7425999999998</v>
      </c>
      <c r="KN11" s="158">
        <f t="shared" ref="KN11:OJ11" si="18">SUM(KN7:KN10)</f>
        <v>0</v>
      </c>
      <c r="KO11" s="158">
        <f t="shared" si="18"/>
        <v>3390.0343516402349</v>
      </c>
      <c r="KP11" s="594">
        <f t="shared" si="18"/>
        <v>2825.3311111111107</v>
      </c>
      <c r="KQ11" s="158">
        <f t="shared" si="18"/>
        <v>0</v>
      </c>
      <c r="KR11" s="158">
        <f t="shared" si="18"/>
        <v>3402.7118375193349</v>
      </c>
      <c r="KS11" s="594">
        <f t="shared" si="18"/>
        <v>2340.0411111111111</v>
      </c>
      <c r="KT11" s="158">
        <f t="shared" si="18"/>
        <v>0</v>
      </c>
      <c r="KU11" s="158">
        <f t="shared" si="18"/>
        <v>3431.8935171131334</v>
      </c>
      <c r="KV11" s="594">
        <f t="shared" si="18"/>
        <v>2083.8211111111109</v>
      </c>
      <c r="KW11" s="171">
        <f t="shared" si="18"/>
        <v>6499.6034530000006</v>
      </c>
      <c r="KX11" s="579">
        <f t="shared" si="18"/>
        <v>6245.0200140000006</v>
      </c>
      <c r="KY11" s="171">
        <f t="shared" si="18"/>
        <v>7038.1008000176898</v>
      </c>
      <c r="KZ11" s="171">
        <f t="shared" si="18"/>
        <v>10224.639706272705</v>
      </c>
      <c r="LA11" s="171">
        <f>SUM(LA7:LA10)</f>
        <v>30007.363973290398</v>
      </c>
      <c r="LB11" s="594">
        <f>SUM(LB7:LB10)</f>
        <v>25624.799151333336</v>
      </c>
      <c r="LC11" s="158">
        <f>SUM(LC7:LC10)</f>
        <v>1250.875</v>
      </c>
      <c r="LD11" s="158">
        <f>SUM(LD7:LD10)</f>
        <v>1930.0191085416666</v>
      </c>
      <c r="LE11" s="158">
        <f t="shared" ref="LE11:LN11" si="19">SUM(LE7:LE10)</f>
        <v>2015.8837521463538</v>
      </c>
      <c r="LF11" s="158">
        <f t="shared" si="19"/>
        <v>3386.4398768855035</v>
      </c>
      <c r="LG11" s="158">
        <f t="shared" si="19"/>
        <v>3126.1894557443843</v>
      </c>
      <c r="LH11" s="158">
        <f t="shared" si="19"/>
        <v>3265.2500418837453</v>
      </c>
      <c r="LI11" s="158">
        <f t="shared" si="19"/>
        <v>3530.4202004884546</v>
      </c>
      <c r="LJ11" s="158">
        <f t="shared" si="19"/>
        <v>3914.401430156342</v>
      </c>
      <c r="LK11" s="158">
        <f t="shared" si="19"/>
        <v>3759.2688295650669</v>
      </c>
      <c r="LL11" s="158">
        <f t="shared" si="19"/>
        <v>4070.2090974723124</v>
      </c>
      <c r="LM11" s="158">
        <f t="shared" si="19"/>
        <v>3749.4355993826593</v>
      </c>
      <c r="LN11" s="158">
        <f t="shared" si="19"/>
        <v>3657.4017008811161</v>
      </c>
      <c r="LO11" s="158">
        <f>SUM(LO7:LO10)</f>
        <v>37655.794093147597</v>
      </c>
      <c r="LP11" s="158">
        <f t="shared" si="18"/>
        <v>1589.842948</v>
      </c>
      <c r="LQ11" s="158">
        <f t="shared" si="18"/>
        <v>1730.7087859999999</v>
      </c>
      <c r="LR11" s="158">
        <f t="shared" si="18"/>
        <v>1730.7087859999999</v>
      </c>
      <c r="LS11" s="158">
        <f t="shared" si="18"/>
        <v>1750.7055809999999</v>
      </c>
      <c r="LT11" s="158">
        <f t="shared" si="18"/>
        <v>1750.7055809999999</v>
      </c>
      <c r="LU11" s="158">
        <f t="shared" si="18"/>
        <v>1720.604685</v>
      </c>
      <c r="LV11" s="158">
        <f t="shared" si="18"/>
        <v>1749.0000000000002</v>
      </c>
      <c r="LW11" s="158">
        <f t="shared" si="18"/>
        <v>1497.091398</v>
      </c>
      <c r="LX11" s="158">
        <f t="shared" si="18"/>
        <v>1749.0000000000002</v>
      </c>
      <c r="LY11" s="158">
        <f t="shared" si="18"/>
        <v>1683.5309540000001</v>
      </c>
      <c r="LZ11" s="158">
        <f t="shared" si="18"/>
        <v>1749.0000000000002</v>
      </c>
      <c r="MA11" s="158">
        <f t="shared" si="18"/>
        <v>1590.1190779999999</v>
      </c>
      <c r="MB11" s="158">
        <f t="shared" si="18"/>
        <v>1765.4932143405001</v>
      </c>
      <c r="MC11" s="158">
        <f t="shared" si="18"/>
        <v>1724.252054</v>
      </c>
      <c r="MD11" s="158">
        <f t="shared" si="18"/>
        <v>1765.4932143405001</v>
      </c>
      <c r="ME11" s="158">
        <f t="shared" si="18"/>
        <v>0</v>
      </c>
      <c r="MF11" s="158">
        <f t="shared" si="18"/>
        <v>1765.4932143405001</v>
      </c>
      <c r="MG11" s="594">
        <f t="shared" si="18"/>
        <v>1765.4932143405001</v>
      </c>
      <c r="MH11" s="158">
        <f t="shared" si="18"/>
        <v>0</v>
      </c>
      <c r="MI11" s="158">
        <f t="shared" si="18"/>
        <v>1765.4932143405001</v>
      </c>
      <c r="MJ11" s="594">
        <f t="shared" si="18"/>
        <v>1765.4932143405001</v>
      </c>
      <c r="MK11" s="158">
        <f t="shared" si="18"/>
        <v>0</v>
      </c>
      <c r="ML11" s="158">
        <f t="shared" si="18"/>
        <v>1765.4932143405001</v>
      </c>
      <c r="MM11" s="594">
        <f t="shared" si="18"/>
        <v>1765.4932143405001</v>
      </c>
      <c r="MN11" s="158">
        <f t="shared" si="18"/>
        <v>0</v>
      </c>
      <c r="MO11" s="158">
        <f t="shared" si="18"/>
        <v>1765.4932143405001</v>
      </c>
      <c r="MP11" s="594">
        <f t="shared" si="18"/>
        <v>1765.4932143405001</v>
      </c>
      <c r="MQ11" s="171">
        <f t="shared" si="18"/>
        <v>5071.2573149999998</v>
      </c>
      <c r="MR11" s="579">
        <f t="shared" si="18"/>
        <v>4901.2270369999997</v>
      </c>
      <c r="MS11" s="171">
        <f t="shared" si="18"/>
        <v>5079.8643463405006</v>
      </c>
      <c r="MT11" s="171">
        <f t="shared" si="18"/>
        <v>5296.4796430215001</v>
      </c>
      <c r="MU11" s="171">
        <f t="shared" ref="MU11:NI11" si="20">SUM(MU7:MU10)</f>
        <v>20348.828341362001</v>
      </c>
      <c r="MV11" s="594">
        <f t="shared" si="20"/>
        <v>20348.828341361997</v>
      </c>
      <c r="MW11" s="158">
        <f t="shared" si="20"/>
        <v>1780</v>
      </c>
      <c r="MX11" s="158">
        <f t="shared" si="20"/>
        <v>1780</v>
      </c>
      <c r="MY11" s="158">
        <f t="shared" si="20"/>
        <v>1780</v>
      </c>
      <c r="MZ11" s="158">
        <f t="shared" si="20"/>
        <v>1780</v>
      </c>
      <c r="NA11" s="158">
        <f t="shared" si="20"/>
        <v>1669</v>
      </c>
      <c r="NB11" s="158">
        <f t="shared" si="20"/>
        <v>1780</v>
      </c>
      <c r="NC11" s="158">
        <f t="shared" si="20"/>
        <v>1780</v>
      </c>
      <c r="ND11" s="158">
        <f t="shared" si="20"/>
        <v>1780</v>
      </c>
      <c r="NE11" s="158">
        <f t="shared" si="20"/>
        <v>1780</v>
      </c>
      <c r="NF11" s="158">
        <f t="shared" si="20"/>
        <v>1780</v>
      </c>
      <c r="NG11" s="158">
        <f t="shared" si="20"/>
        <v>1780</v>
      </c>
      <c r="NH11" s="158">
        <f t="shared" si="20"/>
        <v>1780</v>
      </c>
      <c r="NI11" s="158">
        <f t="shared" si="20"/>
        <v>21249</v>
      </c>
      <c r="NJ11" s="158">
        <f t="shared" si="18"/>
        <v>-461.22300000000001</v>
      </c>
      <c r="NK11" s="158">
        <f t="shared" si="18"/>
        <v>-633.92826500000001</v>
      </c>
      <c r="NL11" s="158">
        <f t="shared" si="18"/>
        <v>-438.40600000000001</v>
      </c>
      <c r="NM11" s="158">
        <f t="shared" si="18"/>
        <v>-438.40600000000001</v>
      </c>
      <c r="NN11" s="158">
        <f t="shared" si="18"/>
        <v>-448.74567300000001</v>
      </c>
      <c r="NO11" s="158">
        <f t="shared" si="18"/>
        <v>-448.74567300000001</v>
      </c>
      <c r="NP11" s="158">
        <f t="shared" si="18"/>
        <v>-634</v>
      </c>
      <c r="NQ11" s="158">
        <f t="shared" si="18"/>
        <v>-427.40750000000003</v>
      </c>
      <c r="NR11" s="158">
        <f t="shared" si="18"/>
        <v>-634</v>
      </c>
      <c r="NS11" s="158">
        <f t="shared" si="18"/>
        <v>-432.95230800000002</v>
      </c>
      <c r="NT11" s="158">
        <f t="shared" si="18"/>
        <v>-634</v>
      </c>
      <c r="NU11" s="158">
        <f t="shared" si="18"/>
        <v>-431.05950000000001</v>
      </c>
      <c r="NV11" s="158">
        <f t="shared" si="18"/>
        <v>-1061.33927421095</v>
      </c>
      <c r="NW11" s="158">
        <f t="shared" si="18"/>
        <v>-432.18549999999999</v>
      </c>
      <c r="NX11" s="158">
        <f t="shared" si="18"/>
        <v>-1171.4024445256</v>
      </c>
      <c r="NY11" s="158">
        <f t="shared" si="18"/>
        <v>0</v>
      </c>
      <c r="NZ11" s="158">
        <f t="shared" si="18"/>
        <v>-1139.34973912635</v>
      </c>
      <c r="OA11" s="158">
        <f t="shared" si="18"/>
        <v>0</v>
      </c>
      <c r="OB11" s="158">
        <f t="shared" si="18"/>
        <v>-1143.9785733566098</v>
      </c>
      <c r="OC11" s="158">
        <f t="shared" si="18"/>
        <v>0</v>
      </c>
      <c r="OD11" s="158">
        <f t="shared" si="18"/>
        <v>-1162.39459878912</v>
      </c>
      <c r="OE11" s="158">
        <f t="shared" si="18"/>
        <v>0</v>
      </c>
      <c r="OF11" s="158">
        <f t="shared" si="18"/>
        <v>-1130.9643490446797</v>
      </c>
      <c r="OG11" s="171">
        <f t="shared" si="18"/>
        <v>-1543.8969379999999</v>
      </c>
      <c r="OH11" s="171">
        <f t="shared" si="18"/>
        <v>-1309.1054810000001</v>
      </c>
      <c r="OI11" s="171">
        <f>SUM(OI7:OI10)</f>
        <v>-2002.5947391263499</v>
      </c>
      <c r="OJ11" s="171">
        <f t="shared" si="18"/>
        <v>-3437.3375211904095</v>
      </c>
      <c r="OK11" s="171">
        <f t="shared" ref="OK11:PB11" si="21">SUM(OK7:OK10)</f>
        <v>-8292.9346793167588</v>
      </c>
      <c r="OL11" s="158">
        <f t="shared" si="21"/>
        <v>-463</v>
      </c>
      <c r="OM11" s="158">
        <f t="shared" si="21"/>
        <v>-463</v>
      </c>
      <c r="ON11" s="158">
        <f t="shared" si="21"/>
        <v>-463</v>
      </c>
      <c r="OO11" s="158">
        <f t="shared" si="21"/>
        <v>-463</v>
      </c>
      <c r="OP11" s="158">
        <f t="shared" si="21"/>
        <v>-463</v>
      </c>
      <c r="OQ11" s="158">
        <f t="shared" si="21"/>
        <v>-463</v>
      </c>
      <c r="OR11" s="158">
        <f t="shared" si="21"/>
        <v>-463</v>
      </c>
      <c r="OS11" s="158">
        <f t="shared" si="21"/>
        <v>-463</v>
      </c>
      <c r="OT11" s="158">
        <f t="shared" si="21"/>
        <v>-463</v>
      </c>
      <c r="OU11" s="158">
        <f t="shared" si="21"/>
        <v>-463</v>
      </c>
      <c r="OV11" s="158">
        <f t="shared" si="21"/>
        <v>-463</v>
      </c>
      <c r="OW11" s="158">
        <f t="shared" si="21"/>
        <v>-463</v>
      </c>
      <c r="OX11" s="158">
        <f t="shared" si="21"/>
        <v>-5556</v>
      </c>
      <c r="OY11" s="583">
        <f t="shared" si="21"/>
        <v>28862.585896999997</v>
      </c>
      <c r="OZ11" s="583">
        <f t="shared" si="21"/>
        <v>30894.777973000004</v>
      </c>
      <c r="PA11" s="583">
        <f t="shared" si="21"/>
        <v>29106.346403</v>
      </c>
      <c r="PB11" s="583">
        <f t="shared" si="21"/>
        <v>35850.361188000003</v>
      </c>
      <c r="PC11" s="583">
        <f t="shared" ref="PC11:PY11" si="22">SUM(PC7:PC10)</f>
        <v>34673.342758999999</v>
      </c>
      <c r="PD11" s="583">
        <f t="shared" si="22"/>
        <v>35192.215909999999</v>
      </c>
      <c r="PE11" s="583">
        <f t="shared" si="22"/>
        <v>38276.7983093</v>
      </c>
      <c r="PF11" s="583">
        <f t="shared" si="22"/>
        <v>28149.725981000003</v>
      </c>
      <c r="PG11" s="583">
        <f t="shared" si="22"/>
        <v>38149.3159313</v>
      </c>
      <c r="PH11" s="583">
        <f t="shared" si="22"/>
        <v>35814.511648</v>
      </c>
      <c r="PI11" s="158">
        <f t="shared" si="22"/>
        <v>43611.485855049992</v>
      </c>
      <c r="PJ11" s="158">
        <f>SUM(PJ7:PJ10)</f>
        <v>34169.100893000003</v>
      </c>
      <c r="PK11" s="158">
        <f t="shared" si="22"/>
        <v>42964.907941537655</v>
      </c>
      <c r="PL11" s="158">
        <f t="shared" si="22"/>
        <v>43639.401593000002</v>
      </c>
      <c r="PM11" s="158">
        <f t="shared" si="22"/>
        <v>47503.1023416026</v>
      </c>
      <c r="PN11" s="158">
        <f t="shared" si="22"/>
        <v>0</v>
      </c>
      <c r="PO11" s="158">
        <f t="shared" si="22"/>
        <v>51725.714823799899</v>
      </c>
      <c r="PP11" s="594">
        <f t="shared" si="22"/>
        <v>43188.562296214157</v>
      </c>
      <c r="PQ11" s="158">
        <f t="shared" si="22"/>
        <v>0</v>
      </c>
      <c r="PR11" s="158">
        <f t="shared" si="22"/>
        <v>53277.268865548795</v>
      </c>
      <c r="PS11" s="594">
        <f t="shared" si="22"/>
        <v>46753.331973094995</v>
      </c>
      <c r="PT11" s="158">
        <f t="shared" si="22"/>
        <v>0</v>
      </c>
      <c r="PU11" s="158">
        <f t="shared" si="22"/>
        <v>54332.309752383204</v>
      </c>
      <c r="PV11" s="594">
        <f t="shared" si="22"/>
        <v>50357.021947662484</v>
      </c>
      <c r="PW11" s="158">
        <f t="shared" si="22"/>
        <v>0</v>
      </c>
      <c r="PX11" s="158">
        <f t="shared" si="22"/>
        <v>53141.836041895331</v>
      </c>
      <c r="PY11" s="594">
        <f t="shared" si="22"/>
        <v>50866.040197406932</v>
      </c>
      <c r="PZ11" s="171">
        <f t="shared" ref="PZ11:QE11" si="23">SUM(PZ7:PZ10)</f>
        <v>95607.725058000011</v>
      </c>
      <c r="QA11" s="171">
        <f t="shared" si="23"/>
        <v>99156.453538999995</v>
      </c>
      <c r="QB11" s="171">
        <f t="shared" si="23"/>
        <v>129534.21730979992</v>
      </c>
      <c r="QC11" s="171">
        <f t="shared" si="23"/>
        <v>160751.41465982737</v>
      </c>
      <c r="QD11" s="171">
        <f t="shared" si="23"/>
        <v>485049.81056662725</v>
      </c>
      <c r="QE11" s="594">
        <f t="shared" si="23"/>
        <v>463737.63749737857</v>
      </c>
      <c r="QF11" s="683">
        <f>'[171]PL2020 per com'!$O$26</f>
        <v>421536.595477</v>
      </c>
      <c r="QG11" s="689">
        <f>QE11/QF11-1</f>
        <v>0.10011240417365186</v>
      </c>
      <c r="QH11" s="158">
        <f t="shared" ref="QH11:QT11" si="24">SUM(QH7:QH10)</f>
        <v>40029.912450999997</v>
      </c>
      <c r="QI11" s="158">
        <f t="shared" si="24"/>
        <v>43061.754118541663</v>
      </c>
      <c r="QJ11" s="158">
        <f t="shared" si="24"/>
        <v>44653.852203146351</v>
      </c>
      <c r="QK11" s="158">
        <f t="shared" si="24"/>
        <v>46007.955916885505</v>
      </c>
      <c r="QL11" s="158">
        <f t="shared" si="24"/>
        <v>43941.925906744393</v>
      </c>
      <c r="QM11" s="158">
        <f t="shared" si="24"/>
        <v>48921.058975883745</v>
      </c>
      <c r="QN11" s="158">
        <f t="shared" si="24"/>
        <v>48537.78115148846</v>
      </c>
      <c r="QO11" s="158">
        <f t="shared" si="24"/>
        <v>49743.122880156334</v>
      </c>
      <c r="QP11" s="158">
        <f t="shared" si="24"/>
        <v>48972.245780565063</v>
      </c>
      <c r="QQ11" s="158">
        <f t="shared" si="24"/>
        <v>49962.386048472319</v>
      </c>
      <c r="QR11" s="158">
        <f t="shared" si="24"/>
        <v>50011.11255038267</v>
      </c>
      <c r="QS11" s="158">
        <f t="shared" si="24"/>
        <v>49459.87865188111</v>
      </c>
      <c r="QT11" s="158">
        <f t="shared" si="24"/>
        <v>563302.98663514759</v>
      </c>
      <c r="QU11" s="168"/>
    </row>
    <row r="12" spans="1:465" s="202" customFormat="1">
      <c r="A12" s="202" t="s">
        <v>1075</v>
      </c>
      <c r="F12" s="203"/>
      <c r="G12" s="203"/>
      <c r="H12" s="203"/>
      <c r="I12" s="203"/>
      <c r="J12" s="203"/>
      <c r="K12" s="203"/>
      <c r="L12" s="203">
        <v>8756.9059852999999</v>
      </c>
      <c r="M12" s="203"/>
      <c r="N12" s="203">
        <v>8700.5158052999996</v>
      </c>
      <c r="O12" s="203"/>
      <c r="P12" s="203">
        <v>9700.3187964499994</v>
      </c>
      <c r="Q12" s="203"/>
      <c r="R12" s="203">
        <v>12155.830009227418</v>
      </c>
      <c r="S12" s="203"/>
      <c r="T12" s="203">
        <v>12150.830009227418</v>
      </c>
      <c r="U12" s="203"/>
      <c r="V12" s="203">
        <v>12255.830009227418</v>
      </c>
      <c r="W12" s="206">
        <v>13761.319415999998</v>
      </c>
      <c r="X12" s="203"/>
      <c r="Y12" s="203">
        <v>12305.830009227418</v>
      </c>
      <c r="Z12" s="206">
        <v>14996.989416</v>
      </c>
      <c r="AA12" s="203"/>
      <c r="AB12" s="203">
        <v>12310.830009227418</v>
      </c>
      <c r="AC12" s="206">
        <v>15493.203416</v>
      </c>
      <c r="AD12" s="203"/>
      <c r="AE12" s="203">
        <v>12304.830009227418</v>
      </c>
      <c r="AF12" s="206">
        <v>15575.643415999999</v>
      </c>
      <c r="AG12" s="203">
        <v>22345.620837000002</v>
      </c>
      <c r="AH12" s="204">
        <v>27157.740587050001</v>
      </c>
      <c r="AI12" s="204">
        <v>36562.490027682259</v>
      </c>
      <c r="AJ12" s="204">
        <v>36921.490027682259</v>
      </c>
      <c r="AK12" s="204">
        <v>122987.34147941452</v>
      </c>
      <c r="AL12" s="635">
        <v>120193.225697</v>
      </c>
      <c r="AM12" s="932"/>
      <c r="AN12" s="932"/>
      <c r="AO12" s="932"/>
      <c r="AP12" s="932"/>
      <c r="AQ12" s="932"/>
      <c r="AR12" s="932"/>
      <c r="AS12" s="932"/>
      <c r="AT12" s="932"/>
      <c r="AU12" s="932"/>
      <c r="AV12" s="932"/>
      <c r="AW12" s="932"/>
      <c r="AX12" s="932"/>
      <c r="AY12" s="932"/>
      <c r="AZ12" s="203">
        <v>1018.0239550500009</v>
      </c>
      <c r="BA12" s="203"/>
      <c r="BB12" s="203"/>
      <c r="BC12" s="203"/>
      <c r="BD12" s="203"/>
      <c r="BE12" s="203"/>
      <c r="BF12" s="203">
        <v>4587.4649999999992</v>
      </c>
      <c r="BG12" s="203"/>
      <c r="BH12" s="203">
        <v>5366.28</v>
      </c>
      <c r="BI12" s="203"/>
      <c r="BJ12" s="203">
        <v>5238.4799999999996</v>
      </c>
      <c r="BK12" s="203"/>
      <c r="BL12" s="203">
        <v>5112.6315458406407</v>
      </c>
      <c r="BM12" s="203"/>
      <c r="BN12" s="203">
        <v>6712.6315458406407</v>
      </c>
      <c r="BO12" s="203"/>
      <c r="BP12" s="203">
        <v>5322.6315458406407</v>
      </c>
      <c r="BQ12" s="206">
        <v>4678.7</v>
      </c>
      <c r="BR12" s="203"/>
      <c r="BS12" s="203">
        <v>5122.6315458406407</v>
      </c>
      <c r="BT12" s="206">
        <v>4678.7</v>
      </c>
      <c r="BU12" s="203"/>
      <c r="BV12" s="203">
        <v>5112.6315458406407</v>
      </c>
      <c r="BW12" s="206">
        <v>5914.7</v>
      </c>
      <c r="BX12" s="203"/>
      <c r="BY12" s="203">
        <v>6892.6315458406407</v>
      </c>
      <c r="BZ12" s="206">
        <v>6552.7</v>
      </c>
      <c r="CA12" s="203">
        <v>14672.397322000001</v>
      </c>
      <c r="CB12" s="204">
        <v>15192.224999999999</v>
      </c>
      <c r="CC12" s="204">
        <v>17147.894637521924</v>
      </c>
      <c r="CD12" s="204">
        <v>17127.894637521924</v>
      </c>
      <c r="CE12" s="204">
        <v>64140.411597043843</v>
      </c>
      <c r="CF12" s="206">
        <v>57695.205624000009</v>
      </c>
      <c r="CG12" s="932"/>
      <c r="CH12" s="932"/>
      <c r="CI12" s="932"/>
      <c r="CJ12" s="932"/>
      <c r="CK12" s="932"/>
      <c r="CL12" s="932"/>
      <c r="CM12" s="932"/>
      <c r="CN12" s="932"/>
      <c r="CO12" s="932"/>
      <c r="CP12" s="932"/>
      <c r="CQ12" s="932"/>
      <c r="CR12" s="932"/>
      <c r="CS12" s="932"/>
      <c r="CT12" s="206"/>
      <c r="CU12" s="203"/>
      <c r="CV12" s="203"/>
      <c r="CW12" s="203"/>
      <c r="CX12" s="203"/>
      <c r="CY12" s="203"/>
      <c r="CZ12" s="203">
        <v>1270.8</v>
      </c>
      <c r="DA12" s="203"/>
      <c r="DB12" s="203">
        <v>1038.5</v>
      </c>
      <c r="DC12" s="203"/>
      <c r="DD12" s="203">
        <v>1038.5</v>
      </c>
      <c r="DE12" s="203"/>
      <c r="DF12" s="203">
        <v>1480.1400000000003</v>
      </c>
      <c r="DG12" s="203"/>
      <c r="DH12" s="203">
        <v>1480.1400000000003</v>
      </c>
      <c r="DI12" s="203"/>
      <c r="DJ12" s="203">
        <v>1781.6500000000003</v>
      </c>
      <c r="DK12" s="206">
        <v>2058.3000000000002</v>
      </c>
      <c r="DL12" s="203"/>
      <c r="DM12" s="203">
        <v>1781.6500000000003</v>
      </c>
      <c r="DN12" s="206">
        <v>2008.3</v>
      </c>
      <c r="DO12" s="203"/>
      <c r="DP12" s="203">
        <v>1781.6500000000003</v>
      </c>
      <c r="DQ12" s="206">
        <v>2008.3</v>
      </c>
      <c r="DR12" s="203"/>
      <c r="DS12" s="203">
        <v>1781.6500000000003</v>
      </c>
      <c r="DT12" s="206">
        <v>2008.3</v>
      </c>
      <c r="DU12" s="203">
        <v>1120</v>
      </c>
      <c r="DV12" s="204">
        <v>3347.8</v>
      </c>
      <c r="DW12" s="204">
        <v>4741.9300000000012</v>
      </c>
      <c r="DX12" s="204">
        <v>5344.9500000000007</v>
      </c>
      <c r="DY12" s="204">
        <v>14554.680000000002</v>
      </c>
      <c r="DZ12" s="206">
        <v>13782.727808</v>
      </c>
      <c r="EA12" s="932"/>
      <c r="EB12" s="932"/>
      <c r="EC12" s="932"/>
      <c r="ED12" s="932"/>
      <c r="EE12" s="932"/>
      <c r="EF12" s="932"/>
      <c r="EG12" s="932"/>
      <c r="EH12" s="932"/>
      <c r="EI12" s="932"/>
      <c r="EJ12" s="932"/>
      <c r="EK12" s="932"/>
      <c r="EL12" s="932"/>
      <c r="EM12" s="932"/>
      <c r="EN12" s="203"/>
      <c r="EO12" s="203"/>
      <c r="EP12" s="203"/>
      <c r="EQ12" s="203"/>
      <c r="ER12" s="203"/>
      <c r="ES12" s="203"/>
      <c r="ET12" s="203">
        <v>12852.017324</v>
      </c>
      <c r="EU12" s="203"/>
      <c r="EV12" s="203">
        <v>11531.426126</v>
      </c>
      <c r="EW12" s="203"/>
      <c r="EX12" s="203">
        <v>13621.3190586</v>
      </c>
      <c r="EY12" s="203"/>
      <c r="EZ12" s="203">
        <v>12802.421982899999</v>
      </c>
      <c r="FA12" s="203"/>
      <c r="FB12" s="203">
        <v>13022.421982899999</v>
      </c>
      <c r="FC12" s="203"/>
      <c r="FD12" s="203">
        <v>13319.421982899999</v>
      </c>
      <c r="FE12" s="206">
        <v>16268.548622</v>
      </c>
      <c r="FF12" s="203"/>
      <c r="FG12" s="203">
        <v>13462.421982899999</v>
      </c>
      <c r="FH12" s="206">
        <v>16564.548622000002</v>
      </c>
      <c r="FI12" s="203"/>
      <c r="FJ12" s="203">
        <v>13335.921982899999</v>
      </c>
      <c r="FK12" s="206">
        <v>16994.548622000002</v>
      </c>
      <c r="FL12" s="203"/>
      <c r="FM12" s="203">
        <v>13272.121982899998</v>
      </c>
      <c r="FN12" s="206">
        <v>17043.548622000002</v>
      </c>
      <c r="FO12" s="203">
        <v>28579.504091999999</v>
      </c>
      <c r="FP12" s="204">
        <v>38004.762508599997</v>
      </c>
      <c r="FQ12" s="204">
        <v>39144.265948699998</v>
      </c>
      <c r="FR12" s="204">
        <v>40070.465948699995</v>
      </c>
      <c r="FS12" s="204">
        <v>145798.998498</v>
      </c>
      <c r="FT12" s="206">
        <v>147517.61422700001</v>
      </c>
      <c r="FU12" s="932"/>
      <c r="FV12" s="932"/>
      <c r="FW12" s="932"/>
      <c r="FX12" s="932"/>
      <c r="FY12" s="932"/>
      <c r="FZ12" s="932"/>
      <c r="GA12" s="932"/>
      <c r="GB12" s="932"/>
      <c r="GC12" s="932"/>
      <c r="GD12" s="932"/>
      <c r="GE12" s="932"/>
      <c r="GF12" s="932"/>
      <c r="GG12" s="932"/>
      <c r="GH12" s="206"/>
      <c r="GI12" s="203"/>
      <c r="GJ12" s="203"/>
      <c r="GK12" s="203"/>
      <c r="GL12" s="203"/>
      <c r="GM12" s="203"/>
      <c r="GN12" s="203">
        <v>2356</v>
      </c>
      <c r="GO12" s="203"/>
      <c r="GP12" s="203">
        <v>3257.5</v>
      </c>
      <c r="GQ12" s="203"/>
      <c r="GR12" s="203">
        <v>3835</v>
      </c>
      <c r="GS12" s="203"/>
      <c r="GT12" s="203">
        <v>1299.2930000000001</v>
      </c>
      <c r="GU12" s="203"/>
      <c r="GV12" s="203">
        <v>4381.7127499999997</v>
      </c>
      <c r="GW12" s="203"/>
      <c r="GX12" s="203">
        <v>3882.7162499999999</v>
      </c>
      <c r="GY12" s="206">
        <v>2675</v>
      </c>
      <c r="GZ12" s="203"/>
      <c r="HA12" s="203">
        <v>4098.8472499999998</v>
      </c>
      <c r="HB12" s="206">
        <v>2650</v>
      </c>
      <c r="HC12" s="203"/>
      <c r="HD12" s="203">
        <v>4185.4249999999993</v>
      </c>
      <c r="HE12" s="206">
        <v>5958</v>
      </c>
      <c r="HF12" s="203"/>
      <c r="HG12" s="203">
        <v>1770.9999999999998</v>
      </c>
      <c r="HH12" s="206">
        <v>4325</v>
      </c>
      <c r="HI12" s="203">
        <v>7626.2464189999992</v>
      </c>
      <c r="HJ12" s="204">
        <v>9448.5</v>
      </c>
      <c r="HK12" s="204">
        <v>9563.7219999999998</v>
      </c>
      <c r="HL12" s="204">
        <v>10055.272249999998</v>
      </c>
      <c r="HM12" s="204">
        <v>36693.740668999992</v>
      </c>
      <c r="HN12" s="206">
        <v>38371.960875000004</v>
      </c>
      <c r="HO12" s="932"/>
      <c r="HP12" s="932"/>
      <c r="HQ12" s="932"/>
      <c r="HR12" s="932"/>
      <c r="HS12" s="932"/>
      <c r="HT12" s="932"/>
      <c r="HU12" s="932"/>
      <c r="HV12" s="932"/>
      <c r="HW12" s="932"/>
      <c r="HX12" s="932"/>
      <c r="HY12" s="932"/>
      <c r="HZ12" s="932"/>
      <c r="IA12" s="932"/>
      <c r="IB12" s="203"/>
      <c r="IC12" s="206"/>
      <c r="ID12" s="203"/>
      <c r="IE12" s="203"/>
      <c r="IF12" s="203"/>
      <c r="IG12" s="203"/>
      <c r="IH12" s="203">
        <v>5195.7</v>
      </c>
      <c r="II12" s="203"/>
      <c r="IJ12" s="203">
        <v>5018.7</v>
      </c>
      <c r="IK12" s="203"/>
      <c r="IL12" s="203">
        <v>4855.5</v>
      </c>
      <c r="IM12" s="203"/>
      <c r="IN12" s="203">
        <v>6371.9105116000001</v>
      </c>
      <c r="IO12" s="203"/>
      <c r="IP12" s="203">
        <v>6096.0833646000001</v>
      </c>
      <c r="IQ12" s="203"/>
      <c r="IR12" s="203">
        <v>6352.5605115999997</v>
      </c>
      <c r="IS12" s="206">
        <v>7152.4439999999995</v>
      </c>
      <c r="IT12" s="203"/>
      <c r="IU12" s="203">
        <v>6167.4605116000002</v>
      </c>
      <c r="IV12" s="206">
        <v>6529.5540000000001</v>
      </c>
      <c r="IW12" s="203"/>
      <c r="IX12" s="203">
        <v>6849.7105116000002</v>
      </c>
      <c r="IY12" s="206">
        <v>6217.45</v>
      </c>
      <c r="IZ12" s="203"/>
      <c r="JA12" s="203">
        <v>6205.0105115999995</v>
      </c>
      <c r="JB12" s="206">
        <v>6520.45</v>
      </c>
      <c r="JC12" s="203">
        <v>11226.652885</v>
      </c>
      <c r="JD12" s="204">
        <v>15069.9</v>
      </c>
      <c r="JE12" s="204">
        <v>18820.554387799999</v>
      </c>
      <c r="JF12" s="204">
        <v>19222.181534800002</v>
      </c>
      <c r="JG12" s="204">
        <v>64339.288807600002</v>
      </c>
      <c r="JH12" s="206">
        <v>67509.384047999993</v>
      </c>
      <c r="JI12" s="932"/>
      <c r="JJ12" s="932"/>
      <c r="JK12" s="932"/>
      <c r="JL12" s="932"/>
      <c r="JM12" s="932"/>
      <c r="JN12" s="932"/>
      <c r="JO12" s="932"/>
      <c r="JP12" s="932"/>
      <c r="JQ12" s="932"/>
      <c r="JR12" s="932"/>
      <c r="JS12" s="932"/>
      <c r="JT12" s="932"/>
      <c r="JU12" s="932"/>
      <c r="JV12" s="203">
        <v>734.41936700000042</v>
      </c>
      <c r="JW12" s="203"/>
      <c r="JX12" s="203"/>
      <c r="JY12" s="203"/>
      <c r="JZ12" s="203"/>
      <c r="KA12" s="203"/>
      <c r="KB12" s="203">
        <v>2142.91</v>
      </c>
      <c r="KC12" s="203"/>
      <c r="KD12" s="203">
        <v>2121.3940000000002</v>
      </c>
      <c r="KE12" s="203"/>
      <c r="KF12" s="203">
        <v>4207.3680000000004</v>
      </c>
      <c r="KG12" s="203"/>
      <c r="KH12" s="203">
        <v>3038.5269518400414</v>
      </c>
      <c r="KI12" s="203"/>
      <c r="KJ12" s="203">
        <v>3065.1919192196415</v>
      </c>
      <c r="KK12" s="203"/>
      <c r="KL12" s="203">
        <v>3226.8610490176902</v>
      </c>
      <c r="KM12" s="206">
        <v>4330.1450000000004</v>
      </c>
      <c r="KN12" s="203"/>
      <c r="KO12" s="203">
        <v>3390.0343516402349</v>
      </c>
      <c r="KP12" s="206">
        <v>4650.6450000000004</v>
      </c>
      <c r="KQ12" s="203"/>
      <c r="KR12" s="203">
        <v>3402.7118375193349</v>
      </c>
      <c r="KS12" s="206">
        <v>4401.6450000000004</v>
      </c>
      <c r="KT12" s="203"/>
      <c r="KU12" s="203">
        <v>3431.8935171131334</v>
      </c>
      <c r="KV12" s="206">
        <v>4170.1450000000004</v>
      </c>
      <c r="KW12" s="203">
        <v>6499</v>
      </c>
      <c r="KX12" s="204">
        <v>8471.6720000000005</v>
      </c>
      <c r="KY12" s="203">
        <v>9330.5799200773727</v>
      </c>
      <c r="KZ12" s="202">
        <v>10224.639706272705</v>
      </c>
      <c r="LA12" s="204">
        <v>34525.89162635008</v>
      </c>
      <c r="LB12" s="206">
        <v>34108.443218</v>
      </c>
      <c r="LC12" s="932"/>
      <c r="LD12" s="932"/>
      <c r="LE12" s="932"/>
      <c r="LF12" s="932"/>
      <c r="LG12" s="932"/>
      <c r="LH12" s="932"/>
      <c r="LI12" s="932"/>
      <c r="LJ12" s="932"/>
      <c r="LK12" s="932"/>
      <c r="LL12" s="932"/>
      <c r="LM12" s="932"/>
      <c r="LN12" s="932"/>
      <c r="LO12" s="932"/>
      <c r="LV12" s="202">
        <v>1749.0000000000002</v>
      </c>
      <c r="LX12" s="202">
        <v>1749.0000000000002</v>
      </c>
      <c r="LZ12" s="202">
        <v>1749.0000000000002</v>
      </c>
      <c r="MB12" s="202">
        <v>1765.4932143405001</v>
      </c>
      <c r="MD12" s="202">
        <v>1765.4932143405001</v>
      </c>
      <c r="MF12" s="202">
        <v>1765.4932143405001</v>
      </c>
      <c r="MG12" s="206">
        <v>1765.4932143405001</v>
      </c>
      <c r="MI12" s="202">
        <v>1765.4932143405001</v>
      </c>
      <c r="MJ12" s="206">
        <v>1765.4932143405001</v>
      </c>
      <c r="ML12" s="202">
        <v>1765.4932143405001</v>
      </c>
      <c r="MM12" s="206">
        <v>1765.4932143405001</v>
      </c>
      <c r="MO12" s="202">
        <v>1765.4932143405001</v>
      </c>
      <c r="MP12" s="206">
        <v>1765.4932143405001</v>
      </c>
      <c r="MQ12" s="202">
        <v>5072</v>
      </c>
      <c r="MR12" s="202">
        <v>5247.0000000000009</v>
      </c>
      <c r="MS12" s="202">
        <v>5296.4796430215001</v>
      </c>
      <c r="MT12" s="202">
        <v>5296.4796430215001</v>
      </c>
      <c r="MU12" s="204">
        <v>20911.959286042998</v>
      </c>
      <c r="MV12" s="206">
        <v>20348.828341361997</v>
      </c>
      <c r="MW12" s="932"/>
      <c r="MX12" s="932"/>
      <c r="MY12" s="932"/>
      <c r="MZ12" s="932"/>
      <c r="NA12" s="932"/>
      <c r="NB12" s="932"/>
      <c r="NC12" s="932"/>
      <c r="ND12" s="932"/>
      <c r="NE12" s="932"/>
      <c r="NF12" s="932"/>
      <c r="NG12" s="932"/>
      <c r="NH12" s="932"/>
      <c r="NI12" s="932"/>
      <c r="NJ12" s="203"/>
      <c r="NK12" s="203"/>
      <c r="NL12" s="203"/>
      <c r="NM12" s="203"/>
      <c r="NN12" s="203"/>
      <c r="NO12" s="203"/>
      <c r="NP12" s="203"/>
      <c r="NQ12" s="203"/>
      <c r="NR12" s="203"/>
      <c r="NS12" s="203"/>
      <c r="NT12" s="203"/>
      <c r="NU12" s="203"/>
      <c r="NV12" s="203"/>
      <c r="NW12" s="203"/>
      <c r="NX12" s="203"/>
      <c r="NY12" s="203"/>
      <c r="NZ12" s="203"/>
      <c r="OA12" s="203"/>
      <c r="OB12" s="203"/>
      <c r="OC12" s="203"/>
      <c r="OD12" s="203"/>
      <c r="OE12" s="203"/>
      <c r="OF12" s="203"/>
      <c r="OG12" s="203">
        <v>-1533</v>
      </c>
      <c r="OH12" s="203">
        <v>-1902</v>
      </c>
      <c r="OI12" s="203">
        <v>-3372.0914578628999</v>
      </c>
      <c r="OJ12" s="203">
        <v>-3437.3375211904099</v>
      </c>
      <c r="OK12" s="204">
        <v>-10244.428979053309</v>
      </c>
      <c r="OL12" s="932"/>
      <c r="OM12" s="932"/>
      <c r="ON12" s="932"/>
      <c r="OO12" s="932"/>
      <c r="OP12" s="932"/>
      <c r="OQ12" s="932"/>
      <c r="OR12" s="932"/>
      <c r="OS12" s="932"/>
      <c r="OT12" s="932"/>
      <c r="OU12" s="932"/>
      <c r="OV12" s="932"/>
      <c r="OW12" s="932"/>
      <c r="OX12" s="932"/>
      <c r="OY12" s="645">
        <v>28862.240757</v>
      </c>
      <c r="OZ12" s="645">
        <v>30894.947591</v>
      </c>
      <c r="PA12" s="645"/>
      <c r="PB12" s="645">
        <v>35850.376398</v>
      </c>
      <c r="PC12" s="645"/>
      <c r="PD12" s="645">
        <v>35192.265698000003</v>
      </c>
      <c r="PE12" s="645"/>
      <c r="PF12" s="645">
        <v>28149.725981</v>
      </c>
      <c r="PG12" s="645"/>
      <c r="PH12" s="645">
        <v>35814.511648</v>
      </c>
      <c r="PI12" s="203"/>
      <c r="PJ12" s="203">
        <v>34169.100893000003</v>
      </c>
      <c r="PK12" s="203"/>
      <c r="PL12" s="203"/>
      <c r="PM12" s="203"/>
      <c r="PN12" s="203"/>
      <c r="PO12" s="203"/>
      <c r="PP12" s="206">
        <v>51550.600513214144</v>
      </c>
      <c r="PQ12" s="206">
        <v>0</v>
      </c>
      <c r="PR12" s="206"/>
      <c r="PS12" s="206">
        <v>52700.251678983885</v>
      </c>
      <c r="PT12" s="206">
        <v>0</v>
      </c>
      <c r="PU12" s="206"/>
      <c r="PV12" s="206">
        <v>57590.945653551375</v>
      </c>
      <c r="PW12" s="206">
        <v>0</v>
      </c>
      <c r="PX12" s="206"/>
      <c r="PY12" s="206">
        <v>56830.315903295814</v>
      </c>
      <c r="PZ12" s="587">
        <v>95608.421554999994</v>
      </c>
      <c r="QA12" s="203">
        <v>120037.60009564999</v>
      </c>
      <c r="QB12" s="203">
        <v>137235.82510694014</v>
      </c>
      <c r="QC12" s="203">
        <v>140826.03622680795</v>
      </c>
      <c r="QD12" s="204">
        <v>493707.88298439805</v>
      </c>
      <c r="QE12" s="206">
        <v>491244.79483204527</v>
      </c>
      <c r="QF12" s="206"/>
      <c r="QG12" s="206"/>
      <c r="QH12" s="932"/>
      <c r="QI12" s="932"/>
      <c r="QJ12" s="932"/>
      <c r="QK12" s="932"/>
      <c r="QL12" s="932"/>
      <c r="QM12" s="932"/>
      <c r="QN12" s="932"/>
      <c r="QO12" s="932"/>
      <c r="QP12" s="932"/>
      <c r="QQ12" s="932"/>
      <c r="QR12" s="932"/>
      <c r="QS12" s="932"/>
      <c r="QT12" s="932"/>
      <c r="QU12" s="167">
        <v>92069.421555000008</v>
      </c>
      <c r="QV12" s="51"/>
      <c r="QW12" s="51"/>
    </row>
    <row r="13" spans="1:465" s="263" customFormat="1">
      <c r="A13" s="263" t="s">
        <v>1209</v>
      </c>
      <c r="F13" s="265">
        <v>7895.2536110000001</v>
      </c>
      <c r="G13" s="265">
        <v>7342.5642750000006</v>
      </c>
      <c r="H13" s="265"/>
      <c r="I13" s="265">
        <v>7107.8029509999997</v>
      </c>
      <c r="J13" s="265"/>
      <c r="K13" s="265">
        <v>7521.7309859999996</v>
      </c>
      <c r="L13" s="265"/>
      <c r="M13" s="265">
        <v>6656.8085740000006</v>
      </c>
      <c r="N13" s="265"/>
      <c r="O13" s="265">
        <v>7934.4444629999998</v>
      </c>
      <c r="P13" s="265"/>
      <c r="Q13" s="265">
        <v>6406.0750550000002</v>
      </c>
      <c r="R13" s="265"/>
      <c r="S13" s="265"/>
      <c r="T13" s="265"/>
      <c r="U13" s="265"/>
      <c r="V13" s="265"/>
      <c r="W13" s="265"/>
      <c r="X13" s="265"/>
      <c r="Y13" s="265"/>
      <c r="Z13" s="265"/>
      <c r="AA13" s="265"/>
      <c r="AB13" s="265"/>
      <c r="AC13" s="265"/>
      <c r="AD13" s="265"/>
      <c r="AE13" s="265"/>
      <c r="AF13" s="265"/>
      <c r="AG13" s="265"/>
      <c r="AH13" s="265"/>
      <c r="AI13" s="265"/>
      <c r="AJ13" s="265"/>
      <c r="AK13" s="265"/>
      <c r="AL13" s="265"/>
      <c r="AM13" s="265"/>
      <c r="AN13" s="265"/>
      <c r="AO13" s="265"/>
      <c r="AP13" s="265"/>
      <c r="AQ13" s="265"/>
      <c r="AR13" s="265"/>
      <c r="AS13" s="265"/>
      <c r="AT13" s="265"/>
      <c r="AU13" s="265"/>
      <c r="AV13" s="265"/>
      <c r="AW13" s="265"/>
      <c r="AX13" s="265"/>
      <c r="AY13" s="265"/>
      <c r="AZ13" s="265">
        <v>3447.5306190000001</v>
      </c>
      <c r="BA13" s="265">
        <v>4283.3325930000001</v>
      </c>
      <c r="BB13" s="265"/>
      <c r="BC13" s="265">
        <v>6941.5341099999996</v>
      </c>
      <c r="BD13" s="265"/>
      <c r="BE13" s="265">
        <v>4883.2084320000004</v>
      </c>
      <c r="BF13" s="265"/>
      <c r="BG13" s="265">
        <v>4061.3677729999999</v>
      </c>
      <c r="BH13" s="265"/>
      <c r="BI13" s="265">
        <v>4187.2163609999998</v>
      </c>
      <c r="BJ13" s="265"/>
      <c r="BK13" s="265">
        <v>3676.10896</v>
      </c>
      <c r="BL13" s="265"/>
      <c r="BM13" s="265"/>
      <c r="BN13" s="265"/>
      <c r="BO13" s="265"/>
      <c r="BP13" s="265"/>
      <c r="BQ13" s="265"/>
      <c r="BR13" s="265"/>
      <c r="BS13" s="265"/>
      <c r="BT13" s="265"/>
      <c r="BU13" s="265"/>
      <c r="BV13" s="265"/>
      <c r="BW13" s="265"/>
      <c r="BX13" s="265"/>
      <c r="BY13" s="265"/>
      <c r="BZ13" s="265"/>
      <c r="CA13" s="265"/>
      <c r="CB13" s="584"/>
      <c r="CC13" s="584"/>
      <c r="CD13" s="584"/>
      <c r="CE13" s="265"/>
      <c r="CF13" s="265"/>
      <c r="CG13" s="265"/>
      <c r="CH13" s="265"/>
      <c r="CI13" s="265"/>
      <c r="CJ13" s="265"/>
      <c r="CK13" s="265"/>
      <c r="CL13" s="265"/>
      <c r="CM13" s="265"/>
      <c r="CN13" s="265"/>
      <c r="CO13" s="265"/>
      <c r="CP13" s="265"/>
      <c r="CQ13" s="265"/>
      <c r="CR13" s="265"/>
      <c r="CS13" s="265"/>
      <c r="CT13" s="265">
        <v>513</v>
      </c>
      <c r="CU13" s="265">
        <v>363</v>
      </c>
      <c r="CV13" s="265"/>
      <c r="CW13" s="265">
        <v>244</v>
      </c>
      <c r="CX13" s="265"/>
      <c r="CY13" s="265">
        <v>1638.4</v>
      </c>
      <c r="CZ13" s="265"/>
      <c r="DA13" s="265">
        <v>743</v>
      </c>
      <c r="DB13" s="265"/>
      <c r="DC13" s="265">
        <v>723</v>
      </c>
      <c r="DD13" s="265"/>
      <c r="DE13" s="265">
        <v>773</v>
      </c>
      <c r="DF13" s="265"/>
      <c r="DG13" s="265"/>
      <c r="DH13" s="265"/>
      <c r="DI13" s="265"/>
      <c r="DJ13" s="265"/>
      <c r="DK13" s="265"/>
      <c r="DL13" s="265"/>
      <c r="DM13" s="265"/>
      <c r="DN13" s="265"/>
      <c r="DO13" s="265"/>
      <c r="DP13" s="265"/>
      <c r="DQ13" s="265"/>
      <c r="DR13" s="265"/>
      <c r="DS13" s="265"/>
      <c r="DT13" s="265"/>
      <c r="DU13" s="265"/>
      <c r="DV13" s="265"/>
      <c r="DW13" s="265"/>
      <c r="DX13" s="265"/>
      <c r="DY13" s="265"/>
      <c r="DZ13" s="265"/>
      <c r="EA13" s="265"/>
      <c r="EB13" s="265"/>
      <c r="EC13" s="265"/>
      <c r="ED13" s="265"/>
      <c r="EE13" s="265"/>
      <c r="EF13" s="265"/>
      <c r="EG13" s="265"/>
      <c r="EH13" s="265"/>
      <c r="EI13" s="265"/>
      <c r="EJ13" s="265"/>
      <c r="EK13" s="265"/>
      <c r="EL13" s="265"/>
      <c r="EM13" s="265"/>
      <c r="EN13" s="265">
        <v>9186.0461429999996</v>
      </c>
      <c r="EO13" s="265">
        <v>9021.3228450000006</v>
      </c>
      <c r="EP13" s="265"/>
      <c r="EQ13" s="265">
        <v>10372.135104000001</v>
      </c>
      <c r="ER13" s="265"/>
      <c r="ES13" s="265">
        <v>10633.749807</v>
      </c>
      <c r="ET13" s="265"/>
      <c r="EU13" s="265">
        <v>8654.6488989999998</v>
      </c>
      <c r="EV13" s="265"/>
      <c r="EW13" s="265">
        <v>10709.11067</v>
      </c>
      <c r="EX13" s="265"/>
      <c r="EY13" s="265">
        <v>10695.020025</v>
      </c>
      <c r="EZ13" s="265"/>
      <c r="FA13" s="265"/>
      <c r="FB13" s="265"/>
      <c r="FC13" s="265"/>
      <c r="FD13" s="265"/>
      <c r="FE13" s="265"/>
      <c r="FF13" s="265"/>
      <c r="FG13" s="265"/>
      <c r="FH13" s="265"/>
      <c r="FI13" s="265"/>
      <c r="FJ13" s="265"/>
      <c r="FK13" s="265"/>
      <c r="FL13" s="265"/>
      <c r="FM13" s="265"/>
      <c r="FN13" s="265"/>
      <c r="FO13" s="265"/>
      <c r="FP13" s="584"/>
      <c r="FQ13" s="584"/>
      <c r="FR13" s="584"/>
      <c r="FS13" s="265"/>
      <c r="FT13" s="265"/>
      <c r="FU13" s="265"/>
      <c r="FV13" s="265"/>
      <c r="FW13" s="265"/>
      <c r="FX13" s="265"/>
      <c r="FY13" s="265"/>
      <c r="FZ13" s="265"/>
      <c r="GA13" s="265"/>
      <c r="GB13" s="265"/>
      <c r="GC13" s="265"/>
      <c r="GD13" s="265"/>
      <c r="GE13" s="265"/>
      <c r="GF13" s="265"/>
      <c r="GG13" s="265"/>
      <c r="GH13" s="265">
        <v>1141.3410100000001</v>
      </c>
      <c r="GI13" s="265">
        <v>2728.191894</v>
      </c>
      <c r="GJ13" s="265"/>
      <c r="GK13" s="265">
        <v>3756.7135149999999</v>
      </c>
      <c r="GL13" s="265"/>
      <c r="GM13" s="265">
        <v>3831.1206889999999</v>
      </c>
      <c r="GN13" s="265"/>
      <c r="GO13" s="265">
        <v>803.14217499999995</v>
      </c>
      <c r="GP13" s="265"/>
      <c r="GQ13" s="265">
        <v>2632.241215</v>
      </c>
      <c r="GR13" s="265"/>
      <c r="GS13" s="265">
        <v>3179.6944199999998</v>
      </c>
      <c r="GT13" s="265"/>
      <c r="GU13" s="265"/>
      <c r="GV13" s="265"/>
      <c r="GW13" s="265"/>
      <c r="GX13" s="265"/>
      <c r="GY13" s="265"/>
      <c r="GZ13" s="265"/>
      <c r="HA13" s="265"/>
      <c r="HB13" s="265"/>
      <c r="HC13" s="265"/>
      <c r="HD13" s="265"/>
      <c r="HE13" s="265"/>
      <c r="HF13" s="265"/>
      <c r="HG13" s="265"/>
      <c r="HH13" s="265"/>
      <c r="HI13" s="265"/>
      <c r="HJ13" s="584"/>
      <c r="HK13" s="584"/>
      <c r="HL13" s="584"/>
      <c r="HM13" s="265"/>
      <c r="HN13" s="265"/>
      <c r="HO13" s="265"/>
      <c r="HP13" s="265"/>
      <c r="HQ13" s="265"/>
      <c r="HR13" s="265"/>
      <c r="HS13" s="265"/>
      <c r="HT13" s="265"/>
      <c r="HU13" s="265"/>
      <c r="HV13" s="265"/>
      <c r="HW13" s="265"/>
      <c r="HX13" s="265"/>
      <c r="HY13" s="265"/>
      <c r="HZ13" s="265"/>
      <c r="IA13" s="265"/>
      <c r="IB13" s="265">
        <v>3912.3624759999998</v>
      </c>
      <c r="IC13" s="265">
        <v>3492.5858450000001</v>
      </c>
      <c r="IE13" s="265">
        <v>3821.7045639999997</v>
      </c>
      <c r="IF13" s="265"/>
      <c r="IG13" s="265">
        <v>3102.3391210000004</v>
      </c>
      <c r="IH13" s="265"/>
      <c r="II13" s="265">
        <v>4318.088283</v>
      </c>
      <c r="IJ13" s="265"/>
      <c r="IK13" s="265">
        <v>6285.1269439999996</v>
      </c>
      <c r="IL13" s="265"/>
      <c r="IM13" s="265">
        <v>6280.2909730000001</v>
      </c>
      <c r="IN13" s="265"/>
      <c r="IO13" s="265"/>
      <c r="IP13" s="265"/>
      <c r="IQ13" s="265"/>
      <c r="IR13" s="265"/>
      <c r="IS13" s="265"/>
      <c r="IT13" s="265"/>
      <c r="IU13" s="265"/>
      <c r="IV13" s="265"/>
      <c r="IW13" s="265"/>
      <c r="IX13" s="265"/>
      <c r="IY13" s="265"/>
      <c r="IZ13" s="265"/>
      <c r="JA13" s="265"/>
      <c r="JB13" s="265"/>
      <c r="JC13" s="265"/>
      <c r="JD13" s="584"/>
      <c r="JE13" s="584"/>
      <c r="JF13" s="584"/>
      <c r="JG13" s="265"/>
      <c r="JH13" s="265"/>
      <c r="JI13" s="265"/>
      <c r="JJ13" s="265"/>
      <c r="JK13" s="265"/>
      <c r="JL13" s="265"/>
      <c r="JM13" s="265"/>
      <c r="JN13" s="265"/>
      <c r="JO13" s="265"/>
      <c r="JP13" s="265"/>
      <c r="JQ13" s="265"/>
      <c r="JR13" s="265"/>
      <c r="JS13" s="265"/>
      <c r="JT13" s="265"/>
      <c r="JU13" s="265"/>
      <c r="JV13" s="265">
        <v>1638</v>
      </c>
      <c r="JW13" s="265">
        <v>2567</v>
      </c>
      <c r="JX13" s="265"/>
      <c r="JY13" s="265">
        <v>2294</v>
      </c>
      <c r="JZ13" s="265"/>
      <c r="KA13" s="265">
        <v>2310</v>
      </c>
      <c r="KB13" s="265"/>
      <c r="KC13" s="265">
        <v>1843</v>
      </c>
      <c r="KD13" s="265"/>
      <c r="KE13" s="265">
        <v>2093</v>
      </c>
      <c r="KF13" s="265"/>
      <c r="KG13" s="265">
        <v>2000</v>
      </c>
      <c r="KH13" s="265"/>
      <c r="KI13" s="265"/>
      <c r="KJ13" s="265"/>
      <c r="KK13" s="265"/>
      <c r="KL13" s="265"/>
      <c r="KM13" s="265"/>
      <c r="KN13" s="265"/>
      <c r="KO13" s="265"/>
      <c r="KP13" s="265"/>
      <c r="KQ13" s="265"/>
      <c r="KR13" s="265"/>
      <c r="KS13" s="265"/>
      <c r="KT13" s="265"/>
      <c r="KU13" s="265"/>
      <c r="KV13" s="265"/>
      <c r="KW13" s="265"/>
      <c r="KX13" s="265"/>
      <c r="KY13" s="265"/>
      <c r="LA13" s="265"/>
      <c r="LB13" s="265"/>
      <c r="LC13" s="265"/>
      <c r="LD13" s="265"/>
      <c r="LE13" s="265"/>
      <c r="LF13" s="265"/>
      <c r="LG13" s="265"/>
      <c r="LH13" s="265"/>
      <c r="LI13" s="265"/>
      <c r="LJ13" s="265"/>
      <c r="LK13" s="265"/>
      <c r="LL13" s="265"/>
      <c r="LM13" s="265"/>
      <c r="LN13" s="265"/>
      <c r="LO13" s="265"/>
      <c r="MG13" s="265"/>
      <c r="MJ13" s="265"/>
      <c r="MM13" s="265"/>
      <c r="MP13" s="265"/>
      <c r="MU13" s="265"/>
      <c r="MV13" s="265"/>
      <c r="MW13" s="265"/>
      <c r="MX13" s="265"/>
      <c r="MY13" s="265"/>
      <c r="MZ13" s="265"/>
      <c r="NA13" s="265"/>
      <c r="NB13" s="265"/>
      <c r="NC13" s="265"/>
      <c r="ND13" s="265"/>
      <c r="NE13" s="265"/>
      <c r="NF13" s="265"/>
      <c r="NG13" s="265"/>
      <c r="NH13" s="265"/>
      <c r="NI13" s="265"/>
      <c r="NJ13" s="265"/>
      <c r="NK13" s="265"/>
      <c r="NL13" s="265"/>
      <c r="NM13" s="265"/>
      <c r="NN13" s="265"/>
      <c r="NO13" s="265"/>
      <c r="NP13" s="265"/>
      <c r="NQ13" s="265"/>
      <c r="NR13" s="265"/>
      <c r="NS13" s="265"/>
      <c r="NT13" s="265"/>
      <c r="NU13" s="265"/>
      <c r="NV13" s="265"/>
      <c r="NW13" s="265"/>
      <c r="NX13" s="265"/>
      <c r="NY13" s="265"/>
      <c r="NZ13" s="265"/>
      <c r="OA13" s="265"/>
      <c r="OB13" s="265"/>
      <c r="OC13" s="265"/>
      <c r="OD13" s="265"/>
      <c r="OE13" s="265"/>
      <c r="OF13" s="265"/>
      <c r="OG13" s="265"/>
      <c r="OH13" s="265"/>
      <c r="OI13" s="265"/>
      <c r="OJ13" s="265"/>
      <c r="OK13" s="265"/>
      <c r="OL13" s="265"/>
      <c r="OM13" s="265"/>
      <c r="ON13" s="265"/>
      <c r="OO13" s="265"/>
      <c r="OP13" s="265"/>
      <c r="OQ13" s="265"/>
      <c r="OR13" s="265"/>
      <c r="OS13" s="265"/>
      <c r="OT13" s="265"/>
      <c r="OU13" s="265"/>
      <c r="OV13" s="265"/>
      <c r="OW13" s="265"/>
      <c r="OX13" s="265"/>
      <c r="OY13" s="265">
        <v>28862.533858999999</v>
      </c>
      <c r="OZ13" s="265">
        <v>30894.997452</v>
      </c>
      <c r="PA13" s="265"/>
      <c r="PB13" s="265">
        <v>35850.890243999995</v>
      </c>
      <c r="PC13" s="265"/>
      <c r="PE13" s="265">
        <v>38276.798309300008</v>
      </c>
      <c r="PF13" s="265"/>
      <c r="PG13" s="265">
        <v>38149.3159313</v>
      </c>
      <c r="PH13" s="265"/>
      <c r="PI13" s="265">
        <v>43611.485855049999</v>
      </c>
      <c r="PJ13" s="265"/>
      <c r="PK13" s="265">
        <v>42964.90794153764</v>
      </c>
      <c r="PL13" s="265"/>
      <c r="PM13" s="265">
        <v>47503.1023416026</v>
      </c>
      <c r="PN13" s="265"/>
      <c r="PO13" s="265">
        <v>46767.814823799898</v>
      </c>
      <c r="PP13" s="265"/>
      <c r="PQ13" s="265"/>
      <c r="PR13" s="265">
        <v>46950.390292192184</v>
      </c>
      <c r="PS13" s="265"/>
      <c r="PT13" s="265"/>
      <c r="PU13" s="265">
        <v>47581.97950263878</v>
      </c>
      <c r="PV13" s="265"/>
      <c r="PW13" s="265"/>
      <c r="PX13" s="265">
        <v>46293.666431977006</v>
      </c>
      <c r="PY13" s="265"/>
      <c r="PZ13" s="265"/>
      <c r="QA13" s="265"/>
      <c r="QB13" s="265"/>
      <c r="QC13" s="265"/>
      <c r="QD13" s="265"/>
      <c r="QE13" s="265"/>
      <c r="QF13" s="265"/>
      <c r="QG13" s="265"/>
      <c r="QH13" s="265"/>
      <c r="QI13" s="265"/>
      <c r="QJ13" s="265"/>
      <c r="QK13" s="265"/>
      <c r="QL13" s="265"/>
      <c r="QM13" s="265"/>
      <c r="QN13" s="265"/>
      <c r="QO13" s="265"/>
      <c r="QP13" s="265"/>
      <c r="QQ13" s="265"/>
      <c r="QR13" s="265"/>
      <c r="QS13" s="265"/>
      <c r="QT13" s="265"/>
      <c r="QU13" s="585"/>
    </row>
    <row r="14" spans="1:465" s="51" customFormat="1" ht="15" hidden="1" customHeight="1" outlineLevel="1">
      <c r="A14" s="1297" t="s">
        <v>1210</v>
      </c>
      <c r="B14" s="590" t="s">
        <v>1147</v>
      </c>
      <c r="C14" s="591"/>
      <c r="D14" s="591"/>
      <c r="E14" s="591"/>
      <c r="F14" s="1277" t="s">
        <v>1155</v>
      </c>
      <c r="G14" s="1277"/>
      <c r="H14" s="1277"/>
      <c r="I14" s="1277"/>
      <c r="J14" s="1277"/>
      <c r="K14" s="1277"/>
      <c r="L14" s="1277"/>
      <c r="M14" s="1277"/>
      <c r="N14" s="1277"/>
      <c r="O14" s="1277"/>
      <c r="P14" s="1277"/>
      <c r="Q14" s="1277"/>
      <c r="R14" s="1277"/>
      <c r="S14" s="1277"/>
      <c r="T14" s="1277"/>
      <c r="U14" s="1277"/>
      <c r="V14" s="1277"/>
      <c r="W14" s="1277"/>
      <c r="X14" s="1277"/>
      <c r="Y14" s="1277"/>
      <c r="Z14" s="1277"/>
      <c r="AA14" s="1277"/>
      <c r="AB14" s="1277"/>
      <c r="AC14" s="1277"/>
      <c r="AD14" s="1277"/>
      <c r="AE14" s="1277"/>
      <c r="AF14" s="1277"/>
      <c r="AG14" s="1277"/>
      <c r="AH14" s="1277"/>
      <c r="AI14" s="1277"/>
      <c r="AJ14" s="1277"/>
      <c r="AK14" s="1277"/>
      <c r="AL14" s="1277"/>
      <c r="AM14" s="1277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1277"/>
      <c r="BB14" s="1277"/>
      <c r="BC14" s="1277"/>
      <c r="BD14" s="1277"/>
      <c r="BE14" s="1277"/>
      <c r="BF14" s="1277"/>
      <c r="BG14" s="1277"/>
      <c r="BH14" s="1277"/>
      <c r="BI14" s="1277"/>
      <c r="BJ14" s="1277"/>
      <c r="BK14" s="1277"/>
      <c r="BL14" s="1277"/>
      <c r="BM14" s="1277"/>
      <c r="BN14" s="1277"/>
      <c r="BO14" s="1277"/>
      <c r="BP14" s="1277"/>
      <c r="BQ14" s="1277"/>
      <c r="BR14" s="1277"/>
      <c r="BS14" s="1277"/>
      <c r="BT14" s="1277"/>
      <c r="BU14" s="1277"/>
      <c r="BV14" s="1277"/>
      <c r="BW14" s="1277"/>
      <c r="BX14" s="1277"/>
      <c r="BY14" s="1277"/>
      <c r="BZ14" s="1277"/>
      <c r="CA14" s="1277"/>
      <c r="CB14" s="1277"/>
      <c r="CC14" s="1277"/>
      <c r="CD14" s="1277"/>
      <c r="CE14" s="1277"/>
      <c r="CF14" s="1277"/>
      <c r="CG14" s="1277"/>
      <c r="CH14" s="1277"/>
      <c r="CI14" s="1277"/>
      <c r="CJ14" s="1277"/>
      <c r="CK14" s="1277"/>
      <c r="CL14" s="1277"/>
      <c r="CM14" s="1277"/>
      <c r="CN14" s="1277"/>
      <c r="CO14" s="1277"/>
      <c r="CP14" s="1277"/>
      <c r="CQ14" s="1277"/>
      <c r="CR14" s="1277"/>
      <c r="CS14" s="1277"/>
      <c r="CT14" s="1277"/>
      <c r="CU14" s="1277"/>
      <c r="CV14" s="1277"/>
      <c r="CW14" s="1277"/>
      <c r="CX14" s="1277"/>
      <c r="CY14" s="1277"/>
      <c r="CZ14" s="1277"/>
      <c r="DA14" s="1277"/>
      <c r="DB14" s="1277"/>
      <c r="DC14" s="1277"/>
      <c r="DD14" s="1277"/>
      <c r="DE14" s="1277"/>
      <c r="DF14" s="1277"/>
      <c r="DG14" s="1277"/>
      <c r="DH14" s="1277"/>
      <c r="DI14" s="1277"/>
      <c r="DJ14" s="1277"/>
      <c r="DK14" s="1277"/>
      <c r="DL14" s="1277"/>
      <c r="DM14" s="1277"/>
      <c r="DN14" s="1277"/>
      <c r="DO14" s="1277"/>
      <c r="DP14" s="1277"/>
      <c r="DQ14" s="1277"/>
      <c r="DR14" s="1277"/>
      <c r="DS14" s="1277"/>
      <c r="DT14" s="1277"/>
      <c r="DU14" s="1277"/>
      <c r="DV14" s="1277"/>
      <c r="DW14" s="1277"/>
      <c r="DX14" s="1277"/>
      <c r="DY14" s="1277"/>
      <c r="DZ14" s="1278"/>
      <c r="EA14" s="933"/>
      <c r="EB14" s="933"/>
      <c r="EC14" s="933"/>
      <c r="ED14" s="933"/>
      <c r="EE14" s="933"/>
      <c r="EF14" s="933"/>
      <c r="EG14" s="933"/>
      <c r="EH14" s="933"/>
      <c r="EI14" s="933"/>
      <c r="EJ14" s="933"/>
      <c r="EK14" s="933"/>
      <c r="EL14" s="933"/>
      <c r="EM14" s="933"/>
      <c r="EN14" s="1279" t="s">
        <v>1104</v>
      </c>
      <c r="EO14" s="1280"/>
      <c r="EP14" s="1280"/>
      <c r="EQ14" s="1280"/>
      <c r="ER14" s="1280"/>
      <c r="ES14" s="1280"/>
      <c r="ET14" s="1280"/>
      <c r="EU14" s="1280"/>
      <c r="EV14" s="1280"/>
      <c r="EW14" s="1280"/>
      <c r="EX14" s="1280"/>
      <c r="EY14" s="1280"/>
      <c r="EZ14" s="1280"/>
      <c r="FA14" s="1280"/>
      <c r="FB14" s="1280"/>
      <c r="FC14" s="1280"/>
      <c r="FD14" s="1280"/>
      <c r="FE14" s="1280"/>
      <c r="FF14" s="1280"/>
      <c r="FG14" s="1280"/>
      <c r="FH14" s="1280"/>
      <c r="FI14" s="1280"/>
      <c r="FJ14" s="1280"/>
      <c r="FK14" s="1280"/>
      <c r="FL14" s="1280"/>
      <c r="FM14" s="1280"/>
      <c r="FN14" s="1280"/>
      <c r="FO14" s="1280"/>
      <c r="FP14" s="1280"/>
      <c r="FQ14" s="1280"/>
      <c r="FR14" s="1280"/>
      <c r="FS14" s="1280"/>
      <c r="FT14" s="1280"/>
      <c r="FU14" s="1280"/>
      <c r="FV14" s="1280"/>
      <c r="FW14" s="1280"/>
      <c r="FX14" s="1280"/>
      <c r="FY14" s="1280"/>
      <c r="FZ14" s="1280"/>
      <c r="GA14" s="1280"/>
      <c r="GB14" s="1280"/>
      <c r="GC14" s="1280"/>
      <c r="GD14" s="1280"/>
      <c r="GE14" s="1280"/>
      <c r="GF14" s="1280"/>
      <c r="GG14" s="1280"/>
      <c r="GH14" s="1280"/>
      <c r="GI14" s="1280"/>
      <c r="GJ14" s="1280"/>
      <c r="GK14" s="1280"/>
      <c r="GL14" s="1280"/>
      <c r="GM14" s="1280"/>
      <c r="GN14" s="1280"/>
      <c r="GO14" s="1280"/>
      <c r="GP14" s="1280"/>
      <c r="GQ14" s="1280"/>
      <c r="GR14" s="1280"/>
      <c r="GS14" s="1280"/>
      <c r="GT14" s="1280"/>
      <c r="GU14" s="1280"/>
      <c r="GV14" s="1280"/>
      <c r="GW14" s="1280"/>
      <c r="GX14" s="1280"/>
      <c r="GY14" s="1280"/>
      <c r="GZ14" s="1280"/>
      <c r="HA14" s="1280"/>
      <c r="HB14" s="1280"/>
      <c r="HC14" s="1280"/>
      <c r="HD14" s="1280"/>
      <c r="HE14" s="1280"/>
      <c r="HF14" s="1280"/>
      <c r="HG14" s="1280"/>
      <c r="HH14" s="1280"/>
      <c r="HI14" s="1280"/>
      <c r="HJ14" s="1280"/>
      <c r="HK14" s="1280"/>
      <c r="HL14" s="1280"/>
      <c r="HM14" s="1280"/>
      <c r="HN14" s="1281"/>
      <c r="HO14" s="1096"/>
      <c r="HP14" s="1096"/>
      <c r="HQ14" s="1096"/>
      <c r="HR14" s="1096"/>
      <c r="HS14" s="1096"/>
      <c r="HT14" s="1096"/>
      <c r="HU14" s="1096"/>
      <c r="HV14" s="1096"/>
      <c r="HW14" s="1096"/>
      <c r="HX14" s="1096"/>
      <c r="HY14" s="1096"/>
      <c r="HZ14" s="1096"/>
      <c r="IA14" s="1096"/>
      <c r="IB14" s="1282" t="s">
        <v>1211</v>
      </c>
      <c r="IC14" s="1283"/>
      <c r="ID14" s="1283"/>
      <c r="IE14" s="1283"/>
      <c r="IF14" s="1283"/>
      <c r="IG14" s="1283"/>
      <c r="IH14" s="1283"/>
      <c r="II14" s="1283"/>
      <c r="IJ14" s="1283"/>
      <c r="IK14" s="1283"/>
      <c r="IL14" s="1283"/>
      <c r="IM14" s="1283"/>
      <c r="IN14" s="1283"/>
      <c r="IO14" s="1283"/>
      <c r="IP14" s="1283"/>
      <c r="IQ14" s="1283"/>
      <c r="IR14" s="1283"/>
      <c r="IS14" s="1283"/>
      <c r="IT14" s="1283"/>
      <c r="IU14" s="1283"/>
      <c r="IV14" s="1283"/>
      <c r="IW14" s="1283"/>
      <c r="IX14" s="1283"/>
      <c r="IY14" s="1283"/>
      <c r="IZ14" s="1283"/>
      <c r="JA14" s="1283"/>
      <c r="JB14" s="1283"/>
      <c r="JC14" s="1283"/>
      <c r="JD14" s="1283"/>
      <c r="JE14" s="1283"/>
      <c r="JF14" s="1283"/>
      <c r="JG14" s="1283"/>
      <c r="JH14" s="1284"/>
      <c r="JI14" s="1096"/>
      <c r="JJ14" s="1096"/>
      <c r="JK14" s="1096"/>
      <c r="JL14" s="1096"/>
      <c r="JM14" s="1096"/>
      <c r="JN14" s="1096"/>
      <c r="JO14" s="1096"/>
      <c r="JP14" s="1096"/>
      <c r="JQ14" s="1096"/>
      <c r="JR14" s="1096"/>
      <c r="JS14" s="1096"/>
      <c r="JT14" s="1096"/>
      <c r="JU14" s="1096"/>
      <c r="JV14" s="1288" t="s">
        <v>1212</v>
      </c>
      <c r="JW14" s="1289"/>
      <c r="JX14" s="1289"/>
      <c r="JY14" s="1289"/>
      <c r="JZ14" s="1289"/>
      <c r="KA14" s="1289"/>
      <c r="KB14" s="1289"/>
      <c r="KC14" s="1289"/>
      <c r="KD14" s="1289"/>
      <c r="KE14" s="1289"/>
      <c r="KF14" s="1289"/>
      <c r="KG14" s="1289"/>
      <c r="KH14" s="1289"/>
      <c r="KI14" s="1289"/>
      <c r="KJ14" s="1289"/>
      <c r="KK14" s="1289"/>
      <c r="KL14" s="1289"/>
      <c r="KM14" s="1289"/>
      <c r="KN14" s="1289"/>
      <c r="KO14" s="1289"/>
      <c r="KP14" s="1289"/>
      <c r="KQ14" s="1289"/>
      <c r="KR14" s="1289"/>
      <c r="KS14" s="1289"/>
      <c r="KT14" s="1289"/>
      <c r="KU14" s="1289"/>
      <c r="KV14" s="1289"/>
      <c r="KW14" s="1289"/>
      <c r="KX14" s="1289"/>
      <c r="KY14" s="1289"/>
      <c r="KZ14" s="1289"/>
      <c r="LA14" s="1289"/>
      <c r="LB14" s="1290"/>
      <c r="LC14" s="1096"/>
      <c r="LD14" s="1096"/>
      <c r="LE14" s="1096"/>
      <c r="LF14" s="1096"/>
      <c r="LG14" s="1096"/>
      <c r="LH14" s="1096"/>
      <c r="LI14" s="1096"/>
      <c r="LJ14" s="1096"/>
      <c r="LK14" s="1096"/>
      <c r="LL14" s="1096"/>
      <c r="LM14" s="1096"/>
      <c r="LN14" s="1096"/>
      <c r="LO14" s="1096"/>
      <c r="LP14" s="1268" t="s">
        <v>1213</v>
      </c>
      <c r="LQ14" s="1269"/>
      <c r="LR14" s="1269"/>
      <c r="LS14" s="1269"/>
      <c r="LT14" s="1269"/>
      <c r="LU14" s="1269"/>
      <c r="LV14" s="1269"/>
      <c r="LW14" s="1269"/>
      <c r="LX14" s="1269"/>
      <c r="LY14" s="1269"/>
      <c r="LZ14" s="1269"/>
      <c r="MA14" s="1269"/>
      <c r="MB14" s="1269"/>
      <c r="MC14" s="1269"/>
      <c r="MD14" s="1269"/>
      <c r="ME14" s="1269"/>
      <c r="MF14" s="1269"/>
      <c r="MG14" s="1269"/>
      <c r="MH14" s="1269"/>
      <c r="MI14" s="1269"/>
      <c r="MJ14" s="1269"/>
      <c r="MK14" s="1269"/>
      <c r="ML14" s="1269"/>
      <c r="MM14" s="1269"/>
      <c r="MN14" s="1269"/>
      <c r="MO14" s="1269"/>
      <c r="MP14" s="1269"/>
      <c r="MQ14" s="1269"/>
      <c r="MR14" s="1269"/>
      <c r="MS14" s="1269"/>
      <c r="MT14" s="1269"/>
      <c r="MU14" s="1269"/>
      <c r="MV14" s="1270"/>
      <c r="MW14" s="1096"/>
      <c r="MX14" s="1096"/>
      <c r="MY14" s="1096"/>
      <c r="MZ14" s="1096"/>
      <c r="NA14" s="1096"/>
      <c r="NB14" s="1096"/>
      <c r="NC14" s="1096"/>
      <c r="ND14" s="1096"/>
      <c r="NE14" s="1096"/>
      <c r="NF14" s="1096"/>
      <c r="NG14" s="1096"/>
      <c r="NH14" s="1096"/>
      <c r="NI14" s="1096"/>
      <c r="NJ14" s="1246" t="s">
        <v>1153</v>
      </c>
      <c r="NK14" s="1247"/>
      <c r="NL14" s="1247"/>
      <c r="NM14" s="1247"/>
      <c r="NN14" s="1247"/>
      <c r="NO14" s="1247"/>
      <c r="NP14" s="1247"/>
      <c r="NQ14" s="1247"/>
      <c r="NR14" s="1247"/>
      <c r="NS14" s="1247"/>
      <c r="NT14" s="1247"/>
      <c r="NU14" s="1247"/>
      <c r="NV14" s="1247"/>
      <c r="NW14" s="1247"/>
      <c r="NX14" s="1247"/>
      <c r="NY14" s="1247"/>
      <c r="NZ14" s="1247"/>
      <c r="OA14" s="1247"/>
      <c r="OB14" s="1247"/>
      <c r="OC14" s="1247"/>
      <c r="OD14" s="1247"/>
      <c r="OE14" s="1247"/>
      <c r="OF14" s="1247"/>
      <c r="OG14" s="1247"/>
      <c r="OH14" s="1247"/>
      <c r="OI14" s="1247"/>
      <c r="OJ14" s="1247"/>
      <c r="OK14" s="1248"/>
      <c r="OL14" s="1096"/>
      <c r="OM14" s="1096"/>
      <c r="ON14" s="1096"/>
      <c r="OO14" s="1096"/>
      <c r="OP14" s="1096"/>
      <c r="OQ14" s="1096"/>
      <c r="OR14" s="1096"/>
      <c r="OS14" s="1096"/>
      <c r="OT14" s="1096"/>
      <c r="OU14" s="1096"/>
      <c r="OV14" s="1096"/>
      <c r="OW14" s="1096"/>
      <c r="OX14" s="1096"/>
      <c r="OY14" s="1252" t="s">
        <v>1154</v>
      </c>
      <c r="OZ14" s="1253"/>
      <c r="PA14" s="1253"/>
      <c r="PB14" s="1253"/>
      <c r="PC14" s="1253"/>
      <c r="PD14" s="1253"/>
      <c r="PE14" s="1253"/>
      <c r="PF14" s="1253"/>
      <c r="PG14" s="1253"/>
      <c r="PH14" s="1253"/>
      <c r="PI14" s="1253"/>
      <c r="PJ14" s="1253"/>
      <c r="PK14" s="1253"/>
      <c r="PL14" s="1253"/>
      <c r="PM14" s="1253"/>
      <c r="PN14" s="1253"/>
      <c r="PO14" s="1253"/>
      <c r="PP14" s="1253"/>
      <c r="PQ14" s="1253"/>
      <c r="PR14" s="1253"/>
      <c r="PS14" s="1253"/>
      <c r="PT14" s="1253"/>
      <c r="PU14" s="1253"/>
      <c r="PV14" s="1253"/>
      <c r="PW14" s="1253"/>
      <c r="PX14" s="1253"/>
      <c r="PY14" s="1253"/>
      <c r="PZ14" s="1253"/>
      <c r="QA14" s="1253"/>
      <c r="QB14" s="1253"/>
      <c r="QC14" s="1253"/>
      <c r="QD14" s="1253"/>
      <c r="QE14" s="1253"/>
      <c r="QF14" s="1097"/>
      <c r="QG14" s="1097"/>
      <c r="QH14" s="1096"/>
      <c r="QI14" s="1096"/>
      <c r="QJ14" s="1096"/>
      <c r="QK14" s="1096"/>
      <c r="QL14" s="1096"/>
      <c r="QM14" s="1096"/>
      <c r="QN14" s="1096"/>
      <c r="QO14" s="1096"/>
      <c r="QP14" s="1096"/>
      <c r="QQ14" s="1096"/>
      <c r="QR14" s="1096"/>
      <c r="QS14" s="1096"/>
      <c r="QT14" s="1096"/>
      <c r="QU14" s="166"/>
    </row>
    <row r="15" spans="1:465" s="51" customFormat="1" hidden="1" outlineLevel="1">
      <c r="A15" s="1298"/>
      <c r="B15" s="588" t="s">
        <v>304</v>
      </c>
      <c r="C15" s="589"/>
      <c r="D15" s="589"/>
      <c r="E15" s="589"/>
      <c r="F15" s="1256" t="s">
        <v>1155</v>
      </c>
      <c r="G15" s="1256"/>
      <c r="H15" s="1256"/>
      <c r="I15" s="1256"/>
      <c r="J15" s="1256"/>
      <c r="K15" s="1256"/>
      <c r="L15" s="1256"/>
      <c r="M15" s="1256"/>
      <c r="N15" s="1256"/>
      <c r="O15" s="1256"/>
      <c r="P15" s="1256"/>
      <c r="Q15" s="1256"/>
      <c r="R15" s="1256"/>
      <c r="S15" s="1256"/>
      <c r="T15" s="1256"/>
      <c r="U15" s="1256"/>
      <c r="V15" s="1256"/>
      <c r="W15" s="1256"/>
      <c r="X15" s="1256"/>
      <c r="Y15" s="1256"/>
      <c r="Z15" s="1256"/>
      <c r="AA15" s="1256"/>
      <c r="AB15" s="1256"/>
      <c r="AC15" s="1256"/>
      <c r="AD15" s="1256"/>
      <c r="AE15" s="1256"/>
      <c r="AF15" s="1256"/>
      <c r="AG15" s="1256"/>
      <c r="AH15" s="1256"/>
      <c r="AI15" s="1256"/>
      <c r="AJ15" s="1256"/>
      <c r="AK15" s="1256"/>
      <c r="AL15" s="1257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5"/>
      <c r="AX15" s="1095"/>
      <c r="AY15" s="1095"/>
      <c r="AZ15" s="1258" t="s">
        <v>305</v>
      </c>
      <c r="BA15" s="1259"/>
      <c r="BB15" s="1259"/>
      <c r="BC15" s="1259"/>
      <c r="BD15" s="1259"/>
      <c r="BE15" s="1259"/>
      <c r="BF15" s="1259"/>
      <c r="BG15" s="1259"/>
      <c r="BH15" s="1259"/>
      <c r="BI15" s="1259"/>
      <c r="BJ15" s="1259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59"/>
      <c r="BV15" s="1259"/>
      <c r="BW15" s="1259"/>
      <c r="BX15" s="1259"/>
      <c r="BY15" s="1259"/>
      <c r="BZ15" s="1259"/>
      <c r="CA15" s="1259"/>
      <c r="CB15" s="1259"/>
      <c r="CC15" s="1259"/>
      <c r="CD15" s="1259"/>
      <c r="CE15" s="1259"/>
      <c r="CF15" s="1260"/>
      <c r="CG15" s="1095"/>
      <c r="CH15" s="1095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5"/>
      <c r="CT15" s="1261" t="s">
        <v>1214</v>
      </c>
      <c r="CU15" s="1262"/>
      <c r="CV15" s="1262"/>
      <c r="CW15" s="1262"/>
      <c r="CX15" s="1262"/>
      <c r="CY15" s="1262"/>
      <c r="CZ15" s="1262"/>
      <c r="DA15" s="1262"/>
      <c r="DB15" s="1262"/>
      <c r="DC15" s="1262"/>
      <c r="DD15" s="1262"/>
      <c r="DE15" s="1262"/>
      <c r="DF15" s="1262"/>
      <c r="DG15" s="1262"/>
      <c r="DH15" s="1262"/>
      <c r="DI15" s="1262"/>
      <c r="DJ15" s="1262"/>
      <c r="DK15" s="1262"/>
      <c r="DL15" s="1262"/>
      <c r="DM15" s="1262"/>
      <c r="DN15" s="1262"/>
      <c r="DO15" s="1262"/>
      <c r="DP15" s="1262"/>
      <c r="DQ15" s="1262"/>
      <c r="DR15" s="1262"/>
      <c r="DS15" s="1262"/>
      <c r="DT15" s="1262"/>
      <c r="DU15" s="1262"/>
      <c r="DV15" s="1262"/>
      <c r="DW15" s="1262"/>
      <c r="DX15" s="1262"/>
      <c r="DY15" s="1262"/>
      <c r="DZ15" s="1263"/>
      <c r="EA15" s="1095"/>
      <c r="EB15" s="1095"/>
      <c r="EC15" s="1095"/>
      <c r="ED15" s="1095"/>
      <c r="EE15" s="1095"/>
      <c r="EF15" s="1095"/>
      <c r="EG15" s="1095"/>
      <c r="EH15" s="1095"/>
      <c r="EI15" s="1095"/>
      <c r="EJ15" s="1095"/>
      <c r="EK15" s="1095"/>
      <c r="EL15" s="1095"/>
      <c r="EM15" s="1095"/>
      <c r="EN15" s="1264" t="s">
        <v>304</v>
      </c>
      <c r="EO15" s="1256"/>
      <c r="EP15" s="1256"/>
      <c r="EQ15" s="1256"/>
      <c r="ER15" s="1256"/>
      <c r="ES15" s="1256"/>
      <c r="ET15" s="1256"/>
      <c r="EU15" s="1256"/>
      <c r="EV15" s="1256"/>
      <c r="EW15" s="1256"/>
      <c r="EX15" s="1256"/>
      <c r="EY15" s="1256"/>
      <c r="EZ15" s="1256"/>
      <c r="FA15" s="1256"/>
      <c r="FB15" s="1256"/>
      <c r="FC15" s="1256"/>
      <c r="FD15" s="1256"/>
      <c r="FE15" s="1256"/>
      <c r="FF15" s="1256"/>
      <c r="FG15" s="1256"/>
      <c r="FH15" s="1256"/>
      <c r="FI15" s="1256"/>
      <c r="FJ15" s="1256"/>
      <c r="FK15" s="1256"/>
      <c r="FL15" s="1256"/>
      <c r="FM15" s="1256"/>
      <c r="FN15" s="1256"/>
      <c r="FO15" s="1256"/>
      <c r="FP15" s="1256"/>
      <c r="FQ15" s="1256"/>
      <c r="FR15" s="1256"/>
      <c r="FS15" s="1256"/>
      <c r="FT15" s="1257"/>
      <c r="FU15" s="1095"/>
      <c r="FV15" s="1095"/>
      <c r="FW15" s="1095"/>
      <c r="FX15" s="1095"/>
      <c r="FY15" s="1095"/>
      <c r="FZ15" s="1095"/>
      <c r="GA15" s="1095"/>
      <c r="GB15" s="1095"/>
      <c r="GC15" s="1095"/>
      <c r="GD15" s="1095"/>
      <c r="GE15" s="1095"/>
      <c r="GF15" s="1095"/>
      <c r="GG15" s="1095"/>
      <c r="GH15" s="1265" t="s">
        <v>305</v>
      </c>
      <c r="GI15" s="1266"/>
      <c r="GJ15" s="1266"/>
      <c r="GK15" s="1266"/>
      <c r="GL15" s="1266"/>
      <c r="GM15" s="1266"/>
      <c r="GN15" s="1266"/>
      <c r="GO15" s="1266"/>
      <c r="GP15" s="1266"/>
      <c r="GQ15" s="1266"/>
      <c r="GR15" s="1266"/>
      <c r="GS15" s="1266"/>
      <c r="GT15" s="1266"/>
      <c r="GU15" s="1266"/>
      <c r="GV15" s="1266"/>
      <c r="GW15" s="1266"/>
      <c r="GX15" s="1266"/>
      <c r="GY15" s="1266"/>
      <c r="GZ15" s="1266"/>
      <c r="HA15" s="1266"/>
      <c r="HB15" s="1266"/>
      <c r="HC15" s="1266"/>
      <c r="HD15" s="1266"/>
      <c r="HE15" s="1266"/>
      <c r="HF15" s="1266"/>
      <c r="HG15" s="1266"/>
      <c r="HH15" s="1266"/>
      <c r="HI15" s="1266"/>
      <c r="HJ15" s="1266"/>
      <c r="HK15" s="1266"/>
      <c r="HL15" s="1266"/>
      <c r="HM15" s="1266"/>
      <c r="HN15" s="1267"/>
      <c r="HO15" s="1095"/>
      <c r="HP15" s="1095"/>
      <c r="HQ15" s="1095"/>
      <c r="HR15" s="1095"/>
      <c r="HS15" s="1095"/>
      <c r="HT15" s="1095"/>
      <c r="HU15" s="1095"/>
      <c r="HV15" s="1095"/>
      <c r="HW15" s="1095"/>
      <c r="HX15" s="1095"/>
      <c r="HY15" s="1095"/>
      <c r="HZ15" s="1095"/>
      <c r="IA15" s="1095"/>
      <c r="IB15" s="1285"/>
      <c r="IC15" s="1286"/>
      <c r="ID15" s="1286"/>
      <c r="IE15" s="1286"/>
      <c r="IF15" s="1286"/>
      <c r="IG15" s="1286"/>
      <c r="IH15" s="1286"/>
      <c r="II15" s="1286"/>
      <c r="IJ15" s="1286"/>
      <c r="IK15" s="1286"/>
      <c r="IL15" s="1286"/>
      <c r="IM15" s="1286"/>
      <c r="IN15" s="1286"/>
      <c r="IO15" s="1286"/>
      <c r="IP15" s="1286"/>
      <c r="IQ15" s="1286"/>
      <c r="IR15" s="1286"/>
      <c r="IS15" s="1286"/>
      <c r="IT15" s="1286"/>
      <c r="IU15" s="1286"/>
      <c r="IV15" s="1286"/>
      <c r="IW15" s="1286"/>
      <c r="IX15" s="1286"/>
      <c r="IY15" s="1286"/>
      <c r="IZ15" s="1286"/>
      <c r="JA15" s="1286"/>
      <c r="JB15" s="1286"/>
      <c r="JC15" s="1286"/>
      <c r="JD15" s="1286"/>
      <c r="JE15" s="1286"/>
      <c r="JF15" s="1286"/>
      <c r="JG15" s="1286"/>
      <c r="JH15" s="1287"/>
      <c r="JI15" s="1095"/>
      <c r="JJ15" s="1095"/>
      <c r="JK15" s="1095"/>
      <c r="JL15" s="1095"/>
      <c r="JM15" s="1095"/>
      <c r="JN15" s="1095"/>
      <c r="JO15" s="1095"/>
      <c r="JP15" s="1095"/>
      <c r="JQ15" s="1095"/>
      <c r="JR15" s="1095"/>
      <c r="JS15" s="1095"/>
      <c r="JT15" s="1095"/>
      <c r="JU15" s="1095"/>
      <c r="JV15" s="1291"/>
      <c r="JW15" s="1292"/>
      <c r="JX15" s="1292"/>
      <c r="JY15" s="1292"/>
      <c r="JZ15" s="1292"/>
      <c r="KA15" s="1292"/>
      <c r="KB15" s="1292"/>
      <c r="KC15" s="1292"/>
      <c r="KD15" s="1292"/>
      <c r="KE15" s="1292"/>
      <c r="KF15" s="1292"/>
      <c r="KG15" s="1292"/>
      <c r="KH15" s="1292"/>
      <c r="KI15" s="1292"/>
      <c r="KJ15" s="1292"/>
      <c r="KK15" s="1292"/>
      <c r="KL15" s="1292"/>
      <c r="KM15" s="1292"/>
      <c r="KN15" s="1292"/>
      <c r="KO15" s="1292"/>
      <c r="KP15" s="1292"/>
      <c r="KQ15" s="1292"/>
      <c r="KR15" s="1292"/>
      <c r="KS15" s="1292"/>
      <c r="KT15" s="1292"/>
      <c r="KU15" s="1292"/>
      <c r="KV15" s="1292"/>
      <c r="KW15" s="1292"/>
      <c r="KX15" s="1292"/>
      <c r="KY15" s="1292"/>
      <c r="KZ15" s="1292"/>
      <c r="LA15" s="1292"/>
      <c r="LB15" s="1293"/>
      <c r="LC15" s="1095"/>
      <c r="LD15" s="1095"/>
      <c r="LE15" s="1095"/>
      <c r="LF15" s="1095"/>
      <c r="LG15" s="1095"/>
      <c r="LH15" s="1095"/>
      <c r="LI15" s="1095"/>
      <c r="LJ15" s="1095"/>
      <c r="LK15" s="1095"/>
      <c r="LL15" s="1095"/>
      <c r="LM15" s="1095"/>
      <c r="LN15" s="1095"/>
      <c r="LO15" s="1095"/>
      <c r="LP15" s="1271"/>
      <c r="LQ15" s="1272"/>
      <c r="LR15" s="1272"/>
      <c r="LS15" s="1272"/>
      <c r="LT15" s="1272"/>
      <c r="LU15" s="1272"/>
      <c r="LV15" s="1272"/>
      <c r="LW15" s="1272"/>
      <c r="LX15" s="1272"/>
      <c r="LY15" s="1272"/>
      <c r="LZ15" s="1272"/>
      <c r="MA15" s="1272"/>
      <c r="MB15" s="1272"/>
      <c r="MC15" s="1272"/>
      <c r="MD15" s="1272"/>
      <c r="ME15" s="1272"/>
      <c r="MF15" s="1272"/>
      <c r="MG15" s="1272"/>
      <c r="MH15" s="1272"/>
      <c r="MI15" s="1272"/>
      <c r="MJ15" s="1272"/>
      <c r="MK15" s="1272"/>
      <c r="ML15" s="1272"/>
      <c r="MM15" s="1272"/>
      <c r="MN15" s="1272"/>
      <c r="MO15" s="1272"/>
      <c r="MP15" s="1272"/>
      <c r="MQ15" s="1272"/>
      <c r="MR15" s="1272"/>
      <c r="MS15" s="1272"/>
      <c r="MT15" s="1272"/>
      <c r="MU15" s="1272"/>
      <c r="MV15" s="1273"/>
      <c r="MW15" s="1095"/>
      <c r="MX15" s="1095"/>
      <c r="MY15" s="1095"/>
      <c r="MZ15" s="1095"/>
      <c r="NA15" s="1095"/>
      <c r="NB15" s="1095"/>
      <c r="NC15" s="1095"/>
      <c r="ND15" s="1095"/>
      <c r="NE15" s="1095"/>
      <c r="NF15" s="1095"/>
      <c r="NG15" s="1095"/>
      <c r="NH15" s="1095"/>
      <c r="NI15" s="1095"/>
      <c r="NJ15" s="1249"/>
      <c r="NK15" s="1250"/>
      <c r="NL15" s="1250"/>
      <c r="NM15" s="1250"/>
      <c r="NN15" s="1250"/>
      <c r="NO15" s="1250"/>
      <c r="NP15" s="1250"/>
      <c r="NQ15" s="1250"/>
      <c r="NR15" s="1250"/>
      <c r="NS15" s="1250"/>
      <c r="NT15" s="1250"/>
      <c r="NU15" s="1250"/>
      <c r="NV15" s="1250"/>
      <c r="NW15" s="1250"/>
      <c r="NX15" s="1250"/>
      <c r="NY15" s="1250"/>
      <c r="NZ15" s="1250"/>
      <c r="OA15" s="1250"/>
      <c r="OB15" s="1250"/>
      <c r="OC15" s="1250"/>
      <c r="OD15" s="1250"/>
      <c r="OE15" s="1250"/>
      <c r="OF15" s="1250"/>
      <c r="OG15" s="1250"/>
      <c r="OH15" s="1250"/>
      <c r="OI15" s="1250"/>
      <c r="OJ15" s="1250"/>
      <c r="OK15" s="1251"/>
      <c r="OL15" s="1095"/>
      <c r="OM15" s="1095"/>
      <c r="ON15" s="1095"/>
      <c r="OO15" s="1095"/>
      <c r="OP15" s="1095"/>
      <c r="OQ15" s="1095"/>
      <c r="OR15" s="1095"/>
      <c r="OS15" s="1095"/>
      <c r="OT15" s="1095"/>
      <c r="OU15" s="1095"/>
      <c r="OV15" s="1095"/>
      <c r="OW15" s="1095"/>
      <c r="OX15" s="1095"/>
      <c r="OY15" s="1254"/>
      <c r="OZ15" s="1255"/>
      <c r="PA15" s="1255"/>
      <c r="PB15" s="1255"/>
      <c r="PC15" s="1255"/>
      <c r="PD15" s="1255"/>
      <c r="PE15" s="1255"/>
      <c r="PF15" s="1255"/>
      <c r="PG15" s="1255"/>
      <c r="PH15" s="1255"/>
      <c r="PI15" s="1255"/>
      <c r="PJ15" s="1255"/>
      <c r="PK15" s="1255"/>
      <c r="PL15" s="1255"/>
      <c r="PM15" s="1255"/>
      <c r="PN15" s="1255"/>
      <c r="PO15" s="1255"/>
      <c r="PP15" s="1255"/>
      <c r="PQ15" s="1255"/>
      <c r="PR15" s="1255"/>
      <c r="PS15" s="1255"/>
      <c r="PT15" s="1255"/>
      <c r="PU15" s="1255"/>
      <c r="PV15" s="1255"/>
      <c r="PW15" s="1255"/>
      <c r="PX15" s="1255"/>
      <c r="PY15" s="1255"/>
      <c r="PZ15" s="1255"/>
      <c r="QA15" s="1255"/>
      <c r="QB15" s="1255"/>
      <c r="QC15" s="1255"/>
      <c r="QD15" s="1255"/>
      <c r="QE15" s="1255"/>
      <c r="QF15" s="1097"/>
      <c r="QG15" s="1097"/>
      <c r="QH15" s="1095"/>
      <c r="QI15" s="1095"/>
      <c r="QJ15" s="1095"/>
      <c r="QK15" s="1095"/>
      <c r="QL15" s="1095"/>
      <c r="QM15" s="1095"/>
      <c r="QN15" s="1095"/>
      <c r="QO15" s="1095"/>
      <c r="QP15" s="1095"/>
      <c r="QQ15" s="1095"/>
      <c r="QR15" s="1095"/>
      <c r="QS15" s="1095"/>
      <c r="QT15" s="1095"/>
      <c r="QU15" s="166"/>
    </row>
    <row r="16" spans="1:465" s="51" customFormat="1" hidden="1" outlineLevel="1">
      <c r="A16" s="1299"/>
      <c r="B16" s="173">
        <v>44105</v>
      </c>
      <c r="C16" s="173">
        <v>44136</v>
      </c>
      <c r="D16" s="173">
        <v>44166</v>
      </c>
      <c r="E16" s="173" t="s">
        <v>1157</v>
      </c>
      <c r="F16" s="211">
        <v>44197</v>
      </c>
      <c r="G16" s="211">
        <v>44228</v>
      </c>
      <c r="H16" s="211">
        <v>44228</v>
      </c>
      <c r="I16" s="211">
        <v>44256</v>
      </c>
      <c r="J16" s="211">
        <v>44256</v>
      </c>
      <c r="K16" s="211">
        <v>44287</v>
      </c>
      <c r="L16" s="211">
        <v>44287</v>
      </c>
      <c r="M16" s="211">
        <v>44317</v>
      </c>
      <c r="N16" s="211">
        <v>44317</v>
      </c>
      <c r="O16" s="211">
        <v>44348</v>
      </c>
      <c r="P16" s="211">
        <v>44348</v>
      </c>
      <c r="Q16" s="211">
        <v>44378</v>
      </c>
      <c r="R16" s="211">
        <v>44378</v>
      </c>
      <c r="S16" s="211">
        <v>44409</v>
      </c>
      <c r="T16" s="211">
        <v>44409</v>
      </c>
      <c r="U16" s="211">
        <v>44440</v>
      </c>
      <c r="V16" s="211">
        <v>44440</v>
      </c>
      <c r="W16" s="211">
        <v>44440</v>
      </c>
      <c r="X16" s="211">
        <v>44470</v>
      </c>
      <c r="Y16" s="211">
        <v>44470</v>
      </c>
      <c r="Z16" s="211">
        <v>44470</v>
      </c>
      <c r="AA16" s="211">
        <v>44501</v>
      </c>
      <c r="AB16" s="211">
        <v>44501</v>
      </c>
      <c r="AC16" s="211">
        <v>44501</v>
      </c>
      <c r="AD16" s="211">
        <v>44531</v>
      </c>
      <c r="AE16" s="211">
        <v>44531</v>
      </c>
      <c r="AF16" s="211">
        <v>44531</v>
      </c>
      <c r="AG16" s="169" t="s">
        <v>1185</v>
      </c>
      <c r="AH16" s="169" t="s">
        <v>1186</v>
      </c>
      <c r="AI16" s="169" t="s">
        <v>1187</v>
      </c>
      <c r="AJ16" s="169" t="s">
        <v>1188</v>
      </c>
      <c r="AK16" s="169" t="s">
        <v>1205</v>
      </c>
      <c r="AL16" s="169" t="s">
        <v>1205</v>
      </c>
      <c r="AM16" s="169"/>
      <c r="AN16" s="169"/>
      <c r="AO16" s="169"/>
      <c r="AP16" s="169"/>
      <c r="AQ16" s="169"/>
      <c r="AR16" s="169"/>
      <c r="AS16" s="169"/>
      <c r="AT16" s="169"/>
      <c r="AU16" s="169"/>
      <c r="AV16" s="169"/>
      <c r="AW16" s="169"/>
      <c r="AX16" s="169"/>
      <c r="AY16" s="169"/>
      <c r="AZ16" s="211">
        <v>44197</v>
      </c>
      <c r="BA16" s="211">
        <v>44228</v>
      </c>
      <c r="BB16" s="211">
        <v>44228</v>
      </c>
      <c r="BC16" s="211">
        <v>44256</v>
      </c>
      <c r="BD16" s="211">
        <v>44256</v>
      </c>
      <c r="BE16" s="211">
        <v>44287</v>
      </c>
      <c r="BF16" s="211">
        <v>44287</v>
      </c>
      <c r="BG16" s="211">
        <v>44317</v>
      </c>
      <c r="BH16" s="211">
        <v>44317</v>
      </c>
      <c r="BI16" s="211">
        <v>44348</v>
      </c>
      <c r="BJ16" s="211">
        <v>44348</v>
      </c>
      <c r="BK16" s="211">
        <v>44378</v>
      </c>
      <c r="BL16" s="211">
        <v>44378</v>
      </c>
      <c r="BM16" s="211">
        <v>44409</v>
      </c>
      <c r="BN16" s="211">
        <v>44409</v>
      </c>
      <c r="BO16" s="211">
        <v>44440</v>
      </c>
      <c r="BP16" s="211">
        <v>44440</v>
      </c>
      <c r="BQ16" s="211">
        <v>44440</v>
      </c>
      <c r="BR16" s="211">
        <v>44470</v>
      </c>
      <c r="BS16" s="211">
        <v>44470</v>
      </c>
      <c r="BT16" s="211">
        <v>44470</v>
      </c>
      <c r="BU16" s="211">
        <v>44501</v>
      </c>
      <c r="BV16" s="211">
        <v>44501</v>
      </c>
      <c r="BW16" s="211">
        <v>44501</v>
      </c>
      <c r="BX16" s="211">
        <v>44531</v>
      </c>
      <c r="BY16" s="211">
        <v>44531</v>
      </c>
      <c r="BZ16" s="211">
        <v>44531</v>
      </c>
      <c r="CA16" s="169" t="s">
        <v>1185</v>
      </c>
      <c r="CB16" s="169" t="s">
        <v>1186</v>
      </c>
      <c r="CC16" s="169" t="s">
        <v>1187</v>
      </c>
      <c r="CD16" s="169" t="s">
        <v>1188</v>
      </c>
      <c r="CE16" s="169" t="s">
        <v>1205</v>
      </c>
      <c r="CF16" s="169" t="s">
        <v>1205</v>
      </c>
      <c r="CG16" s="169"/>
      <c r="CH16" s="169"/>
      <c r="CI16" s="169"/>
      <c r="CJ16" s="169"/>
      <c r="CK16" s="169"/>
      <c r="CL16" s="169"/>
      <c r="CM16" s="169"/>
      <c r="CN16" s="169"/>
      <c r="CO16" s="169"/>
      <c r="CP16" s="169"/>
      <c r="CQ16" s="169"/>
      <c r="CR16" s="169"/>
      <c r="CS16" s="169"/>
      <c r="CT16" s="211">
        <v>44197</v>
      </c>
      <c r="CU16" s="211">
        <v>44228</v>
      </c>
      <c r="CV16" s="211">
        <v>44228</v>
      </c>
      <c r="CW16" s="211">
        <v>44256</v>
      </c>
      <c r="CX16" s="211">
        <v>44256</v>
      </c>
      <c r="CY16" s="211">
        <v>44287</v>
      </c>
      <c r="CZ16" s="211">
        <v>44287</v>
      </c>
      <c r="DA16" s="211">
        <v>44317</v>
      </c>
      <c r="DB16" s="211">
        <v>44317</v>
      </c>
      <c r="DC16" s="211">
        <v>44348</v>
      </c>
      <c r="DD16" s="211">
        <v>44348</v>
      </c>
      <c r="DE16" s="211">
        <v>44378</v>
      </c>
      <c r="DF16" s="211">
        <v>44378</v>
      </c>
      <c r="DG16" s="211">
        <v>44409</v>
      </c>
      <c r="DH16" s="211">
        <v>44409</v>
      </c>
      <c r="DI16" s="211">
        <v>44440</v>
      </c>
      <c r="DJ16" s="211">
        <v>44440</v>
      </c>
      <c r="DK16" s="211">
        <v>44440</v>
      </c>
      <c r="DL16" s="211">
        <v>44470</v>
      </c>
      <c r="DM16" s="211">
        <v>44470</v>
      </c>
      <c r="DN16" s="211">
        <v>44470</v>
      </c>
      <c r="DO16" s="211">
        <v>44501</v>
      </c>
      <c r="DP16" s="211">
        <v>44501</v>
      </c>
      <c r="DQ16" s="211">
        <v>44501</v>
      </c>
      <c r="DR16" s="211">
        <v>44531</v>
      </c>
      <c r="DS16" s="211">
        <v>44531</v>
      </c>
      <c r="DT16" s="211">
        <v>44531</v>
      </c>
      <c r="DU16" s="169" t="s">
        <v>1185</v>
      </c>
      <c r="DV16" s="169" t="s">
        <v>1186</v>
      </c>
      <c r="DW16" s="169" t="s">
        <v>1187</v>
      </c>
      <c r="DX16" s="169" t="s">
        <v>1188</v>
      </c>
      <c r="DY16" s="169" t="s">
        <v>1205</v>
      </c>
      <c r="DZ16" s="169" t="s">
        <v>1205</v>
      </c>
      <c r="EA16" s="169"/>
      <c r="EB16" s="169"/>
      <c r="EC16" s="169"/>
      <c r="ED16" s="169"/>
      <c r="EE16" s="169"/>
      <c r="EF16" s="169"/>
      <c r="EG16" s="169"/>
      <c r="EH16" s="169"/>
      <c r="EI16" s="169"/>
      <c r="EJ16" s="169"/>
      <c r="EK16" s="169"/>
      <c r="EL16" s="169"/>
      <c r="EM16" s="169"/>
      <c r="EN16" s="211">
        <v>44197</v>
      </c>
      <c r="EO16" s="211">
        <v>44228</v>
      </c>
      <c r="EP16" s="211">
        <v>44228</v>
      </c>
      <c r="EQ16" s="211">
        <v>44256</v>
      </c>
      <c r="ER16" s="211">
        <v>44256</v>
      </c>
      <c r="ES16" s="211">
        <v>44287</v>
      </c>
      <c r="ET16" s="211">
        <v>44287</v>
      </c>
      <c r="EU16" s="211">
        <v>44317</v>
      </c>
      <c r="EV16" s="211">
        <v>44317</v>
      </c>
      <c r="EW16" s="211">
        <v>44348</v>
      </c>
      <c r="EX16" s="211">
        <v>44348</v>
      </c>
      <c r="EY16" s="211">
        <v>44378</v>
      </c>
      <c r="EZ16" s="211">
        <v>44378</v>
      </c>
      <c r="FA16" s="211">
        <v>44409</v>
      </c>
      <c r="FB16" s="211">
        <v>44409</v>
      </c>
      <c r="FC16" s="211">
        <v>44440</v>
      </c>
      <c r="FD16" s="211">
        <v>44440</v>
      </c>
      <c r="FE16" s="211">
        <v>44440</v>
      </c>
      <c r="FF16" s="211">
        <v>44470</v>
      </c>
      <c r="FG16" s="211">
        <v>44470</v>
      </c>
      <c r="FH16" s="211">
        <v>44470</v>
      </c>
      <c r="FI16" s="211">
        <v>44501</v>
      </c>
      <c r="FJ16" s="211">
        <v>44501</v>
      </c>
      <c r="FK16" s="211">
        <v>44501</v>
      </c>
      <c r="FL16" s="211">
        <v>44531</v>
      </c>
      <c r="FM16" s="211">
        <v>44531</v>
      </c>
      <c r="FN16" s="211">
        <v>44531</v>
      </c>
      <c r="FO16" s="169" t="s">
        <v>1185</v>
      </c>
      <c r="FP16" s="169" t="s">
        <v>1186</v>
      </c>
      <c r="FQ16" s="169" t="s">
        <v>1187</v>
      </c>
      <c r="FR16" s="169" t="s">
        <v>1188</v>
      </c>
      <c r="FS16" s="169" t="s">
        <v>1205</v>
      </c>
      <c r="FT16" s="169" t="s">
        <v>1205</v>
      </c>
      <c r="FU16" s="169"/>
      <c r="FV16" s="169"/>
      <c r="FW16" s="169"/>
      <c r="FX16" s="169"/>
      <c r="FY16" s="169"/>
      <c r="FZ16" s="169"/>
      <c r="GA16" s="169"/>
      <c r="GB16" s="169"/>
      <c r="GC16" s="169"/>
      <c r="GD16" s="169"/>
      <c r="GE16" s="169"/>
      <c r="GF16" s="169"/>
      <c r="GG16" s="169"/>
      <c r="GH16" s="211">
        <v>44197</v>
      </c>
      <c r="GI16" s="211">
        <v>44228</v>
      </c>
      <c r="GJ16" s="211">
        <v>44228</v>
      </c>
      <c r="GK16" s="211">
        <v>44256</v>
      </c>
      <c r="GL16" s="211">
        <v>44256</v>
      </c>
      <c r="GM16" s="211">
        <v>44287</v>
      </c>
      <c r="GN16" s="211">
        <v>44287</v>
      </c>
      <c r="GO16" s="211">
        <v>44317</v>
      </c>
      <c r="GP16" s="211">
        <v>44317</v>
      </c>
      <c r="GQ16" s="211">
        <v>44348</v>
      </c>
      <c r="GR16" s="211">
        <v>44348</v>
      </c>
      <c r="GS16" s="211">
        <v>44378</v>
      </c>
      <c r="GT16" s="211">
        <v>44378</v>
      </c>
      <c r="GU16" s="211">
        <v>44409</v>
      </c>
      <c r="GV16" s="211">
        <v>44409</v>
      </c>
      <c r="GW16" s="211">
        <v>44440</v>
      </c>
      <c r="GX16" s="211">
        <v>44440</v>
      </c>
      <c r="GY16" s="211">
        <v>44440</v>
      </c>
      <c r="GZ16" s="211">
        <v>44470</v>
      </c>
      <c r="HA16" s="211">
        <v>44470</v>
      </c>
      <c r="HB16" s="211">
        <v>44470</v>
      </c>
      <c r="HC16" s="211">
        <v>44501</v>
      </c>
      <c r="HD16" s="211">
        <v>44501</v>
      </c>
      <c r="HE16" s="211">
        <v>44501</v>
      </c>
      <c r="HF16" s="211">
        <v>44531</v>
      </c>
      <c r="HG16" s="211">
        <v>44531</v>
      </c>
      <c r="HH16" s="211">
        <v>44531</v>
      </c>
      <c r="HI16" s="169" t="s">
        <v>1185</v>
      </c>
      <c r="HJ16" s="169" t="s">
        <v>1186</v>
      </c>
      <c r="HK16" s="169" t="s">
        <v>1187</v>
      </c>
      <c r="HL16" s="169" t="s">
        <v>1188</v>
      </c>
      <c r="HM16" s="169" t="s">
        <v>1205</v>
      </c>
      <c r="HN16" s="169" t="s">
        <v>1205</v>
      </c>
      <c r="HO16" s="169"/>
      <c r="HP16" s="169"/>
      <c r="HQ16" s="169"/>
      <c r="HR16" s="169"/>
      <c r="HS16" s="169"/>
      <c r="HT16" s="169"/>
      <c r="HU16" s="169"/>
      <c r="HV16" s="169"/>
      <c r="HW16" s="169"/>
      <c r="HX16" s="169"/>
      <c r="HY16" s="169"/>
      <c r="HZ16" s="169"/>
      <c r="IA16" s="169"/>
      <c r="IB16" s="211">
        <v>44197</v>
      </c>
      <c r="IC16" s="211">
        <v>44228</v>
      </c>
      <c r="ID16" s="211">
        <v>44228</v>
      </c>
      <c r="IE16" s="211">
        <v>44256</v>
      </c>
      <c r="IF16" s="211">
        <v>44256</v>
      </c>
      <c r="IG16" s="211">
        <v>44287</v>
      </c>
      <c r="IH16" s="211">
        <v>44287</v>
      </c>
      <c r="II16" s="211">
        <v>44317</v>
      </c>
      <c r="IJ16" s="211">
        <v>44317</v>
      </c>
      <c r="IK16" s="211">
        <v>44348</v>
      </c>
      <c r="IL16" s="211">
        <v>44348</v>
      </c>
      <c r="IM16" s="211">
        <v>44378</v>
      </c>
      <c r="IN16" s="211">
        <v>44378</v>
      </c>
      <c r="IO16" s="211">
        <v>44409</v>
      </c>
      <c r="IP16" s="211">
        <v>44409</v>
      </c>
      <c r="IQ16" s="211">
        <v>44440</v>
      </c>
      <c r="IR16" s="211">
        <v>44440</v>
      </c>
      <c r="IS16" s="211">
        <v>44440</v>
      </c>
      <c r="IT16" s="211">
        <v>44470</v>
      </c>
      <c r="IU16" s="211">
        <v>44470</v>
      </c>
      <c r="IV16" s="211">
        <v>44470</v>
      </c>
      <c r="IW16" s="211">
        <v>44501</v>
      </c>
      <c r="IX16" s="211">
        <v>44501</v>
      </c>
      <c r="IY16" s="211">
        <v>44501</v>
      </c>
      <c r="IZ16" s="211">
        <v>44531</v>
      </c>
      <c r="JA16" s="211">
        <v>44531</v>
      </c>
      <c r="JB16" s="211">
        <v>44531</v>
      </c>
      <c r="JC16" s="169" t="s">
        <v>1185</v>
      </c>
      <c r="JD16" s="169" t="s">
        <v>1186</v>
      </c>
      <c r="JE16" s="169" t="s">
        <v>1187</v>
      </c>
      <c r="JF16" s="169" t="s">
        <v>1188</v>
      </c>
      <c r="JG16" s="169" t="s">
        <v>1205</v>
      </c>
      <c r="JH16" s="169" t="s">
        <v>1205</v>
      </c>
      <c r="JI16" s="169"/>
      <c r="JJ16" s="169"/>
      <c r="JK16" s="169"/>
      <c r="JL16" s="169"/>
      <c r="JM16" s="169"/>
      <c r="JN16" s="169"/>
      <c r="JO16" s="169"/>
      <c r="JP16" s="169"/>
      <c r="JQ16" s="169"/>
      <c r="JR16" s="169"/>
      <c r="JS16" s="169"/>
      <c r="JT16" s="169"/>
      <c r="JU16" s="169"/>
      <c r="JV16" s="211">
        <v>44197</v>
      </c>
      <c r="JW16" s="211">
        <v>44228</v>
      </c>
      <c r="JX16" s="211">
        <v>44228</v>
      </c>
      <c r="JY16" s="211">
        <v>44256</v>
      </c>
      <c r="JZ16" s="211">
        <v>44256</v>
      </c>
      <c r="KA16" s="211">
        <v>44287</v>
      </c>
      <c r="KB16" s="211">
        <v>44287</v>
      </c>
      <c r="KC16" s="211">
        <v>44317</v>
      </c>
      <c r="KD16" s="211">
        <v>44317</v>
      </c>
      <c r="KE16" s="211">
        <v>44348</v>
      </c>
      <c r="KF16" s="211">
        <v>44348</v>
      </c>
      <c r="KG16" s="211">
        <v>44378</v>
      </c>
      <c r="KH16" s="211">
        <v>44378</v>
      </c>
      <c r="KI16" s="211">
        <v>44409</v>
      </c>
      <c r="KJ16" s="211">
        <v>44409</v>
      </c>
      <c r="KK16" s="211">
        <v>44440</v>
      </c>
      <c r="KL16" s="211">
        <v>44440</v>
      </c>
      <c r="KM16" s="211">
        <v>44440</v>
      </c>
      <c r="KN16" s="211">
        <v>44470</v>
      </c>
      <c r="KO16" s="211">
        <v>44470</v>
      </c>
      <c r="KP16" s="211">
        <v>44470</v>
      </c>
      <c r="KQ16" s="211">
        <v>44501</v>
      </c>
      <c r="KR16" s="211">
        <v>44501</v>
      </c>
      <c r="KS16" s="211">
        <v>44501</v>
      </c>
      <c r="KT16" s="211">
        <v>44531</v>
      </c>
      <c r="KU16" s="211">
        <v>44531</v>
      </c>
      <c r="KV16" s="211">
        <v>44531</v>
      </c>
      <c r="KW16" s="169" t="s">
        <v>1185</v>
      </c>
      <c r="KX16" s="169" t="s">
        <v>1186</v>
      </c>
      <c r="KY16" s="169" t="s">
        <v>1187</v>
      </c>
      <c r="KZ16" s="169" t="s">
        <v>1188</v>
      </c>
      <c r="LA16" s="169" t="s">
        <v>1205</v>
      </c>
      <c r="LB16" s="169" t="s">
        <v>1205</v>
      </c>
      <c r="LC16" s="169"/>
      <c r="LD16" s="169"/>
      <c r="LE16" s="169"/>
      <c r="LF16" s="169"/>
      <c r="LG16" s="169"/>
      <c r="LH16" s="169"/>
      <c r="LI16" s="169"/>
      <c r="LJ16" s="169"/>
      <c r="LK16" s="169"/>
      <c r="LL16" s="169"/>
      <c r="LM16" s="169"/>
      <c r="LN16" s="169"/>
      <c r="LO16" s="169"/>
      <c r="LP16" s="211">
        <v>44197</v>
      </c>
      <c r="LQ16" s="211">
        <v>44228</v>
      </c>
      <c r="LR16" s="211">
        <v>44228</v>
      </c>
      <c r="LS16" s="211">
        <v>44256</v>
      </c>
      <c r="LT16" s="211">
        <v>44256</v>
      </c>
      <c r="LU16" s="211">
        <v>44287</v>
      </c>
      <c r="LV16" s="211">
        <v>44287</v>
      </c>
      <c r="LW16" s="211">
        <v>44317</v>
      </c>
      <c r="LX16" s="211">
        <v>44317</v>
      </c>
      <c r="LY16" s="211">
        <v>44348</v>
      </c>
      <c r="LZ16" s="211">
        <v>44348</v>
      </c>
      <c r="MA16" s="211">
        <v>44378</v>
      </c>
      <c r="MB16" s="211">
        <v>44378</v>
      </c>
      <c r="MC16" s="211">
        <v>44409</v>
      </c>
      <c r="MD16" s="211">
        <v>44409</v>
      </c>
      <c r="ME16" s="211">
        <v>44440</v>
      </c>
      <c r="MF16" s="211">
        <v>44440</v>
      </c>
      <c r="MG16" s="211">
        <v>44440</v>
      </c>
      <c r="MH16" s="211">
        <v>44470</v>
      </c>
      <c r="MI16" s="211">
        <v>44470</v>
      </c>
      <c r="MJ16" s="211">
        <v>44470</v>
      </c>
      <c r="MK16" s="211">
        <v>44501</v>
      </c>
      <c r="ML16" s="211">
        <v>44501</v>
      </c>
      <c r="MM16" s="211">
        <v>44501</v>
      </c>
      <c r="MN16" s="211">
        <v>44531</v>
      </c>
      <c r="MO16" s="211">
        <v>44531</v>
      </c>
      <c r="MP16" s="211">
        <v>44531</v>
      </c>
      <c r="MQ16" s="169" t="s">
        <v>1185</v>
      </c>
      <c r="MR16" s="169" t="s">
        <v>1186</v>
      </c>
      <c r="MS16" s="169" t="s">
        <v>1187</v>
      </c>
      <c r="MT16" s="169" t="s">
        <v>1188</v>
      </c>
      <c r="MU16" s="169" t="s">
        <v>1205</v>
      </c>
      <c r="MV16" s="169" t="s">
        <v>1205</v>
      </c>
      <c r="MW16" s="169"/>
      <c r="MX16" s="169"/>
      <c r="MY16" s="169"/>
      <c r="MZ16" s="169"/>
      <c r="NA16" s="169"/>
      <c r="NB16" s="169"/>
      <c r="NC16" s="169"/>
      <c r="ND16" s="169"/>
      <c r="NE16" s="169"/>
      <c r="NF16" s="169"/>
      <c r="NG16" s="169"/>
      <c r="NH16" s="169"/>
      <c r="NI16" s="169"/>
      <c r="NJ16" s="211">
        <v>44197</v>
      </c>
      <c r="NK16" s="211">
        <v>44228</v>
      </c>
      <c r="NL16" s="211">
        <v>44228</v>
      </c>
      <c r="NM16" s="211">
        <v>44256</v>
      </c>
      <c r="NN16" s="211">
        <v>44256</v>
      </c>
      <c r="NO16" s="211">
        <v>44287</v>
      </c>
      <c r="NP16" s="211">
        <v>44287</v>
      </c>
      <c r="NQ16" s="211">
        <v>44317</v>
      </c>
      <c r="NR16" s="211">
        <v>44317</v>
      </c>
      <c r="NS16" s="211">
        <v>44348</v>
      </c>
      <c r="NT16" s="211">
        <v>44348</v>
      </c>
      <c r="NU16" s="211">
        <v>44378</v>
      </c>
      <c r="NV16" s="211">
        <v>44378</v>
      </c>
      <c r="NW16" s="211">
        <v>44409</v>
      </c>
      <c r="NX16" s="211">
        <v>44409</v>
      </c>
      <c r="NY16" s="211">
        <v>44440</v>
      </c>
      <c r="NZ16" s="211">
        <v>44440</v>
      </c>
      <c r="OA16" s="211">
        <v>44470</v>
      </c>
      <c r="OB16" s="211">
        <v>44470</v>
      </c>
      <c r="OC16" s="211">
        <v>44501</v>
      </c>
      <c r="OD16" s="211">
        <v>44501</v>
      </c>
      <c r="OE16" s="211">
        <v>44531</v>
      </c>
      <c r="OF16" s="211">
        <v>44531</v>
      </c>
      <c r="OG16" s="169" t="s">
        <v>1185</v>
      </c>
      <c r="OH16" s="169" t="s">
        <v>1186</v>
      </c>
      <c r="OI16" s="169" t="s">
        <v>1187</v>
      </c>
      <c r="OJ16" s="169" t="s">
        <v>1188</v>
      </c>
      <c r="OK16" s="169" t="s">
        <v>1205</v>
      </c>
      <c r="OL16" s="169"/>
      <c r="OM16" s="169"/>
      <c r="ON16" s="169"/>
      <c r="OO16" s="169"/>
      <c r="OP16" s="169"/>
      <c r="OQ16" s="169"/>
      <c r="OR16" s="169"/>
      <c r="OS16" s="169"/>
      <c r="OT16" s="169"/>
      <c r="OU16" s="169"/>
      <c r="OV16" s="169"/>
      <c r="OW16" s="169"/>
      <c r="OX16" s="169"/>
      <c r="OY16" s="211">
        <v>44197</v>
      </c>
      <c r="OZ16" s="211">
        <v>44228</v>
      </c>
      <c r="PA16" s="211">
        <v>44228</v>
      </c>
      <c r="PB16" s="211">
        <v>44256</v>
      </c>
      <c r="PC16" s="211">
        <v>44256</v>
      </c>
      <c r="PD16" s="211">
        <v>44287</v>
      </c>
      <c r="PE16" s="211">
        <v>44287</v>
      </c>
      <c r="PF16" s="211">
        <v>44317</v>
      </c>
      <c r="PG16" s="211">
        <v>44317</v>
      </c>
      <c r="PH16" s="211">
        <v>44348</v>
      </c>
      <c r="PI16" s="211">
        <v>44348</v>
      </c>
      <c r="PJ16" s="211">
        <v>44378</v>
      </c>
      <c r="PK16" s="211">
        <v>44378</v>
      </c>
      <c r="PL16" s="211">
        <v>44409</v>
      </c>
      <c r="PM16" s="211">
        <v>44409</v>
      </c>
      <c r="PN16" s="211">
        <v>44440</v>
      </c>
      <c r="PO16" s="211">
        <v>44440</v>
      </c>
      <c r="PP16" s="211">
        <v>44440</v>
      </c>
      <c r="PQ16" s="211">
        <v>44470</v>
      </c>
      <c r="PR16" s="211">
        <v>44470</v>
      </c>
      <c r="PS16" s="211">
        <v>44470</v>
      </c>
      <c r="PT16" s="211">
        <v>44501</v>
      </c>
      <c r="PU16" s="211">
        <v>44501</v>
      </c>
      <c r="PV16" s="211">
        <v>44501</v>
      </c>
      <c r="PW16" s="211">
        <v>44531</v>
      </c>
      <c r="PX16" s="211">
        <v>44531</v>
      </c>
      <c r="PY16" s="211">
        <v>44531</v>
      </c>
      <c r="PZ16" s="169" t="s">
        <v>1185</v>
      </c>
      <c r="QA16" s="169" t="s">
        <v>1186</v>
      </c>
      <c r="QB16" s="169" t="s">
        <v>1187</v>
      </c>
      <c r="QC16" s="169" t="s">
        <v>1188</v>
      </c>
      <c r="QD16" s="169" t="s">
        <v>1205</v>
      </c>
      <c r="QE16" s="169" t="s">
        <v>1205</v>
      </c>
      <c r="QF16" s="684"/>
      <c r="QG16" s="684"/>
      <c r="QH16" s="169"/>
      <c r="QI16" s="169"/>
      <c r="QJ16" s="169"/>
      <c r="QK16" s="169"/>
      <c r="QL16" s="169"/>
      <c r="QM16" s="169"/>
      <c r="QN16" s="169"/>
      <c r="QO16" s="169"/>
      <c r="QP16" s="169"/>
      <c r="QQ16" s="169"/>
      <c r="QR16" s="169"/>
      <c r="QS16" s="169"/>
      <c r="QT16" s="169"/>
      <c r="QU16" s="166"/>
    </row>
    <row r="17" spans="1:463" hidden="1" outlineLevel="1">
      <c r="A17" s="143" t="s">
        <v>303</v>
      </c>
      <c r="B17" s="143"/>
      <c r="C17" s="143"/>
      <c r="D17" s="143"/>
      <c r="E17" s="143"/>
      <c r="F17" s="157">
        <f>'BUDGET REVENUE CML 2021-2025'!Y119/10^6</f>
        <v>4585.1697891774193</v>
      </c>
      <c r="G17" s="157">
        <f>H17</f>
        <v>4591.8355577274187</v>
      </c>
      <c r="H17" s="157">
        <f>'BUDGET REVENUE CML 2021-2025'!Z119/10^6</f>
        <v>4591.8355577274187</v>
      </c>
      <c r="I17" s="157">
        <f>J17</f>
        <v>4891.8355577274187</v>
      </c>
      <c r="J17" s="157">
        <f>'BUDGET REVENUE CML 2021-2025'!AA119/10^6</f>
        <v>4891.8355577274187</v>
      </c>
      <c r="K17" s="157">
        <f>L17</f>
        <v>5121.8355577274187</v>
      </c>
      <c r="L17" s="157">
        <f>'BUDGET REVENUE CML 2021-2025'!AB119/10^6</f>
        <v>5121.8355577274187</v>
      </c>
      <c r="M17" s="157">
        <f>N17</f>
        <v>5121.8355577274187</v>
      </c>
      <c r="N17" s="157">
        <f>'BUDGET REVENUE CML 2021-2025'!AC119/10^6</f>
        <v>5121.8355577274187</v>
      </c>
      <c r="O17" s="157">
        <f>P17</f>
        <v>5121.8355577274187</v>
      </c>
      <c r="P17" s="578">
        <f>'BUDGET REVENUE CML 2021-2025'!AD119/10^6</f>
        <v>5121.8355577274187</v>
      </c>
      <c r="Q17" s="157">
        <f>R7</f>
        <v>5121.8355577274187</v>
      </c>
      <c r="R17" s="174">
        <f>Q17</f>
        <v>5121.8355577274187</v>
      </c>
      <c r="S17" s="157">
        <f>T7</f>
        <v>5121.8355577274187</v>
      </c>
      <c r="T17" s="174">
        <f>S17</f>
        <v>5121.8355577274187</v>
      </c>
      <c r="U17" s="578">
        <f>V7</f>
        <v>5121.8355577274187</v>
      </c>
      <c r="V17" s="174">
        <f>U17</f>
        <v>5121.8355577274187</v>
      </c>
      <c r="W17" s="578">
        <f>V7</f>
        <v>5121.8355577274187</v>
      </c>
      <c r="X17" s="578">
        <f>Y7</f>
        <v>5121.8355577274187</v>
      </c>
      <c r="Y17" s="174">
        <f>X17</f>
        <v>5121.8355577274187</v>
      </c>
      <c r="Z17" s="578">
        <f>Y7</f>
        <v>5121.8355577274187</v>
      </c>
      <c r="AA17" s="578">
        <f>AB7</f>
        <v>5121.8355577274187</v>
      </c>
      <c r="AB17" s="174">
        <f>AA17</f>
        <v>5121.8355577274187</v>
      </c>
      <c r="AC17" s="578">
        <f>AB7</f>
        <v>5121.8355577274187</v>
      </c>
      <c r="AD17" s="578">
        <f>AE7</f>
        <v>5121.8355577274187</v>
      </c>
      <c r="AE17" s="174">
        <f>AD17</f>
        <v>5121.8355577274187</v>
      </c>
      <c r="AF17" s="578">
        <f>AE7</f>
        <v>5121.8355577274187</v>
      </c>
      <c r="AG17" s="170">
        <f>SUM(F17,G17,J17)</f>
        <v>14068.840904632256</v>
      </c>
      <c r="AH17" s="170">
        <f>SUM(K17,M17,O17)</f>
        <v>15365.506673182255</v>
      </c>
      <c r="AI17" s="170">
        <f>SUM(Q17,S17,V7)</f>
        <v>15365.506673182255</v>
      </c>
      <c r="AJ17" s="170">
        <f>SUM(Y7,AB7,AE7)</f>
        <v>15365.506673182255</v>
      </c>
      <c r="AK17" s="170">
        <f>AG17+AH17+AI17+AJ17</f>
        <v>60165.360924179025</v>
      </c>
      <c r="AL17" s="170">
        <f>F17+G17+I17+K17+M17+O17+Q17+S17+W17+Z17+AC17+AF17</f>
        <v>60165.360924179033</v>
      </c>
      <c r="AM17" s="170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57">
        <f>'BUDGET REVENUE CML 2021-2025'!Y288/10^6</f>
        <v>3594.6315458406411</v>
      </c>
      <c r="BA17" s="157">
        <f>BB17</f>
        <v>5194.6315458406407</v>
      </c>
      <c r="BB17" s="157">
        <f>'BUDGET REVENUE CML 2021-2025'!Z288/10^6</f>
        <v>5194.6315458406407</v>
      </c>
      <c r="BC17" s="157">
        <f>BD17</f>
        <v>3594.6315458406411</v>
      </c>
      <c r="BD17" s="157">
        <f>'BUDGET REVENUE CML 2021-2025'!AA288/10^6</f>
        <v>3594.6315458406411</v>
      </c>
      <c r="BE17" s="157">
        <f>BF17</f>
        <v>3594.6315458406411</v>
      </c>
      <c r="BF17" s="157">
        <f>'BUDGET REVENUE CML 2021-2025'!AB288/10^6</f>
        <v>3594.6315458406411</v>
      </c>
      <c r="BG17" s="157">
        <f>BH17</f>
        <v>5194.6315458406407</v>
      </c>
      <c r="BH17" s="157">
        <f>'BUDGET REVENUE CML 2021-2025'!AC288/10^6</f>
        <v>5194.6315458406407</v>
      </c>
      <c r="BI17" s="157">
        <f>BJ17</f>
        <v>3774.6315458406411</v>
      </c>
      <c r="BJ17" s="157">
        <f>'BUDGET REVENUE CML 2021-2025'!AD288/10^6</f>
        <v>3774.6315458406411</v>
      </c>
      <c r="BK17" s="157">
        <f>BL7</f>
        <v>3753.6315458406411</v>
      </c>
      <c r="BM17" s="157">
        <f>BN7</f>
        <v>5353.6315458406407</v>
      </c>
      <c r="BO17" s="157">
        <f>BP7</f>
        <v>3933.6315458406411</v>
      </c>
      <c r="BQ17" s="578">
        <f>BP7</f>
        <v>3933.6315458406411</v>
      </c>
      <c r="BR17" s="157">
        <f>BS7</f>
        <v>3753.6315458406411</v>
      </c>
      <c r="BS17" s="174">
        <f>BR17</f>
        <v>3753.6315458406411</v>
      </c>
      <c r="BT17" s="578">
        <f>BS7</f>
        <v>3753.6315458406411</v>
      </c>
      <c r="BU17" s="157">
        <f>BV7</f>
        <v>3753.6315458406411</v>
      </c>
      <c r="BV17" s="174">
        <f>BU17</f>
        <v>3753.6315458406411</v>
      </c>
      <c r="BW17" s="578">
        <f>BV7</f>
        <v>3753.6315458406411</v>
      </c>
      <c r="BX17" s="157">
        <f>BY7</f>
        <v>5533.6315458406407</v>
      </c>
      <c r="BY17" s="174">
        <f>BX17</f>
        <v>5533.6315458406407</v>
      </c>
      <c r="BZ17" s="578">
        <f>BY7</f>
        <v>5533.6315458406407</v>
      </c>
      <c r="CA17" s="170">
        <f>SUM(AZ17,BA17,BD17)</f>
        <v>12383.894637521922</v>
      </c>
      <c r="CB17" s="170">
        <f>SUM(BE17,BG17,BI17)</f>
        <v>12563.894637521922</v>
      </c>
      <c r="CC17" s="170">
        <f>SUM(BK17,BM17,BP7)</f>
        <v>13040.894637521922</v>
      </c>
      <c r="CD17" s="170">
        <f>SUM(BS7,BV7,BY7)</f>
        <v>13040.894637521924</v>
      </c>
      <c r="CE17" s="170">
        <f>CA17+CB17+CC17+CD17</f>
        <v>51029.578550087688</v>
      </c>
      <c r="CF17" s="170">
        <f>AZ17+BA17+BC17+BE17+BG17+BI17+BK17+BM17+BQ17+BT17+BW17+BZ17</f>
        <v>51029.578550087681</v>
      </c>
      <c r="CG17" s="170"/>
      <c r="CH17" s="170"/>
      <c r="CI17" s="170"/>
      <c r="CJ17" s="170"/>
      <c r="CK17" s="170"/>
      <c r="CL17" s="170"/>
      <c r="CM17" s="170"/>
      <c r="CN17" s="170"/>
      <c r="CO17" s="170"/>
      <c r="CP17" s="170"/>
      <c r="CQ17" s="170"/>
      <c r="CR17" s="170"/>
      <c r="CS17" s="170"/>
      <c r="CT17" s="157">
        <f>'BUDGET REVENUE CLI 2021-2025'!H58/10^6</f>
        <v>1096.4000000000001</v>
      </c>
      <c r="CU17" s="157">
        <f>CV17</f>
        <v>1096.4000000000001</v>
      </c>
      <c r="CV17" s="157">
        <f>'BUDGET REVENUE CLI 2021-2025'!I58/10^6</f>
        <v>1096.4000000000001</v>
      </c>
      <c r="CW17" s="157">
        <f>CX17</f>
        <v>1096.4000000000001</v>
      </c>
      <c r="CX17" s="157">
        <f>'BUDGET REVENUE CLI 2021-2025'!J58/10^6</f>
        <v>1096.4000000000001</v>
      </c>
      <c r="CY17" s="157">
        <f>CZ17</f>
        <v>1096.4000000000001</v>
      </c>
      <c r="CZ17" s="157">
        <f>'BUDGET REVENUE CLI 2021-2025'!K58/10^6</f>
        <v>1096.4000000000001</v>
      </c>
      <c r="DA17" s="157">
        <f>DB17</f>
        <v>1233.45</v>
      </c>
      <c r="DB17" s="157">
        <f>'BUDGET REVENUE CLI 2021-2025'!L58/10^6</f>
        <v>1233.45</v>
      </c>
      <c r="DC17" s="157">
        <f>DD17</f>
        <v>1233.45</v>
      </c>
      <c r="DD17" s="157">
        <f>'BUDGET REVENUE CLI 2021-2025'!M58/10^6</f>
        <v>1233.45</v>
      </c>
      <c r="DE17" s="157">
        <f>DF17</f>
        <v>1233.45</v>
      </c>
      <c r="DF17" s="157">
        <f>'BUDGET REVENUE CLI 2021-2025'!N58/10^6</f>
        <v>1233.45</v>
      </c>
      <c r="DG17" s="157">
        <f>DH17</f>
        <v>1233.45</v>
      </c>
      <c r="DH17" s="157">
        <f>'BUDGET REVENUE CLI 2021-2025'!O58/10^6</f>
        <v>1233.45</v>
      </c>
      <c r="DI17" s="157">
        <f>DJ17</f>
        <v>1781.65</v>
      </c>
      <c r="DJ17" s="157">
        <f>'BUDGET REVENUE CLI 2021-2025'!P58/10^6</f>
        <v>1781.65</v>
      </c>
      <c r="DK17" s="578">
        <f>DJ17</f>
        <v>1781.65</v>
      </c>
      <c r="DL17" s="157">
        <f>DM17</f>
        <v>1781.65</v>
      </c>
      <c r="DM17" s="157">
        <f>'BUDGET REVENUE CLI 2021-2025'!Q58/10^6</f>
        <v>1781.65</v>
      </c>
      <c r="DN17" s="578">
        <f>DM17</f>
        <v>1781.65</v>
      </c>
      <c r="DO17" s="157">
        <f>DP17</f>
        <v>1781.65</v>
      </c>
      <c r="DP17" s="157">
        <f>'BUDGET REVENUE CLI 2021-2025'!R58/10^6</f>
        <v>1781.65</v>
      </c>
      <c r="DQ17" s="578">
        <f>DP17</f>
        <v>1781.65</v>
      </c>
      <c r="DR17" s="157">
        <f>DS17</f>
        <v>1781.65</v>
      </c>
      <c r="DS17" s="157">
        <f>'BUDGET REVENUE CLI 2021-2025'!S58/10^6</f>
        <v>1781.65</v>
      </c>
      <c r="DT17" s="578">
        <f>DS17</f>
        <v>1781.65</v>
      </c>
      <c r="DU17" s="170">
        <f>SUM(CT17,CU17,CW17)</f>
        <v>3289.2000000000003</v>
      </c>
      <c r="DV17" s="170">
        <f>SUM(CY17,DA17,DC17)</f>
        <v>3563.3</v>
      </c>
      <c r="DW17" s="170">
        <f>SUM(DE17,DG17,DJ17)</f>
        <v>4248.55</v>
      </c>
      <c r="DX17" s="170">
        <f>SUM(DM17,DP17,DS17)</f>
        <v>5344.9500000000007</v>
      </c>
      <c r="DY17" s="170">
        <f>DU17+DV17+DW17+DX17</f>
        <v>16446</v>
      </c>
      <c r="DZ17" s="170">
        <f>CT17+CU17+CW17+CY17+DA17+DC17+DE17+DG17+DK17+DN17+DQ17+DT17</f>
        <v>16446</v>
      </c>
      <c r="EA17" s="170"/>
      <c r="EB17" s="170"/>
      <c r="EC17" s="170"/>
      <c r="ED17" s="170"/>
      <c r="EE17" s="170"/>
      <c r="EF17" s="170"/>
      <c r="EG17" s="170"/>
      <c r="EH17" s="170"/>
      <c r="EI17" s="170"/>
      <c r="EJ17" s="170"/>
      <c r="EK17" s="170"/>
      <c r="EL17" s="170"/>
      <c r="EM17" s="170"/>
      <c r="EN17" s="157">
        <f>'BUDGET REVENUE BP 2021-2025'!BN240/1000000</f>
        <v>6480.8324990000001</v>
      </c>
      <c r="EO17" s="157">
        <f>EP17</f>
        <v>6480.8324990000001</v>
      </c>
      <c r="EP17" s="157">
        <f>'BUDGET REVENUE BP 2021-2025'!BO240/1000000</f>
        <v>6480.8324990000001</v>
      </c>
      <c r="EQ17" s="157">
        <f>ER17</f>
        <v>6880.8324990000001</v>
      </c>
      <c r="ER17" s="157">
        <f>'BUDGET REVENUE BP 2021-2025'!BP240/1000000</f>
        <v>6880.8324990000001</v>
      </c>
      <c r="ES17" s="157">
        <f>ET17</f>
        <v>7213.2394990000003</v>
      </c>
      <c r="ET17" s="157">
        <f>'BUDGET REVENUE BP 2021-2025'!BQ240/1000000</f>
        <v>7213.2394990000003</v>
      </c>
      <c r="EU17" s="157">
        <f>EV17</f>
        <v>5621.6392919999998</v>
      </c>
      <c r="EV17" s="157">
        <f>'BUDGET REVENUE BP 2021-2025'!BR240/1000000</f>
        <v>5621.6392919999998</v>
      </c>
      <c r="EW17" s="157">
        <f>EX17</f>
        <v>6391.7394990000003</v>
      </c>
      <c r="EX17" s="157">
        <f>'BUDGET REVENUE BP 2021-2025'!BS240/1000000</f>
        <v>6391.7394990000003</v>
      </c>
      <c r="EY17" s="157">
        <f>EZ17</f>
        <v>6923.2394990000003</v>
      </c>
      <c r="EZ17" s="157">
        <f>'BUDGET REVENUE BP 2021-2025'!BT240/1000000</f>
        <v>6923.2394990000003</v>
      </c>
      <c r="FA17" s="157">
        <f>FB17</f>
        <v>7123.2394990000003</v>
      </c>
      <c r="FB17" s="157">
        <f>'BUDGET REVENUE BP 2021-2025'!BU240/1000000</f>
        <v>7123.2394990000003</v>
      </c>
      <c r="FC17" s="157">
        <f>FD17</f>
        <v>7313.2394990000003</v>
      </c>
      <c r="FD17" s="157">
        <f>'BUDGET REVENUE BP 2021-2025'!BV240/1000000</f>
        <v>7313.2394990000003</v>
      </c>
      <c r="FE17" s="578">
        <f>FD17</f>
        <v>7313.2394990000003</v>
      </c>
      <c r="FF17" s="157">
        <f>FG17</f>
        <v>7423.2394990000003</v>
      </c>
      <c r="FG17" s="157">
        <f>'BUDGET REVENUE BP 2021-2025'!BW240/1000000</f>
        <v>7423.2394990000003</v>
      </c>
      <c r="FH17" s="578">
        <f>FG17</f>
        <v>7423.2394990000003</v>
      </c>
      <c r="FI17" s="157">
        <f>FJ17</f>
        <v>7263.2394990000003</v>
      </c>
      <c r="FJ17" s="157">
        <f>'BUDGET REVENUE BP 2021-2025'!BX240/1000000</f>
        <v>7263.2394990000003</v>
      </c>
      <c r="FK17" s="578">
        <f>FJ17</f>
        <v>7263.2394990000003</v>
      </c>
      <c r="FL17" s="157">
        <f>FM17</f>
        <v>7263.2394990000003</v>
      </c>
      <c r="FM17" s="157">
        <f>'BUDGET REVENUE BP 2021-2025'!BY240/1000000</f>
        <v>7263.2394990000003</v>
      </c>
      <c r="FN17" s="578">
        <f>FM17</f>
        <v>7263.2394990000003</v>
      </c>
      <c r="FO17" s="170">
        <f>SUM(EN17,EO17,ER17)</f>
        <v>19842.497497</v>
      </c>
      <c r="FP17" s="170">
        <f>SUM(ES17,EU17,EW17)</f>
        <v>19226.618289999999</v>
      </c>
      <c r="FQ17" s="170">
        <f>SUM(EY17,FA17,FD17)</f>
        <v>21359.718497000002</v>
      </c>
      <c r="FR17" s="170">
        <f>SUM(FG17,FJ17,FM17)</f>
        <v>21949.718497000002</v>
      </c>
      <c r="FS17" s="170">
        <f>FO17+FP17+FQ17+FR17</f>
        <v>82378.552781000006</v>
      </c>
      <c r="FT17" s="170">
        <f>EN17+EO17+EQ17+ES17+EU17+EW17+EY17+FA17+FE17+FH17+FK17+FN17</f>
        <v>82378.55278100002</v>
      </c>
      <c r="FU17" s="170"/>
      <c r="FV17" s="170"/>
      <c r="FW17" s="170"/>
      <c r="FX17" s="170"/>
      <c r="FY17" s="170"/>
      <c r="FZ17" s="170"/>
      <c r="GA17" s="170"/>
      <c r="GB17" s="170"/>
      <c r="GC17" s="170"/>
      <c r="GD17" s="170"/>
      <c r="GE17" s="170"/>
      <c r="GF17" s="170"/>
      <c r="GG17" s="170"/>
      <c r="GH17" s="157">
        <f>'BUDGET REVENUE BP 2021-2025'!BN833/1000000</f>
        <v>0</v>
      </c>
      <c r="GI17" s="157">
        <f>GJ17</f>
        <v>0</v>
      </c>
      <c r="GJ17" s="157">
        <f>'BUDGET REVENUE BP 2021-2025'!BO833/1000000</f>
        <v>0</v>
      </c>
      <c r="GK17" s="157">
        <f>GL17</f>
        <v>0</v>
      </c>
      <c r="GL17" s="157">
        <f>'BUDGET REVENUE BP 2021-2025'!BP833/1000000</f>
        <v>0</v>
      </c>
      <c r="GM17" s="157">
        <f>GN17</f>
        <v>0</v>
      </c>
      <c r="GN17" s="157">
        <f>'BUDGET REVENUE BP 2021-2025'!BQ833/1000000</f>
        <v>0</v>
      </c>
      <c r="GO17" s="157">
        <f>GP17</f>
        <v>0</v>
      </c>
      <c r="GP17" s="157">
        <f>'BUDGET REVENUE BP 2021-2025'!BR833/1000000</f>
        <v>0</v>
      </c>
      <c r="GQ17" s="157">
        <f>GR17</f>
        <v>0</v>
      </c>
      <c r="GR17" s="157">
        <f>'BUDGET REVENUE BP 2021-2025'!BS833/1000000</f>
        <v>0</v>
      </c>
      <c r="GS17" s="157">
        <f>GT17</f>
        <v>0</v>
      </c>
      <c r="GT17" s="157">
        <f>'BUDGET REVENUE BP 2021-2025'!BT833/1000000</f>
        <v>0</v>
      </c>
      <c r="GU17" s="157">
        <f>GV17</f>
        <v>0</v>
      </c>
      <c r="GV17" s="157">
        <f>'BUDGET REVENUE BP 2021-2025'!BU833/1000000</f>
        <v>0</v>
      </c>
      <c r="GW17" s="157">
        <f>GX17</f>
        <v>0</v>
      </c>
      <c r="GX17" s="157">
        <f>'BUDGET REVENUE BP 2021-2025'!BV833/1000000</f>
        <v>0</v>
      </c>
      <c r="GY17" s="578">
        <f>GX17</f>
        <v>0</v>
      </c>
      <c r="GZ17" s="157">
        <f>HA17</f>
        <v>0</v>
      </c>
      <c r="HA17" s="157">
        <f>'BUDGET REVENUE BP 2021-2025'!BW833/1000000</f>
        <v>0</v>
      </c>
      <c r="HB17" s="578">
        <f>HA17</f>
        <v>0</v>
      </c>
      <c r="HC17" s="157">
        <f>HD17</f>
        <v>0</v>
      </c>
      <c r="HD17" s="157">
        <f>'BUDGET REVENUE BP 2021-2025'!BX833/1000000</f>
        <v>0</v>
      </c>
      <c r="HE17" s="578">
        <f>HD17</f>
        <v>0</v>
      </c>
      <c r="HF17" s="157">
        <f>HG17</f>
        <v>0</v>
      </c>
      <c r="HG17" s="157">
        <f>'BUDGET REVENUE BP 2021-2025'!BY833/1000000</f>
        <v>0</v>
      </c>
      <c r="HH17" s="578">
        <f>HG17</f>
        <v>0</v>
      </c>
      <c r="HI17" s="170">
        <f>SUM(GH17,GI17,GL17)</f>
        <v>0</v>
      </c>
      <c r="HJ17" s="170">
        <f>SUM(GM17,GO17,GQ17)</f>
        <v>0</v>
      </c>
      <c r="HK17" s="170">
        <f>SUM(GS17,GU17,GX17)</f>
        <v>0</v>
      </c>
      <c r="HL17" s="170">
        <f>SUM(HA17,HD17,HG17)</f>
        <v>0</v>
      </c>
      <c r="HM17" s="170">
        <f>HI17+HJ17+HK17+HL17</f>
        <v>0</v>
      </c>
      <c r="HN17" s="170">
        <f>GH17+GI17+GK17+GM17+GO17+GQ17+GS17+GU17+GY17+HB17+HE17+HH17</f>
        <v>0</v>
      </c>
      <c r="HO17" s="170"/>
      <c r="HP17" s="170"/>
      <c r="HQ17" s="170"/>
      <c r="HR17" s="170"/>
      <c r="HS17" s="170"/>
      <c r="HT17" s="170"/>
      <c r="HU17" s="170"/>
      <c r="HV17" s="170"/>
      <c r="HW17" s="170"/>
      <c r="HX17" s="170"/>
      <c r="HY17" s="170"/>
      <c r="HZ17" s="170"/>
      <c r="IA17" s="170"/>
      <c r="IB17" s="157">
        <f>'BUDGET REVENUE BP 2021-2025'!BN624/1000000</f>
        <v>2984</v>
      </c>
      <c r="IC17" s="157">
        <f>ID17</f>
        <v>2980.5</v>
      </c>
      <c r="ID17" s="157">
        <f>'BUDGET REVENUE BP 2021-2025'!BO624/1000000</f>
        <v>2980.5</v>
      </c>
      <c r="IE17" s="157">
        <f>IF17</f>
        <v>2983.5</v>
      </c>
      <c r="IF17" s="157">
        <f>'BUDGET REVENUE BP 2021-2025'!BP624/1000000</f>
        <v>2983.5</v>
      </c>
      <c r="IG17" s="157">
        <f>IH17</f>
        <v>2970.5</v>
      </c>
      <c r="IH17" s="157">
        <f>'BUDGET REVENUE BP 2021-2025'!BQ624/1000000</f>
        <v>2970.5</v>
      </c>
      <c r="II17" s="157">
        <f>IJ17</f>
        <v>3130.5</v>
      </c>
      <c r="IJ17" s="157">
        <f>'BUDGET REVENUE BP 2021-2025'!BR624/1000000</f>
        <v>3130.5</v>
      </c>
      <c r="IK17" s="157">
        <f>IL17</f>
        <v>3129</v>
      </c>
      <c r="IL17" s="157">
        <f>'BUDGET REVENUE BP 2021-2025'!BS624/1000000</f>
        <v>3129</v>
      </c>
      <c r="IM17" s="157">
        <f>IN17</f>
        <v>3134</v>
      </c>
      <c r="IN17" s="157">
        <f>'BUDGET REVENUE BP 2021-2025'!BT624/1000000</f>
        <v>3134</v>
      </c>
      <c r="IO17" s="157">
        <f>IP17</f>
        <v>3140.5</v>
      </c>
      <c r="IP17" s="157">
        <f>'BUDGET REVENUE BP 2021-2025'!BU624/1000000</f>
        <v>3140.5</v>
      </c>
      <c r="IQ17" s="157">
        <f>IR17</f>
        <v>3133.5</v>
      </c>
      <c r="IR17" s="157">
        <f>'BUDGET REVENUE BP 2021-2025'!BV624/1000000</f>
        <v>3133.5</v>
      </c>
      <c r="IS17" s="578">
        <f>IR17</f>
        <v>3133.5</v>
      </c>
      <c r="IT17" s="157">
        <f>IU17</f>
        <v>3134</v>
      </c>
      <c r="IU17" s="157">
        <f>'BUDGET REVENUE BP 2021-2025'!BW624/1000000</f>
        <v>3134</v>
      </c>
      <c r="IV17" s="578">
        <f>IU17</f>
        <v>3134</v>
      </c>
      <c r="IW17" s="157">
        <f>IX17</f>
        <v>3130.5</v>
      </c>
      <c r="IX17" s="157">
        <f>'BUDGET REVENUE BP 2021-2025'!BX624/1000000</f>
        <v>3130.5</v>
      </c>
      <c r="IY17" s="578">
        <f>IX17</f>
        <v>3130.5</v>
      </c>
      <c r="IZ17" s="157">
        <f>JA17</f>
        <v>3137.5</v>
      </c>
      <c r="JA17" s="157">
        <f>'BUDGET REVENUE BP 2021-2025'!BY624/1000000</f>
        <v>3137.5</v>
      </c>
      <c r="JB17" s="578">
        <f>JA17</f>
        <v>3137.5</v>
      </c>
      <c r="JC17" s="170">
        <f>SUM(IB17,IC17,IF17)</f>
        <v>8948</v>
      </c>
      <c r="JD17" s="170">
        <f>SUM(IG17,II17,IK17)</f>
        <v>9230</v>
      </c>
      <c r="JE17" s="170">
        <f>SUM(IM17,IO17,IR17)</f>
        <v>9408</v>
      </c>
      <c r="JF17" s="170">
        <f>SUM(IU17,IX17,JA17)</f>
        <v>9402</v>
      </c>
      <c r="JG17" s="170">
        <f>JC17+JD17+JE17+JF17</f>
        <v>36988</v>
      </c>
      <c r="JH17" s="170">
        <f>IB17+IC17+IE17+IG17+II17+IK17+IM17+IO17+IS17+IV17+IY17+JB17</f>
        <v>36988</v>
      </c>
      <c r="JI17" s="170"/>
      <c r="JJ17" s="170"/>
      <c r="JK17" s="170"/>
      <c r="JL17" s="170"/>
      <c r="JM17" s="170"/>
      <c r="JN17" s="170"/>
      <c r="JO17" s="170"/>
      <c r="JP17" s="170"/>
      <c r="JQ17" s="170"/>
      <c r="JR17" s="170"/>
      <c r="JS17" s="170"/>
      <c r="JT17" s="170"/>
      <c r="JU17" s="170"/>
      <c r="JV17" s="157">
        <f>'BUDGET REVENUE TBS 2021'!E68</f>
        <v>2967.4739788728771</v>
      </c>
      <c r="JW17" s="157">
        <f>JX17</f>
        <v>2784.1141888200591</v>
      </c>
      <c r="JX17" s="157">
        <f>'BUDGET REVENUE TBS 2021'!G68</f>
        <v>2784.1141888200591</v>
      </c>
      <c r="JY17" s="157">
        <f>JZ17</f>
        <v>2895.7584992921093</v>
      </c>
      <c r="JZ17" s="157">
        <f>'BUDGET REVENUE TBS 2021'!I68</f>
        <v>2895.7584992921093</v>
      </c>
      <c r="KA17" s="157">
        <f>KB17</f>
        <v>2858.4069205403393</v>
      </c>
      <c r="KB17" s="157">
        <f>'BUDGET REVENUE TBS 2021'!M68</f>
        <v>2858.4069205403393</v>
      </c>
      <c r="KC17" s="157">
        <f>KD17</f>
        <v>3075.2094628416903</v>
      </c>
      <c r="KD17" s="157">
        <f>'BUDGET REVENUE TBS 2021'!O68</f>
        <v>3075.2094628416903</v>
      </c>
      <c r="KE17" s="157">
        <f>KF17</f>
        <v>3024.3661364987947</v>
      </c>
      <c r="KF17" s="157">
        <f>'BUDGET REVENUE TBS 2021'!R68</f>
        <v>3024.3661364987947</v>
      </c>
      <c r="KG17" s="157">
        <f>KH17</f>
        <v>3038.5269518400414</v>
      </c>
      <c r="KH17" s="157">
        <f>'BUDGET REVENUE TBS 2021'!X68</f>
        <v>3038.5269518400414</v>
      </c>
      <c r="KI17" s="157">
        <f>KJ17</f>
        <v>3065.1919192196415</v>
      </c>
      <c r="KJ17" s="157">
        <f>'BUDGET REVENUE TBS 2021'!AA68</f>
        <v>3065.1919192196415</v>
      </c>
      <c r="KK17" s="157">
        <f>KL17</f>
        <v>3226.8610490176907</v>
      </c>
      <c r="KL17" s="157">
        <f>'BUDGET REVENUE TBS 2021'!AD68</f>
        <v>3226.8610490176907</v>
      </c>
      <c r="KM17" s="578">
        <f>KL17</f>
        <v>3226.8610490176907</v>
      </c>
      <c r="KN17" s="157">
        <f>KO17</f>
        <v>3390.0343516402345</v>
      </c>
      <c r="KO17" s="157">
        <f>'BUDGET REVENUE TBS 2021'!AK68</f>
        <v>3390.0343516402345</v>
      </c>
      <c r="KP17" s="578">
        <f>KO17</f>
        <v>3390.0343516402345</v>
      </c>
      <c r="KQ17" s="157">
        <f>KR17</f>
        <v>3402.7118375193349</v>
      </c>
      <c r="KR17" s="157">
        <f>'BUDGET REVENUE TBS 2021'!AO68</f>
        <v>3402.7118375193349</v>
      </c>
      <c r="KS17" s="578">
        <f>KR17</f>
        <v>3402.7118375193349</v>
      </c>
      <c r="KT17" s="157">
        <f>KU17</f>
        <v>3431.8935171131334</v>
      </c>
      <c r="KU17" s="157">
        <f>'BUDGET REVENUE TBS 2021'!AS68</f>
        <v>3431.8935171131334</v>
      </c>
      <c r="KV17" s="578">
        <f>KU17</f>
        <v>3431.8935171131334</v>
      </c>
      <c r="KW17" s="170">
        <f>SUM(JV17,JW17,JZ17)</f>
        <v>8647.3466669850459</v>
      </c>
      <c r="KX17" s="170">
        <f>SUM(KA17,KC17,KE17)</f>
        <v>8957.9825198808248</v>
      </c>
      <c r="KY17" s="170">
        <f>SUM(KG17,KI17,KL17)</f>
        <v>9330.5799200773727</v>
      </c>
      <c r="KZ17" s="170">
        <f>SUM(KO17,KR17,KU17)</f>
        <v>10224.639706272703</v>
      </c>
      <c r="LA17" s="170">
        <f>KW17+KX17+KY17+KZ17</f>
        <v>37160.548813215944</v>
      </c>
      <c r="LB17" s="170">
        <f>JV17+JW17+JY17+KA17+KC17+KE17+KG17+KI17+KM17+KP17+KS17+KV17</f>
        <v>37160.548813215944</v>
      </c>
      <c r="LC17" s="170"/>
      <c r="LD17" s="170"/>
      <c r="LE17" s="170"/>
      <c r="LF17" s="170"/>
      <c r="LG17" s="170"/>
      <c r="LH17" s="170"/>
      <c r="LI17" s="170"/>
      <c r="LJ17" s="170"/>
      <c r="LK17" s="170"/>
      <c r="LL17" s="170"/>
      <c r="LM17" s="170"/>
      <c r="LN17" s="170"/>
      <c r="LO17" s="170"/>
      <c r="LP17" s="578">
        <v>1765.4932143404997</v>
      </c>
      <c r="LQ17" s="581">
        <f>LR17</f>
        <v>1765.4932143404997</v>
      </c>
      <c r="LR17" s="578">
        <v>1765.4932143404997</v>
      </c>
      <c r="LS17" s="581">
        <f>LT17</f>
        <v>1765.4932143404997</v>
      </c>
      <c r="LT17" s="578">
        <v>1765.4932143404997</v>
      </c>
      <c r="LU17" s="581">
        <f>LV17</f>
        <v>1765.4932143404997</v>
      </c>
      <c r="LV17" s="578">
        <v>1765.4932143404997</v>
      </c>
      <c r="LW17" s="581">
        <f>LX17</f>
        <v>1765.4932143404997</v>
      </c>
      <c r="LX17" s="578">
        <v>1765.4932143404997</v>
      </c>
      <c r="LY17" s="581">
        <f>LZ17</f>
        <v>1765.4932143404997</v>
      </c>
      <c r="LZ17" s="578">
        <v>1765.4932143404997</v>
      </c>
      <c r="MA17" s="581">
        <f>MB17</f>
        <v>1765.4932143404997</v>
      </c>
      <c r="MB17" s="578">
        <v>1765.4932143404997</v>
      </c>
      <c r="MC17" s="581">
        <f>MD17</f>
        <v>1765.4932143404997</v>
      </c>
      <c r="MD17" s="578">
        <v>1765.4932143404997</v>
      </c>
      <c r="ME17" s="581">
        <f>MF17</f>
        <v>1765.4932143404997</v>
      </c>
      <c r="MF17" s="578">
        <v>1765.4932143404997</v>
      </c>
      <c r="MG17" s="578">
        <f>MF17</f>
        <v>1765.4932143404997</v>
      </c>
      <c r="MH17" s="581">
        <f>MI17</f>
        <v>1765.4932143404997</v>
      </c>
      <c r="MI17" s="578">
        <v>1765.4932143404997</v>
      </c>
      <c r="MJ17" s="578">
        <f>MI17</f>
        <v>1765.4932143404997</v>
      </c>
      <c r="MK17" s="581">
        <f>ML17</f>
        <v>1765.4932143404997</v>
      </c>
      <c r="ML17" s="578">
        <v>1765.4932143404997</v>
      </c>
      <c r="MM17" s="578">
        <f>ML17</f>
        <v>1765.4932143404997</v>
      </c>
      <c r="MN17" s="581">
        <f>MO17</f>
        <v>1765.4932143404997</v>
      </c>
      <c r="MO17" s="578">
        <v>1765.4932143404997</v>
      </c>
      <c r="MP17" s="578">
        <f>MO17</f>
        <v>1765.4932143404997</v>
      </c>
      <c r="MQ17" s="170">
        <f>SUM(LP17,LQ17,LT17)</f>
        <v>5296.4796430214992</v>
      </c>
      <c r="MR17" s="170">
        <f>SUM(LU17,LW17,LY17)</f>
        <v>5296.4796430214992</v>
      </c>
      <c r="MS17" s="170">
        <f>SUM(MA17,MC17,MF17)</f>
        <v>5296.4796430214992</v>
      </c>
      <c r="MT17" s="170">
        <f>SUM(MI17,ML17,MO17)</f>
        <v>5296.4796430214992</v>
      </c>
      <c r="MU17" s="170">
        <f>MQ17+MR17+MS17+MT17</f>
        <v>21185.918572085997</v>
      </c>
      <c r="MV17" s="170">
        <f>LP17+LQ17+LS17+LU17+LW17+LY17+MA17+MC17+MG17+MJ17+MM17+MP17</f>
        <v>21185.918572085997</v>
      </c>
      <c r="MW17" s="170"/>
      <c r="MX17" s="170"/>
      <c r="MY17" s="170"/>
      <c r="MZ17" s="170"/>
      <c r="NA17" s="170"/>
      <c r="NB17" s="170"/>
      <c r="NC17" s="170"/>
      <c r="ND17" s="170"/>
      <c r="NE17" s="170"/>
      <c r="NF17" s="170"/>
      <c r="NG17" s="170"/>
      <c r="NH17" s="170"/>
      <c r="NI17" s="170"/>
      <c r="NJ17" s="157">
        <v>-991.20391151596402</v>
      </c>
      <c r="NK17" s="157">
        <f>NL17</f>
        <v>-1100.46704628414</v>
      </c>
      <c r="NL17" s="157">
        <v>-1100.46704628414</v>
      </c>
      <c r="NM17" s="157">
        <f>NN17</f>
        <v>-1108.6523454020501</v>
      </c>
      <c r="NN17" s="157">
        <v>-1108.6523454020501</v>
      </c>
      <c r="NO17" s="157">
        <f>NP17</f>
        <v>-1109.8270620124799</v>
      </c>
      <c r="NP17" s="157">
        <v>-1109.8270620124799</v>
      </c>
      <c r="NQ17" s="157">
        <f>NR17</f>
        <v>-1088.8905734499299</v>
      </c>
      <c r="NR17" s="157">
        <v>-1088.8905734499299</v>
      </c>
      <c r="NS17" s="157">
        <f>NT17</f>
        <v>-1059.00518434623</v>
      </c>
      <c r="NT17" s="157">
        <v>-1059.00518434623</v>
      </c>
      <c r="NU17" s="157">
        <f>NV17</f>
        <v>-1061.33927421095</v>
      </c>
      <c r="NV17" s="157">
        <v>-1061.33927421095</v>
      </c>
      <c r="NW17" s="157">
        <f>NX17</f>
        <v>-1171.4024445256</v>
      </c>
      <c r="NX17" s="157">
        <v>-1171.4024445256</v>
      </c>
      <c r="NY17" s="157">
        <f>NZ17</f>
        <v>-1139.34973912635</v>
      </c>
      <c r="NZ17" s="157">
        <v>-1139.34973912635</v>
      </c>
      <c r="OA17" s="157">
        <f>OB17</f>
        <v>-1143.97857335661</v>
      </c>
      <c r="OB17" s="157">
        <v>-1143.97857335661</v>
      </c>
      <c r="OC17" s="157">
        <f>OD17</f>
        <v>-1162.39459878912</v>
      </c>
      <c r="OD17" s="157">
        <v>-1162.39459878912</v>
      </c>
      <c r="OE17" s="157">
        <f>OF17</f>
        <v>-1130.9643490446799</v>
      </c>
      <c r="OF17" s="157">
        <v>-1130.9643490446799</v>
      </c>
      <c r="OG17" s="170">
        <f>SUM(NJ17,NK17,NN17)</f>
        <v>-3200.3233032021544</v>
      </c>
      <c r="OH17" s="170">
        <f>SUM(NO17,NQ17,NS17)</f>
        <v>-3257.7228198086395</v>
      </c>
      <c r="OI17" s="170">
        <f>SUM(NU17,NW17,NZ17)</f>
        <v>-3372.0914578628999</v>
      </c>
      <c r="OJ17" s="170">
        <f>SUM(OB17,OD17,OF17)</f>
        <v>-3437.3375211904095</v>
      </c>
      <c r="OK17" s="170">
        <f>OG17+OH17+OI17+OJ17</f>
        <v>-13267.475102064103</v>
      </c>
      <c r="OL17" s="170"/>
      <c r="OM17" s="170"/>
      <c r="ON17" s="170"/>
      <c r="OO17" s="170"/>
      <c r="OP17" s="170"/>
      <c r="OQ17" s="170"/>
      <c r="OR17" s="170"/>
      <c r="OS17" s="170"/>
      <c r="OT17" s="170"/>
      <c r="OU17" s="170"/>
      <c r="OV17" s="170"/>
      <c r="OW17" s="170"/>
      <c r="OX17" s="170"/>
      <c r="OY17" s="157">
        <f t="shared" ref="OY17:PJ20" si="25">SUM(F17,AZ17,CT17,EN17,GH17,IB17,JV17,LP17,NJ17)</f>
        <v>22482.797115715472</v>
      </c>
      <c r="OZ17" s="157">
        <f t="shared" si="25"/>
        <v>23793.339959444475</v>
      </c>
      <c r="PA17" s="157">
        <f t="shared" si="25"/>
        <v>23793.339959444475</v>
      </c>
      <c r="PB17" s="157">
        <f t="shared" si="25"/>
        <v>22999.798970798616</v>
      </c>
      <c r="PC17" s="157">
        <f t="shared" si="25"/>
        <v>22999.798970798616</v>
      </c>
      <c r="PD17" s="157">
        <f t="shared" si="25"/>
        <v>23510.679675436419</v>
      </c>
      <c r="PE17" s="157">
        <f t="shared" si="25"/>
        <v>23510.679675436419</v>
      </c>
      <c r="PF17" s="157">
        <f t="shared" si="25"/>
        <v>24053.868499300315</v>
      </c>
      <c r="PG17" s="157">
        <f t="shared" si="25"/>
        <v>24053.868499300315</v>
      </c>
      <c r="PH17" s="157">
        <f t="shared" si="25"/>
        <v>23381.510769061126</v>
      </c>
      <c r="PI17" s="157">
        <f t="shared" si="25"/>
        <v>23381.510769061126</v>
      </c>
      <c r="PJ17" s="157">
        <f t="shared" si="25"/>
        <v>23908.837494537653</v>
      </c>
      <c r="PK17" s="157">
        <f>SUM(R7,BL7,DF17,EZ17,GT17,IN17,KH17,MB17,NV17)</f>
        <v>23908.837494537653</v>
      </c>
      <c r="PL17" s="157">
        <f>SUM(S17,BM17,DG17,FA17,GU17,IO17,KI17,MC17,NW17)</f>
        <v>25631.939291602597</v>
      </c>
      <c r="PM17" s="157">
        <f>SUM(T7,BN7,DH17,FB17,GV17,IP17,KJ17,MD17,NX17)</f>
        <v>25631.939291602597</v>
      </c>
      <c r="PN17" s="157">
        <f>SUM(U17,BO17,DI17,FC17,GW17,IQ17,KK17,ME17,NY17)</f>
        <v>25136.8611267999</v>
      </c>
      <c r="PO17" s="157">
        <f>SUM(V7,BP7,DJ17,FD17,GX17,IR17,KL17,MF17,NZ17)</f>
        <v>25136.8611267999</v>
      </c>
      <c r="PP17" s="578">
        <f>PO17</f>
        <v>25136.8611267999</v>
      </c>
      <c r="PQ17" s="157">
        <f>SUM(X17,BR17,DL17,FF17,GZ17,IT17,KN17,MH17,OA17)</f>
        <v>25225.905595192184</v>
      </c>
      <c r="PR17" s="157">
        <f>SUM(Y7,BS7,DM17,FG17,HA17,IU17,KO17,MI17,OB17)</f>
        <v>25225.905595192184</v>
      </c>
      <c r="PS17" s="578">
        <f>PR17</f>
        <v>25225.905595192184</v>
      </c>
      <c r="PT17" s="157">
        <f>SUM(AA17,BU17,DO17,FI17,HC17,IW17,KQ17,MK17,OC17)</f>
        <v>25056.667055638773</v>
      </c>
      <c r="PU17" s="157">
        <f>SUM(AB7,BV7,DP17,FJ17,HD17,IX17,KR17,ML17,OD17)</f>
        <v>25056.667055638773</v>
      </c>
      <c r="PV17" s="578">
        <f>PU17</f>
        <v>25056.667055638773</v>
      </c>
      <c r="PW17" s="157">
        <f>SUM(AD17,BX17,DR17,FL17,HF17,IZ17,KT17,MN17,OE17)</f>
        <v>26904.278984977012</v>
      </c>
      <c r="PX17" s="157">
        <f>SUM(AE7,BY7,DS17,FM17,HG17,JA17,KU17,MO17,OF17)</f>
        <v>26904.278984977012</v>
      </c>
      <c r="PY17" s="578">
        <f>PX17</f>
        <v>26904.278984977012</v>
      </c>
      <c r="PZ17" s="170">
        <f>SUM(OY17,OZ17,PB17)</f>
        <v>69275.936045958559</v>
      </c>
      <c r="QA17" s="170">
        <f>SUM(PD17,PF17,PH17)</f>
        <v>70946.058943797863</v>
      </c>
      <c r="QB17" s="170">
        <f>SUM(PJ17,PL17,PO17)</f>
        <v>74677.637912940147</v>
      </c>
      <c r="QC17" s="170">
        <f>SUM(PR17,PU17,PX17)</f>
        <v>77186.85163580798</v>
      </c>
      <c r="QD17" s="170">
        <f>PZ17+QA17+QB17+QC17</f>
        <v>292086.48453850456</v>
      </c>
      <c r="QE17" s="170">
        <f>OY17+OZ17+PB17+PD17+PF17+PH17+PJ17+PL17+PP17+PS17+PV17+PY17</f>
        <v>292086.4845385045</v>
      </c>
      <c r="QF17" s="685"/>
      <c r="QG17" s="685"/>
      <c r="QH17" s="170"/>
      <c r="QI17" s="170"/>
      <c r="QJ17" s="170"/>
      <c r="QK17" s="170"/>
      <c r="QL17" s="170"/>
      <c r="QM17" s="170"/>
      <c r="QN17" s="170"/>
      <c r="QO17" s="170"/>
      <c r="QP17" s="170"/>
      <c r="QQ17" s="170"/>
      <c r="QR17" s="170"/>
      <c r="QS17" s="170"/>
      <c r="QT17" s="170"/>
      <c r="QU17" s="167">
        <f>SUM(AG17,CA17,DU17,FO17,HI17,JC17,KW17)</f>
        <v>67179.779706139234</v>
      </c>
    </row>
    <row r="18" spans="1:463" hidden="1" outlineLevel="1">
      <c r="A18" s="143" t="s">
        <v>308</v>
      </c>
      <c r="B18" s="143"/>
      <c r="C18" s="143"/>
      <c r="D18" s="143"/>
      <c r="E18" s="143"/>
      <c r="F18" s="157">
        <f>'BUDGET REVENUE CML 2021-2025'!Y169/10^6</f>
        <v>1205.36422315</v>
      </c>
      <c r="G18" s="157">
        <f>H18</f>
        <v>1205.36422315</v>
      </c>
      <c r="H18" s="157">
        <f>'BUDGET REVENUE CML 2021-2025'!Z169/10^6</f>
        <v>1205.36422315</v>
      </c>
      <c r="I18" s="157">
        <f>J18</f>
        <v>1353.7642231500001</v>
      </c>
      <c r="J18" s="157">
        <f>'BUDGET REVENUE CML 2021-2025'!AA169/10^6</f>
        <v>1353.7642231500001</v>
      </c>
      <c r="K18" s="157">
        <f>L18</f>
        <v>1353.7642231500001</v>
      </c>
      <c r="L18" s="157">
        <f>'BUDGET REVENUE CML 2021-2025'!AB169/10^6</f>
        <v>1353.7642231500001</v>
      </c>
      <c r="M18" s="157">
        <f>N18</f>
        <v>1353.7642231500001</v>
      </c>
      <c r="N18" s="157">
        <f>'BUDGET REVENUE CML 2021-2025'!AC169/10^6</f>
        <v>1353.7642231500001</v>
      </c>
      <c r="O18" s="157">
        <f>P18</f>
        <v>1353.7642231500001</v>
      </c>
      <c r="P18" s="578">
        <f>'BUDGET REVENUE CML 2021-2025'!AD169/10^6</f>
        <v>1353.7642231500001</v>
      </c>
      <c r="Q18" s="157">
        <f>R8</f>
        <v>1353.7642231500001</v>
      </c>
      <c r="R18" s="174">
        <f t="shared" ref="R18:T20" si="26">Q18</f>
        <v>1353.7642231500001</v>
      </c>
      <c r="S18" s="157">
        <f>T8</f>
        <v>1353.7642231500001</v>
      </c>
      <c r="T18" s="174">
        <f t="shared" si="26"/>
        <v>1353.7642231500001</v>
      </c>
      <c r="U18" s="578">
        <f>V8</f>
        <v>1353.7642231500001</v>
      </c>
      <c r="V18" s="174">
        <f>U18</f>
        <v>1353.7642231500001</v>
      </c>
      <c r="W18" s="578">
        <f>V8</f>
        <v>1353.7642231500001</v>
      </c>
      <c r="X18" s="578">
        <f>Y8</f>
        <v>1448.7642231500001</v>
      </c>
      <c r="Y18" s="174">
        <f>X18</f>
        <v>1448.7642231500001</v>
      </c>
      <c r="Z18" s="578">
        <f>Y8</f>
        <v>1448.7642231500001</v>
      </c>
      <c r="AA18" s="578">
        <f>AB8</f>
        <v>1448.7642231500001</v>
      </c>
      <c r="AB18" s="174">
        <f>AA18</f>
        <v>1448.7642231500001</v>
      </c>
      <c r="AC18" s="578">
        <f>AB8</f>
        <v>1448.7642231500001</v>
      </c>
      <c r="AD18" s="578">
        <f>AE8</f>
        <v>1448.7642231500001</v>
      </c>
      <c r="AE18" s="174">
        <f>AD18</f>
        <v>1448.7642231500001</v>
      </c>
      <c r="AF18" s="578">
        <f>AE8</f>
        <v>1448.7642231500001</v>
      </c>
      <c r="AG18" s="170">
        <f>SUM(F18,G18,J18)</f>
        <v>3764.49266945</v>
      </c>
      <c r="AH18" s="170">
        <f>SUM(K18,M18,O18)</f>
        <v>4061.2926694500002</v>
      </c>
      <c r="AI18" s="170">
        <f>SUM(Q18,S18,V8)</f>
        <v>4061.2926694500002</v>
      </c>
      <c r="AJ18" s="170">
        <f>SUM(Y8,AB8,AE8)</f>
        <v>4346.2926694500002</v>
      </c>
      <c r="AK18" s="170">
        <f>AG18+AH18+AI18+AJ18</f>
        <v>16233.3706778</v>
      </c>
      <c r="AL18" s="170">
        <f>F18+G18+I18+K18+M18+O18+Q18+S18+W18+Z18+AC18+AF18</f>
        <v>16233.370677799998</v>
      </c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  <c r="AX18" s="170"/>
      <c r="AY18" s="170"/>
      <c r="AZ18" s="157">
        <f>'BUDGET REVENUE CML 2021-2025'!Y293/10^6</f>
        <v>0</v>
      </c>
      <c r="BA18" s="157">
        <f>BB18</f>
        <v>0</v>
      </c>
      <c r="BB18" s="157">
        <f>'BUDGET REVENUE CML 2021-2025'!Z293/10^6</f>
        <v>0</v>
      </c>
      <c r="BC18" s="157">
        <f t="shared" ref="BC18:BI20" si="27">BD18</f>
        <v>0</v>
      </c>
      <c r="BD18" s="157">
        <f>'BUDGET REVENUE CML 2021-2025'!AA293/10^6</f>
        <v>0</v>
      </c>
      <c r="BE18" s="157">
        <f t="shared" si="27"/>
        <v>0</v>
      </c>
      <c r="BF18" s="157">
        <f>'BUDGET REVENUE CML 2021-2025'!AB293/10^6</f>
        <v>0</v>
      </c>
      <c r="BG18" s="157">
        <f t="shared" si="27"/>
        <v>0</v>
      </c>
      <c r="BH18" s="157">
        <f>'BUDGET REVENUE CML 2021-2025'!AC293/10^6</f>
        <v>0</v>
      </c>
      <c r="BI18" s="157">
        <f t="shared" si="27"/>
        <v>0</v>
      </c>
      <c r="BJ18" s="157">
        <f>'BUDGET REVENUE CML 2021-2025'!AD293/10^6</f>
        <v>0</v>
      </c>
      <c r="BK18" s="157">
        <f>BL8</f>
        <v>0</v>
      </c>
      <c r="BM18" s="157">
        <f>BN8</f>
        <v>0</v>
      </c>
      <c r="BO18" s="157">
        <f>BP8</f>
        <v>0</v>
      </c>
      <c r="BQ18" s="578">
        <f>BP8</f>
        <v>0</v>
      </c>
      <c r="BR18" s="157">
        <f>BS8</f>
        <v>0</v>
      </c>
      <c r="BS18" s="174">
        <f>BR18</f>
        <v>0</v>
      </c>
      <c r="BT18" s="578">
        <f>BS8</f>
        <v>0</v>
      </c>
      <c r="BU18" s="157">
        <f>BV8</f>
        <v>0</v>
      </c>
      <c r="BV18" s="174">
        <f>BU18</f>
        <v>0</v>
      </c>
      <c r="BW18" s="578">
        <f>BV8</f>
        <v>0</v>
      </c>
      <c r="BX18" s="157">
        <f>BY8</f>
        <v>0</v>
      </c>
      <c r="BY18" s="174">
        <f>BX18</f>
        <v>0</v>
      </c>
      <c r="BZ18" s="578">
        <f>BY8</f>
        <v>0</v>
      </c>
      <c r="CA18" s="170">
        <f>SUM(AZ18,BA18,BD18)</f>
        <v>0</v>
      </c>
      <c r="CB18" s="170">
        <f>SUM(BE18,BG18,BI18)</f>
        <v>0</v>
      </c>
      <c r="CC18" s="170">
        <f>SUM(BK18,BM18,BP8)</f>
        <v>0</v>
      </c>
      <c r="CD18" s="170">
        <f>SUM(BS8,BV8,BY8)</f>
        <v>0</v>
      </c>
      <c r="CE18" s="170">
        <f>CA18+CB18+CC18+CD18</f>
        <v>0</v>
      </c>
      <c r="CF18" s="170">
        <f>AZ18+BA18+BC18+BE18+BG18+BI18+BK18+BM18+BQ18+BT18+BW18+BZ18</f>
        <v>0</v>
      </c>
      <c r="CG18" s="170"/>
      <c r="CH18" s="170"/>
      <c r="CI18" s="170"/>
      <c r="CJ18" s="170"/>
      <c r="CK18" s="170"/>
      <c r="CL18" s="170"/>
      <c r="CM18" s="170"/>
      <c r="CN18" s="170"/>
      <c r="CO18" s="170"/>
      <c r="CP18" s="170"/>
      <c r="CQ18" s="170"/>
      <c r="CR18" s="170"/>
      <c r="CS18" s="170"/>
      <c r="CT18" s="157">
        <v>0</v>
      </c>
      <c r="CU18" s="157">
        <f>CV18</f>
        <v>0</v>
      </c>
      <c r="CV18" s="157">
        <v>0</v>
      </c>
      <c r="CW18" s="157">
        <f>CX18</f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578">
        <f>DJ18</f>
        <v>0</v>
      </c>
      <c r="DL18" s="157">
        <v>0</v>
      </c>
      <c r="DM18" s="157">
        <v>0</v>
      </c>
      <c r="DN18" s="578">
        <f>DM18</f>
        <v>0</v>
      </c>
      <c r="DO18" s="157">
        <v>0</v>
      </c>
      <c r="DP18" s="157">
        <v>0</v>
      </c>
      <c r="DQ18" s="578">
        <f>DP18</f>
        <v>0</v>
      </c>
      <c r="DR18" s="157">
        <v>0</v>
      </c>
      <c r="DS18" s="157">
        <v>0</v>
      </c>
      <c r="DT18" s="578">
        <f>DS18</f>
        <v>0</v>
      </c>
      <c r="DU18" s="170">
        <f>SUM(CT18,CU18,CW18)</f>
        <v>0</v>
      </c>
      <c r="DV18" s="170">
        <f>SUM(CY18,DA18,DC18)</f>
        <v>0</v>
      </c>
      <c r="DW18" s="170">
        <f>SUM(DE18,DG18,DJ18)</f>
        <v>0</v>
      </c>
      <c r="DX18" s="170">
        <f>SUM(DM18,DP18,DS18)</f>
        <v>0</v>
      </c>
      <c r="DY18" s="170">
        <f>DU18+DV18+DW18+DX18</f>
        <v>0</v>
      </c>
      <c r="DZ18" s="170">
        <f>CT18+CU18+CW18+CY18+DA18+DC18+DE18+DG18+DK18+DN18+DQ18+DT18</f>
        <v>0</v>
      </c>
      <c r="EA18" s="170"/>
      <c r="EB18" s="170"/>
      <c r="EC18" s="170"/>
      <c r="ED18" s="170"/>
      <c r="EE18" s="170"/>
      <c r="EF18" s="170"/>
      <c r="EG18" s="170"/>
      <c r="EH18" s="170"/>
      <c r="EI18" s="170"/>
      <c r="EJ18" s="170"/>
      <c r="EK18" s="170"/>
      <c r="EL18" s="170"/>
      <c r="EM18" s="170"/>
      <c r="EN18" s="157">
        <f>'BUDGET REVENUE BP 2021-2025'!BN295/1000000</f>
        <v>1426.3658439999999</v>
      </c>
      <c r="EO18" s="157">
        <f t="shared" ref="EO18:FC20" si="28">EP18</f>
        <v>1426.3658439999999</v>
      </c>
      <c r="EP18" s="157">
        <f>'BUDGET REVENUE BP 2021-2025'!BO295/1000000</f>
        <v>1426.3658439999999</v>
      </c>
      <c r="EQ18" s="157">
        <f t="shared" si="28"/>
        <v>1572.9658440000001</v>
      </c>
      <c r="ER18" s="157">
        <f>'BUDGET REVENUE BP 2021-2025'!BP295/1000000</f>
        <v>1572.9658440000001</v>
      </c>
      <c r="ES18" s="157">
        <f t="shared" si="28"/>
        <v>1572.9658440000001</v>
      </c>
      <c r="ET18" s="157">
        <f>'BUDGET REVENUE BP 2021-2025'!BQ295/1000000</f>
        <v>1572.9658440000001</v>
      </c>
      <c r="EU18" s="157">
        <f t="shared" si="28"/>
        <v>1489.5109674</v>
      </c>
      <c r="EV18" s="157">
        <f>'BUDGET REVENUE BP 2021-2025'!BR295/1000000</f>
        <v>1489.5109674</v>
      </c>
      <c r="EW18" s="157">
        <f t="shared" si="28"/>
        <v>1572.9658440000001</v>
      </c>
      <c r="EX18" s="157">
        <f>'BUDGET REVENUE BP 2021-2025'!BS295/1000000</f>
        <v>1572.9658440000001</v>
      </c>
      <c r="EY18" s="157">
        <f t="shared" si="28"/>
        <v>1628.6024284</v>
      </c>
      <c r="EZ18" s="157">
        <f>'BUDGET REVENUE BP 2021-2025'!BT295/1000000</f>
        <v>1628.6024284</v>
      </c>
      <c r="FA18" s="157">
        <f t="shared" si="28"/>
        <v>1628.6024284</v>
      </c>
      <c r="FB18" s="157">
        <f>'BUDGET REVENUE BP 2021-2025'!BU295/1000000</f>
        <v>1628.6024284</v>
      </c>
      <c r="FC18" s="157">
        <f t="shared" si="28"/>
        <v>1628.6024284</v>
      </c>
      <c r="FD18" s="157">
        <f>'BUDGET REVENUE BP 2021-2025'!BV295/1000000</f>
        <v>1628.6024284</v>
      </c>
      <c r="FE18" s="578">
        <f>FD18</f>
        <v>1628.6024284</v>
      </c>
      <c r="FF18" s="157">
        <f>FG18</f>
        <v>1628.6024284</v>
      </c>
      <c r="FG18" s="157">
        <f>'BUDGET REVENUE BP 2021-2025'!BW295/1000000</f>
        <v>1628.6024284</v>
      </c>
      <c r="FH18" s="578">
        <f>FG18</f>
        <v>1628.6024284</v>
      </c>
      <c r="FI18" s="157">
        <f>FJ18</f>
        <v>1628.6024284</v>
      </c>
      <c r="FJ18" s="157">
        <f>'BUDGET REVENUE BP 2021-2025'!BX295/1000000</f>
        <v>1628.6024284</v>
      </c>
      <c r="FK18" s="578">
        <f>FJ18</f>
        <v>1628.6024284</v>
      </c>
      <c r="FL18" s="157">
        <f>FM18</f>
        <v>1628.6024284</v>
      </c>
      <c r="FM18" s="157">
        <f>'BUDGET REVENUE BP 2021-2025'!BY295/1000000</f>
        <v>1628.6024284</v>
      </c>
      <c r="FN18" s="578">
        <f>FM18</f>
        <v>1628.6024284</v>
      </c>
      <c r="FO18" s="170">
        <f>SUM(EN18,EO18,ER18)</f>
        <v>4425.6975320000001</v>
      </c>
      <c r="FP18" s="170">
        <f>SUM(ES18,EU18,EW18)</f>
        <v>4635.4426554000001</v>
      </c>
      <c r="FQ18" s="170">
        <f>SUM(EY18,FA18,FD18)</f>
        <v>4885.8072852000005</v>
      </c>
      <c r="FR18" s="170">
        <f>SUM(FG18,FJ18,FM18)</f>
        <v>4885.8072852000005</v>
      </c>
      <c r="FS18" s="170">
        <f>FO18+FP18+FQ18+FR18</f>
        <v>18832.754757800001</v>
      </c>
      <c r="FT18" s="170">
        <f>EN18+EO18+EQ18+ES18+EU18+EW18+EY18+FA18+FE18+FH18+FK18+FN18</f>
        <v>18832.754757800001</v>
      </c>
      <c r="FU18" s="170"/>
      <c r="FV18" s="170"/>
      <c r="FW18" s="170"/>
      <c r="FX18" s="170"/>
      <c r="FY18" s="170"/>
      <c r="FZ18" s="170"/>
      <c r="GA18" s="170"/>
      <c r="GB18" s="170"/>
      <c r="GC18" s="170"/>
      <c r="GD18" s="170"/>
      <c r="GE18" s="170"/>
      <c r="GF18" s="170"/>
      <c r="GG18" s="170"/>
      <c r="GH18" s="157">
        <v>0</v>
      </c>
      <c r="GI18" s="157">
        <f t="shared" ref="GI18:GQ20" si="29">GJ18</f>
        <v>0</v>
      </c>
      <c r="GJ18" s="157">
        <v>0</v>
      </c>
      <c r="GK18" s="157">
        <f t="shared" si="29"/>
        <v>0</v>
      </c>
      <c r="GL18" s="157">
        <v>0</v>
      </c>
      <c r="GM18" s="157">
        <f t="shared" si="29"/>
        <v>0</v>
      </c>
      <c r="GN18" s="157">
        <v>0</v>
      </c>
      <c r="GO18" s="157">
        <f t="shared" si="29"/>
        <v>0</v>
      </c>
      <c r="GP18" s="157">
        <v>0</v>
      </c>
      <c r="GQ18" s="157">
        <f t="shared" si="29"/>
        <v>0</v>
      </c>
      <c r="GR18" s="157">
        <v>0</v>
      </c>
      <c r="GS18" s="157">
        <f>GT18</f>
        <v>0</v>
      </c>
      <c r="GT18" s="157">
        <v>0</v>
      </c>
      <c r="GU18" s="157">
        <f>GV18</f>
        <v>0</v>
      </c>
      <c r="GV18" s="157">
        <v>0</v>
      </c>
      <c r="GW18" s="157">
        <f>GX18</f>
        <v>0</v>
      </c>
      <c r="GX18" s="157">
        <v>0</v>
      </c>
      <c r="GY18" s="578">
        <f>GX18</f>
        <v>0</v>
      </c>
      <c r="GZ18" s="157">
        <f>HA18</f>
        <v>0</v>
      </c>
      <c r="HA18" s="157">
        <v>0</v>
      </c>
      <c r="HB18" s="578">
        <f>HA18</f>
        <v>0</v>
      </c>
      <c r="HC18" s="157">
        <f>HD18</f>
        <v>0</v>
      </c>
      <c r="HD18" s="157">
        <v>0</v>
      </c>
      <c r="HE18" s="578">
        <f>HD18</f>
        <v>0</v>
      </c>
      <c r="HF18" s="157">
        <f>HG18</f>
        <v>0</v>
      </c>
      <c r="HG18" s="157">
        <v>0</v>
      </c>
      <c r="HH18" s="578">
        <f>HG18</f>
        <v>0</v>
      </c>
      <c r="HI18" s="170">
        <f>SUM(GH18,GI18,GL18)</f>
        <v>0</v>
      </c>
      <c r="HJ18" s="170">
        <f>SUM(GM18,GO18,GQ18)</f>
        <v>0</v>
      </c>
      <c r="HK18" s="170">
        <f>SUM(GS18,GU18,GX18)</f>
        <v>0</v>
      </c>
      <c r="HL18" s="170">
        <f>SUM(HA18,HD18,HG18)</f>
        <v>0</v>
      </c>
      <c r="HM18" s="170">
        <f>HI18+HJ18+HK18+HL18</f>
        <v>0</v>
      </c>
      <c r="HN18" s="170">
        <f>GH18+GI18+GK18+GM18+GO18+GQ18+GS18+GU18+GY18+HB18+HE18+HH18</f>
        <v>0</v>
      </c>
      <c r="HO18" s="170"/>
      <c r="HP18" s="170"/>
      <c r="HQ18" s="170"/>
      <c r="HR18" s="170"/>
      <c r="HS18" s="170"/>
      <c r="HT18" s="170"/>
      <c r="HU18" s="170"/>
      <c r="HV18" s="170"/>
      <c r="HW18" s="170"/>
      <c r="HX18" s="170"/>
      <c r="HY18" s="170"/>
      <c r="HZ18" s="170"/>
      <c r="IA18" s="170"/>
      <c r="IB18" s="157">
        <f>'BUDGET REVENUE BP 2021-2025'!BN655/1000000</f>
        <v>134</v>
      </c>
      <c r="IC18" s="157">
        <f>ID18</f>
        <v>146</v>
      </c>
      <c r="ID18" s="157">
        <f>'BUDGET REVENUE BP 2021-2025'!BO655/1000000</f>
        <v>146</v>
      </c>
      <c r="IE18" s="157">
        <f>IF18</f>
        <v>147</v>
      </c>
      <c r="IF18" s="157">
        <f>'BUDGET REVENUE BP 2021-2025'!BP655/1000000</f>
        <v>147</v>
      </c>
      <c r="IG18" s="157">
        <f>IH18</f>
        <v>196</v>
      </c>
      <c r="IH18" s="157">
        <f>'BUDGET REVENUE BP 2021-2025'!BQ655/1000000</f>
        <v>196</v>
      </c>
      <c r="II18" s="157">
        <f>IJ18</f>
        <v>145.18700000000001</v>
      </c>
      <c r="IJ18" s="157">
        <f>'BUDGET REVENUE BP 2021-2025'!BR655/1000000</f>
        <v>145.18700000000001</v>
      </c>
      <c r="IK18" s="157">
        <f>IL18</f>
        <v>158.18700000000001</v>
      </c>
      <c r="IL18" s="157">
        <f>'BUDGET REVENUE BP 2021-2025'!BS655/1000000</f>
        <v>158.18700000000001</v>
      </c>
      <c r="IM18" s="157">
        <f>IN18</f>
        <v>208.18700000000001</v>
      </c>
      <c r="IN18" s="157">
        <f>'BUDGET REVENUE BP 2021-2025'!BT655/1000000</f>
        <v>208.18700000000001</v>
      </c>
      <c r="IO18" s="157">
        <f>IP18</f>
        <v>187.18700000000001</v>
      </c>
      <c r="IP18" s="157">
        <f>'BUDGET REVENUE BP 2021-2025'!BU655/1000000</f>
        <v>187.18700000000001</v>
      </c>
      <c r="IQ18" s="157">
        <f>IR18</f>
        <v>178.18700000000001</v>
      </c>
      <c r="IR18" s="157">
        <f>'BUDGET REVENUE BP 2021-2025'!BV655/1000000</f>
        <v>178.18700000000001</v>
      </c>
      <c r="IS18" s="578">
        <f>IR18</f>
        <v>178.18700000000001</v>
      </c>
      <c r="IT18" s="157">
        <f>IU18</f>
        <v>247.18700000000001</v>
      </c>
      <c r="IU18" s="157">
        <f>'BUDGET REVENUE BP 2021-2025'!BW655/1000000</f>
        <v>247.18700000000001</v>
      </c>
      <c r="IV18" s="578">
        <f>IU18</f>
        <v>247.18700000000001</v>
      </c>
      <c r="IW18" s="157">
        <f>IX18</f>
        <v>208.18700000000001</v>
      </c>
      <c r="IX18" s="157">
        <f>'BUDGET REVENUE BP 2021-2025'!BX655/1000000</f>
        <v>208.18700000000001</v>
      </c>
      <c r="IY18" s="578">
        <f>IX18</f>
        <v>208.18700000000001</v>
      </c>
      <c r="IZ18" s="157">
        <f>JA18</f>
        <v>147.18700000000001</v>
      </c>
      <c r="JA18" s="157">
        <f>'BUDGET REVENUE BP 2021-2025'!BY655/1000000</f>
        <v>147.18700000000001</v>
      </c>
      <c r="JB18" s="578">
        <f>JA18</f>
        <v>147.18700000000001</v>
      </c>
      <c r="JC18" s="170">
        <f>SUM(IB18,IC18,IF18)</f>
        <v>427</v>
      </c>
      <c r="JD18" s="170">
        <f>SUM(IG18,II18,IK18)</f>
        <v>499.37400000000002</v>
      </c>
      <c r="JE18" s="170">
        <f>SUM(IM18,IO18,IR18)</f>
        <v>573.56100000000004</v>
      </c>
      <c r="JF18" s="170">
        <f>SUM(IU18,IX18,JA18)</f>
        <v>602.56100000000004</v>
      </c>
      <c r="JG18" s="170">
        <f>JC18+JD18+JE18+JF18</f>
        <v>2102.4960000000001</v>
      </c>
      <c r="JH18" s="170">
        <f>IB18+IC18+IE18+IG18+II18+IK18+IM18+IO18+IS18+IV18+IY18+JB18</f>
        <v>2102.4959999999996</v>
      </c>
      <c r="JI18" s="170"/>
      <c r="JJ18" s="170"/>
      <c r="JK18" s="170"/>
      <c r="JL18" s="170"/>
      <c r="JM18" s="170"/>
      <c r="JN18" s="170"/>
      <c r="JO18" s="170"/>
      <c r="JP18" s="170"/>
      <c r="JQ18" s="170"/>
      <c r="JR18" s="170"/>
      <c r="JS18" s="170"/>
      <c r="JT18" s="170"/>
      <c r="JU18" s="170"/>
      <c r="JV18" s="157">
        <v>0</v>
      </c>
      <c r="JW18" s="157">
        <f>JX18</f>
        <v>0</v>
      </c>
      <c r="JX18" s="157">
        <v>0</v>
      </c>
      <c r="JY18" s="157">
        <f>JZ18</f>
        <v>0</v>
      </c>
      <c r="JZ18" s="157">
        <v>0</v>
      </c>
      <c r="KA18" s="157">
        <v>0</v>
      </c>
      <c r="KB18" s="157">
        <v>0</v>
      </c>
      <c r="KC18" s="157">
        <v>0</v>
      </c>
      <c r="KD18" s="157">
        <v>0</v>
      </c>
      <c r="KE18" s="157">
        <v>0</v>
      </c>
      <c r="KF18" s="157">
        <v>0</v>
      </c>
      <c r="KG18" s="157">
        <f>KH18</f>
        <v>0</v>
      </c>
      <c r="KH18" s="157">
        <v>0</v>
      </c>
      <c r="KI18" s="157">
        <f>KJ18</f>
        <v>0</v>
      </c>
      <c r="KJ18" s="157">
        <v>0</v>
      </c>
      <c r="KK18" s="157">
        <f>KL18</f>
        <v>0</v>
      </c>
      <c r="KL18" s="157">
        <v>0</v>
      </c>
      <c r="KM18" s="578">
        <f>KL18</f>
        <v>0</v>
      </c>
      <c r="KN18" s="157">
        <f>KO18</f>
        <v>0</v>
      </c>
      <c r="KO18" s="157">
        <v>0</v>
      </c>
      <c r="KP18" s="578">
        <f>KO18</f>
        <v>0</v>
      </c>
      <c r="KQ18" s="157">
        <f>KR18</f>
        <v>0</v>
      </c>
      <c r="KR18" s="157">
        <v>0</v>
      </c>
      <c r="KS18" s="578">
        <f>KR18</f>
        <v>0</v>
      </c>
      <c r="KT18" s="157">
        <f>KU18</f>
        <v>0</v>
      </c>
      <c r="KU18" s="157">
        <v>0</v>
      </c>
      <c r="KV18" s="578">
        <f>KU18</f>
        <v>0</v>
      </c>
      <c r="KW18" s="170">
        <f>SUM(JV18,JW18,JZ18)</f>
        <v>0</v>
      </c>
      <c r="KX18" s="170">
        <f>SUM(KA18,KC18,KE18)</f>
        <v>0</v>
      </c>
      <c r="KY18" s="170">
        <f>SUM(KG18,KI18,KL18)</f>
        <v>0</v>
      </c>
      <c r="KZ18" s="170">
        <f>SUM(KO18,KR18,KU18)</f>
        <v>0</v>
      </c>
      <c r="LA18" s="170">
        <f>KW18+KX18+KY18+KZ18</f>
        <v>0</v>
      </c>
      <c r="LB18" s="170">
        <f>JV18+JW18+JY18+KA18+KC18+KE18+KG18+KI18+KM18+KP18+KS18+KV18</f>
        <v>0</v>
      </c>
      <c r="LC18" s="170"/>
      <c r="LD18" s="170"/>
      <c r="LE18" s="170"/>
      <c r="LF18" s="170"/>
      <c r="LG18" s="170"/>
      <c r="LH18" s="170"/>
      <c r="LI18" s="170"/>
      <c r="LJ18" s="170"/>
      <c r="LK18" s="170"/>
      <c r="LL18" s="170"/>
      <c r="LM18" s="170"/>
      <c r="LN18" s="170"/>
      <c r="LO18" s="170"/>
      <c r="LP18" s="578">
        <v>0</v>
      </c>
      <c r="LQ18" s="578">
        <v>0</v>
      </c>
      <c r="LR18" s="578">
        <v>0</v>
      </c>
      <c r="LS18" s="578">
        <v>0</v>
      </c>
      <c r="LT18" s="578">
        <v>0</v>
      </c>
      <c r="LU18" s="578">
        <v>0</v>
      </c>
      <c r="LV18" s="578">
        <v>0</v>
      </c>
      <c r="LW18" s="578">
        <v>0</v>
      </c>
      <c r="LX18" s="578">
        <v>0</v>
      </c>
      <c r="LY18" s="578">
        <v>0</v>
      </c>
      <c r="LZ18" s="578">
        <v>0</v>
      </c>
      <c r="MA18" s="578">
        <v>0</v>
      </c>
      <c r="MB18" s="578">
        <v>0</v>
      </c>
      <c r="MC18" s="578">
        <v>0</v>
      </c>
      <c r="MD18" s="578">
        <v>0</v>
      </c>
      <c r="ME18" s="578">
        <v>0</v>
      </c>
      <c r="MF18" s="578">
        <v>0</v>
      </c>
      <c r="MG18" s="578">
        <f>MF18</f>
        <v>0</v>
      </c>
      <c r="MH18" s="578">
        <v>0</v>
      </c>
      <c r="MI18" s="578">
        <v>0</v>
      </c>
      <c r="MJ18" s="578">
        <f>MI18</f>
        <v>0</v>
      </c>
      <c r="MK18" s="578">
        <v>0</v>
      </c>
      <c r="ML18" s="578">
        <v>0</v>
      </c>
      <c r="MM18" s="578">
        <f>ML18</f>
        <v>0</v>
      </c>
      <c r="MN18" s="578">
        <v>0</v>
      </c>
      <c r="MO18" s="578">
        <v>0</v>
      </c>
      <c r="MP18" s="578">
        <f>MO18</f>
        <v>0</v>
      </c>
      <c r="MQ18" s="170">
        <f>SUM(LP18,LQ18,LT18)</f>
        <v>0</v>
      </c>
      <c r="MR18" s="170">
        <f>SUM(LU18,LW18,LY18)</f>
        <v>0</v>
      </c>
      <c r="MS18" s="170">
        <f>SUM(MA18,MC18,MF18)</f>
        <v>0</v>
      </c>
      <c r="MT18" s="170">
        <f>SUM(MI18,ML18,MO18)</f>
        <v>0</v>
      </c>
      <c r="MU18" s="170">
        <f>MQ18+MR18+MS18+MT18</f>
        <v>0</v>
      </c>
      <c r="MV18" s="170">
        <f>LP18+LQ18+LS18+LU18+LW18+LY18+MA18+MC18+MG18+MJ18+MM18+MP18</f>
        <v>0</v>
      </c>
      <c r="MW18" s="170"/>
      <c r="MX18" s="170"/>
      <c r="MY18" s="170"/>
      <c r="MZ18" s="170"/>
      <c r="NA18" s="170"/>
      <c r="NB18" s="170"/>
      <c r="NC18" s="170"/>
      <c r="ND18" s="170"/>
      <c r="NE18" s="170"/>
      <c r="NF18" s="170"/>
      <c r="NG18" s="170"/>
      <c r="NH18" s="170"/>
      <c r="NI18" s="170"/>
      <c r="NJ18" s="157"/>
      <c r="NK18" s="157"/>
      <c r="NL18" s="157"/>
      <c r="NM18" s="157"/>
      <c r="NN18" s="157"/>
      <c r="NO18" s="157"/>
      <c r="NP18" s="157"/>
      <c r="NQ18" s="157"/>
      <c r="NR18" s="157"/>
      <c r="NS18" s="157"/>
      <c r="NT18" s="157"/>
      <c r="NU18" s="157"/>
      <c r="NV18" s="157"/>
      <c r="NW18" s="157"/>
      <c r="NX18" s="157"/>
      <c r="NY18" s="157"/>
      <c r="NZ18" s="157"/>
      <c r="OA18" s="157"/>
      <c r="OB18" s="157"/>
      <c r="OC18" s="157"/>
      <c r="OD18" s="157"/>
      <c r="OE18" s="157"/>
      <c r="OF18" s="157"/>
      <c r="OG18" s="170">
        <f>SUM(NJ18,NK18,NN18)</f>
        <v>0</v>
      </c>
      <c r="OH18" s="170">
        <f>SUM(NO18,NQ18,NS18)</f>
        <v>0</v>
      </c>
      <c r="OI18" s="170">
        <f>SUM(NU18,NW18,NZ18)</f>
        <v>0</v>
      </c>
      <c r="OJ18" s="170">
        <f>SUM(OB18,OD18,OF18)</f>
        <v>0</v>
      </c>
      <c r="OK18" s="170">
        <f>OG18+OH18+OI18+OJ18</f>
        <v>0</v>
      </c>
      <c r="OL18" s="170"/>
      <c r="OM18" s="170"/>
      <c r="ON18" s="170"/>
      <c r="OO18" s="170"/>
      <c r="OP18" s="170"/>
      <c r="OQ18" s="170"/>
      <c r="OR18" s="170"/>
      <c r="OS18" s="170"/>
      <c r="OT18" s="170"/>
      <c r="OU18" s="170"/>
      <c r="OV18" s="170"/>
      <c r="OW18" s="170"/>
      <c r="OX18" s="170"/>
      <c r="OY18" s="157">
        <f t="shared" si="25"/>
        <v>2765.7300671499997</v>
      </c>
      <c r="OZ18" s="157">
        <f t="shared" si="25"/>
        <v>2777.7300671499997</v>
      </c>
      <c r="PA18" s="157">
        <f t="shared" si="25"/>
        <v>2777.7300671499997</v>
      </c>
      <c r="PB18" s="157">
        <f t="shared" si="25"/>
        <v>3073.7300671500002</v>
      </c>
      <c r="PC18" s="157">
        <f t="shared" si="25"/>
        <v>3073.7300671500002</v>
      </c>
      <c r="PD18" s="157">
        <f t="shared" si="25"/>
        <v>3122.7300671500002</v>
      </c>
      <c r="PE18" s="157">
        <f t="shared" si="25"/>
        <v>3122.7300671500002</v>
      </c>
      <c r="PF18" s="157">
        <f t="shared" si="25"/>
        <v>2988.4621905499998</v>
      </c>
      <c r="PG18" s="157">
        <f t="shared" si="25"/>
        <v>2988.4621905499998</v>
      </c>
      <c r="PH18" s="157">
        <f t="shared" si="25"/>
        <v>3084.9170671500001</v>
      </c>
      <c r="PI18" s="157">
        <f t="shared" si="25"/>
        <v>3084.9170671500001</v>
      </c>
      <c r="PJ18" s="157">
        <f t="shared" si="25"/>
        <v>3190.5536515499998</v>
      </c>
      <c r="PK18" s="157">
        <f>SUM(R8,BL8,DF18,EZ18,GT18,IN18,KH18,MB18,NV18)</f>
        <v>3190.5536515499998</v>
      </c>
      <c r="PL18" s="157">
        <f>SUM(S18,BM18,DG18,FA18,GU18,IO18,KI18,MC18,NW18)</f>
        <v>3169.5536515499998</v>
      </c>
      <c r="PM18" s="157">
        <f>SUM(T8,BN8,DH18,FB18,GV18,IP18,KJ18,MD18,NX18)</f>
        <v>3169.5536515499998</v>
      </c>
      <c r="PN18" s="157">
        <f>SUM(U18,BO18,DI18,FC18,GW18,IQ18,KK18,ME18,NY18)</f>
        <v>3160.5536515499998</v>
      </c>
      <c r="PO18" s="157">
        <f>SUM(V8,BP8,DJ18,FD18,GX18,IR18,KL18,MF18,NZ18)</f>
        <v>3160.5536515499998</v>
      </c>
      <c r="PP18" s="578">
        <f>PO18</f>
        <v>3160.5536515499998</v>
      </c>
      <c r="PQ18" s="157">
        <f>SUM(X18,BR18,DL18,FF18,GZ18,IT18,KN18,MH18,OA18)</f>
        <v>3324.5536515499998</v>
      </c>
      <c r="PR18" s="157">
        <f>SUM(Y8,BS8,DM18,FG18,HA18,IU18,KO18,MI18,OB18)</f>
        <v>3324.5536515499998</v>
      </c>
      <c r="PS18" s="578">
        <f>PR18</f>
        <v>3324.5536515499998</v>
      </c>
      <c r="PT18" s="157">
        <f>SUM(AA18,BU18,DO18,FI18,HC18,IW18,KQ18,MK18,OC18)</f>
        <v>3285.5536515499998</v>
      </c>
      <c r="PU18" s="157">
        <f>SUM(AB8,BV8,DP18,FJ18,HD18,IX18,KR18,ML18,OD18)</f>
        <v>3285.5536515499998</v>
      </c>
      <c r="PV18" s="578">
        <f>PU18</f>
        <v>3285.5536515499998</v>
      </c>
      <c r="PW18" s="157">
        <f>SUM(AD18,BX18,DR18,FL18,HF18,IZ18,KT18,MN18,OE18)</f>
        <v>3224.5536515499998</v>
      </c>
      <c r="PX18" s="157">
        <f>SUM(AE8,BY8,DS18,FM18,HG18,JA18,KU18,MO18,OF18)</f>
        <v>3224.5536515499998</v>
      </c>
      <c r="PY18" s="578">
        <f>PX18</f>
        <v>3224.5536515499998</v>
      </c>
      <c r="PZ18" s="170">
        <f>SUM(OY18,OZ18,PB18)</f>
        <v>8617.1902014499992</v>
      </c>
      <c r="QA18" s="170">
        <f>SUM(PD18,PF18,PH18)</f>
        <v>9196.1093248500001</v>
      </c>
      <c r="QB18" s="170">
        <f>SUM(PJ18,PL18,PO18)</f>
        <v>9520.6609546500003</v>
      </c>
      <c r="QC18" s="170">
        <f>SUM(PR18,PU18,PX18)</f>
        <v>9834.6609546500003</v>
      </c>
      <c r="QD18" s="170">
        <f>PZ18+QA18+QB18+QC18</f>
        <v>37168.621435599998</v>
      </c>
      <c r="QE18" s="170">
        <f>OY18+OZ18+PB18+PD18+PF18+PH18+PJ18+PL18+PP18+PS18+PV18+PY18</f>
        <v>37168.621435599991</v>
      </c>
      <c r="QF18" s="685"/>
      <c r="QG18" s="685"/>
      <c r="QH18" s="170"/>
      <c r="QI18" s="170"/>
      <c r="QJ18" s="170"/>
      <c r="QK18" s="170"/>
      <c r="QL18" s="170"/>
      <c r="QM18" s="170"/>
      <c r="QN18" s="170"/>
      <c r="QO18" s="170"/>
      <c r="QP18" s="170"/>
      <c r="QQ18" s="170"/>
      <c r="QR18" s="170"/>
      <c r="QS18" s="170"/>
      <c r="QT18" s="170"/>
      <c r="QU18" s="167">
        <f>SUM(AG18,CA18,DU18,FO18,HI18,JC18,KW18)</f>
        <v>8617.190201450001</v>
      </c>
    </row>
    <row r="19" spans="1:463" hidden="1" outlineLevel="1">
      <c r="A19" s="143" t="s">
        <v>310</v>
      </c>
      <c r="B19" s="143"/>
      <c r="C19" s="143"/>
      <c r="D19" s="143"/>
      <c r="E19" s="143"/>
      <c r="F19" s="157">
        <f>'BUDGET REVENUE CML 2021-2025'!Y234/10^6</f>
        <v>4375.2419123500003</v>
      </c>
      <c r="G19" s="157">
        <f>H19</f>
        <v>4385.2419123500003</v>
      </c>
      <c r="H19" s="157">
        <f>'BUDGET REVENUE CML 2021-2025'!Z234/10^6</f>
        <v>4385.2419123500003</v>
      </c>
      <c r="I19" s="157">
        <f>J19</f>
        <v>4385.2419123500003</v>
      </c>
      <c r="J19" s="157">
        <f>'BUDGET REVENUE CML 2021-2025'!AA234/10^6</f>
        <v>4385.2419123500003</v>
      </c>
      <c r="K19" s="157">
        <f>L19</f>
        <v>4465.2419123500003</v>
      </c>
      <c r="L19" s="157">
        <f>'BUDGET REVENUE CML 2021-2025'!AB234/10^6</f>
        <v>4465.2419123500003</v>
      </c>
      <c r="M19" s="157">
        <f>N19</f>
        <v>4525.2419123500003</v>
      </c>
      <c r="N19" s="157">
        <f>'BUDGET REVENUE CML 2021-2025'!AC234/10^6</f>
        <v>4525.2419123500003</v>
      </c>
      <c r="O19" s="157">
        <f>P19</f>
        <v>4795.2419123500003</v>
      </c>
      <c r="P19" s="578">
        <f>'BUDGET REVENUE CML 2021-2025'!AD234/10^6</f>
        <v>4795.2419123500003</v>
      </c>
      <c r="Q19" s="157">
        <f>R9</f>
        <v>5059.1069783500006</v>
      </c>
      <c r="R19" s="174">
        <f t="shared" si="26"/>
        <v>5059.1069783500006</v>
      </c>
      <c r="S19" s="157">
        <f>T9</f>
        <v>5054.1069783500006</v>
      </c>
      <c r="T19" s="174">
        <f t="shared" si="26"/>
        <v>5054.1069783500006</v>
      </c>
      <c r="U19" s="157">
        <f>V9</f>
        <v>5159.1069783500006</v>
      </c>
      <c r="V19" s="174">
        <f>U19</f>
        <v>5159.1069783500006</v>
      </c>
      <c r="W19" s="578">
        <f>V9</f>
        <v>5159.1069783500006</v>
      </c>
      <c r="X19" s="157">
        <f>Y9</f>
        <v>5159.1069783500006</v>
      </c>
      <c r="Y19" s="174">
        <f>X19</f>
        <v>5159.1069783500006</v>
      </c>
      <c r="Z19" s="578">
        <f>Y9</f>
        <v>5159.1069783500006</v>
      </c>
      <c r="AA19" s="157">
        <f>AB9</f>
        <v>5164.1069783500006</v>
      </c>
      <c r="AB19" s="174">
        <f>AA19</f>
        <v>5164.1069783500006</v>
      </c>
      <c r="AC19" s="578">
        <f>AB9</f>
        <v>5164.1069783500006</v>
      </c>
      <c r="AD19" s="157">
        <f>AE9</f>
        <v>5159.1069783500006</v>
      </c>
      <c r="AE19" s="174">
        <f>AD19</f>
        <v>5159.1069783500006</v>
      </c>
      <c r="AF19" s="578">
        <f>AE9</f>
        <v>5159.1069783500006</v>
      </c>
      <c r="AG19" s="170">
        <f>SUM(F19,G19,J19)</f>
        <v>13145.725737050001</v>
      </c>
      <c r="AH19" s="170">
        <f>SUM(K19,M19,O19)</f>
        <v>13785.725737050001</v>
      </c>
      <c r="AI19" s="170">
        <f>SUM(Q19,S19,V9)</f>
        <v>15272.320935050002</v>
      </c>
      <c r="AJ19" s="170">
        <f>SUM(Y9,AB9,AE9)</f>
        <v>15482.320935050002</v>
      </c>
      <c r="AK19" s="170">
        <f>AG19+AH19+AI19+AJ19</f>
        <v>57686.09334420001</v>
      </c>
      <c r="AL19" s="170">
        <f>F19+G19+I19+K19+M19+O19+Q19+S19+W19+Z19+AC19+AF19</f>
        <v>57686.093344199995</v>
      </c>
      <c r="AM19" s="170"/>
      <c r="AN19" s="170"/>
      <c r="AO19" s="170"/>
      <c r="AP19" s="170"/>
      <c r="AQ19" s="170"/>
      <c r="AR19" s="170"/>
      <c r="AS19" s="170"/>
      <c r="AT19" s="170"/>
      <c r="AU19" s="170"/>
      <c r="AV19" s="170"/>
      <c r="AW19" s="170"/>
      <c r="AX19" s="170"/>
      <c r="AY19" s="170"/>
      <c r="AZ19" s="157">
        <f>'BUDGET REVENUE CML 2021-2025'!Y308/10^6</f>
        <v>845</v>
      </c>
      <c r="BA19" s="157">
        <f>BB19</f>
        <v>845</v>
      </c>
      <c r="BB19" s="157">
        <f>'BUDGET REVENUE CML 2021-2025'!Z308/10^6</f>
        <v>845</v>
      </c>
      <c r="BC19" s="157">
        <f t="shared" si="27"/>
        <v>845</v>
      </c>
      <c r="BD19" s="157">
        <f>'BUDGET REVENUE CML 2021-2025'!AA308/10^6</f>
        <v>845</v>
      </c>
      <c r="BE19" s="157">
        <f t="shared" si="27"/>
        <v>845</v>
      </c>
      <c r="BF19" s="157">
        <f>'BUDGET REVENUE CML 2021-2025'!AB308/10^6</f>
        <v>845</v>
      </c>
      <c r="BG19" s="157">
        <f t="shared" si="27"/>
        <v>845</v>
      </c>
      <c r="BH19" s="157">
        <f>'BUDGET REVENUE CML 2021-2025'!AC308/10^6</f>
        <v>845</v>
      </c>
      <c r="BI19" s="157">
        <f t="shared" si="27"/>
        <v>845</v>
      </c>
      <c r="BJ19" s="157">
        <f>'BUDGET REVENUE CML 2021-2025'!AD308/10^6</f>
        <v>845</v>
      </c>
      <c r="BK19" s="157">
        <f>BL9</f>
        <v>780</v>
      </c>
      <c r="BM19" s="157">
        <f>BN9</f>
        <v>780</v>
      </c>
      <c r="BO19" s="157">
        <f>BP9</f>
        <v>780</v>
      </c>
      <c r="BQ19" s="578">
        <f>BP9</f>
        <v>780</v>
      </c>
      <c r="BR19" s="157">
        <f>BS9</f>
        <v>780</v>
      </c>
      <c r="BS19" s="174">
        <f>BR19</f>
        <v>780</v>
      </c>
      <c r="BT19" s="578">
        <f>BS9</f>
        <v>780</v>
      </c>
      <c r="BU19" s="157">
        <f>BV9</f>
        <v>780</v>
      </c>
      <c r="BV19" s="174">
        <f>BU19</f>
        <v>780</v>
      </c>
      <c r="BW19" s="578">
        <f>BV9</f>
        <v>780</v>
      </c>
      <c r="BX19" s="157">
        <f>BY9</f>
        <v>780</v>
      </c>
      <c r="BY19" s="174">
        <f>BX19</f>
        <v>780</v>
      </c>
      <c r="BZ19" s="578">
        <f>BY9</f>
        <v>780</v>
      </c>
      <c r="CA19" s="170">
        <f>SUM(AZ19,BA19,BD19)</f>
        <v>2535</v>
      </c>
      <c r="CB19" s="170">
        <f>SUM(BE19,BG19,BI19)</f>
        <v>2535</v>
      </c>
      <c r="CC19" s="170">
        <f>SUM(BK19,BM19,BP9)</f>
        <v>2340</v>
      </c>
      <c r="CD19" s="170">
        <f>SUM(BS9,BV9,BY9)</f>
        <v>2340</v>
      </c>
      <c r="CE19" s="170">
        <f>CA19+CB19+CC19+CD19</f>
        <v>9750</v>
      </c>
      <c r="CF19" s="170">
        <f>AZ19+BA19+BC19+BE19+BG19+BI19+BK19+BM19+BQ19+BT19+BW19+BZ19</f>
        <v>9750</v>
      </c>
      <c r="CG19" s="170"/>
      <c r="CH19" s="170"/>
      <c r="CI19" s="170"/>
      <c r="CJ19" s="170"/>
      <c r="CK19" s="170"/>
      <c r="CL19" s="170"/>
      <c r="CM19" s="170"/>
      <c r="CN19" s="170"/>
      <c r="CO19" s="170"/>
      <c r="CP19" s="170"/>
      <c r="CQ19" s="170"/>
      <c r="CR19" s="170"/>
      <c r="CS19" s="170"/>
      <c r="CT19" s="157">
        <v>0</v>
      </c>
      <c r="CU19" s="157">
        <f>CV19</f>
        <v>0</v>
      </c>
      <c r="CV19" s="157">
        <v>0</v>
      </c>
      <c r="CW19" s="157">
        <f>CX19</f>
        <v>0</v>
      </c>
      <c r="CX19" s="157">
        <v>0</v>
      </c>
      <c r="CY19" s="157">
        <v>0</v>
      </c>
      <c r="CZ19" s="157">
        <v>0</v>
      </c>
      <c r="DA19" s="157">
        <v>0</v>
      </c>
      <c r="DB19" s="157">
        <v>0</v>
      </c>
      <c r="DC19" s="157">
        <v>0</v>
      </c>
      <c r="DD19" s="157">
        <v>0</v>
      </c>
      <c r="DE19" s="157">
        <v>0</v>
      </c>
      <c r="DF19" s="157">
        <v>0</v>
      </c>
      <c r="DG19" s="157">
        <v>0</v>
      </c>
      <c r="DH19" s="157">
        <v>0</v>
      </c>
      <c r="DI19" s="157">
        <v>0</v>
      </c>
      <c r="DJ19" s="157">
        <v>0</v>
      </c>
      <c r="DK19" s="578">
        <f>DJ19</f>
        <v>0</v>
      </c>
      <c r="DL19" s="157">
        <v>0</v>
      </c>
      <c r="DM19" s="157">
        <v>0</v>
      </c>
      <c r="DN19" s="578">
        <f>DM19</f>
        <v>0</v>
      </c>
      <c r="DO19" s="157">
        <v>0</v>
      </c>
      <c r="DP19" s="157">
        <v>0</v>
      </c>
      <c r="DQ19" s="578">
        <f>DP19</f>
        <v>0</v>
      </c>
      <c r="DR19" s="157">
        <v>0</v>
      </c>
      <c r="DS19" s="157">
        <v>0</v>
      </c>
      <c r="DT19" s="578">
        <f>DS19</f>
        <v>0</v>
      </c>
      <c r="DU19" s="170">
        <f>SUM(CT19,CU19,CW19)</f>
        <v>0</v>
      </c>
      <c r="DV19" s="170">
        <f>SUM(CY19,DA19,DC19)</f>
        <v>0</v>
      </c>
      <c r="DW19" s="170">
        <f>SUM(DE19,DG19,DJ19)</f>
        <v>0</v>
      </c>
      <c r="DX19" s="170">
        <f>SUM(DM19,DP19,DS19)</f>
        <v>0</v>
      </c>
      <c r="DY19" s="170">
        <f>DU19+DV19+DW19+DX19</f>
        <v>0</v>
      </c>
      <c r="DZ19" s="170">
        <f>CT19+CU19+CW19+CY19+DA19+DC19+DE19+DG19+DK19+DN19+DQ19+DT19</f>
        <v>0</v>
      </c>
      <c r="EA19" s="170"/>
      <c r="EB19" s="170"/>
      <c r="EC19" s="170"/>
      <c r="ED19" s="170"/>
      <c r="EE19" s="170"/>
      <c r="EF19" s="170"/>
      <c r="EG19" s="170"/>
      <c r="EH19" s="170"/>
      <c r="EI19" s="170"/>
      <c r="EJ19" s="170"/>
      <c r="EK19" s="170"/>
      <c r="EL19" s="170"/>
      <c r="EM19" s="170"/>
      <c r="EN19" s="157">
        <f>'BUDGET REVENUE BP 2021-2025'!BN409/1000000</f>
        <v>2540.6235115999998</v>
      </c>
      <c r="EO19" s="157">
        <f t="shared" si="28"/>
        <v>2540.6235115999998</v>
      </c>
      <c r="EP19" s="157">
        <f>'BUDGET REVENUE BP 2021-2025'!BO409/1000000</f>
        <v>2540.6235115999998</v>
      </c>
      <c r="EQ19" s="157">
        <f t="shared" si="28"/>
        <v>2538.6235115999998</v>
      </c>
      <c r="ER19" s="157">
        <f>'BUDGET REVENUE BP 2021-2025'!BP409/1000000</f>
        <v>2538.6235115999998</v>
      </c>
      <c r="ES19" s="157">
        <f t="shared" si="28"/>
        <v>2624.9235140000001</v>
      </c>
      <c r="ET19" s="157">
        <f>'BUDGET REVENUE BP 2021-2025'!BQ409/1000000</f>
        <v>2624.9235140000001</v>
      </c>
      <c r="EU19" s="157">
        <f t="shared" si="28"/>
        <v>2248.4349869000002</v>
      </c>
      <c r="EV19" s="157">
        <f>'BUDGET REVENUE BP 2021-2025'!BR409/1000000</f>
        <v>2248.4349869000002</v>
      </c>
      <c r="EW19" s="157">
        <f t="shared" si="28"/>
        <v>2483.6235115999998</v>
      </c>
      <c r="EX19" s="157">
        <f>'BUDGET REVENUE BP 2021-2025'!BS409/1000000</f>
        <v>2483.6235115999998</v>
      </c>
      <c r="EY19" s="157">
        <f t="shared" si="28"/>
        <v>2543.6235115999998</v>
      </c>
      <c r="EZ19" s="157">
        <f>'BUDGET REVENUE BP 2021-2025'!BT409/1000000</f>
        <v>2543.6235115999998</v>
      </c>
      <c r="FA19" s="157">
        <f t="shared" si="28"/>
        <v>2543.6235115999998</v>
      </c>
      <c r="FB19" s="157">
        <f>'BUDGET REVENUE BP 2021-2025'!BU409/1000000</f>
        <v>2543.6235115999998</v>
      </c>
      <c r="FC19" s="157">
        <f t="shared" si="28"/>
        <v>2553.6235115999998</v>
      </c>
      <c r="FD19" s="157">
        <f>'BUDGET REVENUE BP 2021-2025'!BV409/1000000</f>
        <v>2553.6235115999998</v>
      </c>
      <c r="FE19" s="578">
        <f>FD19</f>
        <v>2553.6235115999998</v>
      </c>
      <c r="FF19" s="157">
        <f>FG19</f>
        <v>2573.6235115999998</v>
      </c>
      <c r="FG19" s="157">
        <f>'BUDGET REVENUE BP 2021-2025'!BW409/1000000</f>
        <v>2573.6235115999998</v>
      </c>
      <c r="FH19" s="578">
        <f>FG19</f>
        <v>2573.6235115999998</v>
      </c>
      <c r="FI19" s="157">
        <f>FJ19</f>
        <v>2618.6235115999998</v>
      </c>
      <c r="FJ19" s="157">
        <f>'BUDGET REVENUE BP 2021-2025'!BX409/1000000</f>
        <v>2618.6235115999998</v>
      </c>
      <c r="FK19" s="578">
        <f>FJ19</f>
        <v>2618.6235115999998</v>
      </c>
      <c r="FL19" s="157">
        <f>FM19</f>
        <v>2560.6235115999998</v>
      </c>
      <c r="FM19" s="157">
        <f>'BUDGET REVENUE BP 2021-2025'!BY409/1000000</f>
        <v>2560.6235115999998</v>
      </c>
      <c r="FN19" s="578">
        <f>FM19</f>
        <v>2560.6235115999998</v>
      </c>
      <c r="FO19" s="170">
        <f>SUM(EN19,EO19,ER19)</f>
        <v>7619.8705347999994</v>
      </c>
      <c r="FP19" s="170">
        <f>SUM(ES19,EU19,EW19)</f>
        <v>7356.9820124999997</v>
      </c>
      <c r="FQ19" s="170">
        <f>SUM(EY19,FA19,FD19)</f>
        <v>7640.8705347999994</v>
      </c>
      <c r="FR19" s="170">
        <f>SUM(FG19,FJ19,FM19)</f>
        <v>7752.8705347999994</v>
      </c>
      <c r="FS19" s="170">
        <f>FO19+FP19+FQ19+FR19</f>
        <v>30370.593616899998</v>
      </c>
      <c r="FT19" s="170">
        <f>EN19+EO19+EQ19+ES19+EU19+EW19+EY19+FA19+FE19+FH19+FK19+FN19</f>
        <v>30370.593616899991</v>
      </c>
      <c r="FU19" s="170"/>
      <c r="FV19" s="170"/>
      <c r="FW19" s="170"/>
      <c r="FX19" s="170"/>
      <c r="FY19" s="170"/>
      <c r="FZ19" s="170"/>
      <c r="GA19" s="170"/>
      <c r="GB19" s="170"/>
      <c r="GC19" s="170"/>
      <c r="GD19" s="170"/>
      <c r="GE19" s="170"/>
      <c r="GF19" s="170"/>
      <c r="GG19" s="170"/>
      <c r="GH19" s="157">
        <f>'BUDGET REVENUE BP 2021-2025'!BN853/1000000</f>
        <v>245</v>
      </c>
      <c r="GI19" s="157">
        <f t="shared" si="29"/>
        <v>485</v>
      </c>
      <c r="GJ19" s="157">
        <f>'BUDGET REVENUE BP 2021-2025'!BO853/1000000</f>
        <v>485</v>
      </c>
      <c r="GK19" s="157">
        <f t="shared" si="29"/>
        <v>235</v>
      </c>
      <c r="GL19" s="157">
        <f>'BUDGET REVENUE BP 2021-2025'!BP853/1000000</f>
        <v>235</v>
      </c>
      <c r="GM19" s="157">
        <f t="shared" si="29"/>
        <v>285</v>
      </c>
      <c r="GN19" s="157">
        <f>'BUDGET REVENUE BP 2021-2025'!BQ853/1000000</f>
        <v>285</v>
      </c>
      <c r="GO19" s="157">
        <f t="shared" si="29"/>
        <v>535</v>
      </c>
      <c r="GP19" s="157">
        <f>'BUDGET REVENUE BP 2021-2025'!BR853/1000000</f>
        <v>535</v>
      </c>
      <c r="GQ19" s="157">
        <f t="shared" si="29"/>
        <v>235</v>
      </c>
      <c r="GR19" s="157">
        <f>'BUDGET REVENUE BP 2021-2025'!BS853/1000000</f>
        <v>235</v>
      </c>
      <c r="GS19" s="157">
        <f>GT19</f>
        <v>285</v>
      </c>
      <c r="GT19" s="157">
        <f>'BUDGET REVENUE BP 2021-2025'!BT853/1000000</f>
        <v>285</v>
      </c>
      <c r="GU19" s="157">
        <f>GV19</f>
        <v>485</v>
      </c>
      <c r="GV19" s="157">
        <f>'BUDGET REVENUE BP 2021-2025'!BU853/1000000</f>
        <v>485</v>
      </c>
      <c r="GW19" s="157">
        <f>GX19</f>
        <v>235</v>
      </c>
      <c r="GX19" s="157">
        <f>'BUDGET REVENUE BP 2021-2025'!BV853/1000000</f>
        <v>235</v>
      </c>
      <c r="GY19" s="578">
        <f>GX19</f>
        <v>235</v>
      </c>
      <c r="GZ19" s="157">
        <f>HA19</f>
        <v>300</v>
      </c>
      <c r="HA19" s="157">
        <f>'BUDGET REVENUE BP 2021-2025'!BW853/1000000</f>
        <v>300</v>
      </c>
      <c r="HB19" s="578">
        <f>HA19</f>
        <v>300</v>
      </c>
      <c r="HC19" s="157">
        <f>HD19</f>
        <v>535</v>
      </c>
      <c r="HD19" s="157">
        <f>'BUDGET REVENUE BP 2021-2025'!BX853/1000000</f>
        <v>535</v>
      </c>
      <c r="HE19" s="578">
        <f>HD19</f>
        <v>535</v>
      </c>
      <c r="HF19" s="157">
        <f>HG19</f>
        <v>235</v>
      </c>
      <c r="HG19" s="157">
        <f>'BUDGET REVENUE BP 2021-2025'!BY853/1000000</f>
        <v>235</v>
      </c>
      <c r="HH19" s="578">
        <f>HG19</f>
        <v>235</v>
      </c>
      <c r="HI19" s="170">
        <f>SUM(GH19,GI19,GL19)</f>
        <v>965</v>
      </c>
      <c r="HJ19" s="170">
        <f>SUM(GM19,GO19,GQ19)</f>
        <v>1055</v>
      </c>
      <c r="HK19" s="170">
        <f>SUM(GS19,GU19,GX19)</f>
        <v>1005</v>
      </c>
      <c r="HL19" s="170">
        <f>SUM(HA19,HD19,HG19)</f>
        <v>1070</v>
      </c>
      <c r="HM19" s="170">
        <f>HI19+HJ19+HK19+HL19</f>
        <v>4095</v>
      </c>
      <c r="HN19" s="170">
        <f>GH19+GI19+GK19+GM19+GO19+GQ19+GS19+GU19+GY19+HB19+HE19+HH19</f>
        <v>4095</v>
      </c>
      <c r="HO19" s="170"/>
      <c r="HP19" s="170"/>
      <c r="HQ19" s="170"/>
      <c r="HR19" s="170"/>
      <c r="HS19" s="170"/>
      <c r="HT19" s="170"/>
      <c r="HU19" s="170"/>
      <c r="HV19" s="170"/>
      <c r="HW19" s="170"/>
      <c r="HX19" s="170"/>
      <c r="HY19" s="170"/>
      <c r="HZ19" s="170"/>
      <c r="IA19" s="170"/>
      <c r="IB19" s="157">
        <f>'BUDGET REVENUE BP 2021-2025'!BN761/1000000</f>
        <v>2080</v>
      </c>
      <c r="IC19" s="157">
        <f>ID19</f>
        <v>2060</v>
      </c>
      <c r="ID19" s="157">
        <f>'BUDGET REVENUE BP 2021-2025'!BO761/1000000</f>
        <v>2060</v>
      </c>
      <c r="IE19" s="157">
        <f>IF19</f>
        <v>2080</v>
      </c>
      <c r="IF19" s="157">
        <f>'BUDGET REVENUE BP 2021-2025'!BP761/1000000</f>
        <v>2080</v>
      </c>
      <c r="IG19" s="157">
        <f>IH19</f>
        <v>2092.5</v>
      </c>
      <c r="IH19" s="157">
        <f>'BUDGET REVENUE BP 2021-2025'!BQ761/1000000</f>
        <v>2092.5</v>
      </c>
      <c r="II19" s="157">
        <f>IJ19</f>
        <v>2049</v>
      </c>
      <c r="IJ19" s="157">
        <f>'BUDGET REVENUE BP 2021-2025'!BR761/1000000</f>
        <v>2049</v>
      </c>
      <c r="IK19" s="157">
        <f>IL19</f>
        <v>2180</v>
      </c>
      <c r="IL19" s="157">
        <f>'BUDGET REVENUE BP 2021-2025'!BS761/1000000</f>
        <v>2180</v>
      </c>
      <c r="IM19" s="157">
        <f>IN19</f>
        <v>2205</v>
      </c>
      <c r="IN19" s="157">
        <f>'BUDGET REVENUE BP 2021-2025'!BT761/1000000</f>
        <v>2205</v>
      </c>
      <c r="IO19" s="157">
        <f>IP19</f>
        <v>2195</v>
      </c>
      <c r="IP19" s="157">
        <f>'BUDGET REVENUE BP 2021-2025'!BU761/1000000</f>
        <v>2195</v>
      </c>
      <c r="IQ19" s="157">
        <f>IR19</f>
        <v>2202.5</v>
      </c>
      <c r="IR19" s="157">
        <f>'BUDGET REVENUE BP 2021-2025'!BV761/1000000</f>
        <v>2202.5</v>
      </c>
      <c r="IS19" s="578">
        <f>IR19</f>
        <v>2202.5</v>
      </c>
      <c r="IT19" s="157">
        <f>IU19</f>
        <v>2187.5</v>
      </c>
      <c r="IU19" s="157">
        <f>'BUDGET REVENUE BP 2021-2025'!BW761/1000000</f>
        <v>2187.5</v>
      </c>
      <c r="IV19" s="578">
        <f>IU19</f>
        <v>2187.5</v>
      </c>
      <c r="IW19" s="157">
        <f>IX19</f>
        <v>2207.5</v>
      </c>
      <c r="IX19" s="157">
        <f>'BUDGET REVENUE BP 2021-2025'!BX761/1000000</f>
        <v>2207.5</v>
      </c>
      <c r="IY19" s="578">
        <f>IX19</f>
        <v>2207.5</v>
      </c>
      <c r="IZ19" s="157">
        <f>JA19</f>
        <v>2209.343617</v>
      </c>
      <c r="JA19" s="157">
        <f>'BUDGET REVENUE BP 2021-2025'!BY761/1000000</f>
        <v>2209.343617</v>
      </c>
      <c r="JB19" s="578">
        <f>JA19</f>
        <v>2209.343617</v>
      </c>
      <c r="JC19" s="170">
        <f>SUM(IB19,IC19,IF19)</f>
        <v>6220</v>
      </c>
      <c r="JD19" s="170">
        <f>SUM(IG19,II19,IK19)</f>
        <v>6321.5</v>
      </c>
      <c r="JE19" s="170">
        <f>SUM(IM19,IO19,IR19)</f>
        <v>6602.5</v>
      </c>
      <c r="JF19" s="170">
        <f>SUM(IU19,IX19,JA19)</f>
        <v>6604.3436170000004</v>
      </c>
      <c r="JG19" s="170">
        <f>JC19+JD19+JE19+JF19</f>
        <v>25748.343616999999</v>
      </c>
      <c r="JH19" s="170">
        <f>IB19+IC19+IE19+IG19+II19+IK19+IM19+IO19+IS19+IV19+IY19+JB19</f>
        <v>25748.343616999999</v>
      </c>
      <c r="JI19" s="170"/>
      <c r="JJ19" s="170"/>
      <c r="JK19" s="170"/>
      <c r="JL19" s="170"/>
      <c r="JM19" s="170"/>
      <c r="JN19" s="170"/>
      <c r="JO19" s="170"/>
      <c r="JP19" s="170"/>
      <c r="JQ19" s="170"/>
      <c r="JR19" s="170"/>
      <c r="JS19" s="170"/>
      <c r="JT19" s="170"/>
      <c r="JU19" s="170"/>
      <c r="JV19" s="157">
        <v>0</v>
      </c>
      <c r="JW19" s="157">
        <f>JX19</f>
        <v>0</v>
      </c>
      <c r="JX19" s="157">
        <v>0</v>
      </c>
      <c r="JY19" s="157">
        <f>JZ19</f>
        <v>0</v>
      </c>
      <c r="JZ19" s="157">
        <v>0</v>
      </c>
      <c r="KA19" s="157">
        <v>0</v>
      </c>
      <c r="KB19" s="157">
        <v>0</v>
      </c>
      <c r="KC19" s="157">
        <v>0</v>
      </c>
      <c r="KD19" s="157">
        <v>0</v>
      </c>
      <c r="KE19" s="157">
        <v>0</v>
      </c>
      <c r="KF19" s="157">
        <v>0</v>
      </c>
      <c r="KG19" s="157">
        <f>KH19</f>
        <v>0</v>
      </c>
      <c r="KH19" s="157">
        <v>0</v>
      </c>
      <c r="KI19" s="157">
        <f>KJ19</f>
        <v>0</v>
      </c>
      <c r="KJ19" s="157">
        <v>0</v>
      </c>
      <c r="KK19" s="157">
        <f>KL19</f>
        <v>0</v>
      </c>
      <c r="KL19" s="157">
        <v>0</v>
      </c>
      <c r="KM19" s="578">
        <f>KL19</f>
        <v>0</v>
      </c>
      <c r="KN19" s="157">
        <f>KO19</f>
        <v>0</v>
      </c>
      <c r="KO19" s="157">
        <v>0</v>
      </c>
      <c r="KP19" s="578">
        <f>KO19</f>
        <v>0</v>
      </c>
      <c r="KQ19" s="157">
        <f>KR19</f>
        <v>0</v>
      </c>
      <c r="KR19" s="157">
        <v>0</v>
      </c>
      <c r="KS19" s="578">
        <f>KR19</f>
        <v>0</v>
      </c>
      <c r="KT19" s="157">
        <f>KU19</f>
        <v>0</v>
      </c>
      <c r="KU19" s="157">
        <v>0</v>
      </c>
      <c r="KV19" s="578">
        <f>KU19</f>
        <v>0</v>
      </c>
      <c r="KW19" s="170">
        <f>SUM(JV19,JW19,JZ19)</f>
        <v>0</v>
      </c>
      <c r="KX19" s="170">
        <f>SUM(KA19,KC19,KE19)</f>
        <v>0</v>
      </c>
      <c r="KY19" s="170">
        <f>SUM(KG19,KI19,KL19)</f>
        <v>0</v>
      </c>
      <c r="KZ19" s="170">
        <f>SUM(KO19,KR19,KU19)</f>
        <v>0</v>
      </c>
      <c r="LA19" s="170">
        <f>KW19+KX19+KY19+KZ19</f>
        <v>0</v>
      </c>
      <c r="LB19" s="170">
        <f>JV19+JW19+JY19+KA19+KC19+KE19+KG19+KI19+KM19+KP19+KS19+KV19</f>
        <v>0</v>
      </c>
      <c r="LC19" s="170"/>
      <c r="LD19" s="170"/>
      <c r="LE19" s="170"/>
      <c r="LF19" s="170"/>
      <c r="LG19" s="170"/>
      <c r="LH19" s="170"/>
      <c r="LI19" s="170"/>
      <c r="LJ19" s="170"/>
      <c r="LK19" s="170"/>
      <c r="LL19" s="170"/>
      <c r="LM19" s="170"/>
      <c r="LN19" s="170"/>
      <c r="LO19" s="170"/>
      <c r="LP19" s="578">
        <v>0</v>
      </c>
      <c r="LQ19" s="578">
        <v>0</v>
      </c>
      <c r="LR19" s="578">
        <v>0</v>
      </c>
      <c r="LS19" s="578">
        <v>0</v>
      </c>
      <c r="LT19" s="578">
        <v>0</v>
      </c>
      <c r="LU19" s="578">
        <v>0</v>
      </c>
      <c r="LV19" s="578">
        <v>0</v>
      </c>
      <c r="LW19" s="578">
        <v>0</v>
      </c>
      <c r="LX19" s="578">
        <v>0</v>
      </c>
      <c r="LY19" s="578">
        <v>0</v>
      </c>
      <c r="LZ19" s="578">
        <v>0</v>
      </c>
      <c r="MA19" s="578">
        <v>0</v>
      </c>
      <c r="MB19" s="578">
        <v>0</v>
      </c>
      <c r="MC19" s="578">
        <v>0</v>
      </c>
      <c r="MD19" s="578">
        <v>0</v>
      </c>
      <c r="ME19" s="578">
        <v>0</v>
      </c>
      <c r="MF19" s="578">
        <v>0</v>
      </c>
      <c r="MG19" s="578">
        <f>MF19</f>
        <v>0</v>
      </c>
      <c r="MH19" s="578">
        <v>0</v>
      </c>
      <c r="MI19" s="578">
        <v>0</v>
      </c>
      <c r="MJ19" s="578">
        <f>MI19</f>
        <v>0</v>
      </c>
      <c r="MK19" s="578">
        <v>0</v>
      </c>
      <c r="ML19" s="578">
        <v>0</v>
      </c>
      <c r="MM19" s="578">
        <f>ML19</f>
        <v>0</v>
      </c>
      <c r="MN19" s="578">
        <v>0</v>
      </c>
      <c r="MO19" s="578">
        <v>0</v>
      </c>
      <c r="MP19" s="578">
        <f>MO19</f>
        <v>0</v>
      </c>
      <c r="MQ19" s="170">
        <f>SUM(LP19,LQ19,LT19)</f>
        <v>0</v>
      </c>
      <c r="MR19" s="170">
        <f>SUM(LU19,LW19,LY19)</f>
        <v>0</v>
      </c>
      <c r="MS19" s="170">
        <f>SUM(MA19,MC19,MF19)</f>
        <v>0</v>
      </c>
      <c r="MT19" s="170">
        <f>SUM(MI19,ML19,MO19)</f>
        <v>0</v>
      </c>
      <c r="MU19" s="170">
        <f>MQ19+MR19+MS19+MT19</f>
        <v>0</v>
      </c>
      <c r="MV19" s="170">
        <f>LP19+LQ19+LS19+LU19+LW19+LY19+MA19+MC19+MG19+MJ19+MM19+MP19</f>
        <v>0</v>
      </c>
      <c r="MW19" s="170"/>
      <c r="MX19" s="170"/>
      <c r="MY19" s="170"/>
      <c r="MZ19" s="170"/>
      <c r="NA19" s="170"/>
      <c r="NB19" s="170"/>
      <c r="NC19" s="170"/>
      <c r="ND19" s="170"/>
      <c r="NE19" s="170"/>
      <c r="NF19" s="170"/>
      <c r="NG19" s="170"/>
      <c r="NH19" s="170"/>
      <c r="NI19" s="170"/>
      <c r="NJ19" s="157"/>
      <c r="NK19" s="157"/>
      <c r="NL19" s="157"/>
      <c r="NM19" s="157"/>
      <c r="NN19" s="157"/>
      <c r="NO19" s="157"/>
      <c r="NP19" s="157"/>
      <c r="NQ19" s="157"/>
      <c r="NR19" s="157"/>
      <c r="NS19" s="157"/>
      <c r="NT19" s="157"/>
      <c r="NU19" s="157"/>
      <c r="NV19" s="157"/>
      <c r="NW19" s="157"/>
      <c r="NX19" s="157"/>
      <c r="NY19" s="157"/>
      <c r="NZ19" s="157"/>
      <c r="OA19" s="157"/>
      <c r="OB19" s="157"/>
      <c r="OC19" s="157"/>
      <c r="OD19" s="157"/>
      <c r="OE19" s="157"/>
      <c r="OF19" s="157"/>
      <c r="OG19" s="170">
        <f>SUM(NJ19,NK19,NN19)</f>
        <v>0</v>
      </c>
      <c r="OH19" s="170">
        <f>SUM(NO19,NQ19,NS19)</f>
        <v>0</v>
      </c>
      <c r="OI19" s="170">
        <f>SUM(NU19,NW19,NZ19)</f>
        <v>0</v>
      </c>
      <c r="OJ19" s="170">
        <f>SUM(OB19,OD19,OF19)</f>
        <v>0</v>
      </c>
      <c r="OK19" s="170">
        <f>OG19+OH19+OI19+OJ19</f>
        <v>0</v>
      </c>
      <c r="OL19" s="170"/>
      <c r="OM19" s="170"/>
      <c r="ON19" s="170"/>
      <c r="OO19" s="170"/>
      <c r="OP19" s="170"/>
      <c r="OQ19" s="170"/>
      <c r="OR19" s="170"/>
      <c r="OS19" s="170"/>
      <c r="OT19" s="170"/>
      <c r="OU19" s="170"/>
      <c r="OV19" s="170"/>
      <c r="OW19" s="170"/>
      <c r="OX19" s="170"/>
      <c r="OY19" s="157">
        <f t="shared" si="25"/>
        <v>10085.865423949999</v>
      </c>
      <c r="OZ19" s="157">
        <f t="shared" si="25"/>
        <v>10315.865423949999</v>
      </c>
      <c r="PA19" s="157">
        <f t="shared" si="25"/>
        <v>10315.865423949999</v>
      </c>
      <c r="PB19" s="157">
        <f t="shared" si="25"/>
        <v>10083.865423949999</v>
      </c>
      <c r="PC19" s="157">
        <f t="shared" si="25"/>
        <v>10083.865423949999</v>
      </c>
      <c r="PD19" s="157">
        <f t="shared" si="25"/>
        <v>10312.66542635</v>
      </c>
      <c r="PE19" s="157">
        <f t="shared" si="25"/>
        <v>10312.66542635</v>
      </c>
      <c r="PF19" s="157">
        <f t="shared" si="25"/>
        <v>10202.67689925</v>
      </c>
      <c r="PG19" s="157">
        <f t="shared" si="25"/>
        <v>10202.67689925</v>
      </c>
      <c r="PH19" s="157">
        <f t="shared" si="25"/>
        <v>10538.865423949999</v>
      </c>
      <c r="PI19" s="157">
        <f t="shared" si="25"/>
        <v>10538.865423949999</v>
      </c>
      <c r="PJ19" s="157">
        <f t="shared" si="25"/>
        <v>10872.730489950001</v>
      </c>
      <c r="PK19" s="157">
        <f>SUM(R9,BL9,DF19,EZ19,GT19,IN19,KH19,MB19,NV19)</f>
        <v>10872.730489950001</v>
      </c>
      <c r="PL19" s="157">
        <f>SUM(S19,BM19,DG19,FA19,GU19,IO19,KI19,MC19,NW19)</f>
        <v>11057.730489950001</v>
      </c>
      <c r="PM19" s="157">
        <f>SUM(T9,BN9,DH19,FB19,GV19,IP19,KJ19,MD19,NX19)</f>
        <v>11057.730489950001</v>
      </c>
      <c r="PN19" s="157">
        <f>SUM(U19,BO19,DI19,FC19,GW19,IQ19,KK19,ME19,NY19)</f>
        <v>10930.230489950001</v>
      </c>
      <c r="PO19" s="157">
        <f>SUM(V9,BP9,DJ19,FD19,GX19,IR19,KL19,MF19,NZ19)</f>
        <v>10930.230489950001</v>
      </c>
      <c r="PP19" s="578">
        <f>PO19</f>
        <v>10930.230489950001</v>
      </c>
      <c r="PQ19" s="157">
        <f>SUM(X19,BR19,DL19,FF19,GZ19,IT19,KN19,MH19,OA19)</f>
        <v>11000.230489950001</v>
      </c>
      <c r="PR19" s="157">
        <f>SUM(Y9,BS9,DM19,FG19,HA19,IU19,KO19,MI19,OB19)</f>
        <v>11000.230489950001</v>
      </c>
      <c r="PS19" s="578">
        <f>PR19</f>
        <v>11000.230489950001</v>
      </c>
      <c r="PT19" s="157">
        <f>SUM(AA19,BU19,DO19,FI19,HC19,IW19,KQ19,MK19,OC19)</f>
        <v>11305.230489950001</v>
      </c>
      <c r="PU19" s="157">
        <f>SUM(AB9,BV9,DP19,FJ19,HD19,IX19,KR19,ML19,OD19)</f>
        <v>11305.230489950001</v>
      </c>
      <c r="PV19" s="578">
        <f>PU19</f>
        <v>11305.230489950001</v>
      </c>
      <c r="PW19" s="157">
        <f>SUM(AD19,BX19,DR19,FL19,HF19,IZ19,KT19,MN19,OE19)</f>
        <v>10944.074106950002</v>
      </c>
      <c r="PX19" s="157">
        <f>SUM(AE9,BY9,DS19,FM19,HG19,JA19,KU19,MO19,OF19)</f>
        <v>10944.074106950002</v>
      </c>
      <c r="PY19" s="578">
        <f>PX19</f>
        <v>10944.074106950002</v>
      </c>
      <c r="PZ19" s="170">
        <f>SUM(OY19,OZ19,PB19)</f>
        <v>30485.596271849998</v>
      </c>
      <c r="QA19" s="170">
        <f>SUM(PD19,PF19,PH19)</f>
        <v>31054.207749550002</v>
      </c>
      <c r="QB19" s="170">
        <f>SUM(PJ19,PL19,PO19)</f>
        <v>32860.691469850004</v>
      </c>
      <c r="QC19" s="170">
        <f>SUM(PR19,PU19,PX19)</f>
        <v>33249.535086850003</v>
      </c>
      <c r="QD19" s="170">
        <f>PZ19+QA19+QB19+QC19</f>
        <v>127650.03057810001</v>
      </c>
      <c r="QE19" s="170">
        <f>OY19+OZ19+PB19+PD19+PF19+PH19+PJ19+PL19+PP19+PS19+PV19+PY19</f>
        <v>127650.03057810001</v>
      </c>
      <c r="QF19" s="685"/>
      <c r="QG19" s="685"/>
      <c r="QH19" s="170"/>
      <c r="QI19" s="170"/>
      <c r="QJ19" s="170"/>
      <c r="QK19" s="170"/>
      <c r="QL19" s="170"/>
      <c r="QM19" s="170"/>
      <c r="QN19" s="170"/>
      <c r="QO19" s="170"/>
      <c r="QP19" s="170"/>
      <c r="QQ19" s="170"/>
      <c r="QR19" s="170"/>
      <c r="QS19" s="170"/>
      <c r="QT19" s="170"/>
      <c r="QU19" s="167">
        <f>SUM(AG19,CA19,DU19,FO19,HI19,JC19,KW19)</f>
        <v>30485.596271850001</v>
      </c>
    </row>
    <row r="20" spans="1:463" hidden="1" outlineLevel="1">
      <c r="A20" s="143" t="s">
        <v>312</v>
      </c>
      <c r="B20" s="143"/>
      <c r="C20" s="143"/>
      <c r="D20" s="143"/>
      <c r="E20" s="143"/>
      <c r="F20" s="157">
        <f>'BUDGET REVENUE CML 2021-2025'!Y265/10^6</f>
        <v>519.28944999999999</v>
      </c>
      <c r="G20" s="157">
        <f>H20</f>
        <v>525.12324999999998</v>
      </c>
      <c r="H20" s="157">
        <f>'BUDGET REVENUE CML 2021-2025'!Z265/10^6</f>
        <v>525.12324999999998</v>
      </c>
      <c r="I20" s="157">
        <f>J20</f>
        <v>571.12324999999998</v>
      </c>
      <c r="J20" s="157">
        <f>'BUDGET REVENUE CML 2021-2025'!AA265/10^6</f>
        <v>571.12324999999998</v>
      </c>
      <c r="K20" s="157">
        <f>L20</f>
        <v>571.12324999999998</v>
      </c>
      <c r="L20" s="157">
        <f>'BUDGET REVENUE CML 2021-2025'!AB265/10^6</f>
        <v>571.12324999999998</v>
      </c>
      <c r="M20" s="157">
        <f>N20</f>
        <v>518.12324999999998</v>
      </c>
      <c r="N20" s="157">
        <f>'BUDGET REVENUE CML 2021-2025'!AC265/10^6</f>
        <v>518.12324999999998</v>
      </c>
      <c r="O20" s="157">
        <f>P20</f>
        <v>571.12324999999998</v>
      </c>
      <c r="P20" s="578">
        <f>'BUDGET REVENUE CML 2021-2025'!AD265/10^6</f>
        <v>571.12324999999998</v>
      </c>
      <c r="Q20" s="157">
        <f>R10</f>
        <v>621.12324999999998</v>
      </c>
      <c r="R20" s="174">
        <f t="shared" si="26"/>
        <v>621.12324999999998</v>
      </c>
      <c r="S20" s="157">
        <f>T10</f>
        <v>621.12324999999998</v>
      </c>
      <c r="T20" s="174">
        <f t="shared" si="26"/>
        <v>621.12324999999998</v>
      </c>
      <c r="U20" s="157">
        <f>V10</f>
        <v>621.12324999999998</v>
      </c>
      <c r="V20" s="174">
        <f>U20</f>
        <v>621.12324999999998</v>
      </c>
      <c r="W20" s="578">
        <f>V10</f>
        <v>621.12324999999998</v>
      </c>
      <c r="X20" s="157">
        <f>Y10</f>
        <v>576.12324999999998</v>
      </c>
      <c r="Y20" s="174">
        <f>X20</f>
        <v>576.12324999999998</v>
      </c>
      <c r="Z20" s="578">
        <f>Y10</f>
        <v>576.12324999999998</v>
      </c>
      <c r="AA20" s="157">
        <f>AB10</f>
        <v>576.12324999999998</v>
      </c>
      <c r="AB20" s="174">
        <f>AA20</f>
        <v>576.12324999999998</v>
      </c>
      <c r="AC20" s="578">
        <f>AB10</f>
        <v>576.12324999999998</v>
      </c>
      <c r="AD20" s="157">
        <f>AE10</f>
        <v>575.12324999999998</v>
      </c>
      <c r="AE20" s="174">
        <f>AD20</f>
        <v>575.12324999999998</v>
      </c>
      <c r="AF20" s="578">
        <f>AE10</f>
        <v>575.12324999999998</v>
      </c>
      <c r="AG20" s="170">
        <f>SUM(F20,G20,J20)</f>
        <v>1615.53595</v>
      </c>
      <c r="AH20" s="170">
        <f>SUM(K20,M20,O20)</f>
        <v>1660.3697499999998</v>
      </c>
      <c r="AI20" s="170">
        <f>SUM(Q20,S20,V10)</f>
        <v>1863.3697499999998</v>
      </c>
      <c r="AJ20" s="170">
        <f>SUM(Y10,AB10,AE10)</f>
        <v>1727.3697499999998</v>
      </c>
      <c r="AK20" s="170">
        <f>AG20+AH20+AI20+AJ20</f>
        <v>6866.645199999999</v>
      </c>
      <c r="AL20" s="170">
        <f>F20+G20+I20+K20+M20+O20+Q20+S20+W20+Z20+AC20+AF20</f>
        <v>6866.645199999999</v>
      </c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57">
        <f>'BUDGET REVENUE CML 2021-2025'!Y334/10^6</f>
        <v>520</v>
      </c>
      <c r="BA20" s="157">
        <f>BB20</f>
        <v>520</v>
      </c>
      <c r="BB20" s="157">
        <f>'BUDGET REVENUE CML 2021-2025'!Z334/10^6</f>
        <v>520</v>
      </c>
      <c r="BC20" s="157">
        <f t="shared" si="27"/>
        <v>599</v>
      </c>
      <c r="BD20" s="157">
        <f>'BUDGET REVENUE CML 2021-2025'!AA334/10^6</f>
        <v>599</v>
      </c>
      <c r="BE20" s="157">
        <f t="shared" si="27"/>
        <v>579</v>
      </c>
      <c r="BF20" s="157">
        <f>'BUDGET REVENUE CML 2021-2025'!AB334/10^6</f>
        <v>579</v>
      </c>
      <c r="BG20" s="157">
        <f t="shared" si="27"/>
        <v>579</v>
      </c>
      <c r="BH20" s="157">
        <f>'BUDGET REVENUE CML 2021-2025'!AC334/10^6</f>
        <v>579</v>
      </c>
      <c r="BI20" s="157">
        <f t="shared" si="27"/>
        <v>579</v>
      </c>
      <c r="BJ20" s="157">
        <f>'BUDGET REVENUE CML 2021-2025'!AD334/10^6</f>
        <v>579</v>
      </c>
      <c r="BK20" s="157">
        <f>BL10</f>
        <v>579</v>
      </c>
      <c r="BM20" s="157">
        <f>BN10</f>
        <v>579</v>
      </c>
      <c r="BO20" s="157">
        <f>BP10</f>
        <v>609</v>
      </c>
      <c r="BQ20" s="578">
        <f>BP10</f>
        <v>609</v>
      </c>
      <c r="BR20" s="157">
        <f>BS10</f>
        <v>589</v>
      </c>
      <c r="BS20" s="174">
        <f>BR20</f>
        <v>589</v>
      </c>
      <c r="BT20" s="578">
        <f>BS10</f>
        <v>589</v>
      </c>
      <c r="BU20" s="157">
        <f>BV10</f>
        <v>579</v>
      </c>
      <c r="BV20" s="174">
        <f>BU20</f>
        <v>579</v>
      </c>
      <c r="BW20" s="578">
        <f>BV10</f>
        <v>579</v>
      </c>
      <c r="BX20" s="157">
        <f>BY10</f>
        <v>579</v>
      </c>
      <c r="BY20" s="174">
        <f>BX20</f>
        <v>579</v>
      </c>
      <c r="BZ20" s="578">
        <f>BY10</f>
        <v>579</v>
      </c>
      <c r="CA20" s="170">
        <f>SUM(AZ20,BA20,BD20)</f>
        <v>1639</v>
      </c>
      <c r="CB20" s="170">
        <f>SUM(BE20,BG20,BI20)</f>
        <v>1737</v>
      </c>
      <c r="CC20" s="170">
        <f>SUM(BK20,BM20,BP10)</f>
        <v>1767</v>
      </c>
      <c r="CD20" s="170">
        <f>SUM(BS10,BV10,BY10)</f>
        <v>1747</v>
      </c>
      <c r="CE20" s="170">
        <f>CA20+CB20+CC20+CD20</f>
        <v>6890</v>
      </c>
      <c r="CF20" s="170">
        <f>AZ20+BA20+BC20+BE20+BG20+BI20+BK20+BM20+BQ20+BT20+BW20+BZ20</f>
        <v>6890</v>
      </c>
      <c r="CG20" s="170"/>
      <c r="CH20" s="170"/>
      <c r="CI20" s="170"/>
      <c r="CJ20" s="170"/>
      <c r="CK20" s="170"/>
      <c r="CL20" s="170"/>
      <c r="CM20" s="170"/>
      <c r="CN20" s="170"/>
      <c r="CO20" s="170"/>
      <c r="CP20" s="170"/>
      <c r="CQ20" s="170"/>
      <c r="CR20" s="170"/>
      <c r="CS20" s="170"/>
      <c r="CT20" s="157">
        <v>0</v>
      </c>
      <c r="CU20" s="157">
        <f>CV20</f>
        <v>0</v>
      </c>
      <c r="CV20" s="157">
        <v>0</v>
      </c>
      <c r="CW20" s="157">
        <f>CX20</f>
        <v>0</v>
      </c>
      <c r="CX20" s="157">
        <v>0</v>
      </c>
      <c r="CY20" s="157">
        <v>0</v>
      </c>
      <c r="CZ20" s="157">
        <v>0</v>
      </c>
      <c r="DA20" s="157">
        <v>0</v>
      </c>
      <c r="DB20" s="157">
        <v>0</v>
      </c>
      <c r="DC20" s="157">
        <v>0</v>
      </c>
      <c r="DD20" s="157">
        <v>0</v>
      </c>
      <c r="DE20" s="157">
        <v>0</v>
      </c>
      <c r="DF20" s="157">
        <v>0</v>
      </c>
      <c r="DG20" s="157">
        <v>0</v>
      </c>
      <c r="DH20" s="157">
        <v>0</v>
      </c>
      <c r="DI20" s="157">
        <v>0</v>
      </c>
      <c r="DJ20" s="157">
        <v>0</v>
      </c>
      <c r="DK20" s="578">
        <f>DJ20</f>
        <v>0</v>
      </c>
      <c r="DL20" s="157">
        <v>0</v>
      </c>
      <c r="DM20" s="157">
        <v>0</v>
      </c>
      <c r="DN20" s="578">
        <f>DM20</f>
        <v>0</v>
      </c>
      <c r="DO20" s="157">
        <v>0</v>
      </c>
      <c r="DP20" s="157">
        <v>0</v>
      </c>
      <c r="DQ20" s="578">
        <f>DP20</f>
        <v>0</v>
      </c>
      <c r="DR20" s="157">
        <v>0</v>
      </c>
      <c r="DS20" s="157">
        <v>0</v>
      </c>
      <c r="DT20" s="578">
        <f>DS20</f>
        <v>0</v>
      </c>
      <c r="DU20" s="170">
        <f>SUM(CT20,CU20,CW20)</f>
        <v>0</v>
      </c>
      <c r="DV20" s="170">
        <f>SUM(CY20,DA20,DC20)</f>
        <v>0</v>
      </c>
      <c r="DW20" s="170">
        <f>SUM(DE20,DG20,DJ20)</f>
        <v>0</v>
      </c>
      <c r="DX20" s="170">
        <f>SUM(DM20,DP20,DS20)</f>
        <v>0</v>
      </c>
      <c r="DY20" s="170">
        <f>DU20+DV20+DW20+DX20</f>
        <v>0</v>
      </c>
      <c r="DZ20" s="170">
        <f>CT20+CU20+CW20+CY20+DA20+DC20+DE20+DG20+DK20+DN20+DQ20+DT20</f>
        <v>0</v>
      </c>
      <c r="EA20" s="170"/>
      <c r="EB20" s="170"/>
      <c r="EC20" s="170"/>
      <c r="ED20" s="170"/>
      <c r="EE20" s="170"/>
      <c r="EF20" s="170"/>
      <c r="EG20" s="170"/>
      <c r="EH20" s="170"/>
      <c r="EI20" s="170"/>
      <c r="EJ20" s="170"/>
      <c r="EK20" s="170"/>
      <c r="EL20" s="170"/>
      <c r="EM20" s="170"/>
      <c r="EN20" s="157">
        <f>'BUDGET REVENUE BP 2021-2025'!BN440/1000000</f>
        <v>534.9</v>
      </c>
      <c r="EO20" s="157">
        <f t="shared" si="28"/>
        <v>834.9</v>
      </c>
      <c r="EP20" s="157">
        <f>'BUDGET REVENUE BP 2021-2025'!BO440/1000000</f>
        <v>834.9</v>
      </c>
      <c r="EQ20" s="157">
        <f t="shared" si="28"/>
        <v>834.9</v>
      </c>
      <c r="ER20" s="157">
        <f>'BUDGET REVENUE BP 2021-2025'!BP440/1000000</f>
        <v>834.9</v>
      </c>
      <c r="ES20" s="157">
        <f t="shared" si="28"/>
        <v>834.9</v>
      </c>
      <c r="ET20" s="157">
        <f>'BUDGET REVENUE BP 2021-2025'!BQ440/1000000</f>
        <v>834.9</v>
      </c>
      <c r="EU20" s="157">
        <f t="shared" si="28"/>
        <v>467.99720000000002</v>
      </c>
      <c r="EV20" s="157">
        <f>'BUDGET REVENUE BP 2021-2025'!BR440/1000000</f>
        <v>467.99720000000002</v>
      </c>
      <c r="EW20" s="157">
        <f t="shared" si="28"/>
        <v>534.9</v>
      </c>
      <c r="EX20" s="157">
        <f>'BUDGET REVENUE BP 2021-2025'!BS440/1000000</f>
        <v>534.9</v>
      </c>
      <c r="EY20" s="157">
        <f t="shared" si="28"/>
        <v>534.9</v>
      </c>
      <c r="EZ20" s="157">
        <f>'BUDGET REVENUE BP 2021-2025'!BT440/1000000</f>
        <v>534.9</v>
      </c>
      <c r="FA20" s="157">
        <f t="shared" si="28"/>
        <v>534.9</v>
      </c>
      <c r="FB20" s="157">
        <f>'BUDGET REVENUE BP 2021-2025'!BU440/1000000</f>
        <v>534.9</v>
      </c>
      <c r="FC20" s="157">
        <f t="shared" si="28"/>
        <v>604.9</v>
      </c>
      <c r="FD20" s="157">
        <f>'BUDGET REVENUE BP 2021-2025'!BV440/1000000</f>
        <v>604.9</v>
      </c>
      <c r="FE20" s="578">
        <f>FD20</f>
        <v>604.9</v>
      </c>
      <c r="FF20" s="157">
        <f>FG20</f>
        <v>604.9</v>
      </c>
      <c r="FG20" s="157">
        <f>'BUDGET REVENUE BP 2021-2025'!BW440/1000000</f>
        <v>604.9</v>
      </c>
      <c r="FH20" s="578">
        <f>FG20</f>
        <v>604.9</v>
      </c>
      <c r="FI20" s="157">
        <f>FJ20</f>
        <v>604.9</v>
      </c>
      <c r="FJ20" s="157">
        <f>'BUDGET REVENUE BP 2021-2025'!BX440/1000000</f>
        <v>604.9</v>
      </c>
      <c r="FK20" s="578">
        <f>FJ20</f>
        <v>604.9</v>
      </c>
      <c r="FL20" s="157">
        <f>FM20</f>
        <v>604.9</v>
      </c>
      <c r="FM20" s="157">
        <f>'BUDGET REVENUE BP 2021-2025'!BY440/1000000</f>
        <v>604.9</v>
      </c>
      <c r="FN20" s="578">
        <f>FM20</f>
        <v>604.9</v>
      </c>
      <c r="FO20" s="170">
        <f>SUM(EN20,EO20,ER20)</f>
        <v>2204.6999999999998</v>
      </c>
      <c r="FP20" s="170">
        <f>SUM(ES20,EU20,EW20)</f>
        <v>1837.7972</v>
      </c>
      <c r="FQ20" s="170">
        <f>SUM(EY20,FA20,FD20)</f>
        <v>1674.6999999999998</v>
      </c>
      <c r="FR20" s="170">
        <f>SUM(FG20,FJ20,FM20)</f>
        <v>1814.6999999999998</v>
      </c>
      <c r="FS20" s="170">
        <f>FO20+FP20+FQ20+FR20</f>
        <v>7531.8971999999994</v>
      </c>
      <c r="FT20" s="170">
        <f>EN20+EO20+EQ20+ES20+EU20+EW20+EY20+FA20+FE20+FH20+FK20+FN20</f>
        <v>7531.8971999999985</v>
      </c>
      <c r="FU20" s="170"/>
      <c r="FV20" s="170"/>
      <c r="FW20" s="170"/>
      <c r="FX20" s="170"/>
      <c r="FY20" s="170"/>
      <c r="FZ20" s="170"/>
      <c r="GA20" s="170"/>
      <c r="GB20" s="170"/>
      <c r="GC20" s="170"/>
      <c r="GD20" s="170"/>
      <c r="GE20" s="170"/>
      <c r="GF20" s="170"/>
      <c r="GG20" s="170"/>
      <c r="GH20" s="157">
        <f>'BUDGET REVENUE BP 2021-2025'!BN891/1000000</f>
        <v>972</v>
      </c>
      <c r="GI20" s="157">
        <f t="shared" si="29"/>
        <v>2558.5</v>
      </c>
      <c r="GJ20" s="157">
        <f>'BUDGET REVENUE BP 2021-2025'!BO891/1000000</f>
        <v>2558.5</v>
      </c>
      <c r="GK20" s="157">
        <f t="shared" si="29"/>
        <v>3924.31</v>
      </c>
      <c r="GL20" s="157">
        <f>'BUDGET REVENUE BP 2021-2025'!BP891/1000000</f>
        <v>3924.31</v>
      </c>
      <c r="GM20" s="157">
        <f t="shared" si="29"/>
        <v>3411.1154499999998</v>
      </c>
      <c r="GN20" s="157">
        <f>'BUDGET REVENUE BP 2021-2025'!BQ891/1000000</f>
        <v>3411.1154499999998</v>
      </c>
      <c r="GO20" s="157">
        <f t="shared" si="29"/>
        <v>3082.5650000000001</v>
      </c>
      <c r="GP20" s="157">
        <f>'BUDGET REVENUE BP 2021-2025'!BR891/1000000</f>
        <v>3082.5650000000001</v>
      </c>
      <c r="GQ20" s="157">
        <f t="shared" si="29"/>
        <v>1804.665</v>
      </c>
      <c r="GR20" s="157">
        <f>'BUDGET REVENUE BP 2021-2025'!BS891/1000000</f>
        <v>1804.665</v>
      </c>
      <c r="GS20" s="157">
        <f>GT20</f>
        <v>844.82</v>
      </c>
      <c r="GT20" s="157">
        <f>'BUDGET REVENUE BP 2021-2025'!BT891/1000000</f>
        <v>844.82</v>
      </c>
      <c r="GU20" s="157">
        <f>GV20</f>
        <v>3325.1849999999999</v>
      </c>
      <c r="GV20" s="157">
        <f>'BUDGET REVENUE BP 2021-2025'!BU891/1000000</f>
        <v>3325.1849999999999</v>
      </c>
      <c r="GW20" s="157">
        <f>GX20</f>
        <v>3141.2750000000001</v>
      </c>
      <c r="GX20" s="157">
        <f>'BUDGET REVENUE BP 2021-2025'!BV891/1000000</f>
        <v>3141.2750000000001</v>
      </c>
      <c r="GY20" s="578">
        <f>GX20</f>
        <v>3141.2750000000001</v>
      </c>
      <c r="GZ20" s="157">
        <f>HA20</f>
        <v>3264.2150000000001</v>
      </c>
      <c r="HA20" s="157">
        <f>'BUDGET REVENUE BP 2021-2025'!BW891/1000000</f>
        <v>3264.2150000000001</v>
      </c>
      <c r="HB20" s="578">
        <f>HA20</f>
        <v>3264.2150000000001</v>
      </c>
      <c r="HC20" s="157">
        <f>HD20</f>
        <v>3104.5</v>
      </c>
      <c r="HD20" s="157">
        <f>'BUDGET REVENUE BP 2021-2025'!BX891/1000000</f>
        <v>3104.5</v>
      </c>
      <c r="HE20" s="578">
        <f>HD20</f>
        <v>3104.5</v>
      </c>
      <c r="HF20" s="157">
        <f>HG20</f>
        <v>1305</v>
      </c>
      <c r="HG20" s="157">
        <f>'BUDGET REVENUE BP 2021-2025'!BY891/1000000</f>
        <v>1305</v>
      </c>
      <c r="HH20" s="578">
        <f>HG20</f>
        <v>1305</v>
      </c>
      <c r="HI20" s="170">
        <f>SUM(GH20,GI20,GL20)</f>
        <v>7454.8099999999995</v>
      </c>
      <c r="HJ20" s="170">
        <f>SUM(GM20,GO20,GQ20)</f>
        <v>8298.3454500000007</v>
      </c>
      <c r="HK20" s="170">
        <f>SUM(GS20,GU20,GX20)</f>
        <v>7311.2800000000007</v>
      </c>
      <c r="HL20" s="170">
        <f>SUM(HA20,HD20,HG20)</f>
        <v>7673.7150000000001</v>
      </c>
      <c r="HM20" s="170">
        <f>HI20+HJ20+HK20+HL20</f>
        <v>30738.150450000001</v>
      </c>
      <c r="HN20" s="170">
        <f>GH20+GI20+GK20+GM20+GO20+GQ20+GS20+GU20+GY20+HB20+HE20+HH20</f>
        <v>30738.150450000001</v>
      </c>
      <c r="HO20" s="170"/>
      <c r="HP20" s="170"/>
      <c r="HQ20" s="170"/>
      <c r="HR20" s="170"/>
      <c r="HS20" s="170"/>
      <c r="HT20" s="170"/>
      <c r="HU20" s="170"/>
      <c r="HV20" s="170"/>
      <c r="HW20" s="170"/>
      <c r="HX20" s="170"/>
      <c r="HY20" s="170"/>
      <c r="HZ20" s="170"/>
      <c r="IA20" s="170"/>
      <c r="IB20" s="157">
        <f>'BUDGET REVENUE BP 2021-2025'!BN810/1000000</f>
        <v>832</v>
      </c>
      <c r="IC20" s="157">
        <f>ID20</f>
        <v>1393.45</v>
      </c>
      <c r="ID20" s="157">
        <f>'BUDGET REVENUE BP 2021-2025'!BO810/1000000</f>
        <v>1393.45</v>
      </c>
      <c r="IE20" s="157">
        <f>IF20</f>
        <v>892.55</v>
      </c>
      <c r="IF20" s="157">
        <f>'BUDGET REVENUE BP 2021-2025'!BP810/1000000</f>
        <v>892.55</v>
      </c>
      <c r="IG20" s="157">
        <f>IH20</f>
        <v>610.15</v>
      </c>
      <c r="IH20" s="157">
        <f>'BUDGET REVENUE BP 2021-2025'!BQ810/1000000</f>
        <v>610.15</v>
      </c>
      <c r="II20" s="157">
        <f>IJ20</f>
        <v>473.9</v>
      </c>
      <c r="IJ20" s="157">
        <f>'BUDGET REVENUE BP 2021-2025'!BR810/1000000</f>
        <v>473.9</v>
      </c>
      <c r="IK20" s="157">
        <f>IL20</f>
        <v>845.15</v>
      </c>
      <c r="IL20" s="157">
        <f>'BUDGET REVENUE BP 2021-2025'!BS810/1000000</f>
        <v>845.15</v>
      </c>
      <c r="IM20" s="157">
        <f>IN20</f>
        <v>861.1</v>
      </c>
      <c r="IN20" s="157">
        <f>'BUDGET REVENUE BP 2021-2025'!BT810/1000000</f>
        <v>861.1</v>
      </c>
      <c r="IO20" s="157">
        <f>IP20</f>
        <v>599.77285300000005</v>
      </c>
      <c r="IP20" s="157">
        <f>'BUDGET REVENUE BP 2021-2025'!BU810/1000000</f>
        <v>599.77285300000005</v>
      </c>
      <c r="IQ20" s="157">
        <f>IR20</f>
        <v>892.25</v>
      </c>
      <c r="IR20" s="157">
        <f>'BUDGET REVENUE BP 2021-2025'!BV810/1000000</f>
        <v>892.25</v>
      </c>
      <c r="IS20" s="578">
        <f>IR20</f>
        <v>892.25</v>
      </c>
      <c r="IT20" s="157">
        <f>IU20</f>
        <v>607.65</v>
      </c>
      <c r="IU20" s="157">
        <f>'BUDGET REVENUE BP 2021-2025'!BW810/1000000</f>
        <v>607.65</v>
      </c>
      <c r="IV20" s="578">
        <f>IU20</f>
        <v>607.65</v>
      </c>
      <c r="IW20" s="157">
        <f>IX20</f>
        <v>1302.4000000000001</v>
      </c>
      <c r="IX20" s="157">
        <f>'BUDGET REVENUE BP 2021-2025'!BX810/1000000</f>
        <v>1302.4000000000001</v>
      </c>
      <c r="IY20" s="578">
        <f>IX20</f>
        <v>1302.4000000000001</v>
      </c>
      <c r="IZ20" s="157">
        <f>JA20</f>
        <v>761.7</v>
      </c>
      <c r="JA20" s="157">
        <f>'BUDGET REVENUE BP 2021-2025'!BY810/1000000</f>
        <v>761.7</v>
      </c>
      <c r="JB20" s="578">
        <f>JA20</f>
        <v>761.7</v>
      </c>
      <c r="JC20" s="170">
        <f>SUM(IB20,IC20,IF20)</f>
        <v>3118</v>
      </c>
      <c r="JD20" s="170">
        <f>SUM(IG20,II20,IK20)</f>
        <v>1929.1999999999998</v>
      </c>
      <c r="JE20" s="170">
        <f>SUM(IM20,IO20,IR20)</f>
        <v>2353.1228529999998</v>
      </c>
      <c r="JF20" s="170">
        <f>SUM(IU20,IX20,JA20)</f>
        <v>2671.75</v>
      </c>
      <c r="JG20" s="170">
        <f>JC20+JD20+JE20+JF20</f>
        <v>10072.072853</v>
      </c>
      <c r="JH20" s="170">
        <f>IB20+IC20+IE20+IG20+II20+IK20+IM20+IO20+IS20+IV20+IY20+JB20</f>
        <v>10072.072853000001</v>
      </c>
      <c r="JI20" s="170"/>
      <c r="JJ20" s="170"/>
      <c r="JK20" s="170"/>
      <c r="JL20" s="170"/>
      <c r="JM20" s="170"/>
      <c r="JN20" s="170"/>
      <c r="JO20" s="170"/>
      <c r="JP20" s="170"/>
      <c r="JQ20" s="170"/>
      <c r="JR20" s="170"/>
      <c r="JS20" s="170"/>
      <c r="JT20" s="170"/>
      <c r="JU20" s="170"/>
      <c r="JV20" s="157">
        <v>0</v>
      </c>
      <c r="JW20" s="157">
        <f>JX20</f>
        <v>0</v>
      </c>
      <c r="JX20" s="157">
        <v>0</v>
      </c>
      <c r="JY20" s="157">
        <f>JZ20</f>
        <v>0</v>
      </c>
      <c r="JZ20" s="157">
        <v>0</v>
      </c>
      <c r="KA20" s="157">
        <v>0</v>
      </c>
      <c r="KB20" s="157">
        <v>0</v>
      </c>
      <c r="KC20" s="157">
        <v>0</v>
      </c>
      <c r="KD20" s="157">
        <v>0</v>
      </c>
      <c r="KE20" s="157">
        <v>0</v>
      </c>
      <c r="KF20" s="157">
        <v>0</v>
      </c>
      <c r="KG20" s="157">
        <f>KH20</f>
        <v>0</v>
      </c>
      <c r="KH20" s="157">
        <v>0</v>
      </c>
      <c r="KI20" s="157">
        <f>KJ20</f>
        <v>0</v>
      </c>
      <c r="KJ20" s="157">
        <v>0</v>
      </c>
      <c r="KK20" s="157">
        <f>KL20</f>
        <v>0</v>
      </c>
      <c r="KL20" s="157">
        <v>0</v>
      </c>
      <c r="KM20" s="578">
        <f>KL20</f>
        <v>0</v>
      </c>
      <c r="KN20" s="157">
        <f>KO20</f>
        <v>0</v>
      </c>
      <c r="KO20" s="157">
        <v>0</v>
      </c>
      <c r="KP20" s="578">
        <f>KO20</f>
        <v>0</v>
      </c>
      <c r="KQ20" s="157">
        <f>KR20</f>
        <v>0</v>
      </c>
      <c r="KR20" s="157">
        <v>0</v>
      </c>
      <c r="KS20" s="578">
        <f>KR20</f>
        <v>0</v>
      </c>
      <c r="KT20" s="157">
        <f>KU20</f>
        <v>0</v>
      </c>
      <c r="KU20" s="157">
        <v>0</v>
      </c>
      <c r="KV20" s="578">
        <f>KU20</f>
        <v>0</v>
      </c>
      <c r="KW20" s="170">
        <f>SUM(JV20,JW20,JZ20)</f>
        <v>0</v>
      </c>
      <c r="KX20" s="170">
        <f>SUM(KA20,KC20,KE20)</f>
        <v>0</v>
      </c>
      <c r="KY20" s="170">
        <f>SUM(KG20,KI20,KL20)</f>
        <v>0</v>
      </c>
      <c r="KZ20" s="170">
        <f>SUM(KO20,KR20,KU20)</f>
        <v>0</v>
      </c>
      <c r="LA20" s="170">
        <f>KW20+KX20+KY20+KZ20</f>
        <v>0</v>
      </c>
      <c r="LB20" s="170">
        <f>JV20+JW20+JY20+KA20+KC20+KE20+KG20+KI20+KM20+KP20+KS20+KV20</f>
        <v>0</v>
      </c>
      <c r="LC20" s="170"/>
      <c r="LD20" s="170"/>
      <c r="LE20" s="170"/>
      <c r="LF20" s="170"/>
      <c r="LG20" s="170"/>
      <c r="LH20" s="170"/>
      <c r="LI20" s="170"/>
      <c r="LJ20" s="170"/>
      <c r="LK20" s="170"/>
      <c r="LL20" s="170"/>
      <c r="LM20" s="170"/>
      <c r="LN20" s="170"/>
      <c r="LO20" s="170"/>
      <c r="LP20" s="578">
        <v>0</v>
      </c>
      <c r="LQ20" s="578">
        <v>0</v>
      </c>
      <c r="LR20" s="578">
        <v>0</v>
      </c>
      <c r="LS20" s="578">
        <v>0</v>
      </c>
      <c r="LT20" s="578">
        <v>0</v>
      </c>
      <c r="LU20" s="578">
        <v>0</v>
      </c>
      <c r="LV20" s="578">
        <v>0</v>
      </c>
      <c r="LW20" s="578">
        <v>0</v>
      </c>
      <c r="LX20" s="578">
        <v>0</v>
      </c>
      <c r="LY20" s="578">
        <v>0</v>
      </c>
      <c r="LZ20" s="578">
        <v>0</v>
      </c>
      <c r="MA20" s="578">
        <v>0</v>
      </c>
      <c r="MB20" s="578">
        <v>0</v>
      </c>
      <c r="MC20" s="578">
        <v>0</v>
      </c>
      <c r="MD20" s="578">
        <v>0</v>
      </c>
      <c r="ME20" s="578">
        <v>0</v>
      </c>
      <c r="MF20" s="578">
        <v>0</v>
      </c>
      <c r="MG20" s="578">
        <f>MF20</f>
        <v>0</v>
      </c>
      <c r="MH20" s="578">
        <v>0</v>
      </c>
      <c r="MI20" s="578">
        <v>0</v>
      </c>
      <c r="MJ20" s="578">
        <f>MI20</f>
        <v>0</v>
      </c>
      <c r="MK20" s="578">
        <v>0</v>
      </c>
      <c r="ML20" s="578">
        <v>0</v>
      </c>
      <c r="MM20" s="578">
        <f>ML20</f>
        <v>0</v>
      </c>
      <c r="MN20" s="578">
        <v>0</v>
      </c>
      <c r="MO20" s="578">
        <v>0</v>
      </c>
      <c r="MP20" s="578">
        <f>MO20</f>
        <v>0</v>
      </c>
      <c r="MQ20" s="170">
        <f>SUM(LP20,LQ20,LT20)</f>
        <v>0</v>
      </c>
      <c r="MR20" s="170">
        <f>SUM(LU20,LW20,LY20)</f>
        <v>0</v>
      </c>
      <c r="MS20" s="170">
        <f>SUM(MA20,MC20,MF20)</f>
        <v>0</v>
      </c>
      <c r="MT20" s="170">
        <f>SUM(MI20,ML20,MO20)</f>
        <v>0</v>
      </c>
      <c r="MU20" s="170">
        <f>MQ20+MR20+MS20+MT20</f>
        <v>0</v>
      </c>
      <c r="MV20" s="170">
        <f>LP20+LQ20+LS20+LU20+LW20+LY20+MA20+MC20+MG20+MJ20+MM20+MP20</f>
        <v>0</v>
      </c>
      <c r="MW20" s="170"/>
      <c r="MX20" s="170"/>
      <c r="MY20" s="170"/>
      <c r="MZ20" s="170"/>
      <c r="NA20" s="170"/>
      <c r="NB20" s="170"/>
      <c r="NC20" s="170"/>
      <c r="ND20" s="170"/>
      <c r="NE20" s="170"/>
      <c r="NF20" s="170"/>
      <c r="NG20" s="170"/>
      <c r="NH20" s="170"/>
      <c r="NI20" s="170"/>
      <c r="NJ20" s="157"/>
      <c r="NK20" s="157"/>
      <c r="NL20" s="157"/>
      <c r="NM20" s="157"/>
      <c r="NN20" s="157"/>
      <c r="NO20" s="157"/>
      <c r="NP20" s="157"/>
      <c r="NQ20" s="157"/>
      <c r="NR20" s="157"/>
      <c r="NS20" s="157"/>
      <c r="NT20" s="157"/>
      <c r="NU20" s="157"/>
      <c r="NV20" s="157"/>
      <c r="NW20" s="157"/>
      <c r="NX20" s="157"/>
      <c r="NY20" s="157"/>
      <c r="NZ20" s="157"/>
      <c r="OA20" s="157"/>
      <c r="OB20" s="157"/>
      <c r="OC20" s="157"/>
      <c r="OD20" s="157"/>
      <c r="OE20" s="157"/>
      <c r="OF20" s="157"/>
      <c r="OG20" s="170">
        <f>SUM(NJ20,NK20,NN20)</f>
        <v>0</v>
      </c>
      <c r="OH20" s="170">
        <f>SUM(NO20,NQ20,NS20)</f>
        <v>0</v>
      </c>
      <c r="OI20" s="170">
        <f>SUM(NU20,NW20,NZ20)</f>
        <v>0</v>
      </c>
      <c r="OJ20" s="170">
        <f>SUM(OB20,OD20,OF20)</f>
        <v>0</v>
      </c>
      <c r="OK20" s="170">
        <f>OG20+OH20+OI20+OJ20</f>
        <v>0</v>
      </c>
      <c r="OL20" s="170"/>
      <c r="OM20" s="170"/>
      <c r="ON20" s="170"/>
      <c r="OO20" s="170"/>
      <c r="OP20" s="170"/>
      <c r="OQ20" s="170"/>
      <c r="OR20" s="170"/>
      <c r="OS20" s="170"/>
      <c r="OT20" s="170"/>
      <c r="OU20" s="170"/>
      <c r="OV20" s="170"/>
      <c r="OW20" s="170"/>
      <c r="OX20" s="170"/>
      <c r="OY20" s="157">
        <f t="shared" si="25"/>
        <v>3378.1894499999999</v>
      </c>
      <c r="OZ20" s="157">
        <f t="shared" si="25"/>
        <v>5831.97325</v>
      </c>
      <c r="PA20" s="157">
        <f t="shared" si="25"/>
        <v>5831.97325</v>
      </c>
      <c r="PB20" s="157">
        <f t="shared" si="25"/>
        <v>6821.8832499999999</v>
      </c>
      <c r="PC20" s="157">
        <f t="shared" si="25"/>
        <v>6821.8832499999999</v>
      </c>
      <c r="PD20" s="157">
        <f t="shared" si="25"/>
        <v>6006.2886999999992</v>
      </c>
      <c r="PE20" s="157">
        <f t="shared" si="25"/>
        <v>6006.2886999999992</v>
      </c>
      <c r="PF20" s="157">
        <f t="shared" si="25"/>
        <v>5121.5854499999996</v>
      </c>
      <c r="PG20" s="157">
        <f t="shared" si="25"/>
        <v>5121.5854499999996</v>
      </c>
      <c r="PH20" s="157">
        <f t="shared" si="25"/>
        <v>4334.8382499999998</v>
      </c>
      <c r="PI20" s="157">
        <f t="shared" si="25"/>
        <v>4334.8382499999998</v>
      </c>
      <c r="PJ20" s="157">
        <f t="shared" si="25"/>
        <v>3440.9432500000003</v>
      </c>
      <c r="PK20" s="157">
        <f>SUM(R10,BL10,DF20,EZ20,GT20,IN20,KH20,MB20,NV20)</f>
        <v>3440.9432500000003</v>
      </c>
      <c r="PL20" s="157">
        <f>SUM(S20,BM20,DG20,FA20,GU20,IO20,KI20,MC20,NW20)</f>
        <v>5659.9811030000001</v>
      </c>
      <c r="PM20" s="157">
        <f>SUM(T10,BN10,DH20,FB20,GV20,IP20,KJ20,MD20,NX20)</f>
        <v>5659.9811030000001</v>
      </c>
      <c r="PN20" s="157">
        <f>SUM(U20,BO20,DI20,FC20,GW20,IQ20,KK20,ME20,NY20)</f>
        <v>5868.5482499999998</v>
      </c>
      <c r="PO20" s="157">
        <f>SUM(V10,BP10,DJ20,FD20,GX20,IR20,KL20,MF20,NZ20)</f>
        <v>5868.5482499999998</v>
      </c>
      <c r="PP20" s="578">
        <f>PO20</f>
        <v>5868.5482499999998</v>
      </c>
      <c r="PQ20" s="157">
        <f>SUM(X20,BR20,DL20,FF20,GZ20,IT20,KN20,MH20,OA20)</f>
        <v>5641.88825</v>
      </c>
      <c r="PR20" s="157">
        <f>SUM(Y10,BS10,DM20,FG20,HA20,IU20,KO20,MI20,OB20)</f>
        <v>5641.88825</v>
      </c>
      <c r="PS20" s="578">
        <f>PR20</f>
        <v>5641.88825</v>
      </c>
      <c r="PT20" s="157">
        <f>SUM(AA20,BU20,DO20,FI20,HC20,IW20,KQ20,MK20,OC20)</f>
        <v>6166.9232499999998</v>
      </c>
      <c r="PU20" s="157">
        <f>SUM(AB10,BV10,DP20,FJ20,HD20,IX20,KR20,ML20,OD20)</f>
        <v>6166.9232499999998</v>
      </c>
      <c r="PV20" s="578">
        <f>PU20</f>
        <v>6166.9232499999998</v>
      </c>
      <c r="PW20" s="157">
        <f>SUM(AD20,BX20,DR20,FL20,HF20,IZ20,KT20,MN20,OE20)</f>
        <v>3825.72325</v>
      </c>
      <c r="PX20" s="157">
        <f>SUM(AE10,BY10,DS20,FM20,HG20,JA20,KU20,MO20,OF20)</f>
        <v>3825.72325</v>
      </c>
      <c r="PY20" s="578">
        <f>PX20</f>
        <v>3825.72325</v>
      </c>
      <c r="PZ20" s="170">
        <f>SUM(OY20,OZ20,PB20)</f>
        <v>16032.04595</v>
      </c>
      <c r="QA20" s="170">
        <f>SUM(PD20,PF20,PH20)</f>
        <v>15462.7124</v>
      </c>
      <c r="QB20" s="170">
        <f>SUM(PJ20,PL20,PO20)</f>
        <v>14969.472603</v>
      </c>
      <c r="QC20" s="170">
        <f>SUM(PR20,PU20,PX20)</f>
        <v>15634.534749999999</v>
      </c>
      <c r="QD20" s="170">
        <f>PZ20+QA20+QB20+QC20</f>
        <v>62098.765702999997</v>
      </c>
      <c r="QE20" s="170">
        <f>OY20+OZ20+PB20+PD20+PF20+PH20+PJ20+PL20+PP20+PS20+PV20+PY20</f>
        <v>62098.765702999997</v>
      </c>
      <c r="QF20" s="685"/>
      <c r="QG20" s="685"/>
      <c r="QH20" s="170"/>
      <c r="QI20" s="170"/>
      <c r="QJ20" s="170"/>
      <c r="QK20" s="170"/>
      <c r="QL20" s="170"/>
      <c r="QM20" s="170"/>
      <c r="QN20" s="170"/>
      <c r="QO20" s="170"/>
      <c r="QP20" s="170"/>
      <c r="QQ20" s="170"/>
      <c r="QR20" s="170"/>
      <c r="QS20" s="170"/>
      <c r="QT20" s="170"/>
      <c r="QU20" s="167">
        <f>SUM(AG20,CA20,DU20,FO20,HI20,JC20,KW20)</f>
        <v>16032.04595</v>
      </c>
    </row>
    <row r="21" spans="1:463" s="51" customFormat="1" hidden="1" outlineLevel="1">
      <c r="A21" s="156" t="s">
        <v>1208</v>
      </c>
      <c r="B21" s="156"/>
      <c r="C21" s="156"/>
      <c r="D21" s="156"/>
      <c r="E21" s="156"/>
      <c r="F21" s="158">
        <f t="shared" ref="F21:DB21" si="30">SUM(F17:F20)</f>
        <v>10685.065374677419</v>
      </c>
      <c r="G21" s="158">
        <f t="shared" si="30"/>
        <v>10707.564943227419</v>
      </c>
      <c r="H21" s="158">
        <f t="shared" si="30"/>
        <v>10707.564943227419</v>
      </c>
      <c r="I21" s="158">
        <f t="shared" si="30"/>
        <v>11201.96494322742</v>
      </c>
      <c r="J21" s="158">
        <f t="shared" si="30"/>
        <v>11201.96494322742</v>
      </c>
      <c r="K21" s="158">
        <f t="shared" si="30"/>
        <v>11511.96494322742</v>
      </c>
      <c r="L21" s="158">
        <f t="shared" si="30"/>
        <v>11511.96494322742</v>
      </c>
      <c r="M21" s="158">
        <f t="shared" si="30"/>
        <v>11518.96494322742</v>
      </c>
      <c r="N21" s="158">
        <f t="shared" si="30"/>
        <v>11518.96494322742</v>
      </c>
      <c r="O21" s="158">
        <f t="shared" si="30"/>
        <v>11841.96494322742</v>
      </c>
      <c r="P21" s="158">
        <f t="shared" si="30"/>
        <v>11841.96494322742</v>
      </c>
      <c r="Q21" s="158">
        <f t="shared" si="30"/>
        <v>12155.83000922742</v>
      </c>
      <c r="R21" s="158">
        <f>SUM(R7:R10)</f>
        <v>12155.83000922742</v>
      </c>
      <c r="S21" s="158">
        <f t="shared" si="30"/>
        <v>12150.83000922742</v>
      </c>
      <c r="T21" s="158">
        <f>SUM(T7:T10)</f>
        <v>12150.83000922742</v>
      </c>
      <c r="U21" s="158">
        <f t="shared" si="30"/>
        <v>12255.83000922742</v>
      </c>
      <c r="V21" s="158">
        <f>SUM(V7:V10)</f>
        <v>12255.83000922742</v>
      </c>
      <c r="W21" s="158">
        <f t="shared" si="30"/>
        <v>12255.83000922742</v>
      </c>
      <c r="X21" s="158">
        <f t="shared" si="30"/>
        <v>12305.83000922742</v>
      </c>
      <c r="Y21" s="158">
        <f>SUM(Y7:Y10)</f>
        <v>12305.83000922742</v>
      </c>
      <c r="Z21" s="158">
        <f t="shared" si="30"/>
        <v>12305.83000922742</v>
      </c>
      <c r="AA21" s="158">
        <f t="shared" si="30"/>
        <v>12310.83000922742</v>
      </c>
      <c r="AB21" s="158">
        <f>SUM(AB7:AB10)</f>
        <v>12310.83000922742</v>
      </c>
      <c r="AC21" s="158">
        <f t="shared" si="30"/>
        <v>12310.83000922742</v>
      </c>
      <c r="AD21" s="158">
        <f t="shared" si="30"/>
        <v>12304.83000922742</v>
      </c>
      <c r="AE21" s="158">
        <f>SUM(AE7:AE10)</f>
        <v>12304.83000922742</v>
      </c>
      <c r="AF21" s="158">
        <f t="shared" si="30"/>
        <v>12304.83000922742</v>
      </c>
      <c r="AG21" s="171">
        <f t="shared" si="30"/>
        <v>32594.595261132257</v>
      </c>
      <c r="AH21" s="171">
        <f t="shared" si="30"/>
        <v>34872.894829682256</v>
      </c>
      <c r="AI21" s="171">
        <f t="shared" si="30"/>
        <v>36562.490027682259</v>
      </c>
      <c r="AJ21" s="171">
        <f t="shared" si="30"/>
        <v>36921.490027682259</v>
      </c>
      <c r="AK21" s="171">
        <f>SUM(AK17:AK20)</f>
        <v>140951.47014617905</v>
      </c>
      <c r="AL21" s="171">
        <f>SUM(AL17:AL20)</f>
        <v>140951.47014617902</v>
      </c>
      <c r="AM21" s="171"/>
      <c r="AN21" s="171"/>
      <c r="AO21" s="171"/>
      <c r="AP21" s="171"/>
      <c r="AQ21" s="171"/>
      <c r="AR21" s="171"/>
      <c r="AS21" s="171"/>
      <c r="AT21" s="171"/>
      <c r="AU21" s="171"/>
      <c r="AV21" s="171"/>
      <c r="AW21" s="171"/>
      <c r="AX21" s="171"/>
      <c r="AY21" s="171"/>
      <c r="AZ21" s="158">
        <f t="shared" si="30"/>
        <v>4959.6315458406407</v>
      </c>
      <c r="BA21" s="158">
        <f t="shared" si="30"/>
        <v>6559.6315458406407</v>
      </c>
      <c r="BB21" s="158">
        <f t="shared" si="30"/>
        <v>6559.6315458406407</v>
      </c>
      <c r="BC21" s="158">
        <f t="shared" si="30"/>
        <v>5038.6315458406407</v>
      </c>
      <c r="BD21" s="158">
        <f t="shared" si="30"/>
        <v>5038.6315458406407</v>
      </c>
      <c r="BE21" s="158">
        <f t="shared" si="30"/>
        <v>5018.6315458406407</v>
      </c>
      <c r="BF21" s="158">
        <f t="shared" si="30"/>
        <v>5018.6315458406407</v>
      </c>
      <c r="BG21" s="158">
        <f t="shared" si="30"/>
        <v>6618.6315458406407</v>
      </c>
      <c r="BH21" s="158">
        <f t="shared" si="30"/>
        <v>6618.6315458406407</v>
      </c>
      <c r="BI21" s="158">
        <f t="shared" si="30"/>
        <v>5198.6315458406407</v>
      </c>
      <c r="BJ21" s="158">
        <f t="shared" si="30"/>
        <v>5198.6315458406407</v>
      </c>
      <c r="BK21" s="158">
        <f t="shared" si="30"/>
        <v>5112.6315458406407</v>
      </c>
      <c r="BL21" s="158">
        <f>SUM(BL7:BL10)</f>
        <v>5112.6315458406407</v>
      </c>
      <c r="BM21" s="158">
        <f t="shared" si="30"/>
        <v>6712.6315458406407</v>
      </c>
      <c r="BN21" s="158">
        <f>SUM(BN7:BN10)</f>
        <v>6712.6315458406407</v>
      </c>
      <c r="BO21" s="158">
        <f t="shared" si="30"/>
        <v>5322.6315458406407</v>
      </c>
      <c r="BP21" s="158">
        <f>SUM(BP7:BP10)</f>
        <v>5322.6315458406407</v>
      </c>
      <c r="BQ21" s="158">
        <f t="shared" si="30"/>
        <v>5322.6315458406407</v>
      </c>
      <c r="BR21" s="158">
        <f t="shared" si="30"/>
        <v>5122.6315458406407</v>
      </c>
      <c r="BS21" s="158">
        <f>SUM(BS7:BS10)</f>
        <v>5122.6315458406407</v>
      </c>
      <c r="BT21" s="158">
        <f t="shared" si="30"/>
        <v>5122.6315458406407</v>
      </c>
      <c r="BU21" s="158">
        <f t="shared" si="30"/>
        <v>5112.6315458406407</v>
      </c>
      <c r="BV21" s="158">
        <f>SUM(BV7:BV10)</f>
        <v>5112.6315458406407</v>
      </c>
      <c r="BW21" s="158">
        <f t="shared" si="30"/>
        <v>5112.6315458406407</v>
      </c>
      <c r="BX21" s="158">
        <f t="shared" si="30"/>
        <v>6892.6315458406407</v>
      </c>
      <c r="BY21" s="158">
        <f>SUM(BY7:BY10)</f>
        <v>6892.6315458406407</v>
      </c>
      <c r="BZ21" s="158">
        <f t="shared" si="30"/>
        <v>6892.6315458406407</v>
      </c>
      <c r="CA21" s="171">
        <f t="shared" si="30"/>
        <v>16557.894637521924</v>
      </c>
      <c r="CB21" s="171">
        <f t="shared" si="30"/>
        <v>16835.894637521924</v>
      </c>
      <c r="CC21" s="171">
        <f t="shared" si="30"/>
        <v>17147.894637521924</v>
      </c>
      <c r="CD21" s="171">
        <f t="shared" si="30"/>
        <v>17127.894637521924</v>
      </c>
      <c r="CE21" s="171">
        <f>SUM(CE17:CE20)</f>
        <v>67669.578550087695</v>
      </c>
      <c r="CF21" s="171">
        <f>SUM(CF17:CF20)</f>
        <v>67669.578550087681</v>
      </c>
      <c r="CG21" s="171"/>
      <c r="CH21" s="171"/>
      <c r="CI21" s="171"/>
      <c r="CJ21" s="171"/>
      <c r="CK21" s="171"/>
      <c r="CL21" s="171"/>
      <c r="CM21" s="171"/>
      <c r="CN21" s="171"/>
      <c r="CO21" s="171"/>
      <c r="CP21" s="171"/>
      <c r="CQ21" s="171"/>
      <c r="CR21" s="171"/>
      <c r="CS21" s="171"/>
      <c r="CT21" s="158">
        <f t="shared" si="30"/>
        <v>1096.4000000000001</v>
      </c>
      <c r="CU21" s="158">
        <f t="shared" si="30"/>
        <v>1096.4000000000001</v>
      </c>
      <c r="CV21" s="158">
        <f t="shared" si="30"/>
        <v>1096.4000000000001</v>
      </c>
      <c r="CW21" s="158">
        <f t="shared" si="30"/>
        <v>1096.4000000000001</v>
      </c>
      <c r="CX21" s="158">
        <f t="shared" si="30"/>
        <v>1096.4000000000001</v>
      </c>
      <c r="CY21" s="158">
        <f t="shared" si="30"/>
        <v>1096.4000000000001</v>
      </c>
      <c r="CZ21" s="158">
        <f t="shared" si="30"/>
        <v>1096.4000000000001</v>
      </c>
      <c r="DA21" s="158">
        <f t="shared" si="30"/>
        <v>1233.45</v>
      </c>
      <c r="DB21" s="158">
        <f t="shared" si="30"/>
        <v>1233.45</v>
      </c>
      <c r="DC21" s="158">
        <f t="shared" ref="DC21:FN21" si="31">SUM(DC17:DC20)</f>
        <v>1233.45</v>
      </c>
      <c r="DD21" s="158">
        <f t="shared" si="31"/>
        <v>1233.45</v>
      </c>
      <c r="DE21" s="158">
        <f t="shared" si="31"/>
        <v>1233.45</v>
      </c>
      <c r="DF21" s="158">
        <f t="shared" si="31"/>
        <v>1233.45</v>
      </c>
      <c r="DG21" s="158">
        <f t="shared" si="31"/>
        <v>1233.45</v>
      </c>
      <c r="DH21" s="158">
        <f t="shared" si="31"/>
        <v>1233.45</v>
      </c>
      <c r="DI21" s="158">
        <f t="shared" si="31"/>
        <v>1781.65</v>
      </c>
      <c r="DJ21" s="158">
        <f t="shared" si="31"/>
        <v>1781.65</v>
      </c>
      <c r="DK21" s="158">
        <f t="shared" si="31"/>
        <v>1781.65</v>
      </c>
      <c r="DL21" s="158">
        <f t="shared" si="31"/>
        <v>1781.65</v>
      </c>
      <c r="DM21" s="158">
        <f t="shared" si="31"/>
        <v>1781.65</v>
      </c>
      <c r="DN21" s="158">
        <f t="shared" si="31"/>
        <v>1781.65</v>
      </c>
      <c r="DO21" s="158">
        <f t="shared" si="31"/>
        <v>1781.65</v>
      </c>
      <c r="DP21" s="158">
        <f t="shared" si="31"/>
        <v>1781.65</v>
      </c>
      <c r="DQ21" s="158">
        <f t="shared" si="31"/>
        <v>1781.65</v>
      </c>
      <c r="DR21" s="158">
        <f t="shared" si="31"/>
        <v>1781.65</v>
      </c>
      <c r="DS21" s="158">
        <f t="shared" si="31"/>
        <v>1781.65</v>
      </c>
      <c r="DT21" s="158">
        <f t="shared" si="31"/>
        <v>1781.65</v>
      </c>
      <c r="DU21" s="171">
        <f t="shared" si="31"/>
        <v>3289.2000000000003</v>
      </c>
      <c r="DV21" s="171">
        <f t="shared" si="31"/>
        <v>3563.3</v>
      </c>
      <c r="DW21" s="171">
        <f t="shared" si="31"/>
        <v>4248.55</v>
      </c>
      <c r="DX21" s="171">
        <f t="shared" si="31"/>
        <v>5344.9500000000007</v>
      </c>
      <c r="DY21" s="171">
        <f>SUM(DY17:DY20)</f>
        <v>16446</v>
      </c>
      <c r="DZ21" s="171">
        <f>SUM(DZ17:DZ20)</f>
        <v>16446</v>
      </c>
      <c r="EA21" s="171"/>
      <c r="EB21" s="171"/>
      <c r="EC21" s="171"/>
      <c r="ED21" s="171"/>
      <c r="EE21" s="171"/>
      <c r="EF21" s="171"/>
      <c r="EG21" s="171"/>
      <c r="EH21" s="171"/>
      <c r="EI21" s="171"/>
      <c r="EJ21" s="171"/>
      <c r="EK21" s="171"/>
      <c r="EL21" s="171"/>
      <c r="EM21" s="171"/>
      <c r="EN21" s="158">
        <f t="shared" si="31"/>
        <v>10982.721854599999</v>
      </c>
      <c r="EO21" s="158">
        <f t="shared" si="31"/>
        <v>11282.721854599999</v>
      </c>
      <c r="EP21" s="158">
        <f t="shared" si="31"/>
        <v>11282.721854599999</v>
      </c>
      <c r="EQ21" s="158">
        <f t="shared" si="31"/>
        <v>11827.321854600001</v>
      </c>
      <c r="ER21" s="158">
        <f t="shared" si="31"/>
        <v>11827.321854600001</v>
      </c>
      <c r="ES21" s="158">
        <f t="shared" si="31"/>
        <v>12246.028856999999</v>
      </c>
      <c r="ET21" s="158">
        <f t="shared" si="31"/>
        <v>12246.028856999999</v>
      </c>
      <c r="EU21" s="158">
        <f t="shared" si="31"/>
        <v>9827.582446299999</v>
      </c>
      <c r="EV21" s="158">
        <f t="shared" si="31"/>
        <v>9827.582446299999</v>
      </c>
      <c r="EW21" s="158">
        <f t="shared" si="31"/>
        <v>10983.2288546</v>
      </c>
      <c r="EX21" s="158">
        <f t="shared" si="31"/>
        <v>10983.2288546</v>
      </c>
      <c r="EY21" s="158">
        <f t="shared" si="31"/>
        <v>11630.365438999999</v>
      </c>
      <c r="EZ21" s="158">
        <f t="shared" si="31"/>
        <v>11630.365438999999</v>
      </c>
      <c r="FA21" s="158">
        <f t="shared" si="31"/>
        <v>11830.365438999999</v>
      </c>
      <c r="FB21" s="158">
        <f t="shared" si="31"/>
        <v>11830.365438999999</v>
      </c>
      <c r="FC21" s="158">
        <f t="shared" si="31"/>
        <v>12100.365438999999</v>
      </c>
      <c r="FD21" s="158">
        <f t="shared" si="31"/>
        <v>12100.365438999999</v>
      </c>
      <c r="FE21" s="158">
        <f t="shared" si="31"/>
        <v>12100.365438999999</v>
      </c>
      <c r="FF21" s="158">
        <f t="shared" si="31"/>
        <v>12230.365438999999</v>
      </c>
      <c r="FG21" s="158">
        <f t="shared" si="31"/>
        <v>12230.365438999999</v>
      </c>
      <c r="FH21" s="158">
        <f t="shared" si="31"/>
        <v>12230.365438999999</v>
      </c>
      <c r="FI21" s="158">
        <f t="shared" si="31"/>
        <v>12115.365438999999</v>
      </c>
      <c r="FJ21" s="158">
        <f t="shared" si="31"/>
        <v>12115.365438999999</v>
      </c>
      <c r="FK21" s="158">
        <f t="shared" si="31"/>
        <v>12115.365438999999</v>
      </c>
      <c r="FL21" s="158">
        <f t="shared" si="31"/>
        <v>12057.365438999999</v>
      </c>
      <c r="FM21" s="158">
        <f t="shared" si="31"/>
        <v>12057.365438999999</v>
      </c>
      <c r="FN21" s="158">
        <f t="shared" si="31"/>
        <v>12057.365438999999</v>
      </c>
      <c r="FO21" s="171">
        <f>SUM(FO17:FO20)</f>
        <v>34092.7655638</v>
      </c>
      <c r="FP21" s="171">
        <f t="shared" ref="FP21:KB21" si="32">SUM(FP17:FP20)</f>
        <v>33056.840157899998</v>
      </c>
      <c r="FQ21" s="171">
        <f t="shared" si="32"/>
        <v>35561.096316999996</v>
      </c>
      <c r="FR21" s="171">
        <f t="shared" si="32"/>
        <v>36403.096316999996</v>
      </c>
      <c r="FS21" s="171">
        <f>SUM(FS17:FS20)</f>
        <v>139113.79835570001</v>
      </c>
      <c r="FT21" s="171">
        <f>SUM(FT17:FT20)</f>
        <v>139113.79835570004</v>
      </c>
      <c r="FU21" s="171"/>
      <c r="FV21" s="171"/>
      <c r="FW21" s="171"/>
      <c r="FX21" s="171"/>
      <c r="FY21" s="171"/>
      <c r="FZ21" s="171"/>
      <c r="GA21" s="171"/>
      <c r="GB21" s="171"/>
      <c r="GC21" s="171"/>
      <c r="GD21" s="171"/>
      <c r="GE21" s="171"/>
      <c r="GF21" s="171"/>
      <c r="GG21" s="171"/>
      <c r="GH21" s="158">
        <f t="shared" si="32"/>
        <v>1217</v>
      </c>
      <c r="GI21" s="158">
        <f t="shared" si="32"/>
        <v>3043.5</v>
      </c>
      <c r="GJ21" s="158">
        <f t="shared" si="32"/>
        <v>3043.5</v>
      </c>
      <c r="GK21" s="158">
        <f t="shared" si="32"/>
        <v>4159.3099999999995</v>
      </c>
      <c r="GL21" s="158">
        <f t="shared" si="32"/>
        <v>4159.3099999999995</v>
      </c>
      <c r="GM21" s="158">
        <f t="shared" si="32"/>
        <v>3696.1154499999998</v>
      </c>
      <c r="GN21" s="158">
        <f t="shared" si="32"/>
        <v>3696.1154499999998</v>
      </c>
      <c r="GO21" s="158">
        <f t="shared" si="32"/>
        <v>3617.5650000000001</v>
      </c>
      <c r="GP21" s="158">
        <f t="shared" si="32"/>
        <v>3617.5650000000001</v>
      </c>
      <c r="GQ21" s="158">
        <f t="shared" si="32"/>
        <v>2039.665</v>
      </c>
      <c r="GR21" s="158">
        <f t="shared" si="32"/>
        <v>2039.665</v>
      </c>
      <c r="GS21" s="158">
        <f t="shared" si="32"/>
        <v>1129.8200000000002</v>
      </c>
      <c r="GT21" s="158">
        <f t="shared" si="32"/>
        <v>1129.8200000000002</v>
      </c>
      <c r="GU21" s="158">
        <f t="shared" si="32"/>
        <v>3810.1849999999999</v>
      </c>
      <c r="GV21" s="158">
        <f t="shared" si="32"/>
        <v>3810.1849999999999</v>
      </c>
      <c r="GW21" s="158">
        <f t="shared" si="32"/>
        <v>3376.2750000000001</v>
      </c>
      <c r="GX21" s="158">
        <f t="shared" si="32"/>
        <v>3376.2750000000001</v>
      </c>
      <c r="GY21" s="158">
        <f t="shared" si="32"/>
        <v>3376.2750000000001</v>
      </c>
      <c r="GZ21" s="158">
        <f t="shared" si="32"/>
        <v>3564.2150000000001</v>
      </c>
      <c r="HA21" s="158">
        <f t="shared" si="32"/>
        <v>3564.2150000000001</v>
      </c>
      <c r="HB21" s="158">
        <f t="shared" si="32"/>
        <v>3564.2150000000001</v>
      </c>
      <c r="HC21" s="158">
        <f t="shared" si="32"/>
        <v>3639.5</v>
      </c>
      <c r="HD21" s="158">
        <f t="shared" si="32"/>
        <v>3639.5</v>
      </c>
      <c r="HE21" s="158">
        <f t="shared" si="32"/>
        <v>3639.5</v>
      </c>
      <c r="HF21" s="158">
        <f t="shared" si="32"/>
        <v>1540</v>
      </c>
      <c r="HG21" s="158">
        <f t="shared" si="32"/>
        <v>1540</v>
      </c>
      <c r="HH21" s="158">
        <f t="shared" si="32"/>
        <v>1540</v>
      </c>
      <c r="HI21" s="171">
        <f t="shared" si="32"/>
        <v>8419.81</v>
      </c>
      <c r="HJ21" s="171">
        <f t="shared" si="32"/>
        <v>9353.3454500000007</v>
      </c>
      <c r="HK21" s="171">
        <f t="shared" si="32"/>
        <v>8316.2800000000007</v>
      </c>
      <c r="HL21" s="171">
        <f t="shared" si="32"/>
        <v>8743.7150000000001</v>
      </c>
      <c r="HM21" s="171">
        <f>SUM(HM17:HM20)</f>
        <v>34833.150450000001</v>
      </c>
      <c r="HN21" s="171">
        <f>SUM(HN17:HN20)</f>
        <v>34833.150450000001</v>
      </c>
      <c r="HO21" s="171"/>
      <c r="HP21" s="171"/>
      <c r="HQ21" s="171"/>
      <c r="HR21" s="171"/>
      <c r="HS21" s="171"/>
      <c r="HT21" s="171"/>
      <c r="HU21" s="171"/>
      <c r="HV21" s="171"/>
      <c r="HW21" s="171"/>
      <c r="HX21" s="171"/>
      <c r="HY21" s="171"/>
      <c r="HZ21" s="171"/>
      <c r="IA21" s="171"/>
      <c r="IB21" s="158">
        <f t="shared" si="32"/>
        <v>6030</v>
      </c>
      <c r="IC21" s="158">
        <f t="shared" si="32"/>
        <v>6579.95</v>
      </c>
      <c r="ID21" s="158">
        <f t="shared" si="32"/>
        <v>6579.95</v>
      </c>
      <c r="IE21" s="158">
        <f t="shared" si="32"/>
        <v>6103.05</v>
      </c>
      <c r="IF21" s="158">
        <f t="shared" si="32"/>
        <v>6103.05</v>
      </c>
      <c r="IG21" s="158">
        <f t="shared" si="32"/>
        <v>5869.15</v>
      </c>
      <c r="IH21" s="158">
        <f t="shared" si="32"/>
        <v>5869.15</v>
      </c>
      <c r="II21" s="158">
        <f t="shared" si="32"/>
        <v>5798.5869999999995</v>
      </c>
      <c r="IJ21" s="158">
        <f t="shared" si="32"/>
        <v>5798.5869999999995</v>
      </c>
      <c r="IK21" s="158">
        <f t="shared" si="32"/>
        <v>6312.3369999999995</v>
      </c>
      <c r="IL21" s="158">
        <f t="shared" si="32"/>
        <v>6312.3369999999995</v>
      </c>
      <c r="IM21" s="158">
        <f t="shared" si="32"/>
        <v>6408.2870000000003</v>
      </c>
      <c r="IN21" s="158">
        <f t="shared" si="32"/>
        <v>6408.2870000000003</v>
      </c>
      <c r="IO21" s="158">
        <f t="shared" si="32"/>
        <v>6122.4598530000003</v>
      </c>
      <c r="IP21" s="158">
        <f t="shared" si="32"/>
        <v>6122.4598530000003</v>
      </c>
      <c r="IQ21" s="158">
        <f t="shared" si="32"/>
        <v>6406.4369999999999</v>
      </c>
      <c r="IR21" s="158">
        <f t="shared" si="32"/>
        <v>6406.4369999999999</v>
      </c>
      <c r="IS21" s="158">
        <f t="shared" si="32"/>
        <v>6406.4369999999999</v>
      </c>
      <c r="IT21" s="158">
        <f t="shared" si="32"/>
        <v>6176.3369999999995</v>
      </c>
      <c r="IU21" s="158">
        <f t="shared" si="32"/>
        <v>6176.3369999999995</v>
      </c>
      <c r="IV21" s="158">
        <f t="shared" si="32"/>
        <v>6176.3369999999995</v>
      </c>
      <c r="IW21" s="158">
        <f t="shared" si="32"/>
        <v>6848.5869999999995</v>
      </c>
      <c r="IX21" s="158">
        <f t="shared" si="32"/>
        <v>6848.5869999999995</v>
      </c>
      <c r="IY21" s="158">
        <f t="shared" si="32"/>
        <v>6848.5869999999995</v>
      </c>
      <c r="IZ21" s="158">
        <f t="shared" si="32"/>
        <v>6255.7306170000002</v>
      </c>
      <c r="JA21" s="158">
        <f t="shared" si="32"/>
        <v>6255.7306170000002</v>
      </c>
      <c r="JB21" s="158">
        <f t="shared" si="32"/>
        <v>6255.7306170000002</v>
      </c>
      <c r="JC21" s="171">
        <f t="shared" si="32"/>
        <v>18713</v>
      </c>
      <c r="JD21" s="171">
        <f t="shared" si="32"/>
        <v>17980.074000000001</v>
      </c>
      <c r="JE21" s="171">
        <f t="shared" si="32"/>
        <v>18937.183853000002</v>
      </c>
      <c r="JF21" s="171">
        <f t="shared" si="32"/>
        <v>19280.654617</v>
      </c>
      <c r="JG21" s="171">
        <f>SUM(JG17:JG20)</f>
        <v>74910.912469999996</v>
      </c>
      <c r="JH21" s="171">
        <f>SUM(JH17:JH20)</f>
        <v>74910.912469999996</v>
      </c>
      <c r="JI21" s="171"/>
      <c r="JJ21" s="171"/>
      <c r="JK21" s="171"/>
      <c r="JL21" s="171"/>
      <c r="JM21" s="171"/>
      <c r="JN21" s="171"/>
      <c r="JO21" s="171"/>
      <c r="JP21" s="171"/>
      <c r="JQ21" s="171"/>
      <c r="JR21" s="171"/>
      <c r="JS21" s="171"/>
      <c r="JT21" s="171"/>
      <c r="JU21" s="171"/>
      <c r="JV21" s="158">
        <f t="shared" si="32"/>
        <v>2967.4739788728771</v>
      </c>
      <c r="JW21" s="158">
        <f t="shared" si="32"/>
        <v>2784.1141888200591</v>
      </c>
      <c r="JX21" s="158">
        <f t="shared" si="32"/>
        <v>2784.1141888200591</v>
      </c>
      <c r="JY21" s="158">
        <f t="shared" si="32"/>
        <v>2895.7584992921093</v>
      </c>
      <c r="JZ21" s="158">
        <f t="shared" si="32"/>
        <v>2895.7584992921093</v>
      </c>
      <c r="KA21" s="158">
        <f t="shared" si="32"/>
        <v>2858.4069205403393</v>
      </c>
      <c r="KB21" s="158">
        <f t="shared" si="32"/>
        <v>2858.4069205403393</v>
      </c>
      <c r="KC21" s="158">
        <f t="shared" ref="KC21:OJ21" si="33">SUM(KC17:KC20)</f>
        <v>3075.2094628416903</v>
      </c>
      <c r="KD21" s="158">
        <f t="shared" si="33"/>
        <v>3075.2094628416903</v>
      </c>
      <c r="KE21" s="158">
        <f t="shared" si="33"/>
        <v>3024.3661364987947</v>
      </c>
      <c r="KF21" s="158">
        <f t="shared" si="33"/>
        <v>3024.3661364987947</v>
      </c>
      <c r="KG21" s="158">
        <f t="shared" si="33"/>
        <v>3038.5269518400414</v>
      </c>
      <c r="KH21" s="158">
        <f t="shared" si="33"/>
        <v>3038.5269518400414</v>
      </c>
      <c r="KI21" s="158">
        <f t="shared" si="33"/>
        <v>3065.1919192196415</v>
      </c>
      <c r="KJ21" s="158">
        <f t="shared" si="33"/>
        <v>3065.1919192196415</v>
      </c>
      <c r="KK21" s="158">
        <f t="shared" si="33"/>
        <v>3226.8610490176907</v>
      </c>
      <c r="KL21" s="158">
        <f t="shared" si="33"/>
        <v>3226.8610490176907</v>
      </c>
      <c r="KM21" s="158">
        <f t="shared" si="33"/>
        <v>3226.8610490176907</v>
      </c>
      <c r="KN21" s="158">
        <f t="shared" si="33"/>
        <v>3390.0343516402345</v>
      </c>
      <c r="KO21" s="158">
        <f t="shared" si="33"/>
        <v>3390.0343516402345</v>
      </c>
      <c r="KP21" s="158">
        <f t="shared" si="33"/>
        <v>3390.0343516402345</v>
      </c>
      <c r="KQ21" s="158">
        <f t="shared" si="33"/>
        <v>3402.7118375193349</v>
      </c>
      <c r="KR21" s="158">
        <f t="shared" si="33"/>
        <v>3402.7118375193349</v>
      </c>
      <c r="KS21" s="158">
        <f t="shared" si="33"/>
        <v>3402.7118375193349</v>
      </c>
      <c r="KT21" s="158">
        <f t="shared" si="33"/>
        <v>3431.8935171131334</v>
      </c>
      <c r="KU21" s="158">
        <f t="shared" si="33"/>
        <v>3431.8935171131334</v>
      </c>
      <c r="KV21" s="158">
        <f t="shared" si="33"/>
        <v>3431.8935171131334</v>
      </c>
      <c r="KW21" s="171">
        <f t="shared" si="33"/>
        <v>8647.3466669850459</v>
      </c>
      <c r="KX21" s="171">
        <f t="shared" si="33"/>
        <v>8957.9825198808248</v>
      </c>
      <c r="KY21" s="171">
        <f t="shared" si="33"/>
        <v>9330.5799200773727</v>
      </c>
      <c r="KZ21" s="171">
        <f t="shared" si="33"/>
        <v>10224.639706272703</v>
      </c>
      <c r="LA21" s="171">
        <f>SUM(LA17:LA20)</f>
        <v>37160.548813215944</v>
      </c>
      <c r="LB21" s="171">
        <f>SUM(LB17:LB20)</f>
        <v>37160.548813215944</v>
      </c>
      <c r="LC21" s="171"/>
      <c r="LD21" s="171"/>
      <c r="LE21" s="171"/>
      <c r="LF21" s="171"/>
      <c r="LG21" s="171"/>
      <c r="LH21" s="171"/>
      <c r="LI21" s="171"/>
      <c r="LJ21" s="171"/>
      <c r="LK21" s="171"/>
      <c r="LL21" s="171"/>
      <c r="LM21" s="171"/>
      <c r="LN21" s="171"/>
      <c r="LO21" s="171"/>
      <c r="LP21" s="158">
        <f t="shared" si="33"/>
        <v>1765.4932143404997</v>
      </c>
      <c r="LQ21" s="158">
        <f t="shared" si="33"/>
        <v>1765.4932143404997</v>
      </c>
      <c r="LR21" s="158">
        <f t="shared" si="33"/>
        <v>1765.4932143404997</v>
      </c>
      <c r="LS21" s="158">
        <f t="shared" si="33"/>
        <v>1765.4932143404997</v>
      </c>
      <c r="LT21" s="158">
        <f t="shared" si="33"/>
        <v>1765.4932143404997</v>
      </c>
      <c r="LU21" s="158">
        <f t="shared" si="33"/>
        <v>1765.4932143404997</v>
      </c>
      <c r="LV21" s="158">
        <f t="shared" si="33"/>
        <v>1765.4932143404997</v>
      </c>
      <c r="LW21" s="158">
        <f t="shared" si="33"/>
        <v>1765.4932143404997</v>
      </c>
      <c r="LX21" s="158">
        <f t="shared" si="33"/>
        <v>1765.4932143404997</v>
      </c>
      <c r="LY21" s="158">
        <f t="shared" si="33"/>
        <v>1765.4932143404997</v>
      </c>
      <c r="LZ21" s="158">
        <f t="shared" si="33"/>
        <v>1765.4932143404997</v>
      </c>
      <c r="MA21" s="158">
        <f t="shared" si="33"/>
        <v>1765.4932143404997</v>
      </c>
      <c r="MB21" s="158">
        <f t="shared" si="33"/>
        <v>1765.4932143404997</v>
      </c>
      <c r="MC21" s="158">
        <f t="shared" si="33"/>
        <v>1765.4932143404997</v>
      </c>
      <c r="MD21" s="158">
        <f t="shared" si="33"/>
        <v>1765.4932143404997</v>
      </c>
      <c r="ME21" s="158">
        <f t="shared" si="33"/>
        <v>1765.4932143404997</v>
      </c>
      <c r="MF21" s="158">
        <f t="shared" si="33"/>
        <v>1765.4932143404997</v>
      </c>
      <c r="MG21" s="158">
        <f t="shared" si="33"/>
        <v>1765.4932143404997</v>
      </c>
      <c r="MH21" s="158">
        <f t="shared" si="33"/>
        <v>1765.4932143404997</v>
      </c>
      <c r="MI21" s="158">
        <f t="shared" si="33"/>
        <v>1765.4932143404997</v>
      </c>
      <c r="MJ21" s="158">
        <f t="shared" si="33"/>
        <v>1765.4932143404997</v>
      </c>
      <c r="MK21" s="158">
        <f t="shared" si="33"/>
        <v>1765.4932143404997</v>
      </c>
      <c r="ML21" s="158">
        <f t="shared" si="33"/>
        <v>1765.4932143404997</v>
      </c>
      <c r="MM21" s="158">
        <f t="shared" si="33"/>
        <v>1765.4932143404997</v>
      </c>
      <c r="MN21" s="158">
        <f t="shared" si="33"/>
        <v>1765.4932143404997</v>
      </c>
      <c r="MO21" s="158">
        <f t="shared" si="33"/>
        <v>1765.4932143404997</v>
      </c>
      <c r="MP21" s="158">
        <f t="shared" si="33"/>
        <v>1765.4932143404997</v>
      </c>
      <c r="MQ21" s="171">
        <f t="shared" si="33"/>
        <v>5296.4796430214992</v>
      </c>
      <c r="MR21" s="579">
        <f t="shared" si="33"/>
        <v>5296.4796430214992</v>
      </c>
      <c r="MS21" s="171">
        <f t="shared" si="33"/>
        <v>5296.4796430214992</v>
      </c>
      <c r="MT21" s="171">
        <f t="shared" si="33"/>
        <v>5296.4796430214992</v>
      </c>
      <c r="MU21" s="171">
        <f>SUM(MU17:MU20)</f>
        <v>21185.918572085997</v>
      </c>
      <c r="MV21" s="171">
        <f>SUM(MV17:MV20)</f>
        <v>21185.918572085997</v>
      </c>
      <c r="MW21" s="171"/>
      <c r="MX21" s="171"/>
      <c r="MY21" s="171"/>
      <c r="MZ21" s="171"/>
      <c r="NA21" s="171"/>
      <c r="NB21" s="171"/>
      <c r="NC21" s="171"/>
      <c r="ND21" s="171"/>
      <c r="NE21" s="171"/>
      <c r="NF21" s="171"/>
      <c r="NG21" s="171"/>
      <c r="NH21" s="171"/>
      <c r="NI21" s="171"/>
      <c r="NJ21" s="158">
        <f t="shared" si="33"/>
        <v>-991.20391151596402</v>
      </c>
      <c r="NK21" s="158">
        <f>SUM(NK17:NK20)</f>
        <v>-1100.46704628414</v>
      </c>
      <c r="NL21" s="158">
        <f t="shared" si="33"/>
        <v>-1100.46704628414</v>
      </c>
      <c r="NM21" s="158">
        <f t="shared" si="33"/>
        <v>-1108.6523454020501</v>
      </c>
      <c r="NN21" s="158">
        <f t="shared" si="33"/>
        <v>-1108.6523454020501</v>
      </c>
      <c r="NO21" s="158">
        <f t="shared" si="33"/>
        <v>-1109.8270620124799</v>
      </c>
      <c r="NP21" s="158">
        <f t="shared" si="33"/>
        <v>-1109.8270620124799</v>
      </c>
      <c r="NQ21" s="158">
        <f t="shared" si="33"/>
        <v>-1088.8905734499299</v>
      </c>
      <c r="NR21" s="158">
        <f t="shared" si="33"/>
        <v>-1088.8905734499299</v>
      </c>
      <c r="NS21" s="158">
        <f t="shared" si="33"/>
        <v>-1059.00518434623</v>
      </c>
      <c r="NT21" s="158">
        <f t="shared" si="33"/>
        <v>-1059.00518434623</v>
      </c>
      <c r="NU21" s="158">
        <f t="shared" si="33"/>
        <v>-1061.33927421095</v>
      </c>
      <c r="NV21" s="158">
        <f t="shared" si="33"/>
        <v>-1061.33927421095</v>
      </c>
      <c r="NW21" s="158">
        <f t="shared" si="33"/>
        <v>-1171.4024445256</v>
      </c>
      <c r="NX21" s="158">
        <f t="shared" si="33"/>
        <v>-1171.4024445256</v>
      </c>
      <c r="NY21" s="158">
        <f t="shared" si="33"/>
        <v>-1139.34973912635</v>
      </c>
      <c r="NZ21" s="158">
        <f t="shared" si="33"/>
        <v>-1139.34973912635</v>
      </c>
      <c r="OA21" s="158">
        <f t="shared" si="33"/>
        <v>-1143.97857335661</v>
      </c>
      <c r="OB21" s="158">
        <f t="shared" si="33"/>
        <v>-1143.97857335661</v>
      </c>
      <c r="OC21" s="158">
        <f t="shared" si="33"/>
        <v>-1162.39459878912</v>
      </c>
      <c r="OD21" s="158">
        <f t="shared" si="33"/>
        <v>-1162.39459878912</v>
      </c>
      <c r="OE21" s="158">
        <f t="shared" si="33"/>
        <v>-1130.9643490446799</v>
      </c>
      <c r="OF21" s="158">
        <f t="shared" si="33"/>
        <v>-1130.9643490446799</v>
      </c>
      <c r="OG21" s="171">
        <f t="shared" si="33"/>
        <v>-3200.3233032021544</v>
      </c>
      <c r="OH21" s="171">
        <f t="shared" si="33"/>
        <v>-3257.7228198086395</v>
      </c>
      <c r="OI21" s="171">
        <f t="shared" si="33"/>
        <v>-3372.0914578628999</v>
      </c>
      <c r="OJ21" s="171">
        <f t="shared" si="33"/>
        <v>-3437.3375211904095</v>
      </c>
      <c r="OK21" s="171">
        <f>SUM(OK17:OK20)</f>
        <v>-13267.475102064103</v>
      </c>
      <c r="OL21" s="171"/>
      <c r="OM21" s="171"/>
      <c r="ON21" s="171"/>
      <c r="OO21" s="171"/>
      <c r="OP21" s="171"/>
      <c r="OQ21" s="171"/>
      <c r="OR21" s="171"/>
      <c r="OS21" s="171"/>
      <c r="OT21" s="171"/>
      <c r="OU21" s="171"/>
      <c r="OV21" s="171"/>
      <c r="OW21" s="171"/>
      <c r="OX21" s="171"/>
      <c r="OY21" s="158">
        <f>SUM(OY17:OY20)</f>
        <v>38712.582056815467</v>
      </c>
      <c r="OZ21" s="158">
        <f>SUM(OZ17:OZ20)</f>
        <v>42718.908700544482</v>
      </c>
      <c r="PA21" s="158">
        <f>SUM(PA17:PA20)</f>
        <v>42718.908700544482</v>
      </c>
      <c r="PB21" s="158">
        <f>SUM(PB17:PB20)</f>
        <v>42979.277711898612</v>
      </c>
      <c r="PC21" s="158">
        <f t="shared" ref="PC21:QC21" si="34">SUM(PC17:PC20)</f>
        <v>42979.277711898612</v>
      </c>
      <c r="PD21" s="158">
        <f t="shared" si="34"/>
        <v>42952.363868936416</v>
      </c>
      <c r="PE21" s="158">
        <f t="shared" si="34"/>
        <v>42952.363868936416</v>
      </c>
      <c r="PF21" s="158">
        <f t="shared" si="34"/>
        <v>42366.593039100313</v>
      </c>
      <c r="PG21" s="158">
        <f t="shared" si="34"/>
        <v>42366.593039100313</v>
      </c>
      <c r="PH21" s="158">
        <f t="shared" si="34"/>
        <v>41340.131510161125</v>
      </c>
      <c r="PI21" s="158">
        <f t="shared" si="34"/>
        <v>41340.131510161125</v>
      </c>
      <c r="PJ21" s="158">
        <f t="shared" si="34"/>
        <v>41413.064886037653</v>
      </c>
      <c r="PK21" s="158">
        <f t="shared" si="34"/>
        <v>41413.064886037653</v>
      </c>
      <c r="PL21" s="158">
        <f t="shared" si="34"/>
        <v>45519.204536102596</v>
      </c>
      <c r="PM21" s="158">
        <f t="shared" si="34"/>
        <v>45519.204536102596</v>
      </c>
      <c r="PN21" s="158">
        <f t="shared" si="34"/>
        <v>45096.1935182999</v>
      </c>
      <c r="PO21" s="158">
        <f t="shared" si="34"/>
        <v>45096.1935182999</v>
      </c>
      <c r="PP21" s="158">
        <f t="shared" si="34"/>
        <v>45096.1935182999</v>
      </c>
      <c r="PQ21" s="158">
        <f t="shared" si="34"/>
        <v>45192.57798669218</v>
      </c>
      <c r="PR21" s="158">
        <f t="shared" si="34"/>
        <v>45192.57798669218</v>
      </c>
      <c r="PS21" s="158">
        <f t="shared" si="34"/>
        <v>45192.57798669218</v>
      </c>
      <c r="PT21" s="158">
        <f t="shared" si="34"/>
        <v>45814.374447138769</v>
      </c>
      <c r="PU21" s="158">
        <f t="shared" si="34"/>
        <v>45814.374447138769</v>
      </c>
      <c r="PV21" s="158">
        <f t="shared" si="34"/>
        <v>45814.374447138769</v>
      </c>
      <c r="PW21" s="158">
        <f t="shared" si="34"/>
        <v>44898.629993477014</v>
      </c>
      <c r="PX21" s="158">
        <f t="shared" si="34"/>
        <v>44898.629993477014</v>
      </c>
      <c r="PY21" s="158">
        <f t="shared" si="34"/>
        <v>44898.629993477014</v>
      </c>
      <c r="PZ21" s="171">
        <f>SUM(PZ17:PZ20)</f>
        <v>124410.76846925855</v>
      </c>
      <c r="QA21" s="171">
        <f t="shared" si="34"/>
        <v>126659.08841819786</v>
      </c>
      <c r="QB21" s="171">
        <f t="shared" si="34"/>
        <v>132028.46294044013</v>
      </c>
      <c r="QC21" s="171">
        <f t="shared" si="34"/>
        <v>135905.58242730796</v>
      </c>
      <c r="QD21" s="171">
        <f>SUM(QD17:QD20)</f>
        <v>519003.90225520456</v>
      </c>
      <c r="QE21" s="171">
        <f>SUM(QE17:QE20)</f>
        <v>519003.90225520451</v>
      </c>
      <c r="QF21" s="222"/>
      <c r="QG21" s="222"/>
      <c r="QH21" s="171"/>
      <c r="QI21" s="171"/>
      <c r="QJ21" s="171"/>
      <c r="QK21" s="171"/>
      <c r="QL21" s="171"/>
      <c r="QM21" s="171"/>
      <c r="QN21" s="171"/>
      <c r="QO21" s="171"/>
      <c r="QP21" s="171"/>
      <c r="QQ21" s="171"/>
      <c r="QR21" s="171"/>
      <c r="QS21" s="171"/>
      <c r="QT21" s="171"/>
      <c r="QU21" s="168">
        <f>SUM(AG21,CA21,DU21,FO21,HI21,JC21,KW21)</f>
        <v>122314.61212943922</v>
      </c>
    </row>
    <row r="22" spans="1:463" s="51" customFormat="1" hidden="1" outlineLevel="1"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2"/>
      <c r="AH22" s="222"/>
      <c r="AI22" s="222"/>
      <c r="AJ22" s="222"/>
      <c r="AK22" s="222"/>
      <c r="AL22" s="222"/>
      <c r="AM22" s="222"/>
      <c r="AN22" s="222"/>
      <c r="AO22" s="222"/>
      <c r="AP22" s="222"/>
      <c r="AQ22" s="222"/>
      <c r="AR22" s="222"/>
      <c r="AS22" s="222"/>
      <c r="AT22" s="222"/>
      <c r="AU22" s="222"/>
      <c r="AV22" s="222"/>
      <c r="AW22" s="222"/>
      <c r="AX22" s="222"/>
      <c r="AY22" s="222"/>
      <c r="AZ22" s="221"/>
      <c r="BA22" s="221"/>
      <c r="BB22" s="221"/>
      <c r="BC22" s="221"/>
      <c r="BD22" s="221"/>
      <c r="BE22" s="221"/>
      <c r="BF22" s="221"/>
      <c r="BG22" s="221"/>
      <c r="BH22" s="221"/>
      <c r="BI22" s="221"/>
      <c r="BJ22" s="221"/>
      <c r="BK22" s="221"/>
      <c r="BL22" s="221"/>
      <c r="BM22" s="221"/>
      <c r="BN22" s="221"/>
      <c r="BO22" s="221"/>
      <c r="BP22" s="221"/>
      <c r="BQ22" s="221"/>
      <c r="BR22" s="221"/>
      <c r="BS22" s="221"/>
      <c r="BT22" s="221"/>
      <c r="BU22" s="221"/>
      <c r="BV22" s="221"/>
      <c r="BW22" s="221"/>
      <c r="BX22" s="221"/>
      <c r="BY22" s="221"/>
      <c r="BZ22" s="221"/>
      <c r="CA22" s="222"/>
      <c r="CB22" s="222"/>
      <c r="CC22" s="222"/>
      <c r="CD22" s="222"/>
      <c r="CE22" s="222"/>
      <c r="CF22" s="222"/>
      <c r="CG22" s="222"/>
      <c r="CH22" s="222"/>
      <c r="CI22" s="222"/>
      <c r="CJ22" s="222"/>
      <c r="CK22" s="222"/>
      <c r="CL22" s="222"/>
      <c r="CM22" s="222"/>
      <c r="CN22" s="222"/>
      <c r="CO22" s="222"/>
      <c r="CP22" s="222"/>
      <c r="CQ22" s="222"/>
      <c r="CR22" s="222"/>
      <c r="CS22" s="222"/>
      <c r="CT22" s="221"/>
      <c r="CU22" s="221"/>
      <c r="CV22" s="221"/>
      <c r="CW22" s="221"/>
      <c r="CX22" s="221"/>
      <c r="CY22" s="221"/>
      <c r="CZ22" s="221"/>
      <c r="DA22" s="221"/>
      <c r="DB22" s="221"/>
      <c r="DC22" s="221"/>
      <c r="DD22" s="221"/>
      <c r="DE22" s="221"/>
      <c r="DF22" s="221"/>
      <c r="DG22" s="221"/>
      <c r="DH22" s="221"/>
      <c r="DI22" s="221"/>
      <c r="DJ22" s="221"/>
      <c r="DK22" s="221"/>
      <c r="DL22" s="221"/>
      <c r="DM22" s="221"/>
      <c r="DN22" s="221"/>
      <c r="DO22" s="221"/>
      <c r="DP22" s="221"/>
      <c r="DQ22" s="221"/>
      <c r="DR22" s="221"/>
      <c r="DS22" s="221"/>
      <c r="DT22" s="221"/>
      <c r="DU22" s="222"/>
      <c r="DV22" s="222"/>
      <c r="DW22" s="222"/>
      <c r="DX22" s="222"/>
      <c r="DY22" s="222"/>
      <c r="DZ22" s="222"/>
      <c r="EA22" s="222"/>
      <c r="EB22" s="222"/>
      <c r="EC22" s="222"/>
      <c r="ED22" s="222"/>
      <c r="EE22" s="222"/>
      <c r="EF22" s="222"/>
      <c r="EG22" s="222"/>
      <c r="EH22" s="222"/>
      <c r="EI22" s="222"/>
      <c r="EJ22" s="222"/>
      <c r="EK22" s="222"/>
      <c r="EL22" s="222"/>
      <c r="EM22" s="222"/>
      <c r="EN22" s="221"/>
      <c r="EO22" s="221"/>
      <c r="EP22" s="221"/>
      <c r="EQ22" s="221"/>
      <c r="ER22" s="221"/>
      <c r="ES22" s="221"/>
      <c r="ET22" s="221"/>
      <c r="EU22" s="221"/>
      <c r="EV22" s="221"/>
      <c r="EW22" s="221"/>
      <c r="EX22" s="221"/>
      <c r="EY22" s="221"/>
      <c r="EZ22" s="221"/>
      <c r="FA22" s="221"/>
      <c r="FB22" s="221"/>
      <c r="FC22" s="221"/>
      <c r="FD22" s="221"/>
      <c r="FE22" s="221"/>
      <c r="FF22" s="221"/>
      <c r="FG22" s="221"/>
      <c r="FH22" s="221"/>
      <c r="FI22" s="221"/>
      <c r="FJ22" s="221"/>
      <c r="FK22" s="221"/>
      <c r="FL22" s="221"/>
      <c r="FM22" s="221"/>
      <c r="FN22" s="221"/>
      <c r="FO22" s="222"/>
      <c r="FP22" s="222"/>
      <c r="FQ22" s="222"/>
      <c r="FR22" s="222"/>
      <c r="FS22" s="222"/>
      <c r="FT22" s="222"/>
      <c r="FU22" s="222"/>
      <c r="FV22" s="222"/>
      <c r="FW22" s="222"/>
      <c r="FX22" s="222"/>
      <c r="FY22" s="222"/>
      <c r="FZ22" s="222"/>
      <c r="GA22" s="222"/>
      <c r="GB22" s="222"/>
      <c r="GC22" s="222"/>
      <c r="GD22" s="222"/>
      <c r="GE22" s="222"/>
      <c r="GF22" s="222"/>
      <c r="GG22" s="222"/>
      <c r="GH22" s="221"/>
      <c r="GI22" s="221"/>
      <c r="GJ22" s="221"/>
      <c r="GK22" s="221"/>
      <c r="GL22" s="221"/>
      <c r="GM22" s="221"/>
      <c r="GN22" s="221"/>
      <c r="GO22" s="221"/>
      <c r="GP22" s="221"/>
      <c r="GQ22" s="221"/>
      <c r="GR22" s="221"/>
      <c r="GS22" s="221"/>
      <c r="GT22" s="221"/>
      <c r="GU22" s="221"/>
      <c r="GV22" s="221"/>
      <c r="GW22" s="221"/>
      <c r="GX22" s="221"/>
      <c r="GY22" s="221"/>
      <c r="GZ22" s="221"/>
      <c r="HA22" s="221"/>
      <c r="HB22" s="221"/>
      <c r="HC22" s="221"/>
      <c r="HD22" s="221"/>
      <c r="HE22" s="221"/>
      <c r="HF22" s="221"/>
      <c r="HG22" s="221"/>
      <c r="HH22" s="221"/>
      <c r="HI22" s="222"/>
      <c r="HJ22" s="222"/>
      <c r="HK22" s="222"/>
      <c r="HL22" s="222"/>
      <c r="HM22" s="222"/>
      <c r="HN22" s="222"/>
      <c r="HO22" s="222"/>
      <c r="HP22" s="222"/>
      <c r="HQ22" s="222"/>
      <c r="HR22" s="222"/>
      <c r="HS22" s="222"/>
      <c r="HT22" s="222"/>
      <c r="HU22" s="222"/>
      <c r="HV22" s="222"/>
      <c r="HW22" s="222"/>
      <c r="HX22" s="222"/>
      <c r="HY22" s="222"/>
      <c r="HZ22" s="222"/>
      <c r="IA22" s="222"/>
      <c r="IB22" s="221"/>
      <c r="IC22" s="221"/>
      <c r="ID22" s="221"/>
      <c r="IE22" s="221"/>
      <c r="IF22" s="221"/>
      <c r="IG22" s="221"/>
      <c r="IH22" s="221"/>
      <c r="II22" s="221"/>
      <c r="IJ22" s="221"/>
      <c r="IK22" s="221"/>
      <c r="IL22" s="221"/>
      <c r="IM22" s="221"/>
      <c r="IN22" s="221"/>
      <c r="IO22" s="221"/>
      <c r="IP22" s="221"/>
      <c r="IQ22" s="221"/>
      <c r="IR22" s="221"/>
      <c r="IS22" s="221"/>
      <c r="IT22" s="221"/>
      <c r="IU22" s="221"/>
      <c r="IV22" s="221"/>
      <c r="IW22" s="221"/>
      <c r="IX22" s="221"/>
      <c r="IY22" s="221"/>
      <c r="IZ22" s="221"/>
      <c r="JA22" s="221"/>
      <c r="JB22" s="221"/>
      <c r="JC22" s="222"/>
      <c r="JD22" s="222"/>
      <c r="JE22" s="222"/>
      <c r="JF22" s="222"/>
      <c r="JG22" s="222"/>
      <c r="JH22" s="222"/>
      <c r="JI22" s="222"/>
      <c r="JJ22" s="222"/>
      <c r="JK22" s="222"/>
      <c r="JL22" s="222"/>
      <c r="JM22" s="222"/>
      <c r="JN22" s="222"/>
      <c r="JO22" s="222"/>
      <c r="JP22" s="222"/>
      <c r="JQ22" s="222"/>
      <c r="JR22" s="222"/>
      <c r="JS22" s="222"/>
      <c r="JT22" s="222"/>
      <c r="JU22" s="222"/>
      <c r="JV22" s="221"/>
      <c r="JW22" s="221"/>
      <c r="JX22" s="221"/>
      <c r="JY22" s="221"/>
      <c r="JZ22" s="221"/>
      <c r="KA22" s="221"/>
      <c r="KB22" s="221"/>
      <c r="KC22" s="221"/>
      <c r="KD22" s="221"/>
      <c r="KE22" s="221"/>
      <c r="KF22" s="221"/>
      <c r="KG22" s="221"/>
      <c r="KH22" s="221"/>
      <c r="KI22" s="221"/>
      <c r="KJ22" s="221"/>
      <c r="KK22" s="221"/>
      <c r="KL22" s="221"/>
      <c r="KM22" s="221"/>
      <c r="KN22" s="221"/>
      <c r="KO22" s="221"/>
      <c r="KP22" s="221"/>
      <c r="KQ22" s="221"/>
      <c r="KR22" s="221"/>
      <c r="KS22" s="221"/>
      <c r="KT22" s="221"/>
      <c r="KU22" s="221"/>
      <c r="KV22" s="221"/>
      <c r="KW22" s="222"/>
      <c r="KX22" s="222"/>
      <c r="KY22" s="222"/>
      <c r="KZ22" s="222"/>
      <c r="LA22" s="222"/>
      <c r="LB22" s="222"/>
      <c r="LC22" s="222"/>
      <c r="LD22" s="222"/>
      <c r="LE22" s="222"/>
      <c r="LF22" s="222"/>
      <c r="LG22" s="222"/>
      <c r="LH22" s="222"/>
      <c r="LI22" s="222"/>
      <c r="LJ22" s="222"/>
      <c r="LK22" s="222"/>
      <c r="LL22" s="222"/>
      <c r="LM22" s="222"/>
      <c r="LN22" s="222"/>
      <c r="LO22" s="222"/>
      <c r="LP22" s="221"/>
      <c r="LQ22" s="221"/>
      <c r="LR22" s="221"/>
      <c r="LS22" s="221"/>
      <c r="LT22" s="221"/>
      <c r="LU22" s="221"/>
      <c r="LV22" s="221"/>
      <c r="LW22" s="221"/>
      <c r="LX22" s="221"/>
      <c r="LY22" s="221"/>
      <c r="LZ22" s="221"/>
      <c r="MA22" s="221"/>
      <c r="MB22" s="221"/>
      <c r="MC22" s="221"/>
      <c r="MD22" s="221"/>
      <c r="ME22" s="221"/>
      <c r="MF22" s="221"/>
      <c r="MG22" s="221"/>
      <c r="MH22" s="221"/>
      <c r="MI22" s="221"/>
      <c r="MJ22" s="221"/>
      <c r="MK22" s="221"/>
      <c r="ML22" s="221"/>
      <c r="MM22" s="221"/>
      <c r="MN22" s="221"/>
      <c r="MO22" s="221"/>
      <c r="MP22" s="221"/>
      <c r="MQ22" s="222"/>
      <c r="MR22" s="582"/>
      <c r="MS22" s="222"/>
      <c r="MT22" s="222"/>
      <c r="MU22" s="222"/>
      <c r="MV22" s="222"/>
      <c r="MW22" s="222"/>
      <c r="MX22" s="222"/>
      <c r="MY22" s="222"/>
      <c r="MZ22" s="222"/>
      <c r="NA22" s="222"/>
      <c r="NB22" s="222"/>
      <c r="NC22" s="222"/>
      <c r="ND22" s="222"/>
      <c r="NE22" s="222"/>
      <c r="NF22" s="222"/>
      <c r="NG22" s="222"/>
      <c r="NH22" s="222"/>
      <c r="NI22" s="222"/>
      <c r="NJ22" s="221"/>
      <c r="NK22" s="221"/>
      <c r="NL22" s="221"/>
      <c r="NM22" s="221"/>
      <c r="NN22" s="221"/>
      <c r="NO22" s="221"/>
      <c r="NP22" s="221"/>
      <c r="NQ22" s="221"/>
      <c r="NR22" s="221"/>
      <c r="NS22" s="221"/>
      <c r="NT22" s="221"/>
      <c r="NU22" s="221"/>
      <c r="NV22" s="221"/>
      <c r="NW22" s="221"/>
      <c r="NX22" s="221"/>
      <c r="NY22" s="221"/>
      <c r="NZ22" s="221"/>
      <c r="OA22" s="221"/>
      <c r="OB22" s="221"/>
      <c r="OC22" s="221"/>
      <c r="OD22" s="221"/>
      <c r="OE22" s="221"/>
      <c r="OF22" s="221"/>
      <c r="OG22" s="222"/>
      <c r="OH22" s="222"/>
      <c r="OI22" s="222"/>
      <c r="OJ22" s="222"/>
      <c r="OK22" s="222"/>
      <c r="OL22" s="222"/>
      <c r="OM22" s="222"/>
      <c r="ON22" s="222"/>
      <c r="OO22" s="222"/>
      <c r="OP22" s="222"/>
      <c r="OQ22" s="222"/>
      <c r="OR22" s="222"/>
      <c r="OS22" s="222"/>
      <c r="OT22" s="222"/>
      <c r="OU22" s="222"/>
      <c r="OV22" s="222"/>
      <c r="OW22" s="222"/>
      <c r="OX22" s="222"/>
      <c r="OY22" s="168">
        <v>38809.405568415488</v>
      </c>
      <c r="OZ22" s="168"/>
      <c r="PA22" s="168">
        <v>42835.732212144503</v>
      </c>
      <c r="PB22" s="168"/>
      <c r="PC22" s="168">
        <v>43056.101223498597</v>
      </c>
      <c r="PD22" s="168"/>
      <c r="PE22" s="168">
        <v>43102.987382936401</v>
      </c>
      <c r="PF22" s="168"/>
      <c r="PG22" s="168">
        <v>42231.748026000299</v>
      </c>
      <c r="PH22" s="168"/>
      <c r="PI22" s="168">
        <v>41256.955021761103</v>
      </c>
      <c r="PJ22" s="168"/>
      <c r="PK22" s="168">
        <v>41384.888397637696</v>
      </c>
      <c r="PL22" s="168"/>
      <c r="PM22" s="168">
        <v>45501.028047702603</v>
      </c>
      <c r="PN22" s="168"/>
      <c r="PO22" s="168">
        <v>45050.5170298999</v>
      </c>
      <c r="PP22" s="221"/>
      <c r="PQ22" s="168"/>
      <c r="PR22" s="168">
        <v>45191.901498292202</v>
      </c>
      <c r="PS22" s="221"/>
      <c r="PT22" s="168"/>
      <c r="PU22" s="168">
        <v>45823.697958738703</v>
      </c>
      <c r="PV22" s="221"/>
      <c r="PW22" s="168"/>
      <c r="PX22" s="168">
        <v>44856.109888077001</v>
      </c>
      <c r="PY22" s="221"/>
      <c r="PZ22" s="222"/>
      <c r="QA22" s="222"/>
      <c r="QB22" s="222"/>
      <c r="QC22" s="222"/>
      <c r="QD22" s="222"/>
      <c r="QE22" s="222"/>
      <c r="QF22" s="222"/>
      <c r="QG22" s="222"/>
      <c r="QH22" s="222"/>
      <c r="QI22" s="222"/>
      <c r="QJ22" s="222"/>
      <c r="QK22" s="222"/>
      <c r="QL22" s="222"/>
      <c r="QM22" s="222"/>
      <c r="QN22" s="222"/>
      <c r="QO22" s="222"/>
      <c r="QP22" s="222"/>
      <c r="QQ22" s="222"/>
      <c r="QR22" s="222"/>
      <c r="QS22" s="222"/>
      <c r="QT22" s="222"/>
      <c r="QU22" s="168"/>
    </row>
    <row r="23" spans="1:463" s="164" customFormat="1" ht="6.75" hidden="1" customHeight="1" outlineLevel="1">
      <c r="F23" s="163"/>
      <c r="G23" s="163"/>
      <c r="H23" s="163"/>
      <c r="I23" s="163"/>
      <c r="J23" s="163" t="e">
        <f>#REF!</f>
        <v>#REF!</v>
      </c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5"/>
      <c r="AH23" s="165"/>
      <c r="AI23" s="165"/>
      <c r="AJ23" s="165"/>
      <c r="AK23" s="165"/>
      <c r="AL23" s="165"/>
      <c r="AM23" s="165"/>
      <c r="AN23" s="165"/>
      <c r="AO23" s="165"/>
      <c r="AP23" s="165"/>
      <c r="AQ23" s="165"/>
      <c r="AR23" s="165"/>
      <c r="AS23" s="165"/>
      <c r="AT23" s="165"/>
      <c r="AU23" s="165"/>
      <c r="AV23" s="165"/>
      <c r="AW23" s="165"/>
      <c r="AX23" s="165"/>
      <c r="AY23" s="165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3"/>
      <c r="BO23" s="163"/>
      <c r="BP23" s="163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5"/>
      <c r="CB23" s="165"/>
      <c r="CC23" s="165"/>
      <c r="CD23" s="165"/>
      <c r="CE23" s="165"/>
      <c r="CF23" s="165"/>
      <c r="CG23" s="165"/>
      <c r="CH23" s="165"/>
      <c r="CI23" s="165"/>
      <c r="CJ23" s="165"/>
      <c r="CK23" s="165"/>
      <c r="CL23" s="165"/>
      <c r="CM23" s="165"/>
      <c r="CN23" s="165"/>
      <c r="CO23" s="165"/>
      <c r="CP23" s="165"/>
      <c r="CQ23" s="165"/>
      <c r="CR23" s="165"/>
      <c r="CS23" s="165"/>
      <c r="CT23" s="163"/>
      <c r="CU23" s="163"/>
      <c r="CV23" s="163">
        <f>'BUDGET REVENUE CLI 2021-2025'!I58/10^6</f>
        <v>1096.4000000000001</v>
      </c>
      <c r="CW23" s="163"/>
      <c r="CX23" s="163">
        <f>'BUDGET REVENUE CLI 2021-2025'!J58/10^6</f>
        <v>1096.4000000000001</v>
      </c>
      <c r="CY23" s="163"/>
      <c r="CZ23" s="163"/>
      <c r="DA23" s="163"/>
      <c r="DB23" s="163"/>
      <c r="DC23" s="163"/>
      <c r="DD23" s="163"/>
      <c r="DE23" s="163"/>
      <c r="DF23" s="163"/>
      <c r="DG23" s="163"/>
      <c r="DH23" s="163"/>
      <c r="DI23" s="163"/>
      <c r="DJ23" s="163"/>
      <c r="DK23" s="163"/>
      <c r="DL23" s="163"/>
      <c r="DM23" s="163"/>
      <c r="DN23" s="163"/>
      <c r="DO23" s="163"/>
      <c r="DP23" s="163"/>
      <c r="DQ23" s="163"/>
      <c r="DR23" s="163"/>
      <c r="DS23" s="163"/>
      <c r="DT23" s="163"/>
      <c r="DU23" s="165"/>
      <c r="DV23" s="165"/>
      <c r="DW23" s="165"/>
      <c r="DX23" s="165"/>
      <c r="DY23" s="165"/>
      <c r="DZ23" s="165"/>
      <c r="EA23" s="165"/>
      <c r="EB23" s="165"/>
      <c r="EC23" s="165"/>
      <c r="ED23" s="165"/>
      <c r="EE23" s="165"/>
      <c r="EF23" s="165"/>
      <c r="EG23" s="165"/>
      <c r="EH23" s="165"/>
      <c r="EI23" s="165"/>
      <c r="EJ23" s="165"/>
      <c r="EK23" s="165"/>
      <c r="EL23" s="165"/>
      <c r="EM23" s="165"/>
      <c r="EN23" s="163"/>
      <c r="EO23" s="163"/>
      <c r="EP23" s="163" t="e">
        <f>#REF!</f>
        <v>#REF!</v>
      </c>
      <c r="EQ23" s="163"/>
      <c r="ER23" s="163" t="e">
        <f>#REF!</f>
        <v>#REF!</v>
      </c>
      <c r="ES23" s="163"/>
      <c r="ET23" s="163"/>
      <c r="EU23" s="163"/>
      <c r="EV23" s="163"/>
      <c r="EW23" s="163"/>
      <c r="EX23" s="163"/>
      <c r="EY23" s="163"/>
      <c r="EZ23" s="163"/>
      <c r="FA23" s="163"/>
      <c r="FB23" s="163"/>
      <c r="FC23" s="163"/>
      <c r="FD23" s="163"/>
      <c r="FE23" s="163"/>
      <c r="FF23" s="163"/>
      <c r="FG23" s="163"/>
      <c r="FH23" s="163"/>
      <c r="FI23" s="163"/>
      <c r="FJ23" s="163"/>
      <c r="FK23" s="163"/>
      <c r="FL23" s="163"/>
      <c r="FM23" s="163"/>
      <c r="FN23" s="163"/>
      <c r="FO23" s="165"/>
      <c r="FP23" s="165"/>
      <c r="FQ23" s="165"/>
      <c r="FR23" s="165"/>
      <c r="FS23" s="165"/>
      <c r="FT23" s="165"/>
      <c r="FU23" s="165"/>
      <c r="FV23" s="165"/>
      <c r="FW23" s="165"/>
      <c r="FX23" s="165"/>
      <c r="FY23" s="165"/>
      <c r="FZ23" s="165"/>
      <c r="GA23" s="165"/>
      <c r="GB23" s="165"/>
      <c r="GC23" s="165"/>
      <c r="GD23" s="165"/>
      <c r="GE23" s="165"/>
      <c r="GF23" s="165"/>
      <c r="GG23" s="165"/>
      <c r="GH23" s="163"/>
      <c r="GI23" s="163"/>
      <c r="GJ23" s="163" t="e">
        <f>#REF!</f>
        <v>#REF!</v>
      </c>
      <c r="GK23" s="163"/>
      <c r="GL23" s="163" t="e">
        <f>#REF!</f>
        <v>#REF!</v>
      </c>
      <c r="GM23" s="163"/>
      <c r="GN23" s="163"/>
      <c r="GO23" s="163"/>
      <c r="GP23" s="163"/>
      <c r="GQ23" s="163"/>
      <c r="GR23" s="163"/>
      <c r="GS23" s="163"/>
      <c r="GT23" s="163"/>
      <c r="GU23" s="163"/>
      <c r="GV23" s="163"/>
      <c r="GW23" s="163"/>
      <c r="GX23" s="163"/>
      <c r="GY23" s="163"/>
      <c r="GZ23" s="163"/>
      <c r="HA23" s="163"/>
      <c r="HB23" s="163"/>
      <c r="HC23" s="163"/>
      <c r="HD23" s="163"/>
      <c r="HE23" s="163"/>
      <c r="HF23" s="163"/>
      <c r="HG23" s="163"/>
      <c r="HH23" s="163"/>
      <c r="HI23" s="165"/>
      <c r="HJ23" s="165"/>
      <c r="HK23" s="165"/>
      <c r="HL23" s="165"/>
      <c r="HM23" s="165"/>
      <c r="HN23" s="165"/>
      <c r="HO23" s="165"/>
      <c r="HP23" s="165"/>
      <c r="HQ23" s="165"/>
      <c r="HR23" s="165"/>
      <c r="HS23" s="165"/>
      <c r="HT23" s="165"/>
      <c r="HU23" s="165"/>
      <c r="HV23" s="165"/>
      <c r="HW23" s="165"/>
      <c r="HX23" s="165"/>
      <c r="HY23" s="165"/>
      <c r="HZ23" s="165"/>
      <c r="IA23" s="165"/>
      <c r="IB23" s="163"/>
      <c r="IC23" s="163"/>
      <c r="ID23" s="163" t="e">
        <f>#REF!</f>
        <v>#REF!</v>
      </c>
      <c r="IE23" s="163"/>
      <c r="IF23" s="163" t="e">
        <f>#REF!</f>
        <v>#REF!</v>
      </c>
      <c r="IG23" s="163"/>
      <c r="IH23" s="163"/>
      <c r="II23" s="163"/>
      <c r="IJ23" s="163"/>
      <c r="IK23" s="163"/>
      <c r="IL23" s="163"/>
      <c r="IM23" s="163"/>
      <c r="IN23" s="163"/>
      <c r="IO23" s="163"/>
      <c r="IP23" s="163"/>
      <c r="IQ23" s="163"/>
      <c r="IR23" s="163"/>
      <c r="IS23" s="163"/>
      <c r="IT23" s="163"/>
      <c r="IU23" s="163"/>
      <c r="IV23" s="163"/>
      <c r="IW23" s="163"/>
      <c r="IX23" s="163"/>
      <c r="IY23" s="163"/>
      <c r="IZ23" s="163"/>
      <c r="JA23" s="163"/>
      <c r="JB23" s="163"/>
      <c r="JC23" s="165"/>
      <c r="JD23" s="165"/>
      <c r="JE23" s="165"/>
      <c r="JF23" s="165"/>
      <c r="JG23" s="165"/>
      <c r="JH23" s="165"/>
      <c r="JI23" s="165"/>
      <c r="JJ23" s="165"/>
      <c r="JK23" s="165"/>
      <c r="JL23" s="165"/>
      <c r="JM23" s="165"/>
      <c r="JN23" s="165"/>
      <c r="JO23" s="165"/>
      <c r="JP23" s="165"/>
      <c r="JQ23" s="165"/>
      <c r="JR23" s="165"/>
      <c r="JS23" s="165"/>
      <c r="JT23" s="165"/>
      <c r="JU23" s="165"/>
      <c r="JV23" s="163"/>
      <c r="JW23" s="163"/>
      <c r="JX23" s="163" t="e">
        <f>#REF!</f>
        <v>#REF!</v>
      </c>
      <c r="JY23" s="163"/>
      <c r="JZ23" s="163" t="e">
        <f>#REF!</f>
        <v>#REF!</v>
      </c>
      <c r="KA23" s="163"/>
      <c r="KB23" s="163"/>
      <c r="KC23" s="163"/>
      <c r="KD23" s="163"/>
      <c r="KE23" s="163"/>
      <c r="KF23" s="163"/>
      <c r="KG23" s="163"/>
      <c r="KH23" s="163"/>
      <c r="KI23" s="163"/>
      <c r="KJ23" s="163"/>
      <c r="KK23" s="163"/>
      <c r="KL23" s="163"/>
      <c r="KM23" s="163"/>
      <c r="KN23" s="163"/>
      <c r="KO23" s="163"/>
      <c r="KP23" s="163"/>
      <c r="KQ23" s="163"/>
      <c r="KR23" s="163"/>
      <c r="KS23" s="163"/>
      <c r="KT23" s="163"/>
      <c r="KU23" s="163"/>
      <c r="KV23" s="163"/>
      <c r="KW23" s="165"/>
      <c r="KX23" s="165"/>
      <c r="KY23" s="165"/>
      <c r="KZ23" s="165"/>
      <c r="LA23" s="165"/>
      <c r="LB23" s="165"/>
      <c r="LC23" s="165"/>
      <c r="LD23" s="165"/>
      <c r="LE23" s="165"/>
      <c r="LF23" s="165"/>
      <c r="LG23" s="165"/>
      <c r="LH23" s="165"/>
      <c r="LI23" s="165"/>
      <c r="LJ23" s="165"/>
      <c r="LK23" s="165"/>
      <c r="LL23" s="165"/>
      <c r="LM23" s="165"/>
      <c r="LN23" s="165"/>
      <c r="LO23" s="165"/>
      <c r="LP23" s="165"/>
      <c r="LQ23" s="165"/>
      <c r="LR23" s="165"/>
      <c r="LS23" s="165"/>
      <c r="LT23" s="165"/>
      <c r="LU23" s="165"/>
      <c r="LV23" s="165"/>
      <c r="LW23" s="165"/>
      <c r="LX23" s="165"/>
      <c r="LY23" s="165"/>
      <c r="LZ23" s="165"/>
      <c r="MA23" s="165"/>
      <c r="MB23" s="165"/>
      <c r="MC23" s="165"/>
      <c r="MD23" s="165"/>
      <c r="ME23" s="165"/>
      <c r="MF23" s="165"/>
      <c r="MG23" s="163"/>
      <c r="MH23" s="165"/>
      <c r="MI23" s="165"/>
      <c r="MJ23" s="163"/>
      <c r="MK23" s="165"/>
      <c r="ML23" s="165"/>
      <c r="MM23" s="163"/>
      <c r="MN23" s="165"/>
      <c r="MO23" s="165"/>
      <c r="MP23" s="163"/>
      <c r="MQ23" s="165"/>
      <c r="MR23" s="165"/>
      <c r="MS23" s="165"/>
      <c r="MT23" s="165"/>
      <c r="MU23" s="165"/>
      <c r="MV23" s="165"/>
      <c r="MW23" s="165"/>
      <c r="MX23" s="165"/>
      <c r="MY23" s="165"/>
      <c r="MZ23" s="165"/>
      <c r="NA23" s="165"/>
      <c r="NB23" s="165"/>
      <c r="NC23" s="165"/>
      <c r="ND23" s="165"/>
      <c r="NE23" s="165"/>
      <c r="NF23" s="165"/>
      <c r="NG23" s="165"/>
      <c r="NH23" s="165"/>
      <c r="NI23" s="165"/>
      <c r="NJ23" s="172"/>
      <c r="NK23" s="172"/>
      <c r="NL23" s="172"/>
      <c r="NM23" s="172"/>
      <c r="NN23" s="172"/>
      <c r="NO23" s="172"/>
      <c r="NP23" s="172"/>
      <c r="NQ23" s="172"/>
      <c r="NR23" s="172"/>
      <c r="NS23" s="172"/>
      <c r="NT23" s="172"/>
      <c r="NU23" s="172"/>
      <c r="NV23" s="172"/>
      <c r="NW23" s="172"/>
      <c r="NX23" s="172"/>
      <c r="NY23" s="172"/>
      <c r="NZ23" s="172"/>
      <c r="OA23" s="172"/>
      <c r="OB23" s="172"/>
      <c r="OC23" s="172"/>
      <c r="OD23" s="172"/>
      <c r="OE23" s="172"/>
      <c r="OF23" s="172"/>
      <c r="OG23" s="172"/>
      <c r="OH23" s="172"/>
      <c r="OI23" s="165"/>
      <c r="OJ23" s="165"/>
      <c r="OK23" s="165"/>
      <c r="OL23" s="165"/>
      <c r="OM23" s="165"/>
      <c r="ON23" s="165"/>
      <c r="OO23" s="165"/>
      <c r="OP23" s="165"/>
      <c r="OQ23" s="165"/>
      <c r="OR23" s="165"/>
      <c r="OS23" s="165"/>
      <c r="OT23" s="165"/>
      <c r="OU23" s="165"/>
      <c r="OV23" s="165"/>
      <c r="OW23" s="165"/>
      <c r="OX23" s="165"/>
      <c r="OY23" s="172"/>
      <c r="OZ23" s="163"/>
      <c r="PA23" s="172"/>
      <c r="PB23" s="163"/>
      <c r="PC23" s="172"/>
      <c r="PD23" s="163"/>
      <c r="PE23" s="172"/>
      <c r="PF23" s="163"/>
      <c r="PG23" s="172"/>
      <c r="PH23" s="163"/>
      <c r="PI23" s="172"/>
      <c r="PJ23" s="163"/>
      <c r="PK23" s="172"/>
      <c r="PL23" s="163"/>
      <c r="PM23" s="172"/>
      <c r="PN23" s="163"/>
      <c r="PO23" s="172"/>
      <c r="PP23" s="163"/>
      <c r="PQ23" s="163"/>
      <c r="PR23" s="172"/>
      <c r="PS23" s="163"/>
      <c r="PT23" s="163"/>
      <c r="PU23" s="172"/>
      <c r="PV23" s="163"/>
      <c r="PW23" s="163"/>
      <c r="PX23" s="172"/>
      <c r="PY23" s="163"/>
      <c r="PZ23" s="163"/>
      <c r="QA23" s="163"/>
      <c r="QB23" s="163"/>
      <c r="QC23" s="163"/>
      <c r="QD23" s="165"/>
      <c r="QE23" s="165"/>
      <c r="QF23" s="165"/>
      <c r="QG23" s="165"/>
      <c r="QH23" s="165"/>
      <c r="QI23" s="165"/>
      <c r="QJ23" s="165"/>
      <c r="QK23" s="165"/>
      <c r="QL23" s="165"/>
      <c r="QM23" s="165"/>
      <c r="QN23" s="165"/>
      <c r="QO23" s="165"/>
      <c r="QP23" s="165"/>
      <c r="QQ23" s="165"/>
      <c r="QR23" s="165"/>
      <c r="QS23" s="165"/>
      <c r="QT23" s="165"/>
    </row>
    <row r="24" spans="1:463" s="51" customFormat="1" hidden="1" outlineLevel="1">
      <c r="A24" s="1274" t="s">
        <v>1215</v>
      </c>
      <c r="B24" s="590" t="s">
        <v>1147</v>
      </c>
      <c r="C24" s="591"/>
      <c r="D24" s="591"/>
      <c r="E24" s="591"/>
      <c r="F24" s="1277" t="s">
        <v>1155</v>
      </c>
      <c r="G24" s="1277"/>
      <c r="H24" s="1277"/>
      <c r="I24" s="1277"/>
      <c r="J24" s="1277"/>
      <c r="K24" s="1277"/>
      <c r="L24" s="1277"/>
      <c r="M24" s="1277"/>
      <c r="N24" s="1277"/>
      <c r="O24" s="1277"/>
      <c r="P24" s="1277"/>
      <c r="Q24" s="1277"/>
      <c r="R24" s="1277"/>
      <c r="S24" s="1277"/>
      <c r="T24" s="1277"/>
      <c r="U24" s="1277"/>
      <c r="V24" s="1277"/>
      <c r="W24" s="1277"/>
      <c r="X24" s="1277"/>
      <c r="Y24" s="1277"/>
      <c r="Z24" s="1277"/>
      <c r="AA24" s="1277"/>
      <c r="AB24" s="1277"/>
      <c r="AC24" s="1277"/>
      <c r="AD24" s="1277"/>
      <c r="AE24" s="1277"/>
      <c r="AF24" s="1277"/>
      <c r="AG24" s="1277"/>
      <c r="AH24" s="1277"/>
      <c r="AI24" s="1277"/>
      <c r="AJ24" s="1277"/>
      <c r="AK24" s="1277"/>
      <c r="AL24" s="1277"/>
      <c r="AM24" s="1277"/>
      <c r="AN24" s="1277"/>
      <c r="AO24" s="1277"/>
      <c r="AP24" s="1277"/>
      <c r="AQ24" s="1277"/>
      <c r="AR24" s="1277"/>
      <c r="AS24" s="1277"/>
      <c r="AT24" s="1277"/>
      <c r="AU24" s="1277"/>
      <c r="AV24" s="1277"/>
      <c r="AW24" s="1277"/>
      <c r="AX24" s="1277"/>
      <c r="AY24" s="1277"/>
      <c r="AZ24" s="1277"/>
      <c r="BA24" s="1277"/>
      <c r="BB24" s="1277"/>
      <c r="BC24" s="1277"/>
      <c r="BD24" s="1277"/>
      <c r="BE24" s="1277"/>
      <c r="BF24" s="1277"/>
      <c r="BG24" s="1277"/>
      <c r="BH24" s="1277"/>
      <c r="BI24" s="1277"/>
      <c r="BJ24" s="1277"/>
      <c r="BK24" s="1277"/>
      <c r="BL24" s="1277"/>
      <c r="BM24" s="1277"/>
      <c r="BN24" s="1277"/>
      <c r="BO24" s="1277"/>
      <c r="BP24" s="1277"/>
      <c r="BQ24" s="1277"/>
      <c r="BR24" s="1277"/>
      <c r="BS24" s="1277"/>
      <c r="BT24" s="1277"/>
      <c r="BU24" s="1277"/>
      <c r="BV24" s="1277"/>
      <c r="BW24" s="1277"/>
      <c r="BX24" s="1277"/>
      <c r="BY24" s="1277"/>
      <c r="BZ24" s="1277"/>
      <c r="CA24" s="1277"/>
      <c r="CB24" s="1277"/>
      <c r="CC24" s="1277"/>
      <c r="CD24" s="1277"/>
      <c r="CE24" s="1277"/>
      <c r="CF24" s="1277"/>
      <c r="CG24" s="1277"/>
      <c r="CH24" s="1277"/>
      <c r="CI24" s="1277"/>
      <c r="CJ24" s="1277"/>
      <c r="CK24" s="1277"/>
      <c r="CL24" s="1277"/>
      <c r="CM24" s="1277"/>
      <c r="CN24" s="1277"/>
      <c r="CO24" s="1277"/>
      <c r="CP24" s="1277"/>
      <c r="CQ24" s="1277"/>
      <c r="CR24" s="1277"/>
      <c r="CS24" s="1277"/>
      <c r="CT24" s="1277"/>
      <c r="CU24" s="1277"/>
      <c r="CV24" s="1277"/>
      <c r="CW24" s="1277"/>
      <c r="CX24" s="1277"/>
      <c r="CY24" s="1277"/>
      <c r="CZ24" s="1277"/>
      <c r="DA24" s="1277"/>
      <c r="DB24" s="1277"/>
      <c r="DC24" s="1277"/>
      <c r="DD24" s="1277"/>
      <c r="DE24" s="1277"/>
      <c r="DF24" s="1277"/>
      <c r="DG24" s="1277"/>
      <c r="DH24" s="1277"/>
      <c r="DI24" s="1277"/>
      <c r="DJ24" s="1277"/>
      <c r="DK24" s="1277"/>
      <c r="DL24" s="1277"/>
      <c r="DM24" s="1277"/>
      <c r="DN24" s="1277"/>
      <c r="DO24" s="1277"/>
      <c r="DP24" s="1277"/>
      <c r="DQ24" s="1277"/>
      <c r="DR24" s="1277"/>
      <c r="DS24" s="1277"/>
      <c r="DT24" s="1277"/>
      <c r="DU24" s="1277"/>
      <c r="DV24" s="1277"/>
      <c r="DW24" s="1277"/>
      <c r="DX24" s="1277"/>
      <c r="DY24" s="1277"/>
      <c r="DZ24" s="1278"/>
      <c r="EA24" s="933"/>
      <c r="EB24" s="933"/>
      <c r="EC24" s="933"/>
      <c r="ED24" s="933"/>
      <c r="EE24" s="933"/>
      <c r="EF24" s="933"/>
      <c r="EG24" s="933"/>
      <c r="EH24" s="933"/>
      <c r="EI24" s="933"/>
      <c r="EJ24" s="933"/>
      <c r="EK24" s="933"/>
      <c r="EL24" s="933"/>
      <c r="EM24" s="933"/>
      <c r="EN24" s="1279" t="s">
        <v>1104</v>
      </c>
      <c r="EO24" s="1280"/>
      <c r="EP24" s="1280"/>
      <c r="EQ24" s="1280"/>
      <c r="ER24" s="1280"/>
      <c r="ES24" s="1280"/>
      <c r="ET24" s="1280"/>
      <c r="EU24" s="1280"/>
      <c r="EV24" s="1280"/>
      <c r="EW24" s="1280"/>
      <c r="EX24" s="1280"/>
      <c r="EY24" s="1280"/>
      <c r="EZ24" s="1280"/>
      <c r="FA24" s="1280"/>
      <c r="FB24" s="1280"/>
      <c r="FC24" s="1280"/>
      <c r="FD24" s="1280"/>
      <c r="FE24" s="1280"/>
      <c r="FF24" s="1280"/>
      <c r="FG24" s="1280"/>
      <c r="FH24" s="1280"/>
      <c r="FI24" s="1280"/>
      <c r="FJ24" s="1280"/>
      <c r="FK24" s="1280"/>
      <c r="FL24" s="1280"/>
      <c r="FM24" s="1280"/>
      <c r="FN24" s="1280"/>
      <c r="FO24" s="1280"/>
      <c r="FP24" s="1280"/>
      <c r="FQ24" s="1280"/>
      <c r="FR24" s="1280"/>
      <c r="FS24" s="1280"/>
      <c r="FT24" s="1280"/>
      <c r="FU24" s="1280"/>
      <c r="FV24" s="1280"/>
      <c r="FW24" s="1280"/>
      <c r="FX24" s="1280"/>
      <c r="FY24" s="1280"/>
      <c r="FZ24" s="1280"/>
      <c r="GA24" s="1280"/>
      <c r="GB24" s="1280"/>
      <c r="GC24" s="1280"/>
      <c r="GD24" s="1280"/>
      <c r="GE24" s="1280"/>
      <c r="GF24" s="1280"/>
      <c r="GG24" s="1280"/>
      <c r="GH24" s="1280"/>
      <c r="GI24" s="1280"/>
      <c r="GJ24" s="1280"/>
      <c r="GK24" s="1280"/>
      <c r="GL24" s="1280"/>
      <c r="GM24" s="1280"/>
      <c r="GN24" s="1280"/>
      <c r="GO24" s="1280"/>
      <c r="GP24" s="1280"/>
      <c r="GQ24" s="1280"/>
      <c r="GR24" s="1280"/>
      <c r="GS24" s="1280"/>
      <c r="GT24" s="1280"/>
      <c r="GU24" s="1280"/>
      <c r="GV24" s="1280"/>
      <c r="GW24" s="1280"/>
      <c r="GX24" s="1280"/>
      <c r="GY24" s="1280"/>
      <c r="GZ24" s="1280"/>
      <c r="HA24" s="1280"/>
      <c r="HB24" s="1280"/>
      <c r="HC24" s="1280"/>
      <c r="HD24" s="1280"/>
      <c r="HE24" s="1280"/>
      <c r="HF24" s="1280"/>
      <c r="HG24" s="1280"/>
      <c r="HH24" s="1280"/>
      <c r="HI24" s="1280"/>
      <c r="HJ24" s="1280"/>
      <c r="HK24" s="1280"/>
      <c r="HL24" s="1280"/>
      <c r="HM24" s="1280"/>
      <c r="HN24" s="1281"/>
      <c r="HO24" s="1096"/>
      <c r="HP24" s="1096"/>
      <c r="HQ24" s="1096"/>
      <c r="HR24" s="1096"/>
      <c r="HS24" s="1096"/>
      <c r="HT24" s="1096"/>
      <c r="HU24" s="1096"/>
      <c r="HV24" s="1096"/>
      <c r="HW24" s="1096"/>
      <c r="HX24" s="1096"/>
      <c r="HY24" s="1096"/>
      <c r="HZ24" s="1096"/>
      <c r="IA24" s="1096"/>
      <c r="IB24" s="1282" t="s">
        <v>1211</v>
      </c>
      <c r="IC24" s="1283"/>
      <c r="ID24" s="1283"/>
      <c r="IE24" s="1283"/>
      <c r="IF24" s="1283"/>
      <c r="IG24" s="1283"/>
      <c r="IH24" s="1283"/>
      <c r="II24" s="1283"/>
      <c r="IJ24" s="1283"/>
      <c r="IK24" s="1283"/>
      <c r="IL24" s="1283"/>
      <c r="IM24" s="1283"/>
      <c r="IN24" s="1283"/>
      <c r="IO24" s="1283"/>
      <c r="IP24" s="1283"/>
      <c r="IQ24" s="1283"/>
      <c r="IR24" s="1283"/>
      <c r="IS24" s="1283"/>
      <c r="IT24" s="1283"/>
      <c r="IU24" s="1283"/>
      <c r="IV24" s="1283"/>
      <c r="IW24" s="1283"/>
      <c r="IX24" s="1283"/>
      <c r="IY24" s="1283"/>
      <c r="IZ24" s="1283"/>
      <c r="JA24" s="1283"/>
      <c r="JB24" s="1283"/>
      <c r="JC24" s="1283"/>
      <c r="JD24" s="1283"/>
      <c r="JE24" s="1283"/>
      <c r="JF24" s="1283"/>
      <c r="JG24" s="1283"/>
      <c r="JH24" s="1284"/>
      <c r="JI24" s="1096"/>
      <c r="JJ24" s="1096"/>
      <c r="JK24" s="1096"/>
      <c r="JL24" s="1096"/>
      <c r="JM24" s="1096"/>
      <c r="JN24" s="1096"/>
      <c r="JO24" s="1096"/>
      <c r="JP24" s="1096"/>
      <c r="JQ24" s="1096"/>
      <c r="JR24" s="1096"/>
      <c r="JS24" s="1096"/>
      <c r="JT24" s="1096"/>
      <c r="JU24" s="1096"/>
      <c r="JV24" s="1288" t="s">
        <v>1212</v>
      </c>
      <c r="JW24" s="1289"/>
      <c r="JX24" s="1289"/>
      <c r="JY24" s="1289"/>
      <c r="JZ24" s="1289"/>
      <c r="KA24" s="1289"/>
      <c r="KB24" s="1289"/>
      <c r="KC24" s="1289"/>
      <c r="KD24" s="1289"/>
      <c r="KE24" s="1289"/>
      <c r="KF24" s="1289"/>
      <c r="KG24" s="1289"/>
      <c r="KH24" s="1289"/>
      <c r="KI24" s="1289"/>
      <c r="KJ24" s="1289"/>
      <c r="KK24" s="1289"/>
      <c r="KL24" s="1289"/>
      <c r="KM24" s="1289"/>
      <c r="KN24" s="1289"/>
      <c r="KO24" s="1289"/>
      <c r="KP24" s="1289"/>
      <c r="KQ24" s="1289"/>
      <c r="KR24" s="1289"/>
      <c r="KS24" s="1289"/>
      <c r="KT24" s="1289"/>
      <c r="KU24" s="1289"/>
      <c r="KV24" s="1289"/>
      <c r="KW24" s="1289"/>
      <c r="KX24" s="1289"/>
      <c r="KY24" s="1289"/>
      <c r="KZ24" s="1289"/>
      <c r="LA24" s="1289"/>
      <c r="LB24" s="1290"/>
      <c r="LC24" s="1096"/>
      <c r="LD24" s="1096"/>
      <c r="LE24" s="1096"/>
      <c r="LF24" s="1096"/>
      <c r="LG24" s="1096"/>
      <c r="LH24" s="1096"/>
      <c r="LI24" s="1096"/>
      <c r="LJ24" s="1096"/>
      <c r="LK24" s="1096"/>
      <c r="LL24" s="1096"/>
      <c r="LM24" s="1096"/>
      <c r="LN24" s="1096"/>
      <c r="LO24" s="1096"/>
      <c r="LP24" s="1268" t="s">
        <v>1213</v>
      </c>
      <c r="LQ24" s="1269"/>
      <c r="LR24" s="1269"/>
      <c r="LS24" s="1269"/>
      <c r="LT24" s="1269"/>
      <c r="LU24" s="1269"/>
      <c r="LV24" s="1269"/>
      <c r="LW24" s="1269"/>
      <c r="LX24" s="1269"/>
      <c r="LY24" s="1269"/>
      <c r="LZ24" s="1269"/>
      <c r="MA24" s="1269"/>
      <c r="MB24" s="1269"/>
      <c r="MC24" s="1269"/>
      <c r="MD24" s="1269"/>
      <c r="ME24" s="1269"/>
      <c r="MF24" s="1269"/>
      <c r="MG24" s="1269"/>
      <c r="MH24" s="1269"/>
      <c r="MI24" s="1269"/>
      <c r="MJ24" s="1269"/>
      <c r="MK24" s="1269"/>
      <c r="ML24" s="1269"/>
      <c r="MM24" s="1269"/>
      <c r="MN24" s="1269"/>
      <c r="MO24" s="1269"/>
      <c r="MP24" s="1269"/>
      <c r="MQ24" s="1269"/>
      <c r="MR24" s="1269"/>
      <c r="MS24" s="1269"/>
      <c r="MT24" s="1269"/>
      <c r="MU24" s="1269"/>
      <c r="MV24" s="1270"/>
      <c r="MW24" s="1096"/>
      <c r="MX24" s="1096"/>
      <c r="MY24" s="1096"/>
      <c r="MZ24" s="1096"/>
      <c r="NA24" s="1096"/>
      <c r="NB24" s="1096"/>
      <c r="NC24" s="1096"/>
      <c r="ND24" s="1096"/>
      <c r="NE24" s="1096"/>
      <c r="NF24" s="1096"/>
      <c r="NG24" s="1096"/>
      <c r="NH24" s="1096"/>
      <c r="NI24" s="1096"/>
      <c r="NJ24" s="1246" t="s">
        <v>1153</v>
      </c>
      <c r="NK24" s="1247"/>
      <c r="NL24" s="1247"/>
      <c r="NM24" s="1247"/>
      <c r="NN24" s="1247"/>
      <c r="NO24" s="1247"/>
      <c r="NP24" s="1247"/>
      <c r="NQ24" s="1247"/>
      <c r="NR24" s="1247"/>
      <c r="NS24" s="1247"/>
      <c r="NT24" s="1247"/>
      <c r="NU24" s="1247"/>
      <c r="NV24" s="1247"/>
      <c r="NW24" s="1247"/>
      <c r="NX24" s="1247"/>
      <c r="NY24" s="1247"/>
      <c r="NZ24" s="1247"/>
      <c r="OA24" s="1247"/>
      <c r="OB24" s="1247"/>
      <c r="OC24" s="1247"/>
      <c r="OD24" s="1247"/>
      <c r="OE24" s="1247"/>
      <c r="OF24" s="1247"/>
      <c r="OG24" s="1247"/>
      <c r="OH24" s="1247"/>
      <c r="OI24" s="1247"/>
      <c r="OJ24" s="1247"/>
      <c r="OK24" s="1248"/>
      <c r="OL24" s="1096"/>
      <c r="OM24" s="1096"/>
      <c r="ON24" s="1096"/>
      <c r="OO24" s="1096"/>
      <c r="OP24" s="1096"/>
      <c r="OQ24" s="1096"/>
      <c r="OR24" s="1096"/>
      <c r="OS24" s="1096"/>
      <c r="OT24" s="1096"/>
      <c r="OU24" s="1096"/>
      <c r="OV24" s="1096"/>
      <c r="OW24" s="1096"/>
      <c r="OX24" s="1096"/>
      <c r="OY24" s="1252" t="s">
        <v>1154</v>
      </c>
      <c r="OZ24" s="1253"/>
      <c r="PA24" s="1253"/>
      <c r="PB24" s="1253"/>
      <c r="PC24" s="1253"/>
      <c r="PD24" s="1253"/>
      <c r="PE24" s="1253"/>
      <c r="PF24" s="1253"/>
      <c r="PG24" s="1253"/>
      <c r="PH24" s="1253"/>
      <c r="PI24" s="1253"/>
      <c r="PJ24" s="1253"/>
      <c r="PK24" s="1253"/>
      <c r="PL24" s="1253"/>
      <c r="PM24" s="1253"/>
      <c r="PN24" s="1253"/>
      <c r="PO24" s="1253"/>
      <c r="PP24" s="1253"/>
      <c r="PQ24" s="1253"/>
      <c r="PR24" s="1253"/>
      <c r="PS24" s="1253"/>
      <c r="PT24" s="1253"/>
      <c r="PU24" s="1253"/>
      <c r="PV24" s="1253"/>
      <c r="PW24" s="1253"/>
      <c r="PX24" s="1253"/>
      <c r="PY24" s="1253"/>
      <c r="PZ24" s="1253"/>
      <c r="QA24" s="1253"/>
      <c r="QB24" s="1253"/>
      <c r="QC24" s="1253"/>
      <c r="QD24" s="1253"/>
      <c r="QE24" s="1253"/>
      <c r="QF24" s="1097"/>
      <c r="QG24" s="1097"/>
      <c r="QH24" s="1096"/>
      <c r="QI24" s="1096"/>
      <c r="QJ24" s="1096"/>
      <c r="QK24" s="1096"/>
      <c r="QL24" s="1096"/>
      <c r="QM24" s="1096"/>
      <c r="QN24" s="1096"/>
      <c r="QO24" s="1096"/>
      <c r="QP24" s="1096"/>
      <c r="QQ24" s="1096"/>
      <c r="QR24" s="1096"/>
      <c r="QS24" s="1096"/>
      <c r="QT24" s="1096"/>
      <c r="QU24" s="166"/>
    </row>
    <row r="25" spans="1:463" s="51" customFormat="1" hidden="1" outlineLevel="1">
      <c r="A25" s="1275"/>
      <c r="B25" s="588" t="s">
        <v>304</v>
      </c>
      <c r="C25" s="589"/>
      <c r="D25" s="589"/>
      <c r="E25" s="589"/>
      <c r="F25" s="1256" t="s">
        <v>1155</v>
      </c>
      <c r="G25" s="1256"/>
      <c r="H25" s="1256"/>
      <c r="I25" s="1256"/>
      <c r="J25" s="1256"/>
      <c r="K25" s="1256"/>
      <c r="L25" s="1256"/>
      <c r="M25" s="1256"/>
      <c r="N25" s="1256"/>
      <c r="O25" s="1256"/>
      <c r="P25" s="1256"/>
      <c r="Q25" s="1256"/>
      <c r="R25" s="1256"/>
      <c r="S25" s="1256"/>
      <c r="T25" s="1256"/>
      <c r="U25" s="1256"/>
      <c r="V25" s="1256"/>
      <c r="W25" s="1256"/>
      <c r="X25" s="1256"/>
      <c r="Y25" s="1256"/>
      <c r="Z25" s="1256"/>
      <c r="AA25" s="1256"/>
      <c r="AB25" s="1256"/>
      <c r="AC25" s="1256"/>
      <c r="AD25" s="1256"/>
      <c r="AE25" s="1256"/>
      <c r="AF25" s="1256"/>
      <c r="AG25" s="1256"/>
      <c r="AH25" s="1256"/>
      <c r="AI25" s="1256"/>
      <c r="AJ25" s="1256"/>
      <c r="AK25" s="1256"/>
      <c r="AL25" s="1257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258" t="s">
        <v>305</v>
      </c>
      <c r="BA25" s="1259"/>
      <c r="BB25" s="1259"/>
      <c r="BC25" s="1259"/>
      <c r="BD25" s="1259"/>
      <c r="BE25" s="1259"/>
      <c r="BF25" s="1259"/>
      <c r="BG25" s="1259"/>
      <c r="BH25" s="1259"/>
      <c r="BI25" s="1259"/>
      <c r="BJ25" s="1259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59"/>
      <c r="BV25" s="1259"/>
      <c r="BW25" s="1259"/>
      <c r="BX25" s="1259"/>
      <c r="BY25" s="1259"/>
      <c r="BZ25" s="1259"/>
      <c r="CA25" s="1259"/>
      <c r="CB25" s="1259"/>
      <c r="CC25" s="1259"/>
      <c r="CD25" s="1259"/>
      <c r="CE25" s="1259"/>
      <c r="CF25" s="1260"/>
      <c r="CG25" s="1095"/>
      <c r="CH25" s="1095"/>
      <c r="CI25" s="1095"/>
      <c r="CJ25" s="1095"/>
      <c r="CK25" s="1095"/>
      <c r="CL25" s="1095"/>
      <c r="CM25" s="1095"/>
      <c r="CN25" s="1095"/>
      <c r="CO25" s="1095"/>
      <c r="CP25" s="1095"/>
      <c r="CQ25" s="1095"/>
      <c r="CR25" s="1095"/>
      <c r="CS25" s="1095"/>
      <c r="CT25" s="1261" t="s">
        <v>1214</v>
      </c>
      <c r="CU25" s="1262"/>
      <c r="CV25" s="1262"/>
      <c r="CW25" s="1262"/>
      <c r="CX25" s="1262"/>
      <c r="CY25" s="1262"/>
      <c r="CZ25" s="1262"/>
      <c r="DA25" s="1262"/>
      <c r="DB25" s="1262"/>
      <c r="DC25" s="1262"/>
      <c r="DD25" s="1262"/>
      <c r="DE25" s="1262"/>
      <c r="DF25" s="1262"/>
      <c r="DG25" s="1262"/>
      <c r="DH25" s="1262"/>
      <c r="DI25" s="1262"/>
      <c r="DJ25" s="1262"/>
      <c r="DK25" s="1262"/>
      <c r="DL25" s="1262"/>
      <c r="DM25" s="1262"/>
      <c r="DN25" s="1262"/>
      <c r="DO25" s="1262"/>
      <c r="DP25" s="1262"/>
      <c r="DQ25" s="1262"/>
      <c r="DR25" s="1262"/>
      <c r="DS25" s="1262"/>
      <c r="DT25" s="1262"/>
      <c r="DU25" s="1262"/>
      <c r="DV25" s="1262"/>
      <c r="DW25" s="1262"/>
      <c r="DX25" s="1262"/>
      <c r="DY25" s="1262"/>
      <c r="DZ25" s="1263"/>
      <c r="EA25" s="1095"/>
      <c r="EB25" s="1095"/>
      <c r="EC25" s="1095"/>
      <c r="ED25" s="1095"/>
      <c r="EE25" s="1095"/>
      <c r="EF25" s="1095"/>
      <c r="EG25" s="1095"/>
      <c r="EH25" s="1095"/>
      <c r="EI25" s="1095"/>
      <c r="EJ25" s="1095"/>
      <c r="EK25" s="1095"/>
      <c r="EL25" s="1095"/>
      <c r="EM25" s="1095"/>
      <c r="EN25" s="1264" t="s">
        <v>304</v>
      </c>
      <c r="EO25" s="1256"/>
      <c r="EP25" s="1256"/>
      <c r="EQ25" s="1256"/>
      <c r="ER25" s="1256"/>
      <c r="ES25" s="1256"/>
      <c r="ET25" s="1256"/>
      <c r="EU25" s="1256"/>
      <c r="EV25" s="1256"/>
      <c r="EW25" s="1256"/>
      <c r="EX25" s="1256"/>
      <c r="EY25" s="1256"/>
      <c r="EZ25" s="1256"/>
      <c r="FA25" s="1256"/>
      <c r="FB25" s="1256"/>
      <c r="FC25" s="1256"/>
      <c r="FD25" s="1256"/>
      <c r="FE25" s="1256"/>
      <c r="FF25" s="1256"/>
      <c r="FG25" s="1256"/>
      <c r="FH25" s="1256"/>
      <c r="FI25" s="1256"/>
      <c r="FJ25" s="1256"/>
      <c r="FK25" s="1256"/>
      <c r="FL25" s="1256"/>
      <c r="FM25" s="1256"/>
      <c r="FN25" s="1256"/>
      <c r="FO25" s="1256"/>
      <c r="FP25" s="1256"/>
      <c r="FQ25" s="1256"/>
      <c r="FR25" s="1256"/>
      <c r="FS25" s="1256"/>
      <c r="FT25" s="1257"/>
      <c r="FU25" s="1095"/>
      <c r="FV25" s="1095"/>
      <c r="FW25" s="1095"/>
      <c r="FX25" s="1095"/>
      <c r="FY25" s="1095"/>
      <c r="FZ25" s="1095"/>
      <c r="GA25" s="1095"/>
      <c r="GB25" s="1095"/>
      <c r="GC25" s="1095"/>
      <c r="GD25" s="1095"/>
      <c r="GE25" s="1095"/>
      <c r="GF25" s="1095"/>
      <c r="GG25" s="1095"/>
      <c r="GH25" s="1265" t="s">
        <v>305</v>
      </c>
      <c r="GI25" s="1266"/>
      <c r="GJ25" s="1266"/>
      <c r="GK25" s="1266"/>
      <c r="GL25" s="1266"/>
      <c r="GM25" s="1266"/>
      <c r="GN25" s="1266"/>
      <c r="GO25" s="1266"/>
      <c r="GP25" s="1266"/>
      <c r="GQ25" s="1266"/>
      <c r="GR25" s="1266"/>
      <c r="GS25" s="1266"/>
      <c r="GT25" s="1266"/>
      <c r="GU25" s="1266"/>
      <c r="GV25" s="1266"/>
      <c r="GW25" s="1266"/>
      <c r="GX25" s="1266"/>
      <c r="GY25" s="1266"/>
      <c r="GZ25" s="1266"/>
      <c r="HA25" s="1266"/>
      <c r="HB25" s="1266"/>
      <c r="HC25" s="1266"/>
      <c r="HD25" s="1266"/>
      <c r="HE25" s="1266"/>
      <c r="HF25" s="1266"/>
      <c r="HG25" s="1266"/>
      <c r="HH25" s="1266"/>
      <c r="HI25" s="1266"/>
      <c r="HJ25" s="1266"/>
      <c r="HK25" s="1266"/>
      <c r="HL25" s="1266"/>
      <c r="HM25" s="1266"/>
      <c r="HN25" s="1267"/>
      <c r="HO25" s="1095"/>
      <c r="HP25" s="1095"/>
      <c r="HQ25" s="1095"/>
      <c r="HR25" s="1095"/>
      <c r="HS25" s="1095"/>
      <c r="HT25" s="1095"/>
      <c r="HU25" s="1095"/>
      <c r="HV25" s="1095"/>
      <c r="HW25" s="1095"/>
      <c r="HX25" s="1095"/>
      <c r="HY25" s="1095"/>
      <c r="HZ25" s="1095"/>
      <c r="IA25" s="1095"/>
      <c r="IB25" s="1285"/>
      <c r="IC25" s="1286"/>
      <c r="ID25" s="1286"/>
      <c r="IE25" s="1286"/>
      <c r="IF25" s="1286"/>
      <c r="IG25" s="1286"/>
      <c r="IH25" s="1286"/>
      <c r="II25" s="1286"/>
      <c r="IJ25" s="1286"/>
      <c r="IK25" s="1286"/>
      <c r="IL25" s="1286"/>
      <c r="IM25" s="1286"/>
      <c r="IN25" s="1286"/>
      <c r="IO25" s="1286"/>
      <c r="IP25" s="1286"/>
      <c r="IQ25" s="1286"/>
      <c r="IR25" s="1286"/>
      <c r="IS25" s="1286"/>
      <c r="IT25" s="1286"/>
      <c r="IU25" s="1286"/>
      <c r="IV25" s="1286"/>
      <c r="IW25" s="1286"/>
      <c r="IX25" s="1286"/>
      <c r="IY25" s="1286"/>
      <c r="IZ25" s="1286"/>
      <c r="JA25" s="1286"/>
      <c r="JB25" s="1286"/>
      <c r="JC25" s="1286"/>
      <c r="JD25" s="1286"/>
      <c r="JE25" s="1286"/>
      <c r="JF25" s="1286"/>
      <c r="JG25" s="1286"/>
      <c r="JH25" s="1287"/>
      <c r="JI25" s="1095"/>
      <c r="JJ25" s="1095"/>
      <c r="JK25" s="1095"/>
      <c r="JL25" s="1095"/>
      <c r="JM25" s="1095"/>
      <c r="JN25" s="1095"/>
      <c r="JO25" s="1095"/>
      <c r="JP25" s="1095"/>
      <c r="JQ25" s="1095"/>
      <c r="JR25" s="1095"/>
      <c r="JS25" s="1095"/>
      <c r="JT25" s="1095"/>
      <c r="JU25" s="1095"/>
      <c r="JV25" s="1291"/>
      <c r="JW25" s="1292"/>
      <c r="JX25" s="1292"/>
      <c r="JY25" s="1292"/>
      <c r="JZ25" s="1292"/>
      <c r="KA25" s="1292"/>
      <c r="KB25" s="1292"/>
      <c r="KC25" s="1292"/>
      <c r="KD25" s="1292"/>
      <c r="KE25" s="1292"/>
      <c r="KF25" s="1292"/>
      <c r="KG25" s="1292"/>
      <c r="KH25" s="1292"/>
      <c r="KI25" s="1292"/>
      <c r="KJ25" s="1292"/>
      <c r="KK25" s="1292"/>
      <c r="KL25" s="1292"/>
      <c r="KM25" s="1292"/>
      <c r="KN25" s="1292"/>
      <c r="KO25" s="1292"/>
      <c r="KP25" s="1292"/>
      <c r="KQ25" s="1292"/>
      <c r="KR25" s="1292"/>
      <c r="KS25" s="1292"/>
      <c r="KT25" s="1292"/>
      <c r="KU25" s="1292"/>
      <c r="KV25" s="1292"/>
      <c r="KW25" s="1292"/>
      <c r="KX25" s="1292"/>
      <c r="KY25" s="1292"/>
      <c r="KZ25" s="1292"/>
      <c r="LA25" s="1292"/>
      <c r="LB25" s="1293"/>
      <c r="LC25" s="1095"/>
      <c r="LD25" s="1095"/>
      <c r="LE25" s="1095"/>
      <c r="LF25" s="1095"/>
      <c r="LG25" s="1095"/>
      <c r="LH25" s="1095"/>
      <c r="LI25" s="1095"/>
      <c r="LJ25" s="1095"/>
      <c r="LK25" s="1095"/>
      <c r="LL25" s="1095"/>
      <c r="LM25" s="1095"/>
      <c r="LN25" s="1095"/>
      <c r="LO25" s="1095"/>
      <c r="LP25" s="1271"/>
      <c r="LQ25" s="1272"/>
      <c r="LR25" s="1272"/>
      <c r="LS25" s="1272"/>
      <c r="LT25" s="1272"/>
      <c r="LU25" s="1272"/>
      <c r="LV25" s="1272"/>
      <c r="LW25" s="1272"/>
      <c r="LX25" s="1272"/>
      <c r="LY25" s="1272"/>
      <c r="LZ25" s="1272"/>
      <c r="MA25" s="1272"/>
      <c r="MB25" s="1272"/>
      <c r="MC25" s="1272"/>
      <c r="MD25" s="1272"/>
      <c r="ME25" s="1272"/>
      <c r="MF25" s="1272"/>
      <c r="MG25" s="1272"/>
      <c r="MH25" s="1272"/>
      <c r="MI25" s="1272"/>
      <c r="MJ25" s="1272"/>
      <c r="MK25" s="1272"/>
      <c r="ML25" s="1272"/>
      <c r="MM25" s="1272"/>
      <c r="MN25" s="1272"/>
      <c r="MO25" s="1272"/>
      <c r="MP25" s="1272"/>
      <c r="MQ25" s="1272"/>
      <c r="MR25" s="1272"/>
      <c r="MS25" s="1272"/>
      <c r="MT25" s="1272"/>
      <c r="MU25" s="1272"/>
      <c r="MV25" s="1273"/>
      <c r="MW25" s="1095"/>
      <c r="MX25" s="1095"/>
      <c r="MY25" s="1095"/>
      <c r="MZ25" s="1095"/>
      <c r="NA25" s="1095"/>
      <c r="NB25" s="1095"/>
      <c r="NC25" s="1095"/>
      <c r="ND25" s="1095"/>
      <c r="NE25" s="1095"/>
      <c r="NF25" s="1095"/>
      <c r="NG25" s="1095"/>
      <c r="NH25" s="1095"/>
      <c r="NI25" s="1095"/>
      <c r="NJ25" s="1249"/>
      <c r="NK25" s="1250"/>
      <c r="NL25" s="1250"/>
      <c r="NM25" s="1250"/>
      <c r="NN25" s="1250"/>
      <c r="NO25" s="1250"/>
      <c r="NP25" s="1250"/>
      <c r="NQ25" s="1250"/>
      <c r="NR25" s="1250"/>
      <c r="NS25" s="1250"/>
      <c r="NT25" s="1250"/>
      <c r="NU25" s="1250"/>
      <c r="NV25" s="1250"/>
      <c r="NW25" s="1250"/>
      <c r="NX25" s="1250"/>
      <c r="NY25" s="1250"/>
      <c r="NZ25" s="1250"/>
      <c r="OA25" s="1250"/>
      <c r="OB25" s="1250"/>
      <c r="OC25" s="1250"/>
      <c r="OD25" s="1250"/>
      <c r="OE25" s="1250"/>
      <c r="OF25" s="1250"/>
      <c r="OG25" s="1250"/>
      <c r="OH25" s="1250"/>
      <c r="OI25" s="1250"/>
      <c r="OJ25" s="1250"/>
      <c r="OK25" s="1251"/>
      <c r="OL25" s="1095"/>
      <c r="OM25" s="1095"/>
      <c r="ON25" s="1095"/>
      <c r="OO25" s="1095"/>
      <c r="OP25" s="1095"/>
      <c r="OQ25" s="1095"/>
      <c r="OR25" s="1095"/>
      <c r="OS25" s="1095"/>
      <c r="OT25" s="1095"/>
      <c r="OU25" s="1095"/>
      <c r="OV25" s="1095"/>
      <c r="OW25" s="1095"/>
      <c r="OX25" s="1095"/>
      <c r="OY25" s="1254"/>
      <c r="OZ25" s="1255"/>
      <c r="PA25" s="1255"/>
      <c r="PB25" s="1255"/>
      <c r="PC25" s="1255"/>
      <c r="PD25" s="1255"/>
      <c r="PE25" s="1255"/>
      <c r="PF25" s="1255"/>
      <c r="PG25" s="1255"/>
      <c r="PH25" s="1255"/>
      <c r="PI25" s="1255"/>
      <c r="PJ25" s="1255"/>
      <c r="PK25" s="1255"/>
      <c r="PL25" s="1255"/>
      <c r="PM25" s="1255"/>
      <c r="PN25" s="1255"/>
      <c r="PO25" s="1255"/>
      <c r="PP25" s="1255"/>
      <c r="PQ25" s="1255"/>
      <c r="PR25" s="1255"/>
      <c r="PS25" s="1255"/>
      <c r="PT25" s="1255"/>
      <c r="PU25" s="1255"/>
      <c r="PV25" s="1255"/>
      <c r="PW25" s="1255"/>
      <c r="PX25" s="1255"/>
      <c r="PY25" s="1255"/>
      <c r="PZ25" s="1255"/>
      <c r="QA25" s="1255"/>
      <c r="QB25" s="1255"/>
      <c r="QC25" s="1255"/>
      <c r="QD25" s="1255"/>
      <c r="QE25" s="1255"/>
      <c r="QF25" s="1097"/>
      <c r="QG25" s="1097"/>
      <c r="QH25" s="1095"/>
      <c r="QI25" s="1095"/>
      <c r="QJ25" s="1095"/>
      <c r="QK25" s="1095"/>
      <c r="QL25" s="1095"/>
      <c r="QM25" s="1095"/>
      <c r="QN25" s="1095"/>
      <c r="QO25" s="1095"/>
      <c r="QP25" s="1095"/>
      <c r="QQ25" s="1095"/>
      <c r="QR25" s="1095"/>
      <c r="QS25" s="1095"/>
      <c r="QT25" s="1095"/>
      <c r="QU25" s="166"/>
    </row>
    <row r="26" spans="1:463" s="51" customFormat="1" hidden="1" outlineLevel="1">
      <c r="A26" s="1276"/>
      <c r="B26" s="173">
        <v>44105</v>
      </c>
      <c r="C26" s="173">
        <v>44136</v>
      </c>
      <c r="D26" s="173">
        <v>44166</v>
      </c>
      <c r="E26" s="173" t="s">
        <v>1157</v>
      </c>
      <c r="F26" s="211" t="s">
        <v>1158</v>
      </c>
      <c r="G26" s="211" t="s">
        <v>1159</v>
      </c>
      <c r="H26" s="211" t="s">
        <v>1160</v>
      </c>
      <c r="I26" s="211" t="s">
        <v>1161</v>
      </c>
      <c r="J26" s="211" t="s">
        <v>1162</v>
      </c>
      <c r="K26" s="211" t="s">
        <v>1163</v>
      </c>
      <c r="L26" s="211" t="s">
        <v>1164</v>
      </c>
      <c r="M26" s="211" t="s">
        <v>1165</v>
      </c>
      <c r="N26" s="211" t="s">
        <v>1166</v>
      </c>
      <c r="O26" s="211" t="s">
        <v>1167</v>
      </c>
      <c r="P26" s="211" t="s">
        <v>1168</v>
      </c>
      <c r="Q26" s="211" t="s">
        <v>1169</v>
      </c>
      <c r="R26" s="211" t="s">
        <v>1170</v>
      </c>
      <c r="S26" s="211" t="s">
        <v>1171</v>
      </c>
      <c r="T26" s="211" t="s">
        <v>1172</v>
      </c>
      <c r="U26" s="211" t="s">
        <v>1173</v>
      </c>
      <c r="V26" s="211" t="s">
        <v>1174</v>
      </c>
      <c r="W26" s="211" t="s">
        <v>1216</v>
      </c>
      <c r="X26" s="211" t="s">
        <v>1176</v>
      </c>
      <c r="Y26" s="211" t="s">
        <v>1177</v>
      </c>
      <c r="Z26" s="211" t="s">
        <v>1217</v>
      </c>
      <c r="AA26" s="211" t="s">
        <v>1179</v>
      </c>
      <c r="AB26" s="211" t="s">
        <v>1180</v>
      </c>
      <c r="AC26" s="211" t="s">
        <v>1218</v>
      </c>
      <c r="AD26" s="211" t="s">
        <v>1182</v>
      </c>
      <c r="AE26" s="211" t="s">
        <v>1183</v>
      </c>
      <c r="AF26" s="211" t="s">
        <v>1219</v>
      </c>
      <c r="AG26" s="169" t="s">
        <v>1185</v>
      </c>
      <c r="AH26" s="169" t="s">
        <v>1186</v>
      </c>
      <c r="AI26" s="169" t="s">
        <v>1187</v>
      </c>
      <c r="AJ26" s="169" t="s">
        <v>1188</v>
      </c>
      <c r="AK26" s="169" t="s">
        <v>1205</v>
      </c>
      <c r="AL26" s="169" t="s">
        <v>1205</v>
      </c>
      <c r="AM26" s="169"/>
      <c r="AN26" s="169"/>
      <c r="AO26" s="169"/>
      <c r="AP26" s="169"/>
      <c r="AQ26" s="169"/>
      <c r="AR26" s="169"/>
      <c r="AS26" s="169"/>
      <c r="AT26" s="169"/>
      <c r="AU26" s="169"/>
      <c r="AV26" s="169"/>
      <c r="AW26" s="169"/>
      <c r="AX26" s="169"/>
      <c r="AY26" s="169"/>
      <c r="AZ26" s="211" t="s">
        <v>1158</v>
      </c>
      <c r="BA26" s="211" t="s">
        <v>1159</v>
      </c>
      <c r="BB26" s="211" t="s">
        <v>1160</v>
      </c>
      <c r="BC26" s="211" t="s">
        <v>1161</v>
      </c>
      <c r="BD26" s="211" t="s">
        <v>1162</v>
      </c>
      <c r="BE26" s="211" t="s">
        <v>1163</v>
      </c>
      <c r="BF26" s="211" t="s">
        <v>1164</v>
      </c>
      <c r="BG26" s="211" t="s">
        <v>1165</v>
      </c>
      <c r="BH26" s="211" t="s">
        <v>1166</v>
      </c>
      <c r="BI26" s="211" t="s">
        <v>1167</v>
      </c>
      <c r="BJ26" s="211" t="s">
        <v>1168</v>
      </c>
      <c r="BK26" s="211" t="s">
        <v>1169</v>
      </c>
      <c r="BL26" s="211" t="s">
        <v>1170</v>
      </c>
      <c r="BM26" s="211" t="s">
        <v>1171</v>
      </c>
      <c r="BN26" s="211" t="s">
        <v>1172</v>
      </c>
      <c r="BO26" s="211" t="s">
        <v>1173</v>
      </c>
      <c r="BP26" s="211" t="s">
        <v>1174</v>
      </c>
      <c r="BQ26" s="211" t="s">
        <v>1216</v>
      </c>
      <c r="BR26" s="211" t="s">
        <v>1176</v>
      </c>
      <c r="BS26" s="211" t="s">
        <v>1177</v>
      </c>
      <c r="BT26" s="211" t="s">
        <v>1217</v>
      </c>
      <c r="BU26" s="211" t="s">
        <v>1179</v>
      </c>
      <c r="BV26" s="211" t="s">
        <v>1180</v>
      </c>
      <c r="BW26" s="211" t="s">
        <v>1218</v>
      </c>
      <c r="BX26" s="211" t="s">
        <v>1182</v>
      </c>
      <c r="BY26" s="211" t="s">
        <v>1183</v>
      </c>
      <c r="BZ26" s="211" t="s">
        <v>1219</v>
      </c>
      <c r="CA26" s="169" t="s">
        <v>1185</v>
      </c>
      <c r="CB26" s="169" t="s">
        <v>1186</v>
      </c>
      <c r="CC26" s="169" t="s">
        <v>1187</v>
      </c>
      <c r="CD26" s="169" t="s">
        <v>1188</v>
      </c>
      <c r="CE26" s="169" t="s">
        <v>1205</v>
      </c>
      <c r="CF26" s="169" t="s">
        <v>1205</v>
      </c>
      <c r="CG26" s="169"/>
      <c r="CH26" s="169"/>
      <c r="CI26" s="169"/>
      <c r="CJ26" s="169"/>
      <c r="CK26" s="169"/>
      <c r="CL26" s="169"/>
      <c r="CM26" s="169"/>
      <c r="CN26" s="169"/>
      <c r="CO26" s="169"/>
      <c r="CP26" s="169"/>
      <c r="CQ26" s="169"/>
      <c r="CR26" s="169"/>
      <c r="CS26" s="169"/>
      <c r="CT26" s="211" t="s">
        <v>1158</v>
      </c>
      <c r="CU26" s="211" t="s">
        <v>1159</v>
      </c>
      <c r="CV26" s="211" t="s">
        <v>1160</v>
      </c>
      <c r="CW26" s="211" t="s">
        <v>1161</v>
      </c>
      <c r="CX26" s="211" t="s">
        <v>1162</v>
      </c>
      <c r="CY26" s="211" t="s">
        <v>1163</v>
      </c>
      <c r="CZ26" s="211" t="s">
        <v>1164</v>
      </c>
      <c r="DA26" s="211" t="s">
        <v>1165</v>
      </c>
      <c r="DB26" s="211" t="s">
        <v>1166</v>
      </c>
      <c r="DC26" s="211" t="s">
        <v>1167</v>
      </c>
      <c r="DD26" s="211" t="s">
        <v>1168</v>
      </c>
      <c r="DE26" s="211" t="s">
        <v>1169</v>
      </c>
      <c r="DF26" s="211" t="s">
        <v>1170</v>
      </c>
      <c r="DG26" s="211" t="s">
        <v>1171</v>
      </c>
      <c r="DH26" s="211" t="s">
        <v>1172</v>
      </c>
      <c r="DI26" s="211" t="s">
        <v>1173</v>
      </c>
      <c r="DJ26" s="211" t="s">
        <v>1174</v>
      </c>
      <c r="DK26" s="211" t="s">
        <v>1216</v>
      </c>
      <c r="DL26" s="211" t="s">
        <v>1176</v>
      </c>
      <c r="DM26" s="211" t="s">
        <v>1177</v>
      </c>
      <c r="DN26" s="211" t="s">
        <v>1217</v>
      </c>
      <c r="DO26" s="211" t="s">
        <v>1179</v>
      </c>
      <c r="DP26" s="211" t="s">
        <v>1180</v>
      </c>
      <c r="DQ26" s="211" t="s">
        <v>1218</v>
      </c>
      <c r="DR26" s="211" t="s">
        <v>1182</v>
      </c>
      <c r="DS26" s="211" t="s">
        <v>1183</v>
      </c>
      <c r="DT26" s="211" t="s">
        <v>1219</v>
      </c>
      <c r="DU26" s="169" t="s">
        <v>1185</v>
      </c>
      <c r="DV26" s="169" t="s">
        <v>1186</v>
      </c>
      <c r="DW26" s="169" t="s">
        <v>1187</v>
      </c>
      <c r="DX26" s="169" t="s">
        <v>1188</v>
      </c>
      <c r="DY26" s="169" t="s">
        <v>1205</v>
      </c>
      <c r="DZ26" s="169" t="s">
        <v>1205</v>
      </c>
      <c r="EA26" s="169"/>
      <c r="EB26" s="169"/>
      <c r="EC26" s="169"/>
      <c r="ED26" s="169"/>
      <c r="EE26" s="169"/>
      <c r="EF26" s="169"/>
      <c r="EG26" s="169"/>
      <c r="EH26" s="169"/>
      <c r="EI26" s="169"/>
      <c r="EJ26" s="169"/>
      <c r="EK26" s="169"/>
      <c r="EL26" s="169"/>
      <c r="EM26" s="169"/>
      <c r="EN26" s="211" t="s">
        <v>1158</v>
      </c>
      <c r="EO26" s="211" t="s">
        <v>1159</v>
      </c>
      <c r="EP26" s="211" t="s">
        <v>1160</v>
      </c>
      <c r="EQ26" s="211" t="s">
        <v>1161</v>
      </c>
      <c r="ER26" s="211" t="s">
        <v>1162</v>
      </c>
      <c r="ES26" s="211" t="s">
        <v>1163</v>
      </c>
      <c r="ET26" s="211" t="s">
        <v>1164</v>
      </c>
      <c r="EU26" s="211" t="s">
        <v>1165</v>
      </c>
      <c r="EV26" s="211" t="s">
        <v>1166</v>
      </c>
      <c r="EW26" s="211" t="s">
        <v>1167</v>
      </c>
      <c r="EX26" s="211" t="s">
        <v>1168</v>
      </c>
      <c r="EY26" s="211" t="s">
        <v>1169</v>
      </c>
      <c r="EZ26" s="211" t="s">
        <v>1170</v>
      </c>
      <c r="FA26" s="211" t="s">
        <v>1171</v>
      </c>
      <c r="FB26" s="211" t="s">
        <v>1172</v>
      </c>
      <c r="FC26" s="211" t="s">
        <v>1173</v>
      </c>
      <c r="FD26" s="211" t="s">
        <v>1174</v>
      </c>
      <c r="FE26" s="211" t="s">
        <v>1216</v>
      </c>
      <c r="FF26" s="211" t="s">
        <v>1176</v>
      </c>
      <c r="FG26" s="211" t="s">
        <v>1177</v>
      </c>
      <c r="FH26" s="211" t="s">
        <v>1217</v>
      </c>
      <c r="FI26" s="211" t="s">
        <v>1179</v>
      </c>
      <c r="FJ26" s="211" t="s">
        <v>1180</v>
      </c>
      <c r="FK26" s="211" t="s">
        <v>1218</v>
      </c>
      <c r="FL26" s="211" t="s">
        <v>1182</v>
      </c>
      <c r="FM26" s="211" t="s">
        <v>1183</v>
      </c>
      <c r="FN26" s="211" t="s">
        <v>1219</v>
      </c>
      <c r="FO26" s="169" t="s">
        <v>1185</v>
      </c>
      <c r="FP26" s="169" t="s">
        <v>1186</v>
      </c>
      <c r="FQ26" s="169" t="s">
        <v>1187</v>
      </c>
      <c r="FR26" s="169" t="s">
        <v>1188</v>
      </c>
      <c r="FS26" s="169" t="s">
        <v>1205</v>
      </c>
      <c r="FT26" s="169" t="s">
        <v>1205</v>
      </c>
      <c r="FU26" s="169"/>
      <c r="FV26" s="169"/>
      <c r="FW26" s="169"/>
      <c r="FX26" s="169"/>
      <c r="FY26" s="169"/>
      <c r="FZ26" s="169"/>
      <c r="GA26" s="169"/>
      <c r="GB26" s="169"/>
      <c r="GC26" s="169"/>
      <c r="GD26" s="169"/>
      <c r="GE26" s="169"/>
      <c r="GF26" s="169"/>
      <c r="GG26" s="169"/>
      <c r="GH26" s="211" t="s">
        <v>1158</v>
      </c>
      <c r="GI26" s="211" t="s">
        <v>1159</v>
      </c>
      <c r="GJ26" s="211" t="s">
        <v>1160</v>
      </c>
      <c r="GK26" s="211" t="s">
        <v>1161</v>
      </c>
      <c r="GL26" s="211" t="s">
        <v>1162</v>
      </c>
      <c r="GM26" s="211" t="s">
        <v>1163</v>
      </c>
      <c r="GN26" s="211" t="s">
        <v>1164</v>
      </c>
      <c r="GO26" s="211" t="s">
        <v>1165</v>
      </c>
      <c r="GP26" s="211" t="s">
        <v>1166</v>
      </c>
      <c r="GQ26" s="211" t="s">
        <v>1167</v>
      </c>
      <c r="GR26" s="211" t="s">
        <v>1168</v>
      </c>
      <c r="GS26" s="211" t="s">
        <v>1169</v>
      </c>
      <c r="GT26" s="211" t="s">
        <v>1170</v>
      </c>
      <c r="GU26" s="211" t="s">
        <v>1171</v>
      </c>
      <c r="GV26" s="211" t="s">
        <v>1172</v>
      </c>
      <c r="GW26" s="211" t="s">
        <v>1173</v>
      </c>
      <c r="GX26" s="211" t="s">
        <v>1174</v>
      </c>
      <c r="GY26" s="211" t="s">
        <v>1216</v>
      </c>
      <c r="GZ26" s="211" t="s">
        <v>1176</v>
      </c>
      <c r="HA26" s="211" t="s">
        <v>1177</v>
      </c>
      <c r="HB26" s="211" t="s">
        <v>1217</v>
      </c>
      <c r="HC26" s="211" t="s">
        <v>1179</v>
      </c>
      <c r="HD26" s="211" t="s">
        <v>1180</v>
      </c>
      <c r="HE26" s="211" t="s">
        <v>1218</v>
      </c>
      <c r="HF26" s="211" t="s">
        <v>1182</v>
      </c>
      <c r="HG26" s="211" t="s">
        <v>1183</v>
      </c>
      <c r="HH26" s="211" t="s">
        <v>1219</v>
      </c>
      <c r="HI26" s="169" t="s">
        <v>1185</v>
      </c>
      <c r="HJ26" s="169" t="s">
        <v>1186</v>
      </c>
      <c r="HK26" s="169" t="s">
        <v>1187</v>
      </c>
      <c r="HL26" s="169" t="s">
        <v>1188</v>
      </c>
      <c r="HM26" s="169" t="s">
        <v>1205</v>
      </c>
      <c r="HN26" s="169" t="s">
        <v>1205</v>
      </c>
      <c r="HO26" s="169"/>
      <c r="HP26" s="169"/>
      <c r="HQ26" s="169"/>
      <c r="HR26" s="169"/>
      <c r="HS26" s="169"/>
      <c r="HT26" s="169"/>
      <c r="HU26" s="169"/>
      <c r="HV26" s="169"/>
      <c r="HW26" s="169"/>
      <c r="HX26" s="169"/>
      <c r="HY26" s="169"/>
      <c r="HZ26" s="169"/>
      <c r="IA26" s="169"/>
      <c r="IB26" s="211" t="s">
        <v>1158</v>
      </c>
      <c r="IC26" s="211" t="s">
        <v>1159</v>
      </c>
      <c r="ID26" s="211" t="s">
        <v>1160</v>
      </c>
      <c r="IE26" s="211" t="s">
        <v>1161</v>
      </c>
      <c r="IF26" s="211" t="s">
        <v>1162</v>
      </c>
      <c r="IG26" s="211" t="s">
        <v>1163</v>
      </c>
      <c r="IH26" s="211" t="s">
        <v>1164</v>
      </c>
      <c r="II26" s="211" t="s">
        <v>1165</v>
      </c>
      <c r="IJ26" s="211" t="s">
        <v>1166</v>
      </c>
      <c r="IK26" s="211" t="s">
        <v>1167</v>
      </c>
      <c r="IL26" s="211" t="s">
        <v>1168</v>
      </c>
      <c r="IM26" s="211" t="s">
        <v>1169</v>
      </c>
      <c r="IN26" s="211" t="s">
        <v>1170</v>
      </c>
      <c r="IO26" s="211" t="s">
        <v>1171</v>
      </c>
      <c r="IP26" s="211" t="s">
        <v>1172</v>
      </c>
      <c r="IQ26" s="211" t="s">
        <v>1173</v>
      </c>
      <c r="IR26" s="211" t="s">
        <v>1174</v>
      </c>
      <c r="IS26" s="211" t="s">
        <v>1216</v>
      </c>
      <c r="IT26" s="211" t="s">
        <v>1176</v>
      </c>
      <c r="IU26" s="211" t="s">
        <v>1177</v>
      </c>
      <c r="IV26" s="211" t="s">
        <v>1217</v>
      </c>
      <c r="IW26" s="211" t="s">
        <v>1179</v>
      </c>
      <c r="IX26" s="211" t="s">
        <v>1180</v>
      </c>
      <c r="IY26" s="211" t="s">
        <v>1218</v>
      </c>
      <c r="IZ26" s="211" t="s">
        <v>1182</v>
      </c>
      <c r="JA26" s="211" t="s">
        <v>1183</v>
      </c>
      <c r="JB26" s="211" t="s">
        <v>1219</v>
      </c>
      <c r="JC26" s="169" t="s">
        <v>1185</v>
      </c>
      <c r="JD26" s="169" t="s">
        <v>1186</v>
      </c>
      <c r="JE26" s="169" t="s">
        <v>1187</v>
      </c>
      <c r="JF26" s="169" t="s">
        <v>1188</v>
      </c>
      <c r="JG26" s="169" t="s">
        <v>1205</v>
      </c>
      <c r="JH26" s="169" t="s">
        <v>1205</v>
      </c>
      <c r="JI26" s="169"/>
      <c r="JJ26" s="169"/>
      <c r="JK26" s="169"/>
      <c r="JL26" s="169"/>
      <c r="JM26" s="169"/>
      <c r="JN26" s="169"/>
      <c r="JO26" s="169"/>
      <c r="JP26" s="169"/>
      <c r="JQ26" s="169"/>
      <c r="JR26" s="169"/>
      <c r="JS26" s="169"/>
      <c r="JT26" s="169"/>
      <c r="JU26" s="169"/>
      <c r="JV26" s="211" t="s">
        <v>1158</v>
      </c>
      <c r="JW26" s="211" t="s">
        <v>1159</v>
      </c>
      <c r="JX26" s="211" t="s">
        <v>1160</v>
      </c>
      <c r="JY26" s="211" t="s">
        <v>1161</v>
      </c>
      <c r="JZ26" s="211" t="s">
        <v>1162</v>
      </c>
      <c r="KA26" s="211" t="s">
        <v>1163</v>
      </c>
      <c r="KB26" s="211" t="s">
        <v>1164</v>
      </c>
      <c r="KC26" s="211" t="s">
        <v>1165</v>
      </c>
      <c r="KD26" s="211" t="s">
        <v>1166</v>
      </c>
      <c r="KE26" s="211" t="s">
        <v>1167</v>
      </c>
      <c r="KF26" s="211" t="s">
        <v>1168</v>
      </c>
      <c r="KG26" s="211" t="s">
        <v>1169</v>
      </c>
      <c r="KH26" s="211" t="s">
        <v>1170</v>
      </c>
      <c r="KI26" s="211" t="s">
        <v>1171</v>
      </c>
      <c r="KJ26" s="211" t="s">
        <v>1172</v>
      </c>
      <c r="KK26" s="211" t="s">
        <v>1173</v>
      </c>
      <c r="KL26" s="211" t="s">
        <v>1174</v>
      </c>
      <c r="KM26" s="211" t="s">
        <v>1216</v>
      </c>
      <c r="KN26" s="211" t="s">
        <v>1176</v>
      </c>
      <c r="KO26" s="211" t="s">
        <v>1177</v>
      </c>
      <c r="KP26" s="211" t="s">
        <v>1217</v>
      </c>
      <c r="KQ26" s="211" t="s">
        <v>1179</v>
      </c>
      <c r="KR26" s="211" t="s">
        <v>1180</v>
      </c>
      <c r="KS26" s="211" t="s">
        <v>1218</v>
      </c>
      <c r="KT26" s="211" t="s">
        <v>1182</v>
      </c>
      <c r="KU26" s="211" t="s">
        <v>1183</v>
      </c>
      <c r="KV26" s="211" t="s">
        <v>1219</v>
      </c>
      <c r="KW26" s="169" t="s">
        <v>1185</v>
      </c>
      <c r="KX26" s="169" t="s">
        <v>1186</v>
      </c>
      <c r="KY26" s="169" t="s">
        <v>1187</v>
      </c>
      <c r="KZ26" s="169" t="s">
        <v>1188</v>
      </c>
      <c r="LA26" s="169" t="s">
        <v>1205</v>
      </c>
      <c r="LB26" s="169" t="s">
        <v>1205</v>
      </c>
      <c r="LC26" s="169"/>
      <c r="LD26" s="169"/>
      <c r="LE26" s="169"/>
      <c r="LF26" s="169"/>
      <c r="LG26" s="169"/>
      <c r="LH26" s="169"/>
      <c r="LI26" s="169"/>
      <c r="LJ26" s="169"/>
      <c r="LK26" s="169"/>
      <c r="LL26" s="169"/>
      <c r="LM26" s="169"/>
      <c r="LN26" s="169"/>
      <c r="LO26" s="169"/>
      <c r="LP26" s="211" t="s">
        <v>1158</v>
      </c>
      <c r="LQ26" s="211" t="s">
        <v>1159</v>
      </c>
      <c r="LR26" s="211" t="s">
        <v>1160</v>
      </c>
      <c r="LS26" s="211" t="s">
        <v>1161</v>
      </c>
      <c r="LT26" s="211" t="s">
        <v>1162</v>
      </c>
      <c r="LU26" s="211" t="s">
        <v>1163</v>
      </c>
      <c r="LV26" s="211" t="s">
        <v>1164</v>
      </c>
      <c r="LW26" s="211" t="s">
        <v>1165</v>
      </c>
      <c r="LX26" s="211" t="s">
        <v>1166</v>
      </c>
      <c r="LY26" s="211" t="s">
        <v>1167</v>
      </c>
      <c r="LZ26" s="211" t="s">
        <v>1168</v>
      </c>
      <c r="MA26" s="211" t="s">
        <v>1169</v>
      </c>
      <c r="MB26" s="211" t="s">
        <v>1170</v>
      </c>
      <c r="MC26" s="211" t="s">
        <v>1171</v>
      </c>
      <c r="MD26" s="211" t="s">
        <v>1172</v>
      </c>
      <c r="ME26" s="211" t="s">
        <v>1173</v>
      </c>
      <c r="MF26" s="211" t="s">
        <v>1174</v>
      </c>
      <c r="MG26" s="211" t="s">
        <v>1216</v>
      </c>
      <c r="MH26" s="211" t="s">
        <v>1176</v>
      </c>
      <c r="MI26" s="211" t="s">
        <v>1177</v>
      </c>
      <c r="MJ26" s="211" t="s">
        <v>1217</v>
      </c>
      <c r="MK26" s="211" t="s">
        <v>1179</v>
      </c>
      <c r="ML26" s="211" t="s">
        <v>1180</v>
      </c>
      <c r="MM26" s="211" t="s">
        <v>1218</v>
      </c>
      <c r="MN26" s="211" t="s">
        <v>1182</v>
      </c>
      <c r="MO26" s="211" t="s">
        <v>1183</v>
      </c>
      <c r="MP26" s="211" t="s">
        <v>1219</v>
      </c>
      <c r="MQ26" s="169" t="s">
        <v>1185</v>
      </c>
      <c r="MR26" s="169" t="s">
        <v>1186</v>
      </c>
      <c r="MS26" s="169" t="s">
        <v>1187</v>
      </c>
      <c r="MT26" s="169" t="s">
        <v>1188</v>
      </c>
      <c r="MU26" s="169" t="s">
        <v>1205</v>
      </c>
      <c r="MV26" s="169" t="s">
        <v>1205</v>
      </c>
      <c r="MW26" s="169"/>
      <c r="MX26" s="169"/>
      <c r="MY26" s="169"/>
      <c r="MZ26" s="169"/>
      <c r="NA26" s="169"/>
      <c r="NB26" s="169"/>
      <c r="NC26" s="169"/>
      <c r="ND26" s="169"/>
      <c r="NE26" s="169"/>
      <c r="NF26" s="169"/>
      <c r="NG26" s="169"/>
      <c r="NH26" s="169"/>
      <c r="NI26" s="169"/>
      <c r="NJ26" s="211" t="s">
        <v>1158</v>
      </c>
      <c r="NK26" s="211" t="s">
        <v>1159</v>
      </c>
      <c r="NL26" s="211" t="s">
        <v>1160</v>
      </c>
      <c r="NM26" s="211" t="s">
        <v>1161</v>
      </c>
      <c r="NN26" s="211" t="s">
        <v>1162</v>
      </c>
      <c r="NO26" s="211" t="s">
        <v>1163</v>
      </c>
      <c r="NP26" s="211" t="s">
        <v>1164</v>
      </c>
      <c r="NQ26" s="211" t="s">
        <v>1165</v>
      </c>
      <c r="NR26" s="211" t="s">
        <v>1166</v>
      </c>
      <c r="NS26" s="211" t="s">
        <v>1167</v>
      </c>
      <c r="NT26" s="211" t="s">
        <v>1168</v>
      </c>
      <c r="NU26" s="211" t="s">
        <v>1169</v>
      </c>
      <c r="NV26" s="211" t="s">
        <v>1170</v>
      </c>
      <c r="NW26" s="211" t="s">
        <v>1171</v>
      </c>
      <c r="NX26" s="211" t="s">
        <v>1172</v>
      </c>
      <c r="NY26" s="211" t="s">
        <v>1173</v>
      </c>
      <c r="NZ26" s="211" t="s">
        <v>1174</v>
      </c>
      <c r="OA26" s="211" t="s">
        <v>1176</v>
      </c>
      <c r="OB26" s="211" t="s">
        <v>1177</v>
      </c>
      <c r="OC26" s="211" t="s">
        <v>1179</v>
      </c>
      <c r="OD26" s="211" t="s">
        <v>1180</v>
      </c>
      <c r="OE26" s="211" t="s">
        <v>1182</v>
      </c>
      <c r="OF26" s="211" t="s">
        <v>1183</v>
      </c>
      <c r="OG26" s="169" t="s">
        <v>1185</v>
      </c>
      <c r="OH26" s="169" t="s">
        <v>1186</v>
      </c>
      <c r="OI26" s="169" t="s">
        <v>1187</v>
      </c>
      <c r="OJ26" s="169" t="s">
        <v>1188</v>
      </c>
      <c r="OK26" s="169" t="s">
        <v>1205</v>
      </c>
      <c r="OL26" s="169"/>
      <c r="OM26" s="169"/>
      <c r="ON26" s="169"/>
      <c r="OO26" s="169"/>
      <c r="OP26" s="169"/>
      <c r="OQ26" s="169"/>
      <c r="OR26" s="169"/>
      <c r="OS26" s="169"/>
      <c r="OT26" s="169"/>
      <c r="OU26" s="169"/>
      <c r="OV26" s="169"/>
      <c r="OW26" s="169"/>
      <c r="OX26" s="169"/>
      <c r="OY26" s="211" t="s">
        <v>1158</v>
      </c>
      <c r="OZ26" s="211" t="s">
        <v>1159</v>
      </c>
      <c r="PA26" s="211" t="s">
        <v>1160</v>
      </c>
      <c r="PB26" s="211" t="s">
        <v>1161</v>
      </c>
      <c r="PC26" s="211" t="s">
        <v>1162</v>
      </c>
      <c r="PD26" s="211" t="s">
        <v>1163</v>
      </c>
      <c r="PE26" s="211" t="s">
        <v>1164</v>
      </c>
      <c r="PF26" s="211" t="s">
        <v>1165</v>
      </c>
      <c r="PG26" s="211" t="s">
        <v>1166</v>
      </c>
      <c r="PH26" s="211" t="s">
        <v>1167</v>
      </c>
      <c r="PI26" s="211" t="s">
        <v>1168</v>
      </c>
      <c r="PJ26" s="211" t="s">
        <v>1169</v>
      </c>
      <c r="PK26" s="211" t="s">
        <v>1170</v>
      </c>
      <c r="PL26" s="211" t="s">
        <v>1171</v>
      </c>
      <c r="PM26" s="211" t="s">
        <v>1172</v>
      </c>
      <c r="PN26" s="211" t="s">
        <v>1173</v>
      </c>
      <c r="PO26" s="211" t="s">
        <v>1174</v>
      </c>
      <c r="PP26" s="211" t="s">
        <v>1216</v>
      </c>
      <c r="PQ26" s="211" t="s">
        <v>1176</v>
      </c>
      <c r="PR26" s="211" t="s">
        <v>1177</v>
      </c>
      <c r="PS26" s="211" t="s">
        <v>1217</v>
      </c>
      <c r="PT26" s="211" t="s">
        <v>1179</v>
      </c>
      <c r="PU26" s="211" t="s">
        <v>1180</v>
      </c>
      <c r="PV26" s="211" t="s">
        <v>1218</v>
      </c>
      <c r="PW26" s="211" t="s">
        <v>1182</v>
      </c>
      <c r="PX26" s="211" t="s">
        <v>1183</v>
      </c>
      <c r="PY26" s="211" t="s">
        <v>1219</v>
      </c>
      <c r="PZ26" s="169" t="s">
        <v>1185</v>
      </c>
      <c r="QA26" s="169" t="s">
        <v>1186</v>
      </c>
      <c r="QB26" s="169" t="s">
        <v>1187</v>
      </c>
      <c r="QC26" s="169" t="s">
        <v>1188</v>
      </c>
      <c r="QD26" s="169" t="s">
        <v>1205</v>
      </c>
      <c r="QE26" s="169" t="s">
        <v>1205</v>
      </c>
      <c r="QF26" s="684"/>
      <c r="QG26" s="684"/>
      <c r="QH26" s="169"/>
      <c r="QI26" s="169"/>
      <c r="QJ26" s="169"/>
      <c r="QK26" s="169"/>
      <c r="QL26" s="169"/>
      <c r="QM26" s="169"/>
      <c r="QN26" s="169"/>
      <c r="QO26" s="169"/>
      <c r="QP26" s="169"/>
      <c r="QQ26" s="169"/>
      <c r="QR26" s="169"/>
      <c r="QS26" s="169"/>
      <c r="QT26" s="169"/>
      <c r="QU26" s="166"/>
    </row>
    <row r="27" spans="1:463" hidden="1" outlineLevel="1">
      <c r="A27" s="143" t="s">
        <v>303</v>
      </c>
      <c r="B27" s="143"/>
      <c r="C27" s="143"/>
      <c r="D27" s="143"/>
      <c r="E27" s="143"/>
      <c r="F27" s="174">
        <f t="shared" ref="F27:Q27" si="35">F7-F17</f>
        <v>-1112.8913561774193</v>
      </c>
      <c r="G27" s="174">
        <f t="shared" si="35"/>
        <v>-1189.2613857274187</v>
      </c>
      <c r="H27" s="174">
        <f t="shared" si="35"/>
        <v>-1120.7186327274189</v>
      </c>
      <c r="I27" s="174">
        <f t="shared" si="35"/>
        <v>-1703.0334937274188</v>
      </c>
      <c r="J27" s="174">
        <f t="shared" si="35"/>
        <v>-1327.4336787274187</v>
      </c>
      <c r="K27" s="174">
        <f t="shared" si="35"/>
        <v>-1940.7376607274186</v>
      </c>
      <c r="L27" s="174">
        <f t="shared" si="35"/>
        <v>-1703.3288311951555</v>
      </c>
      <c r="M27" s="174">
        <f t="shared" si="35"/>
        <v>-2138.6998747274188</v>
      </c>
      <c r="N27" s="174">
        <f t="shared" si="35"/>
        <v>-1682.847422497528</v>
      </c>
      <c r="O27" s="174">
        <f t="shared" si="35"/>
        <v>-1657.1162997274187</v>
      </c>
      <c r="P27" s="174">
        <f t="shared" si="35"/>
        <v>-518.74239594257597</v>
      </c>
      <c r="Q27" s="174">
        <f t="shared" si="35"/>
        <v>-2101.5582067274186</v>
      </c>
      <c r="R27" s="174">
        <f t="shared" ref="R27:AE27" si="36">R7-R17</f>
        <v>0</v>
      </c>
      <c r="S27" s="174">
        <f t="shared" si="36"/>
        <v>-394.81938072741832</v>
      </c>
      <c r="T27" s="174">
        <f t="shared" si="36"/>
        <v>0</v>
      </c>
      <c r="U27" s="174">
        <f t="shared" si="36"/>
        <v>-5121.8355577274187</v>
      </c>
      <c r="V27" s="174">
        <f>V7-V17</f>
        <v>0</v>
      </c>
      <c r="W27" s="174">
        <f t="shared" si="36"/>
        <v>-596.50739572741895</v>
      </c>
      <c r="X27" s="174">
        <f t="shared" si="36"/>
        <v>-5121.8355577274187</v>
      </c>
      <c r="Y27" s="174">
        <f t="shared" si="36"/>
        <v>0</v>
      </c>
      <c r="Z27" s="174">
        <f t="shared" si="36"/>
        <v>-390.50739572741895</v>
      </c>
      <c r="AA27" s="174">
        <f t="shared" si="36"/>
        <v>-5121.8355577274187</v>
      </c>
      <c r="AB27" s="174">
        <f t="shared" si="36"/>
        <v>0</v>
      </c>
      <c r="AC27" s="174">
        <f t="shared" si="36"/>
        <v>-5.5073957274189524</v>
      </c>
      <c r="AD27" s="174">
        <f t="shared" si="36"/>
        <v>-5121.8355577274187</v>
      </c>
      <c r="AE27" s="174">
        <f t="shared" si="36"/>
        <v>0</v>
      </c>
      <c r="AF27" s="174">
        <f>AF7-AF17</f>
        <v>198.9006042725814</v>
      </c>
      <c r="AG27" s="170">
        <f>SUM(F27,G27,J27)</f>
        <v>-3629.5864206322567</v>
      </c>
      <c r="AH27" s="170">
        <f>SUM(K27,M27,O27)</f>
        <v>-5736.5538351822561</v>
      </c>
      <c r="AI27" s="170">
        <f>SUM(Q27,S27,V27)</f>
        <v>-2496.3775874548369</v>
      </c>
      <c r="AJ27" s="170">
        <f>SUM(Y27,AB27,AE27)</f>
        <v>0</v>
      </c>
      <c r="AK27" s="170">
        <f>AG27+AH27+AI27+AJ27</f>
        <v>-11862.51784326935</v>
      </c>
      <c r="AL27" s="170">
        <f>F27+G27+I27+K27+M27+O27+Q27+S27+W27+Z27+AC27+AF27</f>
        <v>-13031.739241179024</v>
      </c>
      <c r="AM27" s="170"/>
      <c r="AN27" s="170"/>
      <c r="AO27" s="170"/>
      <c r="AP27" s="170"/>
      <c r="AQ27" s="170"/>
      <c r="AR27" s="170"/>
      <c r="AS27" s="170"/>
      <c r="AT27" s="170"/>
      <c r="AU27" s="170"/>
      <c r="AV27" s="170"/>
      <c r="AW27" s="170"/>
      <c r="AX27" s="170"/>
      <c r="AY27" s="170"/>
      <c r="AZ27" s="174">
        <f t="shared" ref="AZ27:BZ30" si="37">AZ7-AZ17</f>
        <v>-1013.8089518406409</v>
      </c>
      <c r="BA27" s="174">
        <f t="shared" si="37"/>
        <v>-2001.1475078406406</v>
      </c>
      <c r="BB27" s="174">
        <f t="shared" si="37"/>
        <v>-2260.6315458406407</v>
      </c>
      <c r="BC27" s="174">
        <f t="shared" si="37"/>
        <v>2292.5588181593589</v>
      </c>
      <c r="BD27" s="174">
        <f t="shared" si="37"/>
        <v>-223.63154584064114</v>
      </c>
      <c r="BE27" s="174">
        <f t="shared" si="37"/>
        <v>533.18396115935911</v>
      </c>
      <c r="BF27" s="174">
        <f t="shared" si="37"/>
        <v>33.781537783052045</v>
      </c>
      <c r="BG27" s="174">
        <f t="shared" si="37"/>
        <v>-2595.6913418406407</v>
      </c>
      <c r="BH27" s="174">
        <f t="shared" si="37"/>
        <v>-755.49332104956375</v>
      </c>
      <c r="BI27" s="174">
        <f t="shared" si="37"/>
        <v>-725.68819884064123</v>
      </c>
      <c r="BJ27" s="174">
        <f t="shared" si="37"/>
        <v>224.78129195778365</v>
      </c>
      <c r="BK27" s="174">
        <f t="shared" si="37"/>
        <v>-1082.054200840641</v>
      </c>
      <c r="BL27" s="174" t="e">
        <f>#REF!-BL7</f>
        <v>#REF!</v>
      </c>
      <c r="BM27" s="174">
        <f t="shared" si="37"/>
        <v>-1960.1458568406406</v>
      </c>
      <c r="BN27" s="174" t="e">
        <f>#REF!-BN7</f>
        <v>#REF!</v>
      </c>
      <c r="BO27" s="174">
        <f t="shared" si="37"/>
        <v>-3933.6315458406411</v>
      </c>
      <c r="BP27" s="174" t="e">
        <f>#REF!-BP7</f>
        <v>#REF!</v>
      </c>
      <c r="BQ27" s="174">
        <f t="shared" si="37"/>
        <v>-114.13154584064114</v>
      </c>
      <c r="BR27" s="174">
        <f t="shared" si="37"/>
        <v>-3753.6315458406411</v>
      </c>
      <c r="BS27" s="174" t="e">
        <f>#REF!-BS7</f>
        <v>#REF!</v>
      </c>
      <c r="BT27" s="174">
        <f t="shared" si="37"/>
        <v>240.86845415935886</v>
      </c>
      <c r="BU27" s="174">
        <f t="shared" si="37"/>
        <v>-3753.6315458406411</v>
      </c>
      <c r="BV27" s="174" t="e">
        <f>#REF!-BV7</f>
        <v>#REF!</v>
      </c>
      <c r="BW27" s="174">
        <f t="shared" si="37"/>
        <v>415.86845415935886</v>
      </c>
      <c r="BX27" s="174">
        <f t="shared" si="37"/>
        <v>-5533.6315458406407</v>
      </c>
      <c r="BY27" s="174" t="e">
        <f>#REF!-BY7</f>
        <v>#REF!</v>
      </c>
      <c r="BZ27" s="174">
        <f t="shared" si="37"/>
        <v>-1178.731545840641</v>
      </c>
      <c r="CA27" s="170">
        <f>SUM(AZ27,BA27,BD27)</f>
        <v>-3238.5880055219227</v>
      </c>
      <c r="CB27" s="170">
        <f>SUM(BE27,BG27,BI27)</f>
        <v>-2788.1955795219228</v>
      </c>
      <c r="CC27" s="170" t="e">
        <f>SUM(BK27,BM27,BP27)</f>
        <v>#REF!</v>
      </c>
      <c r="CD27" s="170" t="e">
        <f>SUM(BS27,BV27,BY27)</f>
        <v>#REF!</v>
      </c>
      <c r="CE27" s="170" t="e">
        <f>CA27+CB27+CC27+CD27</f>
        <v>#REF!</v>
      </c>
      <c r="CF27" s="170">
        <f>AZ27+BA27+BC27+BE27+BG27+BI27+BK27+BM27+BQ27+BT27+BW27+BZ27</f>
        <v>-7188.9194620876915</v>
      </c>
      <c r="CG27" s="170"/>
      <c r="CH27" s="170"/>
      <c r="CI27" s="170"/>
      <c r="CJ27" s="170"/>
      <c r="CK27" s="170"/>
      <c r="CL27" s="170"/>
      <c r="CM27" s="170"/>
      <c r="CN27" s="170"/>
      <c r="CO27" s="170"/>
      <c r="CP27" s="170"/>
      <c r="CQ27" s="170"/>
      <c r="CR27" s="170"/>
      <c r="CS27" s="170"/>
      <c r="CT27" s="174">
        <f t="shared" ref="CT27:DT30" si="38">CT7-CT17</f>
        <v>-583.40000000000009</v>
      </c>
      <c r="CU27" s="174">
        <f t="shared" si="38"/>
        <v>-733.40000000000009</v>
      </c>
      <c r="CV27" s="174">
        <f t="shared" si="38"/>
        <v>-776.90000000000009</v>
      </c>
      <c r="CW27" s="174">
        <f t="shared" si="38"/>
        <v>-852.40000000000009</v>
      </c>
      <c r="CX27" s="174">
        <f t="shared" si="38"/>
        <v>613.89999999999986</v>
      </c>
      <c r="CY27" s="174">
        <f t="shared" si="38"/>
        <v>542</v>
      </c>
      <c r="CZ27" s="174">
        <f t="shared" si="38"/>
        <v>174.39999999999986</v>
      </c>
      <c r="DA27" s="174">
        <f t="shared" si="38"/>
        <v>-490.11426800000004</v>
      </c>
      <c r="DB27" s="174">
        <f t="shared" si="38"/>
        <v>-194.95000000000005</v>
      </c>
      <c r="DC27" s="174">
        <f t="shared" si="38"/>
        <v>-510.21815500000002</v>
      </c>
      <c r="DD27" s="174">
        <f t="shared" si="38"/>
        <v>-194.95000000000005</v>
      </c>
      <c r="DE27" s="174">
        <f t="shared" si="38"/>
        <v>-460.77081900000007</v>
      </c>
      <c r="DF27" s="174">
        <f t="shared" si="38"/>
        <v>246.69000000000028</v>
      </c>
      <c r="DG27" s="174">
        <f t="shared" si="38"/>
        <v>-531.56895000000009</v>
      </c>
      <c r="DH27" s="174">
        <f t="shared" si="38"/>
        <v>246.69000000000028</v>
      </c>
      <c r="DI27" s="174">
        <f t="shared" si="38"/>
        <v>-1781.65</v>
      </c>
      <c r="DJ27" s="174">
        <f t="shared" si="38"/>
        <v>0</v>
      </c>
      <c r="DK27" s="174">
        <f t="shared" si="38"/>
        <v>-398.35000000000014</v>
      </c>
      <c r="DL27" s="174">
        <f t="shared" si="38"/>
        <v>-1781.65</v>
      </c>
      <c r="DM27" s="174">
        <f t="shared" si="38"/>
        <v>0</v>
      </c>
      <c r="DN27" s="174">
        <f t="shared" si="38"/>
        <v>-287.85000000000014</v>
      </c>
      <c r="DO27" s="174">
        <f t="shared" si="38"/>
        <v>-1781.65</v>
      </c>
      <c r="DP27" s="174">
        <f t="shared" si="38"/>
        <v>0</v>
      </c>
      <c r="DQ27" s="174">
        <f t="shared" si="38"/>
        <v>-177.35000000000014</v>
      </c>
      <c r="DR27" s="174">
        <f t="shared" si="38"/>
        <v>-1781.65</v>
      </c>
      <c r="DS27" s="174">
        <f t="shared" si="38"/>
        <v>0</v>
      </c>
      <c r="DT27" s="174">
        <f t="shared" si="38"/>
        <v>-86.850000000000136</v>
      </c>
      <c r="DU27" s="170">
        <f>SUM(CT27,CU27,CW27)</f>
        <v>-2169.2000000000003</v>
      </c>
      <c r="DV27" s="170">
        <f>SUM(CY27,DA27,DC27)</f>
        <v>-458.33242300000006</v>
      </c>
      <c r="DW27" s="170">
        <f>SUM(DE27,DG27,DJ27)</f>
        <v>-992.33976900000016</v>
      </c>
      <c r="DX27" s="170">
        <f>SUM(DM27,DP27,DS27)</f>
        <v>0</v>
      </c>
      <c r="DY27" s="170">
        <f>DU27+DV27+DW27+DX27</f>
        <v>-3619.8721920000007</v>
      </c>
      <c r="DZ27" s="170">
        <f>CT27+CU27+CW27+CY27+DA27+DC27+DE27+DG27+DK27+DN27+DQ27+DT27</f>
        <v>-4570.2721920000013</v>
      </c>
      <c r="EA27" s="170"/>
      <c r="EB27" s="170"/>
      <c r="EC27" s="170"/>
      <c r="ED27" s="170"/>
      <c r="EE27" s="170"/>
      <c r="EF27" s="170"/>
      <c r="EG27" s="170"/>
      <c r="EH27" s="170"/>
      <c r="EI27" s="170"/>
      <c r="EJ27" s="170"/>
      <c r="EK27" s="170"/>
      <c r="EL27" s="170"/>
      <c r="EM27" s="170"/>
      <c r="EN27" s="174">
        <f t="shared" ref="EN27:FN30" si="39">EN7-EN17</f>
        <v>-729.24801000000025</v>
      </c>
      <c r="EO27" s="174">
        <f t="shared" si="39"/>
        <v>-1014.5615370000005</v>
      </c>
      <c r="EP27" s="174">
        <f t="shared" si="39"/>
        <v>-219.09451799999988</v>
      </c>
      <c r="EQ27" s="174">
        <f t="shared" si="39"/>
        <v>-164.71294299999863</v>
      </c>
      <c r="ER27" s="174">
        <f t="shared" si="39"/>
        <v>587.1848229999996</v>
      </c>
      <c r="ES27" s="174">
        <f t="shared" si="39"/>
        <v>-710.05472500000178</v>
      </c>
      <c r="ET27" s="174">
        <f t="shared" si="39"/>
        <v>655.63557832713013</v>
      </c>
      <c r="EU27" s="174">
        <f t="shared" si="39"/>
        <v>-663.28535499999998</v>
      </c>
      <c r="EV27" s="174">
        <f t="shared" si="39"/>
        <v>1650.5041455537403</v>
      </c>
      <c r="EW27" s="174">
        <f t="shared" si="39"/>
        <v>-322.24046700000054</v>
      </c>
      <c r="EX27" s="174">
        <f t="shared" si="39"/>
        <v>863.51933413641382</v>
      </c>
      <c r="EY27" s="174">
        <f t="shared" si="39"/>
        <v>-475.400936</v>
      </c>
      <c r="EZ27" s="174">
        <f t="shared" si="39"/>
        <v>-34.165672931202607</v>
      </c>
      <c r="FA27" s="174">
        <f t="shared" si="39"/>
        <v>-522.75112200000058</v>
      </c>
      <c r="FB27" s="174">
        <f t="shared" si="39"/>
        <v>-171.5643366185941</v>
      </c>
      <c r="FC27" s="174">
        <f t="shared" si="39"/>
        <v>-7313.2394990000003</v>
      </c>
      <c r="FD27" s="174">
        <f t="shared" si="39"/>
        <v>-189.90715560682384</v>
      </c>
      <c r="FE27" s="174">
        <f t="shared" si="39"/>
        <v>1311.4205599999996</v>
      </c>
      <c r="FF27" s="174">
        <f t="shared" si="39"/>
        <v>-7423.2394990000003</v>
      </c>
      <c r="FG27" s="174">
        <f t="shared" si="39"/>
        <v>-230.17779544770838</v>
      </c>
      <c r="FH27" s="174">
        <f t="shared" si="39"/>
        <v>1581.4205599999996</v>
      </c>
      <c r="FI27" s="174">
        <f t="shared" si="39"/>
        <v>-7263.2394990000003</v>
      </c>
      <c r="FJ27" s="174">
        <f t="shared" si="39"/>
        <v>-318.0579261242674</v>
      </c>
      <c r="FK27" s="174">
        <f t="shared" si="39"/>
        <v>1786.4205599999996</v>
      </c>
      <c r="FL27" s="174">
        <f t="shared" si="39"/>
        <v>-7263.2394990000003</v>
      </c>
      <c r="FM27" s="174">
        <f t="shared" si="39"/>
        <v>-371.15595865408613</v>
      </c>
      <c r="FN27" s="174">
        <f t="shared" si="39"/>
        <v>1911.4205599999996</v>
      </c>
      <c r="FO27" s="170">
        <f>SUM(EN27,EO27,ER27)</f>
        <v>-1156.6247240000012</v>
      </c>
      <c r="FP27" s="170">
        <f>SUM(ES27,EU27,EW27)</f>
        <v>-1695.5805470000023</v>
      </c>
      <c r="FQ27" s="170">
        <f>SUM(EY27,FA27,FD27)</f>
        <v>-1188.0592136068244</v>
      </c>
      <c r="FR27" s="170">
        <f>SUM(FG27,FJ27,FM27)</f>
        <v>-919.39168022606191</v>
      </c>
      <c r="FS27" s="170">
        <f>FO27+FP27+FQ27+FR27</f>
        <v>-4959.6561648328898</v>
      </c>
      <c r="FT27" s="170">
        <f>EN27+EO27+EQ27+ES27+EU27+EW27+EY27+FA27+FE27+FH27+FK27+FN27</f>
        <v>1988.427144999996</v>
      </c>
      <c r="FU27" s="170"/>
      <c r="FV27" s="170"/>
      <c r="FW27" s="170"/>
      <c r="FX27" s="170"/>
      <c r="FY27" s="170"/>
      <c r="FZ27" s="170"/>
      <c r="GA27" s="170"/>
      <c r="GB27" s="170"/>
      <c r="GC27" s="170"/>
      <c r="GD27" s="170"/>
      <c r="GE27" s="170"/>
      <c r="GF27" s="170"/>
      <c r="GG27" s="170"/>
      <c r="GH27" s="174">
        <f t="shared" ref="GH27:HH30" si="40">GH7-GH17</f>
        <v>0</v>
      </c>
      <c r="GI27" s="174">
        <f t="shared" si="40"/>
        <v>0</v>
      </c>
      <c r="GJ27" s="174">
        <f t="shared" si="40"/>
        <v>264</v>
      </c>
      <c r="GK27" s="174">
        <f t="shared" si="40"/>
        <v>587.9188749999995</v>
      </c>
      <c r="GL27" s="174">
        <f t="shared" si="40"/>
        <v>2027.2969000000001</v>
      </c>
      <c r="GM27" s="174">
        <f t="shared" si="40"/>
        <v>1571.5254660000001</v>
      </c>
      <c r="GN27" s="174">
        <f t="shared" si="40"/>
        <v>421.03162170002906</v>
      </c>
      <c r="GO27" s="174">
        <f t="shared" si="40"/>
        <v>0</v>
      </c>
      <c r="GP27" s="174">
        <f t="shared" si="40"/>
        <v>1562.3114956736711</v>
      </c>
      <c r="GQ27" s="174">
        <f t="shared" si="40"/>
        <v>132.19999999999999</v>
      </c>
      <c r="GR27" s="174">
        <f t="shared" si="40"/>
        <v>207.01754385964912</v>
      </c>
      <c r="GS27" s="174">
        <f t="shared" si="40"/>
        <v>0</v>
      </c>
      <c r="GT27" s="174">
        <f t="shared" si="40"/>
        <v>291.65393668093947</v>
      </c>
      <c r="GU27" s="174">
        <f t="shared" si="40"/>
        <v>80</v>
      </c>
      <c r="GV27" s="174">
        <f t="shared" si="40"/>
        <v>1197.5164662476086</v>
      </c>
      <c r="GW27" s="174">
        <f t="shared" si="40"/>
        <v>0</v>
      </c>
      <c r="GX27" s="174">
        <f t="shared" si="40"/>
        <v>3164.2323084112149</v>
      </c>
      <c r="GY27" s="174">
        <f t="shared" si="40"/>
        <v>1480</v>
      </c>
      <c r="GZ27" s="174">
        <f t="shared" si="40"/>
        <v>0</v>
      </c>
      <c r="HA27" s="174">
        <f t="shared" si="40"/>
        <v>3371.8818886792451</v>
      </c>
      <c r="HB27" s="174">
        <f t="shared" si="40"/>
        <v>1680</v>
      </c>
      <c r="HC27" s="174">
        <f t="shared" si="40"/>
        <v>0</v>
      </c>
      <c r="HD27" s="174">
        <f t="shared" si="40"/>
        <v>1556.0114761664986</v>
      </c>
      <c r="HE27" s="174">
        <f t="shared" si="40"/>
        <v>1715</v>
      </c>
      <c r="HF27" s="174">
        <f t="shared" si="40"/>
        <v>0</v>
      </c>
      <c r="HG27" s="174">
        <f t="shared" si="40"/>
        <v>552.79768786127158</v>
      </c>
      <c r="HH27" s="174">
        <f t="shared" si="40"/>
        <v>1350</v>
      </c>
      <c r="HI27" s="170">
        <f>SUM(GH27,GI27,GL27)</f>
        <v>2027.2969000000001</v>
      </c>
      <c r="HJ27" s="170">
        <f>SUM(GM27,GO27,GQ27)</f>
        <v>1703.7254660000001</v>
      </c>
      <c r="HK27" s="170">
        <f>SUM(GS27,GU27,GX27)</f>
        <v>3244.2323084112149</v>
      </c>
      <c r="HL27" s="170">
        <f>SUM(HA27,HD27,HG27)</f>
        <v>5480.6910527070158</v>
      </c>
      <c r="HM27" s="170">
        <f>HI27+HJ27+HK27+HL27</f>
        <v>12455.945727118231</v>
      </c>
      <c r="HN27" s="170">
        <f>GH27+GI27+GK27+GM27+GO27+GQ27+GS27+GU27+GY27+HB27+HE27+HH27</f>
        <v>8596.6443409999993</v>
      </c>
      <c r="HO27" s="170"/>
      <c r="HP27" s="170"/>
      <c r="HQ27" s="170"/>
      <c r="HR27" s="170"/>
      <c r="HS27" s="170"/>
      <c r="HT27" s="170"/>
      <c r="HU27" s="170"/>
      <c r="HV27" s="170"/>
      <c r="HW27" s="170"/>
      <c r="HX27" s="170"/>
      <c r="HY27" s="170"/>
      <c r="HZ27" s="170"/>
      <c r="IA27" s="170"/>
      <c r="IB27" s="174">
        <f t="shared" ref="IB27:JB30" si="41">IB7-IB17</f>
        <v>-1091.3372639999998</v>
      </c>
      <c r="IC27" s="174">
        <f t="shared" si="41"/>
        <v>-1209.8575109999999</v>
      </c>
      <c r="ID27" s="174">
        <f t="shared" si="41"/>
        <v>-1244.3030000000001</v>
      </c>
      <c r="IE27" s="174">
        <f t="shared" si="41"/>
        <v>-1177.6929310000007</v>
      </c>
      <c r="IF27" s="174">
        <f t="shared" si="41"/>
        <v>-1764.5</v>
      </c>
      <c r="IG27" s="174">
        <f t="shared" si="41"/>
        <v>-1426.4248339999997</v>
      </c>
      <c r="IH27" s="174">
        <f t="shared" si="41"/>
        <v>-1109.4974630755862</v>
      </c>
      <c r="II27" s="174">
        <f t="shared" si="41"/>
        <v>-1290.4568879999999</v>
      </c>
      <c r="IJ27" s="174">
        <f t="shared" si="41"/>
        <v>-1661.0658782237551</v>
      </c>
      <c r="IK27" s="174">
        <f t="shared" si="41"/>
        <v>-214.26753099999996</v>
      </c>
      <c r="IL27" s="174">
        <f t="shared" si="41"/>
        <v>-1359.2934272441819</v>
      </c>
      <c r="IM27" s="174">
        <f t="shared" si="41"/>
        <v>-454.34133999999995</v>
      </c>
      <c r="IN27" s="174">
        <f t="shared" si="41"/>
        <v>-316.38051179065087</v>
      </c>
      <c r="IO27" s="174">
        <f t="shared" si="41"/>
        <v>-410.19614300000012</v>
      </c>
      <c r="IP27" s="174">
        <f t="shared" si="41"/>
        <v>-296.76757423776917</v>
      </c>
      <c r="IQ27" s="174">
        <f t="shared" si="41"/>
        <v>-3133.5</v>
      </c>
      <c r="IR27" s="174">
        <f t="shared" si="41"/>
        <v>297.48684258287085</v>
      </c>
      <c r="IS27" s="174">
        <f t="shared" si="41"/>
        <v>119.5</v>
      </c>
      <c r="IT27" s="174">
        <f t="shared" si="41"/>
        <v>-3134</v>
      </c>
      <c r="IU27" s="174">
        <f t="shared" si="41"/>
        <v>-382.53910844587563</v>
      </c>
      <c r="IV27" s="174">
        <f t="shared" si="41"/>
        <v>269</v>
      </c>
      <c r="IW27" s="174">
        <f t="shared" si="41"/>
        <v>-3130.5</v>
      </c>
      <c r="IX27" s="174">
        <f t="shared" si="41"/>
        <v>205.42122640709613</v>
      </c>
      <c r="IY27" s="174">
        <f t="shared" si="41"/>
        <v>387.5</v>
      </c>
      <c r="IZ27" s="174">
        <f t="shared" si="41"/>
        <v>-3137.5</v>
      </c>
      <c r="JA27" s="174">
        <f t="shared" si="41"/>
        <v>58.050199442185658</v>
      </c>
      <c r="JB27" s="174">
        <f t="shared" si="41"/>
        <v>410.5</v>
      </c>
      <c r="JC27" s="170">
        <f>SUM(IB27,IC27,IF27)</f>
        <v>-4065.6947749999999</v>
      </c>
      <c r="JD27" s="170">
        <f>SUM(IG27,II27,IK27)</f>
        <v>-2931.1492529999996</v>
      </c>
      <c r="JE27" s="170">
        <f>SUM(IM27,IO27,IR27)</f>
        <v>-567.05064041712922</v>
      </c>
      <c r="JF27" s="170">
        <f>SUM(IU27,IX27,JA27)</f>
        <v>-119.06768259659384</v>
      </c>
      <c r="JG27" s="170">
        <f>JC27+JD27+JE27+JF27</f>
        <v>-7682.9623510137226</v>
      </c>
      <c r="JH27" s="170">
        <f>IB27+IC27+IE27+IG27+II27+IK27+IM27+IO27+IS27+IV27+IY27+JB27</f>
        <v>-6088.0744419999992</v>
      </c>
      <c r="JI27" s="170"/>
      <c r="JJ27" s="170"/>
      <c r="JK27" s="170"/>
      <c r="JL27" s="170"/>
      <c r="JM27" s="170"/>
      <c r="JN27" s="170"/>
      <c r="JO27" s="170"/>
      <c r="JP27" s="170"/>
      <c r="JQ27" s="170"/>
      <c r="JR27" s="170"/>
      <c r="JS27" s="170"/>
      <c r="JT27" s="170"/>
      <c r="JU27" s="170"/>
      <c r="JV27" s="174">
        <f t="shared" ref="JV27:KV30" si="42">JV7-JV17</f>
        <v>-1329.0418888728771</v>
      </c>
      <c r="JW27" s="174">
        <f t="shared" si="42"/>
        <v>-217.1141888200591</v>
      </c>
      <c r="JX27" s="174">
        <f t="shared" si="42"/>
        <v>-2784.1141888200591</v>
      </c>
      <c r="JY27" s="174">
        <f t="shared" si="42"/>
        <v>-601.58713629210888</v>
      </c>
      <c r="JZ27" s="174">
        <f t="shared" si="42"/>
        <v>-2895.7584992921093</v>
      </c>
      <c r="KA27" s="174">
        <f t="shared" si="42"/>
        <v>-548.59905754033934</v>
      </c>
      <c r="KB27" s="174">
        <f t="shared" si="42"/>
        <v>-715.49692054033949</v>
      </c>
      <c r="KC27" s="174">
        <f t="shared" si="42"/>
        <v>-1232.5588158416904</v>
      </c>
      <c r="KD27" s="174">
        <f t="shared" si="42"/>
        <v>-953.81546284169008</v>
      </c>
      <c r="KE27" s="174">
        <f t="shared" si="42"/>
        <v>-931.80463249879449</v>
      </c>
      <c r="KF27" s="174">
        <f t="shared" si="42"/>
        <v>1183.0018635012057</v>
      </c>
      <c r="KG27" s="174">
        <f t="shared" si="42"/>
        <v>-1038.3542508400412</v>
      </c>
      <c r="KH27" s="174">
        <f t="shared" si="42"/>
        <v>0</v>
      </c>
      <c r="KI27" s="174">
        <f t="shared" si="42"/>
        <v>-1254.1248692196414</v>
      </c>
      <c r="KJ27" s="174">
        <f t="shared" si="42"/>
        <v>0</v>
      </c>
      <c r="KK27" s="174">
        <f t="shared" si="42"/>
        <v>-3226.8610490176907</v>
      </c>
      <c r="KL27" s="174">
        <f t="shared" si="42"/>
        <v>0</v>
      </c>
      <c r="KM27" s="174">
        <f t="shared" si="42"/>
        <v>-1407.1184490176909</v>
      </c>
      <c r="KN27" s="174">
        <f t="shared" si="42"/>
        <v>-3390.0343516402345</v>
      </c>
      <c r="KO27" s="174">
        <f t="shared" si="42"/>
        <v>0</v>
      </c>
      <c r="KP27" s="174">
        <f t="shared" si="42"/>
        <v>-564.70324052912383</v>
      </c>
      <c r="KQ27" s="174">
        <f t="shared" si="42"/>
        <v>-3402.7118375193349</v>
      </c>
      <c r="KR27" s="174">
        <f t="shared" si="42"/>
        <v>0</v>
      </c>
      <c r="KS27" s="174">
        <f t="shared" si="42"/>
        <v>-1062.6707264082238</v>
      </c>
      <c r="KT27" s="174">
        <f t="shared" si="42"/>
        <v>-3431.8935171131334</v>
      </c>
      <c r="KU27" s="174">
        <f t="shared" si="42"/>
        <v>0</v>
      </c>
      <c r="KV27" s="174">
        <f t="shared" si="42"/>
        <v>-1348.0724060020225</v>
      </c>
      <c r="KW27" s="170">
        <f>SUM(JV27,JW27,JZ27)</f>
        <v>-4441.9145769850456</v>
      </c>
      <c r="KX27" s="170">
        <f>SUM(KA27,KC27,KE27)</f>
        <v>-2712.9625058808242</v>
      </c>
      <c r="KY27" s="170">
        <f>SUM(KG27,KI27,KL27)</f>
        <v>-2292.4791200596828</v>
      </c>
      <c r="KZ27" s="170">
        <f>SUM(KO27,KR27,KU27)</f>
        <v>0</v>
      </c>
      <c r="LA27" s="170">
        <f>KW27+KX27+KY27+KZ27</f>
        <v>-9447.3562029255518</v>
      </c>
      <c r="LB27" s="170">
        <f>JV27+JW27+JY27+KA27+KC27+KE27+KG27+KI27+KM27+KP27+KS27+KV27</f>
        <v>-11535.749661882614</v>
      </c>
      <c r="LC27" s="170"/>
      <c r="LD27" s="170"/>
      <c r="LE27" s="170"/>
      <c r="LF27" s="170"/>
      <c r="LG27" s="170"/>
      <c r="LH27" s="170"/>
      <c r="LI27" s="170"/>
      <c r="LJ27" s="170"/>
      <c r="LK27" s="170"/>
      <c r="LL27" s="170"/>
      <c r="LM27" s="170"/>
      <c r="LN27" s="170"/>
      <c r="LO27" s="170"/>
      <c r="LP27" s="174">
        <f t="shared" ref="LP27:MP30" si="43">LP7-LP17</f>
        <v>-175.65026634049968</v>
      </c>
      <c r="LQ27" s="174">
        <f t="shared" si="43"/>
        <v>-34.784428340499744</v>
      </c>
      <c r="LR27" s="174">
        <f t="shared" si="43"/>
        <v>-34.784428340499744</v>
      </c>
      <c r="LS27" s="174">
        <f t="shared" si="43"/>
        <v>-14.787633340499724</v>
      </c>
      <c r="LT27" s="174">
        <f t="shared" si="43"/>
        <v>-14.787633340499724</v>
      </c>
      <c r="LU27" s="174">
        <f t="shared" si="43"/>
        <v>-44.888529340499645</v>
      </c>
      <c r="LV27" s="174">
        <f t="shared" si="43"/>
        <v>-16.493214340499435</v>
      </c>
      <c r="LW27" s="174">
        <f t="shared" si="43"/>
        <v>-268.40181634049964</v>
      </c>
      <c r="LX27" s="174">
        <f t="shared" si="43"/>
        <v>-16.493214340499435</v>
      </c>
      <c r="LY27" s="174">
        <f t="shared" si="43"/>
        <v>-81.962260340499597</v>
      </c>
      <c r="LZ27" s="174">
        <f t="shared" si="43"/>
        <v>-16.493214340499435</v>
      </c>
      <c r="MA27" s="174">
        <f t="shared" si="43"/>
        <v>-175.37413634049972</v>
      </c>
      <c r="MB27" s="174">
        <f t="shared" si="43"/>
        <v>0</v>
      </c>
      <c r="MC27" s="174">
        <f t="shared" si="43"/>
        <v>-41.241160340499619</v>
      </c>
      <c r="MD27" s="174">
        <f t="shared" si="43"/>
        <v>0</v>
      </c>
      <c r="ME27" s="174">
        <f t="shared" si="43"/>
        <v>-1765.4932143404997</v>
      </c>
      <c r="MF27" s="174">
        <f t="shared" si="43"/>
        <v>0</v>
      </c>
      <c r="MG27" s="174">
        <f t="shared" si="43"/>
        <v>0</v>
      </c>
      <c r="MH27" s="174">
        <f t="shared" si="43"/>
        <v>-1765.4932143404997</v>
      </c>
      <c r="MI27" s="174">
        <f t="shared" si="43"/>
        <v>0</v>
      </c>
      <c r="MJ27" s="174">
        <f t="shared" si="43"/>
        <v>0</v>
      </c>
      <c r="MK27" s="174">
        <f t="shared" si="43"/>
        <v>-1765.4932143404997</v>
      </c>
      <c r="ML27" s="174">
        <f t="shared" si="43"/>
        <v>0</v>
      </c>
      <c r="MM27" s="174">
        <f t="shared" si="43"/>
        <v>0</v>
      </c>
      <c r="MN27" s="174">
        <f t="shared" si="43"/>
        <v>-1765.4932143404997</v>
      </c>
      <c r="MO27" s="174">
        <f t="shared" si="43"/>
        <v>0</v>
      </c>
      <c r="MP27" s="174">
        <f t="shared" si="43"/>
        <v>0</v>
      </c>
      <c r="MQ27" s="170">
        <f>SUM(LP27,LQ27,LT27)</f>
        <v>-225.22232802149915</v>
      </c>
      <c r="MR27" s="170">
        <f>SUM(LU27,LW27,LY27)</f>
        <v>-395.25260602149888</v>
      </c>
      <c r="MS27" s="170">
        <f>SUM(MA27,MC27,MF27)</f>
        <v>-216.61529668099934</v>
      </c>
      <c r="MT27" s="170">
        <f>SUM(MI27,ML27,MO27)</f>
        <v>0</v>
      </c>
      <c r="MU27" s="170">
        <f>MQ27+MR27+MS27+MT27</f>
        <v>-837.09023072399737</v>
      </c>
      <c r="MV27" s="170">
        <f>LP27+LQ27+LS27+LU27+LW27+LY27+MA27+MC27+MG27+MJ27+MM27+MP27</f>
        <v>-837.09023072399737</v>
      </c>
      <c r="MW27" s="170"/>
      <c r="MX27" s="170"/>
      <c r="MY27" s="170"/>
      <c r="MZ27" s="170"/>
      <c r="NA27" s="170"/>
      <c r="NB27" s="170"/>
      <c r="NC27" s="170"/>
      <c r="ND27" s="170"/>
      <c r="NE27" s="170"/>
      <c r="NF27" s="170"/>
      <c r="NG27" s="170"/>
      <c r="NH27" s="170"/>
      <c r="NI27" s="170"/>
      <c r="NJ27" s="174">
        <f t="shared" ref="NJ27:OF30" si="44">NJ7-NJ17</f>
        <v>529.98091151596395</v>
      </c>
      <c r="NK27" s="174">
        <f t="shared" si="44"/>
        <v>466.53878128413999</v>
      </c>
      <c r="NL27" s="174">
        <f t="shared" si="44"/>
        <v>662.06104628414005</v>
      </c>
      <c r="NM27" s="174">
        <f t="shared" si="44"/>
        <v>670.24634540205011</v>
      </c>
      <c r="NN27" s="174">
        <f t="shared" si="44"/>
        <v>659.90667240205005</v>
      </c>
      <c r="NO27" s="174">
        <f t="shared" si="44"/>
        <v>661.08138901247992</v>
      </c>
      <c r="NP27" s="174">
        <f t="shared" si="44"/>
        <v>475.82706201247993</v>
      </c>
      <c r="NQ27" s="174">
        <f t="shared" si="44"/>
        <v>661.48307344992986</v>
      </c>
      <c r="NR27" s="174">
        <f t="shared" si="44"/>
        <v>454.89057344992989</v>
      </c>
      <c r="NS27" s="174">
        <f t="shared" si="44"/>
        <v>626.05287634622994</v>
      </c>
      <c r="NT27" s="174">
        <f t="shared" si="44"/>
        <v>425.00518434622995</v>
      </c>
      <c r="NU27" s="174">
        <f t="shared" si="44"/>
        <v>630.27977421094988</v>
      </c>
      <c r="NV27" s="174">
        <f t="shared" si="44"/>
        <v>0</v>
      </c>
      <c r="NW27" s="174">
        <f t="shared" si="44"/>
        <v>739.21694452559996</v>
      </c>
      <c r="NX27" s="174">
        <f t="shared" si="44"/>
        <v>0</v>
      </c>
      <c r="NY27" s="174">
        <f t="shared" si="44"/>
        <v>1139.34973912635</v>
      </c>
      <c r="NZ27" s="174">
        <f t="shared" si="44"/>
        <v>0</v>
      </c>
      <c r="OA27" s="174">
        <f t="shared" si="44"/>
        <v>1143.97857335661</v>
      </c>
      <c r="OB27" s="174">
        <f t="shared" si="44"/>
        <v>0</v>
      </c>
      <c r="OC27" s="174">
        <f t="shared" si="44"/>
        <v>1162.39459878912</v>
      </c>
      <c r="OD27" s="174">
        <f t="shared" si="44"/>
        <v>0</v>
      </c>
      <c r="OE27" s="174">
        <f t="shared" si="44"/>
        <v>1130.9643490446799</v>
      </c>
      <c r="OF27" s="174">
        <f t="shared" si="44"/>
        <v>0</v>
      </c>
      <c r="OG27" s="170">
        <f>SUM(NJ27,NK27,NN27)</f>
        <v>1656.4263652021541</v>
      </c>
      <c r="OH27" s="170">
        <f>SUM(NO27,NQ27,NS27)</f>
        <v>1948.6173388086395</v>
      </c>
      <c r="OI27" s="170">
        <f>SUM(NU27,NW27,NZ27)</f>
        <v>1369.4967187365498</v>
      </c>
      <c r="OJ27" s="170">
        <f>SUM(OB27,OD27,OF27)</f>
        <v>0</v>
      </c>
      <c r="OK27" s="170">
        <f>OG27+OH27+OI27+OJ27</f>
        <v>4974.5404227473437</v>
      </c>
      <c r="OL27" s="170"/>
      <c r="OM27" s="170"/>
      <c r="ON27" s="170"/>
      <c r="OO27" s="170"/>
      <c r="OP27" s="170"/>
      <c r="OQ27" s="170"/>
      <c r="OR27" s="170"/>
      <c r="OS27" s="170"/>
      <c r="OT27" s="170"/>
      <c r="OU27" s="170"/>
      <c r="OV27" s="170"/>
      <c r="OW27" s="170"/>
      <c r="OX27" s="170"/>
      <c r="OY27" s="157">
        <f t="shared" ref="OY27:PJ30" si="45">SUM(F27,AZ27,CT27,EN27,GH27,IB27,JV27,LP27,NJ27)</f>
        <v>-5505.3968257154738</v>
      </c>
      <c r="OZ27" s="157">
        <f t="shared" si="45"/>
        <v>-5933.5877774444798</v>
      </c>
      <c r="PA27" s="157">
        <f t="shared" si="45"/>
        <v>-7514.4852674444792</v>
      </c>
      <c r="PB27" s="157">
        <f t="shared" si="45"/>
        <v>-963.49009879861819</v>
      </c>
      <c r="PC27" s="157">
        <f t="shared" si="45"/>
        <v>-2337.8229617986194</v>
      </c>
      <c r="PD27" s="157">
        <f t="shared" si="45"/>
        <v>-1362.9139904364201</v>
      </c>
      <c r="PE27" s="157">
        <f t="shared" si="45"/>
        <v>-1784.1406293288896</v>
      </c>
      <c r="PF27" s="157">
        <f t="shared" si="45"/>
        <v>-8017.7252863003196</v>
      </c>
      <c r="PG27" s="157">
        <f t="shared" si="45"/>
        <v>-1596.9590842756947</v>
      </c>
      <c r="PH27" s="157">
        <f t="shared" si="45"/>
        <v>-3685.0446680611249</v>
      </c>
      <c r="PI27" s="157">
        <f t="shared" si="45"/>
        <v>813.84618027402485</v>
      </c>
      <c r="PJ27" s="157">
        <f t="shared" si="45"/>
        <v>-5157.5741155376509</v>
      </c>
      <c r="PK27" s="157" t="e">
        <f t="shared" ref="PK27:PX30" si="46">SUM(R27,BL27,DF27,EZ27,GT27,IN27,KH27,MB27,NV27)</f>
        <v>#REF!</v>
      </c>
      <c r="PL27" s="157">
        <f t="shared" si="46"/>
        <v>-4295.6305376026012</v>
      </c>
      <c r="PM27" s="157" t="e">
        <f t="shared" si="46"/>
        <v>#REF!</v>
      </c>
      <c r="PN27" s="157">
        <f t="shared" si="46"/>
        <v>-25136.8611267999</v>
      </c>
      <c r="PO27" s="157" t="e">
        <f t="shared" si="46"/>
        <v>#REF!</v>
      </c>
      <c r="PP27" s="157">
        <f t="shared" si="46"/>
        <v>1538.7917427708585</v>
      </c>
      <c r="PQ27" s="157">
        <f t="shared" si="46"/>
        <v>-26369.884168548793</v>
      </c>
      <c r="PR27" s="157" t="e">
        <f t="shared" si="46"/>
        <v>#REF!</v>
      </c>
      <c r="PS27" s="157">
        <f t="shared" si="46"/>
        <v>2528.2283779028157</v>
      </c>
      <c r="PT27" s="157">
        <f t="shared" si="46"/>
        <v>-25088.097305383213</v>
      </c>
      <c r="PU27" s="157" t="e">
        <f t="shared" si="46"/>
        <v>#REF!</v>
      </c>
      <c r="PV27" s="157">
        <f t="shared" si="46"/>
        <v>4715.6872572258699</v>
      </c>
      <c r="PW27" s="157">
        <f t="shared" si="46"/>
        <v>-26086.625995213053</v>
      </c>
      <c r="PX27" s="157" t="e">
        <f t="shared" si="46"/>
        <v>#REF!</v>
      </c>
      <c r="PY27" s="174">
        <f>PY7-PY17</f>
        <v>1257.1672124299184</v>
      </c>
      <c r="PZ27" s="170">
        <f>SUM(OY27,OZ27,PB27)</f>
        <v>-12402.474701958572</v>
      </c>
      <c r="QA27" s="170">
        <f>SUM(PD27,PF27,PH27)</f>
        <v>-13065.683944797864</v>
      </c>
      <c r="QB27" s="170" t="e">
        <f>SUM(PJ27,PL27,PO27)</f>
        <v>#REF!</v>
      </c>
      <c r="QC27" s="170" t="e">
        <f>SUM(PR27,PU27,PX27)</f>
        <v>#REF!</v>
      </c>
      <c r="QD27" s="170" t="e">
        <f>PZ27+QA27+QB27+QC27</f>
        <v>#REF!</v>
      </c>
      <c r="QE27" s="170">
        <f>OY27+OZ27+PB27+PD27+PF27+PH27+PJ27+PL27+PP27+PS27+PV27+PY27</f>
        <v>-24881.488709567224</v>
      </c>
      <c r="QF27" s="685"/>
      <c r="QG27" s="685"/>
      <c r="QH27" s="170"/>
      <c r="QI27" s="170"/>
      <c r="QJ27" s="170"/>
      <c r="QK27" s="170"/>
      <c r="QL27" s="170"/>
      <c r="QM27" s="170"/>
      <c r="QN27" s="170"/>
      <c r="QO27" s="170"/>
      <c r="QP27" s="170"/>
      <c r="QQ27" s="170"/>
      <c r="QR27" s="170"/>
      <c r="QS27" s="170"/>
      <c r="QT27" s="170"/>
      <c r="QU27" s="167">
        <f>SUM(AG27,CA27,DU27,FO27,HI27,JC27,KW27)</f>
        <v>-16674.311602139227</v>
      </c>
    </row>
    <row r="28" spans="1:463" hidden="1" outlineLevel="1">
      <c r="A28" s="143" t="s">
        <v>308</v>
      </c>
      <c r="B28" s="143"/>
      <c r="C28" s="143"/>
      <c r="D28" s="143"/>
      <c r="E28" s="143"/>
      <c r="F28" s="174">
        <f t="shared" ref="F28:Q28" si="47">F8-F18</f>
        <v>-325.71370015000002</v>
      </c>
      <c r="G28" s="174">
        <f t="shared" si="47"/>
        <v>-218.60569815000008</v>
      </c>
      <c r="H28" s="174">
        <f t="shared" si="47"/>
        <v>-323.50249515000007</v>
      </c>
      <c r="I28" s="174">
        <f t="shared" si="47"/>
        <v>-395.77310115000012</v>
      </c>
      <c r="J28" s="174">
        <f t="shared" si="47"/>
        <v>-427.2267281500001</v>
      </c>
      <c r="K28" s="174">
        <f t="shared" si="47"/>
        <v>-431.05267115000015</v>
      </c>
      <c r="L28" s="174">
        <f t="shared" si="47"/>
        <v>-265.03961347208246</v>
      </c>
      <c r="M28" s="174">
        <f t="shared" si="47"/>
        <v>-440.17879515000016</v>
      </c>
      <c r="N28" s="174">
        <f t="shared" si="47"/>
        <v>-149.03665928703526</v>
      </c>
      <c r="O28" s="174">
        <f t="shared" si="47"/>
        <v>-341.23264815000016</v>
      </c>
      <c r="P28" s="174">
        <f t="shared" si="47"/>
        <v>-76.827736833343806</v>
      </c>
      <c r="Q28" s="174">
        <f t="shared" si="47"/>
        <v>-489.43023215000017</v>
      </c>
      <c r="R28" s="174">
        <f t="shared" ref="R28:AE28" si="48">R8-R18</f>
        <v>0</v>
      </c>
      <c r="S28" s="174">
        <f t="shared" si="48"/>
        <v>-600.32566115000009</v>
      </c>
      <c r="T28" s="174">
        <f t="shared" si="48"/>
        <v>0</v>
      </c>
      <c r="U28" s="174">
        <f t="shared" si="48"/>
        <v>-1353.7642231500001</v>
      </c>
      <c r="V28" s="174">
        <f t="shared" si="48"/>
        <v>0</v>
      </c>
      <c r="W28" s="174">
        <f t="shared" si="48"/>
        <v>-173.92022315000008</v>
      </c>
      <c r="X28" s="174">
        <f t="shared" si="48"/>
        <v>-1448.7642231500001</v>
      </c>
      <c r="Y28" s="174">
        <f t="shared" si="48"/>
        <v>0</v>
      </c>
      <c r="Z28" s="174">
        <f t="shared" si="48"/>
        <v>-82.920223150000083</v>
      </c>
      <c r="AA28" s="174">
        <f t="shared" si="48"/>
        <v>-1448.7642231500001</v>
      </c>
      <c r="AB28" s="174">
        <f t="shared" si="48"/>
        <v>0</v>
      </c>
      <c r="AC28" s="174">
        <f t="shared" si="48"/>
        <v>-56.920223150000083</v>
      </c>
      <c r="AD28" s="174">
        <f t="shared" si="48"/>
        <v>-1448.7642231500001</v>
      </c>
      <c r="AE28" s="174">
        <f t="shared" si="48"/>
        <v>0</v>
      </c>
      <c r="AF28" s="174">
        <f>AF8-AF18</f>
        <v>-36.920223150000083</v>
      </c>
      <c r="AG28" s="170">
        <f>SUM(F28,G28,J28)</f>
        <v>-971.5461264500002</v>
      </c>
      <c r="AH28" s="170">
        <f>SUM(K28,M28,O28)</f>
        <v>-1212.4641144500006</v>
      </c>
      <c r="AI28" s="170">
        <f>SUM(Q28,S28,V28)</f>
        <v>-1089.7558933000003</v>
      </c>
      <c r="AJ28" s="170">
        <f>SUM(Y28,AB28,AE28)</f>
        <v>0</v>
      </c>
      <c r="AK28" s="170">
        <f>AG28+AH28+AI28+AJ28</f>
        <v>-3273.766134200001</v>
      </c>
      <c r="AL28" s="170">
        <f>F28+G28+I28+K28+M28+O28+Q28+S28+W28+Z28+AC28+AF28</f>
        <v>-3592.9933998000015</v>
      </c>
      <c r="AM28" s="170"/>
      <c r="AN28" s="170"/>
      <c r="AO28" s="170"/>
      <c r="AP28" s="170"/>
      <c r="AQ28" s="170"/>
      <c r="AR28" s="170"/>
      <c r="AS28" s="170"/>
      <c r="AT28" s="170"/>
      <c r="AU28" s="170"/>
      <c r="AV28" s="170"/>
      <c r="AW28" s="170"/>
      <c r="AX28" s="170"/>
      <c r="AY28" s="170"/>
      <c r="AZ28" s="174">
        <f t="shared" si="37"/>
        <v>0</v>
      </c>
      <c r="BA28" s="174">
        <f t="shared" si="37"/>
        <v>0</v>
      </c>
      <c r="BB28" s="174">
        <f t="shared" si="37"/>
        <v>0</v>
      </c>
      <c r="BC28" s="174">
        <f t="shared" si="37"/>
        <v>0</v>
      </c>
      <c r="BD28" s="174">
        <f t="shared" si="37"/>
        <v>0</v>
      </c>
      <c r="BE28" s="174">
        <f t="shared" si="37"/>
        <v>0</v>
      </c>
      <c r="BF28" s="174">
        <f t="shared" si="37"/>
        <v>0</v>
      </c>
      <c r="BG28" s="174">
        <f t="shared" si="37"/>
        <v>0</v>
      </c>
      <c r="BH28" s="174">
        <f t="shared" si="37"/>
        <v>0</v>
      </c>
      <c r="BI28" s="174">
        <f t="shared" si="37"/>
        <v>0</v>
      </c>
      <c r="BJ28" s="174">
        <f t="shared" si="37"/>
        <v>0</v>
      </c>
      <c r="BK28" s="174">
        <f t="shared" si="37"/>
        <v>0</v>
      </c>
      <c r="BL28" s="174" t="e">
        <f>#REF!-BL8</f>
        <v>#REF!</v>
      </c>
      <c r="BM28" s="174">
        <f t="shared" si="37"/>
        <v>0</v>
      </c>
      <c r="BN28" s="174" t="e">
        <f>#REF!-BN8</f>
        <v>#REF!</v>
      </c>
      <c r="BO28" s="174">
        <f t="shared" si="37"/>
        <v>0</v>
      </c>
      <c r="BP28" s="174" t="e">
        <f>#REF!-BP8</f>
        <v>#REF!</v>
      </c>
      <c r="BQ28" s="174">
        <f t="shared" si="37"/>
        <v>0</v>
      </c>
      <c r="BR28" s="174">
        <f t="shared" si="37"/>
        <v>0</v>
      </c>
      <c r="BS28" s="174" t="e">
        <f>#REF!-BS8</f>
        <v>#REF!</v>
      </c>
      <c r="BT28" s="174">
        <f t="shared" si="37"/>
        <v>0</v>
      </c>
      <c r="BU28" s="174">
        <f t="shared" si="37"/>
        <v>0</v>
      </c>
      <c r="BV28" s="174" t="e">
        <f>#REF!-BV8</f>
        <v>#REF!</v>
      </c>
      <c r="BW28" s="174">
        <f t="shared" si="37"/>
        <v>0</v>
      </c>
      <c r="BX28" s="174">
        <f t="shared" si="37"/>
        <v>0</v>
      </c>
      <c r="BY28" s="174" t="e">
        <f>#REF!-BY8</f>
        <v>#REF!</v>
      </c>
      <c r="BZ28" s="174">
        <f t="shared" si="37"/>
        <v>0</v>
      </c>
      <c r="CA28" s="170">
        <f>SUM(AZ28,BA28,BD28)</f>
        <v>0</v>
      </c>
      <c r="CB28" s="170">
        <f>SUM(BE28,BG28,BI28)</f>
        <v>0</v>
      </c>
      <c r="CC28" s="170" t="e">
        <f>SUM(BK28,BM28,BP28)</f>
        <v>#REF!</v>
      </c>
      <c r="CD28" s="170" t="e">
        <f>SUM(BS28,BV28,BY28)</f>
        <v>#REF!</v>
      </c>
      <c r="CE28" s="170" t="e">
        <f>CA28+CB28+CC28+CD28</f>
        <v>#REF!</v>
      </c>
      <c r="CF28" s="170">
        <f>AZ28+BA28+BC28+BE28+BG28+BI28+BK28+BM28+BQ28+BT28+BW28+BZ28</f>
        <v>0</v>
      </c>
      <c r="CG28" s="170"/>
      <c r="CH28" s="170"/>
      <c r="CI28" s="170"/>
      <c r="CJ28" s="170"/>
      <c r="CK28" s="170"/>
      <c r="CL28" s="170"/>
      <c r="CM28" s="170"/>
      <c r="CN28" s="170"/>
      <c r="CO28" s="170"/>
      <c r="CP28" s="170"/>
      <c r="CQ28" s="170"/>
      <c r="CR28" s="170"/>
      <c r="CS28" s="170"/>
      <c r="CT28" s="174">
        <f t="shared" si="38"/>
        <v>0</v>
      </c>
      <c r="CU28" s="174">
        <f t="shared" si="38"/>
        <v>0</v>
      </c>
      <c r="CV28" s="174">
        <f t="shared" si="38"/>
        <v>0</v>
      </c>
      <c r="CW28" s="174">
        <f t="shared" si="38"/>
        <v>0</v>
      </c>
      <c r="CX28" s="174">
        <f t="shared" si="38"/>
        <v>0</v>
      </c>
      <c r="CY28" s="174">
        <f t="shared" si="38"/>
        <v>0</v>
      </c>
      <c r="CZ28" s="174">
        <f t="shared" si="38"/>
        <v>0</v>
      </c>
      <c r="DA28" s="174">
        <f t="shared" si="38"/>
        <v>0</v>
      </c>
      <c r="DB28" s="174">
        <f t="shared" si="38"/>
        <v>0</v>
      </c>
      <c r="DC28" s="174">
        <f t="shared" si="38"/>
        <v>0</v>
      </c>
      <c r="DD28" s="174">
        <f t="shared" si="38"/>
        <v>0</v>
      </c>
      <c r="DE28" s="174">
        <f t="shared" si="38"/>
        <v>0</v>
      </c>
      <c r="DF28" s="174">
        <f t="shared" si="38"/>
        <v>0</v>
      </c>
      <c r="DG28" s="174">
        <f t="shared" si="38"/>
        <v>0</v>
      </c>
      <c r="DH28" s="174">
        <f t="shared" si="38"/>
        <v>0</v>
      </c>
      <c r="DI28" s="174">
        <f t="shared" si="38"/>
        <v>0</v>
      </c>
      <c r="DJ28" s="174">
        <f t="shared" si="38"/>
        <v>0</v>
      </c>
      <c r="DK28" s="174">
        <f t="shared" si="38"/>
        <v>0</v>
      </c>
      <c r="DL28" s="174">
        <f t="shared" si="38"/>
        <v>0</v>
      </c>
      <c r="DM28" s="174">
        <f t="shared" si="38"/>
        <v>0</v>
      </c>
      <c r="DN28" s="174">
        <f t="shared" si="38"/>
        <v>0</v>
      </c>
      <c r="DO28" s="174">
        <f t="shared" si="38"/>
        <v>0</v>
      </c>
      <c r="DP28" s="174">
        <f t="shared" si="38"/>
        <v>0</v>
      </c>
      <c r="DQ28" s="174">
        <f t="shared" si="38"/>
        <v>0</v>
      </c>
      <c r="DR28" s="174">
        <f t="shared" si="38"/>
        <v>0</v>
      </c>
      <c r="DS28" s="174">
        <f t="shared" si="38"/>
        <v>0</v>
      </c>
      <c r="DT28" s="174">
        <f t="shared" si="38"/>
        <v>0</v>
      </c>
      <c r="DU28" s="170">
        <f>SUM(CT28,CU28,CW28)</f>
        <v>0</v>
      </c>
      <c r="DV28" s="170">
        <f>SUM(CY28,DA28,DC28)</f>
        <v>0</v>
      </c>
      <c r="DW28" s="170">
        <f>SUM(DE28,DG28,DJ28)</f>
        <v>0</v>
      </c>
      <c r="DX28" s="170">
        <f>SUM(DM28,DP28,DS28)</f>
        <v>0</v>
      </c>
      <c r="DY28" s="170">
        <f>DU28+DV28+DW28+DX28</f>
        <v>0</v>
      </c>
      <c r="DZ28" s="170">
        <f>CT28+CU28+CW28+CY28+DA28+DC28+DE28+DG28+DK28+DN28+DQ28+DT28</f>
        <v>0</v>
      </c>
      <c r="EA28" s="170"/>
      <c r="EB28" s="170"/>
      <c r="EC28" s="170"/>
      <c r="ED28" s="170"/>
      <c r="EE28" s="170"/>
      <c r="EF28" s="170"/>
      <c r="EG28" s="170"/>
      <c r="EH28" s="170"/>
      <c r="EI28" s="170"/>
      <c r="EJ28" s="170"/>
      <c r="EK28" s="170"/>
      <c r="EL28" s="170"/>
      <c r="EM28" s="170"/>
      <c r="EN28" s="174">
        <f t="shared" si="39"/>
        <v>107.40043500000002</v>
      </c>
      <c r="EO28" s="174">
        <f t="shared" si="39"/>
        <v>88.758039000000053</v>
      </c>
      <c r="EP28" s="174">
        <f t="shared" si="39"/>
        <v>0.20920700000010584</v>
      </c>
      <c r="EQ28" s="174">
        <f t="shared" si="39"/>
        <v>-477.45988200000011</v>
      </c>
      <c r="ER28" s="174">
        <f t="shared" si="39"/>
        <v>-49.965844000000061</v>
      </c>
      <c r="ES28" s="174">
        <f t="shared" si="39"/>
        <v>-596.76327900000001</v>
      </c>
      <c r="ET28" s="174">
        <f t="shared" si="39"/>
        <v>-36.441585386103498</v>
      </c>
      <c r="EU28" s="174">
        <f t="shared" si="39"/>
        <v>-658.56093440000006</v>
      </c>
      <c r="EV28" s="174">
        <f t="shared" si="39"/>
        <v>-285.76643539857696</v>
      </c>
      <c r="EW28" s="174">
        <f t="shared" si="39"/>
        <v>-214.40524100000016</v>
      </c>
      <c r="EX28" s="174">
        <f t="shared" si="39"/>
        <v>-241.96149093789495</v>
      </c>
      <c r="EY28" s="174">
        <f t="shared" si="39"/>
        <v>-759.15628240000001</v>
      </c>
      <c r="EZ28" s="174">
        <f t="shared" si="39"/>
        <v>-184.34341095220384</v>
      </c>
      <c r="FA28" s="174">
        <f t="shared" si="39"/>
        <v>-424.97598640000001</v>
      </c>
      <c r="FB28" s="174">
        <f t="shared" si="39"/>
        <v>-14.637098385843956</v>
      </c>
      <c r="FC28" s="174">
        <f t="shared" si="39"/>
        <v>-1628.6024284</v>
      </c>
      <c r="FD28" s="174">
        <f t="shared" si="39"/>
        <v>115.27586601722146</v>
      </c>
      <c r="FE28" s="174">
        <f t="shared" si="39"/>
        <v>346.39757159999999</v>
      </c>
      <c r="FF28" s="174">
        <f t="shared" si="39"/>
        <v>-1628.6024284</v>
      </c>
      <c r="FG28" s="174">
        <f t="shared" si="39"/>
        <v>126.88346781351379</v>
      </c>
      <c r="FH28" s="174">
        <f t="shared" si="39"/>
        <v>396.39757159999999</v>
      </c>
      <c r="FI28" s="174">
        <f t="shared" si="39"/>
        <v>-1628.6024284</v>
      </c>
      <c r="FJ28" s="174">
        <f t="shared" si="39"/>
        <v>50.693308025826127</v>
      </c>
      <c r="FK28" s="174">
        <f t="shared" si="39"/>
        <v>386.39757159999999</v>
      </c>
      <c r="FL28" s="174">
        <f t="shared" si="39"/>
        <v>-1628.6024284</v>
      </c>
      <c r="FM28" s="174">
        <f t="shared" si="39"/>
        <v>22.280215102338161</v>
      </c>
      <c r="FN28" s="174">
        <f t="shared" si="39"/>
        <v>366.39757159999999</v>
      </c>
      <c r="FO28" s="170">
        <f>SUM(EN28,EO28,ER28)</f>
        <v>146.19263000000001</v>
      </c>
      <c r="FP28" s="170">
        <f>SUM(ES28,EU28,EW28)</f>
        <v>-1469.7294544000003</v>
      </c>
      <c r="FQ28" s="170">
        <f>SUM(EY28,FA28,FD28)</f>
        <v>-1068.8564027827786</v>
      </c>
      <c r="FR28" s="170">
        <f>SUM(FG28,FJ28,FM28)</f>
        <v>199.85699094167808</v>
      </c>
      <c r="FS28" s="170">
        <f>FO28+FP28+FQ28+FR28</f>
        <v>-2192.5362362411006</v>
      </c>
      <c r="FT28" s="170">
        <f>EN28+EO28+EQ28+ES28+EU28+EW28+EY28+FA28+FE28+FH28+FK28+FN28</f>
        <v>-1439.5728448</v>
      </c>
      <c r="FU28" s="170"/>
      <c r="FV28" s="170"/>
      <c r="FW28" s="170"/>
      <c r="FX28" s="170"/>
      <c r="FY28" s="170"/>
      <c r="FZ28" s="170"/>
      <c r="GA28" s="170"/>
      <c r="GB28" s="170"/>
      <c r="GC28" s="170"/>
      <c r="GD28" s="170"/>
      <c r="GE28" s="170"/>
      <c r="GF28" s="170"/>
      <c r="GG28" s="170"/>
      <c r="GH28" s="174">
        <f t="shared" si="40"/>
        <v>0</v>
      </c>
      <c r="GI28" s="174">
        <f t="shared" si="40"/>
        <v>0</v>
      </c>
      <c r="GJ28" s="174">
        <f t="shared" si="40"/>
        <v>0</v>
      </c>
      <c r="GK28" s="174">
        <f t="shared" si="40"/>
        <v>0</v>
      </c>
      <c r="GL28" s="174">
        <f t="shared" si="40"/>
        <v>0</v>
      </c>
      <c r="GM28" s="174">
        <f t="shared" si="40"/>
        <v>0</v>
      </c>
      <c r="GN28" s="174">
        <f t="shared" si="40"/>
        <v>0</v>
      </c>
      <c r="GO28" s="174">
        <f t="shared" si="40"/>
        <v>0</v>
      </c>
      <c r="GP28" s="174">
        <f t="shared" si="40"/>
        <v>0</v>
      </c>
      <c r="GQ28" s="174">
        <f t="shared" si="40"/>
        <v>0</v>
      </c>
      <c r="GR28" s="174">
        <f t="shared" si="40"/>
        <v>0</v>
      </c>
      <c r="GS28" s="174">
        <f t="shared" si="40"/>
        <v>0</v>
      </c>
      <c r="GT28" s="174">
        <f t="shared" si="40"/>
        <v>0</v>
      </c>
      <c r="GU28" s="174">
        <f t="shared" si="40"/>
        <v>0</v>
      </c>
      <c r="GV28" s="174">
        <f t="shared" si="40"/>
        <v>0</v>
      </c>
      <c r="GW28" s="174">
        <f t="shared" si="40"/>
        <v>0</v>
      </c>
      <c r="GX28" s="174">
        <f t="shared" si="40"/>
        <v>0</v>
      </c>
      <c r="GY28" s="174">
        <f t="shared" si="40"/>
        <v>0</v>
      </c>
      <c r="GZ28" s="174">
        <f t="shared" si="40"/>
        <v>0</v>
      </c>
      <c r="HA28" s="174">
        <f t="shared" si="40"/>
        <v>0</v>
      </c>
      <c r="HB28" s="174">
        <f t="shared" si="40"/>
        <v>0</v>
      </c>
      <c r="HC28" s="174">
        <f t="shared" si="40"/>
        <v>0</v>
      </c>
      <c r="HD28" s="174">
        <f t="shared" si="40"/>
        <v>0</v>
      </c>
      <c r="HE28" s="174">
        <f t="shared" si="40"/>
        <v>0</v>
      </c>
      <c r="HF28" s="174">
        <f t="shared" si="40"/>
        <v>0</v>
      </c>
      <c r="HG28" s="174">
        <f t="shared" si="40"/>
        <v>0</v>
      </c>
      <c r="HH28" s="174">
        <f t="shared" si="40"/>
        <v>0</v>
      </c>
      <c r="HI28" s="170">
        <f>SUM(GH28,GI28,GL28)</f>
        <v>0</v>
      </c>
      <c r="HJ28" s="170">
        <f>SUM(GM28,GO28,GQ28)</f>
        <v>0</v>
      </c>
      <c r="HK28" s="170">
        <f>SUM(GS28,GU28,GX28)</f>
        <v>0</v>
      </c>
      <c r="HL28" s="170">
        <f>SUM(HA28,HD28,HG28)</f>
        <v>0</v>
      </c>
      <c r="HM28" s="170">
        <f>HI28+HJ28+HK28+HL28</f>
        <v>0</v>
      </c>
      <c r="HN28" s="170">
        <f>GH28+GI28+GK28+GM28+GO28+GQ28+GS28+GU28+GY28+HB28+HE28+HH28</f>
        <v>0</v>
      </c>
      <c r="HO28" s="170"/>
      <c r="HP28" s="170"/>
      <c r="HQ28" s="170"/>
      <c r="HR28" s="170"/>
      <c r="HS28" s="170"/>
      <c r="HT28" s="170"/>
      <c r="HU28" s="170"/>
      <c r="HV28" s="170"/>
      <c r="HW28" s="170"/>
      <c r="HX28" s="170"/>
      <c r="HY28" s="170"/>
      <c r="HZ28" s="170"/>
      <c r="IA28" s="170"/>
      <c r="IB28" s="174">
        <f t="shared" si="41"/>
        <v>11.02555000000001</v>
      </c>
      <c r="IC28" s="174">
        <f t="shared" si="41"/>
        <v>50.586615999999992</v>
      </c>
      <c r="ID28" s="174">
        <f t="shared" si="41"/>
        <v>50</v>
      </c>
      <c r="IE28" s="174">
        <f t="shared" si="41"/>
        <v>144.44792100000001</v>
      </c>
      <c r="IF28" s="174">
        <f t="shared" si="41"/>
        <v>76</v>
      </c>
      <c r="IG28" s="174">
        <f t="shared" si="41"/>
        <v>159.49098600000002</v>
      </c>
      <c r="IH28" s="174">
        <f t="shared" si="41"/>
        <v>179.57101650738491</v>
      </c>
      <c r="II28" s="174">
        <f t="shared" si="41"/>
        <v>135.49833999999998</v>
      </c>
      <c r="IJ28" s="174">
        <f t="shared" si="41"/>
        <v>203.60360225404952</v>
      </c>
      <c r="IK28" s="174">
        <f t="shared" si="41"/>
        <v>198.39886899999999</v>
      </c>
      <c r="IL28" s="174">
        <f t="shared" si="41"/>
        <v>141.02903140896245</v>
      </c>
      <c r="IM28" s="174">
        <f t="shared" si="41"/>
        <v>202.09198299999997</v>
      </c>
      <c r="IN28" s="174">
        <f t="shared" si="41"/>
        <v>276.40546173484114</v>
      </c>
      <c r="IO28" s="174">
        <f t="shared" si="41"/>
        <v>167.732843</v>
      </c>
      <c r="IP28" s="174">
        <f t="shared" si="41"/>
        <v>205.93990944735941</v>
      </c>
      <c r="IQ28" s="174">
        <f t="shared" si="41"/>
        <v>-178.18700000000001</v>
      </c>
      <c r="IR28" s="174">
        <f t="shared" si="41"/>
        <v>228.59321586926092</v>
      </c>
      <c r="IS28" s="174">
        <f t="shared" si="41"/>
        <v>239.81299999999999</v>
      </c>
      <c r="IT28" s="174">
        <f t="shared" si="41"/>
        <v>-247.18700000000001</v>
      </c>
      <c r="IU28" s="174">
        <f t="shared" si="41"/>
        <v>185.41481542457575</v>
      </c>
      <c r="IV28" s="174">
        <f t="shared" si="41"/>
        <v>170.81299999999999</v>
      </c>
      <c r="IW28" s="174">
        <f t="shared" si="41"/>
        <v>-208.18700000000001</v>
      </c>
      <c r="IX28" s="174">
        <f t="shared" si="41"/>
        <v>296.38761086342475</v>
      </c>
      <c r="IY28" s="174">
        <f t="shared" si="41"/>
        <v>209.81299999999999</v>
      </c>
      <c r="IZ28" s="174">
        <f t="shared" si="41"/>
        <v>-147.18700000000001</v>
      </c>
      <c r="JA28" s="174">
        <f t="shared" si="41"/>
        <v>288.65635656477696</v>
      </c>
      <c r="JB28" s="174">
        <f t="shared" si="41"/>
        <v>270.81299999999999</v>
      </c>
      <c r="JC28" s="170">
        <f>SUM(IB28,IC28,IF28)</f>
        <v>137.612166</v>
      </c>
      <c r="JD28" s="170">
        <f>SUM(IG28,II28,IK28)</f>
        <v>493.388195</v>
      </c>
      <c r="JE28" s="170">
        <f>SUM(IM28,IO28,IR28)</f>
        <v>598.41804186926083</v>
      </c>
      <c r="JF28" s="170">
        <f>SUM(IU28,IX28,JA28)</f>
        <v>770.4587828527774</v>
      </c>
      <c r="JG28" s="170">
        <f>JC28+JD28+JE28+JF28</f>
        <v>1999.8771857220381</v>
      </c>
      <c r="JH28" s="170">
        <f>IB28+IC28+IE28+IG28+II28+IK28+IM28+IO28+IS28+IV28+IY28+JB28</f>
        <v>1960.5251080000003</v>
      </c>
      <c r="JI28" s="170"/>
      <c r="JJ28" s="170"/>
      <c r="JK28" s="170"/>
      <c r="JL28" s="170"/>
      <c r="JM28" s="170"/>
      <c r="JN28" s="170"/>
      <c r="JO28" s="170"/>
      <c r="JP28" s="170"/>
      <c r="JQ28" s="170"/>
      <c r="JR28" s="170"/>
      <c r="JS28" s="170"/>
      <c r="JT28" s="170"/>
      <c r="JU28" s="170"/>
      <c r="JV28" s="174">
        <f t="shared" si="42"/>
        <v>0</v>
      </c>
      <c r="JW28" s="174">
        <f t="shared" si="42"/>
        <v>0</v>
      </c>
      <c r="JX28" s="174">
        <f t="shared" si="42"/>
        <v>0</v>
      </c>
      <c r="JY28" s="174">
        <f t="shared" si="42"/>
        <v>0</v>
      </c>
      <c r="JZ28" s="174">
        <f t="shared" si="42"/>
        <v>0</v>
      </c>
      <c r="KA28" s="174">
        <f t="shared" si="42"/>
        <v>0</v>
      </c>
      <c r="KB28" s="174">
        <f t="shared" si="42"/>
        <v>0</v>
      </c>
      <c r="KC28" s="174">
        <f t="shared" si="42"/>
        <v>0</v>
      </c>
      <c r="KD28" s="174">
        <f t="shared" si="42"/>
        <v>0</v>
      </c>
      <c r="KE28" s="174">
        <f t="shared" si="42"/>
        <v>0</v>
      </c>
      <c r="KF28" s="174">
        <f t="shared" si="42"/>
        <v>0</v>
      </c>
      <c r="KG28" s="174">
        <f t="shared" si="42"/>
        <v>0</v>
      </c>
      <c r="KH28" s="174">
        <f t="shared" si="42"/>
        <v>0</v>
      </c>
      <c r="KI28" s="174">
        <f t="shared" si="42"/>
        <v>0</v>
      </c>
      <c r="KJ28" s="174">
        <f t="shared" si="42"/>
        <v>0</v>
      </c>
      <c r="KK28" s="174">
        <f t="shared" si="42"/>
        <v>0</v>
      </c>
      <c r="KL28" s="174">
        <f t="shared" si="42"/>
        <v>0</v>
      </c>
      <c r="KM28" s="174">
        <f t="shared" si="42"/>
        <v>0</v>
      </c>
      <c r="KN28" s="174">
        <f t="shared" si="42"/>
        <v>0</v>
      </c>
      <c r="KO28" s="174">
        <f t="shared" si="42"/>
        <v>0</v>
      </c>
      <c r="KP28" s="174">
        <f t="shared" si="42"/>
        <v>0</v>
      </c>
      <c r="KQ28" s="174">
        <f t="shared" si="42"/>
        <v>0</v>
      </c>
      <c r="KR28" s="174">
        <f t="shared" si="42"/>
        <v>0</v>
      </c>
      <c r="KS28" s="174">
        <f t="shared" si="42"/>
        <v>0</v>
      </c>
      <c r="KT28" s="174">
        <f t="shared" si="42"/>
        <v>0</v>
      </c>
      <c r="KU28" s="174">
        <f t="shared" si="42"/>
        <v>0</v>
      </c>
      <c r="KV28" s="174">
        <f t="shared" si="42"/>
        <v>0</v>
      </c>
      <c r="KW28" s="170">
        <f>SUM(JV28,JW28,JZ28)</f>
        <v>0</v>
      </c>
      <c r="KX28" s="170">
        <f>SUM(KA28,KC28,KE28)</f>
        <v>0</v>
      </c>
      <c r="KY28" s="170">
        <f>SUM(KG28,KI28,KL28)</f>
        <v>0</v>
      </c>
      <c r="KZ28" s="170">
        <f>SUM(KO28,KR28,KU28)</f>
        <v>0</v>
      </c>
      <c r="LA28" s="170">
        <f>KW28+KX28+KY28+KZ28</f>
        <v>0</v>
      </c>
      <c r="LB28" s="170">
        <f>JV28+JW28+JY28+KA28+KC28+KE28+KG28+KI28+KM28+KP28+KS28+KV28</f>
        <v>0</v>
      </c>
      <c r="LC28" s="170"/>
      <c r="LD28" s="170"/>
      <c r="LE28" s="170"/>
      <c r="LF28" s="170"/>
      <c r="LG28" s="170"/>
      <c r="LH28" s="170"/>
      <c r="LI28" s="170"/>
      <c r="LJ28" s="170"/>
      <c r="LK28" s="170"/>
      <c r="LL28" s="170"/>
      <c r="LM28" s="170"/>
      <c r="LN28" s="170"/>
      <c r="LO28" s="170"/>
      <c r="LP28" s="174">
        <f t="shared" si="43"/>
        <v>0</v>
      </c>
      <c r="LQ28" s="174">
        <f t="shared" si="43"/>
        <v>0</v>
      </c>
      <c r="LR28" s="174">
        <f t="shared" si="43"/>
        <v>0</v>
      </c>
      <c r="LS28" s="174">
        <f t="shared" si="43"/>
        <v>0</v>
      </c>
      <c r="LT28" s="174">
        <f t="shared" si="43"/>
        <v>0</v>
      </c>
      <c r="LU28" s="174">
        <f t="shared" si="43"/>
        <v>0</v>
      </c>
      <c r="LV28" s="174">
        <f t="shared" si="43"/>
        <v>0</v>
      </c>
      <c r="LW28" s="174">
        <f t="shared" si="43"/>
        <v>0</v>
      </c>
      <c r="LX28" s="174">
        <f t="shared" si="43"/>
        <v>0</v>
      </c>
      <c r="LY28" s="174">
        <f t="shared" si="43"/>
        <v>0</v>
      </c>
      <c r="LZ28" s="174">
        <f t="shared" si="43"/>
        <v>0</v>
      </c>
      <c r="MA28" s="174">
        <f t="shared" si="43"/>
        <v>0</v>
      </c>
      <c r="MB28" s="174">
        <f t="shared" si="43"/>
        <v>0</v>
      </c>
      <c r="MC28" s="174">
        <f t="shared" si="43"/>
        <v>0</v>
      </c>
      <c r="MD28" s="174">
        <f t="shared" si="43"/>
        <v>0</v>
      </c>
      <c r="ME28" s="174">
        <f t="shared" si="43"/>
        <v>0</v>
      </c>
      <c r="MF28" s="174">
        <f t="shared" si="43"/>
        <v>0</v>
      </c>
      <c r="MG28" s="174">
        <f t="shared" si="43"/>
        <v>0</v>
      </c>
      <c r="MH28" s="174">
        <f t="shared" si="43"/>
        <v>0</v>
      </c>
      <c r="MI28" s="174">
        <f t="shared" si="43"/>
        <v>0</v>
      </c>
      <c r="MJ28" s="174">
        <f t="shared" si="43"/>
        <v>0</v>
      </c>
      <c r="MK28" s="174">
        <f t="shared" si="43"/>
        <v>0</v>
      </c>
      <c r="ML28" s="174">
        <f t="shared" si="43"/>
        <v>0</v>
      </c>
      <c r="MM28" s="174">
        <f t="shared" si="43"/>
        <v>0</v>
      </c>
      <c r="MN28" s="174">
        <f t="shared" si="43"/>
        <v>0</v>
      </c>
      <c r="MO28" s="174">
        <f t="shared" si="43"/>
        <v>0</v>
      </c>
      <c r="MP28" s="174">
        <f t="shared" si="43"/>
        <v>0</v>
      </c>
      <c r="MQ28" s="170">
        <f>SUM(LP28,LQ28,LT28)</f>
        <v>0</v>
      </c>
      <c r="MR28" s="170">
        <f>SUM(LU28,LW28,LY28)</f>
        <v>0</v>
      </c>
      <c r="MS28" s="170">
        <f>SUM(MA28,MC28,MF28)</f>
        <v>0</v>
      </c>
      <c r="MT28" s="170">
        <f>SUM(MI28,ML28,MO28)</f>
        <v>0</v>
      </c>
      <c r="MU28" s="170">
        <f>MQ28+MR28+MS28+MT28</f>
        <v>0</v>
      </c>
      <c r="MV28" s="170">
        <f>LP28+LQ28+LS28+LU28+LW28+LY28+MA28+MC28+MG28+MJ28+MM28+MP28</f>
        <v>0</v>
      </c>
      <c r="MW28" s="170"/>
      <c r="MX28" s="170"/>
      <c r="MY28" s="170"/>
      <c r="MZ28" s="170"/>
      <c r="NA28" s="170"/>
      <c r="NB28" s="170"/>
      <c r="NC28" s="170"/>
      <c r="ND28" s="170"/>
      <c r="NE28" s="170"/>
      <c r="NF28" s="170"/>
      <c r="NG28" s="170"/>
      <c r="NH28" s="170"/>
      <c r="NI28" s="170"/>
      <c r="NJ28" s="174">
        <f t="shared" si="44"/>
        <v>0</v>
      </c>
      <c r="NK28" s="174">
        <f t="shared" si="44"/>
        <v>0</v>
      </c>
      <c r="NL28" s="174">
        <f t="shared" si="44"/>
        <v>0</v>
      </c>
      <c r="NM28" s="174">
        <f t="shared" si="44"/>
        <v>0</v>
      </c>
      <c r="NN28" s="174">
        <f t="shared" si="44"/>
        <v>0</v>
      </c>
      <c r="NO28" s="174">
        <f t="shared" si="44"/>
        <v>0</v>
      </c>
      <c r="NP28" s="174">
        <f t="shared" si="44"/>
        <v>0</v>
      </c>
      <c r="NQ28" s="174">
        <f t="shared" si="44"/>
        <v>0</v>
      </c>
      <c r="NR28" s="174">
        <f t="shared" si="44"/>
        <v>0</v>
      </c>
      <c r="NS28" s="174">
        <f t="shared" si="44"/>
        <v>0</v>
      </c>
      <c r="NT28" s="174">
        <f t="shared" si="44"/>
        <v>0</v>
      </c>
      <c r="NU28" s="174">
        <f t="shared" si="44"/>
        <v>0</v>
      </c>
      <c r="NV28" s="174">
        <f t="shared" si="44"/>
        <v>0</v>
      </c>
      <c r="NW28" s="174">
        <f t="shared" si="44"/>
        <v>0</v>
      </c>
      <c r="NX28" s="174">
        <f t="shared" si="44"/>
        <v>0</v>
      </c>
      <c r="NY28" s="174">
        <f t="shared" si="44"/>
        <v>0</v>
      </c>
      <c r="NZ28" s="174">
        <f t="shared" si="44"/>
        <v>0</v>
      </c>
      <c r="OA28" s="174">
        <f t="shared" si="44"/>
        <v>0</v>
      </c>
      <c r="OB28" s="174">
        <f t="shared" si="44"/>
        <v>0</v>
      </c>
      <c r="OC28" s="174">
        <f t="shared" si="44"/>
        <v>0</v>
      </c>
      <c r="OD28" s="174">
        <f t="shared" si="44"/>
        <v>0</v>
      </c>
      <c r="OE28" s="174">
        <f t="shared" si="44"/>
        <v>0</v>
      </c>
      <c r="OF28" s="174">
        <f t="shared" si="44"/>
        <v>0</v>
      </c>
      <c r="OG28" s="170">
        <f>SUM(NJ28,NK28,NN28)</f>
        <v>0</v>
      </c>
      <c r="OH28" s="170">
        <f>SUM(NO28,NQ28,NS28)</f>
        <v>0</v>
      </c>
      <c r="OI28" s="170">
        <f>SUM(NU28,NW28,NZ28)</f>
        <v>0</v>
      </c>
      <c r="OJ28" s="170">
        <f>SUM(OB28,OD28,OF28)</f>
        <v>0</v>
      </c>
      <c r="OK28" s="170">
        <f>OG28+OH28+OI28+OJ28</f>
        <v>0</v>
      </c>
      <c r="OL28" s="170"/>
      <c r="OM28" s="170"/>
      <c r="ON28" s="170"/>
      <c r="OO28" s="170"/>
      <c r="OP28" s="170"/>
      <c r="OQ28" s="170"/>
      <c r="OR28" s="170"/>
      <c r="OS28" s="170"/>
      <c r="OT28" s="170"/>
      <c r="OU28" s="170"/>
      <c r="OV28" s="170"/>
      <c r="OW28" s="170"/>
      <c r="OX28" s="170"/>
      <c r="OY28" s="157">
        <f t="shared" si="45"/>
        <v>-207.28771515</v>
      </c>
      <c r="OZ28" s="157">
        <f t="shared" si="45"/>
        <v>-79.261043150000035</v>
      </c>
      <c r="PA28" s="157">
        <f t="shared" si="45"/>
        <v>-273.29328814999997</v>
      </c>
      <c r="PB28" s="157">
        <f t="shared" si="45"/>
        <v>-728.78506215000016</v>
      </c>
      <c r="PC28" s="157">
        <f t="shared" si="45"/>
        <v>-401.19257215000016</v>
      </c>
      <c r="PD28" s="157">
        <f t="shared" si="45"/>
        <v>-868.32496415000014</v>
      </c>
      <c r="PE28" s="157">
        <f t="shared" si="45"/>
        <v>-121.91018235080105</v>
      </c>
      <c r="PF28" s="157">
        <f t="shared" si="45"/>
        <v>-963.24138955000024</v>
      </c>
      <c r="PG28" s="157">
        <f t="shared" si="45"/>
        <v>-231.1994924315627</v>
      </c>
      <c r="PH28" s="157">
        <f t="shared" si="45"/>
        <v>-357.23902015000033</v>
      </c>
      <c r="PI28" s="157">
        <f t="shared" si="45"/>
        <v>-177.7601963622763</v>
      </c>
      <c r="PJ28" s="157">
        <f t="shared" si="45"/>
        <v>-1046.4945315500001</v>
      </c>
      <c r="PK28" s="157" t="e">
        <f t="shared" si="46"/>
        <v>#REF!</v>
      </c>
      <c r="PL28" s="157">
        <f t="shared" si="46"/>
        <v>-857.5688045500001</v>
      </c>
      <c r="PM28" s="157" t="e">
        <f t="shared" si="46"/>
        <v>#REF!</v>
      </c>
      <c r="PN28" s="157">
        <f t="shared" si="46"/>
        <v>-3160.5536515499998</v>
      </c>
      <c r="PO28" s="157" t="e">
        <f t="shared" si="46"/>
        <v>#REF!</v>
      </c>
      <c r="PP28" s="157">
        <f t="shared" si="46"/>
        <v>412.2903484499999</v>
      </c>
      <c r="PQ28" s="157">
        <f t="shared" si="46"/>
        <v>-3324.5536515499998</v>
      </c>
      <c r="PR28" s="157" t="e">
        <f t="shared" si="46"/>
        <v>#REF!</v>
      </c>
      <c r="PS28" s="157">
        <f t="shared" si="46"/>
        <v>484.2903484499999</v>
      </c>
      <c r="PT28" s="157">
        <f t="shared" si="46"/>
        <v>-3285.5536515499998</v>
      </c>
      <c r="PU28" s="157" t="e">
        <f t="shared" si="46"/>
        <v>#REF!</v>
      </c>
      <c r="PV28" s="157">
        <f t="shared" si="46"/>
        <v>539.2903484499999</v>
      </c>
      <c r="PW28" s="157">
        <f t="shared" si="46"/>
        <v>-3224.5536515499998</v>
      </c>
      <c r="PX28" s="157" t="e">
        <f t="shared" si="46"/>
        <v>#REF!</v>
      </c>
      <c r="PY28" s="174">
        <f>PY8-PY18</f>
        <v>600.29034845000024</v>
      </c>
      <c r="PZ28" s="170">
        <f>SUM(OY28,OZ28,PB28)</f>
        <v>-1015.3338204500002</v>
      </c>
      <c r="QA28" s="170">
        <f>SUM(PD28,PF28,PH28)</f>
        <v>-2188.8053738500007</v>
      </c>
      <c r="QB28" s="170" t="e">
        <f>SUM(PJ28,PL28,PO28)</f>
        <v>#REF!</v>
      </c>
      <c r="QC28" s="170" t="e">
        <f>SUM(PR28,PU28,PX28)</f>
        <v>#REF!</v>
      </c>
      <c r="QD28" s="170" t="e">
        <f>PZ28+QA28+QB28+QC28</f>
        <v>#REF!</v>
      </c>
      <c r="QE28" s="170">
        <f>OY28+OZ28+PB28+PD28+PF28+PH28+PJ28+PL28+PP28+PS28+PV28+PY28</f>
        <v>-3072.0411366000003</v>
      </c>
      <c r="QF28" s="685"/>
      <c r="QG28" s="685"/>
      <c r="QH28" s="170"/>
      <c r="QI28" s="170"/>
      <c r="QJ28" s="170"/>
      <c r="QK28" s="170"/>
      <c r="QL28" s="170"/>
      <c r="QM28" s="170"/>
      <c r="QN28" s="170"/>
      <c r="QO28" s="170"/>
      <c r="QP28" s="170"/>
      <c r="QQ28" s="170"/>
      <c r="QR28" s="170"/>
      <c r="QS28" s="170"/>
      <c r="QT28" s="170"/>
      <c r="QU28" s="167">
        <f>SUM(AG28,CA28,DU28,FO28,HI28,JC28,KW28)</f>
        <v>-687.74133045000019</v>
      </c>
    </row>
    <row r="29" spans="1:463" hidden="1" outlineLevel="1">
      <c r="A29" s="143" t="s">
        <v>310</v>
      </c>
      <c r="B29" s="143"/>
      <c r="C29" s="143"/>
      <c r="D29" s="143"/>
      <c r="E29" s="143"/>
      <c r="F29" s="174">
        <f t="shared" ref="F29:Q29" si="49">F9-F19</f>
        <v>-1173.0002553500003</v>
      </c>
      <c r="G29" s="174">
        <f t="shared" si="49"/>
        <v>-1733.8985273500002</v>
      </c>
      <c r="H29" s="174">
        <f t="shared" si="49"/>
        <v>-1528.0226573500004</v>
      </c>
      <c r="I29" s="174">
        <f t="shared" si="49"/>
        <v>-1720.0277803500003</v>
      </c>
      <c r="J29" s="174">
        <f t="shared" si="49"/>
        <v>-1515.9826573500004</v>
      </c>
      <c r="K29" s="174">
        <f t="shared" si="49"/>
        <v>-1380.2796553500002</v>
      </c>
      <c r="L29" s="174">
        <f t="shared" si="49"/>
        <v>-534.40594238728727</v>
      </c>
      <c r="M29" s="174">
        <f t="shared" si="49"/>
        <v>-1914.3218143500003</v>
      </c>
      <c r="N29" s="174">
        <f t="shared" si="49"/>
        <v>-803.19873197288825</v>
      </c>
      <c r="O29" s="174">
        <f t="shared" si="49"/>
        <v>-1527.1845523500006</v>
      </c>
      <c r="P29" s="174">
        <f t="shared" si="49"/>
        <v>-1258.4243710450446</v>
      </c>
      <c r="Q29" s="174">
        <f t="shared" si="49"/>
        <v>-2707.2658303500007</v>
      </c>
      <c r="R29" s="174">
        <f t="shared" ref="R29:AE29" si="50">R9-R19</f>
        <v>0</v>
      </c>
      <c r="S29" s="174">
        <f t="shared" si="50"/>
        <v>-1202.3457623500008</v>
      </c>
      <c r="T29" s="174">
        <f t="shared" si="50"/>
        <v>0</v>
      </c>
      <c r="U29" s="174">
        <f t="shared" si="50"/>
        <v>-5159.1069783500006</v>
      </c>
      <c r="V29" s="174">
        <f t="shared" si="50"/>
        <v>0</v>
      </c>
      <c r="W29" s="174">
        <f t="shared" si="50"/>
        <v>-2003.9069783500008</v>
      </c>
      <c r="X29" s="174">
        <f t="shared" si="50"/>
        <v>-5159.1069783500006</v>
      </c>
      <c r="Y29" s="174">
        <f t="shared" si="50"/>
        <v>0</v>
      </c>
      <c r="Z29" s="174">
        <f t="shared" si="50"/>
        <v>-1477.9069783500008</v>
      </c>
      <c r="AA29" s="174">
        <f t="shared" si="50"/>
        <v>-5164.1069783500006</v>
      </c>
      <c r="AB29" s="174">
        <f t="shared" si="50"/>
        <v>0</v>
      </c>
      <c r="AC29" s="174">
        <f t="shared" si="50"/>
        <v>-1327.9069783500008</v>
      </c>
      <c r="AD29" s="174">
        <f t="shared" si="50"/>
        <v>-5159.1069783500006</v>
      </c>
      <c r="AE29" s="174">
        <f t="shared" si="50"/>
        <v>0</v>
      </c>
      <c r="AF29" s="174">
        <f>AF9-AF19</f>
        <v>-972.90697835000083</v>
      </c>
      <c r="AG29" s="170">
        <f>SUM(F29,G29,J29)</f>
        <v>-4422.8814400500014</v>
      </c>
      <c r="AH29" s="170">
        <f>SUM(K29,M29,O29)</f>
        <v>-4821.7860220500006</v>
      </c>
      <c r="AI29" s="170">
        <f>SUM(Q29,S29,V29)</f>
        <v>-3909.6115927000014</v>
      </c>
      <c r="AJ29" s="170">
        <f>SUM(Y29,AB29,AE29)</f>
        <v>0</v>
      </c>
      <c r="AK29" s="170">
        <f>AG29+AH29+AI29+AJ29</f>
        <v>-13154.279054800003</v>
      </c>
      <c r="AL29" s="170">
        <f>F29+G29+I29+K29+M29+O29+Q29+S29+W29+Z29+AC29+AF29</f>
        <v>-19140.952091200012</v>
      </c>
      <c r="AM29" s="170"/>
      <c r="AN29" s="170"/>
      <c r="AO29" s="170"/>
      <c r="AP29" s="170"/>
      <c r="AQ29" s="170"/>
      <c r="AR29" s="170"/>
      <c r="AS29" s="170"/>
      <c r="AT29" s="170"/>
      <c r="AU29" s="170"/>
      <c r="AV29" s="170"/>
      <c r="AW29" s="170"/>
      <c r="AX29" s="170"/>
      <c r="AY29" s="170"/>
      <c r="AZ29" s="174">
        <f t="shared" si="37"/>
        <v>-405.35897499999999</v>
      </c>
      <c r="BA29" s="174">
        <f t="shared" si="37"/>
        <v>-185.94549500000005</v>
      </c>
      <c r="BB29" s="174">
        <f t="shared" si="37"/>
        <v>-225</v>
      </c>
      <c r="BC29" s="174">
        <f t="shared" si="37"/>
        <v>-213.86918400000002</v>
      </c>
      <c r="BD29" s="174">
        <f t="shared" si="37"/>
        <v>-74.600000000000023</v>
      </c>
      <c r="BE29" s="174">
        <f t="shared" si="37"/>
        <v>-497.76637499999998</v>
      </c>
      <c r="BF29" s="174">
        <f t="shared" si="37"/>
        <v>-273.12089430894309</v>
      </c>
      <c r="BG29" s="174">
        <f t="shared" si="37"/>
        <v>160.73221899999999</v>
      </c>
      <c r="BH29" s="174">
        <f t="shared" si="37"/>
        <v>-336.08944961896691</v>
      </c>
      <c r="BI29" s="174">
        <f t="shared" si="37"/>
        <v>-147.300836</v>
      </c>
      <c r="BJ29" s="174">
        <f t="shared" si="37"/>
        <v>-67.991175367693018</v>
      </c>
      <c r="BK29" s="174">
        <f t="shared" si="37"/>
        <v>-162.42299200000002</v>
      </c>
      <c r="BL29" s="174" t="e">
        <f>#REF!-BL9</f>
        <v>#REF!</v>
      </c>
      <c r="BM29" s="174">
        <f t="shared" si="37"/>
        <v>-153.88915999999995</v>
      </c>
      <c r="BN29" s="174" t="e">
        <f>#REF!-BN9</f>
        <v>#REF!</v>
      </c>
      <c r="BO29" s="174">
        <f t="shared" si="37"/>
        <v>-780</v>
      </c>
      <c r="BP29" s="174" t="e">
        <f>#REF!-BP9</f>
        <v>#REF!</v>
      </c>
      <c r="BQ29" s="174">
        <f t="shared" si="37"/>
        <v>-65</v>
      </c>
      <c r="BR29" s="174">
        <f t="shared" si="37"/>
        <v>-780</v>
      </c>
      <c r="BS29" s="174" t="e">
        <f>#REF!-BS9</f>
        <v>#REF!</v>
      </c>
      <c r="BT29" s="174">
        <f t="shared" si="37"/>
        <v>-15</v>
      </c>
      <c r="BU29" s="174">
        <f t="shared" si="37"/>
        <v>-780</v>
      </c>
      <c r="BV29" s="174" t="e">
        <f>#REF!-BV9</f>
        <v>#REF!</v>
      </c>
      <c r="BW29" s="174">
        <f t="shared" si="37"/>
        <v>1346</v>
      </c>
      <c r="BX29" s="174">
        <f t="shared" si="37"/>
        <v>-780</v>
      </c>
      <c r="BY29" s="174" t="e">
        <f>#REF!-BY9</f>
        <v>#REF!</v>
      </c>
      <c r="BZ29" s="174">
        <f t="shared" si="37"/>
        <v>2161.5</v>
      </c>
      <c r="CA29" s="170">
        <f>SUM(AZ29,BA29,BD29)</f>
        <v>-665.90447000000006</v>
      </c>
      <c r="CB29" s="170">
        <f>SUM(BE29,BG29,BI29)</f>
        <v>-484.334992</v>
      </c>
      <c r="CC29" s="170" t="e">
        <f>SUM(BK29,BM29,BP29)</f>
        <v>#REF!</v>
      </c>
      <c r="CD29" s="170" t="e">
        <f>SUM(BS29,BV29,BY29)</f>
        <v>#REF!</v>
      </c>
      <c r="CE29" s="170" t="e">
        <f>CA29+CB29+CC29+CD29</f>
        <v>#REF!</v>
      </c>
      <c r="CF29" s="170">
        <f>AZ29+BA29+BC29+BE29+BG29+BI29+BK29+BM29+BQ29+BT29+BW29+BZ29</f>
        <v>1821.6792019999998</v>
      </c>
      <c r="CG29" s="170"/>
      <c r="CH29" s="170"/>
      <c r="CI29" s="170"/>
      <c r="CJ29" s="170"/>
      <c r="CK29" s="170"/>
      <c r="CL29" s="170"/>
      <c r="CM29" s="170"/>
      <c r="CN29" s="170"/>
      <c r="CO29" s="170"/>
      <c r="CP29" s="170"/>
      <c r="CQ29" s="170"/>
      <c r="CR29" s="170"/>
      <c r="CS29" s="170"/>
      <c r="CT29" s="174">
        <f t="shared" si="38"/>
        <v>0</v>
      </c>
      <c r="CU29" s="174">
        <f t="shared" si="38"/>
        <v>0</v>
      </c>
      <c r="CV29" s="174">
        <f t="shared" si="38"/>
        <v>0</v>
      </c>
      <c r="CW29" s="174">
        <f t="shared" si="38"/>
        <v>0</v>
      </c>
      <c r="CX29" s="174">
        <f t="shared" si="38"/>
        <v>0</v>
      </c>
      <c r="CY29" s="174">
        <f t="shared" si="38"/>
        <v>0</v>
      </c>
      <c r="CZ29" s="174">
        <f t="shared" si="38"/>
        <v>0</v>
      </c>
      <c r="DA29" s="174">
        <f t="shared" si="38"/>
        <v>0</v>
      </c>
      <c r="DB29" s="174">
        <f t="shared" si="38"/>
        <v>0</v>
      </c>
      <c r="DC29" s="174">
        <f t="shared" si="38"/>
        <v>0</v>
      </c>
      <c r="DD29" s="174">
        <f t="shared" si="38"/>
        <v>0</v>
      </c>
      <c r="DE29" s="174">
        <f t="shared" si="38"/>
        <v>0</v>
      </c>
      <c r="DF29" s="174">
        <f t="shared" si="38"/>
        <v>0</v>
      </c>
      <c r="DG29" s="174">
        <f t="shared" si="38"/>
        <v>0</v>
      </c>
      <c r="DH29" s="174">
        <f t="shared" si="38"/>
        <v>0</v>
      </c>
      <c r="DI29" s="174">
        <f t="shared" si="38"/>
        <v>0</v>
      </c>
      <c r="DJ29" s="174">
        <f t="shared" si="38"/>
        <v>0</v>
      </c>
      <c r="DK29" s="174">
        <f t="shared" si="38"/>
        <v>0</v>
      </c>
      <c r="DL29" s="174">
        <f t="shared" si="38"/>
        <v>0</v>
      </c>
      <c r="DM29" s="174">
        <f t="shared" si="38"/>
        <v>0</v>
      </c>
      <c r="DN29" s="174">
        <f t="shared" si="38"/>
        <v>0</v>
      </c>
      <c r="DO29" s="174">
        <f t="shared" si="38"/>
        <v>0</v>
      </c>
      <c r="DP29" s="174">
        <f t="shared" si="38"/>
        <v>0</v>
      </c>
      <c r="DQ29" s="174">
        <f t="shared" si="38"/>
        <v>0</v>
      </c>
      <c r="DR29" s="174">
        <f t="shared" si="38"/>
        <v>0</v>
      </c>
      <c r="DS29" s="174">
        <f t="shared" si="38"/>
        <v>0</v>
      </c>
      <c r="DT29" s="174">
        <f t="shared" si="38"/>
        <v>0</v>
      </c>
      <c r="DU29" s="170">
        <f>SUM(CT29,CU29,CW29)</f>
        <v>0</v>
      </c>
      <c r="DV29" s="170">
        <f>SUM(CY29,DA29,DC29)</f>
        <v>0</v>
      </c>
      <c r="DW29" s="170">
        <f>SUM(DE29,DG29,DJ29)</f>
        <v>0</v>
      </c>
      <c r="DX29" s="170">
        <f>SUM(DM29,DP29,DS29)</f>
        <v>0</v>
      </c>
      <c r="DY29" s="170">
        <f>DU29+DV29+DW29+DX29</f>
        <v>0</v>
      </c>
      <c r="DZ29" s="170">
        <f>CT29+CU29+CW29+CY29+DA29+DC29+DE29+DG29+DK29+DN29+DQ29+DT29</f>
        <v>0</v>
      </c>
      <c r="EA29" s="170"/>
      <c r="EB29" s="170"/>
      <c r="EC29" s="170"/>
      <c r="ED29" s="170"/>
      <c r="EE29" s="170"/>
      <c r="EF29" s="170"/>
      <c r="EG29" s="170"/>
      <c r="EH29" s="170"/>
      <c r="EI29" s="170"/>
      <c r="EJ29" s="170"/>
      <c r="EK29" s="170"/>
      <c r="EL29" s="170"/>
      <c r="EM29" s="170"/>
      <c r="EN29" s="174">
        <f t="shared" si="39"/>
        <v>-917.18620859999987</v>
      </c>
      <c r="EO29" s="174">
        <f t="shared" si="39"/>
        <v>-763.02157159999979</v>
      </c>
      <c r="EP29" s="174">
        <f t="shared" si="39"/>
        <v>-915.1235115999998</v>
      </c>
      <c r="EQ29" s="174">
        <f t="shared" si="39"/>
        <v>-209.89302559999987</v>
      </c>
      <c r="ER29" s="174">
        <f t="shared" si="39"/>
        <v>-125.42351159999998</v>
      </c>
      <c r="ES29" s="174">
        <f t="shared" si="39"/>
        <v>-501.44574599999987</v>
      </c>
      <c r="ET29" s="174">
        <f t="shared" si="39"/>
        <v>79.273401718246532</v>
      </c>
      <c r="EU29" s="174">
        <f t="shared" si="39"/>
        <v>-181.37685790000023</v>
      </c>
      <c r="EV29" s="174">
        <f t="shared" si="39"/>
        <v>28.935889882983702</v>
      </c>
      <c r="EW29" s="174">
        <f t="shared" si="39"/>
        <v>-150.24912659999973</v>
      </c>
      <c r="EX29" s="174">
        <f t="shared" si="39"/>
        <v>1938.8734800985485</v>
      </c>
      <c r="EY29" s="174">
        <f t="shared" si="39"/>
        <v>-341.96194559999958</v>
      </c>
      <c r="EZ29" s="174">
        <f t="shared" si="39"/>
        <v>1362.3668872728604</v>
      </c>
      <c r="FA29" s="174">
        <f t="shared" si="39"/>
        <v>244.32371540000031</v>
      </c>
      <c r="FB29" s="174">
        <f t="shared" si="39"/>
        <v>1358.657018988682</v>
      </c>
      <c r="FC29" s="174">
        <f t="shared" si="39"/>
        <v>-2553.6235115999998</v>
      </c>
      <c r="FD29" s="174">
        <f t="shared" si="39"/>
        <v>1305.8329578285361</v>
      </c>
      <c r="FE29" s="174">
        <f t="shared" si="39"/>
        <v>1477.8764884000002</v>
      </c>
      <c r="FF29" s="174">
        <f t="shared" si="39"/>
        <v>-2573.6235115999998</v>
      </c>
      <c r="FG29" s="174">
        <f t="shared" si="39"/>
        <v>1363.2161556491951</v>
      </c>
      <c r="FH29" s="174">
        <f t="shared" si="39"/>
        <v>1617.8764884000002</v>
      </c>
      <c r="FI29" s="174">
        <f t="shared" si="39"/>
        <v>-2618.6235115999998</v>
      </c>
      <c r="FJ29" s="174">
        <f t="shared" si="39"/>
        <v>1480.7414076002406</v>
      </c>
      <c r="FK29" s="174">
        <f t="shared" si="39"/>
        <v>1777.8764884000002</v>
      </c>
      <c r="FL29" s="174">
        <f t="shared" si="39"/>
        <v>-2560.6235115999998</v>
      </c>
      <c r="FM29" s="174">
        <f t="shared" si="39"/>
        <v>1550.2300143664352</v>
      </c>
      <c r="FN29" s="174">
        <f t="shared" si="39"/>
        <v>1840.8764884000002</v>
      </c>
      <c r="FO29" s="170">
        <f>SUM(EN29,EO29,ER29)</f>
        <v>-1805.6312917999996</v>
      </c>
      <c r="FP29" s="170">
        <f>SUM(ES29,EU29,EW29)</f>
        <v>-833.07173049999983</v>
      </c>
      <c r="FQ29" s="170">
        <f>SUM(EY29,FA29,FD29)</f>
        <v>1208.1947276285368</v>
      </c>
      <c r="FR29" s="170">
        <f>SUM(FG29,FJ29,FM29)</f>
        <v>4394.1875776158704</v>
      </c>
      <c r="FS29" s="170">
        <f>FO29+FP29+FQ29+FR29</f>
        <v>2963.679282944408</v>
      </c>
      <c r="FT29" s="170">
        <f>EN29+EO29+EQ29+ES29+EU29+EW29+EY29+FA29+FE29+FH29+FK29+FN29</f>
        <v>3893.6951871000024</v>
      </c>
      <c r="FU29" s="170"/>
      <c r="FV29" s="170"/>
      <c r="FW29" s="170"/>
      <c r="FX29" s="170"/>
      <c r="FY29" s="170"/>
      <c r="FZ29" s="170"/>
      <c r="GA29" s="170"/>
      <c r="GB29" s="170"/>
      <c r="GC29" s="170"/>
      <c r="GD29" s="170"/>
      <c r="GE29" s="170"/>
      <c r="GF29" s="170"/>
      <c r="GG29" s="170"/>
      <c r="GH29" s="174">
        <f t="shared" si="40"/>
        <v>-178.58100000000002</v>
      </c>
      <c r="GI29" s="174">
        <f t="shared" si="40"/>
        <v>-265.91700000000003</v>
      </c>
      <c r="GJ29" s="174">
        <f t="shared" si="40"/>
        <v>-360</v>
      </c>
      <c r="GK29" s="174">
        <f t="shared" si="40"/>
        <v>-121.9335</v>
      </c>
      <c r="GL29" s="174">
        <f t="shared" si="40"/>
        <v>-110</v>
      </c>
      <c r="GM29" s="174">
        <f t="shared" si="40"/>
        <v>70.876562999999976</v>
      </c>
      <c r="GN29" s="174">
        <f t="shared" si="40"/>
        <v>-69.699738903394262</v>
      </c>
      <c r="GO29" s="174">
        <f t="shared" si="40"/>
        <v>-196.46442500000001</v>
      </c>
      <c r="GP29" s="174">
        <f t="shared" si="40"/>
        <v>8.5877626699628991</v>
      </c>
      <c r="GQ29" s="174">
        <f t="shared" si="40"/>
        <v>-81.586774999999989</v>
      </c>
      <c r="GR29" s="174">
        <f t="shared" si="40"/>
        <v>199.73684210526318</v>
      </c>
      <c r="GS29" s="174">
        <f t="shared" si="40"/>
        <v>-252.52</v>
      </c>
      <c r="GT29" s="174">
        <f t="shared" si="40"/>
        <v>197.49339120280274</v>
      </c>
      <c r="GU29" s="174">
        <f t="shared" si="40"/>
        <v>-17.926272999999981</v>
      </c>
      <c r="GV29" s="174">
        <f t="shared" si="40"/>
        <v>-161.67055411314567</v>
      </c>
      <c r="GW29" s="174">
        <f t="shared" si="40"/>
        <v>-235</v>
      </c>
      <c r="GX29" s="174">
        <f t="shared" si="40"/>
        <v>48.039128504672874</v>
      </c>
      <c r="GY29" s="174">
        <f t="shared" si="40"/>
        <v>-40</v>
      </c>
      <c r="GZ29" s="174">
        <f t="shared" si="40"/>
        <v>-300</v>
      </c>
      <c r="HA29" s="174">
        <f t="shared" si="40"/>
        <v>272.29188018867922</v>
      </c>
      <c r="HB29" s="174">
        <f t="shared" si="40"/>
        <v>70</v>
      </c>
      <c r="HC29" s="174">
        <f t="shared" si="40"/>
        <v>-535</v>
      </c>
      <c r="HD29" s="174">
        <f t="shared" si="40"/>
        <v>299.55604229607241</v>
      </c>
      <c r="HE29" s="174">
        <f t="shared" si="40"/>
        <v>653</v>
      </c>
      <c r="HF29" s="174">
        <f t="shared" si="40"/>
        <v>-235</v>
      </c>
      <c r="HG29" s="174">
        <f t="shared" si="40"/>
        <v>-63.018497109826626</v>
      </c>
      <c r="HH29" s="174">
        <f t="shared" si="40"/>
        <v>185</v>
      </c>
      <c r="HI29" s="170">
        <f>SUM(GH29,GI29,GL29)</f>
        <v>-554.49800000000005</v>
      </c>
      <c r="HJ29" s="170">
        <f>SUM(GM29,GO29,GQ29)</f>
        <v>-207.17463700000002</v>
      </c>
      <c r="HK29" s="170">
        <f>SUM(GS29,GU29,GX29)</f>
        <v>-222.40714449532715</v>
      </c>
      <c r="HL29" s="170">
        <f>SUM(HA29,HD29,HG29)</f>
        <v>508.82942537492499</v>
      </c>
      <c r="HM29" s="170">
        <f>HI29+HJ29+HK29+HL29</f>
        <v>-475.25035612040233</v>
      </c>
      <c r="HN29" s="170">
        <f>GH29+GI29+GK29+GM29+GO29+GQ29+GS29+GU29+GY29+HB29+HE29+HH29</f>
        <v>-176.05241000000001</v>
      </c>
      <c r="HO29" s="170"/>
      <c r="HP29" s="170"/>
      <c r="HQ29" s="170"/>
      <c r="HR29" s="170"/>
      <c r="HS29" s="170"/>
      <c r="HT29" s="170"/>
      <c r="HU29" s="170"/>
      <c r="HV29" s="170"/>
      <c r="HW29" s="170"/>
      <c r="HX29" s="170"/>
      <c r="HY29" s="170"/>
      <c r="HZ29" s="170"/>
      <c r="IA29" s="170"/>
      <c r="IB29" s="174">
        <f t="shared" si="41"/>
        <v>-704.09071999999992</v>
      </c>
      <c r="IC29" s="174">
        <f t="shared" si="41"/>
        <v>-741.03549999999996</v>
      </c>
      <c r="ID29" s="174">
        <f t="shared" si="41"/>
        <v>-604</v>
      </c>
      <c r="IE29" s="174">
        <f t="shared" si="41"/>
        <v>-474.8050659999999</v>
      </c>
      <c r="IF29" s="174">
        <f t="shared" si="41"/>
        <v>-687</v>
      </c>
      <c r="IG29" s="174">
        <f t="shared" si="41"/>
        <v>-1405.9230809999999</v>
      </c>
      <c r="IH29" s="174">
        <f t="shared" si="41"/>
        <v>344.19753258036508</v>
      </c>
      <c r="II29" s="174">
        <f t="shared" si="41"/>
        <v>-289.21238900000003</v>
      </c>
      <c r="IJ29" s="174">
        <f t="shared" si="41"/>
        <v>877.71534962601754</v>
      </c>
      <c r="IK29" s="174">
        <f t="shared" si="41"/>
        <v>439.92437599999994</v>
      </c>
      <c r="IL29" s="174">
        <f t="shared" si="41"/>
        <v>393.57597328194606</v>
      </c>
      <c r="IM29" s="174">
        <f t="shared" si="41"/>
        <v>692.95267599999988</v>
      </c>
      <c r="IN29" s="174">
        <f t="shared" si="41"/>
        <v>394.3899388585678</v>
      </c>
      <c r="IO29" s="174">
        <f t="shared" si="41"/>
        <v>3904.1420520000001</v>
      </c>
      <c r="IP29" s="174">
        <f t="shared" si="41"/>
        <v>136.33527543816945</v>
      </c>
      <c r="IQ29" s="174">
        <f t="shared" si="41"/>
        <v>-2202.5</v>
      </c>
      <c r="IR29" s="174">
        <f t="shared" si="41"/>
        <v>-185.96790297146686</v>
      </c>
      <c r="IS29" s="174">
        <f t="shared" si="41"/>
        <v>67.94399999999996</v>
      </c>
      <c r="IT29" s="174">
        <f t="shared" si="41"/>
        <v>-2187.5</v>
      </c>
      <c r="IU29" s="174">
        <f t="shared" si="41"/>
        <v>139.9109906204967</v>
      </c>
      <c r="IV29" s="174">
        <f t="shared" si="41"/>
        <v>276.55400000000009</v>
      </c>
      <c r="IW29" s="174">
        <f t="shared" si="41"/>
        <v>-2207.5</v>
      </c>
      <c r="IX29" s="174">
        <f t="shared" si="41"/>
        <v>124.17453092116875</v>
      </c>
      <c r="IY29" s="174">
        <f t="shared" si="41"/>
        <v>-91.050000000000182</v>
      </c>
      <c r="IZ29" s="174">
        <f t="shared" si="41"/>
        <v>-2209.343617</v>
      </c>
      <c r="JA29" s="174">
        <f t="shared" si="41"/>
        <v>-169.58719204635145</v>
      </c>
      <c r="JB29" s="174">
        <f t="shared" si="41"/>
        <v>-65.893617000000177</v>
      </c>
      <c r="JC29" s="170">
        <f>SUM(IB29,IC29,IF29)</f>
        <v>-2132.1262200000001</v>
      </c>
      <c r="JD29" s="170">
        <f>SUM(IG29,II29,IK29)</f>
        <v>-1255.211094</v>
      </c>
      <c r="JE29" s="170">
        <f>SUM(IM29,IO29,IR29)</f>
        <v>4411.1268250285329</v>
      </c>
      <c r="JF29" s="170">
        <f>SUM(IU29,IX29,JA29)</f>
        <v>94.49832949531401</v>
      </c>
      <c r="JG29" s="170">
        <f>JC29+JD29+JE29+JF29</f>
        <v>1118.2878405238466</v>
      </c>
      <c r="JH29" s="170">
        <f>IB29+IC29+IE29+IG29+II29+IK29+IM29+IO29+IS29+IV29+IY29+JB29</f>
        <v>1609.5067309999995</v>
      </c>
      <c r="JI29" s="170"/>
      <c r="JJ29" s="170"/>
      <c r="JK29" s="170"/>
      <c r="JL29" s="170"/>
      <c r="JM29" s="170"/>
      <c r="JN29" s="170"/>
      <c r="JO29" s="170"/>
      <c r="JP29" s="170"/>
      <c r="JQ29" s="170"/>
      <c r="JR29" s="170"/>
      <c r="JS29" s="170"/>
      <c r="JT29" s="170"/>
      <c r="JU29" s="170"/>
      <c r="JV29" s="174">
        <f t="shared" si="42"/>
        <v>0</v>
      </c>
      <c r="JW29" s="174">
        <f t="shared" si="42"/>
        <v>0</v>
      </c>
      <c r="JX29" s="174">
        <f t="shared" si="42"/>
        <v>0</v>
      </c>
      <c r="JY29" s="174">
        <f t="shared" si="42"/>
        <v>0</v>
      </c>
      <c r="JZ29" s="174">
        <f t="shared" si="42"/>
        <v>0</v>
      </c>
      <c r="KA29" s="174">
        <f t="shared" si="42"/>
        <v>0</v>
      </c>
      <c r="KB29" s="174">
        <f t="shared" si="42"/>
        <v>0</v>
      </c>
      <c r="KC29" s="174">
        <f t="shared" si="42"/>
        <v>0</v>
      </c>
      <c r="KD29" s="174">
        <f t="shared" si="42"/>
        <v>0</v>
      </c>
      <c r="KE29" s="174">
        <f t="shared" si="42"/>
        <v>0</v>
      </c>
      <c r="KF29" s="174">
        <f t="shared" si="42"/>
        <v>0</v>
      </c>
      <c r="KG29" s="174">
        <f t="shared" si="42"/>
        <v>0</v>
      </c>
      <c r="KH29" s="174">
        <f t="shared" si="42"/>
        <v>0</v>
      </c>
      <c r="KI29" s="174">
        <f t="shared" si="42"/>
        <v>0</v>
      </c>
      <c r="KJ29" s="174">
        <f t="shared" si="42"/>
        <v>0</v>
      </c>
      <c r="KK29" s="174">
        <f t="shared" si="42"/>
        <v>0</v>
      </c>
      <c r="KL29" s="174">
        <f t="shared" si="42"/>
        <v>0</v>
      </c>
      <c r="KM29" s="174">
        <f t="shared" si="42"/>
        <v>0</v>
      </c>
      <c r="KN29" s="174">
        <f t="shared" si="42"/>
        <v>0</v>
      </c>
      <c r="KO29" s="174">
        <f t="shared" si="42"/>
        <v>0</v>
      </c>
      <c r="KP29" s="174">
        <f t="shared" si="42"/>
        <v>0</v>
      </c>
      <c r="KQ29" s="174">
        <f t="shared" si="42"/>
        <v>0</v>
      </c>
      <c r="KR29" s="174">
        <f t="shared" si="42"/>
        <v>0</v>
      </c>
      <c r="KS29" s="174">
        <f t="shared" si="42"/>
        <v>0</v>
      </c>
      <c r="KT29" s="174">
        <f t="shared" si="42"/>
        <v>0</v>
      </c>
      <c r="KU29" s="174">
        <f t="shared" si="42"/>
        <v>0</v>
      </c>
      <c r="KV29" s="174">
        <f t="shared" si="42"/>
        <v>0</v>
      </c>
      <c r="KW29" s="170">
        <f>SUM(JV29,JW29,JZ29)</f>
        <v>0</v>
      </c>
      <c r="KX29" s="170">
        <f>SUM(KA29,KC29,KE29)</f>
        <v>0</v>
      </c>
      <c r="KY29" s="170">
        <f>SUM(KG29,KI29,KL29)</f>
        <v>0</v>
      </c>
      <c r="KZ29" s="170">
        <f>SUM(KO29,KR29,KU29)</f>
        <v>0</v>
      </c>
      <c r="LA29" s="170">
        <f>KW29+KX29+KY29+KZ29</f>
        <v>0</v>
      </c>
      <c r="LB29" s="170">
        <f>JV29+JW29+JY29+KA29+KC29+KE29+KG29+KI29+KM29+KP29+KS29+KV29</f>
        <v>0</v>
      </c>
      <c r="LC29" s="170"/>
      <c r="LD29" s="170"/>
      <c r="LE29" s="170"/>
      <c r="LF29" s="170"/>
      <c r="LG29" s="170"/>
      <c r="LH29" s="170"/>
      <c r="LI29" s="170"/>
      <c r="LJ29" s="170"/>
      <c r="LK29" s="170"/>
      <c r="LL29" s="170"/>
      <c r="LM29" s="170"/>
      <c r="LN29" s="170"/>
      <c r="LO29" s="170"/>
      <c r="LP29" s="174">
        <f t="shared" si="43"/>
        <v>0</v>
      </c>
      <c r="LQ29" s="174">
        <f t="shared" si="43"/>
        <v>0</v>
      </c>
      <c r="LR29" s="174">
        <f t="shared" si="43"/>
        <v>0</v>
      </c>
      <c r="LS29" s="174">
        <f t="shared" si="43"/>
        <v>0</v>
      </c>
      <c r="LT29" s="174">
        <f t="shared" si="43"/>
        <v>0</v>
      </c>
      <c r="LU29" s="174">
        <f t="shared" si="43"/>
        <v>0</v>
      </c>
      <c r="LV29" s="174">
        <f t="shared" si="43"/>
        <v>0</v>
      </c>
      <c r="LW29" s="174">
        <f t="shared" si="43"/>
        <v>0</v>
      </c>
      <c r="LX29" s="174">
        <f t="shared" si="43"/>
        <v>0</v>
      </c>
      <c r="LY29" s="174">
        <f t="shared" si="43"/>
        <v>0</v>
      </c>
      <c r="LZ29" s="174">
        <f t="shared" si="43"/>
        <v>0</v>
      </c>
      <c r="MA29" s="174">
        <f t="shared" si="43"/>
        <v>0</v>
      </c>
      <c r="MB29" s="174">
        <f t="shared" si="43"/>
        <v>0</v>
      </c>
      <c r="MC29" s="174">
        <f t="shared" si="43"/>
        <v>0</v>
      </c>
      <c r="MD29" s="174">
        <f t="shared" si="43"/>
        <v>0</v>
      </c>
      <c r="ME29" s="174">
        <f t="shared" si="43"/>
        <v>0</v>
      </c>
      <c r="MF29" s="174">
        <f t="shared" si="43"/>
        <v>0</v>
      </c>
      <c r="MG29" s="174">
        <f t="shared" si="43"/>
        <v>0</v>
      </c>
      <c r="MH29" s="174">
        <f t="shared" si="43"/>
        <v>0</v>
      </c>
      <c r="MI29" s="174">
        <f t="shared" si="43"/>
        <v>0</v>
      </c>
      <c r="MJ29" s="174">
        <f t="shared" si="43"/>
        <v>0</v>
      </c>
      <c r="MK29" s="174">
        <f t="shared" si="43"/>
        <v>0</v>
      </c>
      <c r="ML29" s="174">
        <f t="shared" si="43"/>
        <v>0</v>
      </c>
      <c r="MM29" s="174">
        <f t="shared" si="43"/>
        <v>0</v>
      </c>
      <c r="MN29" s="174">
        <f t="shared" si="43"/>
        <v>0</v>
      </c>
      <c r="MO29" s="174">
        <f t="shared" si="43"/>
        <v>0</v>
      </c>
      <c r="MP29" s="174">
        <f t="shared" si="43"/>
        <v>0</v>
      </c>
      <c r="MQ29" s="170">
        <f>SUM(LP29,LQ29,LT29)</f>
        <v>0</v>
      </c>
      <c r="MR29" s="170">
        <f>SUM(LU29,LW29,LY29)</f>
        <v>0</v>
      </c>
      <c r="MS29" s="170">
        <f>SUM(MA29,MC29,MF29)</f>
        <v>0</v>
      </c>
      <c r="MT29" s="170">
        <f>SUM(MI29,ML29,MO29)</f>
        <v>0</v>
      </c>
      <c r="MU29" s="170">
        <f>MQ29+MR29+MS29+MT29</f>
        <v>0</v>
      </c>
      <c r="MV29" s="170">
        <f>LP29+LQ29+LS29+LU29+LW29+LY29+MA29+MC29+MG29+MJ29+MM29+MP29</f>
        <v>0</v>
      </c>
      <c r="MW29" s="170"/>
      <c r="MX29" s="170"/>
      <c r="MY29" s="170"/>
      <c r="MZ29" s="170"/>
      <c r="NA29" s="170"/>
      <c r="NB29" s="170"/>
      <c r="NC29" s="170"/>
      <c r="ND29" s="170"/>
      <c r="NE29" s="170"/>
      <c r="NF29" s="170"/>
      <c r="NG29" s="170"/>
      <c r="NH29" s="170"/>
      <c r="NI29" s="170"/>
      <c r="NJ29" s="174">
        <f t="shared" si="44"/>
        <v>0</v>
      </c>
      <c r="NK29" s="174">
        <f t="shared" si="44"/>
        <v>0</v>
      </c>
      <c r="NL29" s="174">
        <f t="shared" si="44"/>
        <v>0</v>
      </c>
      <c r="NM29" s="174">
        <f t="shared" si="44"/>
        <v>0</v>
      </c>
      <c r="NN29" s="174">
        <f t="shared" si="44"/>
        <v>0</v>
      </c>
      <c r="NO29" s="174">
        <f t="shared" si="44"/>
        <v>0</v>
      </c>
      <c r="NP29" s="174">
        <f t="shared" si="44"/>
        <v>0</v>
      </c>
      <c r="NQ29" s="174">
        <f t="shared" si="44"/>
        <v>0</v>
      </c>
      <c r="NR29" s="174">
        <f t="shared" si="44"/>
        <v>0</v>
      </c>
      <c r="NS29" s="174">
        <f t="shared" si="44"/>
        <v>0</v>
      </c>
      <c r="NT29" s="174">
        <f t="shared" si="44"/>
        <v>0</v>
      </c>
      <c r="NU29" s="174">
        <f t="shared" si="44"/>
        <v>0</v>
      </c>
      <c r="NV29" s="174">
        <f t="shared" si="44"/>
        <v>0</v>
      </c>
      <c r="NW29" s="174">
        <f t="shared" si="44"/>
        <v>0</v>
      </c>
      <c r="NX29" s="174">
        <f t="shared" si="44"/>
        <v>0</v>
      </c>
      <c r="NY29" s="174">
        <f t="shared" si="44"/>
        <v>0</v>
      </c>
      <c r="NZ29" s="174">
        <f t="shared" si="44"/>
        <v>0</v>
      </c>
      <c r="OA29" s="174">
        <f t="shared" si="44"/>
        <v>0</v>
      </c>
      <c r="OB29" s="174">
        <f t="shared" si="44"/>
        <v>0</v>
      </c>
      <c r="OC29" s="174">
        <f t="shared" si="44"/>
        <v>0</v>
      </c>
      <c r="OD29" s="174">
        <f t="shared" si="44"/>
        <v>0</v>
      </c>
      <c r="OE29" s="174">
        <f t="shared" si="44"/>
        <v>0</v>
      </c>
      <c r="OF29" s="174">
        <f t="shared" si="44"/>
        <v>0</v>
      </c>
      <c r="OG29" s="170">
        <f>SUM(NJ29,NK29,NN29)</f>
        <v>0</v>
      </c>
      <c r="OH29" s="170">
        <f>SUM(NO29,NQ29,NS29)</f>
        <v>0</v>
      </c>
      <c r="OI29" s="170">
        <f>SUM(NU29,NW29,NZ29)</f>
        <v>0</v>
      </c>
      <c r="OJ29" s="170">
        <f>SUM(OB29,OD29,OF29)</f>
        <v>0</v>
      </c>
      <c r="OK29" s="170">
        <f>OG29+OH29+OI29+OJ29</f>
        <v>0</v>
      </c>
      <c r="OL29" s="170"/>
      <c r="OM29" s="170"/>
      <c r="ON29" s="170"/>
      <c r="OO29" s="170"/>
      <c r="OP29" s="170"/>
      <c r="OQ29" s="170"/>
      <c r="OR29" s="170"/>
      <c r="OS29" s="170"/>
      <c r="OT29" s="170"/>
      <c r="OU29" s="170"/>
      <c r="OV29" s="170"/>
      <c r="OW29" s="170"/>
      <c r="OX29" s="170"/>
      <c r="OY29" s="157">
        <f t="shared" si="45"/>
        <v>-3378.2171589500003</v>
      </c>
      <c r="OZ29" s="157">
        <f t="shared" si="45"/>
        <v>-3689.8180939499998</v>
      </c>
      <c r="PA29" s="157">
        <f t="shared" si="45"/>
        <v>-3632.1461689500002</v>
      </c>
      <c r="PB29" s="157">
        <f t="shared" si="45"/>
        <v>-2740.5285559500003</v>
      </c>
      <c r="PC29" s="157">
        <f t="shared" si="45"/>
        <v>-2513.0061689500003</v>
      </c>
      <c r="PD29" s="157">
        <f t="shared" si="45"/>
        <v>-3714.5382943499999</v>
      </c>
      <c r="PE29" s="157">
        <f t="shared" si="45"/>
        <v>-453.75564130101304</v>
      </c>
      <c r="PF29" s="157">
        <f t="shared" si="45"/>
        <v>-2420.6432672500005</v>
      </c>
      <c r="PG29" s="157">
        <f t="shared" si="45"/>
        <v>-224.04917941289114</v>
      </c>
      <c r="PH29" s="157">
        <f t="shared" si="45"/>
        <v>-1466.3969139500002</v>
      </c>
      <c r="PI29" s="157">
        <f t="shared" si="45"/>
        <v>1205.7707490730202</v>
      </c>
      <c r="PJ29" s="157">
        <f t="shared" si="45"/>
        <v>-2771.2180919500006</v>
      </c>
      <c r="PK29" s="157" t="e">
        <f t="shared" si="46"/>
        <v>#REF!</v>
      </c>
      <c r="PL29" s="157">
        <f t="shared" si="46"/>
        <v>2774.3045720499995</v>
      </c>
      <c r="PM29" s="157" t="e">
        <f t="shared" si="46"/>
        <v>#REF!</v>
      </c>
      <c r="PN29" s="157">
        <f t="shared" si="46"/>
        <v>-10930.230489950001</v>
      </c>
      <c r="PO29" s="157" t="e">
        <f t="shared" si="46"/>
        <v>#REF!</v>
      </c>
      <c r="PP29" s="157">
        <f t="shared" si="46"/>
        <v>-563.08648995000067</v>
      </c>
      <c r="PQ29" s="157">
        <f t="shared" si="46"/>
        <v>-11000.230489950001</v>
      </c>
      <c r="PR29" s="157" t="e">
        <f t="shared" si="46"/>
        <v>#REF!</v>
      </c>
      <c r="PS29" s="157">
        <f t="shared" si="46"/>
        <v>471.52351004999946</v>
      </c>
      <c r="PT29" s="157">
        <f t="shared" si="46"/>
        <v>-11305.230489950001</v>
      </c>
      <c r="PU29" s="157" t="e">
        <f t="shared" si="46"/>
        <v>#REF!</v>
      </c>
      <c r="PV29" s="157">
        <f t="shared" si="46"/>
        <v>2357.9195100499992</v>
      </c>
      <c r="PW29" s="157">
        <f t="shared" si="46"/>
        <v>-10944.074106950002</v>
      </c>
      <c r="PX29" s="157" t="e">
        <f t="shared" si="46"/>
        <v>#REF!</v>
      </c>
      <c r="PY29" s="174">
        <f>PY9-PY19</f>
        <v>3148.5758930499996</v>
      </c>
      <c r="PZ29" s="170">
        <f>SUM(OY29,OZ29,PB29)</f>
        <v>-9808.56380885</v>
      </c>
      <c r="QA29" s="170">
        <f>SUM(PD29,PF29,PH29)</f>
        <v>-7601.5784755500008</v>
      </c>
      <c r="QB29" s="170" t="e">
        <f>SUM(PJ29,PL29,PO29)</f>
        <v>#REF!</v>
      </c>
      <c r="QC29" s="170" t="e">
        <f>SUM(PR29,PU29,PX29)</f>
        <v>#REF!</v>
      </c>
      <c r="QD29" s="170" t="e">
        <f>PZ29+QA29+QB29+QC29</f>
        <v>#REF!</v>
      </c>
      <c r="QE29" s="170">
        <f>OY29+OZ29+PB29+PD29+PF29+PH29+PJ29+PL29+PP29+PS29+PV29+PY29</f>
        <v>-11992.1233811</v>
      </c>
      <c r="QF29" s="685"/>
      <c r="QG29" s="685"/>
      <c r="QH29" s="170"/>
      <c r="QI29" s="170"/>
      <c r="QJ29" s="170"/>
      <c r="QK29" s="170"/>
      <c r="QL29" s="170"/>
      <c r="QM29" s="170"/>
      <c r="QN29" s="170"/>
      <c r="QO29" s="170"/>
      <c r="QP29" s="170"/>
      <c r="QQ29" s="170"/>
      <c r="QR29" s="170"/>
      <c r="QS29" s="170"/>
      <c r="QT29" s="170"/>
      <c r="QU29" s="167">
        <f>SUM(AG29,CA29,DU29,FO29,HI29,JC29,KW29)</f>
        <v>-9581.0414218500009</v>
      </c>
    </row>
    <row r="30" spans="1:463" hidden="1" outlineLevel="1">
      <c r="A30" s="143" t="s">
        <v>312</v>
      </c>
      <c r="B30" s="143"/>
      <c r="C30" s="143"/>
      <c r="D30" s="143"/>
      <c r="E30" s="143"/>
      <c r="F30" s="174">
        <f t="shared" ref="F30:Q30" si="51">F10-F20</f>
        <v>-178.20645200000001</v>
      </c>
      <c r="G30" s="174">
        <f t="shared" si="51"/>
        <v>-223.23505699999998</v>
      </c>
      <c r="H30" s="174">
        <f t="shared" si="51"/>
        <v>-232.85925699999996</v>
      </c>
      <c r="I30" s="174">
        <f t="shared" si="51"/>
        <v>-275.32761699999998</v>
      </c>
      <c r="J30" s="174">
        <f t="shared" si="51"/>
        <v>-273.05324999999999</v>
      </c>
      <c r="K30" s="174">
        <f t="shared" si="51"/>
        <v>-238.16397000000001</v>
      </c>
      <c r="L30" s="174">
        <f t="shared" si="51"/>
        <v>-252.28457087289473</v>
      </c>
      <c r="M30" s="174">
        <f t="shared" si="51"/>
        <v>-368.95588499999997</v>
      </c>
      <c r="N30" s="174">
        <f t="shared" si="51"/>
        <v>-183.36632416996855</v>
      </c>
      <c r="O30" s="174">
        <f t="shared" si="51"/>
        <v>-381.98698000000002</v>
      </c>
      <c r="P30" s="174">
        <f t="shared" si="51"/>
        <v>-287.65164295645542</v>
      </c>
      <c r="Q30" s="174">
        <f t="shared" si="51"/>
        <v>-451.50068499999998</v>
      </c>
      <c r="R30" s="174">
        <f t="shared" ref="R30:AE30" si="52">R10-R20</f>
        <v>0</v>
      </c>
      <c r="S30" s="174">
        <f t="shared" si="52"/>
        <v>-451.94908699999996</v>
      </c>
      <c r="T30" s="174">
        <f t="shared" si="52"/>
        <v>0</v>
      </c>
      <c r="U30" s="174">
        <f t="shared" si="52"/>
        <v>-621.12324999999998</v>
      </c>
      <c r="V30" s="174">
        <f t="shared" si="52"/>
        <v>0</v>
      </c>
      <c r="W30" s="174">
        <f t="shared" si="52"/>
        <v>-413.62324999999998</v>
      </c>
      <c r="X30" s="174">
        <f t="shared" si="52"/>
        <v>-576.12324999999998</v>
      </c>
      <c r="Y30" s="174">
        <f t="shared" si="52"/>
        <v>0</v>
      </c>
      <c r="Z30" s="174">
        <f t="shared" si="52"/>
        <v>-300.42325</v>
      </c>
      <c r="AA30" s="174">
        <f t="shared" si="52"/>
        <v>-576.12324999999998</v>
      </c>
      <c r="AB30" s="174">
        <f t="shared" si="52"/>
        <v>0</v>
      </c>
      <c r="AC30" s="174">
        <f t="shared" si="52"/>
        <v>-211.42325</v>
      </c>
      <c r="AD30" s="174">
        <f t="shared" si="52"/>
        <v>-575.12324999999998</v>
      </c>
      <c r="AE30" s="174">
        <f t="shared" si="52"/>
        <v>0</v>
      </c>
      <c r="AF30" s="174">
        <f>AF10-AF20</f>
        <v>-122.42325</v>
      </c>
      <c r="AG30" s="170">
        <f>SUM(F30,G30,J30)</f>
        <v>-674.49475899999993</v>
      </c>
      <c r="AH30" s="170">
        <f>SUM(K30,M30,O30)</f>
        <v>-989.10683499999993</v>
      </c>
      <c r="AI30" s="170">
        <f>SUM(Q30,S30,V30)</f>
        <v>-903.44977199999994</v>
      </c>
      <c r="AJ30" s="170">
        <f>SUM(Y30,AB30,AE30)</f>
        <v>0</v>
      </c>
      <c r="AK30" s="170">
        <f>AG30+AH30+AI30+AJ30</f>
        <v>-2567.0513659999997</v>
      </c>
      <c r="AL30" s="170">
        <f>F30+G30+I30+K30+M30+O30+Q30+S30+W30+Z30+AC30+AF30</f>
        <v>-3617.2187329999997</v>
      </c>
      <c r="AM30" s="170"/>
      <c r="AN30" s="170"/>
      <c r="AO30" s="170"/>
      <c r="AP30" s="170"/>
      <c r="AQ30" s="170"/>
      <c r="AR30" s="170"/>
      <c r="AS30" s="170"/>
      <c r="AT30" s="170"/>
      <c r="AU30" s="170"/>
      <c r="AV30" s="170"/>
      <c r="AW30" s="170"/>
      <c r="AX30" s="170"/>
      <c r="AY30" s="170"/>
      <c r="AZ30" s="174">
        <f t="shared" si="37"/>
        <v>-92.932999999999993</v>
      </c>
      <c r="BA30" s="174">
        <f t="shared" si="37"/>
        <v>-89.205949999999973</v>
      </c>
      <c r="BB30" s="174">
        <f t="shared" si="37"/>
        <v>-89.205949999999973</v>
      </c>
      <c r="BC30" s="174">
        <f t="shared" si="37"/>
        <v>-175.78707000000003</v>
      </c>
      <c r="BD30" s="174">
        <f t="shared" si="37"/>
        <v>-235.5</v>
      </c>
      <c r="BE30" s="174">
        <f t="shared" si="37"/>
        <v>-170.84070000000003</v>
      </c>
      <c r="BF30" s="174">
        <f t="shared" si="37"/>
        <v>-191.82718931475034</v>
      </c>
      <c r="BG30" s="174">
        <f t="shared" si="37"/>
        <v>-122.30464999999998</v>
      </c>
      <c r="BH30" s="174">
        <f t="shared" si="37"/>
        <v>-160.76877517210914</v>
      </c>
      <c r="BI30" s="174">
        <f t="shared" si="37"/>
        <v>-138.42615000000001</v>
      </c>
      <c r="BJ30" s="174">
        <f t="shared" si="37"/>
        <v>-116.94166243073215</v>
      </c>
      <c r="BK30" s="174">
        <f t="shared" si="37"/>
        <v>-192.04539299999999</v>
      </c>
      <c r="BL30" s="174" t="e">
        <f>#REF!-BL10</f>
        <v>#REF!</v>
      </c>
      <c r="BM30" s="174">
        <f t="shared" si="37"/>
        <v>-208.48975300000001</v>
      </c>
      <c r="BN30" s="174" t="e">
        <f>#REF!-BN10</f>
        <v>#REF!</v>
      </c>
      <c r="BO30" s="174">
        <f t="shared" si="37"/>
        <v>-609</v>
      </c>
      <c r="BP30" s="174" t="e">
        <f>#REF!-BP10</f>
        <v>#REF!</v>
      </c>
      <c r="BQ30" s="174">
        <f t="shared" si="37"/>
        <v>-185.60000000000002</v>
      </c>
      <c r="BR30" s="174">
        <f t="shared" si="37"/>
        <v>-589</v>
      </c>
      <c r="BS30" s="174" t="e">
        <f>#REF!-BS10</f>
        <v>#REF!</v>
      </c>
      <c r="BT30" s="174">
        <f t="shared" si="37"/>
        <v>-165.60000000000002</v>
      </c>
      <c r="BU30" s="174">
        <f t="shared" si="37"/>
        <v>-579</v>
      </c>
      <c r="BV30" s="174" t="e">
        <f>#REF!-BV10</f>
        <v>#REF!</v>
      </c>
      <c r="BW30" s="174">
        <f t="shared" si="37"/>
        <v>-155.60000000000002</v>
      </c>
      <c r="BX30" s="174">
        <f t="shared" si="37"/>
        <v>-579</v>
      </c>
      <c r="BY30" s="174" t="e">
        <f>#REF!-BY10</f>
        <v>#REF!</v>
      </c>
      <c r="BZ30" s="174">
        <f t="shared" si="37"/>
        <v>-155.60000000000002</v>
      </c>
      <c r="CA30" s="170">
        <f>SUM(AZ30,BA30,BD30)</f>
        <v>-417.63894999999997</v>
      </c>
      <c r="CB30" s="170">
        <f>SUM(BE30,BG30,BI30)</f>
        <v>-431.57150000000001</v>
      </c>
      <c r="CC30" s="170" t="e">
        <f>SUM(BK30,BM30,BP30)</f>
        <v>#REF!</v>
      </c>
      <c r="CD30" s="170" t="e">
        <f>SUM(BS30,BV30,BY30)</f>
        <v>#REF!</v>
      </c>
      <c r="CE30" s="170" t="e">
        <f>CA30+CB30+CC30+CD30</f>
        <v>#REF!</v>
      </c>
      <c r="CF30" s="170">
        <f>AZ30+BA30+BC30+BE30+BG30+BI30+BK30+BM30+BQ30+BT30+BW30+BZ30</f>
        <v>-1852.4326659999997</v>
      </c>
      <c r="CG30" s="170"/>
      <c r="CH30" s="170"/>
      <c r="CI30" s="170"/>
      <c r="CJ30" s="170"/>
      <c r="CK30" s="170"/>
      <c r="CL30" s="170"/>
      <c r="CM30" s="170"/>
      <c r="CN30" s="170"/>
      <c r="CO30" s="170"/>
      <c r="CP30" s="170"/>
      <c r="CQ30" s="170"/>
      <c r="CR30" s="170"/>
      <c r="CS30" s="170"/>
      <c r="CT30" s="174">
        <f t="shared" si="38"/>
        <v>0</v>
      </c>
      <c r="CU30" s="174">
        <f t="shared" si="38"/>
        <v>0</v>
      </c>
      <c r="CV30" s="174">
        <f t="shared" si="38"/>
        <v>0</v>
      </c>
      <c r="CW30" s="174">
        <f t="shared" si="38"/>
        <v>0</v>
      </c>
      <c r="CX30" s="174">
        <f t="shared" si="38"/>
        <v>0</v>
      </c>
      <c r="CY30" s="174">
        <f t="shared" si="38"/>
        <v>0</v>
      </c>
      <c r="CZ30" s="174">
        <f t="shared" si="38"/>
        <v>0</v>
      </c>
      <c r="DA30" s="174">
        <f t="shared" si="38"/>
        <v>0</v>
      </c>
      <c r="DB30" s="174">
        <f t="shared" si="38"/>
        <v>0</v>
      </c>
      <c r="DC30" s="174">
        <f t="shared" si="38"/>
        <v>0</v>
      </c>
      <c r="DD30" s="174">
        <f t="shared" si="38"/>
        <v>0</v>
      </c>
      <c r="DE30" s="174">
        <f t="shared" si="38"/>
        <v>0</v>
      </c>
      <c r="DF30" s="174">
        <f t="shared" si="38"/>
        <v>0</v>
      </c>
      <c r="DG30" s="174">
        <f t="shared" si="38"/>
        <v>0</v>
      </c>
      <c r="DH30" s="174">
        <f t="shared" si="38"/>
        <v>0</v>
      </c>
      <c r="DI30" s="174">
        <f t="shared" si="38"/>
        <v>0</v>
      </c>
      <c r="DJ30" s="174">
        <f t="shared" si="38"/>
        <v>0</v>
      </c>
      <c r="DK30" s="174">
        <f t="shared" si="38"/>
        <v>0</v>
      </c>
      <c r="DL30" s="174">
        <f t="shared" si="38"/>
        <v>0</v>
      </c>
      <c r="DM30" s="174">
        <f t="shared" si="38"/>
        <v>0</v>
      </c>
      <c r="DN30" s="174">
        <f t="shared" si="38"/>
        <v>0</v>
      </c>
      <c r="DO30" s="174">
        <f t="shared" si="38"/>
        <v>0</v>
      </c>
      <c r="DP30" s="174">
        <f t="shared" si="38"/>
        <v>0</v>
      </c>
      <c r="DQ30" s="174">
        <f t="shared" si="38"/>
        <v>0</v>
      </c>
      <c r="DR30" s="174">
        <f t="shared" si="38"/>
        <v>0</v>
      </c>
      <c r="DS30" s="174">
        <f t="shared" si="38"/>
        <v>0</v>
      </c>
      <c r="DT30" s="174">
        <f t="shared" si="38"/>
        <v>0</v>
      </c>
      <c r="DU30" s="170">
        <f>SUM(CT30,CU30,CW30)</f>
        <v>0</v>
      </c>
      <c r="DV30" s="170">
        <f>SUM(CY30,DA30,DC30)</f>
        <v>0</v>
      </c>
      <c r="DW30" s="170">
        <f>SUM(DE30,DG30,DJ30)</f>
        <v>0</v>
      </c>
      <c r="DX30" s="170">
        <f>SUM(DM30,DP30,DS30)</f>
        <v>0</v>
      </c>
      <c r="DY30" s="170">
        <f>DU30+DV30+DW30+DX30</f>
        <v>0</v>
      </c>
      <c r="DZ30" s="170">
        <f>CT30+CU30+CW30+CY30+DA30+DC30+DE30+DG30+DK30+DN30+DQ30+DT30</f>
        <v>0</v>
      </c>
      <c r="EA30" s="170"/>
      <c r="EB30" s="170"/>
      <c r="EC30" s="170"/>
      <c r="ED30" s="170"/>
      <c r="EE30" s="170"/>
      <c r="EF30" s="170"/>
      <c r="EG30" s="170"/>
      <c r="EH30" s="170"/>
      <c r="EI30" s="170"/>
      <c r="EJ30" s="170"/>
      <c r="EK30" s="170"/>
      <c r="EL30" s="170"/>
      <c r="EM30" s="170"/>
      <c r="EN30" s="174">
        <f t="shared" si="39"/>
        <v>-257.64192799999995</v>
      </c>
      <c r="EO30" s="174">
        <f t="shared" si="39"/>
        <v>-572.57393999999999</v>
      </c>
      <c r="EP30" s="174">
        <f t="shared" si="39"/>
        <v>-665.21393999999998</v>
      </c>
      <c r="EQ30" s="174">
        <f t="shared" si="39"/>
        <v>-603.12090000000001</v>
      </c>
      <c r="ER30" s="174">
        <f t="shared" si="39"/>
        <v>-454.9</v>
      </c>
      <c r="ES30" s="174">
        <f t="shared" si="39"/>
        <v>195.98470000000009</v>
      </c>
      <c r="ET30" s="174">
        <f t="shared" si="39"/>
        <v>-92.478927659272813</v>
      </c>
      <c r="EU30" s="174">
        <f t="shared" si="39"/>
        <v>330.28959999999995</v>
      </c>
      <c r="EV30" s="174">
        <f t="shared" si="39"/>
        <v>310.17007966185508</v>
      </c>
      <c r="EW30" s="174">
        <f t="shared" si="39"/>
        <v>412.77665000000002</v>
      </c>
      <c r="EX30" s="174">
        <f t="shared" si="39"/>
        <v>77.658880702931583</v>
      </c>
      <c r="EY30" s="174">
        <f t="shared" si="39"/>
        <v>641.17375000000004</v>
      </c>
      <c r="EZ30" s="174">
        <f t="shared" si="39"/>
        <v>28.198740510545235</v>
      </c>
      <c r="FA30" s="174">
        <f t="shared" si="39"/>
        <v>247.42420000000004</v>
      </c>
      <c r="FB30" s="174">
        <f t="shared" si="39"/>
        <v>19.600959915754629</v>
      </c>
      <c r="FC30" s="174">
        <f t="shared" si="39"/>
        <v>-604.9</v>
      </c>
      <c r="FD30" s="174">
        <f t="shared" si="39"/>
        <v>-12.145124338935034</v>
      </c>
      <c r="FE30" s="174">
        <f t="shared" si="39"/>
        <v>120.10000000000002</v>
      </c>
      <c r="FF30" s="174">
        <f t="shared" si="39"/>
        <v>-604.9</v>
      </c>
      <c r="FG30" s="174">
        <f t="shared" si="39"/>
        <v>-27.865284115002396</v>
      </c>
      <c r="FH30" s="174">
        <f t="shared" si="39"/>
        <v>120.10000000000002</v>
      </c>
      <c r="FI30" s="174">
        <f t="shared" si="39"/>
        <v>-604.9</v>
      </c>
      <c r="FJ30" s="174">
        <f t="shared" si="39"/>
        <v>7.1797543981982699</v>
      </c>
      <c r="FK30" s="174">
        <f t="shared" si="39"/>
        <v>190.10000000000002</v>
      </c>
      <c r="FL30" s="174">
        <f t="shared" si="39"/>
        <v>-604.9</v>
      </c>
      <c r="FM30" s="174">
        <f t="shared" si="39"/>
        <v>13.40227308530973</v>
      </c>
      <c r="FN30" s="174">
        <f t="shared" si="39"/>
        <v>190.10000000000002</v>
      </c>
      <c r="FO30" s="170">
        <f>SUM(EN30,EO30,ER30)</f>
        <v>-1285.1158679999999</v>
      </c>
      <c r="FP30" s="170">
        <f>SUM(ES30,EU30,EW30)</f>
        <v>939.05095000000006</v>
      </c>
      <c r="FQ30" s="170">
        <f>SUM(EY30,FA30,FD30)</f>
        <v>876.45282566106505</v>
      </c>
      <c r="FR30" s="170">
        <f>SUM(FG30,FJ30,FM30)</f>
        <v>-7.2832566314943961</v>
      </c>
      <c r="FS30" s="170">
        <f>FO30+FP30+FQ30+FR30</f>
        <v>523.10465102957085</v>
      </c>
      <c r="FT30" s="170">
        <f>EN30+EO30+EQ30+ES30+EU30+EW30+EY30+FA30+FE30+FH30+FK30+FN30</f>
        <v>1014.712132</v>
      </c>
      <c r="FU30" s="170"/>
      <c r="FV30" s="170"/>
      <c r="FW30" s="170"/>
      <c r="FX30" s="170"/>
      <c r="FY30" s="170"/>
      <c r="FZ30" s="170"/>
      <c r="GA30" s="170"/>
      <c r="GB30" s="170"/>
      <c r="GC30" s="170"/>
      <c r="GD30" s="170"/>
      <c r="GE30" s="170"/>
      <c r="GF30" s="170"/>
      <c r="GG30" s="170"/>
      <c r="GH30" s="174">
        <f t="shared" si="40"/>
        <v>102.92201</v>
      </c>
      <c r="GI30" s="174">
        <f t="shared" si="40"/>
        <v>-49.391106000000036</v>
      </c>
      <c r="GJ30" s="174">
        <f t="shared" si="40"/>
        <v>-274.19110600000022</v>
      </c>
      <c r="GK30" s="174">
        <f t="shared" si="40"/>
        <v>-868.58185999999978</v>
      </c>
      <c r="GL30" s="174">
        <f t="shared" si="40"/>
        <v>-1596.81</v>
      </c>
      <c r="GM30" s="174">
        <f t="shared" si="40"/>
        <v>-1507.3967899999998</v>
      </c>
      <c r="GN30" s="174">
        <f t="shared" si="40"/>
        <v>-1691.4473327966346</v>
      </c>
      <c r="GO30" s="174">
        <f t="shared" si="40"/>
        <v>-2617.9584</v>
      </c>
      <c r="GP30" s="174">
        <f t="shared" si="40"/>
        <v>-1930.9642583436341</v>
      </c>
      <c r="GQ30" s="174">
        <f t="shared" si="40"/>
        <v>541.96298999999999</v>
      </c>
      <c r="GR30" s="174">
        <f t="shared" si="40"/>
        <v>1388.5806140350878</v>
      </c>
      <c r="GS30" s="174">
        <f t="shared" si="40"/>
        <v>2302.3944199999996</v>
      </c>
      <c r="GT30" s="174">
        <f t="shared" si="40"/>
        <v>-319.67432788374208</v>
      </c>
      <c r="GU30" s="174">
        <f t="shared" si="40"/>
        <v>819.25722999999971</v>
      </c>
      <c r="GV30" s="174">
        <f t="shared" si="40"/>
        <v>-464.31816213446291</v>
      </c>
      <c r="GW30" s="174">
        <f t="shared" si="40"/>
        <v>-3141.2750000000001</v>
      </c>
      <c r="GX30" s="174">
        <f t="shared" si="40"/>
        <v>-2705.8301869158881</v>
      </c>
      <c r="GY30" s="174">
        <f t="shared" si="40"/>
        <v>-1341.2750000000001</v>
      </c>
      <c r="GZ30" s="174">
        <f t="shared" si="40"/>
        <v>-3264.2150000000001</v>
      </c>
      <c r="HA30" s="174">
        <f t="shared" si="40"/>
        <v>-3109.5415188679249</v>
      </c>
      <c r="HB30" s="174">
        <f t="shared" si="40"/>
        <v>-1664.2150000000001</v>
      </c>
      <c r="HC30" s="174">
        <f t="shared" si="40"/>
        <v>-3104.5</v>
      </c>
      <c r="HD30" s="174">
        <f t="shared" si="40"/>
        <v>-1309.6425184625718</v>
      </c>
      <c r="HE30" s="174">
        <f t="shared" si="40"/>
        <v>-549.5</v>
      </c>
      <c r="HF30" s="174">
        <f t="shared" si="40"/>
        <v>-1305</v>
      </c>
      <c r="HG30" s="174">
        <f t="shared" si="40"/>
        <v>-258.77919075144519</v>
      </c>
      <c r="HH30" s="174">
        <f t="shared" si="40"/>
        <v>1250</v>
      </c>
      <c r="HI30" s="170">
        <f>SUM(GH30,GI30,GL30)</f>
        <v>-1543.279096</v>
      </c>
      <c r="HJ30" s="170">
        <f>SUM(GM30,GO30,GQ30)</f>
        <v>-3583.3922000000002</v>
      </c>
      <c r="HK30" s="170">
        <f>SUM(GS30,GU30,GX30)</f>
        <v>415.8214630841112</v>
      </c>
      <c r="HL30" s="170">
        <f>SUM(HA30,HD30,HG30)</f>
        <v>-4677.9632280819424</v>
      </c>
      <c r="HM30" s="170">
        <f>HI30+HJ30+HK30+HL30</f>
        <v>-9388.8130609978325</v>
      </c>
      <c r="HN30" s="170">
        <f>GH30+GI30+GK30+GM30+GO30+GQ30+GS30+GU30+GY30+HB30+HE30+HH30</f>
        <v>-3581.7815060000003</v>
      </c>
      <c r="HO30" s="170"/>
      <c r="HP30" s="170"/>
      <c r="HQ30" s="170"/>
      <c r="HR30" s="170"/>
      <c r="HS30" s="170"/>
      <c r="HT30" s="170"/>
      <c r="HU30" s="170"/>
      <c r="HV30" s="170"/>
      <c r="HW30" s="170"/>
      <c r="HX30" s="170"/>
      <c r="HY30" s="170"/>
      <c r="HZ30" s="170"/>
      <c r="IA30" s="170"/>
      <c r="IB30" s="174">
        <f t="shared" si="41"/>
        <v>-333.23509000000001</v>
      </c>
      <c r="IC30" s="174">
        <f t="shared" si="41"/>
        <v>-1187.0577600000001</v>
      </c>
      <c r="ID30" s="174">
        <f t="shared" si="41"/>
        <v>-931.16732000000002</v>
      </c>
      <c r="IE30" s="174">
        <f t="shared" si="41"/>
        <v>-773.29535999999996</v>
      </c>
      <c r="IF30" s="174">
        <f t="shared" si="41"/>
        <v>-493.65</v>
      </c>
      <c r="IG30" s="174">
        <f t="shared" si="41"/>
        <v>-93.953949999999963</v>
      </c>
      <c r="IH30" s="174">
        <f t="shared" si="41"/>
        <v>-87.721086012163255</v>
      </c>
      <c r="II30" s="174">
        <f t="shared" si="41"/>
        <v>-36.327779999999962</v>
      </c>
      <c r="IJ30" s="174">
        <f t="shared" si="41"/>
        <v>-200.14007365631193</v>
      </c>
      <c r="IK30" s="174">
        <f t="shared" si="41"/>
        <v>-451.26576999999997</v>
      </c>
      <c r="IL30" s="174">
        <f t="shared" si="41"/>
        <v>-632.14857744672599</v>
      </c>
      <c r="IM30" s="174">
        <f t="shared" si="41"/>
        <v>-568.69934600000011</v>
      </c>
      <c r="IN30" s="174">
        <f t="shared" si="41"/>
        <v>-390.79137720275793</v>
      </c>
      <c r="IO30" s="174">
        <f t="shared" si="41"/>
        <v>92.849236999999903</v>
      </c>
      <c r="IP30" s="174">
        <f t="shared" si="41"/>
        <v>-71.884099047759833</v>
      </c>
      <c r="IQ30" s="174">
        <f t="shared" si="41"/>
        <v>-892.25</v>
      </c>
      <c r="IR30" s="174">
        <f t="shared" si="41"/>
        <v>-393.98864388066517</v>
      </c>
      <c r="IS30" s="174">
        <f t="shared" si="41"/>
        <v>-331.25</v>
      </c>
      <c r="IT30" s="174">
        <f t="shared" si="41"/>
        <v>-607.65</v>
      </c>
      <c r="IU30" s="174">
        <f t="shared" si="41"/>
        <v>48.336814000803088</v>
      </c>
      <c r="IV30" s="174">
        <f t="shared" si="41"/>
        <v>86.850000000000023</v>
      </c>
      <c r="IW30" s="174">
        <f t="shared" si="41"/>
        <v>-1302.4000000000001</v>
      </c>
      <c r="IX30" s="174">
        <f t="shared" si="41"/>
        <v>-624.85985659168955</v>
      </c>
      <c r="IY30" s="174">
        <f t="shared" si="41"/>
        <v>-687.40000000000009</v>
      </c>
      <c r="IZ30" s="174">
        <f t="shared" si="41"/>
        <v>-761.7</v>
      </c>
      <c r="JA30" s="174">
        <f t="shared" si="41"/>
        <v>-227.8394693606117</v>
      </c>
      <c r="JB30" s="174">
        <f t="shared" si="41"/>
        <v>-200.70000000000005</v>
      </c>
      <c r="JC30" s="170">
        <f>SUM(IB30,IC30,IF30)</f>
        <v>-2013.9428500000004</v>
      </c>
      <c r="JD30" s="170">
        <f>SUM(IG30,II30,IK30)</f>
        <v>-581.5474999999999</v>
      </c>
      <c r="JE30" s="170">
        <f>SUM(IM30,IO30,IR30)</f>
        <v>-869.83875288066542</v>
      </c>
      <c r="JF30" s="170">
        <f>SUM(IU30,IX30,JA30)</f>
        <v>-804.36251195149816</v>
      </c>
      <c r="JG30" s="170">
        <f>JC30+JD30+JE30+JF30</f>
        <v>-4269.6916148321634</v>
      </c>
      <c r="JH30" s="170">
        <f>IB30+IC30+IE30+IG30+II30+IK30+IM30+IO30+IS30+IV30+IY30+JB30</f>
        <v>-4483.4858190000004</v>
      </c>
      <c r="JI30" s="170"/>
      <c r="JJ30" s="170"/>
      <c r="JK30" s="170"/>
      <c r="JL30" s="170"/>
      <c r="JM30" s="170"/>
      <c r="JN30" s="170"/>
      <c r="JO30" s="170"/>
      <c r="JP30" s="170"/>
      <c r="JQ30" s="170"/>
      <c r="JR30" s="170"/>
      <c r="JS30" s="170"/>
      <c r="JT30" s="170"/>
      <c r="JU30" s="170"/>
      <c r="JV30" s="174">
        <f t="shared" si="42"/>
        <v>0</v>
      </c>
      <c r="JW30" s="174">
        <f t="shared" si="42"/>
        <v>0</v>
      </c>
      <c r="JX30" s="174">
        <f t="shared" si="42"/>
        <v>0</v>
      </c>
      <c r="JY30" s="174">
        <f t="shared" si="42"/>
        <v>0</v>
      </c>
      <c r="JZ30" s="174">
        <f t="shared" si="42"/>
        <v>0</v>
      </c>
      <c r="KA30" s="174">
        <f t="shared" si="42"/>
        <v>0</v>
      </c>
      <c r="KB30" s="174">
        <f t="shared" si="42"/>
        <v>0</v>
      </c>
      <c r="KC30" s="174">
        <f t="shared" si="42"/>
        <v>0</v>
      </c>
      <c r="KD30" s="174">
        <f t="shared" si="42"/>
        <v>0</v>
      </c>
      <c r="KE30" s="174">
        <f t="shared" si="42"/>
        <v>0</v>
      </c>
      <c r="KF30" s="174">
        <f t="shared" si="42"/>
        <v>0</v>
      </c>
      <c r="KG30" s="174">
        <f t="shared" si="42"/>
        <v>0</v>
      </c>
      <c r="KH30" s="174">
        <f t="shared" si="42"/>
        <v>0</v>
      </c>
      <c r="KI30" s="174">
        <f t="shared" si="42"/>
        <v>0</v>
      </c>
      <c r="KJ30" s="174">
        <f t="shared" si="42"/>
        <v>0</v>
      </c>
      <c r="KK30" s="174">
        <f t="shared" si="42"/>
        <v>0</v>
      </c>
      <c r="KL30" s="174">
        <f t="shared" si="42"/>
        <v>0</v>
      </c>
      <c r="KM30" s="174">
        <f t="shared" si="42"/>
        <v>0</v>
      </c>
      <c r="KN30" s="174">
        <f t="shared" si="42"/>
        <v>0</v>
      </c>
      <c r="KO30" s="174">
        <f t="shared" si="42"/>
        <v>0</v>
      </c>
      <c r="KP30" s="174">
        <f t="shared" si="42"/>
        <v>0</v>
      </c>
      <c r="KQ30" s="174">
        <f t="shared" si="42"/>
        <v>0</v>
      </c>
      <c r="KR30" s="174">
        <f t="shared" si="42"/>
        <v>0</v>
      </c>
      <c r="KS30" s="174">
        <f t="shared" si="42"/>
        <v>0</v>
      </c>
      <c r="KT30" s="174">
        <f t="shared" si="42"/>
        <v>0</v>
      </c>
      <c r="KU30" s="174">
        <f t="shared" si="42"/>
        <v>0</v>
      </c>
      <c r="KV30" s="174">
        <f t="shared" si="42"/>
        <v>0</v>
      </c>
      <c r="KW30" s="170">
        <f>SUM(JV30,JW30,JZ30)</f>
        <v>0</v>
      </c>
      <c r="KX30" s="170">
        <f>SUM(KA30,KC30,KE30)</f>
        <v>0</v>
      </c>
      <c r="KY30" s="170">
        <f>SUM(KG30,KI30,KL30)</f>
        <v>0</v>
      </c>
      <c r="KZ30" s="170">
        <f>SUM(KO30,KR30,KU30)</f>
        <v>0</v>
      </c>
      <c r="LA30" s="170">
        <f>KW30+KX30+KY30+KZ30</f>
        <v>0</v>
      </c>
      <c r="LB30" s="170">
        <f>JV30+JW30+JY30+KA30+KC30+KE30+KG30+KI30+KM30+KP30+KS30+KV30</f>
        <v>0</v>
      </c>
      <c r="LC30" s="170"/>
      <c r="LD30" s="170"/>
      <c r="LE30" s="170"/>
      <c r="LF30" s="170"/>
      <c r="LG30" s="170"/>
      <c r="LH30" s="170"/>
      <c r="LI30" s="170"/>
      <c r="LJ30" s="170"/>
      <c r="LK30" s="170"/>
      <c r="LL30" s="170"/>
      <c r="LM30" s="170"/>
      <c r="LN30" s="170"/>
      <c r="LO30" s="170"/>
      <c r="LP30" s="174">
        <f t="shared" si="43"/>
        <v>0</v>
      </c>
      <c r="LQ30" s="174">
        <f t="shared" si="43"/>
        <v>0</v>
      </c>
      <c r="LR30" s="174">
        <f t="shared" si="43"/>
        <v>0</v>
      </c>
      <c r="LS30" s="174">
        <f t="shared" si="43"/>
        <v>0</v>
      </c>
      <c r="LT30" s="174">
        <f t="shared" si="43"/>
        <v>0</v>
      </c>
      <c r="LU30" s="174">
        <f t="shared" si="43"/>
        <v>0</v>
      </c>
      <c r="LV30" s="174">
        <f t="shared" si="43"/>
        <v>0</v>
      </c>
      <c r="LW30" s="174">
        <f t="shared" si="43"/>
        <v>0</v>
      </c>
      <c r="LX30" s="174">
        <f t="shared" si="43"/>
        <v>0</v>
      </c>
      <c r="LY30" s="174">
        <f t="shared" si="43"/>
        <v>0</v>
      </c>
      <c r="LZ30" s="174">
        <f t="shared" si="43"/>
        <v>0</v>
      </c>
      <c r="MA30" s="174">
        <f t="shared" si="43"/>
        <v>0</v>
      </c>
      <c r="MB30" s="174">
        <f t="shared" si="43"/>
        <v>0</v>
      </c>
      <c r="MC30" s="174">
        <f t="shared" si="43"/>
        <v>0</v>
      </c>
      <c r="MD30" s="174">
        <f t="shared" si="43"/>
        <v>0</v>
      </c>
      <c r="ME30" s="174">
        <f t="shared" si="43"/>
        <v>0</v>
      </c>
      <c r="MF30" s="174">
        <f t="shared" si="43"/>
        <v>0</v>
      </c>
      <c r="MG30" s="174">
        <f t="shared" si="43"/>
        <v>0</v>
      </c>
      <c r="MH30" s="174">
        <f t="shared" si="43"/>
        <v>0</v>
      </c>
      <c r="MI30" s="174">
        <f t="shared" si="43"/>
        <v>0</v>
      </c>
      <c r="MJ30" s="174">
        <f t="shared" si="43"/>
        <v>0</v>
      </c>
      <c r="MK30" s="174">
        <f t="shared" si="43"/>
        <v>0</v>
      </c>
      <c r="ML30" s="174">
        <f t="shared" si="43"/>
        <v>0</v>
      </c>
      <c r="MM30" s="174">
        <f t="shared" si="43"/>
        <v>0</v>
      </c>
      <c r="MN30" s="174">
        <f t="shared" si="43"/>
        <v>0</v>
      </c>
      <c r="MO30" s="174">
        <f t="shared" si="43"/>
        <v>0</v>
      </c>
      <c r="MP30" s="174">
        <f t="shared" si="43"/>
        <v>0</v>
      </c>
      <c r="MQ30" s="170">
        <f>SUM(LP30,LQ30,LT30)</f>
        <v>0</v>
      </c>
      <c r="MR30" s="170">
        <f>SUM(LU30,LW30,LY30)</f>
        <v>0</v>
      </c>
      <c r="MS30" s="170">
        <f>SUM(MA30,MC30,MF30)</f>
        <v>0</v>
      </c>
      <c r="MT30" s="170">
        <f>SUM(MI30,ML30,MO30)</f>
        <v>0</v>
      </c>
      <c r="MU30" s="170">
        <f>MQ30+MR30+MS30+MT30</f>
        <v>0</v>
      </c>
      <c r="MV30" s="170">
        <f>LP30+LQ30+LS30+LU30+LW30+LY30+MA30+MC30+MG30+MJ30+MM30+MP30</f>
        <v>0</v>
      </c>
      <c r="MW30" s="170"/>
      <c r="MX30" s="170"/>
      <c r="MY30" s="170"/>
      <c r="MZ30" s="170"/>
      <c r="NA30" s="170"/>
      <c r="NB30" s="170"/>
      <c r="NC30" s="170"/>
      <c r="ND30" s="170"/>
      <c r="NE30" s="170"/>
      <c r="NF30" s="170"/>
      <c r="NG30" s="170"/>
      <c r="NH30" s="170"/>
      <c r="NI30" s="170"/>
      <c r="NJ30" s="174">
        <f t="shared" si="44"/>
        <v>0</v>
      </c>
      <c r="NK30" s="174">
        <f t="shared" si="44"/>
        <v>0</v>
      </c>
      <c r="NL30" s="174">
        <f t="shared" si="44"/>
        <v>0</v>
      </c>
      <c r="NM30" s="174">
        <f t="shared" si="44"/>
        <v>0</v>
      </c>
      <c r="NN30" s="174">
        <f t="shared" si="44"/>
        <v>0</v>
      </c>
      <c r="NO30" s="174">
        <f t="shared" si="44"/>
        <v>0</v>
      </c>
      <c r="NP30" s="174">
        <f t="shared" si="44"/>
        <v>0</v>
      </c>
      <c r="NQ30" s="174">
        <f t="shared" si="44"/>
        <v>0</v>
      </c>
      <c r="NR30" s="174">
        <f t="shared" si="44"/>
        <v>0</v>
      </c>
      <c r="NS30" s="174">
        <f t="shared" si="44"/>
        <v>0</v>
      </c>
      <c r="NT30" s="174">
        <f t="shared" si="44"/>
        <v>0</v>
      </c>
      <c r="NU30" s="174">
        <f t="shared" si="44"/>
        <v>0</v>
      </c>
      <c r="NV30" s="174">
        <f t="shared" si="44"/>
        <v>0</v>
      </c>
      <c r="NW30" s="174">
        <f t="shared" si="44"/>
        <v>0</v>
      </c>
      <c r="NX30" s="174">
        <f t="shared" si="44"/>
        <v>0</v>
      </c>
      <c r="NY30" s="174">
        <f t="shared" si="44"/>
        <v>0</v>
      </c>
      <c r="NZ30" s="174">
        <f t="shared" si="44"/>
        <v>0</v>
      </c>
      <c r="OA30" s="174">
        <f t="shared" si="44"/>
        <v>0</v>
      </c>
      <c r="OB30" s="174">
        <f t="shared" si="44"/>
        <v>0</v>
      </c>
      <c r="OC30" s="174">
        <f t="shared" si="44"/>
        <v>0</v>
      </c>
      <c r="OD30" s="174">
        <f t="shared" si="44"/>
        <v>0</v>
      </c>
      <c r="OE30" s="174">
        <f t="shared" si="44"/>
        <v>0</v>
      </c>
      <c r="OF30" s="174">
        <f t="shared" si="44"/>
        <v>0</v>
      </c>
      <c r="OG30" s="170">
        <f>SUM(NJ30,NK30,NN30)</f>
        <v>0</v>
      </c>
      <c r="OH30" s="170">
        <f>SUM(NO30,NQ30,NS30)</f>
        <v>0</v>
      </c>
      <c r="OI30" s="170">
        <f>SUM(NU30,NW30,NZ30)</f>
        <v>0</v>
      </c>
      <c r="OJ30" s="170">
        <f>SUM(OB30,OD30,OF30)</f>
        <v>0</v>
      </c>
      <c r="OK30" s="170">
        <f>OG30+OH30+OI30+OJ30</f>
        <v>0</v>
      </c>
      <c r="OL30" s="170"/>
      <c r="OM30" s="170"/>
      <c r="ON30" s="170"/>
      <c r="OO30" s="170"/>
      <c r="OP30" s="170"/>
      <c r="OQ30" s="170"/>
      <c r="OR30" s="170"/>
      <c r="OS30" s="170"/>
      <c r="OT30" s="170"/>
      <c r="OU30" s="170"/>
      <c r="OV30" s="170"/>
      <c r="OW30" s="170"/>
      <c r="OX30" s="170"/>
      <c r="OY30" s="157">
        <f t="shared" si="45"/>
        <v>-759.09445999999991</v>
      </c>
      <c r="OZ30" s="157">
        <f t="shared" si="45"/>
        <v>-2121.4638130000003</v>
      </c>
      <c r="PA30" s="157">
        <f t="shared" si="45"/>
        <v>-2192.637573</v>
      </c>
      <c r="PB30" s="157">
        <f t="shared" si="45"/>
        <v>-2696.112807</v>
      </c>
      <c r="PC30" s="157">
        <f t="shared" si="45"/>
        <v>-3053.9132500000001</v>
      </c>
      <c r="PD30" s="157">
        <f t="shared" si="45"/>
        <v>-1814.3707099999997</v>
      </c>
      <c r="PE30" s="157">
        <f t="shared" si="45"/>
        <v>-2315.7591066557156</v>
      </c>
      <c r="PF30" s="157">
        <f t="shared" si="45"/>
        <v>-2815.2571149999999</v>
      </c>
      <c r="PG30" s="157">
        <f t="shared" si="45"/>
        <v>-2165.0693516801689</v>
      </c>
      <c r="PH30" s="157">
        <f t="shared" si="45"/>
        <v>-16.93925999999999</v>
      </c>
      <c r="PI30" s="157">
        <f t="shared" si="45"/>
        <v>429.49761190410572</v>
      </c>
      <c r="PJ30" s="157">
        <f t="shared" si="45"/>
        <v>1731.3227459999996</v>
      </c>
      <c r="PK30" s="157" t="e">
        <f t="shared" si="46"/>
        <v>#REF!</v>
      </c>
      <c r="PL30" s="157">
        <f t="shared" si="46"/>
        <v>499.09182699999963</v>
      </c>
      <c r="PM30" s="157" t="e">
        <f t="shared" si="46"/>
        <v>#REF!</v>
      </c>
      <c r="PN30" s="157">
        <f t="shared" si="46"/>
        <v>-5868.5482499999998</v>
      </c>
      <c r="PO30" s="157" t="e">
        <f t="shared" si="46"/>
        <v>#REF!</v>
      </c>
      <c r="PP30" s="157">
        <f t="shared" si="46"/>
        <v>-2151.6482500000002</v>
      </c>
      <c r="PQ30" s="157">
        <f t="shared" si="46"/>
        <v>-5641.88825</v>
      </c>
      <c r="PR30" s="157" t="e">
        <f t="shared" si="46"/>
        <v>#REF!</v>
      </c>
      <c r="PS30" s="157">
        <f t="shared" si="46"/>
        <v>-1923.2882500000001</v>
      </c>
      <c r="PT30" s="157">
        <f t="shared" si="46"/>
        <v>-6166.9232499999998</v>
      </c>
      <c r="PU30" s="157" t="e">
        <f t="shared" si="46"/>
        <v>#REF!</v>
      </c>
      <c r="PV30" s="157">
        <f t="shared" si="46"/>
        <v>-1413.8232500000001</v>
      </c>
      <c r="PW30" s="157">
        <f t="shared" si="46"/>
        <v>-3825.72325</v>
      </c>
      <c r="PX30" s="157" t="e">
        <f t="shared" si="46"/>
        <v>#REF!</v>
      </c>
      <c r="PY30" s="174">
        <f>PY10-PY20</f>
        <v>961.37675000000036</v>
      </c>
      <c r="PZ30" s="170">
        <f>SUM(OY30,OZ30,PB30)</f>
        <v>-5576.6710800000001</v>
      </c>
      <c r="QA30" s="170">
        <f>SUM(PD30,PF30,PH30)</f>
        <v>-4646.5670849999997</v>
      </c>
      <c r="QB30" s="170" t="e">
        <f>SUM(PJ30,PL30,PO30)</f>
        <v>#REF!</v>
      </c>
      <c r="QC30" s="170" t="e">
        <f>SUM(PR30,PU30,PX30)</f>
        <v>#REF!</v>
      </c>
      <c r="QD30" s="170" t="e">
        <f>PZ30+QA30+QB30+QC30</f>
        <v>#REF!</v>
      </c>
      <c r="QE30" s="170">
        <f>OY30+OZ30+PB30+PD30+PF30+PH30+PJ30+PL30+PP30+PS30+PV30+PY30</f>
        <v>-12520.206591999999</v>
      </c>
      <c r="QF30" s="685"/>
      <c r="QG30" s="685"/>
      <c r="QH30" s="170"/>
      <c r="QI30" s="170"/>
      <c r="QJ30" s="170"/>
      <c r="QK30" s="170"/>
      <c r="QL30" s="170"/>
      <c r="QM30" s="170"/>
      <c r="QN30" s="170"/>
      <c r="QO30" s="170"/>
      <c r="QP30" s="170"/>
      <c r="QQ30" s="170"/>
      <c r="QR30" s="170"/>
      <c r="QS30" s="170"/>
      <c r="QT30" s="170"/>
      <c r="QU30" s="167">
        <f>SUM(AG30,CA30,DU30,FO30,HI30,JC30,KW30)</f>
        <v>-5934.4715230000002</v>
      </c>
    </row>
    <row r="31" spans="1:463" s="51" customFormat="1" hidden="1" outlineLevel="1">
      <c r="A31" s="156" t="s">
        <v>1208</v>
      </c>
      <c r="B31" s="156"/>
      <c r="C31" s="156"/>
      <c r="D31" s="156"/>
      <c r="E31" s="156"/>
      <c r="F31" s="158">
        <f t="shared" ref="F31:DB31" si="53">SUM(F27:F30)</f>
        <v>-2789.8117636774195</v>
      </c>
      <c r="G31" s="158">
        <f t="shared" si="53"/>
        <v>-3365.0006682274188</v>
      </c>
      <c r="H31" s="158">
        <f t="shared" si="53"/>
        <v>-3205.1030422274193</v>
      </c>
      <c r="I31" s="158">
        <f t="shared" si="53"/>
        <v>-4094.161992227419</v>
      </c>
      <c r="J31" s="158">
        <f t="shared" si="53"/>
        <v>-3543.696314227419</v>
      </c>
      <c r="K31" s="158">
        <f t="shared" si="53"/>
        <v>-3990.2339572274191</v>
      </c>
      <c r="L31" s="158">
        <f t="shared" si="53"/>
        <v>-2755.0589579274201</v>
      </c>
      <c r="M31" s="158">
        <f t="shared" si="53"/>
        <v>-4862.1563692274194</v>
      </c>
      <c r="N31" s="158">
        <f t="shared" si="53"/>
        <v>-2818.4491379274205</v>
      </c>
      <c r="O31" s="158">
        <f t="shared" si="53"/>
        <v>-3907.5204802274197</v>
      </c>
      <c r="P31" s="158">
        <f t="shared" si="53"/>
        <v>-2141.6461467774197</v>
      </c>
      <c r="Q31" s="158">
        <f t="shared" si="53"/>
        <v>-5749.7549542274201</v>
      </c>
      <c r="R31" s="158">
        <f t="shared" si="53"/>
        <v>0</v>
      </c>
      <c r="S31" s="158">
        <f t="shared" si="53"/>
        <v>-2649.4398912274191</v>
      </c>
      <c r="T31" s="158">
        <f t="shared" si="53"/>
        <v>0</v>
      </c>
      <c r="U31" s="158">
        <f t="shared" si="53"/>
        <v>-12255.83000922742</v>
      </c>
      <c r="V31" s="158">
        <f t="shared" si="53"/>
        <v>0</v>
      </c>
      <c r="W31" s="158">
        <f t="shared" si="53"/>
        <v>-3187.9578472274202</v>
      </c>
      <c r="X31" s="158">
        <f t="shared" si="53"/>
        <v>-12305.83000922742</v>
      </c>
      <c r="Y31" s="158">
        <f t="shared" si="53"/>
        <v>0</v>
      </c>
      <c r="Z31" s="158">
        <f t="shared" si="53"/>
        <v>-2251.7578472274199</v>
      </c>
      <c r="AA31" s="158">
        <f t="shared" si="53"/>
        <v>-12310.83000922742</v>
      </c>
      <c r="AB31" s="158">
        <f t="shared" si="53"/>
        <v>0</v>
      </c>
      <c r="AC31" s="158">
        <f t="shared" si="53"/>
        <v>-1601.7578472274199</v>
      </c>
      <c r="AD31" s="158">
        <f t="shared" si="53"/>
        <v>-12304.83000922742</v>
      </c>
      <c r="AE31" s="158">
        <f t="shared" si="53"/>
        <v>0</v>
      </c>
      <c r="AF31" s="158">
        <f t="shared" si="53"/>
        <v>-933.34984722741956</v>
      </c>
      <c r="AG31" s="171">
        <f t="shared" si="53"/>
        <v>-9698.5087461322564</v>
      </c>
      <c r="AH31" s="171">
        <f t="shared" si="53"/>
        <v>-12759.910806682257</v>
      </c>
      <c r="AI31" s="171">
        <f t="shared" si="53"/>
        <v>-8399.1948454548383</v>
      </c>
      <c r="AJ31" s="171">
        <f t="shared" si="53"/>
        <v>0</v>
      </c>
      <c r="AK31" s="171">
        <f>SUM(AK27:AK30)</f>
        <v>-30857.614398269354</v>
      </c>
      <c r="AL31" s="171">
        <f>SUM(AL27:AL30)</f>
        <v>-39382.903465179043</v>
      </c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171"/>
      <c r="AY31" s="171"/>
      <c r="AZ31" s="158">
        <f t="shared" si="53"/>
        <v>-1512.100926840641</v>
      </c>
      <c r="BA31" s="158">
        <f t="shared" si="53"/>
        <v>-2276.2989528406406</v>
      </c>
      <c r="BB31" s="158">
        <f t="shared" si="53"/>
        <v>-2574.8374958406407</v>
      </c>
      <c r="BC31" s="158">
        <f t="shared" si="53"/>
        <v>1902.9025641593587</v>
      </c>
      <c r="BD31" s="158">
        <f t="shared" si="53"/>
        <v>-533.73154584064116</v>
      </c>
      <c r="BE31" s="158">
        <f t="shared" si="53"/>
        <v>-135.42311384064089</v>
      </c>
      <c r="BF31" s="158">
        <f t="shared" si="53"/>
        <v>-431.16654584064139</v>
      </c>
      <c r="BG31" s="158">
        <f t="shared" si="53"/>
        <v>-2557.2637728406407</v>
      </c>
      <c r="BH31" s="158">
        <f t="shared" si="53"/>
        <v>-1252.3515458406398</v>
      </c>
      <c r="BI31" s="158">
        <f t="shared" si="53"/>
        <v>-1011.4151848406412</v>
      </c>
      <c r="BJ31" s="158">
        <f t="shared" si="53"/>
        <v>39.848454159358482</v>
      </c>
      <c r="BK31" s="158">
        <f t="shared" si="53"/>
        <v>-1436.5225858406411</v>
      </c>
      <c r="BL31" s="158" t="e">
        <f t="shared" si="53"/>
        <v>#REF!</v>
      </c>
      <c r="BM31" s="158">
        <f t="shared" si="53"/>
        <v>-2322.5247698406401</v>
      </c>
      <c r="BN31" s="158" t="e">
        <f t="shared" si="53"/>
        <v>#REF!</v>
      </c>
      <c r="BO31" s="158">
        <f t="shared" si="53"/>
        <v>-5322.6315458406407</v>
      </c>
      <c r="BP31" s="158" t="e">
        <f t="shared" si="53"/>
        <v>#REF!</v>
      </c>
      <c r="BQ31" s="158">
        <f t="shared" si="53"/>
        <v>-364.73154584064116</v>
      </c>
      <c r="BR31" s="158">
        <f t="shared" si="53"/>
        <v>-5122.6315458406407</v>
      </c>
      <c r="BS31" s="158" t="e">
        <f t="shared" si="53"/>
        <v>#REF!</v>
      </c>
      <c r="BT31" s="158">
        <f t="shared" si="53"/>
        <v>60.268454159358839</v>
      </c>
      <c r="BU31" s="158">
        <f t="shared" si="53"/>
        <v>-5112.6315458406407</v>
      </c>
      <c r="BV31" s="158" t="e">
        <f t="shared" si="53"/>
        <v>#REF!</v>
      </c>
      <c r="BW31" s="158">
        <f t="shared" si="53"/>
        <v>1606.268454159359</v>
      </c>
      <c r="BX31" s="158">
        <f t="shared" si="53"/>
        <v>-6892.6315458406407</v>
      </c>
      <c r="BY31" s="158" t="e">
        <f t="shared" si="53"/>
        <v>#REF!</v>
      </c>
      <c r="BZ31" s="158">
        <f t="shared" si="53"/>
        <v>827.16845415935893</v>
      </c>
      <c r="CA31" s="171">
        <f t="shared" si="53"/>
        <v>-4322.1314255219222</v>
      </c>
      <c r="CB31" s="171">
        <f t="shared" si="53"/>
        <v>-3704.1020715219229</v>
      </c>
      <c r="CC31" s="171" t="e">
        <f t="shared" si="53"/>
        <v>#REF!</v>
      </c>
      <c r="CD31" s="209" t="e">
        <f t="shared" si="53"/>
        <v>#REF!</v>
      </c>
      <c r="CE31" s="171" t="e">
        <f>SUM(CE27:CE30)</f>
        <v>#REF!</v>
      </c>
      <c r="CF31" s="171">
        <f>SUM(CF27:CF30)</f>
        <v>-7219.6729260876918</v>
      </c>
      <c r="CG31" s="171"/>
      <c r="CH31" s="171"/>
      <c r="CI31" s="171"/>
      <c r="CJ31" s="171"/>
      <c r="CK31" s="171"/>
      <c r="CL31" s="171"/>
      <c r="CM31" s="171"/>
      <c r="CN31" s="171"/>
      <c r="CO31" s="171"/>
      <c r="CP31" s="171"/>
      <c r="CQ31" s="171"/>
      <c r="CR31" s="171"/>
      <c r="CS31" s="171"/>
      <c r="CT31" s="158">
        <f t="shared" si="53"/>
        <v>-583.40000000000009</v>
      </c>
      <c r="CU31" s="158">
        <f t="shared" si="53"/>
        <v>-733.40000000000009</v>
      </c>
      <c r="CV31" s="158">
        <f t="shared" si="53"/>
        <v>-776.90000000000009</v>
      </c>
      <c r="CW31" s="158">
        <f t="shared" si="53"/>
        <v>-852.40000000000009</v>
      </c>
      <c r="CX31" s="158">
        <f t="shared" si="53"/>
        <v>613.89999999999986</v>
      </c>
      <c r="CY31" s="158">
        <f t="shared" si="53"/>
        <v>542</v>
      </c>
      <c r="CZ31" s="158">
        <f t="shared" si="53"/>
        <v>174.39999999999986</v>
      </c>
      <c r="DA31" s="158">
        <f t="shared" si="53"/>
        <v>-490.11426800000004</v>
      </c>
      <c r="DB31" s="158">
        <f t="shared" si="53"/>
        <v>-194.95000000000005</v>
      </c>
      <c r="DC31" s="158">
        <f t="shared" ref="DC31:HA31" si="54">SUM(DC27:DC30)</f>
        <v>-510.21815500000002</v>
      </c>
      <c r="DD31" s="158">
        <f t="shared" si="54"/>
        <v>-194.95000000000005</v>
      </c>
      <c r="DE31" s="158">
        <f t="shared" si="54"/>
        <v>-460.77081900000007</v>
      </c>
      <c r="DF31" s="158">
        <f t="shared" si="54"/>
        <v>246.69000000000028</v>
      </c>
      <c r="DG31" s="158">
        <f t="shared" si="54"/>
        <v>-531.56895000000009</v>
      </c>
      <c r="DH31" s="158">
        <f t="shared" si="54"/>
        <v>246.69000000000028</v>
      </c>
      <c r="DI31" s="158">
        <f t="shared" si="54"/>
        <v>-1781.65</v>
      </c>
      <c r="DJ31" s="158">
        <f t="shared" si="54"/>
        <v>0</v>
      </c>
      <c r="DK31" s="158">
        <f t="shared" si="54"/>
        <v>-398.35000000000014</v>
      </c>
      <c r="DL31" s="158">
        <f t="shared" si="54"/>
        <v>-1781.65</v>
      </c>
      <c r="DM31" s="158">
        <f t="shared" si="54"/>
        <v>0</v>
      </c>
      <c r="DN31" s="158">
        <f t="shared" si="54"/>
        <v>-287.85000000000014</v>
      </c>
      <c r="DO31" s="158">
        <f t="shared" si="54"/>
        <v>-1781.65</v>
      </c>
      <c r="DP31" s="158">
        <f t="shared" si="54"/>
        <v>0</v>
      </c>
      <c r="DQ31" s="158">
        <f t="shared" si="54"/>
        <v>-177.35000000000014</v>
      </c>
      <c r="DR31" s="158">
        <f t="shared" si="54"/>
        <v>-1781.65</v>
      </c>
      <c r="DS31" s="158">
        <f t="shared" si="54"/>
        <v>0</v>
      </c>
      <c r="DT31" s="158">
        <f t="shared" si="54"/>
        <v>-86.850000000000136</v>
      </c>
      <c r="DU31" s="171">
        <f t="shared" si="54"/>
        <v>-2169.2000000000003</v>
      </c>
      <c r="DV31" s="171">
        <f t="shared" si="54"/>
        <v>-458.33242300000006</v>
      </c>
      <c r="DW31" s="171">
        <f t="shared" si="54"/>
        <v>-992.33976900000016</v>
      </c>
      <c r="DX31" s="171">
        <f t="shared" si="54"/>
        <v>0</v>
      </c>
      <c r="DY31" s="171">
        <f>SUM(DY27:DY30)</f>
        <v>-3619.8721920000007</v>
      </c>
      <c r="DZ31" s="171">
        <f>SUM(DZ27:DZ30)</f>
        <v>-4570.2721920000013</v>
      </c>
      <c r="EA31" s="171"/>
      <c r="EB31" s="171"/>
      <c r="EC31" s="171"/>
      <c r="ED31" s="171"/>
      <c r="EE31" s="171"/>
      <c r="EF31" s="171"/>
      <c r="EG31" s="171"/>
      <c r="EH31" s="171"/>
      <c r="EI31" s="171"/>
      <c r="EJ31" s="171"/>
      <c r="EK31" s="171"/>
      <c r="EL31" s="171"/>
      <c r="EM31" s="171"/>
      <c r="EN31" s="158">
        <f t="shared" si="54"/>
        <v>-1796.6757116000001</v>
      </c>
      <c r="EO31" s="158">
        <f t="shared" si="54"/>
        <v>-2261.3990096000002</v>
      </c>
      <c r="EP31" s="158">
        <f t="shared" si="54"/>
        <v>-1799.2227625999994</v>
      </c>
      <c r="EQ31" s="158">
        <f t="shared" si="54"/>
        <v>-1455.1867505999985</v>
      </c>
      <c r="ER31" s="158">
        <f t="shared" si="54"/>
        <v>-43.104532600000425</v>
      </c>
      <c r="ES31" s="158">
        <f t="shared" si="54"/>
        <v>-1612.2790500000015</v>
      </c>
      <c r="ET31" s="158">
        <f t="shared" si="54"/>
        <v>605.98846700000036</v>
      </c>
      <c r="EU31" s="158">
        <f t="shared" si="54"/>
        <v>-1172.9335473000001</v>
      </c>
      <c r="EV31" s="158">
        <f t="shared" si="54"/>
        <v>1703.8436797000022</v>
      </c>
      <c r="EW31" s="158">
        <f t="shared" si="54"/>
        <v>-274.1181846000004</v>
      </c>
      <c r="EX31" s="158">
        <f t="shared" si="54"/>
        <v>2638.0902039999987</v>
      </c>
      <c r="EY31" s="158">
        <f t="shared" si="54"/>
        <v>-935.34541399999955</v>
      </c>
      <c r="EZ31" s="158">
        <f t="shared" si="54"/>
        <v>1172.0565438999993</v>
      </c>
      <c r="FA31" s="158">
        <f t="shared" si="54"/>
        <v>-455.97919300000024</v>
      </c>
      <c r="FB31" s="158">
        <f t="shared" si="54"/>
        <v>1192.0565438999986</v>
      </c>
      <c r="FC31" s="158">
        <f t="shared" si="54"/>
        <v>-12100.365438999999</v>
      </c>
      <c r="FD31" s="158">
        <f t="shared" si="54"/>
        <v>1219.0565438999988</v>
      </c>
      <c r="FE31" s="158">
        <f t="shared" si="54"/>
        <v>3255.7946199999997</v>
      </c>
      <c r="FF31" s="158">
        <f t="shared" si="54"/>
        <v>-12230.365438999999</v>
      </c>
      <c r="FG31" s="158">
        <f t="shared" si="54"/>
        <v>1232.0565438999981</v>
      </c>
      <c r="FH31" s="158">
        <f t="shared" si="54"/>
        <v>3715.7946199999997</v>
      </c>
      <c r="FI31" s="158">
        <f t="shared" si="54"/>
        <v>-12115.365438999999</v>
      </c>
      <c r="FJ31" s="158">
        <f t="shared" si="54"/>
        <v>1220.5565438999975</v>
      </c>
      <c r="FK31" s="158">
        <f t="shared" si="54"/>
        <v>4140.7946199999997</v>
      </c>
      <c r="FL31" s="158">
        <f t="shared" si="54"/>
        <v>-12057.365438999999</v>
      </c>
      <c r="FM31" s="158">
        <f t="shared" si="54"/>
        <v>1214.7565438999968</v>
      </c>
      <c r="FN31" s="158">
        <f t="shared" si="54"/>
        <v>4308.7946200000006</v>
      </c>
      <c r="FO31" s="171">
        <f t="shared" si="54"/>
        <v>-4101.1792538000009</v>
      </c>
      <c r="FP31" s="171">
        <f t="shared" si="54"/>
        <v>-3059.3307819000029</v>
      </c>
      <c r="FQ31" s="171">
        <f t="shared" si="54"/>
        <v>-172.26806310000131</v>
      </c>
      <c r="FR31" s="171">
        <f t="shared" si="54"/>
        <v>3667.3696316999922</v>
      </c>
      <c r="FS31" s="171">
        <f>SUM(FS27:FS30)</f>
        <v>-3665.408467100011</v>
      </c>
      <c r="FT31" s="171">
        <f>SUM(FT27:FT30)</f>
        <v>5457.2616192999985</v>
      </c>
      <c r="FU31" s="171"/>
      <c r="FV31" s="171"/>
      <c r="FW31" s="171"/>
      <c r="FX31" s="171"/>
      <c r="FY31" s="171"/>
      <c r="FZ31" s="171"/>
      <c r="GA31" s="171"/>
      <c r="GB31" s="171"/>
      <c r="GC31" s="171"/>
      <c r="GD31" s="171"/>
      <c r="GE31" s="171"/>
      <c r="GF31" s="171"/>
      <c r="GG31" s="171"/>
      <c r="GH31" s="158">
        <f t="shared" si="54"/>
        <v>-75.658990000000017</v>
      </c>
      <c r="GI31" s="158">
        <f t="shared" si="54"/>
        <v>-315.30810600000007</v>
      </c>
      <c r="GJ31" s="158">
        <f t="shared" si="54"/>
        <v>-370.19110600000022</v>
      </c>
      <c r="GK31" s="158">
        <f t="shared" si="54"/>
        <v>-402.59648500000026</v>
      </c>
      <c r="GL31" s="158">
        <f t="shared" si="54"/>
        <v>320.48690000000011</v>
      </c>
      <c r="GM31" s="158">
        <f t="shared" si="54"/>
        <v>135.0052390000003</v>
      </c>
      <c r="GN31" s="158">
        <f t="shared" si="54"/>
        <v>-1340.1154499999998</v>
      </c>
      <c r="GO31" s="158">
        <f t="shared" si="54"/>
        <v>-2814.4228250000001</v>
      </c>
      <c r="GP31" s="158">
        <f t="shared" si="54"/>
        <v>-360.06500000000028</v>
      </c>
      <c r="GQ31" s="158">
        <f t="shared" si="54"/>
        <v>592.57621500000005</v>
      </c>
      <c r="GR31" s="158">
        <f t="shared" si="54"/>
        <v>1795.335</v>
      </c>
      <c r="GS31" s="158">
        <f t="shared" si="54"/>
        <v>2049.8744199999996</v>
      </c>
      <c r="GT31" s="158">
        <f t="shared" si="54"/>
        <v>169.47300000000013</v>
      </c>
      <c r="GU31" s="158">
        <f>SUM(GU27:GU30)</f>
        <v>881.33095699999967</v>
      </c>
      <c r="GV31" s="158">
        <f t="shared" si="54"/>
        <v>571.52774999999997</v>
      </c>
      <c r="GW31" s="158">
        <f>SUM(GW27:GW30)</f>
        <v>-3376.2750000000001</v>
      </c>
      <c r="GX31" s="158">
        <f t="shared" si="54"/>
        <v>506.44124999999985</v>
      </c>
      <c r="GY31" s="158">
        <f t="shared" si="54"/>
        <v>98.724999999999909</v>
      </c>
      <c r="GZ31" s="158">
        <f>SUM(GZ27:GZ30)</f>
        <v>-3564.2150000000001</v>
      </c>
      <c r="HA31" s="158">
        <f t="shared" si="54"/>
        <v>534.6322499999992</v>
      </c>
      <c r="HB31" s="158">
        <f>SUM(HB27:HB30)</f>
        <v>85.784999999999854</v>
      </c>
      <c r="HC31" s="158">
        <f>SUM(HC27:HC30)</f>
        <v>-3639.5</v>
      </c>
      <c r="HD31" s="158">
        <f t="shared" ref="HD31:KF31" si="55">SUM(HD27:HD30)</f>
        <v>545.92499999999927</v>
      </c>
      <c r="HE31" s="158">
        <f t="shared" si="55"/>
        <v>1818.5</v>
      </c>
      <c r="HF31" s="158">
        <f>SUM(HF27:HF30)</f>
        <v>-1540</v>
      </c>
      <c r="HG31" s="158">
        <f t="shared" si="55"/>
        <v>230.99999999999977</v>
      </c>
      <c r="HH31" s="158">
        <f t="shared" si="55"/>
        <v>2785</v>
      </c>
      <c r="HI31" s="171">
        <f t="shared" si="55"/>
        <v>-70.480195999999978</v>
      </c>
      <c r="HJ31" s="171">
        <f t="shared" si="55"/>
        <v>-2086.8413710000004</v>
      </c>
      <c r="HK31" s="171">
        <f t="shared" si="55"/>
        <v>3437.6466269999992</v>
      </c>
      <c r="HL31" s="171">
        <f t="shared" si="55"/>
        <v>1311.557249999998</v>
      </c>
      <c r="HM31" s="171">
        <f>SUM(HM27:HM30)</f>
        <v>2591.8823099999954</v>
      </c>
      <c r="HN31" s="171">
        <f>SUM(HN27:HN30)</f>
        <v>4838.8104249999988</v>
      </c>
      <c r="HO31" s="171"/>
      <c r="HP31" s="171"/>
      <c r="HQ31" s="171"/>
      <c r="HR31" s="171"/>
      <c r="HS31" s="171"/>
      <c r="HT31" s="171"/>
      <c r="HU31" s="171"/>
      <c r="HV31" s="171"/>
      <c r="HW31" s="171"/>
      <c r="HX31" s="171"/>
      <c r="HY31" s="171"/>
      <c r="HZ31" s="171"/>
      <c r="IA31" s="171"/>
      <c r="IB31" s="158">
        <f t="shared" si="55"/>
        <v>-2117.6375239999998</v>
      </c>
      <c r="IC31" s="158">
        <f t="shared" si="55"/>
        <v>-3087.3641550000002</v>
      </c>
      <c r="ID31" s="158">
        <f t="shared" si="55"/>
        <v>-2729.4703200000004</v>
      </c>
      <c r="IE31" s="158">
        <f t="shared" si="55"/>
        <v>-2281.3454360000005</v>
      </c>
      <c r="IF31" s="158">
        <f t="shared" si="55"/>
        <v>-2869.15</v>
      </c>
      <c r="IG31" s="158">
        <f t="shared" si="55"/>
        <v>-2766.8108789999997</v>
      </c>
      <c r="IH31" s="158">
        <f t="shared" si="55"/>
        <v>-673.44999999999948</v>
      </c>
      <c r="II31" s="158">
        <f t="shared" si="55"/>
        <v>-1480.4987169999999</v>
      </c>
      <c r="IJ31" s="158">
        <f t="shared" si="55"/>
        <v>-779.88699999999994</v>
      </c>
      <c r="IK31" s="158">
        <f t="shared" si="55"/>
        <v>-27.210056000000009</v>
      </c>
      <c r="IL31" s="158">
        <f t="shared" si="55"/>
        <v>-1456.8369999999993</v>
      </c>
      <c r="IM31" s="158">
        <f t="shared" si="55"/>
        <v>-127.9960270000002</v>
      </c>
      <c r="IN31" s="158">
        <f t="shared" si="55"/>
        <v>-36.376488399999857</v>
      </c>
      <c r="IO31" s="158">
        <f t="shared" si="55"/>
        <v>3754.5279889999997</v>
      </c>
      <c r="IP31" s="158">
        <f t="shared" si="55"/>
        <v>-26.376488400000142</v>
      </c>
      <c r="IQ31" s="158">
        <f t="shared" si="55"/>
        <v>-6406.4369999999999</v>
      </c>
      <c r="IR31" s="158">
        <f t="shared" si="55"/>
        <v>-53.876488400000255</v>
      </c>
      <c r="IS31" s="158">
        <f t="shared" si="55"/>
        <v>96.006999999999948</v>
      </c>
      <c r="IT31" s="158">
        <f t="shared" si="55"/>
        <v>-6176.3369999999995</v>
      </c>
      <c r="IU31" s="158">
        <f t="shared" si="55"/>
        <v>-8.8764884000000848</v>
      </c>
      <c r="IV31" s="158">
        <f t="shared" si="55"/>
        <v>803.2170000000001</v>
      </c>
      <c r="IW31" s="158">
        <f t="shared" si="55"/>
        <v>-6848.5869999999995</v>
      </c>
      <c r="IX31" s="158">
        <f t="shared" si="55"/>
        <v>1.1235116000000289</v>
      </c>
      <c r="IY31" s="158">
        <f t="shared" si="55"/>
        <v>-181.13700000000028</v>
      </c>
      <c r="IZ31" s="158">
        <f t="shared" si="55"/>
        <v>-6255.7306170000002</v>
      </c>
      <c r="JA31" s="158">
        <f t="shared" si="55"/>
        <v>-50.720105400000534</v>
      </c>
      <c r="JB31" s="158">
        <f t="shared" si="55"/>
        <v>414.71938299999977</v>
      </c>
      <c r="JC31" s="171">
        <f t="shared" si="55"/>
        <v>-8074.1516790000005</v>
      </c>
      <c r="JD31" s="171">
        <f t="shared" si="55"/>
        <v>-4274.519651999999</v>
      </c>
      <c r="JE31" s="171">
        <f t="shared" si="55"/>
        <v>3572.6554735999998</v>
      </c>
      <c r="JF31" s="171">
        <f t="shared" si="55"/>
        <v>-58.47308220000059</v>
      </c>
      <c r="JG31" s="171">
        <f>SUM(JG27:JG30)</f>
        <v>-8834.4889396000017</v>
      </c>
      <c r="JH31" s="171">
        <f>SUM(JH27:JH30)</f>
        <v>-7001.5284220000003</v>
      </c>
      <c r="JI31" s="171"/>
      <c r="JJ31" s="171"/>
      <c r="JK31" s="171"/>
      <c r="JL31" s="171"/>
      <c r="JM31" s="171"/>
      <c r="JN31" s="171"/>
      <c r="JO31" s="171"/>
      <c r="JP31" s="171"/>
      <c r="JQ31" s="171"/>
      <c r="JR31" s="171"/>
      <c r="JS31" s="171"/>
      <c r="JT31" s="171"/>
      <c r="JU31" s="171"/>
      <c r="JV31" s="158">
        <f t="shared" si="55"/>
        <v>-1329.0418888728771</v>
      </c>
      <c r="JW31" s="158">
        <f t="shared" si="55"/>
        <v>-217.1141888200591</v>
      </c>
      <c r="JX31" s="158">
        <f t="shared" si="55"/>
        <v>-2784.1141888200591</v>
      </c>
      <c r="JY31" s="158">
        <f t="shared" si="55"/>
        <v>-601.58713629210888</v>
      </c>
      <c r="JZ31" s="158">
        <f t="shared" si="55"/>
        <v>-2895.7584992921093</v>
      </c>
      <c r="KA31" s="158">
        <f t="shared" si="55"/>
        <v>-548.59905754033934</v>
      </c>
      <c r="KB31" s="158">
        <f t="shared" si="55"/>
        <v>-715.49692054033949</v>
      </c>
      <c r="KC31" s="158">
        <f t="shared" si="55"/>
        <v>-1232.5588158416904</v>
      </c>
      <c r="KD31" s="158">
        <f t="shared" si="55"/>
        <v>-953.81546284169008</v>
      </c>
      <c r="KE31" s="158">
        <f t="shared" si="55"/>
        <v>-931.80463249879449</v>
      </c>
      <c r="KF31" s="158">
        <f t="shared" si="55"/>
        <v>1183.0018635012057</v>
      </c>
      <c r="KG31" s="158">
        <f>SUM(KG27:KG30)</f>
        <v>-1038.3542508400412</v>
      </c>
      <c r="KH31" s="158">
        <f t="shared" ref="KH31:PJ31" si="56">SUM(KH27:KH30)</f>
        <v>0</v>
      </c>
      <c r="KI31" s="158">
        <f t="shared" si="56"/>
        <v>-1254.1248692196414</v>
      </c>
      <c r="KJ31" s="158">
        <f t="shared" si="56"/>
        <v>0</v>
      </c>
      <c r="KK31" s="158">
        <f t="shared" si="56"/>
        <v>-3226.8610490176907</v>
      </c>
      <c r="KL31" s="158">
        <f t="shared" si="56"/>
        <v>0</v>
      </c>
      <c r="KM31" s="158">
        <f t="shared" si="56"/>
        <v>-1407.1184490176909</v>
      </c>
      <c r="KN31" s="158">
        <f t="shared" si="56"/>
        <v>-3390.0343516402345</v>
      </c>
      <c r="KO31" s="158">
        <f t="shared" si="56"/>
        <v>0</v>
      </c>
      <c r="KP31" s="158">
        <f t="shared" si="56"/>
        <v>-564.70324052912383</v>
      </c>
      <c r="KQ31" s="158">
        <f t="shared" si="56"/>
        <v>-3402.7118375193349</v>
      </c>
      <c r="KR31" s="158">
        <f t="shared" si="56"/>
        <v>0</v>
      </c>
      <c r="KS31" s="158">
        <f t="shared" si="56"/>
        <v>-1062.6707264082238</v>
      </c>
      <c r="KT31" s="158">
        <f t="shared" si="56"/>
        <v>-3431.8935171131334</v>
      </c>
      <c r="KU31" s="158">
        <f t="shared" si="56"/>
        <v>0</v>
      </c>
      <c r="KV31" s="158">
        <f t="shared" si="56"/>
        <v>-1348.0724060020225</v>
      </c>
      <c r="KW31" s="171">
        <f t="shared" si="56"/>
        <v>-4441.9145769850456</v>
      </c>
      <c r="KX31" s="171">
        <f t="shared" si="56"/>
        <v>-2712.9625058808242</v>
      </c>
      <c r="KY31" s="171">
        <f t="shared" si="56"/>
        <v>-2292.4791200596828</v>
      </c>
      <c r="KZ31" s="171">
        <f t="shared" si="56"/>
        <v>0</v>
      </c>
      <c r="LA31" s="171">
        <f>SUM(LA27:LA30)</f>
        <v>-9447.3562029255518</v>
      </c>
      <c r="LB31" s="171">
        <f>SUM(LB27:LB30)</f>
        <v>-11535.749661882614</v>
      </c>
      <c r="LC31" s="171"/>
      <c r="LD31" s="171"/>
      <c r="LE31" s="171"/>
      <c r="LF31" s="171"/>
      <c r="LG31" s="171"/>
      <c r="LH31" s="171"/>
      <c r="LI31" s="171"/>
      <c r="LJ31" s="171"/>
      <c r="LK31" s="171"/>
      <c r="LL31" s="171"/>
      <c r="LM31" s="171"/>
      <c r="LN31" s="171"/>
      <c r="LO31" s="171"/>
      <c r="LP31" s="158">
        <f t="shared" si="56"/>
        <v>-175.65026634049968</v>
      </c>
      <c r="LQ31" s="158">
        <f t="shared" si="56"/>
        <v>-34.784428340499744</v>
      </c>
      <c r="LR31" s="158">
        <f t="shared" si="56"/>
        <v>-34.784428340499744</v>
      </c>
      <c r="LS31" s="158">
        <f t="shared" si="56"/>
        <v>-14.787633340499724</v>
      </c>
      <c r="LT31" s="158">
        <f t="shared" si="56"/>
        <v>-14.787633340499724</v>
      </c>
      <c r="LU31" s="158">
        <f t="shared" si="56"/>
        <v>-44.888529340499645</v>
      </c>
      <c r="LV31" s="158">
        <f t="shared" si="56"/>
        <v>-16.493214340499435</v>
      </c>
      <c r="LW31" s="158">
        <f t="shared" si="56"/>
        <v>-268.40181634049964</v>
      </c>
      <c r="LX31" s="158">
        <f t="shared" si="56"/>
        <v>-16.493214340499435</v>
      </c>
      <c r="LY31" s="158">
        <f t="shared" si="56"/>
        <v>-81.962260340499597</v>
      </c>
      <c r="LZ31" s="158">
        <f t="shared" si="56"/>
        <v>-16.493214340499435</v>
      </c>
      <c r="MA31" s="158">
        <f t="shared" si="56"/>
        <v>-175.37413634049972</v>
      </c>
      <c r="MB31" s="158">
        <f t="shared" si="56"/>
        <v>0</v>
      </c>
      <c r="MC31" s="158">
        <f t="shared" si="56"/>
        <v>-41.241160340499619</v>
      </c>
      <c r="MD31" s="158">
        <f t="shared" si="56"/>
        <v>0</v>
      </c>
      <c r="ME31" s="158">
        <f t="shared" si="56"/>
        <v>-1765.4932143404997</v>
      </c>
      <c r="MF31" s="158">
        <f t="shared" si="56"/>
        <v>0</v>
      </c>
      <c r="MG31" s="158">
        <f t="shared" si="56"/>
        <v>0</v>
      </c>
      <c r="MH31" s="158">
        <f t="shared" si="56"/>
        <v>-1765.4932143404997</v>
      </c>
      <c r="MI31" s="158">
        <f t="shared" si="56"/>
        <v>0</v>
      </c>
      <c r="MJ31" s="158">
        <f t="shared" si="56"/>
        <v>0</v>
      </c>
      <c r="MK31" s="158">
        <f t="shared" si="56"/>
        <v>-1765.4932143404997</v>
      </c>
      <c r="ML31" s="158">
        <f t="shared" si="56"/>
        <v>0</v>
      </c>
      <c r="MM31" s="158">
        <f t="shared" si="56"/>
        <v>0</v>
      </c>
      <c r="MN31" s="158">
        <f t="shared" si="56"/>
        <v>-1765.4932143404997</v>
      </c>
      <c r="MO31" s="158">
        <f t="shared" si="56"/>
        <v>0</v>
      </c>
      <c r="MP31" s="158">
        <f t="shared" si="56"/>
        <v>0</v>
      </c>
      <c r="MQ31" s="171">
        <f t="shared" si="56"/>
        <v>-225.22232802149915</v>
      </c>
      <c r="MR31" s="579">
        <f t="shared" si="56"/>
        <v>-395.25260602149888</v>
      </c>
      <c r="MS31" s="171">
        <f t="shared" si="56"/>
        <v>-216.61529668099934</v>
      </c>
      <c r="MT31" s="171">
        <f t="shared" si="56"/>
        <v>0</v>
      </c>
      <c r="MU31" s="171">
        <f>SUM(MU27:MU30)</f>
        <v>-837.09023072399737</v>
      </c>
      <c r="MV31" s="171">
        <f>SUM(MV27:MV30)</f>
        <v>-837.09023072399737</v>
      </c>
      <c r="MW31" s="171"/>
      <c r="MX31" s="171"/>
      <c r="MY31" s="171"/>
      <c r="MZ31" s="171"/>
      <c r="NA31" s="171"/>
      <c r="NB31" s="171"/>
      <c r="NC31" s="171"/>
      <c r="ND31" s="171"/>
      <c r="NE31" s="171"/>
      <c r="NF31" s="171"/>
      <c r="NG31" s="171"/>
      <c r="NH31" s="171"/>
      <c r="NI31" s="171"/>
      <c r="NJ31" s="158">
        <f t="shared" si="56"/>
        <v>529.98091151596395</v>
      </c>
      <c r="NK31" s="158">
        <f t="shared" si="56"/>
        <v>466.53878128413999</v>
      </c>
      <c r="NL31" s="158">
        <f t="shared" si="56"/>
        <v>662.06104628414005</v>
      </c>
      <c r="NM31" s="158">
        <f t="shared" si="56"/>
        <v>670.24634540205011</v>
      </c>
      <c r="NN31" s="158">
        <f t="shared" si="56"/>
        <v>659.90667240205005</v>
      </c>
      <c r="NO31" s="158">
        <f t="shared" si="56"/>
        <v>661.08138901247992</v>
      </c>
      <c r="NP31" s="158">
        <f t="shared" si="56"/>
        <v>475.82706201247993</v>
      </c>
      <c r="NQ31" s="158">
        <f t="shared" si="56"/>
        <v>661.48307344992986</v>
      </c>
      <c r="NR31" s="158">
        <f t="shared" si="56"/>
        <v>454.89057344992989</v>
      </c>
      <c r="NS31" s="158">
        <f t="shared" si="56"/>
        <v>626.05287634622994</v>
      </c>
      <c r="NT31" s="158">
        <f t="shared" si="56"/>
        <v>425.00518434622995</v>
      </c>
      <c r="NU31" s="158">
        <f t="shared" si="56"/>
        <v>630.27977421094988</v>
      </c>
      <c r="NV31" s="158">
        <f t="shared" si="56"/>
        <v>0</v>
      </c>
      <c r="NW31" s="158">
        <f t="shared" si="56"/>
        <v>739.21694452559996</v>
      </c>
      <c r="NX31" s="158">
        <f t="shared" si="56"/>
        <v>0</v>
      </c>
      <c r="NY31" s="158">
        <f t="shared" si="56"/>
        <v>1139.34973912635</v>
      </c>
      <c r="NZ31" s="158">
        <f t="shared" si="56"/>
        <v>0</v>
      </c>
      <c r="OA31" s="158">
        <f t="shared" si="56"/>
        <v>1143.97857335661</v>
      </c>
      <c r="OB31" s="158">
        <f t="shared" si="56"/>
        <v>0</v>
      </c>
      <c r="OC31" s="158">
        <f t="shared" si="56"/>
        <v>1162.39459878912</v>
      </c>
      <c r="OD31" s="158">
        <f t="shared" si="56"/>
        <v>0</v>
      </c>
      <c r="OE31" s="158">
        <f t="shared" si="56"/>
        <v>1130.9643490446799</v>
      </c>
      <c r="OF31" s="158">
        <f t="shared" si="56"/>
        <v>0</v>
      </c>
      <c r="OG31" s="171">
        <f t="shared" si="56"/>
        <v>1656.4263652021541</v>
      </c>
      <c r="OH31" s="171">
        <f t="shared" si="56"/>
        <v>1948.6173388086395</v>
      </c>
      <c r="OI31" s="171">
        <f t="shared" si="56"/>
        <v>1369.4967187365498</v>
      </c>
      <c r="OJ31" s="171">
        <f t="shared" si="56"/>
        <v>0</v>
      </c>
      <c r="OK31" s="171">
        <f>SUM(OK27:OK30)</f>
        <v>4974.5404227473437</v>
      </c>
      <c r="OL31" s="171"/>
      <c r="OM31" s="171"/>
      <c r="ON31" s="171"/>
      <c r="OO31" s="171"/>
      <c r="OP31" s="171"/>
      <c r="OQ31" s="171"/>
      <c r="OR31" s="171"/>
      <c r="OS31" s="171"/>
      <c r="OT31" s="171"/>
      <c r="OU31" s="171"/>
      <c r="OV31" s="171"/>
      <c r="OW31" s="171"/>
      <c r="OX31" s="171"/>
      <c r="OY31" s="158">
        <f t="shared" si="56"/>
        <v>-9849.9961598154732</v>
      </c>
      <c r="OZ31" s="158">
        <f t="shared" si="56"/>
        <v>-11824.13072754448</v>
      </c>
      <c r="PA31" s="158">
        <f t="shared" si="56"/>
        <v>-13612.562297544478</v>
      </c>
      <c r="PB31" s="158">
        <f t="shared" si="56"/>
        <v>-7128.9165238986188</v>
      </c>
      <c r="PC31" s="158">
        <f t="shared" si="56"/>
        <v>-8305.9349528986204</v>
      </c>
      <c r="PD31" s="158">
        <f t="shared" si="56"/>
        <v>-7760.1479589364189</v>
      </c>
      <c r="PE31" s="158">
        <f t="shared" si="56"/>
        <v>-4675.5655596364195</v>
      </c>
      <c r="PF31" s="158">
        <f t="shared" si="56"/>
        <v>-14216.867058100321</v>
      </c>
      <c r="PG31" s="158">
        <f t="shared" si="56"/>
        <v>-4217.277107800317</v>
      </c>
      <c r="PH31" s="158">
        <f t="shared" si="56"/>
        <v>-5525.6198621611256</v>
      </c>
      <c r="PI31" s="158">
        <f t="shared" si="56"/>
        <v>2271.3543448888745</v>
      </c>
      <c r="PJ31" s="158">
        <f t="shared" si="56"/>
        <v>-7243.9639930376525</v>
      </c>
      <c r="PK31" s="158" t="e">
        <f t="shared" ref="PK31:PY31" si="57">SUM(PK27:PK30)</f>
        <v>#REF!</v>
      </c>
      <c r="PL31" s="158">
        <f t="shared" si="57"/>
        <v>-1879.8029431026021</v>
      </c>
      <c r="PM31" s="158" t="e">
        <f t="shared" si="57"/>
        <v>#REF!</v>
      </c>
      <c r="PN31" s="158">
        <f t="shared" si="57"/>
        <v>-45096.1935182999</v>
      </c>
      <c r="PO31" s="158" t="e">
        <f t="shared" si="57"/>
        <v>#REF!</v>
      </c>
      <c r="PP31" s="158">
        <f t="shared" si="57"/>
        <v>-763.65264872914258</v>
      </c>
      <c r="PQ31" s="158">
        <f t="shared" si="57"/>
        <v>-46336.55656004879</v>
      </c>
      <c r="PR31" s="158" t="e">
        <f t="shared" si="57"/>
        <v>#REF!</v>
      </c>
      <c r="PS31" s="158">
        <f t="shared" si="57"/>
        <v>1560.7539864028149</v>
      </c>
      <c r="PT31" s="158">
        <f t="shared" si="57"/>
        <v>-45845.804696883213</v>
      </c>
      <c r="PU31" s="158" t="e">
        <f t="shared" si="57"/>
        <v>#REF!</v>
      </c>
      <c r="PV31" s="158">
        <f t="shared" si="57"/>
        <v>6199.0738657258689</v>
      </c>
      <c r="PW31" s="158">
        <f t="shared" si="57"/>
        <v>-44080.977003713058</v>
      </c>
      <c r="PX31" s="158" t="e">
        <f t="shared" si="57"/>
        <v>#REF!</v>
      </c>
      <c r="PY31" s="158">
        <f t="shared" si="57"/>
        <v>5967.4102039299187</v>
      </c>
      <c r="PZ31" s="171">
        <f t="shared" ref="PZ31:QE31" si="58">SUM(PZ27:PZ30)</f>
        <v>-28803.043411258572</v>
      </c>
      <c r="QA31" s="171">
        <f t="shared" si="58"/>
        <v>-27502.634879197863</v>
      </c>
      <c r="QB31" s="171" t="e">
        <f t="shared" si="58"/>
        <v>#REF!</v>
      </c>
      <c r="QC31" s="171" t="e">
        <f t="shared" si="58"/>
        <v>#REF!</v>
      </c>
      <c r="QD31" s="171" t="e">
        <f t="shared" si="58"/>
        <v>#REF!</v>
      </c>
      <c r="QE31" s="171">
        <f t="shared" si="58"/>
        <v>-52465.859819267222</v>
      </c>
      <c r="QF31" s="222"/>
      <c r="QG31" s="222"/>
      <c r="QH31" s="171"/>
      <c r="QI31" s="171"/>
      <c r="QJ31" s="171"/>
      <c r="QK31" s="171"/>
      <c r="QL31" s="171"/>
      <c r="QM31" s="171"/>
      <c r="QN31" s="171"/>
      <c r="QO31" s="171"/>
      <c r="QP31" s="171"/>
      <c r="QQ31" s="171"/>
      <c r="QR31" s="171"/>
      <c r="QS31" s="171"/>
      <c r="QT31" s="171"/>
      <c r="QU31" s="168">
        <f>SUM(AG31,CA31,DU31,FO31,HI31,JC31,KW31)</f>
        <v>-32877.565877439221</v>
      </c>
    </row>
    <row r="32" spans="1:463" s="51" customFormat="1" hidden="1" outlineLevel="1"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2"/>
      <c r="AH32" s="222"/>
      <c r="AI32" s="222"/>
      <c r="AJ32" s="223"/>
      <c r="AK32" s="223"/>
      <c r="AL32" s="223"/>
      <c r="AM32" s="223"/>
      <c r="AN32" s="223"/>
      <c r="AO32" s="223"/>
      <c r="AP32" s="223"/>
      <c r="AQ32" s="223"/>
      <c r="AR32" s="223"/>
      <c r="AS32" s="223"/>
      <c r="AT32" s="223"/>
      <c r="AU32" s="223"/>
      <c r="AV32" s="223"/>
      <c r="AW32" s="223"/>
      <c r="AX32" s="223"/>
      <c r="AY32" s="223"/>
      <c r="AZ32" s="221"/>
      <c r="BA32" s="221"/>
      <c r="BB32" s="221"/>
      <c r="BC32" s="221"/>
      <c r="BD32" s="221"/>
      <c r="BE32" s="221"/>
      <c r="BF32" s="221"/>
      <c r="BG32" s="221"/>
      <c r="BH32" s="221"/>
      <c r="BI32" s="221"/>
      <c r="BJ32" s="221"/>
      <c r="BK32" s="221"/>
      <c r="BL32" s="221"/>
      <c r="BM32" s="221"/>
      <c r="BN32" s="221"/>
      <c r="BO32" s="221"/>
      <c r="BP32" s="221"/>
      <c r="BQ32" s="221"/>
      <c r="BR32" s="221"/>
      <c r="BS32" s="221"/>
      <c r="BT32" s="221"/>
      <c r="BU32" s="221"/>
      <c r="BV32" s="221"/>
      <c r="BW32" s="221"/>
      <c r="BX32" s="221"/>
      <c r="BY32" s="221"/>
      <c r="BZ32" s="221"/>
      <c r="CA32" s="222"/>
      <c r="CB32" s="222"/>
      <c r="CC32" s="222"/>
      <c r="CD32" s="223"/>
      <c r="CE32" s="223"/>
      <c r="CF32" s="223"/>
      <c r="CG32" s="223"/>
      <c r="CH32" s="223"/>
      <c r="CI32" s="223"/>
      <c r="CJ32" s="223"/>
      <c r="CK32" s="223"/>
      <c r="CL32" s="223"/>
      <c r="CM32" s="223"/>
      <c r="CN32" s="223"/>
      <c r="CO32" s="223"/>
      <c r="CP32" s="223"/>
      <c r="CQ32" s="223"/>
      <c r="CR32" s="223"/>
      <c r="CS32" s="223"/>
      <c r="CT32" s="221"/>
      <c r="CU32" s="221"/>
      <c r="CV32" s="221"/>
      <c r="CW32" s="221"/>
      <c r="CX32" s="221"/>
      <c r="CY32" s="221"/>
      <c r="CZ32" s="221"/>
      <c r="DA32" s="221"/>
      <c r="DB32" s="221"/>
      <c r="DC32" s="221"/>
      <c r="DD32" s="221"/>
      <c r="DE32" s="221"/>
      <c r="DF32" s="221"/>
      <c r="DG32" s="221"/>
      <c r="DH32" s="221"/>
      <c r="DI32" s="221"/>
      <c r="DJ32" s="221"/>
      <c r="DK32" s="221"/>
      <c r="DL32" s="221"/>
      <c r="DM32" s="221"/>
      <c r="DN32" s="221"/>
      <c r="DO32" s="221"/>
      <c r="DP32" s="221"/>
      <c r="DQ32" s="221"/>
      <c r="DR32" s="221"/>
      <c r="DS32" s="221"/>
      <c r="DT32" s="221"/>
      <c r="DU32" s="222"/>
      <c r="DV32" s="222"/>
      <c r="DW32" s="222"/>
      <c r="DX32" s="222"/>
      <c r="DY32" s="223"/>
      <c r="DZ32" s="223"/>
      <c r="EA32" s="223"/>
      <c r="EB32" s="223"/>
      <c r="EC32" s="223"/>
      <c r="ED32" s="223"/>
      <c r="EE32" s="223"/>
      <c r="EF32" s="223"/>
      <c r="EG32" s="223"/>
      <c r="EH32" s="223"/>
      <c r="EI32" s="223"/>
      <c r="EJ32" s="223"/>
      <c r="EK32" s="223"/>
      <c r="EL32" s="223"/>
      <c r="EM32" s="223"/>
      <c r="EN32" s="221"/>
      <c r="EO32" s="221"/>
      <c r="EP32" s="221"/>
      <c r="EQ32" s="221"/>
      <c r="ER32" s="221"/>
      <c r="ES32" s="221"/>
      <c r="ET32" s="221"/>
      <c r="EU32" s="221"/>
      <c r="EV32" s="221"/>
      <c r="EW32" s="221"/>
      <c r="EX32" s="221"/>
      <c r="EY32" s="221"/>
      <c r="EZ32" s="221"/>
      <c r="FA32" s="221"/>
      <c r="FB32" s="221"/>
      <c r="FC32" s="221"/>
      <c r="FD32" s="221"/>
      <c r="FE32" s="221"/>
      <c r="FF32" s="221"/>
      <c r="FG32" s="221"/>
      <c r="FH32" s="221"/>
      <c r="FI32" s="221"/>
      <c r="FJ32" s="221"/>
      <c r="FK32" s="221"/>
      <c r="FL32" s="221"/>
      <c r="FM32" s="221"/>
      <c r="FN32" s="221"/>
      <c r="FO32" s="222"/>
      <c r="FP32" s="222"/>
      <c r="FQ32" s="222"/>
      <c r="FR32" s="222"/>
      <c r="FS32" s="223"/>
      <c r="FT32" s="223"/>
      <c r="FU32" s="223"/>
      <c r="FV32" s="223"/>
      <c r="FW32" s="223"/>
      <c r="FX32" s="223"/>
      <c r="FY32" s="223"/>
      <c r="FZ32" s="223"/>
      <c r="GA32" s="223"/>
      <c r="GB32" s="223"/>
      <c r="GC32" s="223"/>
      <c r="GD32" s="223"/>
      <c r="GE32" s="223"/>
      <c r="GF32" s="223"/>
      <c r="GG32" s="223"/>
      <c r="GH32" s="221"/>
      <c r="GI32" s="221"/>
      <c r="GJ32" s="221"/>
      <c r="GK32" s="221"/>
      <c r="GL32" s="221"/>
      <c r="GM32" s="221"/>
      <c r="GN32" s="221"/>
      <c r="GO32" s="221"/>
      <c r="GP32" s="221"/>
      <c r="GQ32" s="221"/>
      <c r="GR32" s="221"/>
      <c r="GS32" s="221"/>
      <c r="GT32" s="221"/>
      <c r="GU32" s="221"/>
      <c r="GV32" s="221"/>
      <c r="GW32" s="221"/>
      <c r="GX32" s="221"/>
      <c r="GY32" s="221"/>
      <c r="GZ32" s="221"/>
      <c r="HA32" s="221"/>
      <c r="HB32" s="221"/>
      <c r="HC32" s="221"/>
      <c r="HD32" s="221"/>
      <c r="HE32" s="221"/>
      <c r="HF32" s="221"/>
      <c r="HG32" s="221"/>
      <c r="HH32" s="221"/>
      <c r="HI32" s="222"/>
      <c r="HJ32" s="222"/>
      <c r="HK32" s="222"/>
      <c r="HL32" s="222"/>
      <c r="HM32" s="223"/>
      <c r="HN32" s="223"/>
      <c r="HO32" s="223"/>
      <c r="HP32" s="223"/>
      <c r="HQ32" s="223"/>
      <c r="HR32" s="223"/>
      <c r="HS32" s="223"/>
      <c r="HT32" s="223"/>
      <c r="HU32" s="223"/>
      <c r="HV32" s="223"/>
      <c r="HW32" s="223"/>
      <c r="HX32" s="223"/>
      <c r="HY32" s="223"/>
      <c r="HZ32" s="223"/>
      <c r="IA32" s="223"/>
      <c r="IB32" s="221"/>
      <c r="IC32" s="221"/>
      <c r="ID32" s="221"/>
      <c r="IE32" s="221"/>
      <c r="IF32" s="221"/>
      <c r="IG32" s="221"/>
      <c r="IH32" s="221"/>
      <c r="II32" s="221"/>
      <c r="IJ32" s="221"/>
      <c r="IK32" s="221"/>
      <c r="IL32" s="221"/>
      <c r="IM32" s="221"/>
      <c r="IN32" s="221"/>
      <c r="IO32" s="221"/>
      <c r="IP32" s="221"/>
      <c r="IQ32" s="221"/>
      <c r="IR32" s="221"/>
      <c r="IS32" s="221"/>
      <c r="IT32" s="221"/>
      <c r="IU32" s="221"/>
      <c r="IV32" s="221"/>
      <c r="IW32" s="221"/>
      <c r="IX32" s="221"/>
      <c r="IY32" s="221"/>
      <c r="IZ32" s="221"/>
      <c r="JA32" s="221"/>
      <c r="JB32" s="221"/>
      <c r="JC32" s="222"/>
      <c r="JD32" s="222"/>
      <c r="JE32" s="222"/>
      <c r="JF32" s="222"/>
      <c r="JG32" s="223"/>
      <c r="JH32" s="223"/>
      <c r="JI32" s="223"/>
      <c r="JJ32" s="223"/>
      <c r="JK32" s="223"/>
      <c r="JL32" s="223"/>
      <c r="JM32" s="223"/>
      <c r="JN32" s="223"/>
      <c r="JO32" s="223"/>
      <c r="JP32" s="223"/>
      <c r="JQ32" s="223"/>
      <c r="JR32" s="223"/>
      <c r="JS32" s="223"/>
      <c r="JT32" s="223"/>
      <c r="JU32" s="223"/>
      <c r="JV32" s="221"/>
      <c r="JW32" s="221"/>
      <c r="JX32" s="221"/>
      <c r="JY32" s="221"/>
      <c r="JZ32" s="221"/>
      <c r="KA32" s="221"/>
      <c r="KB32" s="221"/>
      <c r="KC32" s="221"/>
      <c r="KD32" s="221"/>
      <c r="KE32" s="221"/>
      <c r="KF32" s="221"/>
      <c r="KG32" s="221"/>
      <c r="KH32" s="221"/>
      <c r="KI32" s="221"/>
      <c r="KJ32" s="221"/>
      <c r="KK32" s="221"/>
      <c r="KL32" s="221"/>
      <c r="KM32" s="221"/>
      <c r="KN32" s="221"/>
      <c r="KO32" s="221"/>
      <c r="KP32" s="221"/>
      <c r="KQ32" s="221"/>
      <c r="KR32" s="221"/>
      <c r="KS32" s="221"/>
      <c r="KT32" s="221"/>
      <c r="KU32" s="221"/>
      <c r="KV32" s="221"/>
      <c r="KW32" s="222"/>
      <c r="KX32" s="222"/>
      <c r="KY32" s="222"/>
      <c r="KZ32" s="222"/>
      <c r="LA32" s="223"/>
      <c r="LB32" s="223"/>
      <c r="LC32" s="223"/>
      <c r="LD32" s="223"/>
      <c r="LE32" s="223"/>
      <c r="LF32" s="223"/>
      <c r="LG32" s="223"/>
      <c r="LH32" s="223"/>
      <c r="LI32" s="223"/>
      <c r="LJ32" s="223"/>
      <c r="LK32" s="223"/>
      <c r="LL32" s="223"/>
      <c r="LM32" s="223"/>
      <c r="LN32" s="223"/>
      <c r="LO32" s="223"/>
      <c r="LP32" s="222"/>
      <c r="LQ32" s="222"/>
      <c r="LR32" s="222"/>
      <c r="LS32" s="222"/>
      <c r="LT32" s="222"/>
      <c r="LU32" s="222"/>
      <c r="LV32" s="222"/>
      <c r="LW32" s="222"/>
      <c r="LX32" s="222"/>
      <c r="LY32" s="222"/>
      <c r="LZ32" s="222"/>
      <c r="MA32" s="222"/>
      <c r="MB32" s="222"/>
      <c r="MC32" s="222"/>
      <c r="MD32" s="222"/>
      <c r="ME32" s="222"/>
      <c r="MF32" s="222"/>
      <c r="MG32" s="221"/>
      <c r="MH32" s="222"/>
      <c r="MI32" s="222"/>
      <c r="MJ32" s="221"/>
      <c r="MK32" s="222"/>
      <c r="ML32" s="222"/>
      <c r="MM32" s="221"/>
      <c r="MN32" s="222"/>
      <c r="MO32" s="222"/>
      <c r="MP32" s="221"/>
      <c r="MQ32" s="222"/>
      <c r="MR32" s="222"/>
      <c r="MS32" s="222"/>
      <c r="MT32" s="222"/>
      <c r="MU32" s="223"/>
      <c r="MV32" s="223"/>
      <c r="MW32" s="223"/>
      <c r="MX32" s="223"/>
      <c r="MY32" s="223"/>
      <c r="MZ32" s="223"/>
      <c r="NA32" s="223"/>
      <c r="NB32" s="223"/>
      <c r="NC32" s="223"/>
      <c r="ND32" s="223"/>
      <c r="NE32" s="223"/>
      <c r="NF32" s="223"/>
      <c r="NG32" s="223"/>
      <c r="NH32" s="223"/>
      <c r="NI32" s="223"/>
      <c r="NJ32" s="221"/>
      <c r="NK32" s="221"/>
      <c r="NL32" s="221"/>
      <c r="NM32" s="221"/>
      <c r="NN32" s="221"/>
      <c r="NO32" s="221"/>
      <c r="NP32" s="221"/>
      <c r="NQ32" s="221"/>
      <c r="NR32" s="221"/>
      <c r="NS32" s="221"/>
      <c r="NT32" s="221"/>
      <c r="NU32" s="221"/>
      <c r="NV32" s="221"/>
      <c r="NW32" s="221"/>
      <c r="NX32" s="221"/>
      <c r="NY32" s="221"/>
      <c r="NZ32" s="221"/>
      <c r="OA32" s="221"/>
      <c r="OB32" s="221"/>
      <c r="OC32" s="221"/>
      <c r="OD32" s="221"/>
      <c r="OE32" s="221"/>
      <c r="OF32" s="221"/>
      <c r="OG32" s="221"/>
      <c r="OH32" s="221"/>
      <c r="OI32" s="222"/>
      <c r="OJ32" s="222"/>
      <c r="OK32" s="223"/>
      <c r="OL32" s="223"/>
      <c r="OM32" s="223"/>
      <c r="ON32" s="223"/>
      <c r="OO32" s="223"/>
      <c r="OP32" s="223"/>
      <c r="OQ32" s="223"/>
      <c r="OR32" s="223"/>
      <c r="OS32" s="223"/>
      <c r="OT32" s="223"/>
      <c r="OU32" s="223"/>
      <c r="OV32" s="223"/>
      <c r="OW32" s="223"/>
      <c r="OX32" s="223"/>
      <c r="OY32" s="221"/>
      <c r="OZ32" s="221"/>
      <c r="PA32" s="221"/>
      <c r="PB32" s="221"/>
      <c r="PC32" s="221"/>
      <c r="PD32" s="221"/>
      <c r="PE32" s="221"/>
      <c r="PF32" s="221"/>
      <c r="PG32" s="221"/>
      <c r="PH32" s="221"/>
      <c r="PI32" s="221"/>
      <c r="PJ32" s="221"/>
      <c r="PK32" s="221"/>
      <c r="PL32" s="221"/>
      <c r="PM32" s="221"/>
      <c r="PN32" s="221"/>
      <c r="PO32" s="221"/>
      <c r="PP32" s="221"/>
      <c r="PQ32" s="221"/>
      <c r="PR32" s="221"/>
      <c r="PS32" s="221"/>
      <c r="PT32" s="221"/>
      <c r="PU32" s="221"/>
      <c r="PV32" s="221"/>
      <c r="PW32" s="221"/>
      <c r="PX32" s="221"/>
      <c r="PY32" s="221"/>
      <c r="PZ32" s="221"/>
      <c r="QA32" s="221"/>
      <c r="QB32" s="221"/>
      <c r="QC32" s="221"/>
      <c r="QD32" s="223"/>
      <c r="QE32" s="223"/>
      <c r="QF32" s="223"/>
      <c r="QG32" s="223"/>
      <c r="QH32" s="223"/>
      <c r="QI32" s="223"/>
      <c r="QJ32" s="223"/>
      <c r="QK32" s="223"/>
      <c r="QL32" s="223"/>
      <c r="QM32" s="223"/>
      <c r="QN32" s="223"/>
      <c r="QO32" s="223"/>
      <c r="QP32" s="223"/>
      <c r="QQ32" s="223"/>
      <c r="QR32" s="223"/>
      <c r="QS32" s="223"/>
      <c r="QT32" s="223"/>
      <c r="QU32" s="168"/>
    </row>
    <row r="33" spans="6:463" s="161" customFormat="1" hidden="1" outlineLevel="1">
      <c r="F33" s="162"/>
      <c r="G33" s="162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  <c r="AD33" s="162"/>
      <c r="AE33" s="162"/>
      <c r="AF33" s="162"/>
      <c r="AH33" s="162"/>
      <c r="AI33" s="161" t="s">
        <v>1</v>
      </c>
      <c r="AJ33" s="219" t="s">
        <v>1220</v>
      </c>
      <c r="AK33" s="220" t="s">
        <v>1075</v>
      </c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 t="s">
        <v>1220</v>
      </c>
      <c r="BA33" s="220" t="s">
        <v>1075</v>
      </c>
      <c r="BB33" s="219" t="s">
        <v>1220</v>
      </c>
      <c r="BC33" s="220" t="s">
        <v>1075</v>
      </c>
      <c r="BD33" s="219" t="s">
        <v>1220</v>
      </c>
      <c r="BE33" s="220" t="s">
        <v>1075</v>
      </c>
      <c r="BF33" s="162"/>
      <c r="BG33" s="162"/>
      <c r="BH33" s="162"/>
      <c r="BI33" s="162"/>
      <c r="BJ33" s="162"/>
      <c r="BK33" s="162"/>
      <c r="BL33" s="162"/>
      <c r="BM33" s="162"/>
      <c r="BN33" s="162"/>
      <c r="BO33" s="162"/>
      <c r="BP33" s="162"/>
      <c r="BQ33" s="162"/>
      <c r="BR33" s="162"/>
      <c r="BS33" s="162"/>
      <c r="BT33" s="162"/>
      <c r="BU33" s="162"/>
      <c r="BV33" s="162"/>
      <c r="BW33" s="162"/>
      <c r="BX33" s="162"/>
      <c r="BY33" s="162"/>
      <c r="BZ33" s="162"/>
      <c r="CA33" s="162"/>
      <c r="CB33" s="162"/>
      <c r="CC33" s="162"/>
      <c r="CD33" s="210">
        <f>CD11-CD12</f>
        <v>0</v>
      </c>
      <c r="CE33" s="220" t="s">
        <v>1075</v>
      </c>
      <c r="CF33" s="219"/>
      <c r="CG33" s="219"/>
      <c r="CH33" s="219"/>
      <c r="CI33" s="219"/>
      <c r="CJ33" s="219"/>
      <c r="CK33" s="219"/>
      <c r="CL33" s="219"/>
      <c r="CM33" s="219"/>
      <c r="CN33" s="219"/>
      <c r="CO33" s="219"/>
      <c r="CP33" s="219"/>
      <c r="CQ33" s="219"/>
      <c r="CR33" s="219"/>
      <c r="CS33" s="219"/>
      <c r="CT33" s="162"/>
      <c r="CU33" s="162"/>
      <c r="CV33" s="162"/>
      <c r="CW33" s="162"/>
      <c r="CX33" s="162"/>
      <c r="CY33" s="162"/>
      <c r="CZ33" s="162"/>
      <c r="DA33" s="162"/>
      <c r="DB33" s="162"/>
      <c r="DC33" s="162"/>
      <c r="DD33" s="162"/>
      <c r="DE33" s="162"/>
      <c r="DF33" s="162"/>
      <c r="DG33" s="162"/>
      <c r="DH33" s="162"/>
      <c r="DI33" s="162"/>
      <c r="DJ33" s="162"/>
      <c r="DK33" s="162"/>
      <c r="DL33" s="162"/>
      <c r="DM33" s="162"/>
      <c r="DN33" s="162"/>
      <c r="DO33" s="162"/>
      <c r="DP33" s="162"/>
      <c r="DQ33" s="162"/>
      <c r="DR33" s="162"/>
      <c r="DS33" s="162"/>
      <c r="DT33" s="162"/>
      <c r="DU33" s="162"/>
      <c r="DV33" s="162"/>
      <c r="DW33" s="162"/>
      <c r="DX33" s="162"/>
      <c r="DY33" s="220" t="s">
        <v>1075</v>
      </c>
      <c r="DZ33" s="219"/>
      <c r="EA33" s="219"/>
      <c r="EB33" s="219"/>
      <c r="EC33" s="219"/>
      <c r="ED33" s="219"/>
      <c r="EE33" s="219"/>
      <c r="EF33" s="219"/>
      <c r="EG33" s="219"/>
      <c r="EH33" s="219"/>
      <c r="EI33" s="219"/>
      <c r="EJ33" s="219"/>
      <c r="EK33" s="219"/>
      <c r="EL33" s="219"/>
      <c r="EM33" s="219"/>
      <c r="EN33" s="162"/>
      <c r="EO33" s="162"/>
      <c r="EP33" s="162"/>
      <c r="EQ33" s="162"/>
      <c r="ER33" s="162"/>
      <c r="ES33" s="162"/>
      <c r="ET33" s="162"/>
      <c r="EU33" s="162"/>
      <c r="EV33" s="162"/>
      <c r="EW33" s="162"/>
      <c r="EX33" s="162"/>
      <c r="EY33" s="162"/>
      <c r="EZ33" s="162"/>
      <c r="FA33" s="162"/>
      <c r="FB33" s="162"/>
      <c r="FC33" s="162"/>
      <c r="FD33" s="162"/>
      <c r="FE33" s="162"/>
      <c r="FF33" s="162"/>
      <c r="FG33" s="162"/>
      <c r="FH33" s="162"/>
      <c r="FI33" s="162"/>
      <c r="FJ33" s="162"/>
      <c r="FK33" s="162"/>
      <c r="FL33" s="162"/>
      <c r="FM33" s="162"/>
      <c r="FN33" s="162"/>
      <c r="FO33" s="162"/>
      <c r="FP33" s="162"/>
      <c r="FQ33" s="162"/>
      <c r="FR33" s="162"/>
      <c r="FS33" s="220" t="s">
        <v>1075</v>
      </c>
      <c r="FT33" s="219"/>
      <c r="FU33" s="219"/>
      <c r="FV33" s="219"/>
      <c r="FW33" s="219"/>
      <c r="FX33" s="219"/>
      <c r="FY33" s="219"/>
      <c r="FZ33" s="219"/>
      <c r="GA33" s="219"/>
      <c r="GB33" s="219"/>
      <c r="GC33" s="219"/>
      <c r="GD33" s="219"/>
      <c r="GE33" s="219"/>
      <c r="GF33" s="219"/>
      <c r="GG33" s="219"/>
      <c r="GH33" s="162"/>
      <c r="GI33" s="162"/>
      <c r="GJ33" s="162"/>
      <c r="GK33" s="162"/>
      <c r="GL33" s="162"/>
      <c r="GM33" s="162"/>
      <c r="GN33" s="162"/>
      <c r="GO33" s="162"/>
      <c r="GP33" s="162"/>
      <c r="GQ33" s="162"/>
      <c r="GR33" s="162"/>
      <c r="GS33" s="162"/>
      <c r="GT33" s="162"/>
      <c r="GU33" s="162"/>
      <c r="GV33" s="162"/>
      <c r="GW33" s="162"/>
      <c r="GX33" s="162"/>
      <c r="GY33" s="162"/>
      <c r="GZ33" s="162"/>
      <c r="HA33" s="162"/>
      <c r="HB33" s="162"/>
      <c r="HC33" s="162"/>
      <c r="HD33" s="162"/>
      <c r="HE33" s="162"/>
      <c r="HF33" s="162"/>
      <c r="HG33" s="162"/>
      <c r="HH33" s="162"/>
      <c r="HI33" s="162"/>
      <c r="HJ33" s="162"/>
      <c r="HK33" s="162"/>
      <c r="HL33" s="162"/>
      <c r="HM33" s="220" t="s">
        <v>1075</v>
      </c>
      <c r="HN33" s="219"/>
      <c r="HO33" s="219"/>
      <c r="HP33" s="219"/>
      <c r="HQ33" s="219"/>
      <c r="HR33" s="219"/>
      <c r="HS33" s="219"/>
      <c r="HT33" s="219"/>
      <c r="HU33" s="219"/>
      <c r="HV33" s="219"/>
      <c r="HW33" s="219"/>
      <c r="HX33" s="219"/>
      <c r="HY33" s="219"/>
      <c r="HZ33" s="219"/>
      <c r="IA33" s="219"/>
      <c r="IB33" s="162"/>
      <c r="IC33" s="162"/>
      <c r="ID33" s="162"/>
      <c r="IE33" s="162"/>
      <c r="IF33" s="162"/>
      <c r="IG33" s="162"/>
      <c r="IH33" s="162"/>
      <c r="II33" s="162"/>
      <c r="IJ33" s="162"/>
      <c r="IK33" s="162"/>
      <c r="IL33" s="162"/>
      <c r="IM33" s="162"/>
      <c r="IN33" s="162"/>
      <c r="IO33" s="162"/>
      <c r="IP33" s="162"/>
      <c r="IQ33" s="162"/>
      <c r="IR33" s="162"/>
      <c r="IS33" s="162"/>
      <c r="IT33" s="162"/>
      <c r="IU33" s="162"/>
      <c r="IV33" s="162"/>
      <c r="IW33" s="162"/>
      <c r="IX33" s="162"/>
      <c r="IY33" s="162"/>
      <c r="IZ33" s="162"/>
      <c r="JA33" s="162"/>
      <c r="JB33" s="162"/>
      <c r="JC33" s="162"/>
      <c r="JD33" s="162"/>
      <c r="JE33" s="162"/>
      <c r="JF33" s="162"/>
      <c r="JG33" s="220" t="s">
        <v>1075</v>
      </c>
      <c r="JH33" s="219"/>
      <c r="JI33" s="219"/>
      <c r="JJ33" s="219"/>
      <c r="JK33" s="219"/>
      <c r="JL33" s="219"/>
      <c r="JM33" s="219"/>
      <c r="JN33" s="219"/>
      <c r="JO33" s="219"/>
      <c r="JP33" s="219"/>
      <c r="JQ33" s="219"/>
      <c r="JR33" s="219"/>
      <c r="JS33" s="219"/>
      <c r="JT33" s="219"/>
      <c r="JU33" s="219"/>
      <c r="JV33" s="162"/>
      <c r="JW33" s="162"/>
      <c r="JX33" s="162"/>
      <c r="JY33" s="162"/>
      <c r="JZ33" s="162"/>
      <c r="KA33" s="162"/>
      <c r="KB33" s="162"/>
      <c r="KC33" s="162"/>
      <c r="KD33" s="162"/>
      <c r="KE33" s="162"/>
      <c r="KF33" s="162"/>
      <c r="KG33" s="162"/>
      <c r="KH33" s="162"/>
      <c r="KI33" s="162"/>
      <c r="KJ33" s="162"/>
      <c r="KK33" s="162"/>
      <c r="KL33" s="162"/>
      <c r="KM33" s="162"/>
      <c r="KN33" s="162"/>
      <c r="KO33" s="162"/>
      <c r="KP33" s="162"/>
      <c r="KQ33" s="162"/>
      <c r="KR33" s="162"/>
      <c r="KS33" s="162"/>
      <c r="KT33" s="162"/>
      <c r="KU33" s="162"/>
      <c r="KV33" s="162"/>
      <c r="KW33" s="162"/>
      <c r="KX33" s="162"/>
      <c r="KY33" s="162"/>
      <c r="KZ33" s="162"/>
      <c r="LA33" s="220" t="s">
        <v>1075</v>
      </c>
      <c r="LB33" s="219"/>
      <c r="LC33" s="219"/>
      <c r="LD33" s="219"/>
      <c r="LE33" s="219"/>
      <c r="LF33" s="219"/>
      <c r="LG33" s="219"/>
      <c r="LH33" s="219"/>
      <c r="LI33" s="219"/>
      <c r="LJ33" s="219"/>
      <c r="LK33" s="219"/>
      <c r="LL33" s="219"/>
      <c r="LM33" s="219"/>
      <c r="LN33" s="219"/>
      <c r="LO33" s="219"/>
      <c r="LP33" s="162"/>
      <c r="LQ33" s="162"/>
      <c r="LR33" s="162"/>
      <c r="LS33" s="162"/>
      <c r="LT33" s="162"/>
      <c r="LU33" s="162"/>
      <c r="LV33" s="162"/>
      <c r="LW33" s="162"/>
      <c r="LX33" s="162"/>
      <c r="LY33" s="162"/>
      <c r="LZ33" s="162"/>
      <c r="MA33" s="162"/>
      <c r="MB33" s="162"/>
      <c r="MC33" s="162"/>
      <c r="MD33" s="162"/>
      <c r="ME33" s="162"/>
      <c r="MF33" s="162"/>
      <c r="MG33" s="162"/>
      <c r="MH33" s="162"/>
      <c r="MI33" s="162"/>
      <c r="MJ33" s="162"/>
      <c r="MK33" s="162"/>
      <c r="ML33" s="162"/>
      <c r="MM33" s="162"/>
      <c r="MN33" s="162"/>
      <c r="MO33" s="162"/>
      <c r="MP33" s="162"/>
      <c r="MQ33" s="162"/>
      <c r="MR33" s="162"/>
      <c r="MS33" s="162"/>
      <c r="MT33" s="162"/>
      <c r="MU33" s="220" t="s">
        <v>1075</v>
      </c>
      <c r="MV33" s="219"/>
      <c r="MW33" s="219"/>
      <c r="MX33" s="219"/>
      <c r="MY33" s="219"/>
      <c r="MZ33" s="219"/>
      <c r="NA33" s="219"/>
      <c r="NB33" s="219"/>
      <c r="NC33" s="219"/>
      <c r="ND33" s="219"/>
      <c r="NE33" s="219"/>
      <c r="NF33" s="219"/>
      <c r="NG33" s="219"/>
      <c r="NH33" s="219"/>
      <c r="NI33" s="219"/>
      <c r="OK33" s="220" t="s">
        <v>1075</v>
      </c>
      <c r="OL33" s="219"/>
      <c r="OM33" s="219"/>
      <c r="ON33" s="219"/>
      <c r="OO33" s="219"/>
      <c r="OP33" s="219"/>
      <c r="OQ33" s="219"/>
      <c r="OR33" s="219"/>
      <c r="OS33" s="219"/>
      <c r="OT33" s="219"/>
      <c r="OU33" s="219"/>
      <c r="OV33" s="219"/>
      <c r="OW33" s="219"/>
      <c r="OX33" s="219"/>
      <c r="PP33" s="162"/>
      <c r="PS33" s="162"/>
      <c r="PV33" s="162"/>
      <c r="PY33" s="162"/>
      <c r="QD33" s="220" t="s">
        <v>1075</v>
      </c>
      <c r="QE33" s="219"/>
      <c r="QF33" s="219"/>
      <c r="QG33" s="219"/>
      <c r="QH33" s="219"/>
      <c r="QI33" s="219"/>
      <c r="QJ33" s="219"/>
      <c r="QK33" s="219"/>
      <c r="QL33" s="219"/>
      <c r="QM33" s="219"/>
      <c r="QN33" s="219"/>
      <c r="QO33" s="219"/>
      <c r="QP33" s="219"/>
      <c r="QQ33" s="219"/>
      <c r="QR33" s="219"/>
      <c r="QS33" s="219"/>
      <c r="QT33" s="219"/>
      <c r="QU33" s="164"/>
    </row>
    <row r="34" spans="6:463" ht="43.5" hidden="1" outlineLevel="1">
      <c r="AI34" s="216" t="s">
        <v>1185</v>
      </c>
      <c r="AJ34" s="216" t="s">
        <v>1186</v>
      </c>
      <c r="AK34" s="216" t="s">
        <v>1186</v>
      </c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 t="s">
        <v>1187</v>
      </c>
      <c r="BA34" s="216" t="s">
        <v>1187</v>
      </c>
      <c r="BB34" s="216" t="s">
        <v>1188</v>
      </c>
      <c r="BC34" s="216" t="s">
        <v>1188</v>
      </c>
      <c r="BD34" s="217" t="s">
        <v>1221</v>
      </c>
      <c r="BE34" s="217" t="s">
        <v>1221</v>
      </c>
      <c r="CE34" s="216" t="s">
        <v>1186</v>
      </c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DY34" s="216" t="s">
        <v>1186</v>
      </c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FS34" s="216" t="s">
        <v>1186</v>
      </c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HM34" s="216" t="s">
        <v>1186</v>
      </c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JG34" s="216" t="s">
        <v>1186</v>
      </c>
      <c r="JH34" s="216"/>
      <c r="JI34" s="216"/>
      <c r="JJ34" s="216"/>
      <c r="JK34" s="216"/>
      <c r="JL34" s="216"/>
      <c r="JM34" s="216"/>
      <c r="JN34" s="216"/>
      <c r="JO34" s="216"/>
      <c r="JP34" s="216"/>
      <c r="JQ34" s="216"/>
      <c r="JR34" s="216"/>
      <c r="JS34" s="216"/>
      <c r="JT34" s="216"/>
      <c r="JU34" s="216"/>
      <c r="LA34" s="216" t="s">
        <v>1186</v>
      </c>
      <c r="LB34" s="216"/>
      <c r="LC34" s="216"/>
      <c r="LD34" s="216"/>
      <c r="LE34" s="216"/>
      <c r="LF34" s="216"/>
      <c r="LG34" s="216"/>
      <c r="LH34" s="216"/>
      <c r="LI34" s="216"/>
      <c r="LJ34" s="216"/>
      <c r="LK34" s="216"/>
      <c r="LL34" s="216"/>
      <c r="LM34" s="216"/>
      <c r="LN34" s="216"/>
      <c r="LO34" s="216"/>
      <c r="MU34" s="216" t="s">
        <v>1186</v>
      </c>
      <c r="MV34" s="216"/>
      <c r="MW34" s="216"/>
      <c r="MX34" s="216"/>
      <c r="MY34" s="216"/>
      <c r="MZ34" s="216"/>
      <c r="NA34" s="216"/>
      <c r="NB34" s="216"/>
      <c r="NC34" s="216"/>
      <c r="ND34" s="216"/>
      <c r="NE34" s="216"/>
      <c r="NF34" s="216"/>
      <c r="NG34" s="216"/>
      <c r="NH34" s="216"/>
      <c r="NI34" s="216"/>
      <c r="OK34" s="216" t="s">
        <v>1186</v>
      </c>
      <c r="OL34" s="216"/>
      <c r="OM34" s="216"/>
      <c r="ON34" s="216"/>
      <c r="OO34" s="216"/>
      <c r="OP34" s="216"/>
      <c r="OQ34" s="216"/>
      <c r="OR34" s="216"/>
      <c r="OS34" s="216"/>
      <c r="OT34" s="216"/>
      <c r="OU34" s="216"/>
      <c r="OV34" s="216"/>
      <c r="OW34" s="216"/>
      <c r="OX34" s="216"/>
      <c r="QD34" s="216" t="s">
        <v>1186</v>
      </c>
      <c r="QE34" s="216"/>
      <c r="QF34" s="216"/>
      <c r="QG34" s="216"/>
      <c r="QH34" s="216"/>
      <c r="QI34" s="216"/>
      <c r="QJ34" s="216"/>
      <c r="QK34" s="216"/>
      <c r="QL34" s="216"/>
      <c r="QM34" s="216"/>
      <c r="QN34" s="216"/>
      <c r="QO34" s="216"/>
      <c r="QP34" s="216"/>
      <c r="QQ34" s="216"/>
      <c r="QR34" s="216"/>
      <c r="QS34" s="216"/>
      <c r="QT34" s="216"/>
    </row>
    <row r="35" spans="6:463" hidden="1" outlineLevel="1">
      <c r="AH35" s="50" t="s">
        <v>1222</v>
      </c>
      <c r="AI35" s="212">
        <f>AG11</f>
        <v>22345.620836999999</v>
      </c>
      <c r="AJ35" s="219">
        <f>AH11</f>
        <v>22112.984023000001</v>
      </c>
      <c r="AK35" s="220">
        <f>AH12</f>
        <v>27157.740587050001</v>
      </c>
      <c r="AL35" s="219"/>
      <c r="AM35" s="219"/>
      <c r="AN35" s="219"/>
      <c r="AO35" s="219"/>
      <c r="AP35" s="219"/>
      <c r="AQ35" s="219"/>
      <c r="AR35" s="219"/>
      <c r="AS35" s="219"/>
      <c r="AT35" s="219"/>
      <c r="AU35" s="219"/>
      <c r="AV35" s="219"/>
      <c r="AW35" s="219"/>
      <c r="AX35" s="219"/>
      <c r="AY35" s="219"/>
      <c r="AZ35" s="219">
        <f>AI11</f>
        <v>28163.295182227423</v>
      </c>
      <c r="BA35" s="220">
        <f>AI12</f>
        <v>36562.490027682259</v>
      </c>
      <c r="BB35" s="219">
        <f>AJ11</f>
        <v>32134.624485999997</v>
      </c>
      <c r="BC35" s="220">
        <f>AJ12</f>
        <v>36921.490027682259</v>
      </c>
      <c r="BD35" s="219">
        <f t="shared" ref="BD35:BD43" si="59">AJ35+AZ35+BB35+AI35</f>
        <v>104756.52452822741</v>
      </c>
      <c r="BE35" s="220">
        <f t="shared" ref="BE35:BE43" si="60">AK35+BA35+BC35+AI35</f>
        <v>122987.34147941452</v>
      </c>
      <c r="CE35" s="220">
        <f>CB12</f>
        <v>15192.224999999999</v>
      </c>
      <c r="CF35" s="219"/>
      <c r="CG35" s="219"/>
      <c r="CH35" s="219"/>
      <c r="CI35" s="219"/>
      <c r="CJ35" s="219"/>
      <c r="CK35" s="219"/>
      <c r="CL35" s="219"/>
      <c r="CM35" s="219"/>
      <c r="CN35" s="219"/>
      <c r="CO35" s="219"/>
      <c r="CP35" s="219"/>
      <c r="CQ35" s="219"/>
      <c r="CR35" s="219"/>
      <c r="CS35" s="219"/>
      <c r="DY35" s="220">
        <f>DV12</f>
        <v>3347.8</v>
      </c>
      <c r="DZ35" s="219"/>
      <c r="EA35" s="219"/>
      <c r="EB35" s="219"/>
      <c r="EC35" s="219"/>
      <c r="ED35" s="219"/>
      <c r="EE35" s="219"/>
      <c r="EF35" s="219"/>
      <c r="EG35" s="219"/>
      <c r="EH35" s="219"/>
      <c r="EI35" s="219"/>
      <c r="EJ35" s="219"/>
      <c r="EK35" s="219"/>
      <c r="EL35" s="219"/>
      <c r="EM35" s="219"/>
      <c r="FS35" s="220">
        <f>FP12</f>
        <v>38004.762508599997</v>
      </c>
      <c r="FT35" s="219"/>
      <c r="FU35" s="219"/>
      <c r="FV35" s="219"/>
      <c r="FW35" s="219"/>
      <c r="FX35" s="219"/>
      <c r="FY35" s="219"/>
      <c r="FZ35" s="219"/>
      <c r="GA35" s="219"/>
      <c r="GB35" s="219"/>
      <c r="GC35" s="219"/>
      <c r="GD35" s="219"/>
      <c r="GE35" s="219"/>
      <c r="GF35" s="219"/>
      <c r="GG35" s="219"/>
      <c r="HM35" s="220">
        <f>HJ12</f>
        <v>9448.5</v>
      </c>
      <c r="HN35" s="219"/>
      <c r="HO35" s="219"/>
      <c r="HP35" s="219"/>
      <c r="HQ35" s="219"/>
      <c r="HR35" s="219"/>
      <c r="HS35" s="219"/>
      <c r="HT35" s="219"/>
      <c r="HU35" s="219"/>
      <c r="HV35" s="219"/>
      <c r="HW35" s="219"/>
      <c r="HX35" s="219"/>
      <c r="HY35" s="219"/>
      <c r="HZ35" s="219"/>
      <c r="IA35" s="219"/>
      <c r="JG35" s="220">
        <f>JD12</f>
        <v>15069.9</v>
      </c>
      <c r="JH35" s="219"/>
      <c r="JI35" s="219"/>
      <c r="JJ35" s="219"/>
      <c r="JK35" s="219"/>
      <c r="JL35" s="219"/>
      <c r="JM35" s="219"/>
      <c r="JN35" s="219"/>
      <c r="JO35" s="219"/>
      <c r="JP35" s="219"/>
      <c r="JQ35" s="219"/>
      <c r="JR35" s="219"/>
      <c r="JS35" s="219"/>
      <c r="JT35" s="219"/>
      <c r="JU35" s="219"/>
      <c r="LA35" s="220">
        <f>KX12</f>
        <v>8471.6720000000005</v>
      </c>
      <c r="LB35" s="219"/>
      <c r="LC35" s="219"/>
      <c r="LD35" s="219"/>
      <c r="LE35" s="219"/>
      <c r="LF35" s="219"/>
      <c r="LG35" s="219"/>
      <c r="LH35" s="219"/>
      <c r="LI35" s="219"/>
      <c r="LJ35" s="219"/>
      <c r="LK35" s="219"/>
      <c r="LL35" s="219"/>
      <c r="LM35" s="219"/>
      <c r="LN35" s="219"/>
      <c r="LO35" s="219"/>
      <c r="MU35" s="220">
        <f>MR12</f>
        <v>5247.0000000000009</v>
      </c>
      <c r="MV35" s="219"/>
      <c r="MW35" s="219"/>
      <c r="MX35" s="219"/>
      <c r="MY35" s="219"/>
      <c r="MZ35" s="219"/>
      <c r="NA35" s="219"/>
      <c r="NB35" s="219"/>
      <c r="NC35" s="219"/>
      <c r="ND35" s="219"/>
      <c r="NE35" s="219"/>
      <c r="NF35" s="219"/>
      <c r="NG35" s="219"/>
      <c r="NH35" s="219"/>
      <c r="NI35" s="219"/>
      <c r="OK35" s="220">
        <f>OH12</f>
        <v>-1902</v>
      </c>
      <c r="OL35" s="219"/>
      <c r="OM35" s="219"/>
      <c r="ON35" s="219"/>
      <c r="OO35" s="219"/>
      <c r="OP35" s="219"/>
      <c r="OQ35" s="219"/>
      <c r="OR35" s="219"/>
      <c r="OS35" s="219"/>
      <c r="OT35" s="219"/>
      <c r="OU35" s="219"/>
      <c r="OV35" s="219"/>
      <c r="OW35" s="219"/>
      <c r="OX35" s="219"/>
      <c r="QD35" s="220">
        <f>QA12</f>
        <v>120037.60009564999</v>
      </c>
      <c r="QE35" s="219"/>
      <c r="QF35" s="219"/>
      <c r="QG35" s="219"/>
      <c r="QH35" s="219"/>
      <c r="QI35" s="219"/>
      <c r="QJ35" s="219"/>
      <c r="QK35" s="219"/>
      <c r="QL35" s="219"/>
      <c r="QM35" s="219"/>
      <c r="QN35" s="219"/>
      <c r="QO35" s="219"/>
      <c r="QP35" s="219"/>
      <c r="QQ35" s="219"/>
      <c r="QR35" s="219"/>
      <c r="QS35" s="219"/>
      <c r="QT35" s="219"/>
    </row>
    <row r="36" spans="6:463" hidden="1" outlineLevel="1">
      <c r="AH36" s="50" t="s">
        <v>1223</v>
      </c>
      <c r="AI36" s="212">
        <f>CA11</f>
        <v>14672.397321999999</v>
      </c>
      <c r="AJ36" s="219">
        <f>CB11</f>
        <v>13131.792566</v>
      </c>
      <c r="AK36" s="220">
        <f>CB12</f>
        <v>15192.224999999999</v>
      </c>
      <c r="AL36" s="219"/>
      <c r="AM36" s="219"/>
      <c r="AN36" s="219"/>
      <c r="AO36" s="219"/>
      <c r="AP36" s="219"/>
      <c r="AQ36" s="219"/>
      <c r="AR36" s="219"/>
      <c r="AS36" s="219"/>
      <c r="AT36" s="219"/>
      <c r="AU36" s="219"/>
      <c r="AV36" s="219"/>
      <c r="AW36" s="219"/>
      <c r="AX36" s="219"/>
      <c r="AY36" s="219"/>
      <c r="AZ36" s="219">
        <f>CC11</f>
        <v>13388.847281840641</v>
      </c>
      <c r="BA36" s="220">
        <f>CC12</f>
        <v>17147.894637521924</v>
      </c>
      <c r="BB36" s="219">
        <f>CD11</f>
        <v>17127.894637521924</v>
      </c>
      <c r="BC36" s="220">
        <f>CD12</f>
        <v>17127.894637521924</v>
      </c>
      <c r="BD36" s="219">
        <f t="shared" si="59"/>
        <v>58320.931807362562</v>
      </c>
      <c r="BE36" s="220">
        <f t="shared" si="60"/>
        <v>64140.411597043843</v>
      </c>
      <c r="CE36" s="220">
        <f>DV12</f>
        <v>3347.8</v>
      </c>
      <c r="CF36" s="219"/>
      <c r="CG36" s="219"/>
      <c r="CH36" s="219"/>
      <c r="CI36" s="219"/>
      <c r="CJ36" s="219"/>
      <c r="CK36" s="219"/>
      <c r="CL36" s="219"/>
      <c r="CM36" s="219"/>
      <c r="CN36" s="219"/>
      <c r="CO36" s="219"/>
      <c r="CP36" s="219"/>
      <c r="CQ36" s="219"/>
      <c r="CR36" s="219"/>
      <c r="CS36" s="219"/>
      <c r="DY36" s="220">
        <f>FP12</f>
        <v>38004.762508599997</v>
      </c>
      <c r="DZ36" s="219"/>
      <c r="EA36" s="219"/>
      <c r="EB36" s="219"/>
      <c r="EC36" s="219"/>
      <c r="ED36" s="219"/>
      <c r="EE36" s="219"/>
      <c r="EF36" s="219"/>
      <c r="EG36" s="219"/>
      <c r="EH36" s="219"/>
      <c r="EI36" s="219"/>
      <c r="EJ36" s="219"/>
      <c r="EK36" s="219"/>
      <c r="EL36" s="219"/>
      <c r="EM36" s="219"/>
      <c r="FS36" s="220">
        <f>HJ12</f>
        <v>9448.5</v>
      </c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HM36" s="220">
        <f>JD12</f>
        <v>15069.9</v>
      </c>
      <c r="HN36" s="219"/>
      <c r="HO36" s="219"/>
      <c r="HP36" s="219"/>
      <c r="HQ36" s="219"/>
      <c r="HR36" s="219"/>
      <c r="HS36" s="219"/>
      <c r="HT36" s="219"/>
      <c r="HU36" s="219"/>
      <c r="HV36" s="219"/>
      <c r="HW36" s="219"/>
      <c r="HX36" s="219"/>
      <c r="HY36" s="219"/>
      <c r="HZ36" s="219"/>
      <c r="IA36" s="219"/>
      <c r="JG36" s="220">
        <f>KX12</f>
        <v>8471.6720000000005</v>
      </c>
      <c r="JH36" s="219"/>
      <c r="JI36" s="219"/>
      <c r="JJ36" s="219"/>
      <c r="JK36" s="219"/>
      <c r="JL36" s="219"/>
      <c r="JM36" s="219"/>
      <c r="JN36" s="219"/>
      <c r="JO36" s="219"/>
      <c r="JP36" s="219"/>
      <c r="JQ36" s="219"/>
      <c r="JR36" s="219"/>
      <c r="JS36" s="219"/>
      <c r="JT36" s="219"/>
      <c r="JU36" s="219"/>
      <c r="LA36" s="220">
        <f>MR12</f>
        <v>5247.0000000000009</v>
      </c>
      <c r="LB36" s="219"/>
      <c r="LC36" s="219"/>
      <c r="LD36" s="219"/>
      <c r="LE36" s="219"/>
      <c r="LF36" s="219"/>
      <c r="LG36" s="219"/>
      <c r="LH36" s="219"/>
      <c r="LI36" s="219"/>
      <c r="LJ36" s="219"/>
      <c r="LK36" s="219"/>
      <c r="LL36" s="219"/>
      <c r="LM36" s="219"/>
      <c r="LN36" s="219"/>
      <c r="LO36" s="219"/>
      <c r="MU36" s="220">
        <f>OH12</f>
        <v>-1902</v>
      </c>
      <c r="MV36" s="219"/>
      <c r="MW36" s="219"/>
      <c r="MX36" s="219"/>
      <c r="MY36" s="219"/>
      <c r="MZ36" s="219"/>
      <c r="NA36" s="219"/>
      <c r="NB36" s="219"/>
      <c r="NC36" s="219"/>
      <c r="ND36" s="219"/>
      <c r="NE36" s="219"/>
      <c r="NF36" s="219"/>
      <c r="NG36" s="219"/>
      <c r="NH36" s="219"/>
      <c r="NI36" s="219"/>
      <c r="OK36" s="220">
        <f>QA12</f>
        <v>120037.60009564999</v>
      </c>
      <c r="OL36" s="219"/>
      <c r="OM36" s="219"/>
      <c r="ON36" s="219"/>
      <c r="OO36" s="219"/>
      <c r="OP36" s="219"/>
      <c r="OQ36" s="219"/>
      <c r="OR36" s="219"/>
      <c r="OS36" s="219"/>
      <c r="OT36" s="219"/>
      <c r="OU36" s="219"/>
      <c r="OV36" s="219"/>
      <c r="OW36" s="219"/>
      <c r="OX36" s="219"/>
      <c r="QD36" s="220">
        <f>RS12</f>
        <v>0</v>
      </c>
      <c r="QE36" s="219"/>
      <c r="QF36" s="219"/>
      <c r="QG36" s="219"/>
      <c r="QH36" s="219"/>
      <c r="QI36" s="219"/>
      <c r="QJ36" s="219"/>
      <c r="QK36" s="219"/>
      <c r="QL36" s="219"/>
      <c r="QM36" s="219"/>
      <c r="QN36" s="219"/>
      <c r="QO36" s="219"/>
      <c r="QP36" s="219"/>
      <c r="QQ36" s="219"/>
      <c r="QR36" s="219"/>
      <c r="QS36" s="219"/>
      <c r="QT36" s="219"/>
    </row>
    <row r="37" spans="6:463" hidden="1" outlineLevel="1">
      <c r="AH37" s="50" t="s">
        <v>1224</v>
      </c>
      <c r="AI37" s="212">
        <f>1120</f>
        <v>1120</v>
      </c>
      <c r="AJ37" s="219">
        <f>DV11</f>
        <v>3104.9675770000003</v>
      </c>
      <c r="AK37" s="220">
        <f>DV12</f>
        <v>3347.8</v>
      </c>
      <c r="AL37" s="219"/>
      <c r="AM37" s="219"/>
      <c r="AN37" s="219"/>
      <c r="AO37" s="219"/>
      <c r="AP37" s="219"/>
      <c r="AQ37" s="219"/>
      <c r="AR37" s="219"/>
      <c r="AS37" s="219"/>
      <c r="AT37" s="219"/>
      <c r="AU37" s="219"/>
      <c r="AV37" s="219"/>
      <c r="AW37" s="219"/>
      <c r="AX37" s="219"/>
      <c r="AY37" s="219"/>
      <c r="AZ37" s="219">
        <f>DW11</f>
        <v>3256.210231</v>
      </c>
      <c r="BA37" s="220">
        <f>DW12</f>
        <v>4741.9300000000012</v>
      </c>
      <c r="BB37" s="219">
        <f>DX11</f>
        <v>5344.9500000000007</v>
      </c>
      <c r="BC37" s="220">
        <f>DX12</f>
        <v>5344.9500000000007</v>
      </c>
      <c r="BD37" s="219">
        <f t="shared" si="59"/>
        <v>12826.127808000001</v>
      </c>
      <c r="BE37" s="220">
        <f t="shared" si="60"/>
        <v>14554.680000000002</v>
      </c>
      <c r="CE37" s="220">
        <f>FQ12</f>
        <v>39144.265948699998</v>
      </c>
      <c r="CF37" s="219"/>
      <c r="CG37" s="219"/>
      <c r="CH37" s="219"/>
      <c r="CI37" s="219"/>
      <c r="CJ37" s="219"/>
      <c r="CK37" s="219"/>
      <c r="CL37" s="219"/>
      <c r="CM37" s="219"/>
      <c r="CN37" s="219"/>
      <c r="CO37" s="219"/>
      <c r="CP37" s="219"/>
      <c r="CQ37" s="219"/>
      <c r="CR37" s="219"/>
      <c r="CS37" s="219"/>
      <c r="DY37" s="220">
        <f>HL12</f>
        <v>10055.272249999998</v>
      </c>
      <c r="DZ37" s="219"/>
      <c r="EA37" s="219"/>
      <c r="EB37" s="219"/>
      <c r="EC37" s="219"/>
      <c r="ED37" s="219"/>
      <c r="EE37" s="219"/>
      <c r="EF37" s="219"/>
      <c r="EG37" s="219"/>
      <c r="EH37" s="219"/>
      <c r="EI37" s="219"/>
      <c r="EJ37" s="219"/>
      <c r="EK37" s="219"/>
      <c r="EL37" s="219"/>
      <c r="EM37" s="219"/>
      <c r="FS37" s="220">
        <f>JV12</f>
        <v>734.41936700000042</v>
      </c>
      <c r="FT37" s="219"/>
      <c r="FU37" s="219"/>
      <c r="FV37" s="219"/>
      <c r="FW37" s="219"/>
      <c r="FX37" s="219"/>
      <c r="FY37" s="219"/>
      <c r="FZ37" s="219"/>
      <c r="GA37" s="219"/>
      <c r="GB37" s="219"/>
      <c r="GC37" s="219"/>
      <c r="GD37" s="219"/>
      <c r="GE37" s="219"/>
      <c r="GF37" s="219"/>
      <c r="GG37" s="219"/>
      <c r="HM37" s="220">
        <f>LQ12</f>
        <v>0</v>
      </c>
      <c r="HN37" s="219"/>
      <c r="HO37" s="219"/>
      <c r="HP37" s="219"/>
      <c r="HQ37" s="219"/>
      <c r="HR37" s="219"/>
      <c r="HS37" s="219"/>
      <c r="HT37" s="219"/>
      <c r="HU37" s="219"/>
      <c r="HV37" s="219"/>
      <c r="HW37" s="219"/>
      <c r="HX37" s="219"/>
      <c r="HY37" s="219"/>
      <c r="HZ37" s="219"/>
      <c r="IA37" s="219"/>
      <c r="JG37" s="220">
        <f>NL12</f>
        <v>0</v>
      </c>
      <c r="JH37" s="219"/>
      <c r="JI37" s="219"/>
      <c r="JJ37" s="219"/>
      <c r="JK37" s="219"/>
      <c r="JL37" s="219"/>
      <c r="JM37" s="219"/>
      <c r="JN37" s="219"/>
      <c r="JO37" s="219"/>
      <c r="JP37" s="219"/>
      <c r="JQ37" s="219"/>
      <c r="JR37" s="219"/>
      <c r="JS37" s="219"/>
      <c r="JT37" s="219"/>
      <c r="JU37" s="219"/>
      <c r="LA37" s="220">
        <f>PB12</f>
        <v>35850.376398</v>
      </c>
      <c r="LB37" s="219"/>
      <c r="LC37" s="219"/>
      <c r="LD37" s="219"/>
      <c r="LE37" s="219"/>
      <c r="LF37" s="219"/>
      <c r="LG37" s="219"/>
      <c r="LH37" s="219"/>
      <c r="LI37" s="219"/>
      <c r="LJ37" s="219"/>
      <c r="LK37" s="219"/>
      <c r="LL37" s="219"/>
      <c r="LM37" s="219"/>
      <c r="LN37" s="219"/>
      <c r="LO37" s="219"/>
      <c r="MU37" s="220">
        <f>QY12</f>
        <v>0</v>
      </c>
      <c r="MV37" s="219"/>
      <c r="MW37" s="219"/>
      <c r="MX37" s="219"/>
      <c r="MY37" s="219"/>
      <c r="MZ37" s="219"/>
      <c r="NA37" s="219"/>
      <c r="NB37" s="219"/>
      <c r="NC37" s="219"/>
      <c r="ND37" s="219"/>
      <c r="NE37" s="219"/>
      <c r="NF37" s="219"/>
      <c r="NG37" s="219"/>
      <c r="NH37" s="219"/>
      <c r="NI37" s="219"/>
      <c r="OK37" s="220">
        <f>SA12</f>
        <v>0</v>
      </c>
      <c r="OL37" s="219"/>
      <c r="OM37" s="219"/>
      <c r="ON37" s="219"/>
      <c r="OO37" s="219"/>
      <c r="OP37" s="219"/>
      <c r="OQ37" s="219"/>
      <c r="OR37" s="219"/>
      <c r="OS37" s="219"/>
      <c r="OT37" s="219"/>
      <c r="OU37" s="219"/>
      <c r="OV37" s="219"/>
      <c r="OW37" s="219"/>
      <c r="OX37" s="219"/>
      <c r="QD37" s="220">
        <f>TC12</f>
        <v>0</v>
      </c>
      <c r="QE37" s="219"/>
      <c r="QF37" s="219"/>
      <c r="QG37" s="219"/>
      <c r="QH37" s="219"/>
      <c r="QI37" s="219"/>
      <c r="QJ37" s="219"/>
      <c r="QK37" s="219"/>
      <c r="QL37" s="219"/>
      <c r="QM37" s="219"/>
      <c r="QN37" s="219"/>
      <c r="QO37" s="219"/>
      <c r="QP37" s="219"/>
      <c r="QQ37" s="219"/>
      <c r="QR37" s="219"/>
      <c r="QS37" s="219"/>
      <c r="QT37" s="219"/>
    </row>
    <row r="38" spans="6:463" hidden="1" outlineLevel="1">
      <c r="AH38" s="50" t="s">
        <v>1225</v>
      </c>
      <c r="AI38" s="212">
        <f>FO11</f>
        <v>28579.504091999999</v>
      </c>
      <c r="AJ38" s="219">
        <f>FP11</f>
        <v>29997.509375999995</v>
      </c>
      <c r="AK38" s="220">
        <f>FP12</f>
        <v>38004.762508599997</v>
      </c>
      <c r="AL38" s="219"/>
      <c r="AM38" s="219"/>
      <c r="AN38" s="219"/>
      <c r="AO38" s="219"/>
      <c r="AP38" s="219"/>
      <c r="AQ38" s="219"/>
      <c r="AR38" s="219"/>
      <c r="AS38" s="219"/>
      <c r="AT38" s="219"/>
      <c r="AU38" s="219"/>
      <c r="AV38" s="219"/>
      <c r="AW38" s="219"/>
      <c r="AX38" s="219"/>
      <c r="AY38" s="219"/>
      <c r="AZ38" s="219">
        <f>FQ11</f>
        <v>35388.828253899992</v>
      </c>
      <c r="BA38" s="220">
        <f>FQ12</f>
        <v>39144.265948699998</v>
      </c>
      <c r="BB38" s="219">
        <f>FR11</f>
        <v>40070.465948699988</v>
      </c>
      <c r="BC38" s="220">
        <f>FR12</f>
        <v>40070.465948699995</v>
      </c>
      <c r="BD38" s="219">
        <f t="shared" si="59"/>
        <v>134036.30767059996</v>
      </c>
      <c r="BE38" s="220">
        <f t="shared" si="60"/>
        <v>145798.99849799997</v>
      </c>
      <c r="CE38" s="220">
        <f>HK12</f>
        <v>9563.7219999999998</v>
      </c>
      <c r="CF38" s="219"/>
      <c r="CG38" s="219"/>
      <c r="CH38" s="219"/>
      <c r="CI38" s="219"/>
      <c r="CJ38" s="219"/>
      <c r="CK38" s="219"/>
      <c r="CL38" s="219"/>
      <c r="CM38" s="219"/>
      <c r="CN38" s="219"/>
      <c r="CO38" s="219"/>
      <c r="CP38" s="219"/>
      <c r="CQ38" s="219"/>
      <c r="CR38" s="219"/>
      <c r="CS38" s="219"/>
      <c r="DY38" s="220">
        <f>JF12</f>
        <v>19222.181534800002</v>
      </c>
      <c r="DZ38" s="219"/>
      <c r="EA38" s="219"/>
      <c r="EB38" s="219"/>
      <c r="EC38" s="219"/>
      <c r="ED38" s="219"/>
      <c r="EE38" s="219"/>
      <c r="EF38" s="219"/>
      <c r="EG38" s="219"/>
      <c r="EH38" s="219"/>
      <c r="EI38" s="219"/>
      <c r="EJ38" s="219"/>
      <c r="EK38" s="219"/>
      <c r="EL38" s="219"/>
      <c r="EM38" s="219"/>
      <c r="FS38" s="220">
        <f>LP12</f>
        <v>0</v>
      </c>
      <c r="FT38" s="219"/>
      <c r="FU38" s="219"/>
      <c r="FV38" s="219"/>
      <c r="FW38" s="219"/>
      <c r="FX38" s="219"/>
      <c r="FY38" s="219"/>
      <c r="FZ38" s="219"/>
      <c r="GA38" s="219"/>
      <c r="GB38" s="219"/>
      <c r="GC38" s="219"/>
      <c r="GD38" s="219"/>
      <c r="GE38" s="219"/>
      <c r="GF38" s="219"/>
      <c r="GG38" s="219"/>
      <c r="HM38" s="220">
        <f>NK12</f>
        <v>0</v>
      </c>
      <c r="HN38" s="219"/>
      <c r="HO38" s="219"/>
      <c r="HP38" s="219"/>
      <c r="HQ38" s="219"/>
      <c r="HR38" s="219"/>
      <c r="HS38" s="219"/>
      <c r="HT38" s="219"/>
      <c r="HU38" s="219"/>
      <c r="HV38" s="219"/>
      <c r="HW38" s="219"/>
      <c r="HX38" s="219"/>
      <c r="HY38" s="219"/>
      <c r="HZ38" s="219"/>
      <c r="IA38" s="219"/>
      <c r="JG38" s="220">
        <f>PA12</f>
        <v>0</v>
      </c>
      <c r="JH38" s="219"/>
      <c r="JI38" s="219"/>
      <c r="JJ38" s="219"/>
      <c r="JK38" s="219"/>
      <c r="JL38" s="219"/>
      <c r="JM38" s="219"/>
      <c r="JN38" s="219"/>
      <c r="JO38" s="219"/>
      <c r="JP38" s="219"/>
      <c r="JQ38" s="219"/>
      <c r="JR38" s="219"/>
      <c r="JS38" s="219"/>
      <c r="JT38" s="219"/>
      <c r="JU38" s="219"/>
      <c r="LA38" s="220">
        <f>QX12</f>
        <v>0</v>
      </c>
      <c r="LB38" s="219"/>
      <c r="LC38" s="219"/>
      <c r="LD38" s="219"/>
      <c r="LE38" s="219"/>
      <c r="LF38" s="219"/>
      <c r="LG38" s="219"/>
      <c r="LH38" s="219"/>
      <c r="LI38" s="219"/>
      <c r="LJ38" s="219"/>
      <c r="LK38" s="219"/>
      <c r="LL38" s="219"/>
      <c r="LM38" s="219"/>
      <c r="LN38" s="219"/>
      <c r="LO38" s="219"/>
      <c r="MU38" s="220">
        <f>RZ12</f>
        <v>0</v>
      </c>
      <c r="MV38" s="219"/>
      <c r="MW38" s="219"/>
      <c r="MX38" s="219"/>
      <c r="MY38" s="219"/>
      <c r="MZ38" s="219"/>
      <c r="NA38" s="219"/>
      <c r="NB38" s="219"/>
      <c r="NC38" s="219"/>
      <c r="ND38" s="219"/>
      <c r="NE38" s="219"/>
      <c r="NF38" s="219"/>
      <c r="NG38" s="219"/>
      <c r="NH38" s="219"/>
      <c r="NI38" s="219"/>
      <c r="OK38" s="220">
        <f>TB12</f>
        <v>0</v>
      </c>
      <c r="OL38" s="219"/>
      <c r="OM38" s="219"/>
      <c r="ON38" s="219"/>
      <c r="OO38" s="219"/>
      <c r="OP38" s="219"/>
      <c r="OQ38" s="219"/>
      <c r="OR38" s="219"/>
      <c r="OS38" s="219"/>
      <c r="OT38" s="219"/>
      <c r="OU38" s="219"/>
      <c r="OV38" s="219"/>
      <c r="OW38" s="219"/>
      <c r="OX38" s="219"/>
      <c r="QD38" s="220">
        <f>UD12</f>
        <v>0</v>
      </c>
      <c r="QE38" s="219"/>
      <c r="QF38" s="219"/>
      <c r="QG38" s="219"/>
      <c r="QH38" s="219"/>
      <c r="QI38" s="219"/>
      <c r="QJ38" s="219"/>
      <c r="QK38" s="219"/>
      <c r="QL38" s="219"/>
      <c r="QM38" s="219"/>
      <c r="QN38" s="219"/>
      <c r="QO38" s="219"/>
      <c r="QP38" s="219"/>
      <c r="QQ38" s="219"/>
      <c r="QR38" s="219"/>
      <c r="QS38" s="219"/>
      <c r="QT38" s="219"/>
    </row>
    <row r="39" spans="6:463" hidden="1" outlineLevel="1">
      <c r="AH39" s="50" t="s">
        <v>1226</v>
      </c>
      <c r="AI39" s="212">
        <f>7626</f>
        <v>7626</v>
      </c>
      <c r="AJ39" s="219">
        <f>HJ11</f>
        <v>7266.5040790000003</v>
      </c>
      <c r="AK39" s="220">
        <f>HJ12</f>
        <v>9448.5</v>
      </c>
      <c r="AL39" s="219"/>
      <c r="AM39" s="219"/>
      <c r="AN39" s="219"/>
      <c r="AO39" s="219"/>
      <c r="AP39" s="219"/>
      <c r="AQ39" s="219"/>
      <c r="AR39" s="219"/>
      <c r="AS39" s="219"/>
      <c r="AT39" s="219"/>
      <c r="AU39" s="219"/>
      <c r="AV39" s="219"/>
      <c r="AW39" s="219"/>
      <c r="AX39" s="219"/>
      <c r="AY39" s="219"/>
      <c r="AZ39" s="219">
        <f>HK11</f>
        <v>11753.926626999999</v>
      </c>
      <c r="BA39" s="220">
        <f>HK12</f>
        <v>9563.7219999999998</v>
      </c>
      <c r="BB39" s="219">
        <f>HL11</f>
        <v>10055.272249999998</v>
      </c>
      <c r="BC39" s="220">
        <f>HL12</f>
        <v>10055.272249999998</v>
      </c>
      <c r="BD39" s="219">
        <f t="shared" si="59"/>
        <v>36701.702955999994</v>
      </c>
      <c r="BE39" s="220">
        <f t="shared" si="60"/>
        <v>36693.494250000003</v>
      </c>
      <c r="CE39" s="220">
        <f>JE12</f>
        <v>18820.554387799999</v>
      </c>
      <c r="CF39" s="219"/>
      <c r="CG39" s="219"/>
      <c r="CH39" s="219"/>
      <c r="CI39" s="219"/>
      <c r="CJ39" s="219"/>
      <c r="CK39" s="219"/>
      <c r="CL39" s="219"/>
      <c r="CM39" s="219"/>
      <c r="CN39" s="219"/>
      <c r="CO39" s="219"/>
      <c r="CP39" s="219"/>
      <c r="CQ39" s="219"/>
      <c r="CR39" s="219"/>
      <c r="CS39" s="219"/>
      <c r="DY39" s="220">
        <f>KZ12</f>
        <v>10224.639706272705</v>
      </c>
      <c r="DZ39" s="219"/>
      <c r="EA39" s="219"/>
      <c r="EB39" s="219"/>
      <c r="EC39" s="219"/>
      <c r="ED39" s="219"/>
      <c r="EE39" s="219"/>
      <c r="EF39" s="219"/>
      <c r="EG39" s="219"/>
      <c r="EH39" s="219"/>
      <c r="EI39" s="219"/>
      <c r="EJ39" s="219"/>
      <c r="EK39" s="219"/>
      <c r="EL39" s="219"/>
      <c r="EM39" s="219"/>
      <c r="FS39" s="220">
        <f>NJ12</f>
        <v>0</v>
      </c>
      <c r="FT39" s="219"/>
      <c r="FU39" s="219"/>
      <c r="FV39" s="219"/>
      <c r="FW39" s="219"/>
      <c r="FX39" s="219"/>
      <c r="FY39" s="219"/>
      <c r="FZ39" s="219"/>
      <c r="GA39" s="219"/>
      <c r="GB39" s="219"/>
      <c r="GC39" s="219"/>
      <c r="GD39" s="219"/>
      <c r="GE39" s="219"/>
      <c r="GF39" s="219"/>
      <c r="GG39" s="219"/>
      <c r="HM39" s="220">
        <f>OZ12</f>
        <v>30894.947591</v>
      </c>
      <c r="HN39" s="219"/>
      <c r="HO39" s="219"/>
      <c r="HP39" s="219"/>
      <c r="HQ39" s="219"/>
      <c r="HR39" s="219"/>
      <c r="HS39" s="219"/>
      <c r="HT39" s="219"/>
      <c r="HU39" s="219"/>
      <c r="HV39" s="219"/>
      <c r="HW39" s="219"/>
      <c r="HX39" s="219"/>
      <c r="HY39" s="219"/>
      <c r="HZ39" s="219"/>
      <c r="IA39" s="219"/>
      <c r="JG39" s="220">
        <f>QW12</f>
        <v>0</v>
      </c>
      <c r="JH39" s="219"/>
      <c r="JI39" s="219"/>
      <c r="JJ39" s="219"/>
      <c r="JK39" s="219"/>
      <c r="JL39" s="219"/>
      <c r="JM39" s="219"/>
      <c r="JN39" s="219"/>
      <c r="JO39" s="219"/>
      <c r="JP39" s="219"/>
      <c r="JQ39" s="219"/>
      <c r="JR39" s="219"/>
      <c r="JS39" s="219"/>
      <c r="JT39" s="219"/>
      <c r="JU39" s="219"/>
      <c r="LA39" s="220">
        <f>RY12</f>
        <v>0</v>
      </c>
      <c r="LB39" s="219"/>
      <c r="LC39" s="219"/>
      <c r="LD39" s="219"/>
      <c r="LE39" s="219"/>
      <c r="LF39" s="219"/>
      <c r="LG39" s="219"/>
      <c r="LH39" s="219"/>
      <c r="LI39" s="219"/>
      <c r="LJ39" s="219"/>
      <c r="LK39" s="219"/>
      <c r="LL39" s="219"/>
      <c r="LM39" s="219"/>
      <c r="LN39" s="219"/>
      <c r="LO39" s="219"/>
      <c r="MU39" s="220">
        <f>TA12</f>
        <v>0</v>
      </c>
      <c r="MV39" s="219"/>
      <c r="MW39" s="219"/>
      <c r="MX39" s="219"/>
      <c r="MY39" s="219"/>
      <c r="MZ39" s="219"/>
      <c r="NA39" s="219"/>
      <c r="NB39" s="219"/>
      <c r="NC39" s="219"/>
      <c r="ND39" s="219"/>
      <c r="NE39" s="219"/>
      <c r="NF39" s="219"/>
      <c r="NG39" s="219"/>
      <c r="NH39" s="219"/>
      <c r="NI39" s="219"/>
      <c r="OK39" s="220">
        <f>UC12</f>
        <v>0</v>
      </c>
      <c r="OL39" s="219"/>
      <c r="OM39" s="219"/>
      <c r="ON39" s="219"/>
      <c r="OO39" s="219"/>
      <c r="OP39" s="219"/>
      <c r="OQ39" s="219"/>
      <c r="OR39" s="219"/>
      <c r="OS39" s="219"/>
      <c r="OT39" s="219"/>
      <c r="OU39" s="219"/>
      <c r="OV39" s="219"/>
      <c r="OW39" s="219"/>
      <c r="OX39" s="219"/>
      <c r="QD39" s="220">
        <f>VE12</f>
        <v>0</v>
      </c>
      <c r="QE39" s="219"/>
      <c r="QF39" s="219"/>
      <c r="QG39" s="219"/>
      <c r="QH39" s="219"/>
      <c r="QI39" s="219"/>
      <c r="QJ39" s="219"/>
      <c r="QK39" s="219"/>
      <c r="QL39" s="219"/>
      <c r="QM39" s="219"/>
      <c r="QN39" s="219"/>
      <c r="QO39" s="219"/>
      <c r="QP39" s="219"/>
      <c r="QQ39" s="219"/>
      <c r="QR39" s="219"/>
      <c r="QS39" s="219"/>
      <c r="QT39" s="219"/>
    </row>
    <row r="40" spans="6:463" hidden="1" outlineLevel="1">
      <c r="AH40" s="50" t="s">
        <v>1227</v>
      </c>
      <c r="AI40" s="212">
        <f>11227</f>
        <v>11227</v>
      </c>
      <c r="AJ40" s="219">
        <f>JD11</f>
        <v>13705.554348000001</v>
      </c>
      <c r="AK40" s="220">
        <f>JD12</f>
        <v>15069.9</v>
      </c>
      <c r="AL40" s="219"/>
      <c r="AM40" s="219"/>
      <c r="AN40" s="219"/>
      <c r="AO40" s="219"/>
      <c r="AP40" s="219"/>
      <c r="AQ40" s="219"/>
      <c r="AR40" s="219"/>
      <c r="AS40" s="219"/>
      <c r="AT40" s="219"/>
      <c r="AU40" s="219"/>
      <c r="AV40" s="219"/>
      <c r="AW40" s="219"/>
      <c r="AX40" s="219"/>
      <c r="AY40" s="219"/>
      <c r="AZ40" s="219">
        <f>JE11</f>
        <v>22509.839326600002</v>
      </c>
      <c r="BA40" s="220">
        <f>JE12</f>
        <v>18820.554387799999</v>
      </c>
      <c r="BB40" s="219">
        <f>JF11</f>
        <v>19222.181534800002</v>
      </c>
      <c r="BC40" s="220">
        <f>JF12</f>
        <v>19222.181534800002</v>
      </c>
      <c r="BD40" s="219">
        <f t="shared" si="59"/>
        <v>66664.575209400005</v>
      </c>
      <c r="BE40" s="220">
        <f t="shared" si="60"/>
        <v>64339.635922599999</v>
      </c>
      <c r="CE40" s="220">
        <f>KY12</f>
        <v>9330.5799200773727</v>
      </c>
      <c r="CF40" s="219"/>
      <c r="CG40" s="219"/>
      <c r="CH40" s="219"/>
      <c r="CI40" s="219"/>
      <c r="CJ40" s="219"/>
      <c r="CK40" s="219"/>
      <c r="CL40" s="219"/>
      <c r="CM40" s="219"/>
      <c r="CN40" s="219"/>
      <c r="CO40" s="219"/>
      <c r="CP40" s="219"/>
      <c r="CQ40" s="219"/>
      <c r="CR40" s="219"/>
      <c r="CS40" s="219"/>
      <c r="DY40" s="220">
        <f>MT12</f>
        <v>5296.4796430215001</v>
      </c>
      <c r="DZ40" s="219"/>
      <c r="EA40" s="219"/>
      <c r="EB40" s="219"/>
      <c r="EC40" s="219"/>
      <c r="ED40" s="219"/>
      <c r="EE40" s="219"/>
      <c r="EF40" s="219"/>
      <c r="EG40" s="219"/>
      <c r="EH40" s="219"/>
      <c r="EI40" s="219"/>
      <c r="EJ40" s="219"/>
      <c r="EK40" s="219"/>
      <c r="EL40" s="219"/>
      <c r="EM40" s="219"/>
      <c r="FS40" s="220">
        <f>OY12</f>
        <v>28862.240757</v>
      </c>
      <c r="FT40" s="219"/>
      <c r="FU40" s="219"/>
      <c r="FV40" s="219"/>
      <c r="FW40" s="219"/>
      <c r="FX40" s="219"/>
      <c r="FY40" s="219"/>
      <c r="FZ40" s="219"/>
      <c r="GA40" s="219"/>
      <c r="GB40" s="219"/>
      <c r="GC40" s="219"/>
      <c r="GD40" s="219"/>
      <c r="GE40" s="219"/>
      <c r="GF40" s="219"/>
      <c r="GG40" s="219"/>
      <c r="HM40" s="220">
        <f>QV12</f>
        <v>0</v>
      </c>
      <c r="HN40" s="219"/>
      <c r="HO40" s="219"/>
      <c r="HP40" s="219"/>
      <c r="HQ40" s="219"/>
      <c r="HR40" s="219"/>
      <c r="HS40" s="219"/>
      <c r="HT40" s="219"/>
      <c r="HU40" s="219"/>
      <c r="HV40" s="219"/>
      <c r="HW40" s="219"/>
      <c r="HX40" s="219"/>
      <c r="HY40" s="219"/>
      <c r="HZ40" s="219"/>
      <c r="IA40" s="219"/>
      <c r="JG40" s="220">
        <f>RX12</f>
        <v>0</v>
      </c>
      <c r="JH40" s="219"/>
      <c r="JI40" s="219"/>
      <c r="JJ40" s="219"/>
      <c r="JK40" s="219"/>
      <c r="JL40" s="219"/>
      <c r="JM40" s="219"/>
      <c r="JN40" s="219"/>
      <c r="JO40" s="219"/>
      <c r="JP40" s="219"/>
      <c r="JQ40" s="219"/>
      <c r="JR40" s="219"/>
      <c r="JS40" s="219"/>
      <c r="JT40" s="219"/>
      <c r="JU40" s="219"/>
      <c r="LA40" s="220">
        <f>SZ12</f>
        <v>0</v>
      </c>
      <c r="LB40" s="219"/>
      <c r="LC40" s="219"/>
      <c r="LD40" s="219"/>
      <c r="LE40" s="219"/>
      <c r="LF40" s="219"/>
      <c r="LG40" s="219"/>
      <c r="LH40" s="219"/>
      <c r="LI40" s="219"/>
      <c r="LJ40" s="219"/>
      <c r="LK40" s="219"/>
      <c r="LL40" s="219"/>
      <c r="LM40" s="219"/>
      <c r="LN40" s="219"/>
      <c r="LO40" s="219"/>
      <c r="MU40" s="220">
        <f>UB12</f>
        <v>0</v>
      </c>
      <c r="MV40" s="219"/>
      <c r="MW40" s="219"/>
      <c r="MX40" s="219"/>
      <c r="MY40" s="219"/>
      <c r="MZ40" s="219"/>
      <c r="NA40" s="219"/>
      <c r="NB40" s="219"/>
      <c r="NC40" s="219"/>
      <c r="ND40" s="219"/>
      <c r="NE40" s="219"/>
      <c r="NF40" s="219"/>
      <c r="NG40" s="219"/>
      <c r="NH40" s="219"/>
      <c r="NI40" s="219"/>
      <c r="OK40" s="220">
        <f>VD12</f>
        <v>0</v>
      </c>
      <c r="OL40" s="219"/>
      <c r="OM40" s="219"/>
      <c r="ON40" s="219"/>
      <c r="OO40" s="219"/>
      <c r="OP40" s="219"/>
      <c r="OQ40" s="219"/>
      <c r="OR40" s="219"/>
      <c r="OS40" s="219"/>
      <c r="OT40" s="219"/>
      <c r="OU40" s="219"/>
      <c r="OV40" s="219"/>
      <c r="OW40" s="219"/>
      <c r="OX40" s="219"/>
      <c r="QD40" s="220">
        <f>WF12</f>
        <v>0</v>
      </c>
      <c r="QE40" s="219"/>
      <c r="QF40" s="219"/>
      <c r="QG40" s="219"/>
      <c r="QH40" s="219"/>
      <c r="QI40" s="219"/>
      <c r="QJ40" s="219"/>
      <c r="QK40" s="219"/>
      <c r="QL40" s="219"/>
      <c r="QM40" s="219"/>
      <c r="QN40" s="219"/>
      <c r="QO40" s="219"/>
      <c r="QP40" s="219"/>
      <c r="QQ40" s="219"/>
      <c r="QR40" s="219"/>
      <c r="QS40" s="219"/>
      <c r="QT40" s="219"/>
    </row>
    <row r="41" spans="6:463" hidden="1" outlineLevel="1">
      <c r="AH41" s="50" t="s">
        <v>1228</v>
      </c>
      <c r="AI41" s="212">
        <f>KW11</f>
        <v>6499.6034530000006</v>
      </c>
      <c r="AJ41" s="219">
        <f>KX11</f>
        <v>6245.0200140000006</v>
      </c>
      <c r="AK41" s="220">
        <f>KX12</f>
        <v>8471.6720000000005</v>
      </c>
      <c r="AL41" s="219"/>
      <c r="AM41" s="219"/>
      <c r="AN41" s="219"/>
      <c r="AO41" s="219"/>
      <c r="AP41" s="219"/>
      <c r="AQ41" s="219"/>
      <c r="AR41" s="219"/>
      <c r="AS41" s="219"/>
      <c r="AT41" s="219"/>
      <c r="AU41" s="219"/>
      <c r="AV41" s="219"/>
      <c r="AW41" s="219"/>
      <c r="AX41" s="219"/>
      <c r="AY41" s="219"/>
      <c r="AZ41" s="219">
        <f>BA41</f>
        <v>9330.5799200773727</v>
      </c>
      <c r="BA41" s="220">
        <f>KY12</f>
        <v>9330.5799200773727</v>
      </c>
      <c r="BB41" s="219">
        <f>BC41</f>
        <v>10224.639706272705</v>
      </c>
      <c r="BC41" s="220">
        <f>KZ12</f>
        <v>10224.639706272705</v>
      </c>
      <c r="BD41" s="219">
        <f t="shared" si="59"/>
        <v>32299.843093350079</v>
      </c>
      <c r="BE41" s="220">
        <f t="shared" si="60"/>
        <v>34526.495079350083</v>
      </c>
      <c r="CE41" s="220">
        <f>MS12</f>
        <v>5296.4796430215001</v>
      </c>
      <c r="CF41" s="219"/>
      <c r="CG41" s="219"/>
      <c r="CH41" s="219"/>
      <c r="CI41" s="219"/>
      <c r="CJ41" s="219"/>
      <c r="CK41" s="219"/>
      <c r="CL41" s="219"/>
      <c r="CM41" s="219"/>
      <c r="CN41" s="219"/>
      <c r="CO41" s="219"/>
      <c r="CP41" s="219"/>
      <c r="CQ41" s="219"/>
      <c r="CR41" s="219"/>
      <c r="CS41" s="219"/>
      <c r="DY41" s="220">
        <f>OJ12</f>
        <v>-3437.3375211904099</v>
      </c>
      <c r="DZ41" s="219"/>
      <c r="EA41" s="219"/>
      <c r="EB41" s="219"/>
      <c r="EC41" s="219"/>
      <c r="ED41" s="219"/>
      <c r="EE41" s="219"/>
      <c r="EF41" s="219"/>
      <c r="EG41" s="219"/>
      <c r="EH41" s="219"/>
      <c r="EI41" s="219"/>
      <c r="EJ41" s="219"/>
      <c r="EK41" s="219"/>
      <c r="EL41" s="219"/>
      <c r="EM41" s="219"/>
      <c r="FS41" s="220">
        <f>QU12</f>
        <v>92069.421555000008</v>
      </c>
      <c r="FT41" s="219"/>
      <c r="FU41" s="219"/>
      <c r="FV41" s="219"/>
      <c r="FW41" s="219"/>
      <c r="FX41" s="219"/>
      <c r="FY41" s="219"/>
      <c r="FZ41" s="219"/>
      <c r="GA41" s="219"/>
      <c r="GB41" s="219"/>
      <c r="GC41" s="219"/>
      <c r="GD41" s="219"/>
      <c r="GE41" s="219"/>
      <c r="GF41" s="219"/>
      <c r="GG41" s="219"/>
      <c r="HM41" s="220">
        <f>RW12</f>
        <v>0</v>
      </c>
      <c r="HN41" s="219"/>
      <c r="HO41" s="219"/>
      <c r="HP41" s="219"/>
      <c r="HQ41" s="219"/>
      <c r="HR41" s="219"/>
      <c r="HS41" s="219"/>
      <c r="HT41" s="219"/>
      <c r="HU41" s="219"/>
      <c r="HV41" s="219"/>
      <c r="HW41" s="219"/>
      <c r="HX41" s="219"/>
      <c r="HY41" s="219"/>
      <c r="HZ41" s="219"/>
      <c r="IA41" s="219"/>
      <c r="JG41" s="220">
        <f>SY12</f>
        <v>0</v>
      </c>
      <c r="JH41" s="219"/>
      <c r="JI41" s="219"/>
      <c r="JJ41" s="219"/>
      <c r="JK41" s="219"/>
      <c r="JL41" s="219"/>
      <c r="JM41" s="219"/>
      <c r="JN41" s="219"/>
      <c r="JO41" s="219"/>
      <c r="JP41" s="219"/>
      <c r="JQ41" s="219"/>
      <c r="JR41" s="219"/>
      <c r="JS41" s="219"/>
      <c r="JT41" s="219"/>
      <c r="JU41" s="219"/>
      <c r="LA41" s="220">
        <f>UA12</f>
        <v>0</v>
      </c>
      <c r="LB41" s="219"/>
      <c r="LC41" s="219"/>
      <c r="LD41" s="219"/>
      <c r="LE41" s="219"/>
      <c r="LF41" s="219"/>
      <c r="LG41" s="219"/>
      <c r="LH41" s="219"/>
      <c r="LI41" s="219"/>
      <c r="LJ41" s="219"/>
      <c r="LK41" s="219"/>
      <c r="LL41" s="219"/>
      <c r="LM41" s="219"/>
      <c r="LN41" s="219"/>
      <c r="LO41" s="219"/>
      <c r="MU41" s="220">
        <f>VC12</f>
        <v>0</v>
      </c>
      <c r="MV41" s="219"/>
      <c r="MW41" s="219"/>
      <c r="MX41" s="219"/>
      <c r="MY41" s="219"/>
      <c r="MZ41" s="219"/>
      <c r="NA41" s="219"/>
      <c r="NB41" s="219"/>
      <c r="NC41" s="219"/>
      <c r="ND41" s="219"/>
      <c r="NE41" s="219"/>
      <c r="NF41" s="219"/>
      <c r="NG41" s="219"/>
      <c r="NH41" s="219"/>
      <c r="NI41" s="219"/>
      <c r="OK41" s="220">
        <f>WE12</f>
        <v>0</v>
      </c>
      <c r="OL41" s="219"/>
      <c r="OM41" s="219"/>
      <c r="ON41" s="219"/>
      <c r="OO41" s="219"/>
      <c r="OP41" s="219"/>
      <c r="OQ41" s="219"/>
      <c r="OR41" s="219"/>
      <c r="OS41" s="219"/>
      <c r="OT41" s="219"/>
      <c r="OU41" s="219"/>
      <c r="OV41" s="219"/>
      <c r="OW41" s="219"/>
      <c r="OX41" s="219"/>
      <c r="QD41" s="220">
        <f>XG12</f>
        <v>0</v>
      </c>
      <c r="QE41" s="219"/>
      <c r="QF41" s="219"/>
      <c r="QG41" s="219"/>
      <c r="QH41" s="219"/>
      <c r="QI41" s="219"/>
      <c r="QJ41" s="219"/>
      <c r="QK41" s="219"/>
      <c r="QL41" s="219"/>
      <c r="QM41" s="219"/>
      <c r="QN41" s="219"/>
      <c r="QO41" s="219"/>
      <c r="QP41" s="219"/>
      <c r="QQ41" s="219"/>
      <c r="QR41" s="219"/>
      <c r="QS41" s="219"/>
      <c r="QT41" s="219"/>
    </row>
    <row r="42" spans="6:463" hidden="1" outlineLevel="1">
      <c r="AH42" s="50" t="s">
        <v>1229</v>
      </c>
      <c r="AI42" s="213">
        <f>5072</f>
        <v>5072</v>
      </c>
      <c r="AJ42" s="219">
        <f>5247</f>
        <v>5247</v>
      </c>
      <c r="AK42" s="220">
        <f>5247</f>
        <v>5247</v>
      </c>
      <c r="AL42" s="219"/>
      <c r="AM42" s="219"/>
      <c r="AN42" s="219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219"/>
      <c r="AZ42" s="219">
        <f>5296</f>
        <v>5296</v>
      </c>
      <c r="BA42" s="220">
        <f>5296</f>
        <v>5296</v>
      </c>
      <c r="BB42" s="219">
        <f>5296</f>
        <v>5296</v>
      </c>
      <c r="BC42" s="220">
        <f>5296</f>
        <v>5296</v>
      </c>
      <c r="BD42" s="219">
        <f t="shared" si="59"/>
        <v>20911</v>
      </c>
      <c r="BE42" s="220">
        <f t="shared" si="60"/>
        <v>20911</v>
      </c>
      <c r="CE42" s="220">
        <f>5247</f>
        <v>5247</v>
      </c>
      <c r="CF42" s="219"/>
      <c r="CG42" s="219"/>
      <c r="CH42" s="219"/>
      <c r="CI42" s="219"/>
      <c r="CJ42" s="219"/>
      <c r="CK42" s="219"/>
      <c r="CL42" s="219"/>
      <c r="CM42" s="219"/>
      <c r="CN42" s="219"/>
      <c r="CO42" s="219"/>
      <c r="CP42" s="219"/>
      <c r="CQ42" s="219"/>
      <c r="CR42" s="219"/>
      <c r="CS42" s="219"/>
      <c r="DY42" s="220">
        <f>5247</f>
        <v>5247</v>
      </c>
      <c r="DZ42" s="219"/>
      <c r="EA42" s="219"/>
      <c r="EB42" s="219"/>
      <c r="EC42" s="219"/>
      <c r="ED42" s="219"/>
      <c r="EE42" s="219"/>
      <c r="EF42" s="219"/>
      <c r="EG42" s="219"/>
      <c r="EH42" s="219"/>
      <c r="EI42" s="219"/>
      <c r="EJ42" s="219"/>
      <c r="EK42" s="219"/>
      <c r="EL42" s="219"/>
      <c r="EM42" s="219"/>
      <c r="FS42" s="220">
        <f>5247</f>
        <v>5247</v>
      </c>
      <c r="FT42" s="219"/>
      <c r="FU42" s="219"/>
      <c r="FV42" s="219"/>
      <c r="FW42" s="219"/>
      <c r="FX42" s="219"/>
      <c r="FY42" s="219"/>
      <c r="FZ42" s="219"/>
      <c r="GA42" s="219"/>
      <c r="GB42" s="219"/>
      <c r="GC42" s="219"/>
      <c r="GD42" s="219"/>
      <c r="GE42" s="219"/>
      <c r="GF42" s="219"/>
      <c r="GG42" s="219"/>
      <c r="HM42" s="220">
        <f>5247</f>
        <v>5247</v>
      </c>
      <c r="HN42" s="219"/>
      <c r="HO42" s="219"/>
      <c r="HP42" s="219"/>
      <c r="HQ42" s="219"/>
      <c r="HR42" s="219"/>
      <c r="HS42" s="219"/>
      <c r="HT42" s="219"/>
      <c r="HU42" s="219"/>
      <c r="HV42" s="219"/>
      <c r="HW42" s="219"/>
      <c r="HX42" s="219"/>
      <c r="HY42" s="219"/>
      <c r="HZ42" s="219"/>
      <c r="IA42" s="219"/>
      <c r="JG42" s="220">
        <f>5247</f>
        <v>5247</v>
      </c>
      <c r="JH42" s="219"/>
      <c r="JI42" s="219"/>
      <c r="JJ42" s="219"/>
      <c r="JK42" s="219"/>
      <c r="JL42" s="219"/>
      <c r="JM42" s="219"/>
      <c r="JN42" s="219"/>
      <c r="JO42" s="219"/>
      <c r="JP42" s="219"/>
      <c r="JQ42" s="219"/>
      <c r="JR42" s="219"/>
      <c r="JS42" s="219"/>
      <c r="JT42" s="219"/>
      <c r="JU42" s="219"/>
      <c r="LA42" s="220">
        <f>5247</f>
        <v>5247</v>
      </c>
      <c r="LB42" s="219"/>
      <c r="LC42" s="219"/>
      <c r="LD42" s="219"/>
      <c r="LE42" s="219"/>
      <c r="LF42" s="219"/>
      <c r="LG42" s="219"/>
      <c r="LH42" s="219"/>
      <c r="LI42" s="219"/>
      <c r="LJ42" s="219"/>
      <c r="LK42" s="219"/>
      <c r="LL42" s="219"/>
      <c r="LM42" s="219"/>
      <c r="LN42" s="219"/>
      <c r="LO42" s="219"/>
      <c r="MU42" s="220">
        <f>5247</f>
        <v>5247</v>
      </c>
      <c r="MV42" s="219"/>
      <c r="MW42" s="219"/>
      <c r="MX42" s="219"/>
      <c r="MY42" s="219"/>
      <c r="MZ42" s="219"/>
      <c r="NA42" s="219"/>
      <c r="NB42" s="219"/>
      <c r="NC42" s="219"/>
      <c r="ND42" s="219"/>
      <c r="NE42" s="219"/>
      <c r="NF42" s="219"/>
      <c r="NG42" s="219"/>
      <c r="NH42" s="219"/>
      <c r="NI42" s="219"/>
      <c r="OK42" s="220">
        <f>5247</f>
        <v>5247</v>
      </c>
      <c r="OL42" s="219"/>
      <c r="OM42" s="219"/>
      <c r="ON42" s="219"/>
      <c r="OO42" s="219"/>
      <c r="OP42" s="219"/>
      <c r="OQ42" s="219"/>
      <c r="OR42" s="219"/>
      <c r="OS42" s="219"/>
      <c r="OT42" s="219"/>
      <c r="OU42" s="219"/>
      <c r="OV42" s="219"/>
      <c r="OW42" s="219"/>
      <c r="OX42" s="219"/>
      <c r="QD42" s="220">
        <f>5247</f>
        <v>5247</v>
      </c>
      <c r="QE42" s="219"/>
      <c r="QF42" s="219"/>
      <c r="QG42" s="219"/>
      <c r="QH42" s="219"/>
      <c r="QI42" s="219"/>
      <c r="QJ42" s="219"/>
      <c r="QK42" s="219"/>
      <c r="QL42" s="219"/>
      <c r="QM42" s="219"/>
      <c r="QN42" s="219"/>
      <c r="QO42" s="219"/>
      <c r="QP42" s="219"/>
      <c r="QQ42" s="219"/>
      <c r="QR42" s="219"/>
      <c r="QS42" s="219"/>
      <c r="QT42" s="219"/>
    </row>
    <row r="43" spans="6:463" hidden="1" outlineLevel="1">
      <c r="AH43" s="50" t="s">
        <v>1153</v>
      </c>
      <c r="AI43" s="213">
        <v>-1533</v>
      </c>
      <c r="AJ43" s="219">
        <v>-1902</v>
      </c>
      <c r="AK43" s="220">
        <v>-1902</v>
      </c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219"/>
      <c r="AW43" s="219"/>
      <c r="AX43" s="219"/>
      <c r="AY43" s="219"/>
      <c r="AZ43" s="219">
        <v>-3372</v>
      </c>
      <c r="BA43" s="220">
        <v>-3372</v>
      </c>
      <c r="BB43" s="219">
        <v>-3437</v>
      </c>
      <c r="BC43" s="220">
        <v>-3437</v>
      </c>
      <c r="BD43" s="219">
        <f t="shared" si="59"/>
        <v>-10244</v>
      </c>
      <c r="BE43" s="220">
        <f t="shared" si="60"/>
        <v>-10244</v>
      </c>
      <c r="CE43" s="220">
        <v>-1902</v>
      </c>
      <c r="CF43" s="219"/>
      <c r="CG43" s="219"/>
      <c r="CH43" s="219"/>
      <c r="CI43" s="219"/>
      <c r="CJ43" s="219"/>
      <c r="CK43" s="219"/>
      <c r="CL43" s="219"/>
      <c r="CM43" s="219"/>
      <c r="CN43" s="219"/>
      <c r="CO43" s="219"/>
      <c r="CP43" s="219"/>
      <c r="CQ43" s="219"/>
      <c r="CR43" s="219"/>
      <c r="CS43" s="219"/>
      <c r="DY43" s="220">
        <v>-1902</v>
      </c>
      <c r="DZ43" s="219"/>
      <c r="EA43" s="219"/>
      <c r="EB43" s="219"/>
      <c r="EC43" s="219"/>
      <c r="ED43" s="219"/>
      <c r="EE43" s="219"/>
      <c r="EF43" s="219"/>
      <c r="EG43" s="219"/>
      <c r="EH43" s="219"/>
      <c r="EI43" s="219"/>
      <c r="EJ43" s="219"/>
      <c r="EK43" s="219"/>
      <c r="EL43" s="219"/>
      <c r="EM43" s="219"/>
      <c r="FS43" s="220">
        <v>-1902</v>
      </c>
      <c r="FT43" s="219"/>
      <c r="FU43" s="219"/>
      <c r="FV43" s="219"/>
      <c r="FW43" s="219"/>
      <c r="FX43" s="219"/>
      <c r="FY43" s="219"/>
      <c r="FZ43" s="219"/>
      <c r="GA43" s="219"/>
      <c r="GB43" s="219"/>
      <c r="GC43" s="219"/>
      <c r="GD43" s="219"/>
      <c r="GE43" s="219"/>
      <c r="GF43" s="219"/>
      <c r="GG43" s="219"/>
      <c r="HM43" s="220">
        <v>-1902</v>
      </c>
      <c r="HN43" s="219"/>
      <c r="HO43" s="219"/>
      <c r="HP43" s="219"/>
      <c r="HQ43" s="219"/>
      <c r="HR43" s="219"/>
      <c r="HS43" s="219"/>
      <c r="HT43" s="219"/>
      <c r="HU43" s="219"/>
      <c r="HV43" s="219"/>
      <c r="HW43" s="219"/>
      <c r="HX43" s="219"/>
      <c r="HY43" s="219"/>
      <c r="HZ43" s="219"/>
      <c r="IA43" s="219"/>
      <c r="JG43" s="220">
        <v>-1902</v>
      </c>
      <c r="JH43" s="219"/>
      <c r="JI43" s="219"/>
      <c r="JJ43" s="219"/>
      <c r="JK43" s="219"/>
      <c r="JL43" s="219"/>
      <c r="JM43" s="219"/>
      <c r="JN43" s="219"/>
      <c r="JO43" s="219"/>
      <c r="JP43" s="219"/>
      <c r="JQ43" s="219"/>
      <c r="JR43" s="219"/>
      <c r="JS43" s="219"/>
      <c r="JT43" s="219"/>
      <c r="JU43" s="219"/>
      <c r="LA43" s="220">
        <v>-1902</v>
      </c>
      <c r="LB43" s="219"/>
      <c r="LC43" s="219"/>
      <c r="LD43" s="219"/>
      <c r="LE43" s="219"/>
      <c r="LF43" s="219"/>
      <c r="LG43" s="219"/>
      <c r="LH43" s="219"/>
      <c r="LI43" s="219"/>
      <c r="LJ43" s="219"/>
      <c r="LK43" s="219"/>
      <c r="LL43" s="219"/>
      <c r="LM43" s="219"/>
      <c r="LN43" s="219"/>
      <c r="LO43" s="219"/>
      <c r="MU43" s="220">
        <v>-1902</v>
      </c>
      <c r="MV43" s="219"/>
      <c r="MW43" s="219"/>
      <c r="MX43" s="219"/>
      <c r="MY43" s="219"/>
      <c r="MZ43" s="219"/>
      <c r="NA43" s="219"/>
      <c r="NB43" s="219"/>
      <c r="NC43" s="219"/>
      <c r="ND43" s="219"/>
      <c r="NE43" s="219"/>
      <c r="NF43" s="219"/>
      <c r="NG43" s="219"/>
      <c r="NH43" s="219"/>
      <c r="NI43" s="219"/>
      <c r="OK43" s="220">
        <v>-1902</v>
      </c>
      <c r="OL43" s="219"/>
      <c r="OM43" s="219"/>
      <c r="ON43" s="219"/>
      <c r="OO43" s="219"/>
      <c r="OP43" s="219"/>
      <c r="OQ43" s="219"/>
      <c r="OR43" s="219"/>
      <c r="OS43" s="219"/>
      <c r="OT43" s="219"/>
      <c r="OU43" s="219"/>
      <c r="OV43" s="219"/>
      <c r="OW43" s="219"/>
      <c r="OX43" s="219"/>
      <c r="QD43" s="220">
        <v>-1902</v>
      </c>
      <c r="QE43" s="219"/>
      <c r="QF43" s="219"/>
      <c r="QG43" s="219"/>
      <c r="QH43" s="219"/>
      <c r="QI43" s="219"/>
      <c r="QJ43" s="219"/>
      <c r="QK43" s="219"/>
      <c r="QL43" s="219"/>
      <c r="QM43" s="219"/>
      <c r="QN43" s="219"/>
      <c r="QO43" s="219"/>
      <c r="QP43" s="219"/>
      <c r="QQ43" s="219"/>
      <c r="QR43" s="219"/>
      <c r="QS43" s="219"/>
      <c r="QT43" s="219"/>
    </row>
    <row r="44" spans="6:463" hidden="1" outlineLevel="1">
      <c r="AH44" s="214" t="s">
        <v>1208</v>
      </c>
      <c r="AI44" s="215">
        <f>SUM(AI35:AI43)</f>
        <v>95609.125704000005</v>
      </c>
      <c r="AJ44" s="215">
        <f>SUM(AJ35:AJ43)</f>
        <v>98909.331982999996</v>
      </c>
      <c r="AK44" s="215">
        <f>SUM(AK35:AK43)</f>
        <v>120037.60009564999</v>
      </c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215"/>
      <c r="AW44" s="215"/>
      <c r="AX44" s="215"/>
      <c r="AY44" s="215"/>
      <c r="AZ44" s="215">
        <f t="shared" ref="AZ44:BE44" si="61">SUM(AZ35:AZ43)</f>
        <v>125715.52682264542</v>
      </c>
      <c r="BA44" s="215">
        <f t="shared" si="61"/>
        <v>137235.43692178154</v>
      </c>
      <c r="BB44" s="215">
        <f t="shared" si="61"/>
        <v>136039.02856329462</v>
      </c>
      <c r="BC44" s="215">
        <f t="shared" si="61"/>
        <v>140825.89410497685</v>
      </c>
      <c r="BD44" s="215">
        <f t="shared" si="61"/>
        <v>456273.01307294006</v>
      </c>
      <c r="BE44" s="215">
        <f t="shared" si="61"/>
        <v>493708.05682640837</v>
      </c>
      <c r="BH44" s="213">
        <f>BD44-BE44</f>
        <v>-37435.043753468315</v>
      </c>
      <c r="CE44" s="215">
        <f>SUM(CE35:CE43)</f>
        <v>104040.62689959888</v>
      </c>
      <c r="CF44" s="215"/>
      <c r="CG44" s="215"/>
      <c r="CH44" s="215"/>
      <c r="CI44" s="215"/>
      <c r="CJ44" s="215"/>
      <c r="CK44" s="215"/>
      <c r="CL44" s="215"/>
      <c r="CM44" s="215"/>
      <c r="CN44" s="215"/>
      <c r="CO44" s="215"/>
      <c r="CP44" s="215"/>
      <c r="CQ44" s="215"/>
      <c r="CR44" s="215"/>
      <c r="CS44" s="215"/>
      <c r="DY44" s="215">
        <f>SUM(DY35:DY43)</f>
        <v>86058.798121503802</v>
      </c>
      <c r="DZ44" s="215"/>
      <c r="EA44" s="215"/>
      <c r="EB44" s="215"/>
      <c r="EC44" s="215"/>
      <c r="ED44" s="215"/>
      <c r="EE44" s="215"/>
      <c r="EF44" s="215"/>
      <c r="EG44" s="215"/>
      <c r="EH44" s="215"/>
      <c r="EI44" s="215"/>
      <c r="EJ44" s="215"/>
      <c r="EK44" s="215"/>
      <c r="EL44" s="215"/>
      <c r="EM44" s="215"/>
      <c r="FS44" s="215">
        <f>SUM(FS35:FS43)</f>
        <v>172464.34418760001</v>
      </c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HM44" s="215">
        <f>SUM(HM35:HM43)</f>
        <v>58758.347590999998</v>
      </c>
      <c r="HN44" s="215"/>
      <c r="HO44" s="215"/>
      <c r="HP44" s="215"/>
      <c r="HQ44" s="215"/>
      <c r="HR44" s="215"/>
      <c r="HS44" s="215"/>
      <c r="HT44" s="215"/>
      <c r="HU44" s="215"/>
      <c r="HV44" s="215"/>
      <c r="HW44" s="215"/>
      <c r="HX44" s="215"/>
      <c r="HY44" s="215"/>
      <c r="HZ44" s="215"/>
      <c r="IA44" s="215"/>
      <c r="JG44" s="215">
        <f>SUM(JG35:JG43)</f>
        <v>26886.572</v>
      </c>
      <c r="JH44" s="215"/>
      <c r="JI44" s="215"/>
      <c r="JJ44" s="215"/>
      <c r="JK44" s="215"/>
      <c r="JL44" s="215"/>
      <c r="JM44" s="215"/>
      <c r="JN44" s="215"/>
      <c r="JO44" s="215"/>
      <c r="JP44" s="215"/>
      <c r="JQ44" s="215"/>
      <c r="JR44" s="215"/>
      <c r="JS44" s="215"/>
      <c r="JT44" s="215"/>
      <c r="JU44" s="215"/>
      <c r="LA44" s="215">
        <f>SUM(LA35:LA43)</f>
        <v>52914.048397999999</v>
      </c>
      <c r="LB44" s="215"/>
      <c r="LC44" s="215"/>
      <c r="LD44" s="215"/>
      <c r="LE44" s="215"/>
      <c r="LF44" s="215"/>
      <c r="LG44" s="215"/>
      <c r="LH44" s="215"/>
      <c r="LI44" s="215"/>
      <c r="LJ44" s="215"/>
      <c r="LK44" s="215"/>
      <c r="LL44" s="215"/>
      <c r="LM44" s="215"/>
      <c r="LN44" s="215"/>
      <c r="LO44" s="215"/>
      <c r="MU44" s="215">
        <f>SUM(MU35:MU43)</f>
        <v>6690</v>
      </c>
      <c r="MV44" s="215"/>
      <c r="MW44" s="215"/>
      <c r="MX44" s="215"/>
      <c r="MY44" s="215"/>
      <c r="MZ44" s="215"/>
      <c r="NA44" s="215"/>
      <c r="NB44" s="215"/>
      <c r="NC44" s="215"/>
      <c r="ND44" s="215"/>
      <c r="NE44" s="215"/>
      <c r="NF44" s="215"/>
      <c r="NG44" s="215"/>
      <c r="NH44" s="215"/>
      <c r="NI44" s="215"/>
      <c r="OK44" s="215">
        <f>SUM(OK35:OK43)</f>
        <v>121480.60009564999</v>
      </c>
      <c r="OL44" s="215"/>
      <c r="OM44" s="215"/>
      <c r="ON44" s="215"/>
      <c r="OO44" s="215"/>
      <c r="OP44" s="215"/>
      <c r="OQ44" s="215"/>
      <c r="OR44" s="215"/>
      <c r="OS44" s="215"/>
      <c r="OT44" s="215"/>
      <c r="OU44" s="215"/>
      <c r="OV44" s="215"/>
      <c r="OW44" s="215"/>
      <c r="OX44" s="215"/>
      <c r="QD44" s="215">
        <f>SUM(QD35:QD43)</f>
        <v>123382.60009564999</v>
      </c>
      <c r="QE44" s="215"/>
      <c r="QF44" s="215"/>
      <c r="QG44" s="215"/>
      <c r="QH44" s="215"/>
      <c r="QI44" s="215"/>
      <c r="QJ44" s="215"/>
      <c r="QK44" s="215"/>
      <c r="QL44" s="215"/>
      <c r="QM44" s="215"/>
      <c r="QN44" s="215"/>
      <c r="QO44" s="215"/>
      <c r="QP44" s="215"/>
      <c r="QQ44" s="215"/>
      <c r="QR44" s="215"/>
      <c r="QS44" s="215"/>
      <c r="QT44" s="215"/>
    </row>
    <row r="45" spans="6:463" collapsed="1">
      <c r="IA45" s="1040">
        <f>IA7/HN7-1</f>
        <v>0.16324458746152537</v>
      </c>
      <c r="JU45" s="1040">
        <f>JU7/JH7-1</f>
        <v>0.15760796681722544</v>
      </c>
    </row>
    <row r="46" spans="6:463">
      <c r="BD46" s="213"/>
      <c r="BE46" s="218">
        <f>BE44/BD44-1</f>
        <v>8.2045272634793998E-2</v>
      </c>
      <c r="IA46" s="1040" t="e">
        <f>IA8/HN8-1</f>
        <v>#DIV/0!</v>
      </c>
      <c r="JU46" s="1040">
        <f>JU8/JH8-1</f>
        <v>0.18680161186108224</v>
      </c>
    </row>
    <row r="47" spans="6:463">
      <c r="BD47" s="213"/>
      <c r="BE47" s="213"/>
      <c r="IA47" s="1040">
        <f>IA9/HN9-1</f>
        <v>0.97757173884532622</v>
      </c>
      <c r="JU47" s="1040">
        <f>JU9/JH9-1</f>
        <v>0.15016346692971561</v>
      </c>
    </row>
    <row r="48" spans="6:463">
      <c r="IA48" s="1040">
        <f>IA10/HN10-1</f>
        <v>2.6464585802395524E-2</v>
      </c>
      <c r="JU48" s="1040">
        <f>JU10/JH10-1</f>
        <v>0.16551821782006448</v>
      </c>
    </row>
    <row r="49" spans="235:281">
      <c r="IA49" s="1040">
        <f>IA11/HN11-1</f>
        <v>0.15005787447102059</v>
      </c>
      <c r="JU49" s="1040">
        <f>JU11/JH11-1</f>
        <v>0.15700651839904345</v>
      </c>
    </row>
  </sheetData>
  <sheetProtection password="F6D4" sheet="1" objects="1" scenarios="1"/>
  <mergeCells count="39">
    <mergeCell ref="A4:A6"/>
    <mergeCell ref="F5:AY5"/>
    <mergeCell ref="AZ5:CS5"/>
    <mergeCell ref="F4:EM4"/>
    <mergeCell ref="CT5:EM5"/>
    <mergeCell ref="EN5:GG5"/>
    <mergeCell ref="GH5:IA5"/>
    <mergeCell ref="EN4:IA4"/>
    <mergeCell ref="IB4:JU5"/>
    <mergeCell ref="JV4:LO5"/>
    <mergeCell ref="LP4:NI5"/>
    <mergeCell ref="NJ4:OX5"/>
    <mergeCell ref="OY4:QT5"/>
    <mergeCell ref="A14:A16"/>
    <mergeCell ref="F14:DZ14"/>
    <mergeCell ref="EN14:HN14"/>
    <mergeCell ref="IB14:JH15"/>
    <mergeCell ref="JV14:LB15"/>
    <mergeCell ref="NJ14:OK15"/>
    <mergeCell ref="OY14:QE15"/>
    <mergeCell ref="F15:AL15"/>
    <mergeCell ref="AZ15:CF15"/>
    <mergeCell ref="CT15:DZ15"/>
    <mergeCell ref="EN15:FT15"/>
    <mergeCell ref="GH15:HN15"/>
    <mergeCell ref="LP14:MV15"/>
    <mergeCell ref="A24:A26"/>
    <mergeCell ref="F24:DZ24"/>
    <mergeCell ref="EN24:HN24"/>
    <mergeCell ref="IB24:JH25"/>
    <mergeCell ref="JV24:LB25"/>
    <mergeCell ref="NJ24:OK25"/>
    <mergeCell ref="OY24:QE25"/>
    <mergeCell ref="F25:AL25"/>
    <mergeCell ref="AZ25:CF25"/>
    <mergeCell ref="CT25:DZ25"/>
    <mergeCell ref="EN25:FT25"/>
    <mergeCell ref="GH25:HN25"/>
    <mergeCell ref="LP24:MV25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LW47"/>
  <sheetViews>
    <sheetView zoomScale="80" zoomScaleNormal="80" workbookViewId="0">
      <pane xSplit="5" ySplit="6" topLeftCell="F7" activePane="bottomRight" state="frozen"/>
      <selection pane="topRight" activeCell="F1" sqref="F1"/>
      <selection pane="bottomLeft" activeCell="A4" sqref="A4"/>
      <selection pane="bottomRight" activeCell="BW7" sqref="BW7"/>
    </sheetView>
  </sheetViews>
  <sheetFormatPr defaultColWidth="9.1796875" defaultRowHeight="14.5" outlineLevelCol="1"/>
  <cols>
    <col min="2" max="2" width="11" hidden="1" customWidth="1"/>
    <col min="3" max="3" width="9.7265625" hidden="1" customWidth="1"/>
    <col min="4" max="4" width="8.7265625" hidden="1" customWidth="1"/>
    <col min="5" max="5" width="11.26953125" hidden="1" customWidth="1"/>
    <col min="6" max="7" width="8.7265625" style="50" customWidth="1"/>
    <col min="8" max="8" width="8.7265625" style="50" hidden="1" customWidth="1"/>
    <col min="9" max="9" width="8.7265625" style="50" customWidth="1"/>
    <col min="10" max="10" width="8.7265625" style="50" hidden="1" customWidth="1"/>
    <col min="11" max="11" width="8.7265625" style="50" customWidth="1"/>
    <col min="12" max="12" width="8.7265625" style="50" hidden="1" customWidth="1"/>
    <col min="13" max="13" width="8.7265625" style="50" customWidth="1"/>
    <col min="14" max="14" width="8.7265625" style="50" hidden="1" customWidth="1"/>
    <col min="15" max="15" width="8.7265625" style="50" customWidth="1"/>
    <col min="16" max="16" width="8.7265625" style="50" hidden="1" customWidth="1"/>
    <col min="17" max="17" width="8.7265625" style="50" customWidth="1" outlineLevel="1"/>
    <col min="18" max="18" width="8.7265625" style="50" hidden="1" customWidth="1"/>
    <col min="19" max="19" width="8.7265625" style="50" customWidth="1" outlineLevel="1"/>
    <col min="20" max="20" width="8.7265625" style="50" hidden="1" customWidth="1"/>
    <col min="21" max="21" width="8.7265625" style="50" hidden="1" customWidth="1" outlineLevel="1"/>
    <col min="22" max="22" width="8.7265625" style="50" customWidth="1" collapsed="1"/>
    <col min="23" max="23" width="8.7265625" style="50" customWidth="1"/>
    <col min="24" max="24" width="8.7265625" style="50" hidden="1" customWidth="1" outlineLevel="1"/>
    <col min="25" max="25" width="8.7265625" style="50" customWidth="1" collapsed="1"/>
    <col min="26" max="26" width="8.7265625" style="50" customWidth="1"/>
    <col min="27" max="27" width="8.7265625" style="50" hidden="1" customWidth="1" outlineLevel="1"/>
    <col min="28" max="28" width="8.7265625" style="50" customWidth="1" collapsed="1"/>
    <col min="29" max="29" width="8.7265625" style="50" customWidth="1"/>
    <col min="30" max="30" width="8.7265625" style="50" hidden="1" customWidth="1" outlineLevel="1"/>
    <col min="31" max="31" width="8.7265625" style="50" customWidth="1" collapsed="1"/>
    <col min="32" max="32" width="8.7265625" style="50" customWidth="1"/>
    <col min="33" max="36" width="8.7265625" style="50" hidden="1" customWidth="1" outlineLevel="1"/>
    <col min="37" max="37" width="12.7265625" style="50" customWidth="1" collapsed="1"/>
    <col min="38" max="38" width="12.7265625" style="50" customWidth="1"/>
    <col min="39" max="40" width="8.7265625" style="50" customWidth="1"/>
    <col min="41" max="41" width="8.7265625" style="50" hidden="1" customWidth="1"/>
    <col min="42" max="42" width="8.7265625" style="50" customWidth="1"/>
    <col min="43" max="43" width="8.7265625" style="50" hidden="1" customWidth="1"/>
    <col min="44" max="44" width="8.7265625" style="50" customWidth="1"/>
    <col min="45" max="45" width="8.7265625" style="50" hidden="1" customWidth="1"/>
    <col min="46" max="46" width="8.7265625" style="50" customWidth="1"/>
    <col min="47" max="47" width="8.7265625" style="50" hidden="1" customWidth="1"/>
    <col min="48" max="48" width="8.7265625" style="50" customWidth="1"/>
    <col min="49" max="49" width="8.7265625" style="50" hidden="1" customWidth="1"/>
    <col min="50" max="50" width="8.7265625" style="50" customWidth="1" outlineLevel="1"/>
    <col min="51" max="51" width="8.7265625" style="50" hidden="1" customWidth="1"/>
    <col min="52" max="52" width="8.7265625" style="50" customWidth="1" outlineLevel="1"/>
    <col min="53" max="53" width="8.7265625" style="50" hidden="1" customWidth="1"/>
    <col min="54" max="54" width="8.7265625" style="50" hidden="1" customWidth="1" outlineLevel="1"/>
    <col min="55" max="55" width="8.7265625" style="50" customWidth="1" collapsed="1"/>
    <col min="56" max="56" width="8.7265625" style="50" customWidth="1"/>
    <col min="57" max="57" width="8.7265625" style="50" hidden="1" customWidth="1" outlineLevel="1"/>
    <col min="58" max="58" width="8.7265625" style="50" customWidth="1" collapsed="1"/>
    <col min="59" max="59" width="8.7265625" style="50" customWidth="1"/>
    <col min="60" max="60" width="8.7265625" style="50" hidden="1" customWidth="1" outlineLevel="1"/>
    <col min="61" max="61" width="8.7265625" style="50" customWidth="1" collapsed="1"/>
    <col min="62" max="62" width="8.7265625" style="50" customWidth="1"/>
    <col min="63" max="63" width="8.7265625" style="50" hidden="1" customWidth="1" outlineLevel="1"/>
    <col min="64" max="64" width="8.7265625" style="50" customWidth="1" collapsed="1"/>
    <col min="65" max="65" width="8.7265625" style="50" customWidth="1"/>
    <col min="66" max="69" width="8.7265625" style="50" hidden="1" customWidth="1" outlineLevel="1"/>
    <col min="70" max="70" width="12.7265625" style="50" customWidth="1" collapsed="1"/>
    <col min="71" max="71" width="12.7265625" style="50" customWidth="1"/>
    <col min="72" max="73" width="8.7265625" style="50" customWidth="1"/>
    <col min="74" max="74" width="8.7265625" style="50" hidden="1" customWidth="1"/>
    <col min="75" max="75" width="8.7265625" style="50" customWidth="1"/>
    <col min="76" max="76" width="8.7265625" style="50" hidden="1" customWidth="1"/>
    <col min="77" max="77" width="8.7265625" style="50" customWidth="1"/>
    <col min="78" max="78" width="8.7265625" style="50" hidden="1" customWidth="1"/>
    <col min="79" max="79" width="8.7265625" style="50" customWidth="1"/>
    <col min="80" max="80" width="8.7265625" style="50" hidden="1" customWidth="1"/>
    <col min="81" max="81" width="8.7265625" style="50" customWidth="1"/>
    <col min="82" max="82" width="8.7265625" style="50" hidden="1" customWidth="1"/>
    <col min="83" max="83" width="8.7265625" style="50" customWidth="1" outlineLevel="1"/>
    <col min="84" max="84" width="8.7265625" style="50" hidden="1" customWidth="1"/>
    <col min="85" max="85" width="8.7265625" style="50" customWidth="1" outlineLevel="1"/>
    <col min="86" max="86" width="8.7265625" style="50" hidden="1" customWidth="1"/>
    <col min="87" max="87" width="8.7265625" style="50" hidden="1" customWidth="1" outlineLevel="1"/>
    <col min="88" max="88" width="8.7265625" style="50" customWidth="1" collapsed="1"/>
    <col min="89" max="89" width="8.7265625" style="50" customWidth="1"/>
    <col min="90" max="90" width="8.7265625" style="50" hidden="1" customWidth="1" outlineLevel="1"/>
    <col min="91" max="91" width="8.7265625" style="50" customWidth="1" collapsed="1"/>
    <col min="92" max="92" width="8.7265625" style="50" customWidth="1"/>
    <col min="93" max="93" width="8.7265625" style="50" hidden="1" customWidth="1" outlineLevel="1"/>
    <col min="94" max="94" width="8.7265625" style="50" customWidth="1" collapsed="1"/>
    <col min="95" max="95" width="8.7265625" style="50" customWidth="1"/>
    <col min="96" max="96" width="8.7265625" style="50" hidden="1" customWidth="1" outlineLevel="1"/>
    <col min="97" max="97" width="8.7265625" style="50" customWidth="1" collapsed="1"/>
    <col min="98" max="98" width="8.7265625" style="50" customWidth="1"/>
    <col min="99" max="100" width="8.7265625" style="155" hidden="1" customWidth="1" outlineLevel="1"/>
    <col min="101" max="102" width="8.7265625" style="50" hidden="1" customWidth="1" outlineLevel="1"/>
    <col min="103" max="103" width="12.7265625" style="50" customWidth="1" collapsed="1"/>
    <col min="104" max="104" width="12.7265625" style="50" customWidth="1"/>
    <col min="105" max="106" width="8.7265625" style="50" customWidth="1"/>
    <col min="107" max="107" width="8.7265625" style="50" hidden="1" customWidth="1"/>
    <col min="108" max="108" width="8.7265625" style="50" customWidth="1"/>
    <col min="109" max="109" width="8.7265625" style="50" hidden="1" customWidth="1"/>
    <col min="110" max="110" width="8.7265625" style="50" customWidth="1"/>
    <col min="111" max="111" width="8.7265625" style="50" hidden="1" customWidth="1"/>
    <col min="112" max="112" width="8.7265625" style="50" customWidth="1"/>
    <col min="113" max="113" width="8.7265625" style="50" hidden="1" customWidth="1"/>
    <col min="114" max="114" width="8.7265625" style="50" customWidth="1"/>
    <col min="115" max="115" width="8.7265625" style="50" hidden="1" customWidth="1"/>
    <col min="116" max="116" width="8.7265625" style="50" customWidth="1" outlineLevel="1"/>
    <col min="117" max="117" width="8.7265625" style="50" hidden="1" customWidth="1"/>
    <col min="118" max="118" width="8.7265625" style="50" customWidth="1" outlineLevel="1"/>
    <col min="119" max="119" width="8.7265625" style="50" hidden="1" customWidth="1"/>
    <col min="120" max="120" width="8.7265625" style="50" hidden="1" customWidth="1" outlineLevel="1"/>
    <col min="121" max="121" width="8.7265625" style="50" customWidth="1" collapsed="1"/>
    <col min="122" max="122" width="8.7265625" style="50" customWidth="1"/>
    <col min="123" max="123" width="8.7265625" style="50" hidden="1" customWidth="1" outlineLevel="1"/>
    <col min="124" max="124" width="8.7265625" style="50" customWidth="1" collapsed="1"/>
    <col min="125" max="125" width="8.7265625" style="50" customWidth="1"/>
    <col min="126" max="126" width="8.7265625" style="50" hidden="1" customWidth="1" outlineLevel="1"/>
    <col min="127" max="127" width="8.7265625" style="50" customWidth="1" collapsed="1"/>
    <col min="128" max="128" width="8.7265625" style="50" customWidth="1"/>
    <col min="129" max="129" width="8.7265625" style="50" hidden="1" customWidth="1" outlineLevel="1"/>
    <col min="130" max="130" width="8.7265625" style="50" customWidth="1" collapsed="1"/>
    <col min="131" max="131" width="8.7265625" style="50" customWidth="1"/>
    <col min="132" max="133" width="8.7265625" style="155" hidden="1" customWidth="1" outlineLevel="1"/>
    <col min="134" max="135" width="8.7265625" style="50" hidden="1" customWidth="1" outlineLevel="1"/>
    <col min="136" max="136" width="12.7265625" style="50" customWidth="1" collapsed="1"/>
    <col min="137" max="137" width="12.7265625" style="50" customWidth="1"/>
    <col min="138" max="139" width="8.7265625" style="50" customWidth="1"/>
    <col min="140" max="140" width="8.7265625" style="50" hidden="1" customWidth="1"/>
    <col min="141" max="141" width="8.7265625" style="50" customWidth="1"/>
    <col min="142" max="142" width="8.7265625" style="50" hidden="1" customWidth="1"/>
    <col min="143" max="143" width="8.7265625" style="50" customWidth="1"/>
    <col min="144" max="144" width="8.7265625" style="50" hidden="1" customWidth="1"/>
    <col min="145" max="145" width="8.7265625" style="50" customWidth="1"/>
    <col min="146" max="146" width="8.7265625" style="50" hidden="1" customWidth="1"/>
    <col min="147" max="147" width="8.7265625" style="50" customWidth="1"/>
    <col min="148" max="148" width="8.7265625" style="50" hidden="1" customWidth="1"/>
    <col min="149" max="149" width="8.7265625" style="50" customWidth="1" outlineLevel="1"/>
    <col min="150" max="150" width="8.7265625" style="50" hidden="1" customWidth="1"/>
    <col min="151" max="151" width="8.7265625" style="50" customWidth="1" outlineLevel="1"/>
    <col min="152" max="152" width="8.7265625" style="50" hidden="1" customWidth="1"/>
    <col min="153" max="153" width="8.7265625" style="50" hidden="1" customWidth="1" outlineLevel="1"/>
    <col min="154" max="154" width="8.7265625" style="50" customWidth="1" collapsed="1"/>
    <col min="155" max="155" width="8.7265625" style="50" customWidth="1"/>
    <col min="156" max="156" width="8.7265625" style="50" hidden="1" customWidth="1" outlineLevel="1"/>
    <col min="157" max="157" width="8.7265625" style="50" customWidth="1" collapsed="1"/>
    <col min="158" max="158" width="8.7265625" style="50" customWidth="1"/>
    <col min="159" max="159" width="8.7265625" style="50" hidden="1" customWidth="1" outlineLevel="1"/>
    <col min="160" max="160" width="8.7265625" style="50" customWidth="1" collapsed="1"/>
    <col min="161" max="161" width="8.7265625" style="50" customWidth="1"/>
    <col min="162" max="162" width="8.7265625" style="50" hidden="1" customWidth="1" outlineLevel="1"/>
    <col min="163" max="163" width="8.7265625" style="50" customWidth="1" collapsed="1"/>
    <col min="164" max="164" width="8.7265625" style="50" customWidth="1"/>
    <col min="165" max="166" width="8.7265625" style="155" hidden="1" customWidth="1" outlineLevel="1"/>
    <col min="167" max="168" width="8.7265625" style="50" hidden="1" customWidth="1" outlineLevel="1"/>
    <col min="169" max="169" width="12.7265625" style="50" customWidth="1" collapsed="1"/>
    <col min="170" max="170" width="12.7265625" style="50" customWidth="1"/>
    <col min="171" max="172" width="8.7265625" style="50" customWidth="1"/>
    <col min="173" max="173" width="8.7265625" style="50" hidden="1" customWidth="1"/>
    <col min="174" max="174" width="8.7265625" style="50" customWidth="1"/>
    <col min="175" max="175" width="8.7265625" style="50" hidden="1" customWidth="1"/>
    <col min="176" max="176" width="8.7265625" style="50" customWidth="1"/>
    <col min="177" max="177" width="8.7265625" style="50" hidden="1" customWidth="1"/>
    <col min="178" max="178" width="8.7265625" style="50" customWidth="1"/>
    <col min="179" max="179" width="8.7265625" style="50" hidden="1" customWidth="1"/>
    <col min="180" max="180" width="8.7265625" style="50" customWidth="1"/>
    <col min="181" max="181" width="8.7265625" style="50" hidden="1" customWidth="1"/>
    <col min="182" max="182" width="8.7265625" style="50" customWidth="1" outlineLevel="1"/>
    <col min="183" max="183" width="8.7265625" style="50" hidden="1" customWidth="1"/>
    <col min="184" max="184" width="8.7265625" style="50" customWidth="1" outlineLevel="1"/>
    <col min="185" max="185" width="8.7265625" style="50" hidden="1" customWidth="1"/>
    <col min="186" max="186" width="8.7265625" style="50" hidden="1" customWidth="1" outlineLevel="1"/>
    <col min="187" max="187" width="8.7265625" style="50" customWidth="1" collapsed="1"/>
    <col min="188" max="188" width="8.7265625" style="50" customWidth="1"/>
    <col min="189" max="189" width="8.7265625" style="50" hidden="1" customWidth="1" outlineLevel="1"/>
    <col min="190" max="190" width="8.7265625" style="50" customWidth="1" collapsed="1"/>
    <col min="191" max="191" width="8.7265625" style="50" customWidth="1"/>
    <col min="192" max="192" width="8.7265625" style="50" hidden="1" customWidth="1" outlineLevel="1"/>
    <col min="193" max="193" width="8.7265625" style="50" customWidth="1" collapsed="1"/>
    <col min="194" max="194" width="8.7265625" style="50" customWidth="1"/>
    <col min="195" max="195" width="8.7265625" style="50" hidden="1" customWidth="1" outlineLevel="1"/>
    <col min="196" max="196" width="8.7265625" style="50" customWidth="1" collapsed="1"/>
    <col min="197" max="197" width="8.7265625" style="50" customWidth="1"/>
    <col min="198" max="201" width="8.7265625" style="155" hidden="1" customWidth="1" outlineLevel="1"/>
    <col min="202" max="202" width="12.7265625" style="50" customWidth="1" collapsed="1"/>
    <col min="203" max="203" width="12.7265625" style="50" customWidth="1"/>
    <col min="204" max="205" width="8.7265625" style="50" customWidth="1"/>
    <col min="206" max="206" width="8.7265625" style="50" hidden="1" customWidth="1"/>
    <col min="207" max="207" width="8.7265625" style="50" customWidth="1"/>
    <col min="208" max="208" width="8.7265625" style="50" hidden="1" customWidth="1"/>
    <col min="209" max="209" width="8.7265625" style="50" customWidth="1"/>
    <col min="210" max="210" width="8.7265625" style="50" hidden="1" customWidth="1"/>
    <col min="211" max="211" width="8.7265625" style="50" customWidth="1"/>
    <col min="212" max="212" width="8.7265625" style="50" hidden="1" customWidth="1"/>
    <col min="213" max="213" width="8.7265625" style="50" customWidth="1"/>
    <col min="214" max="214" width="8.7265625" style="50" hidden="1" customWidth="1"/>
    <col min="215" max="215" width="8.7265625" style="50" customWidth="1" outlineLevel="1"/>
    <col min="216" max="216" width="8.7265625" style="50" hidden="1" customWidth="1"/>
    <col min="217" max="217" width="8.7265625" style="50" customWidth="1" outlineLevel="1"/>
    <col min="218" max="218" width="8.7265625" style="50" hidden="1" customWidth="1"/>
    <col min="219" max="219" width="8.7265625" style="50" hidden="1" customWidth="1" outlineLevel="1"/>
    <col min="220" max="220" width="8.7265625" style="50" customWidth="1" collapsed="1"/>
    <col min="221" max="221" width="8.7265625" style="50" customWidth="1"/>
    <col min="222" max="222" width="8.7265625" style="50" hidden="1" customWidth="1" outlineLevel="1"/>
    <col min="223" max="223" width="8.7265625" style="50" customWidth="1" collapsed="1"/>
    <col min="224" max="224" width="8.7265625" style="50" customWidth="1"/>
    <col min="225" max="225" width="8.7265625" style="50" hidden="1" customWidth="1" outlineLevel="1"/>
    <col min="226" max="226" width="8.7265625" style="50" customWidth="1" collapsed="1"/>
    <col min="227" max="227" width="8.7265625" style="50" customWidth="1"/>
    <col min="228" max="228" width="8.7265625" style="50" hidden="1" customWidth="1" outlineLevel="1"/>
    <col min="229" max="229" width="8.7265625" style="50" customWidth="1" collapsed="1"/>
    <col min="230" max="230" width="8.7265625" style="50" customWidth="1"/>
    <col min="231" max="234" width="8.7265625" style="155" hidden="1" customWidth="1" outlineLevel="1"/>
    <col min="235" max="235" width="12.7265625" style="50" customWidth="1" collapsed="1"/>
    <col min="236" max="236" width="12.7265625" style="50" customWidth="1"/>
    <col min="237" max="238" width="8.7265625" style="155" customWidth="1"/>
    <col min="239" max="239" width="8.7265625" style="155" hidden="1" customWidth="1"/>
    <col min="240" max="240" width="8.7265625" style="155" customWidth="1"/>
    <col min="241" max="241" width="8.7265625" style="155" hidden="1" customWidth="1"/>
    <col min="242" max="242" width="8.7265625" style="155" customWidth="1"/>
    <col min="243" max="243" width="8.7265625" style="155" hidden="1" customWidth="1"/>
    <col min="244" max="244" width="8.7265625" style="155" customWidth="1"/>
    <col min="245" max="245" width="8.7265625" style="155" hidden="1" customWidth="1"/>
    <col min="246" max="246" width="8.7265625" style="155" customWidth="1"/>
    <col min="247" max="247" width="8.7265625" style="155" hidden="1" customWidth="1"/>
    <col min="248" max="248" width="8.7265625" style="155" customWidth="1" outlineLevel="1"/>
    <col min="249" max="249" width="8.7265625" style="155" hidden="1" customWidth="1"/>
    <col min="250" max="250" width="8.7265625" style="155" customWidth="1" outlineLevel="1"/>
    <col min="251" max="251" width="8.7265625" style="155" hidden="1" customWidth="1"/>
    <col min="252" max="252" width="8.7265625" style="155" hidden="1" customWidth="1" outlineLevel="1"/>
    <col min="253" max="253" width="8.7265625" style="155" customWidth="1" collapsed="1"/>
    <col min="254" max="254" width="8.7265625" style="50" customWidth="1"/>
    <col min="255" max="255" width="8.7265625" style="155" hidden="1" customWidth="1" outlineLevel="1"/>
    <col min="256" max="256" width="8.7265625" style="155" customWidth="1" collapsed="1"/>
    <col min="257" max="257" width="8.7265625" style="50" customWidth="1"/>
    <col min="258" max="258" width="8.7265625" style="155" hidden="1" customWidth="1" outlineLevel="1"/>
    <col min="259" max="259" width="8.7265625" style="155" customWidth="1" collapsed="1"/>
    <col min="260" max="260" width="8.7265625" style="50" customWidth="1"/>
    <col min="261" max="261" width="8.7265625" style="155" hidden="1" customWidth="1" outlineLevel="1"/>
    <col min="262" max="262" width="8.7265625" style="155" customWidth="1" collapsed="1"/>
    <col min="263" max="263" width="8.7265625" style="50" customWidth="1"/>
    <col min="264" max="267" width="8.7265625" style="155" hidden="1" customWidth="1" outlineLevel="1"/>
    <col min="268" max="268" width="12.7265625" style="50" customWidth="1" collapsed="1"/>
    <col min="269" max="269" width="12.7265625" style="50" customWidth="1"/>
    <col min="270" max="271" width="8.7265625" customWidth="1"/>
    <col min="272" max="272" width="8.7265625" hidden="1" customWidth="1"/>
    <col min="273" max="273" width="8.7265625" customWidth="1"/>
    <col min="274" max="274" width="8.7265625" hidden="1" customWidth="1"/>
    <col min="275" max="275" width="8.7265625" customWidth="1"/>
    <col min="276" max="276" width="8.7265625" hidden="1" customWidth="1"/>
    <col min="277" max="277" width="8.7265625" customWidth="1"/>
    <col min="278" max="278" width="8.7265625" hidden="1" customWidth="1"/>
    <col min="279" max="279" width="8.7265625" customWidth="1"/>
    <col min="280" max="280" width="8.7265625" hidden="1" customWidth="1"/>
    <col min="281" max="281" width="8.7265625" customWidth="1"/>
    <col min="282" max="282" width="8.7265625" hidden="1" customWidth="1"/>
    <col min="283" max="283" width="8.7265625" customWidth="1" outlineLevel="1"/>
    <col min="284" max="284" width="8.7265625" hidden="1" customWidth="1"/>
    <col min="285" max="285" width="8.7265625" hidden="1" customWidth="1" outlineLevel="1"/>
    <col min="286" max="286" width="8.7265625" customWidth="1" collapsed="1"/>
    <col min="287" max="287" width="8.7265625" hidden="1" customWidth="1" outlineLevel="1"/>
    <col min="288" max="288" width="8.7265625" customWidth="1" collapsed="1"/>
    <col min="289" max="289" width="8.7265625" hidden="1" customWidth="1" outlineLevel="1"/>
    <col min="290" max="290" width="8.7265625" customWidth="1" collapsed="1"/>
    <col min="291" max="291" width="8.7265625" hidden="1" customWidth="1" outlineLevel="1"/>
    <col min="292" max="292" width="8.7265625" customWidth="1" collapsed="1"/>
    <col min="293" max="296" width="8.7265625" hidden="1" customWidth="1" outlineLevel="1"/>
    <col min="297" max="297" width="8.7265625" style="50" customWidth="1" collapsed="1"/>
    <col min="298" max="299" width="8.7265625" customWidth="1"/>
    <col min="300" max="300" width="8.7265625" hidden="1" customWidth="1"/>
    <col min="301" max="301" width="8.7265625" customWidth="1"/>
    <col min="302" max="302" width="8.7265625" hidden="1" customWidth="1"/>
    <col min="303" max="303" width="8.7265625" customWidth="1"/>
    <col min="304" max="304" width="8.7265625" hidden="1" customWidth="1"/>
    <col min="305" max="305" width="8.7265625" customWidth="1"/>
    <col min="306" max="306" width="8.7265625" hidden="1" customWidth="1"/>
    <col min="307" max="307" width="8.7265625" customWidth="1"/>
    <col min="308" max="308" width="8.7265625" hidden="1" customWidth="1"/>
    <col min="309" max="309" width="8.7265625" customWidth="1"/>
    <col min="310" max="310" width="8.7265625" hidden="1" customWidth="1"/>
    <col min="311" max="311" width="8.7265625" customWidth="1" outlineLevel="1"/>
    <col min="312" max="312" width="8.7265625" hidden="1" customWidth="1"/>
    <col min="313" max="313" width="8.7265625" hidden="1" customWidth="1" outlineLevel="1"/>
    <col min="314" max="314" width="8.7265625" customWidth="1" collapsed="1"/>
    <col min="315" max="315" width="8.7265625" style="50" customWidth="1"/>
    <col min="316" max="316" width="8.7265625" hidden="1" customWidth="1" outlineLevel="1"/>
    <col min="317" max="317" width="8.7265625" customWidth="1" collapsed="1"/>
    <col min="318" max="318" width="8.7265625" style="50" customWidth="1"/>
    <col min="319" max="319" width="8.7265625" hidden="1" customWidth="1" outlineLevel="1"/>
    <col min="320" max="320" width="8.7265625" customWidth="1" collapsed="1"/>
    <col min="321" max="321" width="8.7265625" style="50" customWidth="1"/>
    <col min="322" max="322" width="8.7265625" hidden="1" customWidth="1" outlineLevel="1"/>
    <col min="323" max="323" width="8.7265625" customWidth="1" collapsed="1"/>
    <col min="324" max="324" width="8.7265625" style="50" customWidth="1"/>
    <col min="325" max="328" width="8.7265625" hidden="1" customWidth="1" outlineLevel="1"/>
    <col min="329" max="329" width="12.7265625" style="50" customWidth="1" collapsed="1"/>
    <col min="330" max="331" width="12.7265625" style="50" customWidth="1"/>
    <col min="332" max="332" width="7.7265625" style="50" bestFit="1" customWidth="1"/>
    <col min="333" max="333" width="9.1796875" style="164"/>
  </cols>
  <sheetData>
    <row r="1" spans="1:335">
      <c r="A1" s="51" t="s">
        <v>1142</v>
      </c>
      <c r="W1" s="636" t="s">
        <v>1143</v>
      </c>
      <c r="BD1" s="636" t="s">
        <v>1143</v>
      </c>
      <c r="CK1" s="636" t="s">
        <v>1143</v>
      </c>
      <c r="DR1" s="636" t="s">
        <v>1143</v>
      </c>
      <c r="EY1" s="636" t="s">
        <v>1143</v>
      </c>
      <c r="GF1" s="636" t="s">
        <v>1143</v>
      </c>
      <c r="HM1" s="636" t="s">
        <v>1143</v>
      </c>
      <c r="IT1" s="636" t="s">
        <v>1143</v>
      </c>
    </row>
    <row r="2" spans="1:335">
      <c r="A2" s="51" t="s">
        <v>1205</v>
      </c>
      <c r="W2" s="636" t="s">
        <v>1145</v>
      </c>
      <c r="BD2" s="636" t="s">
        <v>1145</v>
      </c>
      <c r="CK2" s="636" t="s">
        <v>1145</v>
      </c>
      <c r="DR2" s="636" t="s">
        <v>1145</v>
      </c>
      <c r="EY2" s="636" t="s">
        <v>1145</v>
      </c>
      <c r="GF2" s="636" t="s">
        <v>1145</v>
      </c>
      <c r="HM2" s="636" t="s">
        <v>1145</v>
      </c>
      <c r="IT2" s="636" t="s">
        <v>1145</v>
      </c>
    </row>
    <row r="3" spans="1:335">
      <c r="W3" s="636" t="s">
        <v>7</v>
      </c>
      <c r="AL3" s="690">
        <v>99981</v>
      </c>
      <c r="BD3" s="636" t="s">
        <v>7</v>
      </c>
      <c r="BS3" s="690">
        <v>57695</v>
      </c>
      <c r="CK3" s="636" t="s">
        <v>7</v>
      </c>
      <c r="CZ3" s="690">
        <v>10733</v>
      </c>
      <c r="DR3" s="636" t="s">
        <v>7</v>
      </c>
      <c r="EG3" s="690">
        <v>144571</v>
      </c>
      <c r="EY3" s="636" t="s">
        <v>7</v>
      </c>
      <c r="FN3" s="690">
        <v>39672</v>
      </c>
      <c r="GF3" s="636" t="s">
        <v>7</v>
      </c>
      <c r="GU3" s="690">
        <v>67909</v>
      </c>
      <c r="HM3" s="636" t="s">
        <v>7</v>
      </c>
      <c r="IB3" s="690">
        <v>23948</v>
      </c>
      <c r="IT3" s="636" t="s">
        <v>7</v>
      </c>
      <c r="LR3" s="690">
        <v>456126</v>
      </c>
      <c r="LS3" s="50" t="s">
        <v>1146</v>
      </c>
    </row>
    <row r="4" spans="1:335" s="51" customFormat="1">
      <c r="A4" s="1303" t="s">
        <v>1075</v>
      </c>
      <c r="B4" s="590" t="s">
        <v>1147</v>
      </c>
      <c r="C4" s="591"/>
      <c r="D4" s="591"/>
      <c r="E4" s="591"/>
      <c r="F4" s="1277" t="s">
        <v>1147</v>
      </c>
      <c r="G4" s="1277"/>
      <c r="H4" s="1277"/>
      <c r="I4" s="1277"/>
      <c r="J4" s="1277"/>
      <c r="K4" s="1277"/>
      <c r="L4" s="1277"/>
      <c r="M4" s="1277"/>
      <c r="N4" s="1277"/>
      <c r="O4" s="1277"/>
      <c r="P4" s="1277"/>
      <c r="Q4" s="1277"/>
      <c r="R4" s="1277"/>
      <c r="S4" s="1277"/>
      <c r="T4" s="1277"/>
      <c r="U4" s="1277"/>
      <c r="V4" s="1277"/>
      <c r="W4" s="1277"/>
      <c r="X4" s="1277"/>
      <c r="Y4" s="1277"/>
      <c r="Z4" s="1277"/>
      <c r="AA4" s="1277"/>
      <c r="AB4" s="1277"/>
      <c r="AC4" s="1277"/>
      <c r="AD4" s="1277"/>
      <c r="AE4" s="1277"/>
      <c r="AF4" s="1277"/>
      <c r="AG4" s="1277"/>
      <c r="AH4" s="1277"/>
      <c r="AI4" s="1277"/>
      <c r="AJ4" s="1277"/>
      <c r="AK4" s="1277"/>
      <c r="AL4" s="1277"/>
      <c r="AM4" s="1277"/>
      <c r="AN4" s="1277"/>
      <c r="AO4" s="1277"/>
      <c r="AP4" s="1277"/>
      <c r="AQ4" s="1277"/>
      <c r="AR4" s="1277"/>
      <c r="AS4" s="1277"/>
      <c r="AT4" s="1277"/>
      <c r="AU4" s="1277"/>
      <c r="AV4" s="1277"/>
      <c r="AW4" s="1277"/>
      <c r="AX4" s="1277"/>
      <c r="AY4" s="1277"/>
      <c r="AZ4" s="1277"/>
      <c r="BA4" s="1277"/>
      <c r="BB4" s="1277"/>
      <c r="BC4" s="1277"/>
      <c r="BD4" s="1277"/>
      <c r="BE4" s="1277"/>
      <c r="BF4" s="1277"/>
      <c r="BG4" s="1277"/>
      <c r="BH4" s="1277"/>
      <c r="BI4" s="1277"/>
      <c r="BJ4" s="1277"/>
      <c r="BK4" s="1277"/>
      <c r="BL4" s="1277"/>
      <c r="BM4" s="1277"/>
      <c r="BN4" s="1277"/>
      <c r="BO4" s="1277"/>
      <c r="BP4" s="1277"/>
      <c r="BQ4" s="1277"/>
      <c r="BR4" s="1277"/>
      <c r="BS4" s="1277"/>
      <c r="BT4" s="1277"/>
      <c r="BU4" s="1277"/>
      <c r="BV4" s="1277"/>
      <c r="BW4" s="1277"/>
      <c r="BX4" s="1277"/>
      <c r="BY4" s="1277"/>
      <c r="BZ4" s="1277"/>
      <c r="CA4" s="1277"/>
      <c r="CB4" s="1277"/>
      <c r="CC4" s="1277"/>
      <c r="CD4" s="1277"/>
      <c r="CE4" s="1277"/>
      <c r="CF4" s="1277"/>
      <c r="CG4" s="1277"/>
      <c r="CH4" s="1277"/>
      <c r="CI4" s="1277"/>
      <c r="CJ4" s="1277"/>
      <c r="CK4" s="1277"/>
      <c r="CL4" s="1277"/>
      <c r="CM4" s="1277"/>
      <c r="CN4" s="1277"/>
      <c r="CO4" s="1277"/>
      <c r="CP4" s="1277"/>
      <c r="CQ4" s="1277"/>
      <c r="CR4" s="1277"/>
      <c r="CS4" s="1277"/>
      <c r="CT4" s="1277"/>
      <c r="CU4" s="1277"/>
      <c r="CV4" s="1277"/>
      <c r="CW4" s="1277"/>
      <c r="CX4" s="1277"/>
      <c r="CY4" s="1277"/>
      <c r="CZ4" s="1278"/>
      <c r="DA4" s="1279" t="s">
        <v>1104</v>
      </c>
      <c r="DB4" s="1280"/>
      <c r="DC4" s="1280"/>
      <c r="DD4" s="1280"/>
      <c r="DE4" s="1280"/>
      <c r="DF4" s="1280"/>
      <c r="DG4" s="1280"/>
      <c r="DH4" s="1280"/>
      <c r="DI4" s="1280"/>
      <c r="DJ4" s="1280"/>
      <c r="DK4" s="1280"/>
      <c r="DL4" s="1280"/>
      <c r="DM4" s="1280"/>
      <c r="DN4" s="1280"/>
      <c r="DO4" s="1280"/>
      <c r="DP4" s="1280"/>
      <c r="DQ4" s="1280"/>
      <c r="DR4" s="1280"/>
      <c r="DS4" s="1280"/>
      <c r="DT4" s="1280"/>
      <c r="DU4" s="1280"/>
      <c r="DV4" s="1280"/>
      <c r="DW4" s="1280"/>
      <c r="DX4" s="1280"/>
      <c r="DY4" s="1280"/>
      <c r="DZ4" s="1280"/>
      <c r="EA4" s="1280"/>
      <c r="EB4" s="1280"/>
      <c r="EC4" s="1280"/>
      <c r="ED4" s="1280"/>
      <c r="EE4" s="1280"/>
      <c r="EF4" s="1280"/>
      <c r="EG4" s="1280"/>
      <c r="EH4" s="1280"/>
      <c r="EI4" s="1280"/>
      <c r="EJ4" s="1280"/>
      <c r="EK4" s="1280"/>
      <c r="EL4" s="1280"/>
      <c r="EM4" s="1280"/>
      <c r="EN4" s="1280"/>
      <c r="EO4" s="1280"/>
      <c r="EP4" s="1280"/>
      <c r="EQ4" s="1280"/>
      <c r="ER4" s="1280"/>
      <c r="ES4" s="1280"/>
      <c r="ET4" s="1280"/>
      <c r="EU4" s="1280"/>
      <c r="EV4" s="1280"/>
      <c r="EW4" s="1280"/>
      <c r="EX4" s="1280"/>
      <c r="EY4" s="1280"/>
      <c r="EZ4" s="1280"/>
      <c r="FA4" s="1280"/>
      <c r="FB4" s="1280"/>
      <c r="FC4" s="1280"/>
      <c r="FD4" s="1280"/>
      <c r="FE4" s="1280"/>
      <c r="FF4" s="1280"/>
      <c r="FG4" s="1280"/>
      <c r="FH4" s="1280"/>
      <c r="FI4" s="1280"/>
      <c r="FJ4" s="1280"/>
      <c r="FK4" s="1280"/>
      <c r="FL4" s="1280"/>
      <c r="FM4" s="1280"/>
      <c r="FN4" s="1281"/>
      <c r="FO4" s="1282" t="s">
        <v>1211</v>
      </c>
      <c r="FP4" s="1283"/>
      <c r="FQ4" s="1283"/>
      <c r="FR4" s="1283"/>
      <c r="FS4" s="1283"/>
      <c r="FT4" s="1283"/>
      <c r="FU4" s="1283"/>
      <c r="FV4" s="1283"/>
      <c r="FW4" s="1283"/>
      <c r="FX4" s="1283"/>
      <c r="FY4" s="1283"/>
      <c r="FZ4" s="1283"/>
      <c r="GA4" s="1283"/>
      <c r="GB4" s="1283"/>
      <c r="GC4" s="1283"/>
      <c r="GD4" s="1283"/>
      <c r="GE4" s="1283"/>
      <c r="GF4" s="1283"/>
      <c r="GG4" s="1283"/>
      <c r="GH4" s="1283"/>
      <c r="GI4" s="1283"/>
      <c r="GJ4" s="1283"/>
      <c r="GK4" s="1283"/>
      <c r="GL4" s="1283"/>
      <c r="GM4" s="1283"/>
      <c r="GN4" s="1283"/>
      <c r="GO4" s="1283"/>
      <c r="GP4" s="1283"/>
      <c r="GQ4" s="1283"/>
      <c r="GR4" s="1283"/>
      <c r="GS4" s="1283"/>
      <c r="GT4" s="1283"/>
      <c r="GU4" s="1284"/>
      <c r="GV4" s="1288" t="s">
        <v>1212</v>
      </c>
      <c r="GW4" s="1289"/>
      <c r="GX4" s="1289"/>
      <c r="GY4" s="1289"/>
      <c r="GZ4" s="1289"/>
      <c r="HA4" s="1289"/>
      <c r="HB4" s="1289"/>
      <c r="HC4" s="1289"/>
      <c r="HD4" s="1289"/>
      <c r="HE4" s="1289"/>
      <c r="HF4" s="1289"/>
      <c r="HG4" s="1289"/>
      <c r="HH4" s="1289"/>
      <c r="HI4" s="1289"/>
      <c r="HJ4" s="1289"/>
      <c r="HK4" s="1289"/>
      <c r="HL4" s="1289"/>
      <c r="HM4" s="1289"/>
      <c r="HN4" s="1289"/>
      <c r="HO4" s="1289"/>
      <c r="HP4" s="1289"/>
      <c r="HQ4" s="1289"/>
      <c r="HR4" s="1289"/>
      <c r="HS4" s="1289"/>
      <c r="HT4" s="1289"/>
      <c r="HU4" s="1289"/>
      <c r="HV4" s="1289"/>
      <c r="HW4" s="1289"/>
      <c r="HX4" s="1289"/>
      <c r="HY4" s="1289"/>
      <c r="HZ4" s="1289"/>
      <c r="IA4" s="1289"/>
      <c r="IB4" s="1290"/>
      <c r="IC4" s="1268" t="s">
        <v>1213</v>
      </c>
      <c r="ID4" s="1269"/>
      <c r="IE4" s="1269"/>
      <c r="IF4" s="1269"/>
      <c r="IG4" s="1269"/>
      <c r="IH4" s="1269"/>
      <c r="II4" s="1269"/>
      <c r="IJ4" s="1269"/>
      <c r="IK4" s="1269"/>
      <c r="IL4" s="1269"/>
      <c r="IM4" s="1269"/>
      <c r="IN4" s="1269"/>
      <c r="IO4" s="1269"/>
      <c r="IP4" s="1269"/>
      <c r="IQ4" s="1269"/>
      <c r="IR4" s="1269"/>
      <c r="IS4" s="1269"/>
      <c r="IT4" s="1269"/>
      <c r="IU4" s="1269"/>
      <c r="IV4" s="1269"/>
      <c r="IW4" s="1269"/>
      <c r="IX4" s="1269"/>
      <c r="IY4" s="1269"/>
      <c r="IZ4" s="1269"/>
      <c r="JA4" s="1269"/>
      <c r="JB4" s="1269"/>
      <c r="JC4" s="1269"/>
      <c r="JD4" s="1269"/>
      <c r="JE4" s="1269"/>
      <c r="JF4" s="1269"/>
      <c r="JG4" s="1269"/>
      <c r="JH4" s="1269"/>
      <c r="JI4" s="1270"/>
      <c r="JJ4" s="1246" t="s">
        <v>1153</v>
      </c>
      <c r="JK4" s="1247"/>
      <c r="JL4" s="1247"/>
      <c r="JM4" s="1247"/>
      <c r="JN4" s="1247"/>
      <c r="JO4" s="1247"/>
      <c r="JP4" s="1247"/>
      <c r="JQ4" s="1247"/>
      <c r="JR4" s="1247"/>
      <c r="JS4" s="1247"/>
      <c r="JT4" s="1247"/>
      <c r="JU4" s="1247"/>
      <c r="JV4" s="1247"/>
      <c r="JW4" s="1247"/>
      <c r="JX4" s="1247"/>
      <c r="JY4" s="1247"/>
      <c r="JZ4" s="1247"/>
      <c r="KA4" s="1247"/>
      <c r="KB4" s="1247"/>
      <c r="KC4" s="1247"/>
      <c r="KD4" s="1247"/>
      <c r="KE4" s="1247"/>
      <c r="KF4" s="1247"/>
      <c r="KG4" s="1247"/>
      <c r="KH4" s="1247"/>
      <c r="KI4" s="1247"/>
      <c r="KJ4" s="1247"/>
      <c r="KK4" s="1248"/>
      <c r="KL4" s="1252" t="s">
        <v>1154</v>
      </c>
      <c r="KM4" s="1253"/>
      <c r="KN4" s="1253"/>
      <c r="KO4" s="1253"/>
      <c r="KP4" s="1253"/>
      <c r="KQ4" s="1253"/>
      <c r="KR4" s="1253"/>
      <c r="KS4" s="1253"/>
      <c r="KT4" s="1253"/>
      <c r="KU4" s="1253"/>
      <c r="KV4" s="1253"/>
      <c r="KW4" s="1253"/>
      <c r="KX4" s="1253"/>
      <c r="KY4" s="1253"/>
      <c r="KZ4" s="1253"/>
      <c r="LA4" s="1253"/>
      <c r="LB4" s="1253"/>
      <c r="LC4" s="1253"/>
      <c r="LD4" s="1253"/>
      <c r="LE4" s="1253"/>
      <c r="LF4" s="1253"/>
      <c r="LG4" s="1253"/>
      <c r="LH4" s="1253"/>
      <c r="LI4" s="1253"/>
      <c r="LJ4" s="1253"/>
      <c r="LK4" s="1253"/>
      <c r="LL4" s="1253"/>
      <c r="LM4" s="1253"/>
      <c r="LN4" s="1253"/>
      <c r="LO4" s="1253"/>
      <c r="LP4" s="1253"/>
      <c r="LQ4" s="1253"/>
      <c r="LR4" s="1253"/>
      <c r="LS4" s="1097"/>
      <c r="LT4" s="1097"/>
      <c r="LU4" s="166"/>
    </row>
    <row r="5" spans="1:335" s="51" customFormat="1">
      <c r="A5" s="1303"/>
      <c r="B5" s="588" t="s">
        <v>304</v>
      </c>
      <c r="C5" s="589"/>
      <c r="D5" s="589"/>
      <c r="E5" s="589"/>
      <c r="F5" s="1256" t="s">
        <v>1155</v>
      </c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7"/>
      <c r="AM5" s="1258" t="s">
        <v>305</v>
      </c>
      <c r="AN5" s="1259"/>
      <c r="AO5" s="1259"/>
      <c r="AP5" s="1259"/>
      <c r="AQ5" s="1259"/>
      <c r="AR5" s="1259"/>
      <c r="AS5" s="1259"/>
      <c r="AT5" s="1259"/>
      <c r="AU5" s="1259"/>
      <c r="AV5" s="1259"/>
      <c r="AW5" s="1259"/>
      <c r="AX5" s="1259"/>
      <c r="AY5" s="1259"/>
      <c r="AZ5" s="1259"/>
      <c r="BA5" s="1259"/>
      <c r="BB5" s="1259"/>
      <c r="BC5" s="1259"/>
      <c r="BD5" s="1259"/>
      <c r="BE5" s="1259"/>
      <c r="BF5" s="1259"/>
      <c r="BG5" s="1259"/>
      <c r="BH5" s="1259"/>
      <c r="BI5" s="1259"/>
      <c r="BJ5" s="1259"/>
      <c r="BK5" s="1259"/>
      <c r="BL5" s="1259"/>
      <c r="BM5" s="1259"/>
      <c r="BN5" s="1259"/>
      <c r="BO5" s="1259"/>
      <c r="BP5" s="1259"/>
      <c r="BQ5" s="1259"/>
      <c r="BR5" s="1259"/>
      <c r="BS5" s="1260"/>
      <c r="BT5" s="1261" t="s">
        <v>1214</v>
      </c>
      <c r="BU5" s="1262"/>
      <c r="BV5" s="1262"/>
      <c r="BW5" s="1262"/>
      <c r="BX5" s="1262"/>
      <c r="BY5" s="1262"/>
      <c r="BZ5" s="1262"/>
      <c r="CA5" s="1262"/>
      <c r="CB5" s="1262"/>
      <c r="CC5" s="1262"/>
      <c r="CD5" s="1262"/>
      <c r="CE5" s="1262"/>
      <c r="CF5" s="1262"/>
      <c r="CG5" s="1262"/>
      <c r="CH5" s="1262"/>
      <c r="CI5" s="1262"/>
      <c r="CJ5" s="1262"/>
      <c r="CK5" s="1262"/>
      <c r="CL5" s="1262"/>
      <c r="CM5" s="1262"/>
      <c r="CN5" s="1262"/>
      <c r="CO5" s="1262"/>
      <c r="CP5" s="1262"/>
      <c r="CQ5" s="1262"/>
      <c r="CR5" s="1262"/>
      <c r="CS5" s="1262"/>
      <c r="CT5" s="1262"/>
      <c r="CU5" s="1262"/>
      <c r="CV5" s="1262"/>
      <c r="CW5" s="1262"/>
      <c r="CX5" s="1262"/>
      <c r="CY5" s="1262"/>
      <c r="CZ5" s="1263"/>
      <c r="DA5" s="1264" t="s">
        <v>304</v>
      </c>
      <c r="DB5" s="1256"/>
      <c r="DC5" s="1256"/>
      <c r="DD5" s="1256"/>
      <c r="DE5" s="1256"/>
      <c r="DF5" s="1256"/>
      <c r="DG5" s="1256"/>
      <c r="DH5" s="1256"/>
      <c r="DI5" s="1256"/>
      <c r="DJ5" s="1256"/>
      <c r="DK5" s="1256"/>
      <c r="DL5" s="1256"/>
      <c r="DM5" s="1256"/>
      <c r="DN5" s="1256"/>
      <c r="DO5" s="1256"/>
      <c r="DP5" s="1256"/>
      <c r="DQ5" s="1256"/>
      <c r="DR5" s="1256"/>
      <c r="DS5" s="1256"/>
      <c r="DT5" s="1256"/>
      <c r="DU5" s="1256"/>
      <c r="DV5" s="1256"/>
      <c r="DW5" s="1256"/>
      <c r="DX5" s="1256"/>
      <c r="DY5" s="1256"/>
      <c r="DZ5" s="1256"/>
      <c r="EA5" s="1256"/>
      <c r="EB5" s="1256"/>
      <c r="EC5" s="1256"/>
      <c r="ED5" s="1256"/>
      <c r="EE5" s="1256"/>
      <c r="EF5" s="1256"/>
      <c r="EG5" s="1257"/>
      <c r="EH5" s="1265" t="s">
        <v>305</v>
      </c>
      <c r="EI5" s="1266"/>
      <c r="EJ5" s="1266"/>
      <c r="EK5" s="1266"/>
      <c r="EL5" s="1266"/>
      <c r="EM5" s="1266"/>
      <c r="EN5" s="1266"/>
      <c r="EO5" s="1266"/>
      <c r="EP5" s="1266"/>
      <c r="EQ5" s="1266"/>
      <c r="ER5" s="1266"/>
      <c r="ES5" s="1266"/>
      <c r="ET5" s="1266"/>
      <c r="EU5" s="1266"/>
      <c r="EV5" s="1266"/>
      <c r="EW5" s="1266"/>
      <c r="EX5" s="1266"/>
      <c r="EY5" s="1266"/>
      <c r="EZ5" s="1266"/>
      <c r="FA5" s="1266"/>
      <c r="FB5" s="1266"/>
      <c r="FC5" s="1266"/>
      <c r="FD5" s="1266"/>
      <c r="FE5" s="1266"/>
      <c r="FF5" s="1266"/>
      <c r="FG5" s="1266"/>
      <c r="FH5" s="1266"/>
      <c r="FI5" s="1266"/>
      <c r="FJ5" s="1266"/>
      <c r="FK5" s="1266"/>
      <c r="FL5" s="1266"/>
      <c r="FM5" s="1266"/>
      <c r="FN5" s="1267"/>
      <c r="FO5" s="1285"/>
      <c r="FP5" s="1286"/>
      <c r="FQ5" s="1286"/>
      <c r="FR5" s="1286"/>
      <c r="FS5" s="1286"/>
      <c r="FT5" s="1286"/>
      <c r="FU5" s="1286"/>
      <c r="FV5" s="1286"/>
      <c r="FW5" s="1286"/>
      <c r="FX5" s="1286"/>
      <c r="FY5" s="1286"/>
      <c r="FZ5" s="1286"/>
      <c r="GA5" s="1286"/>
      <c r="GB5" s="1286"/>
      <c r="GC5" s="1286"/>
      <c r="GD5" s="1286"/>
      <c r="GE5" s="1286"/>
      <c r="GF5" s="1286"/>
      <c r="GG5" s="1286"/>
      <c r="GH5" s="1286"/>
      <c r="GI5" s="1286"/>
      <c r="GJ5" s="1286"/>
      <c r="GK5" s="1286"/>
      <c r="GL5" s="1286"/>
      <c r="GM5" s="1286"/>
      <c r="GN5" s="1286"/>
      <c r="GO5" s="1286"/>
      <c r="GP5" s="1286"/>
      <c r="GQ5" s="1286"/>
      <c r="GR5" s="1286"/>
      <c r="GS5" s="1286"/>
      <c r="GT5" s="1286"/>
      <c r="GU5" s="1287"/>
      <c r="GV5" s="1291"/>
      <c r="GW5" s="1292"/>
      <c r="GX5" s="1292"/>
      <c r="GY5" s="1292"/>
      <c r="GZ5" s="1292"/>
      <c r="HA5" s="1292"/>
      <c r="HB5" s="1292"/>
      <c r="HC5" s="1292"/>
      <c r="HD5" s="1292"/>
      <c r="HE5" s="1292"/>
      <c r="HF5" s="1292"/>
      <c r="HG5" s="1292"/>
      <c r="HH5" s="1292"/>
      <c r="HI5" s="1292"/>
      <c r="HJ5" s="1292"/>
      <c r="HK5" s="1292"/>
      <c r="HL5" s="1292"/>
      <c r="HM5" s="1292"/>
      <c r="HN5" s="1292"/>
      <c r="HO5" s="1292"/>
      <c r="HP5" s="1292"/>
      <c r="HQ5" s="1292"/>
      <c r="HR5" s="1292"/>
      <c r="HS5" s="1292"/>
      <c r="HT5" s="1292"/>
      <c r="HU5" s="1292"/>
      <c r="HV5" s="1292"/>
      <c r="HW5" s="1292"/>
      <c r="HX5" s="1292"/>
      <c r="HY5" s="1292"/>
      <c r="HZ5" s="1292"/>
      <c r="IA5" s="1292"/>
      <c r="IB5" s="1293"/>
      <c r="IC5" s="1271"/>
      <c r="ID5" s="1272"/>
      <c r="IE5" s="1272"/>
      <c r="IF5" s="1272"/>
      <c r="IG5" s="1272"/>
      <c r="IH5" s="1272"/>
      <c r="II5" s="1272"/>
      <c r="IJ5" s="1272"/>
      <c r="IK5" s="1272"/>
      <c r="IL5" s="1272"/>
      <c r="IM5" s="1272"/>
      <c r="IN5" s="1272"/>
      <c r="IO5" s="1272"/>
      <c r="IP5" s="1272"/>
      <c r="IQ5" s="1272"/>
      <c r="IR5" s="1272"/>
      <c r="IS5" s="1272"/>
      <c r="IT5" s="1272"/>
      <c r="IU5" s="1272"/>
      <c r="IV5" s="1272"/>
      <c r="IW5" s="1272"/>
      <c r="IX5" s="1272"/>
      <c r="IY5" s="1272"/>
      <c r="IZ5" s="1272"/>
      <c r="JA5" s="1272"/>
      <c r="JB5" s="1272"/>
      <c r="JC5" s="1272"/>
      <c r="JD5" s="1272"/>
      <c r="JE5" s="1272"/>
      <c r="JF5" s="1272"/>
      <c r="JG5" s="1272"/>
      <c r="JH5" s="1272"/>
      <c r="JI5" s="1273"/>
      <c r="JJ5" s="1249"/>
      <c r="JK5" s="1250"/>
      <c r="JL5" s="1250"/>
      <c r="JM5" s="1250"/>
      <c r="JN5" s="1250"/>
      <c r="JO5" s="1250"/>
      <c r="JP5" s="1250"/>
      <c r="JQ5" s="1250"/>
      <c r="JR5" s="1250"/>
      <c r="JS5" s="1250"/>
      <c r="JT5" s="1250"/>
      <c r="JU5" s="1250"/>
      <c r="JV5" s="1250"/>
      <c r="JW5" s="1250"/>
      <c r="JX5" s="1250"/>
      <c r="JY5" s="1250"/>
      <c r="JZ5" s="1250"/>
      <c r="KA5" s="1250"/>
      <c r="KB5" s="1250"/>
      <c r="KC5" s="1250"/>
      <c r="KD5" s="1250"/>
      <c r="KE5" s="1250"/>
      <c r="KF5" s="1250"/>
      <c r="KG5" s="1250"/>
      <c r="KH5" s="1250"/>
      <c r="KI5" s="1250"/>
      <c r="KJ5" s="1250"/>
      <c r="KK5" s="1251"/>
      <c r="KL5" s="1254"/>
      <c r="KM5" s="1255"/>
      <c r="KN5" s="1255"/>
      <c r="KO5" s="1255"/>
      <c r="KP5" s="1255"/>
      <c r="KQ5" s="1255"/>
      <c r="KR5" s="1255"/>
      <c r="KS5" s="1255"/>
      <c r="KT5" s="1255"/>
      <c r="KU5" s="1255"/>
      <c r="KV5" s="1255"/>
      <c r="KW5" s="1255"/>
      <c r="KX5" s="1255"/>
      <c r="KY5" s="1255"/>
      <c r="KZ5" s="1255"/>
      <c r="LA5" s="1255"/>
      <c r="LB5" s="1255"/>
      <c r="LC5" s="1255"/>
      <c r="LD5" s="1255"/>
      <c r="LE5" s="1255"/>
      <c r="LF5" s="1255"/>
      <c r="LG5" s="1255"/>
      <c r="LH5" s="1255"/>
      <c r="LI5" s="1255"/>
      <c r="LJ5" s="1255"/>
      <c r="LK5" s="1255"/>
      <c r="LL5" s="1255"/>
      <c r="LM5" s="1255"/>
      <c r="LN5" s="1255"/>
      <c r="LO5" s="1255"/>
      <c r="LP5" s="1255"/>
      <c r="LQ5" s="1255"/>
      <c r="LR5" s="1255"/>
      <c r="LS5" s="1097"/>
      <c r="LT5" s="1097"/>
      <c r="LU5" s="166"/>
    </row>
    <row r="6" spans="1:335" s="601" customFormat="1" ht="44.25" customHeight="1">
      <c r="A6" s="1303"/>
      <c r="B6" s="597">
        <v>44105</v>
      </c>
      <c r="C6" s="597">
        <v>44136</v>
      </c>
      <c r="D6" s="597">
        <v>44166</v>
      </c>
      <c r="E6" s="597" t="s">
        <v>1157</v>
      </c>
      <c r="F6" s="598" t="s">
        <v>1158</v>
      </c>
      <c r="G6" s="598" t="s">
        <v>1159</v>
      </c>
      <c r="H6" s="598" t="s">
        <v>1160</v>
      </c>
      <c r="I6" s="598" t="s">
        <v>1161</v>
      </c>
      <c r="J6" s="598" t="s">
        <v>1162</v>
      </c>
      <c r="K6" s="598" t="s">
        <v>1163</v>
      </c>
      <c r="L6" s="598" t="s">
        <v>1164</v>
      </c>
      <c r="M6" s="598" t="s">
        <v>1165</v>
      </c>
      <c r="N6" s="598" t="s">
        <v>1166</v>
      </c>
      <c r="O6" s="598" t="s">
        <v>1167</v>
      </c>
      <c r="P6" s="598" t="s">
        <v>1168</v>
      </c>
      <c r="Q6" s="598" t="s">
        <v>1169</v>
      </c>
      <c r="R6" s="598" t="s">
        <v>1170</v>
      </c>
      <c r="S6" s="598" t="s">
        <v>1171</v>
      </c>
      <c r="T6" s="598" t="s">
        <v>1172</v>
      </c>
      <c r="U6" s="598" t="s">
        <v>1173</v>
      </c>
      <c r="V6" s="598" t="s">
        <v>1174</v>
      </c>
      <c r="W6" s="606" t="s">
        <v>1175</v>
      </c>
      <c r="X6" s="598" t="s">
        <v>1176</v>
      </c>
      <c r="Y6" s="598" t="s">
        <v>1177</v>
      </c>
      <c r="Z6" s="606" t="s">
        <v>1178</v>
      </c>
      <c r="AA6" s="598" t="s">
        <v>1179</v>
      </c>
      <c r="AB6" s="598" t="s">
        <v>1180</v>
      </c>
      <c r="AC6" s="606" t="s">
        <v>1181</v>
      </c>
      <c r="AD6" s="598" t="s">
        <v>1182</v>
      </c>
      <c r="AE6" s="598" t="s">
        <v>1183</v>
      </c>
      <c r="AF6" s="606" t="s">
        <v>1184</v>
      </c>
      <c r="AG6" s="599" t="s">
        <v>1185</v>
      </c>
      <c r="AH6" s="599" t="s">
        <v>1186</v>
      </c>
      <c r="AI6" s="599" t="s">
        <v>1187</v>
      </c>
      <c r="AJ6" s="599" t="s">
        <v>1188</v>
      </c>
      <c r="AK6" s="600" t="s">
        <v>1189</v>
      </c>
      <c r="AL6" s="606" t="s">
        <v>1204</v>
      </c>
      <c r="AM6" s="598" t="s">
        <v>1158</v>
      </c>
      <c r="AN6" s="598" t="s">
        <v>1159</v>
      </c>
      <c r="AO6" s="598" t="s">
        <v>1160</v>
      </c>
      <c r="AP6" s="598" t="s">
        <v>1161</v>
      </c>
      <c r="AQ6" s="598" t="s">
        <v>1162</v>
      </c>
      <c r="AR6" s="598" t="s">
        <v>1163</v>
      </c>
      <c r="AS6" s="598" t="s">
        <v>1164</v>
      </c>
      <c r="AT6" s="598" t="s">
        <v>1165</v>
      </c>
      <c r="AU6" s="598" t="s">
        <v>1166</v>
      </c>
      <c r="AV6" s="598" t="s">
        <v>1167</v>
      </c>
      <c r="AW6" s="598" t="s">
        <v>1168</v>
      </c>
      <c r="AX6" s="598" t="s">
        <v>1169</v>
      </c>
      <c r="AY6" s="598" t="s">
        <v>1170</v>
      </c>
      <c r="AZ6" s="598" t="s">
        <v>1171</v>
      </c>
      <c r="BA6" s="598" t="s">
        <v>1172</v>
      </c>
      <c r="BB6" s="598" t="s">
        <v>1173</v>
      </c>
      <c r="BC6" s="598" t="s">
        <v>1174</v>
      </c>
      <c r="BD6" s="606" t="s">
        <v>1175</v>
      </c>
      <c r="BE6" s="598" t="s">
        <v>1176</v>
      </c>
      <c r="BF6" s="598" t="s">
        <v>1177</v>
      </c>
      <c r="BG6" s="606" t="s">
        <v>1178</v>
      </c>
      <c r="BH6" s="598" t="s">
        <v>1179</v>
      </c>
      <c r="BI6" s="598" t="s">
        <v>1180</v>
      </c>
      <c r="BJ6" s="606" t="s">
        <v>1181</v>
      </c>
      <c r="BK6" s="598" t="s">
        <v>1182</v>
      </c>
      <c r="BL6" s="598" t="s">
        <v>1183</v>
      </c>
      <c r="BM6" s="606" t="s">
        <v>1184</v>
      </c>
      <c r="BN6" s="599" t="s">
        <v>1185</v>
      </c>
      <c r="BO6" s="599" t="s">
        <v>1186</v>
      </c>
      <c r="BP6" s="599" t="s">
        <v>1187</v>
      </c>
      <c r="BQ6" s="599" t="s">
        <v>1188</v>
      </c>
      <c r="BR6" s="600" t="s">
        <v>1189</v>
      </c>
      <c r="BS6" s="606" t="s">
        <v>1204</v>
      </c>
      <c r="BT6" s="598" t="s">
        <v>1158</v>
      </c>
      <c r="BU6" s="598" t="s">
        <v>1159</v>
      </c>
      <c r="BV6" s="598" t="s">
        <v>1160</v>
      </c>
      <c r="BW6" s="598" t="s">
        <v>1161</v>
      </c>
      <c r="BX6" s="598" t="s">
        <v>1162</v>
      </c>
      <c r="BY6" s="598" t="s">
        <v>1163</v>
      </c>
      <c r="BZ6" s="598" t="s">
        <v>1164</v>
      </c>
      <c r="CA6" s="598" t="s">
        <v>1165</v>
      </c>
      <c r="CB6" s="598" t="s">
        <v>1166</v>
      </c>
      <c r="CC6" s="598" t="s">
        <v>1167</v>
      </c>
      <c r="CD6" s="598" t="s">
        <v>1168</v>
      </c>
      <c r="CE6" s="598" t="s">
        <v>1169</v>
      </c>
      <c r="CF6" s="598" t="s">
        <v>1170</v>
      </c>
      <c r="CG6" s="598" t="s">
        <v>1171</v>
      </c>
      <c r="CH6" s="598" t="s">
        <v>1172</v>
      </c>
      <c r="CI6" s="598" t="s">
        <v>1173</v>
      </c>
      <c r="CJ6" s="598" t="s">
        <v>1174</v>
      </c>
      <c r="CK6" s="606" t="s">
        <v>1175</v>
      </c>
      <c r="CL6" s="598" t="s">
        <v>1176</v>
      </c>
      <c r="CM6" s="598" t="s">
        <v>1177</v>
      </c>
      <c r="CN6" s="606" t="s">
        <v>1178</v>
      </c>
      <c r="CO6" s="598" t="s">
        <v>1179</v>
      </c>
      <c r="CP6" s="598" t="s">
        <v>1180</v>
      </c>
      <c r="CQ6" s="606" t="s">
        <v>1181</v>
      </c>
      <c r="CR6" s="598" t="s">
        <v>1182</v>
      </c>
      <c r="CS6" s="598" t="s">
        <v>1183</v>
      </c>
      <c r="CT6" s="606" t="s">
        <v>1184</v>
      </c>
      <c r="CU6" s="599" t="s">
        <v>1185</v>
      </c>
      <c r="CV6" s="599" t="s">
        <v>1186</v>
      </c>
      <c r="CW6" s="599" t="s">
        <v>1187</v>
      </c>
      <c r="CX6" s="599" t="s">
        <v>1188</v>
      </c>
      <c r="CY6" s="600" t="s">
        <v>1189</v>
      </c>
      <c r="CZ6" s="606" t="s">
        <v>1204</v>
      </c>
      <c r="DA6" s="598" t="s">
        <v>1158</v>
      </c>
      <c r="DB6" s="598" t="s">
        <v>1159</v>
      </c>
      <c r="DC6" s="598" t="s">
        <v>1160</v>
      </c>
      <c r="DD6" s="598" t="s">
        <v>1161</v>
      </c>
      <c r="DE6" s="598" t="s">
        <v>1162</v>
      </c>
      <c r="DF6" s="598" t="s">
        <v>1163</v>
      </c>
      <c r="DG6" s="598" t="s">
        <v>1164</v>
      </c>
      <c r="DH6" s="598" t="s">
        <v>1165</v>
      </c>
      <c r="DI6" s="598" t="s">
        <v>1166</v>
      </c>
      <c r="DJ6" s="598" t="s">
        <v>1167</v>
      </c>
      <c r="DK6" s="598" t="s">
        <v>1168</v>
      </c>
      <c r="DL6" s="598" t="s">
        <v>1169</v>
      </c>
      <c r="DM6" s="598" t="s">
        <v>1170</v>
      </c>
      <c r="DN6" s="598" t="s">
        <v>1171</v>
      </c>
      <c r="DO6" s="598" t="s">
        <v>1172</v>
      </c>
      <c r="DP6" s="598" t="s">
        <v>1173</v>
      </c>
      <c r="DQ6" s="598" t="s">
        <v>1174</v>
      </c>
      <c r="DR6" s="606" t="s">
        <v>1175</v>
      </c>
      <c r="DS6" s="598" t="s">
        <v>1176</v>
      </c>
      <c r="DT6" s="598" t="s">
        <v>1177</v>
      </c>
      <c r="DU6" s="606" t="s">
        <v>1178</v>
      </c>
      <c r="DV6" s="598" t="s">
        <v>1179</v>
      </c>
      <c r="DW6" s="598" t="s">
        <v>1180</v>
      </c>
      <c r="DX6" s="606" t="s">
        <v>1181</v>
      </c>
      <c r="DY6" s="598" t="s">
        <v>1182</v>
      </c>
      <c r="DZ6" s="598" t="s">
        <v>1183</v>
      </c>
      <c r="EA6" s="606" t="s">
        <v>1184</v>
      </c>
      <c r="EB6" s="599" t="s">
        <v>1185</v>
      </c>
      <c r="EC6" s="599" t="s">
        <v>1186</v>
      </c>
      <c r="ED6" s="599" t="s">
        <v>1187</v>
      </c>
      <c r="EE6" s="599" t="s">
        <v>1188</v>
      </c>
      <c r="EF6" s="600" t="s">
        <v>1189</v>
      </c>
      <c r="EG6" s="606" t="s">
        <v>1204</v>
      </c>
      <c r="EH6" s="598" t="s">
        <v>1158</v>
      </c>
      <c r="EI6" s="598" t="s">
        <v>1159</v>
      </c>
      <c r="EJ6" s="598" t="s">
        <v>1160</v>
      </c>
      <c r="EK6" s="598" t="s">
        <v>1161</v>
      </c>
      <c r="EL6" s="598" t="s">
        <v>1162</v>
      </c>
      <c r="EM6" s="598" t="s">
        <v>1163</v>
      </c>
      <c r="EN6" s="598" t="s">
        <v>1164</v>
      </c>
      <c r="EO6" s="598" t="s">
        <v>1165</v>
      </c>
      <c r="EP6" s="598" t="s">
        <v>1166</v>
      </c>
      <c r="EQ6" s="598" t="s">
        <v>1167</v>
      </c>
      <c r="ER6" s="598" t="s">
        <v>1168</v>
      </c>
      <c r="ES6" s="598" t="s">
        <v>1169</v>
      </c>
      <c r="ET6" s="598" t="s">
        <v>1170</v>
      </c>
      <c r="EU6" s="598" t="s">
        <v>1171</v>
      </c>
      <c r="EV6" s="598" t="s">
        <v>1172</v>
      </c>
      <c r="EW6" s="598" t="s">
        <v>1173</v>
      </c>
      <c r="EX6" s="598" t="s">
        <v>1174</v>
      </c>
      <c r="EY6" s="606" t="s">
        <v>1175</v>
      </c>
      <c r="EZ6" s="598" t="s">
        <v>1176</v>
      </c>
      <c r="FA6" s="598" t="s">
        <v>1177</v>
      </c>
      <c r="FB6" s="606" t="s">
        <v>1178</v>
      </c>
      <c r="FC6" s="598" t="s">
        <v>1179</v>
      </c>
      <c r="FD6" s="598" t="s">
        <v>1180</v>
      </c>
      <c r="FE6" s="606" t="s">
        <v>1181</v>
      </c>
      <c r="FF6" s="598" t="s">
        <v>1182</v>
      </c>
      <c r="FG6" s="598" t="s">
        <v>1183</v>
      </c>
      <c r="FH6" s="606" t="s">
        <v>1184</v>
      </c>
      <c r="FI6" s="599" t="s">
        <v>1185</v>
      </c>
      <c r="FJ6" s="599" t="s">
        <v>1186</v>
      </c>
      <c r="FK6" s="599" t="s">
        <v>1187</v>
      </c>
      <c r="FL6" s="599" t="s">
        <v>1188</v>
      </c>
      <c r="FM6" s="600" t="s">
        <v>1189</v>
      </c>
      <c r="FN6" s="606" t="s">
        <v>1204</v>
      </c>
      <c r="FO6" s="598" t="s">
        <v>1158</v>
      </c>
      <c r="FP6" s="598" t="s">
        <v>1159</v>
      </c>
      <c r="FQ6" s="598" t="s">
        <v>1160</v>
      </c>
      <c r="FR6" s="598" t="s">
        <v>1161</v>
      </c>
      <c r="FS6" s="598" t="s">
        <v>1162</v>
      </c>
      <c r="FT6" s="598" t="s">
        <v>1163</v>
      </c>
      <c r="FU6" s="598" t="s">
        <v>1164</v>
      </c>
      <c r="FV6" s="598" t="s">
        <v>1165</v>
      </c>
      <c r="FW6" s="598" t="s">
        <v>1166</v>
      </c>
      <c r="FX6" s="598" t="s">
        <v>1167</v>
      </c>
      <c r="FY6" s="598" t="s">
        <v>1168</v>
      </c>
      <c r="FZ6" s="598" t="s">
        <v>1169</v>
      </c>
      <c r="GA6" s="598" t="s">
        <v>1170</v>
      </c>
      <c r="GB6" s="598" t="s">
        <v>1171</v>
      </c>
      <c r="GC6" s="598" t="s">
        <v>1172</v>
      </c>
      <c r="GD6" s="598" t="s">
        <v>1173</v>
      </c>
      <c r="GE6" s="598" t="s">
        <v>1174</v>
      </c>
      <c r="GF6" s="606" t="s">
        <v>1175</v>
      </c>
      <c r="GG6" s="598" t="s">
        <v>1176</v>
      </c>
      <c r="GH6" s="598" t="s">
        <v>1177</v>
      </c>
      <c r="GI6" s="606" t="s">
        <v>1178</v>
      </c>
      <c r="GJ6" s="598" t="s">
        <v>1179</v>
      </c>
      <c r="GK6" s="598" t="s">
        <v>1180</v>
      </c>
      <c r="GL6" s="606" t="s">
        <v>1181</v>
      </c>
      <c r="GM6" s="598" t="s">
        <v>1182</v>
      </c>
      <c r="GN6" s="598" t="s">
        <v>1183</v>
      </c>
      <c r="GO6" s="606" t="s">
        <v>1184</v>
      </c>
      <c r="GP6" s="599" t="s">
        <v>1185</v>
      </c>
      <c r="GQ6" s="599" t="s">
        <v>1186</v>
      </c>
      <c r="GR6" s="599" t="s">
        <v>1187</v>
      </c>
      <c r="GS6" s="599" t="s">
        <v>1188</v>
      </c>
      <c r="GT6" s="600" t="s">
        <v>1189</v>
      </c>
      <c r="GU6" s="606" t="s">
        <v>1204</v>
      </c>
      <c r="GV6" s="598" t="s">
        <v>1158</v>
      </c>
      <c r="GW6" s="598" t="s">
        <v>1159</v>
      </c>
      <c r="GX6" s="598" t="s">
        <v>1160</v>
      </c>
      <c r="GY6" s="598" t="s">
        <v>1161</v>
      </c>
      <c r="GZ6" s="598" t="s">
        <v>1162</v>
      </c>
      <c r="HA6" s="598" t="s">
        <v>1163</v>
      </c>
      <c r="HB6" s="598" t="s">
        <v>1164</v>
      </c>
      <c r="HC6" s="598" t="s">
        <v>1165</v>
      </c>
      <c r="HD6" s="598" t="s">
        <v>1166</v>
      </c>
      <c r="HE6" s="598" t="s">
        <v>1167</v>
      </c>
      <c r="HF6" s="598" t="s">
        <v>1168</v>
      </c>
      <c r="HG6" s="598" t="s">
        <v>1169</v>
      </c>
      <c r="HH6" s="598" t="s">
        <v>1170</v>
      </c>
      <c r="HI6" s="598" t="s">
        <v>1171</v>
      </c>
      <c r="HJ6" s="598" t="s">
        <v>1172</v>
      </c>
      <c r="HK6" s="598" t="s">
        <v>1173</v>
      </c>
      <c r="HL6" s="598" t="s">
        <v>1174</v>
      </c>
      <c r="HM6" s="606" t="s">
        <v>1175</v>
      </c>
      <c r="HN6" s="598" t="s">
        <v>1176</v>
      </c>
      <c r="HO6" s="598" t="s">
        <v>1177</v>
      </c>
      <c r="HP6" s="606" t="s">
        <v>1178</v>
      </c>
      <c r="HQ6" s="598" t="s">
        <v>1179</v>
      </c>
      <c r="HR6" s="598" t="s">
        <v>1180</v>
      </c>
      <c r="HS6" s="606" t="s">
        <v>1181</v>
      </c>
      <c r="HT6" s="598" t="s">
        <v>1182</v>
      </c>
      <c r="HU6" s="598" t="s">
        <v>1183</v>
      </c>
      <c r="HV6" s="606" t="s">
        <v>1184</v>
      </c>
      <c r="HW6" s="599" t="s">
        <v>1185</v>
      </c>
      <c r="HX6" s="599" t="s">
        <v>1186</v>
      </c>
      <c r="HY6" s="599" t="s">
        <v>1187</v>
      </c>
      <c r="HZ6" s="599" t="s">
        <v>1188</v>
      </c>
      <c r="IA6" s="600" t="s">
        <v>1189</v>
      </c>
      <c r="IB6" s="606" t="s">
        <v>1204</v>
      </c>
      <c r="IC6" s="598" t="s">
        <v>1158</v>
      </c>
      <c r="ID6" s="598" t="s">
        <v>1159</v>
      </c>
      <c r="IE6" s="598" t="s">
        <v>1160</v>
      </c>
      <c r="IF6" s="598" t="s">
        <v>1161</v>
      </c>
      <c r="IG6" s="598" t="s">
        <v>1162</v>
      </c>
      <c r="IH6" s="598" t="s">
        <v>1163</v>
      </c>
      <c r="II6" s="598" t="s">
        <v>1164</v>
      </c>
      <c r="IJ6" s="598" t="s">
        <v>1165</v>
      </c>
      <c r="IK6" s="598" t="s">
        <v>1166</v>
      </c>
      <c r="IL6" s="598" t="s">
        <v>1167</v>
      </c>
      <c r="IM6" s="598" t="s">
        <v>1168</v>
      </c>
      <c r="IN6" s="598" t="s">
        <v>1169</v>
      </c>
      <c r="IO6" s="598" t="s">
        <v>1170</v>
      </c>
      <c r="IP6" s="598" t="s">
        <v>1171</v>
      </c>
      <c r="IQ6" s="598" t="s">
        <v>1172</v>
      </c>
      <c r="IR6" s="598" t="s">
        <v>1173</v>
      </c>
      <c r="IS6" s="598" t="s">
        <v>1174</v>
      </c>
      <c r="IT6" s="606" t="s">
        <v>1175</v>
      </c>
      <c r="IU6" s="598" t="s">
        <v>1176</v>
      </c>
      <c r="IV6" s="598" t="s">
        <v>1177</v>
      </c>
      <c r="IW6" s="606" t="s">
        <v>1178</v>
      </c>
      <c r="IX6" s="598" t="s">
        <v>1179</v>
      </c>
      <c r="IY6" s="598" t="s">
        <v>1180</v>
      </c>
      <c r="IZ6" s="606" t="s">
        <v>1181</v>
      </c>
      <c r="JA6" s="598" t="s">
        <v>1182</v>
      </c>
      <c r="JB6" s="598" t="s">
        <v>1183</v>
      </c>
      <c r="JC6" s="606" t="s">
        <v>1184</v>
      </c>
      <c r="JD6" s="599" t="s">
        <v>1185</v>
      </c>
      <c r="JE6" s="599" t="s">
        <v>1186</v>
      </c>
      <c r="JF6" s="599" t="s">
        <v>1187</v>
      </c>
      <c r="JG6" s="599" t="s">
        <v>1188</v>
      </c>
      <c r="JH6" s="600" t="s">
        <v>1189</v>
      </c>
      <c r="JI6" s="606" t="s">
        <v>1204</v>
      </c>
      <c r="JJ6" s="598" t="s">
        <v>1158</v>
      </c>
      <c r="JK6" s="598" t="s">
        <v>1159</v>
      </c>
      <c r="JL6" s="598" t="s">
        <v>1160</v>
      </c>
      <c r="JM6" s="598" t="s">
        <v>1161</v>
      </c>
      <c r="JN6" s="598" t="s">
        <v>1162</v>
      </c>
      <c r="JO6" s="598" t="s">
        <v>1163</v>
      </c>
      <c r="JP6" s="598" t="s">
        <v>1164</v>
      </c>
      <c r="JQ6" s="598" t="s">
        <v>1165</v>
      </c>
      <c r="JR6" s="598" t="s">
        <v>1166</v>
      </c>
      <c r="JS6" s="598" t="s">
        <v>1167</v>
      </c>
      <c r="JT6" s="598" t="s">
        <v>1168</v>
      </c>
      <c r="JU6" s="598" t="s">
        <v>1169</v>
      </c>
      <c r="JV6" s="598" t="s">
        <v>1170</v>
      </c>
      <c r="JW6" s="598" t="s">
        <v>1171</v>
      </c>
      <c r="JX6" s="598" t="s">
        <v>1172</v>
      </c>
      <c r="JY6" s="598" t="s">
        <v>1173</v>
      </c>
      <c r="JZ6" s="598" t="s">
        <v>1174</v>
      </c>
      <c r="KA6" s="598" t="s">
        <v>1176</v>
      </c>
      <c r="KB6" s="598" t="s">
        <v>1177</v>
      </c>
      <c r="KC6" s="598" t="s">
        <v>1179</v>
      </c>
      <c r="KD6" s="598" t="s">
        <v>1180</v>
      </c>
      <c r="KE6" s="598" t="s">
        <v>1182</v>
      </c>
      <c r="KF6" s="598" t="s">
        <v>1183</v>
      </c>
      <c r="KG6" s="599" t="s">
        <v>1185</v>
      </c>
      <c r="KH6" s="599" t="s">
        <v>1186</v>
      </c>
      <c r="KI6" s="599" t="s">
        <v>1187</v>
      </c>
      <c r="KJ6" s="599" t="s">
        <v>1188</v>
      </c>
      <c r="KK6" s="599" t="s">
        <v>1205</v>
      </c>
      <c r="KL6" s="598" t="s">
        <v>1158</v>
      </c>
      <c r="KM6" s="598" t="s">
        <v>1159</v>
      </c>
      <c r="KN6" s="598" t="s">
        <v>1160</v>
      </c>
      <c r="KO6" s="598" t="s">
        <v>1161</v>
      </c>
      <c r="KP6" s="598" t="s">
        <v>1162</v>
      </c>
      <c r="KQ6" s="598" t="s">
        <v>1163</v>
      </c>
      <c r="KR6" s="598" t="s">
        <v>1164</v>
      </c>
      <c r="KS6" s="598" t="s">
        <v>1165</v>
      </c>
      <c r="KT6" s="598" t="s">
        <v>1166</v>
      </c>
      <c r="KU6" s="598" t="s">
        <v>1167</v>
      </c>
      <c r="KV6" s="598" t="s">
        <v>1168</v>
      </c>
      <c r="KW6" s="598" t="s">
        <v>1169</v>
      </c>
      <c r="KX6" s="598" t="s">
        <v>1170</v>
      </c>
      <c r="KY6" s="598" t="s">
        <v>1171</v>
      </c>
      <c r="KZ6" s="598" t="s">
        <v>1172</v>
      </c>
      <c r="LA6" s="598" t="s">
        <v>1173</v>
      </c>
      <c r="LB6" s="598" t="s">
        <v>1174</v>
      </c>
      <c r="LC6" s="606" t="s">
        <v>1175</v>
      </c>
      <c r="LD6" s="598" t="s">
        <v>1176</v>
      </c>
      <c r="LE6" s="598" t="s">
        <v>1177</v>
      </c>
      <c r="LF6" s="606" t="s">
        <v>1178</v>
      </c>
      <c r="LG6" s="598" t="s">
        <v>1179</v>
      </c>
      <c r="LH6" s="598" t="s">
        <v>1180</v>
      </c>
      <c r="LI6" s="606" t="s">
        <v>1181</v>
      </c>
      <c r="LJ6" s="598" t="s">
        <v>1182</v>
      </c>
      <c r="LK6" s="598" t="s">
        <v>1183</v>
      </c>
      <c r="LL6" s="606" t="s">
        <v>1184</v>
      </c>
      <c r="LM6" s="599" t="s">
        <v>1185</v>
      </c>
      <c r="LN6" s="599" t="s">
        <v>1186</v>
      </c>
      <c r="LO6" s="599" t="s">
        <v>1187</v>
      </c>
      <c r="LP6" s="599" t="s">
        <v>1188</v>
      </c>
      <c r="LQ6" s="600" t="s">
        <v>1189</v>
      </c>
      <c r="LR6" s="606" t="s">
        <v>1204</v>
      </c>
      <c r="LS6" s="686" t="s">
        <v>1206</v>
      </c>
      <c r="LT6" s="686" t="s">
        <v>1207</v>
      </c>
      <c r="LU6" s="688"/>
    </row>
    <row r="7" spans="1:335">
      <c r="A7" s="143" t="s">
        <v>303</v>
      </c>
      <c r="B7" s="143"/>
      <c r="C7" s="143"/>
      <c r="D7" s="143"/>
      <c r="E7" s="143"/>
      <c r="F7" s="157">
        <f>'BUDGET REVENUE CML 2021-2025'!BA119/10^6</f>
        <v>3472.2784329999999</v>
      </c>
      <c r="G7" s="157">
        <f>'BUDGET REVENUE CML 2021-2025'!BB119/10^6</f>
        <v>3402.5741720000001</v>
      </c>
      <c r="H7" s="157">
        <f>'BUDGET REVENUE CML 2021-2025'!BC119/10^6</f>
        <v>3471.1169249999998</v>
      </c>
      <c r="I7" s="157">
        <f>'BUDGET REVENUE CML 2021-2025'!BD119/10^6</f>
        <v>3188.802064</v>
      </c>
      <c r="J7" s="157">
        <f>'BUDGET REVENUE CML 2021-2025'!BE119/10^6</f>
        <v>3564.401879</v>
      </c>
      <c r="K7" s="157">
        <f>'BUDGET REVENUE CML 2021-2025'!BF119/10^6</f>
        <v>3181.0978970000001</v>
      </c>
      <c r="L7" s="157">
        <v>3418.5067265322632</v>
      </c>
      <c r="M7" s="157">
        <f>'BUDGET REVENUE CML 2021-2025'!BH119/10^6</f>
        <v>2983.135683</v>
      </c>
      <c r="N7" s="157">
        <v>3438.9881352298908</v>
      </c>
      <c r="O7" s="157">
        <f>'BUDGET REVENUE CML 2021-2025'!BJ119/10^6</f>
        <v>3464.7192580000001</v>
      </c>
      <c r="P7" s="577">
        <v>4603.0931617848428</v>
      </c>
      <c r="Q7" s="205">
        <f>'BUDGET REVENUE CML 2021-2025'!BL119/10^6</f>
        <v>3020.2773510000002</v>
      </c>
      <c r="R7" s="577">
        <f>R17</f>
        <v>5121.8355577274187</v>
      </c>
      <c r="S7" s="205">
        <f>'BUDGET REVENUE CML 2021-2025'!BN119/10^6</f>
        <v>4727.0161770000004</v>
      </c>
      <c r="T7" s="577">
        <f>T17</f>
        <v>5121.8355577274187</v>
      </c>
      <c r="U7" s="577">
        <f>'BUDGET REVENUE CML 2021-2025'!BP119/10^6</f>
        <v>0</v>
      </c>
      <c r="V7" s="577">
        <f>V17</f>
        <v>5121.8355577274187</v>
      </c>
      <c r="W7" s="637">
        <f>'BUDGET REVENUE CML 2021-2025'!BR119/10^6</f>
        <v>4525.3281619999998</v>
      </c>
      <c r="X7" s="577">
        <f>'BUDGET REVENUE CML 2021-2025'!BS119/10^6</f>
        <v>0</v>
      </c>
      <c r="Y7" s="577">
        <f>Y17</f>
        <v>5121.8355577274187</v>
      </c>
      <c r="Z7" s="637">
        <f>'BUDGET REVENUE CML 2021-2025'!BU119/10^6</f>
        <v>4731.3281619999998</v>
      </c>
      <c r="AA7" s="577">
        <f>'BUDGET REVENUE CML 2021-2025'!BV119/10^6</f>
        <v>0</v>
      </c>
      <c r="AB7" s="577">
        <f>AB17</f>
        <v>5121.8355577274187</v>
      </c>
      <c r="AC7" s="637">
        <f>'BUDGET REVENUE CML 2021-2025'!BX119/10^6</f>
        <v>5116.3281619999998</v>
      </c>
      <c r="AD7" s="577">
        <f>'BUDGET REVENUE CML 2021-2025'!BY119/10^6</f>
        <v>0</v>
      </c>
      <c r="AE7" s="577">
        <f>AE17</f>
        <v>5121.8355577274187</v>
      </c>
      <c r="AF7" s="637">
        <f>'BUDGET REVENUE CML 2021-2025'!CA119/10^6</f>
        <v>5320.7361620000001</v>
      </c>
      <c r="AG7" s="170">
        <f>SUM(F7,G7,I7)</f>
        <v>10063.654669</v>
      </c>
      <c r="AH7" s="170">
        <f>SUM(K7,M7,O7)</f>
        <v>9628.9528380000011</v>
      </c>
      <c r="AI7" s="170">
        <f>SUM(Q7,S7,V7)</f>
        <v>12869.129085727418</v>
      </c>
      <c r="AJ7" s="170">
        <f>SUM(Y7,AB7,AE7)</f>
        <v>15365.506673182255</v>
      </c>
      <c r="AK7" s="170">
        <f>AG7+AH7+AI7+AJ7</f>
        <v>47927.243265909674</v>
      </c>
      <c r="AL7" s="592">
        <f>F7+G7+I7+K7+M7+O7+Q7+S7+W7+Z7+AC7+AF7</f>
        <v>47133.621682999998</v>
      </c>
      <c r="AM7" s="157">
        <f>'BUDGET REVENUE CML 2021-2025'!BA288/10^6</f>
        <v>2580.8225940000002</v>
      </c>
      <c r="AN7" s="157">
        <f>'BUDGET REVENUE CML 2021-2025'!BB288/10^6</f>
        <v>3193.4840380000001</v>
      </c>
      <c r="AO7" s="157">
        <f>'BUDGET REVENUE CML 2021-2025'!BC288/10^6</f>
        <v>2934</v>
      </c>
      <c r="AP7" s="157">
        <f>'BUDGET REVENUE CML 2021-2025'!BD288/10^6</f>
        <v>5887.190364</v>
      </c>
      <c r="AQ7" s="157">
        <f>'BUDGET REVENUE CML 2021-2025'!BE288/10^6</f>
        <v>3371</v>
      </c>
      <c r="AR7" s="157">
        <f>'BUDGET REVENUE CML 2021-2025'!BF288/10^6</f>
        <v>4127.8155070000003</v>
      </c>
      <c r="AS7" s="157">
        <v>3628.4130836236932</v>
      </c>
      <c r="AT7" s="157">
        <f>'BUDGET REVENUE CML 2021-2025'!BH288/10^6</f>
        <v>2598.940204</v>
      </c>
      <c r="AU7" s="157">
        <v>4439.1382247910769</v>
      </c>
      <c r="AV7" s="157">
        <f>'BUDGET REVENUE CML 2021-2025'!BJ288/10^6</f>
        <v>3048.9433469999999</v>
      </c>
      <c r="AW7" s="157">
        <v>3999.4128377984248</v>
      </c>
      <c r="AX7" s="157">
        <f>'BUDGET REVENUE CML 2021-2025'!BL288/10^6</f>
        <v>2671.5773450000002</v>
      </c>
      <c r="AY7" s="157">
        <f>AY17</f>
        <v>3753.6315458406411</v>
      </c>
      <c r="AZ7" s="157">
        <f>'BUDGET REVENUE CML 2021-2025'!BN288/10^6</f>
        <v>3393.4856890000001</v>
      </c>
      <c r="BA7" s="157">
        <f>BA17</f>
        <v>5353.6315458406407</v>
      </c>
      <c r="BB7" s="157">
        <f>'BUDGET REVENUE CML 2021-2025'!BP288/10^6</f>
        <v>0</v>
      </c>
      <c r="BC7" s="157">
        <f>BC17</f>
        <v>3933.6315458406411</v>
      </c>
      <c r="BD7" s="637">
        <f>'BUDGET REVENUE CML 2021-2025'!BR288/10^6</f>
        <v>3819.5</v>
      </c>
      <c r="BE7" s="157">
        <f>'BUDGET REVENUE CML 2021-2025'!BS288/10^6</f>
        <v>0</v>
      </c>
      <c r="BF7" s="157">
        <f>BF17</f>
        <v>3753.6315458406411</v>
      </c>
      <c r="BG7" s="637">
        <f>'BUDGET REVENUE CML 2021-2025'!BU288/10^6</f>
        <v>3994.5</v>
      </c>
      <c r="BH7" s="157">
        <f>'BUDGET REVENUE CML 2021-2025'!BV288/10^6</f>
        <v>0</v>
      </c>
      <c r="BI7" s="157">
        <f>BI17</f>
        <v>3753.6315458406411</v>
      </c>
      <c r="BJ7" s="637">
        <f>'BUDGET REVENUE CML 2021-2025'!BX288/10^6</f>
        <v>4169.5</v>
      </c>
      <c r="BK7" s="157">
        <f>'BUDGET REVENUE CML 2021-2025'!BY288/10^6</f>
        <v>0</v>
      </c>
      <c r="BL7" s="157">
        <f>BL17</f>
        <v>5533.6315458406407</v>
      </c>
      <c r="BM7" s="637">
        <f>'BUDGET REVENUE CML 2021-2025'!CA288/10^6</f>
        <v>4354.8999999999996</v>
      </c>
      <c r="BN7" s="170">
        <f>SUM(AM7,AN7,AP7)</f>
        <v>11661.496996</v>
      </c>
      <c r="BO7" s="170">
        <f>SUM(AR7,AT7,AV7)</f>
        <v>9775.6990580000002</v>
      </c>
      <c r="BP7" s="170">
        <f>SUM(AX7,AZ7,BC7)</f>
        <v>9998.6945798406414</v>
      </c>
      <c r="BQ7" s="170">
        <f>SUM(BF7,BI7,BL7)</f>
        <v>13040.894637521924</v>
      </c>
      <c r="BR7" s="170">
        <f>BN7+BO7+BP7+BQ7</f>
        <v>44476.785271362562</v>
      </c>
      <c r="BS7" s="592">
        <f>AM7+AN7+AP7+AR7+AT7+AV7+AX7+AZ7+BD7+BG7+BJ7+BM7</f>
        <v>43840.659088000008</v>
      </c>
      <c r="BT7" s="157">
        <f>'BUDGET REVENUE CLI 2021-2025'!U58/10^6-4.23110999999994</f>
        <v>513</v>
      </c>
      <c r="BU7" s="157">
        <f>'BUDGET REVENUE CLI 2021-2025'!V58/10^6-3.75704826999998</f>
        <v>363</v>
      </c>
      <c r="BV7" s="157">
        <f>'BUDGET REVENUE CLI 2021-2025'!W58/10^6</f>
        <v>319.5</v>
      </c>
      <c r="BW7" s="157">
        <f>'BUDGET REVENUE CLI 2021-2025'!X58/10^6-2.45015900000001</f>
        <v>244</v>
      </c>
      <c r="BX7" s="157">
        <f>'BUDGET REVENUE CLI 2021-2025'!Y58/10^6</f>
        <v>1710.3</v>
      </c>
      <c r="BY7" s="157">
        <f>'BUDGET REVENUE CLI 2021-2025'!Z58/10^6+4.65776800000003</f>
        <v>1638.4</v>
      </c>
      <c r="BZ7" s="157">
        <f>'BUDGET REVENUE CLI 2021-2025'!AA58/10^6</f>
        <v>1270.8</v>
      </c>
      <c r="CA7" s="157">
        <f>'BUDGET REVENUE CLI 2021-2025'!AB58/10^6</f>
        <v>743.33573200000001</v>
      </c>
      <c r="CB7" s="157">
        <v>1038.5</v>
      </c>
      <c r="CC7" s="157">
        <f>'BUDGET REVENUE CLI 2021-2025'!AD58/10^6</f>
        <v>723.23184500000002</v>
      </c>
      <c r="CD7" s="157">
        <v>1038.5</v>
      </c>
      <c r="CE7" s="157">
        <f>'BUDGET REVENUE CLI 2021-2025'!AF58/10^6</f>
        <v>772.67918099999997</v>
      </c>
      <c r="CF7" s="157">
        <v>1480.1400000000003</v>
      </c>
      <c r="CG7" s="157">
        <f>'BUDGET REVENUE CLI 2021-2025'!AH58/10^6</f>
        <v>701.88104999999996</v>
      </c>
      <c r="CH7" s="157">
        <v>1480.1400000000003</v>
      </c>
      <c r="CI7" s="157">
        <f>'BUDGET REVENUE CLI 2021-2025'!AJ58/10^6</f>
        <v>0</v>
      </c>
      <c r="CJ7" s="157">
        <v>1781.6500000000003</v>
      </c>
      <c r="CK7" s="637">
        <f>'BUDGET REVENUE CLI 2021-2025'!AL58/10^6</f>
        <v>1383.3</v>
      </c>
      <c r="CL7" s="157">
        <f>'BUDGET REVENUE CLI 2021-2025'!AM58/10^6</f>
        <v>0</v>
      </c>
      <c r="CM7" s="157">
        <v>1781.6500000000003</v>
      </c>
      <c r="CN7" s="637">
        <f>'BUDGET REVENUE CLI 2021-2025'!AO58/10^6</f>
        <v>1493.8</v>
      </c>
      <c r="CO7" s="157">
        <f>'BUDGET REVENUE CLI 2021-2025'!AP58/10^6</f>
        <v>0</v>
      </c>
      <c r="CP7" s="157">
        <v>1781.6500000000003</v>
      </c>
      <c r="CQ7" s="637">
        <f>'BUDGET REVENUE CLI 2021-2025'!AR58/10^6</f>
        <v>1604.3</v>
      </c>
      <c r="CR7" s="157">
        <f>'BUDGET REVENUE CLI 2021-2025'!AS58/10^6</f>
        <v>0</v>
      </c>
      <c r="CS7" s="157">
        <v>1781.6500000000003</v>
      </c>
      <c r="CT7" s="637">
        <f>'BUDGET REVENUE CLI 2021-2025'!AU58/10^6</f>
        <v>1694.8</v>
      </c>
      <c r="CU7" s="170">
        <f>SUM(BT7,BU7,BW7)</f>
        <v>1120</v>
      </c>
      <c r="CV7" s="170">
        <f>SUM(BY7,CA7,CC7)</f>
        <v>3104.9675770000003</v>
      </c>
      <c r="CW7" s="170">
        <f>SUM(CE7,CG7,CJ7)</f>
        <v>3256.210231</v>
      </c>
      <c r="CX7" s="170">
        <f>SUM(CM7,CP7,CS7)</f>
        <v>5344.9500000000007</v>
      </c>
      <c r="CY7" s="170">
        <f>CU7+CV7+CW7+CX7</f>
        <v>12826.127808000001</v>
      </c>
      <c r="CZ7" s="592">
        <f>BT7+BU7+BW7+BY7+CA7+CC7+CE7+CG7+CK7+CN7+CQ7+CT7</f>
        <v>11875.727808</v>
      </c>
      <c r="DA7" s="157">
        <f>'BUDGET REVENUE BP 2021-2025'!CP240/1000000</f>
        <v>5751.5844889999998</v>
      </c>
      <c r="DB7" s="157">
        <f>'BUDGET REVENUE BP 2021-2025'!CQ240/1000000</f>
        <v>5466.2709619999996</v>
      </c>
      <c r="DC7" s="157">
        <f>'BUDGET REVENUE BP 2021-2025'!CR240/1000000</f>
        <v>6261.7379810000002</v>
      </c>
      <c r="DD7" s="157">
        <f>'BUDGET REVENUE BP 2021-2025'!CS240/1000000+2.2400000000016</f>
        <v>6716.1195560000015</v>
      </c>
      <c r="DE7" s="157">
        <f>'BUDGET REVENUE BP 2021-2025'!CT240/1000000</f>
        <v>7468.0173219999997</v>
      </c>
      <c r="DF7" s="157">
        <f>'BUDGET REVENUE BP 2021-2025'!CU240/1000000+22.159999999998</f>
        <v>6503.1847739999985</v>
      </c>
      <c r="DG7" s="157">
        <v>7868.8750773271304</v>
      </c>
      <c r="DH7" s="157">
        <f>'BUDGET REVENUE BP 2021-2025'!CW240/1000000</f>
        <v>4958.3539369999999</v>
      </c>
      <c r="DI7" s="157">
        <v>7272.1434375537401</v>
      </c>
      <c r="DJ7" s="157">
        <f>'BUDGET REVENUE BP 2021-2025'!CY240/1000000-42</f>
        <v>6069.4990319999997</v>
      </c>
      <c r="DK7" s="157">
        <v>7255.2588331364141</v>
      </c>
      <c r="DL7" s="157">
        <f>'BUDGET REVENUE BP 2021-2025'!DA240/1000000</f>
        <v>6447.8385630000002</v>
      </c>
      <c r="DM7" s="157">
        <v>6889.0738260687976</v>
      </c>
      <c r="DN7" s="157">
        <f>'BUDGET REVENUE BP 2021-2025'!DC240/1000000</f>
        <v>6600.4883769999997</v>
      </c>
      <c r="DO7" s="157">
        <v>6951.6751623814062</v>
      </c>
      <c r="DP7" s="157">
        <f>'BUDGET REVENUE BP 2021-2025'!DE240/1000000</f>
        <v>0</v>
      </c>
      <c r="DQ7" s="157">
        <v>7123.3323433931764</v>
      </c>
      <c r="DR7" s="637">
        <f>'BUDGET REVENUE BP 2021-2025'!DG240/1000000</f>
        <v>8624.6600589999998</v>
      </c>
      <c r="DS7" s="157">
        <f>'BUDGET REVENUE BP 2021-2025'!DH240/1000000</f>
        <v>0</v>
      </c>
      <c r="DT7" s="157">
        <v>7193.0617035522919</v>
      </c>
      <c r="DU7" s="637">
        <f>'BUDGET REVENUE BP 2021-2025'!DJ240/1000000</f>
        <v>9004.6600589999998</v>
      </c>
      <c r="DV7" s="157">
        <f>'BUDGET REVENUE BP 2021-2025'!DK240/1000000</f>
        <v>0</v>
      </c>
      <c r="DW7" s="157">
        <v>6945.1815728757329</v>
      </c>
      <c r="DX7" s="637">
        <f>'BUDGET REVENUE BP 2021-2025'!DM240/1000000</f>
        <v>9049.6600589999998</v>
      </c>
      <c r="DY7" s="157">
        <f>'BUDGET REVENUE BP 2021-2025'!DN240/1000000</f>
        <v>0</v>
      </c>
      <c r="DZ7" s="157">
        <v>6892.0835403459141</v>
      </c>
      <c r="EA7" s="637">
        <f>'BUDGET REVENUE BP 2021-2025'!DP240/1000000</f>
        <v>9174.6600589999998</v>
      </c>
      <c r="EB7" s="170">
        <f>SUM(DA7,DB7,DD7)</f>
        <v>17933.975007000001</v>
      </c>
      <c r="EC7" s="170">
        <f>SUM(DF7,DH7,DJ7)</f>
        <v>17531.037742999997</v>
      </c>
      <c r="ED7" s="170">
        <f>SUM(DL7,DN7,DQ7)</f>
        <v>20171.659283393175</v>
      </c>
      <c r="EE7" s="170">
        <f>SUM(DT7,DW7,DZ7)</f>
        <v>21030.326816773937</v>
      </c>
      <c r="EF7" s="170">
        <f>EB7+EC7+ED7+EE7</f>
        <v>76666.998850167118</v>
      </c>
      <c r="EG7" s="592">
        <f>DA7+DB7+DD7+DF7+DH7+DJ7+DL7+DN7+DR7+DU7+DX7+EA7</f>
        <v>84366.979926</v>
      </c>
      <c r="EH7" s="157">
        <f>'BUDGET REVENUE BP 2021-2025'!CP833/1000000</f>
        <v>0</v>
      </c>
      <c r="EI7" s="157">
        <f>'BUDGET REVENUE BP 2021-2025'!CQ833/1000000</f>
        <v>0</v>
      </c>
      <c r="EJ7" s="157">
        <f>'BUDGET REVENUE BP 2021-2025'!CR833/1000000</f>
        <v>264</v>
      </c>
      <c r="EK7" s="157">
        <f>'BUDGET REVENUE BP 2021-2025'!CS833/1000000-34.5000000000005</f>
        <v>587.9188749999995</v>
      </c>
      <c r="EL7" s="157">
        <f>'BUDGET REVENUE BP 2021-2025'!CT833/1000000</f>
        <v>2027.2969000000001</v>
      </c>
      <c r="EM7" s="157">
        <f>'BUDGET REVENUE BP 2021-2025'!CU833/1000000</f>
        <v>1571.5254660000001</v>
      </c>
      <c r="EN7" s="157">
        <v>421.03162170002906</v>
      </c>
      <c r="EO7" s="157">
        <f>'BUDGET REVENUE BP 2021-2025'!CW833/1000000</f>
        <v>0</v>
      </c>
      <c r="EP7" s="157">
        <v>1562.3114956736711</v>
      </c>
      <c r="EQ7" s="157">
        <f>'BUDGET REVENUE BP 2021-2025'!CY833/1000000</f>
        <v>132.19999999999999</v>
      </c>
      <c r="ER7" s="157">
        <v>207.01754385964912</v>
      </c>
      <c r="ES7" s="157">
        <f>'BUDGET REVENUE BP 2021-2025'!DA833/1000000</f>
        <v>0</v>
      </c>
      <c r="ET7" s="157">
        <v>291.65393668093947</v>
      </c>
      <c r="EU7" s="157">
        <f>'BUDGET REVENUE BP 2021-2025'!DC833/1000000</f>
        <v>80</v>
      </c>
      <c r="EV7" s="157">
        <v>1197.5164662476086</v>
      </c>
      <c r="EW7" s="157">
        <f>'BUDGET REVENUE BP 2021-2025'!DE833/1000000</f>
        <v>0</v>
      </c>
      <c r="EX7" s="157">
        <v>3164.2323084112149</v>
      </c>
      <c r="EY7" s="637">
        <f>'BUDGET REVENUE BP 2021-2025'!DG833/1000000</f>
        <v>1480</v>
      </c>
      <c r="EZ7" s="157">
        <f>'BUDGET REVENUE BP 2021-2025'!DH833/1000000</f>
        <v>0</v>
      </c>
      <c r="FA7" s="157">
        <v>3371.8818886792451</v>
      </c>
      <c r="FB7" s="637">
        <f>'BUDGET REVENUE BP 2021-2025'!DJ833/1000000</f>
        <v>1680</v>
      </c>
      <c r="FC7" s="157">
        <f>'BUDGET REVENUE BP 2021-2025'!DK833/1000000</f>
        <v>0</v>
      </c>
      <c r="FD7" s="157">
        <v>1556.0114761664986</v>
      </c>
      <c r="FE7" s="637">
        <f>'BUDGET REVENUE BP 2021-2025'!DM833/1000000</f>
        <v>1715</v>
      </c>
      <c r="FF7" s="157">
        <f>'BUDGET REVENUE BP 2021-2025'!DN833/1000000</f>
        <v>0</v>
      </c>
      <c r="FG7" s="157">
        <v>552.79768786127158</v>
      </c>
      <c r="FH7" s="637">
        <f>'BUDGET REVENUE BP 2021-2025'!DP833/1000000</f>
        <v>1350</v>
      </c>
      <c r="FI7" s="170">
        <f>SUM(EH7,EI7,EK7)</f>
        <v>587.9188749999995</v>
      </c>
      <c r="FJ7" s="170">
        <f>SUM(EM7,EO7,EQ7)</f>
        <v>1703.7254660000001</v>
      </c>
      <c r="FK7" s="170">
        <f>SUM(ES7,EU7,EX7)</f>
        <v>3244.2323084112149</v>
      </c>
      <c r="FL7" s="170">
        <f>SUM(FA7,FD7,FG7)</f>
        <v>5480.6910527070158</v>
      </c>
      <c r="FM7" s="170">
        <f>FI7+FJ7+FK7+FL7</f>
        <v>11016.567702118231</v>
      </c>
      <c r="FN7" s="592">
        <f>EH7+EI7+EK7+EM7+EO7+EQ7+ES7+EU7+EY7+FB7+FE7+FH7</f>
        <v>8596.6443409999993</v>
      </c>
      <c r="FO7" s="157">
        <f>('BUDGET REVENUE BP 2021-2025'!CP624/1000000)+('BUDGET REVENUE CML 2021-2025'!BA342/10^6)-26.9999999999995</f>
        <v>1892.6627360000002</v>
      </c>
      <c r="FP7" s="157">
        <f>('BUDGET REVENUE BP 2021-2025'!CQ624/1000000)+('BUDGET REVENUE CML 2021-2025'!BB342/10^6)</f>
        <v>1770.6424890000001</v>
      </c>
      <c r="FQ7" s="157">
        <f>'BUDGET REVENUE BP 2021-2025'!CR624/1000000</f>
        <v>1736.1969999999999</v>
      </c>
      <c r="FR7" s="157">
        <f>'BUDGET REVENUE BP 2021-2025'!CS624/1000000+71.1660699999993</f>
        <v>1805.8070689999993</v>
      </c>
      <c r="FS7" s="157">
        <f>'BUDGET REVENUE BP 2021-2025'!CT624/1000000</f>
        <v>1219</v>
      </c>
      <c r="FT7" s="157">
        <f>'BUDGET REVENUE BP 2021-2025'!CU624/1000000-2.05719999999974</f>
        <v>1544.0751660000003</v>
      </c>
      <c r="FU7" s="157">
        <v>1861.0025369244138</v>
      </c>
      <c r="FV7" s="157">
        <f>'BUDGET REVENUE BP 2021-2025'!CW624/1000000+129</f>
        <v>1840.0431120000001</v>
      </c>
      <c r="FW7" s="157">
        <v>1469.4341217762449</v>
      </c>
      <c r="FX7" s="157">
        <f>'BUDGET REVENUE BP 2021-2025'!CY624/1000000</f>
        <v>2914.732469</v>
      </c>
      <c r="FY7" s="157">
        <v>1769.7065727558181</v>
      </c>
      <c r="FZ7" s="157">
        <f>'BUDGET REVENUE BP 2021-2025'!DA624/1000000+189</f>
        <v>2679.6586600000001</v>
      </c>
      <c r="GA7" s="157">
        <v>2817.6194882093491</v>
      </c>
      <c r="GB7" s="157">
        <f>'BUDGET REVENUE BP 2021-2025'!DC624/1000000</f>
        <v>2730.3038569999999</v>
      </c>
      <c r="GC7" s="157">
        <v>2843.7324257622308</v>
      </c>
      <c r="GD7" s="157">
        <f>'BUDGET REVENUE BP 2021-2025'!DE624/1000000</f>
        <v>0</v>
      </c>
      <c r="GE7" s="157">
        <v>3430.9868425828708</v>
      </c>
      <c r="GF7" s="637">
        <f>'BUDGET REVENUE BP 2021-2025'!DG624/1000000</f>
        <v>3253</v>
      </c>
      <c r="GG7" s="157">
        <f>'BUDGET REVENUE BP 2021-2025'!DH624/1000000</f>
        <v>0</v>
      </c>
      <c r="GH7" s="157">
        <v>2751.4608915541244</v>
      </c>
      <c r="GI7" s="637">
        <f>'BUDGET REVENUE BP 2021-2025'!DJ624/1000000</f>
        <v>3403</v>
      </c>
      <c r="GJ7" s="157">
        <f>'BUDGET REVENUE BP 2021-2025'!DK624/1000000</f>
        <v>0</v>
      </c>
      <c r="GK7" s="157">
        <v>3335.9212264070961</v>
      </c>
      <c r="GL7" s="637">
        <f>'BUDGET REVENUE BP 2021-2025'!DM624/1000000</f>
        <v>3518</v>
      </c>
      <c r="GM7" s="157">
        <f>'BUDGET REVENUE BP 2021-2025'!DN624/1000000</f>
        <v>0</v>
      </c>
      <c r="GN7" s="157">
        <v>3195.5501994421857</v>
      </c>
      <c r="GO7" s="637">
        <f>'BUDGET REVENUE BP 2021-2025'!DP624/1000000</f>
        <v>3548</v>
      </c>
      <c r="GP7" s="170">
        <f>SUM(FO7,FP7,FR7)</f>
        <v>5469.1122939999996</v>
      </c>
      <c r="GQ7" s="170">
        <f>SUM(FT7,FV7,FX7)</f>
        <v>6298.8507470000004</v>
      </c>
      <c r="GR7" s="170">
        <f>SUM(FZ7,GB7,GE7)</f>
        <v>8840.9493595828717</v>
      </c>
      <c r="GS7" s="170">
        <f>SUM(GH7,GK7,GN7)</f>
        <v>9282.9323174034071</v>
      </c>
      <c r="GT7" s="170">
        <f>GP7+GQ7+GR7+GS7</f>
        <v>29891.844717986278</v>
      </c>
      <c r="GU7" s="592">
        <f>FO7+FP7+FR7+FT7+FV7+FX7+FZ7+GB7+GF7+GI7+GL7+GO7</f>
        <v>30899.925557999999</v>
      </c>
      <c r="GV7" s="157">
        <f>'BUDGET REVENUE TBS 2021'!F68</f>
        <v>1638.43209</v>
      </c>
      <c r="GW7" s="157">
        <f>'BUDGET REVENUE TBS 2021'!G68-217.114188820059</f>
        <v>2567</v>
      </c>
      <c r="GX7" s="157">
        <v>0</v>
      </c>
      <c r="GY7" s="157">
        <f>'BUDGET REVENUE TBS 2021'!J68</f>
        <v>2294.1713630000004</v>
      </c>
      <c r="GZ7" s="157">
        <v>0</v>
      </c>
      <c r="HA7" s="157">
        <f>'BUDGET REVENUE TBS 2021'!N68</f>
        <v>2309.807863</v>
      </c>
      <c r="HB7" s="157">
        <v>2142.91</v>
      </c>
      <c r="HC7" s="157">
        <f>'BUDGET REVENUE TBS 2021'!P68</f>
        <v>1842.6506469999999</v>
      </c>
      <c r="HD7" s="157">
        <v>2121.3940000000002</v>
      </c>
      <c r="HE7" s="157">
        <f>'BUDGET REVENUE TBS 2021'!S68</f>
        <v>2092.5615040000002</v>
      </c>
      <c r="HF7" s="157">
        <v>4207.3680000000004</v>
      </c>
      <c r="HG7" s="157">
        <f>'BUDGET REVENUE TBS 2021'!Y68</f>
        <v>2000.1727010000002</v>
      </c>
      <c r="HH7" s="157">
        <v>3038.5269518400414</v>
      </c>
      <c r="HI7" s="157">
        <f>'BUDGET REVENUE TBS 2021'!AB68</f>
        <v>1811.0670500000001</v>
      </c>
      <c r="HJ7" s="157">
        <v>3065.1919192196415</v>
      </c>
      <c r="HK7" s="157">
        <f>'BUDGET REVENUE TBS 2021'!AE68</f>
        <v>0</v>
      </c>
      <c r="HL7" s="157">
        <v>3226.8610490176902</v>
      </c>
      <c r="HM7" s="637">
        <f>'BUDGET REVENUE TBS 2021'!AG68</f>
        <v>1819.7425999999998</v>
      </c>
      <c r="HN7" s="157">
        <f>'BUDGET REVENUE TBS 2021'!AL68</f>
        <v>0</v>
      </c>
      <c r="HO7" s="157">
        <v>3390.0343516402349</v>
      </c>
      <c r="HP7" s="637">
        <f>'BUDGET REVENUE TBS 2021'!AN68</f>
        <v>2825.3311111111107</v>
      </c>
      <c r="HQ7" s="157">
        <f>'BUDGET REVENUE TBS 2021'!AP68</f>
        <v>0</v>
      </c>
      <c r="HR7" s="157">
        <v>3402.7118375193349</v>
      </c>
      <c r="HS7" s="637">
        <f>'BUDGET REVENUE TBS 2021'!AR68</f>
        <v>2340.0411111111111</v>
      </c>
      <c r="HT7" s="157">
        <f>'BUDGET REVENUE TBS 2021'!AT68</f>
        <v>0</v>
      </c>
      <c r="HU7" s="157">
        <v>3431.8935171131334</v>
      </c>
      <c r="HV7" s="637">
        <f>'BUDGET REVENUE TBS 2021'!AV68</f>
        <v>2083.8211111111109</v>
      </c>
      <c r="HW7" s="170">
        <f>SUM(GV7,GW7,GY7)</f>
        <v>6499.6034530000006</v>
      </c>
      <c r="HX7" s="170">
        <f>SUM(HA7,HC7,HE7)</f>
        <v>6245.0200140000006</v>
      </c>
      <c r="HY7" s="170">
        <f>SUM(HG7,HI7,HL7)</f>
        <v>7038.1008000176898</v>
      </c>
      <c r="HZ7" s="170">
        <f>SUM(HO7,HR7,HU7)</f>
        <v>10224.639706272705</v>
      </c>
      <c r="IA7" s="170">
        <f>HW7+HX7+HY7+HZ7</f>
        <v>30007.363973290398</v>
      </c>
      <c r="IB7" s="592">
        <f>GV7+GW7+GY7+HA7+HC7+HE7+HG7+HI7+HM7+HP7+HS7+HV7</f>
        <v>25624.799151333336</v>
      </c>
      <c r="IC7" s="578">
        <v>1589.842948</v>
      </c>
      <c r="ID7" s="578">
        <v>1730.7087859999999</v>
      </c>
      <c r="IE7" s="578">
        <f>ID7</f>
        <v>1730.7087859999999</v>
      </c>
      <c r="IF7" s="578">
        <v>1750.7055809999999</v>
      </c>
      <c r="IG7" s="578">
        <f>IF7</f>
        <v>1750.7055809999999</v>
      </c>
      <c r="IH7" s="578">
        <v>1720.604685</v>
      </c>
      <c r="II7" s="578">
        <v>1749.0000000000002</v>
      </c>
      <c r="IJ7" s="578">
        <v>1497.091398</v>
      </c>
      <c r="IK7" s="578">
        <v>1749.0000000000002</v>
      </c>
      <c r="IL7" s="578">
        <v>1683.5309540000001</v>
      </c>
      <c r="IM7" s="578">
        <v>1749.0000000000002</v>
      </c>
      <c r="IN7" s="578">
        <v>1590.1190779999999</v>
      </c>
      <c r="IO7" s="578">
        <v>1765.4932143405001</v>
      </c>
      <c r="IP7" s="578">
        <v>1724.252054</v>
      </c>
      <c r="IQ7" s="578">
        <v>1765.4932143405001</v>
      </c>
      <c r="IR7" s="578"/>
      <c r="IS7" s="578">
        <v>1765.4932143405001</v>
      </c>
      <c r="IT7" s="637">
        <f>IS7</f>
        <v>1765.4932143405001</v>
      </c>
      <c r="IU7" s="578"/>
      <c r="IV7" s="578">
        <v>1765.4932143405001</v>
      </c>
      <c r="IW7" s="637">
        <f>IV7</f>
        <v>1765.4932143405001</v>
      </c>
      <c r="IX7" s="578"/>
      <c r="IY7" s="578">
        <v>1765.4932143405001</v>
      </c>
      <c r="IZ7" s="637">
        <f>IY7</f>
        <v>1765.4932143405001</v>
      </c>
      <c r="JA7" s="578"/>
      <c r="JB7" s="578">
        <v>1765.4932143405001</v>
      </c>
      <c r="JC7" s="637">
        <f>JB7</f>
        <v>1765.4932143405001</v>
      </c>
      <c r="JD7" s="170">
        <f>SUM(IC7,ID7,IG7)</f>
        <v>5071.2573149999998</v>
      </c>
      <c r="JE7" s="170">
        <f>SUM(IH7,IJ7,IL7)</f>
        <v>4901.2270369999997</v>
      </c>
      <c r="JF7" s="170">
        <f>SUM(IN7,IP7,IS7)</f>
        <v>5079.8643463405006</v>
      </c>
      <c r="JG7" s="170">
        <f>SUM(IV7,IY7,JB7)</f>
        <v>5296.4796430215001</v>
      </c>
      <c r="JH7" s="170">
        <f>JD7+JE7+JF7+JG7</f>
        <v>20348.828341362001</v>
      </c>
      <c r="JI7" s="592">
        <f>IC7+ID7+IF7+IH7+IJ7+IL7+IN7+IP7+IT7+IW7+IZ7+JC7</f>
        <v>20348.828341361997</v>
      </c>
      <c r="JJ7" s="576">
        <v>-461.22300000000001</v>
      </c>
      <c r="JK7" s="576">
        <v>-633.92826500000001</v>
      </c>
      <c r="JL7" s="576">
        <f>JM7</f>
        <v>-438.40600000000001</v>
      </c>
      <c r="JM7" s="576">
        <v>-438.40600000000001</v>
      </c>
      <c r="JN7" s="576">
        <f>JO7</f>
        <v>-448.74567300000001</v>
      </c>
      <c r="JO7" s="576">
        <v>-448.74567300000001</v>
      </c>
      <c r="JP7" s="576">
        <v>-634</v>
      </c>
      <c r="JQ7" s="576">
        <v>-427.40750000000003</v>
      </c>
      <c r="JR7" s="576">
        <v>-634</v>
      </c>
      <c r="JS7" s="576">
        <v>-432.95230800000002</v>
      </c>
      <c r="JT7" s="576">
        <v>-634</v>
      </c>
      <c r="JU7" s="576">
        <v>-431.05950000000001</v>
      </c>
      <c r="JV7" s="576">
        <v>-1061.33927421095</v>
      </c>
      <c r="JW7" s="596">
        <v>-432.18549999999999</v>
      </c>
      <c r="JX7" s="576">
        <v>-1171.4024445256</v>
      </c>
      <c r="JY7" s="596"/>
      <c r="JZ7" s="576">
        <v>-1139.34973912635</v>
      </c>
      <c r="KA7" s="596"/>
      <c r="KB7" s="576">
        <v>-1143.9785733566098</v>
      </c>
      <c r="KC7" s="596"/>
      <c r="KD7" s="576">
        <v>-1162.39459878912</v>
      </c>
      <c r="KE7" s="596"/>
      <c r="KF7" s="576">
        <v>-1130.9643490446797</v>
      </c>
      <c r="KG7" s="170">
        <f>SUM(JJ7,JK7,JN7)</f>
        <v>-1543.8969379999999</v>
      </c>
      <c r="KH7" s="170">
        <f>SUM(JO7,JQ7,JS7)</f>
        <v>-1309.1054810000001</v>
      </c>
      <c r="KI7" s="170">
        <f>SUM(JU7,JW7,JZ7)</f>
        <v>-2002.5947391263499</v>
      </c>
      <c r="KJ7" s="170">
        <f>SUM(KB7,KD7,KF7)</f>
        <v>-3437.3375211904095</v>
      </c>
      <c r="KK7" s="170">
        <f>KG7+KH7+KI7+KJ7</f>
        <v>-8292.9346793167588</v>
      </c>
      <c r="KL7" s="157">
        <f t="shared" ref="KL7:KU10" si="0">SUM(F7,AM7,BT7,DA7,EH7,FO7,GV7,IC7,JJ7)</f>
        <v>16977.400290000001</v>
      </c>
      <c r="KM7" s="157">
        <f t="shared" si="0"/>
        <v>17859.752182</v>
      </c>
      <c r="KN7" s="157">
        <f t="shared" si="0"/>
        <v>16278.854691999999</v>
      </c>
      <c r="KO7" s="157">
        <f t="shared" si="0"/>
        <v>22036.308872000001</v>
      </c>
      <c r="KP7" s="157">
        <f t="shared" si="0"/>
        <v>20661.976008999998</v>
      </c>
      <c r="KQ7" s="157">
        <f t="shared" si="0"/>
        <v>22147.765684999995</v>
      </c>
      <c r="KR7" s="157">
        <f t="shared" si="0"/>
        <v>21726.539046107529</v>
      </c>
      <c r="KS7" s="157">
        <f t="shared" si="0"/>
        <v>16036.143213000001</v>
      </c>
      <c r="KT7" s="157">
        <f t="shared" si="0"/>
        <v>22456.909415024624</v>
      </c>
      <c r="KU7" s="157">
        <f t="shared" si="0"/>
        <v>19696.466101000002</v>
      </c>
      <c r="KV7" s="157">
        <f t="shared" ref="KV7:LB10" si="1">SUM(P7,AW7,CD7,DK7,ER7,FY7,HF7,IM7,JT7)</f>
        <v>24195.356949335146</v>
      </c>
      <c r="KW7" s="157">
        <f t="shared" si="1"/>
        <v>18751.263379</v>
      </c>
      <c r="KX7" s="157">
        <f t="shared" si="1"/>
        <v>24096.635246496739</v>
      </c>
      <c r="KY7" s="157">
        <f t="shared" si="1"/>
        <v>21336.308754000001</v>
      </c>
      <c r="KZ7" s="157">
        <f t="shared" si="1"/>
        <v>26607.813846993842</v>
      </c>
      <c r="LA7" s="157">
        <f t="shared" si="1"/>
        <v>0</v>
      </c>
      <c r="LB7" s="157">
        <f t="shared" si="1"/>
        <v>28408.67312218716</v>
      </c>
      <c r="LC7" s="637">
        <f t="shared" ref="LC7:LE10" si="2">SUM(W7,BD7,CK7,DR7,EY7,GF7,HM7,IT7,JZ7)</f>
        <v>25531.674296214151</v>
      </c>
      <c r="LD7" s="157">
        <f t="shared" si="2"/>
        <v>0</v>
      </c>
      <c r="LE7" s="157">
        <f t="shared" si="2"/>
        <v>27985.070579977848</v>
      </c>
      <c r="LF7" s="637">
        <f t="shared" ref="LF7:LH10" si="3">SUM(Z7,BG7,CN7,DU7,FB7,GI7,HP7,IW7,KB7)</f>
        <v>27754.133973094999</v>
      </c>
      <c r="LG7" s="157">
        <f t="shared" si="3"/>
        <v>0</v>
      </c>
      <c r="LH7" s="157">
        <f t="shared" si="3"/>
        <v>26500.0418320881</v>
      </c>
      <c r="LI7" s="637">
        <f t="shared" ref="LI7:LK10" si="4">SUM(AC7,BJ7,CQ7,DX7,FE7,GL7,HS7,IZ7,KD7)</f>
        <v>28115.927947662487</v>
      </c>
      <c r="LJ7" s="157">
        <f t="shared" si="4"/>
        <v>0</v>
      </c>
      <c r="LK7" s="157">
        <f t="shared" si="4"/>
        <v>27143.970913626385</v>
      </c>
      <c r="LL7" s="637">
        <f>SUM(AF7,BM7,CT7,EA7,FH7,GO7,HV7,JC7,KF7)</f>
        <v>28161.446197406931</v>
      </c>
      <c r="LM7" s="170">
        <f>SUM(KL7,KM7,KO7)</f>
        <v>56873.461344000003</v>
      </c>
      <c r="LN7" s="170">
        <f>SUM(KQ7,KS7,KU7)</f>
        <v>57880.374998999992</v>
      </c>
      <c r="LO7" s="170">
        <f>SUM(KW7,KY7,LB7)</f>
        <v>68496.245255187154</v>
      </c>
      <c r="LP7" s="170">
        <f>SUM(LE7,LH7,LK7)</f>
        <v>81629.083325692336</v>
      </c>
      <c r="LQ7" s="170">
        <f>LM7+LN7+LO7+LP7</f>
        <v>264879.16492387949</v>
      </c>
      <c r="LR7" s="592">
        <f>KL7+KM7+KO7+KQ7+KS7+KU7+KW7+KY7+LC7+LF7+LI7+LL7</f>
        <v>264404.59089037857</v>
      </c>
      <c r="LS7" s="681"/>
      <c r="LT7" s="681"/>
      <c r="LU7" s="167">
        <f>SUM(AG7,BN7,CU7,EB7,FI7,GP7,HW7)</f>
        <v>53335.761294000004</v>
      </c>
    </row>
    <row r="8" spans="1:335">
      <c r="A8" s="143" t="s">
        <v>308</v>
      </c>
      <c r="B8" s="143"/>
      <c r="C8" s="143"/>
      <c r="D8" s="143"/>
      <c r="E8" s="143"/>
      <c r="F8" s="157">
        <f>'BUDGET REVENUE CML 2021-2025'!BA169/10^6</f>
        <v>879.65052300000002</v>
      </c>
      <c r="G8" s="157">
        <f>'BUDGET REVENUE CML 2021-2025'!BB169/10^6</f>
        <v>986.75852499999996</v>
      </c>
      <c r="H8" s="157">
        <f>'BUDGET REVENUE CML 2021-2025'!BC169/10^6</f>
        <v>881.86172799999997</v>
      </c>
      <c r="I8" s="157">
        <f>'BUDGET REVENUE CML 2021-2025'!BD169/10^6</f>
        <v>957.99112200000002</v>
      </c>
      <c r="J8" s="157">
        <f>'BUDGET REVENUE CML 2021-2025'!BE169/10^6</f>
        <v>926.53749500000004</v>
      </c>
      <c r="K8" s="157">
        <f>'BUDGET REVENUE CML 2021-2025'!BF169/10^6</f>
        <v>922.71155199999998</v>
      </c>
      <c r="L8" s="157">
        <v>1088.7246096779177</v>
      </c>
      <c r="M8" s="157">
        <f>'BUDGET REVENUE CML 2021-2025'!BH169/10^6</f>
        <v>913.58542799999998</v>
      </c>
      <c r="N8" s="157">
        <v>1204.7275638629649</v>
      </c>
      <c r="O8" s="157">
        <f>'BUDGET REVENUE CML 2021-2025'!BJ169/10^6</f>
        <v>1012.531575</v>
      </c>
      <c r="P8" s="578">
        <v>1276.9364863166563</v>
      </c>
      <c r="Q8" s="157">
        <f>'BUDGET REVENUE CML 2021-2025'!BL169/10^6</f>
        <v>864.33399099999997</v>
      </c>
      <c r="R8" s="578">
        <f t="shared" ref="R8:T10" si="5">R18</f>
        <v>1353.7642231500001</v>
      </c>
      <c r="S8" s="578">
        <f>'BUDGET REVENUE CML 2021-2025'!BN169/10^6</f>
        <v>753.43856200000005</v>
      </c>
      <c r="T8" s="578">
        <f t="shared" si="5"/>
        <v>1353.7642231500001</v>
      </c>
      <c r="U8" s="578">
        <f>'BUDGET REVENUE CML 2021-2025'!BP169/10^6</f>
        <v>0</v>
      </c>
      <c r="V8" s="578">
        <f>V18</f>
        <v>1353.7642231500001</v>
      </c>
      <c r="W8" s="637">
        <f>'BUDGET REVENUE CML 2021-2025'!BR169/10^6</f>
        <v>1179.8440000000001</v>
      </c>
      <c r="X8" s="578">
        <f>'BUDGET REVENUE CML 2021-2025'!BS169/10^6</f>
        <v>0</v>
      </c>
      <c r="Y8" s="578">
        <f>Y18</f>
        <v>1448.7642231500001</v>
      </c>
      <c r="Z8" s="637">
        <f>'BUDGET REVENUE CML 2021-2025'!BU169/10^6</f>
        <v>1365.8440000000001</v>
      </c>
      <c r="AA8" s="578">
        <f>'BUDGET REVENUE CML 2021-2025'!BV169/10^6</f>
        <v>0</v>
      </c>
      <c r="AB8" s="578">
        <f>AB18</f>
        <v>1448.7642231500001</v>
      </c>
      <c r="AC8" s="637">
        <f>'BUDGET REVENUE CML 2021-2025'!BX169/10^6</f>
        <v>1391.8440000000001</v>
      </c>
      <c r="AD8" s="578">
        <f>'BUDGET REVENUE CML 2021-2025'!BY169/10^6</f>
        <v>0</v>
      </c>
      <c r="AE8" s="578">
        <f>AE18</f>
        <v>1448.7642231500001</v>
      </c>
      <c r="AF8" s="637">
        <f>'BUDGET REVENUE CML 2021-2025'!CA169/10^6</f>
        <v>1411.8440000000001</v>
      </c>
      <c r="AG8" s="170">
        <f>SUM(F8,G8,I8)</f>
        <v>2824.4001699999999</v>
      </c>
      <c r="AH8" s="170">
        <f>SUM(K8,M8,O8)</f>
        <v>2848.8285550000001</v>
      </c>
      <c r="AI8" s="170">
        <f>SUM(Q8,S8,V8)</f>
        <v>2971.5367761500002</v>
      </c>
      <c r="AJ8" s="170">
        <f>SUM(Y8,AB8,AE8)</f>
        <v>4346.2926694500002</v>
      </c>
      <c r="AK8" s="170">
        <f>AG8+AH8+AI8+AJ8</f>
        <v>12991.058170599999</v>
      </c>
      <c r="AL8" s="592">
        <f>F8+G8+I8+K8+M8+O8+Q8+S8+W8+Z8+AC8+AF8</f>
        <v>12640.377278000004</v>
      </c>
      <c r="AM8" s="157">
        <f>'BUDGET REVENUE CML 2021-2025'!BA293/10^6</f>
        <v>0</v>
      </c>
      <c r="AN8" s="157">
        <f>'BUDGET REVENUE CML 2021-2025'!BB293/10^6</f>
        <v>0</v>
      </c>
      <c r="AO8" s="157">
        <f>'BUDGET REVENUE CML 2021-2025'!BC293/10^6</f>
        <v>0</v>
      </c>
      <c r="AP8" s="157">
        <f>'BUDGET REVENUE CML 2021-2025'!BD293/10^6</f>
        <v>0</v>
      </c>
      <c r="AQ8" s="157">
        <f>'BUDGET REVENUE CML 2021-2025'!BE293/10^6</f>
        <v>0</v>
      </c>
      <c r="AR8" s="157">
        <f>'BUDGET REVENUE CML 2021-2025'!BF293/10^6</f>
        <v>0</v>
      </c>
      <c r="AS8" s="157">
        <v>0</v>
      </c>
      <c r="AT8" s="157">
        <f>'BUDGET REVENUE CML 2021-2025'!BH293/10^6</f>
        <v>0</v>
      </c>
      <c r="AU8" s="157">
        <v>0</v>
      </c>
      <c r="AV8" s="157">
        <f>'BUDGET REVENUE CML 2021-2025'!BJ293/10^6</f>
        <v>0</v>
      </c>
      <c r="AW8" s="157">
        <v>0</v>
      </c>
      <c r="AX8" s="157">
        <f>'BUDGET REVENUE CML 2021-2025'!BL293/10^6</f>
        <v>0</v>
      </c>
      <c r="AY8" s="157">
        <f>AY18</f>
        <v>0</v>
      </c>
      <c r="AZ8" s="157">
        <f>'BUDGET REVENUE CML 2021-2025'!BN293/10^6</f>
        <v>0</v>
      </c>
      <c r="BA8" s="157">
        <f>BA18</f>
        <v>0</v>
      </c>
      <c r="BB8" s="157">
        <f>'BUDGET REVENUE CML 2021-2025'!BP293/10^6</f>
        <v>0</v>
      </c>
      <c r="BC8" s="157">
        <f>BC18</f>
        <v>0</v>
      </c>
      <c r="BD8" s="637">
        <f>'BUDGET REVENUE CML 2021-2025'!BR293/10^6</f>
        <v>0</v>
      </c>
      <c r="BE8" s="157">
        <f>'BUDGET REVENUE CML 2021-2025'!BS293/10^6</f>
        <v>0</v>
      </c>
      <c r="BF8" s="157">
        <f>BF18</f>
        <v>0</v>
      </c>
      <c r="BG8" s="637">
        <f>'BUDGET REVENUE CML 2021-2025'!BU293/10^6</f>
        <v>0</v>
      </c>
      <c r="BH8" s="157">
        <f>'BUDGET REVENUE CML 2021-2025'!BV293/10^6</f>
        <v>0</v>
      </c>
      <c r="BI8" s="157">
        <f>BI18</f>
        <v>0</v>
      </c>
      <c r="BJ8" s="637">
        <f>'BUDGET REVENUE CML 2021-2025'!BX293/10^6</f>
        <v>0</v>
      </c>
      <c r="BK8" s="157">
        <f>'BUDGET REVENUE CML 2021-2025'!BY293/10^6</f>
        <v>0</v>
      </c>
      <c r="BL8" s="157">
        <f>BL18</f>
        <v>0</v>
      </c>
      <c r="BM8" s="637">
        <f>'BUDGET REVENUE CML 2021-2025'!CA293/10^6</f>
        <v>0</v>
      </c>
      <c r="BN8" s="170">
        <f>SUM(AM8,AN8,AP8)</f>
        <v>0</v>
      </c>
      <c r="BO8" s="170">
        <f>SUM(AR8,AT8,AV8)</f>
        <v>0</v>
      </c>
      <c r="BP8" s="170">
        <f>SUM(AX8,AZ8,BC8)</f>
        <v>0</v>
      </c>
      <c r="BQ8" s="170">
        <f>SUM(BF8,BI8,BL8)</f>
        <v>0</v>
      </c>
      <c r="BR8" s="170">
        <f>BN8+BO8+BP8+BQ8</f>
        <v>0</v>
      </c>
      <c r="BS8" s="592">
        <f>AM8+AN8+AP8+AR8+AT8+AV8+AX8+AZ8+BD8+BG8+BJ8+BM8</f>
        <v>0</v>
      </c>
      <c r="BT8" s="157">
        <v>0</v>
      </c>
      <c r="BU8" s="157">
        <v>0</v>
      </c>
      <c r="BV8" s="157">
        <v>0</v>
      </c>
      <c r="BW8" s="157">
        <v>0</v>
      </c>
      <c r="BX8" s="157">
        <v>0</v>
      </c>
      <c r="BY8" s="157">
        <v>0</v>
      </c>
      <c r="BZ8" s="157">
        <v>0</v>
      </c>
      <c r="CA8" s="157">
        <v>0</v>
      </c>
      <c r="CB8" s="157">
        <v>0</v>
      </c>
      <c r="CC8" s="157">
        <v>0</v>
      </c>
      <c r="CD8" s="157">
        <v>0</v>
      </c>
      <c r="CE8" s="157">
        <v>0</v>
      </c>
      <c r="CF8" s="157">
        <v>0</v>
      </c>
      <c r="CG8" s="157">
        <v>0</v>
      </c>
      <c r="CH8" s="157">
        <v>0</v>
      </c>
      <c r="CI8" s="157">
        <v>0</v>
      </c>
      <c r="CJ8" s="157">
        <v>0</v>
      </c>
      <c r="CK8" s="637"/>
      <c r="CL8" s="157">
        <v>0</v>
      </c>
      <c r="CM8" s="157">
        <v>0</v>
      </c>
      <c r="CN8" s="637"/>
      <c r="CO8" s="157">
        <v>0</v>
      </c>
      <c r="CP8" s="157">
        <v>0</v>
      </c>
      <c r="CQ8" s="637"/>
      <c r="CR8" s="157">
        <v>0</v>
      </c>
      <c r="CS8" s="157">
        <v>0</v>
      </c>
      <c r="CT8" s="637"/>
      <c r="CU8" s="170">
        <f>SUM(BT8,BU8,BW8)</f>
        <v>0</v>
      </c>
      <c r="CV8" s="170">
        <f>SUM(BY8,CA8,CC8)</f>
        <v>0</v>
      </c>
      <c r="CW8" s="170">
        <f>SUM(CE8,CG8,CJ8)</f>
        <v>0</v>
      </c>
      <c r="CX8" s="170">
        <f>SUM(CM8,CP8,CS8)</f>
        <v>0</v>
      </c>
      <c r="CY8" s="170">
        <f>CU8+CV8+CW8+CX8</f>
        <v>0</v>
      </c>
      <c r="CZ8" s="592">
        <f>BT8+BU8+BW8+BY8+CA8+CC8+CE8+CG8+CK8+CN8+CQ8+CT8</f>
        <v>0</v>
      </c>
      <c r="DA8" s="157">
        <f>'BUDGET REVENUE BP 2021-2025'!CP295/1000000</f>
        <v>1533.7662789999999</v>
      </c>
      <c r="DB8" s="157">
        <f>'BUDGET REVENUE BP 2021-2025'!CQ295/1000000</f>
        <v>1515.123883</v>
      </c>
      <c r="DC8" s="157">
        <f>'BUDGET REVENUE BP 2021-2025'!CR295/1000000</f>
        <v>1426.575051</v>
      </c>
      <c r="DD8" s="157">
        <f>'BUDGET REVENUE BP 2021-2025'!CS295/1000000</f>
        <v>1095.505962</v>
      </c>
      <c r="DE8" s="157">
        <f>'BUDGET REVENUE BP 2021-2025'!CT295/1000000</f>
        <v>1523</v>
      </c>
      <c r="DF8" s="157">
        <f>'BUDGET REVENUE BP 2021-2025'!CU295/1000000</f>
        <v>976.20256500000005</v>
      </c>
      <c r="DG8" s="157">
        <v>1536.5242586138966</v>
      </c>
      <c r="DH8" s="157">
        <f>'BUDGET REVENUE BP 2021-2025'!CW295/1000000</f>
        <v>830.95003299999996</v>
      </c>
      <c r="DI8" s="157">
        <v>1203.7445320014231</v>
      </c>
      <c r="DJ8" s="157">
        <f>'BUDGET REVENUE BP 2021-2025'!CY295/1000000</f>
        <v>1358.5606029999999</v>
      </c>
      <c r="DK8" s="157">
        <v>1331.0043530621051</v>
      </c>
      <c r="DL8" s="157">
        <f>'BUDGET REVENUE BP 2021-2025'!DA295/1000000</f>
        <v>869.446146</v>
      </c>
      <c r="DM8" s="157">
        <v>1444.2590174477962</v>
      </c>
      <c r="DN8" s="157">
        <f>'BUDGET REVENUE BP 2021-2025'!DC295/1000000</f>
        <v>1203.626442</v>
      </c>
      <c r="DO8" s="157">
        <v>1613.9653300141561</v>
      </c>
      <c r="DP8" s="157">
        <f>'BUDGET REVENUE BP 2021-2025'!DE295/1000000</f>
        <v>0</v>
      </c>
      <c r="DQ8" s="157">
        <v>1743.8782944172215</v>
      </c>
      <c r="DR8" s="637">
        <f>'BUDGET REVENUE BP 2021-2025'!DG295/1000000</f>
        <v>1975</v>
      </c>
      <c r="DS8" s="157">
        <f>'BUDGET REVENUE BP 2021-2025'!DH295/1000000</f>
        <v>0</v>
      </c>
      <c r="DT8" s="157">
        <v>1755.4858962135138</v>
      </c>
      <c r="DU8" s="637">
        <f>'BUDGET REVENUE BP 2021-2025'!DJ295/1000000</f>
        <v>2025</v>
      </c>
      <c r="DV8" s="157">
        <f>'BUDGET REVENUE BP 2021-2025'!DK295/1000000</f>
        <v>0</v>
      </c>
      <c r="DW8" s="157">
        <v>1679.2957364258261</v>
      </c>
      <c r="DX8" s="637">
        <f>'BUDGET REVENUE BP 2021-2025'!DM295/1000000</f>
        <v>2015</v>
      </c>
      <c r="DY8" s="157">
        <f>'BUDGET REVENUE BP 2021-2025'!DN295/1000000</f>
        <v>0</v>
      </c>
      <c r="DZ8" s="157">
        <v>1650.8826435023382</v>
      </c>
      <c r="EA8" s="637">
        <f>'BUDGET REVENUE BP 2021-2025'!DP295/1000000</f>
        <v>1995</v>
      </c>
      <c r="EB8" s="170">
        <f>SUM(DA8,DB8,DD8)</f>
        <v>4144.3961239999999</v>
      </c>
      <c r="EC8" s="170">
        <f>SUM(DF8,DH8,DJ8)</f>
        <v>3165.713201</v>
      </c>
      <c r="ED8" s="170">
        <f>SUM(DL8,DN8,DQ8)</f>
        <v>3816.9508824172217</v>
      </c>
      <c r="EE8" s="170">
        <f>SUM(DT8,DW8,DZ8)</f>
        <v>5085.6642761416779</v>
      </c>
      <c r="EF8" s="170">
        <f>EB8+EC8+ED8+EE8</f>
        <v>16212.724483558897</v>
      </c>
      <c r="EG8" s="592">
        <f>DA8+DB8+DD8+DF8+DH8+DJ8+DL8+DN8+DR8+DU8+DX8+EA8</f>
        <v>17393.181913</v>
      </c>
      <c r="EH8" s="157">
        <v>0</v>
      </c>
      <c r="EI8" s="157">
        <v>0</v>
      </c>
      <c r="EJ8" s="157">
        <v>0</v>
      </c>
      <c r="EK8" s="157">
        <v>0</v>
      </c>
      <c r="EL8" s="157">
        <v>0</v>
      </c>
      <c r="EM8" s="157">
        <v>0</v>
      </c>
      <c r="EN8" s="157">
        <v>0</v>
      </c>
      <c r="EO8" s="157">
        <v>0</v>
      </c>
      <c r="EP8" s="157">
        <v>0</v>
      </c>
      <c r="EQ8" s="157">
        <v>0</v>
      </c>
      <c r="ER8" s="157">
        <v>0</v>
      </c>
      <c r="ES8" s="157">
        <v>0</v>
      </c>
      <c r="ET8" s="157">
        <v>0</v>
      </c>
      <c r="EU8" s="157">
        <v>0</v>
      </c>
      <c r="EV8" s="157">
        <v>0</v>
      </c>
      <c r="EW8" s="157">
        <v>0</v>
      </c>
      <c r="EX8" s="157">
        <v>0</v>
      </c>
      <c r="EY8" s="637"/>
      <c r="EZ8" s="157">
        <v>0</v>
      </c>
      <c r="FA8" s="157">
        <v>0</v>
      </c>
      <c r="FB8" s="637"/>
      <c r="FC8" s="157">
        <v>0</v>
      </c>
      <c r="FD8" s="157">
        <v>0</v>
      </c>
      <c r="FE8" s="637"/>
      <c r="FF8" s="157">
        <v>0</v>
      </c>
      <c r="FG8" s="157">
        <v>0</v>
      </c>
      <c r="FH8" s="637"/>
      <c r="FI8" s="170">
        <f>SUM(EH8,EI8,EK8)</f>
        <v>0</v>
      </c>
      <c r="FJ8" s="170">
        <f>SUM(EM8,EO8,EQ8)</f>
        <v>0</v>
      </c>
      <c r="FK8" s="170">
        <f>SUM(ES8,EU8,EX8)</f>
        <v>0</v>
      </c>
      <c r="FL8" s="170">
        <f>SUM(FA8,FD8,FG8)</f>
        <v>0</v>
      </c>
      <c r="FM8" s="170">
        <f>FI8+FJ8+FK8+FL8</f>
        <v>0</v>
      </c>
      <c r="FN8" s="592">
        <f>EH8+EI8+EK8+EM8+EO8+EQ8+ES8+EU8+EY8+FB8+FE8+FH8</f>
        <v>0</v>
      </c>
      <c r="FO8" s="157">
        <f>('BUDGET REVENUE BP 2021-2025'!CP655/1000000)+('BUDGET REVENUE CML 2021-2025'!BA344/10^6)</f>
        <v>145.02555000000001</v>
      </c>
      <c r="FP8" s="157">
        <f>'BUDGET REVENUE BP 2021-2025'!CQ655/1000000</f>
        <v>196.58661599999999</v>
      </c>
      <c r="FQ8" s="157">
        <f>'BUDGET REVENUE BP 2021-2025'!CR655/1000000</f>
        <v>196</v>
      </c>
      <c r="FR8" s="157">
        <f>'BUDGET REVENUE BP 2021-2025'!CS655/1000000</f>
        <v>291.44792100000001</v>
      </c>
      <c r="FS8" s="157">
        <f>'BUDGET REVENUE BP 2021-2025'!CT655/1000000</f>
        <v>223</v>
      </c>
      <c r="FT8" s="157">
        <f>'BUDGET REVENUE BP 2021-2025'!CU655/1000000</f>
        <v>355.49098600000002</v>
      </c>
      <c r="FU8" s="157">
        <v>375.57101650738491</v>
      </c>
      <c r="FV8" s="157">
        <f>'BUDGET REVENUE BP 2021-2025'!CW655/1000000</f>
        <v>280.68534</v>
      </c>
      <c r="FW8" s="157">
        <v>348.79060225404953</v>
      </c>
      <c r="FX8" s="157">
        <f>'BUDGET REVENUE BP 2021-2025'!CY655/1000000</f>
        <v>356.585869</v>
      </c>
      <c r="FY8" s="157">
        <v>299.21603140896246</v>
      </c>
      <c r="FZ8" s="157">
        <f>'BUDGET REVENUE BP 2021-2025'!DA655/1000000</f>
        <v>410.27898299999998</v>
      </c>
      <c r="GA8" s="157">
        <v>484.59246173484115</v>
      </c>
      <c r="GB8" s="157">
        <f>'BUDGET REVENUE BP 2021-2025'!DC655/1000000</f>
        <v>354.91984300000001</v>
      </c>
      <c r="GC8" s="157">
        <v>393.12690944735942</v>
      </c>
      <c r="GD8" s="157">
        <f>'BUDGET REVENUE BP 2021-2025'!DE655/1000000</f>
        <v>0</v>
      </c>
      <c r="GE8" s="157">
        <v>406.78021586926093</v>
      </c>
      <c r="GF8" s="637">
        <f>'BUDGET REVENUE BP 2021-2025'!DG655/1000000</f>
        <v>418</v>
      </c>
      <c r="GG8" s="157">
        <f>'BUDGET REVENUE BP 2021-2025'!DH655/1000000</f>
        <v>0</v>
      </c>
      <c r="GH8" s="157">
        <v>432.60181542457576</v>
      </c>
      <c r="GI8" s="637">
        <f>'BUDGET REVENUE BP 2021-2025'!DJ655/1000000</f>
        <v>418</v>
      </c>
      <c r="GJ8" s="157">
        <f>'BUDGET REVENUE BP 2021-2025'!DK655/1000000</f>
        <v>0</v>
      </c>
      <c r="GK8" s="157">
        <v>504.57461086342477</v>
      </c>
      <c r="GL8" s="637">
        <f>'BUDGET REVENUE BP 2021-2025'!DM655/1000000</f>
        <v>418</v>
      </c>
      <c r="GM8" s="157">
        <f>'BUDGET REVENUE BP 2021-2025'!DN655/1000000</f>
        <v>0</v>
      </c>
      <c r="GN8" s="157">
        <v>435.84335656477697</v>
      </c>
      <c r="GO8" s="637">
        <f>'BUDGET REVENUE BP 2021-2025'!DP655/1000000</f>
        <v>418</v>
      </c>
      <c r="GP8" s="580">
        <f>SUM(FO8,FP8,FR8)</f>
        <v>633.06008700000007</v>
      </c>
      <c r="GQ8" s="580">
        <f>SUM(FT8,FV8,FX8)</f>
        <v>992.76219500000002</v>
      </c>
      <c r="GR8" s="170">
        <f>SUM(FZ8,GB8,GE8)</f>
        <v>1171.979041869261</v>
      </c>
      <c r="GS8" s="580">
        <f>SUM(GH8,GK8,GN8)</f>
        <v>1373.0197828527776</v>
      </c>
      <c r="GT8" s="170">
        <f>GP8+GQ8+GR8+GS8</f>
        <v>4170.8211067220382</v>
      </c>
      <c r="GU8" s="592">
        <f>FO8+FP8+FR8+FT8+FV8+FX8+FZ8+GB8+GF8+GI8+GL8+GO8</f>
        <v>4063.0211079999999</v>
      </c>
      <c r="GV8" s="157">
        <v>0</v>
      </c>
      <c r="GW8" s="157">
        <v>0</v>
      </c>
      <c r="GX8" s="157">
        <v>0</v>
      </c>
      <c r="GY8" s="157">
        <v>0</v>
      </c>
      <c r="GZ8" s="157">
        <v>0</v>
      </c>
      <c r="HA8" s="157">
        <v>0</v>
      </c>
      <c r="HB8" s="157">
        <v>0</v>
      </c>
      <c r="HC8" s="157">
        <v>0</v>
      </c>
      <c r="HD8" s="157">
        <v>0</v>
      </c>
      <c r="HE8" s="157">
        <v>0</v>
      </c>
      <c r="HF8" s="157">
        <v>0</v>
      </c>
      <c r="HG8" s="157">
        <v>0</v>
      </c>
      <c r="HH8" s="157">
        <v>0</v>
      </c>
      <c r="HI8" s="157">
        <v>0</v>
      </c>
      <c r="HJ8" s="157">
        <v>0</v>
      </c>
      <c r="HK8" s="157">
        <v>0</v>
      </c>
      <c r="HL8" s="157">
        <v>0</v>
      </c>
      <c r="HM8" s="637"/>
      <c r="HN8" s="157">
        <v>0</v>
      </c>
      <c r="HO8" s="157">
        <v>0</v>
      </c>
      <c r="HP8" s="637"/>
      <c r="HQ8" s="157">
        <v>0</v>
      </c>
      <c r="HR8" s="157">
        <v>0</v>
      </c>
      <c r="HS8" s="637"/>
      <c r="HT8" s="157">
        <v>0</v>
      </c>
      <c r="HU8" s="157">
        <v>0</v>
      </c>
      <c r="HV8" s="637"/>
      <c r="HW8" s="170">
        <f>SUM(GV8,GW8,GZ8)</f>
        <v>0</v>
      </c>
      <c r="HX8" s="170">
        <f>SUM(HA8,HC8,HE8)</f>
        <v>0</v>
      </c>
      <c r="HY8" s="170">
        <f>SUM(HG8,HI8,HL8)</f>
        <v>0</v>
      </c>
      <c r="HZ8" s="170">
        <f>SUM(HO8,HR8,HU8)</f>
        <v>0</v>
      </c>
      <c r="IA8" s="170">
        <f>HW8+HX8+HY8+HZ8</f>
        <v>0</v>
      </c>
      <c r="IB8" s="592">
        <f>GV8+GW8+GY8+HA8+HC8+HE8+HG8+HI8+HM8+HP8+HS8+HV8</f>
        <v>0</v>
      </c>
      <c r="IC8" s="578">
        <v>0</v>
      </c>
      <c r="ID8" s="578">
        <v>0</v>
      </c>
      <c r="IE8" s="578">
        <v>0</v>
      </c>
      <c r="IF8" s="578">
        <v>0</v>
      </c>
      <c r="IG8" s="578">
        <v>0</v>
      </c>
      <c r="IH8" s="578">
        <v>0</v>
      </c>
      <c r="II8" s="578">
        <v>0</v>
      </c>
      <c r="IJ8" s="578">
        <v>0</v>
      </c>
      <c r="IK8" s="578">
        <v>0</v>
      </c>
      <c r="IL8" s="578">
        <v>0</v>
      </c>
      <c r="IM8" s="578">
        <v>0</v>
      </c>
      <c r="IN8" s="578">
        <v>0</v>
      </c>
      <c r="IO8" s="578">
        <v>0</v>
      </c>
      <c r="IP8" s="578">
        <v>0</v>
      </c>
      <c r="IQ8" s="578">
        <v>0</v>
      </c>
      <c r="IR8" s="578">
        <v>0</v>
      </c>
      <c r="IS8" s="578">
        <v>0</v>
      </c>
      <c r="IT8" s="637"/>
      <c r="IU8" s="578">
        <v>0</v>
      </c>
      <c r="IV8" s="578">
        <v>0</v>
      </c>
      <c r="IW8" s="637"/>
      <c r="IX8" s="578">
        <v>0</v>
      </c>
      <c r="IY8" s="578">
        <v>0</v>
      </c>
      <c r="IZ8" s="637"/>
      <c r="JA8" s="578">
        <v>0</v>
      </c>
      <c r="JB8" s="578">
        <v>0</v>
      </c>
      <c r="JC8" s="637"/>
      <c r="JD8" s="170">
        <f>SUM(IC8,ID8,IG8)</f>
        <v>0</v>
      </c>
      <c r="JE8" s="170">
        <f>SUM(IH8,IJ8,IL8)</f>
        <v>0</v>
      </c>
      <c r="JF8" s="170">
        <f>SUM(IN8,IP8,IS8)</f>
        <v>0</v>
      </c>
      <c r="JG8" s="170">
        <f>SUM(IV8,IY8,JB8)</f>
        <v>0</v>
      </c>
      <c r="JH8" s="170">
        <f>JD8+JE8+JF8+JG8</f>
        <v>0</v>
      </c>
      <c r="JI8" s="592">
        <f>IC8+ID8+IF8+IH8+IJ8+IL8+IN8+IP8+IT8+IW8+IZ8+JC8</f>
        <v>0</v>
      </c>
      <c r="JJ8" s="157">
        <f t="shared" ref="JJ8:JT10" si="6">SUM(F8,AM8,BT8,DA8,EH8,FO8,GV8)/SUM(F$11,AM$11,BT$11,DA$11,EH$11,FO$11,GV$11)*JJ$12</f>
        <v>0</v>
      </c>
      <c r="JK8" s="157">
        <f t="shared" si="6"/>
        <v>0</v>
      </c>
      <c r="JL8" s="157">
        <f t="shared" si="6"/>
        <v>0</v>
      </c>
      <c r="JM8" s="157">
        <f t="shared" si="6"/>
        <v>0</v>
      </c>
      <c r="JN8" s="157">
        <f t="shared" si="6"/>
        <v>0</v>
      </c>
      <c r="JO8" s="157">
        <f t="shared" si="6"/>
        <v>0</v>
      </c>
      <c r="JP8" s="157">
        <f t="shared" si="6"/>
        <v>0</v>
      </c>
      <c r="JQ8" s="157">
        <f t="shared" si="6"/>
        <v>0</v>
      </c>
      <c r="JR8" s="157">
        <f t="shared" si="6"/>
        <v>0</v>
      </c>
      <c r="JS8" s="157">
        <f t="shared" si="6"/>
        <v>0</v>
      </c>
      <c r="JT8" s="157">
        <f t="shared" si="6"/>
        <v>0</v>
      </c>
      <c r="JU8" s="157"/>
      <c r="JV8" s="157"/>
      <c r="JW8" s="157"/>
      <c r="JX8" s="157"/>
      <c r="JY8" s="157"/>
      <c r="JZ8" s="157"/>
      <c r="KA8" s="157"/>
      <c r="KB8" s="157"/>
      <c r="KC8" s="157"/>
      <c r="KD8" s="157"/>
      <c r="KE8" s="157"/>
      <c r="KF8" s="157"/>
      <c r="KG8" s="170">
        <f>SUM(JJ8,JK8,JN8)</f>
        <v>0</v>
      </c>
      <c r="KH8" s="170">
        <f>SUM(JO8,JQ8,JS8)</f>
        <v>0</v>
      </c>
      <c r="KI8" s="170">
        <f>SUM(JU8,JW8,JZ8)</f>
        <v>0</v>
      </c>
      <c r="KJ8" s="170">
        <f>SUM(KB8,KD8,KF8)</f>
        <v>0</v>
      </c>
      <c r="KK8" s="170">
        <f>KG8+KH8+KI8+KJ8</f>
        <v>0</v>
      </c>
      <c r="KL8" s="157">
        <f t="shared" si="0"/>
        <v>2558.4423519999996</v>
      </c>
      <c r="KM8" s="157">
        <f t="shared" si="0"/>
        <v>2698.469024</v>
      </c>
      <c r="KN8" s="157">
        <f t="shared" si="0"/>
        <v>2504.4367790000001</v>
      </c>
      <c r="KO8" s="157">
        <f t="shared" si="0"/>
        <v>2344.945005</v>
      </c>
      <c r="KP8" s="157">
        <f t="shared" si="0"/>
        <v>2672.537495</v>
      </c>
      <c r="KQ8" s="157">
        <f t="shared" si="0"/>
        <v>2254.4051030000001</v>
      </c>
      <c r="KR8" s="157">
        <f t="shared" si="0"/>
        <v>3000.8198847991989</v>
      </c>
      <c r="KS8" s="157">
        <f t="shared" si="0"/>
        <v>2025.2208009999999</v>
      </c>
      <c r="KT8" s="157">
        <f t="shared" si="0"/>
        <v>2757.2626981184376</v>
      </c>
      <c r="KU8" s="157">
        <f t="shared" si="0"/>
        <v>2727.6780469999999</v>
      </c>
      <c r="KV8" s="157">
        <f t="shared" si="1"/>
        <v>2907.1568707877241</v>
      </c>
      <c r="KW8" s="157">
        <f t="shared" si="1"/>
        <v>2144.0591199999999</v>
      </c>
      <c r="KX8" s="157">
        <f t="shared" si="1"/>
        <v>3282.6157023326373</v>
      </c>
      <c r="KY8" s="157">
        <f t="shared" si="1"/>
        <v>2311.9848470000002</v>
      </c>
      <c r="KZ8" s="157">
        <f t="shared" si="1"/>
        <v>3360.8564626115158</v>
      </c>
      <c r="LA8" s="157">
        <f t="shared" si="1"/>
        <v>0</v>
      </c>
      <c r="LB8" s="157">
        <f t="shared" si="1"/>
        <v>3504.4227334364823</v>
      </c>
      <c r="LC8" s="637">
        <f t="shared" si="2"/>
        <v>3572.8440000000001</v>
      </c>
      <c r="LD8" s="157">
        <f t="shared" si="2"/>
        <v>0</v>
      </c>
      <c r="LE8" s="157">
        <f t="shared" si="2"/>
        <v>3636.8519347880897</v>
      </c>
      <c r="LF8" s="637">
        <f t="shared" si="3"/>
        <v>3808.8440000000001</v>
      </c>
      <c r="LG8" s="157">
        <f t="shared" si="3"/>
        <v>0</v>
      </c>
      <c r="LH8" s="157">
        <f t="shared" si="3"/>
        <v>3632.6345704392511</v>
      </c>
      <c r="LI8" s="637">
        <f t="shared" si="4"/>
        <v>3824.8440000000001</v>
      </c>
      <c r="LJ8" s="157">
        <f t="shared" si="4"/>
        <v>0</v>
      </c>
      <c r="LK8" s="157">
        <f t="shared" si="4"/>
        <v>3535.4902232171153</v>
      </c>
      <c r="LL8" s="637">
        <f>SUM(AF8,BM8,CT8,EA8,FH8,GO8,HV8,JC8,KF8)</f>
        <v>3824.8440000000001</v>
      </c>
      <c r="LM8" s="170">
        <f>SUM(KL8,KM8,KO8)</f>
        <v>7601.8563809999996</v>
      </c>
      <c r="LN8" s="170">
        <f>SUM(KQ8,KS8,KU8)</f>
        <v>7007.3039509999999</v>
      </c>
      <c r="LO8" s="170">
        <f>SUM(KW8,KY8,LB8)</f>
        <v>7960.4667004364819</v>
      </c>
      <c r="LP8" s="170">
        <f>SUM(LE8,LH8,LK8)</f>
        <v>10804.976728444457</v>
      </c>
      <c r="LQ8" s="170">
        <f>LM8+LN8+LO8+LP8</f>
        <v>33374.603760880942</v>
      </c>
      <c r="LR8" s="592">
        <f>KL8+KM8+KO8+KQ8+KS8+KU8+KW8+KY8+LC8+LF8+LI8+LL8</f>
        <v>34096.580299000001</v>
      </c>
      <c r="LS8" s="681"/>
      <c r="LT8" s="681"/>
      <c r="LU8" s="167">
        <f>SUM(AG8,BN8,CU8,EB8,FI8,GP8,HW8)</f>
        <v>7601.8563809999996</v>
      </c>
    </row>
    <row r="9" spans="1:335">
      <c r="A9" s="143" t="s">
        <v>310</v>
      </c>
      <c r="B9" s="143"/>
      <c r="C9" s="143"/>
      <c r="D9" s="143"/>
      <c r="E9" s="143"/>
      <c r="F9" s="157">
        <f>'BUDGET REVENUE CML 2021-2025'!BA234/10^6</f>
        <v>3202.241657</v>
      </c>
      <c r="G9" s="157">
        <f>'BUDGET REVENUE CML 2021-2025'!BB234/10^6</f>
        <v>2651.3433850000001</v>
      </c>
      <c r="H9" s="157">
        <f>'BUDGET REVENUE CML 2021-2025'!BC234/10^6</f>
        <v>2857.219255</v>
      </c>
      <c r="I9" s="157">
        <f>'BUDGET REVENUE CML 2021-2025'!BD234/10^6</f>
        <v>2665.2141320000001</v>
      </c>
      <c r="J9" s="157">
        <f>'BUDGET REVENUE CML 2021-2025'!BE234/10^6</f>
        <v>2869.2592549999999</v>
      </c>
      <c r="K9" s="157">
        <f>'BUDGET REVENUE CML 2021-2025'!BF234/10^6</f>
        <v>3084.9622570000001</v>
      </c>
      <c r="L9" s="157">
        <v>3930.8359699627131</v>
      </c>
      <c r="M9" s="157">
        <f>'BUDGET REVENUE CML 2021-2025'!BH234/10^6</f>
        <v>2610.9200980000001</v>
      </c>
      <c r="N9" s="157">
        <v>3722.0431803771121</v>
      </c>
      <c r="O9" s="157">
        <f>'BUDGET REVENUE CML 2021-2025'!BJ234/10^6</f>
        <v>3268.0573599999998</v>
      </c>
      <c r="P9" s="157">
        <v>3536.8175413049557</v>
      </c>
      <c r="Q9" s="157">
        <f>'BUDGET REVENUE CML 2021-2025'!BL234/10^6</f>
        <v>2351.841148</v>
      </c>
      <c r="R9" s="157">
        <f t="shared" si="5"/>
        <v>5059.1069783500006</v>
      </c>
      <c r="S9" s="157">
        <f>'BUDGET REVENUE CML 2021-2025'!BN234/10^6</f>
        <v>3851.7612159999999</v>
      </c>
      <c r="T9" s="157">
        <f t="shared" si="5"/>
        <v>5054.1069783500006</v>
      </c>
      <c r="U9" s="157">
        <f>'BUDGET REVENUE CML 2021-2025'!BP234/10^6</f>
        <v>0</v>
      </c>
      <c r="V9" s="157">
        <f>V19</f>
        <v>5159.1069783500006</v>
      </c>
      <c r="W9" s="638">
        <f>'BUDGET REVENUE CML 2021-2025'!BR234/10^6</f>
        <v>3155.2</v>
      </c>
      <c r="X9" s="157">
        <f>'BUDGET REVENUE CML 2021-2025'!BS234/10^6</f>
        <v>0</v>
      </c>
      <c r="Y9" s="157">
        <f>Y19</f>
        <v>5159.1069783500006</v>
      </c>
      <c r="Z9" s="638">
        <f>'BUDGET REVENUE CML 2021-2025'!BU234/10^6</f>
        <v>3681.2</v>
      </c>
      <c r="AA9" s="157">
        <f>'BUDGET REVENUE CML 2021-2025'!BV234/10^6</f>
        <v>0</v>
      </c>
      <c r="AB9" s="157">
        <f>AB19</f>
        <v>5164.1069783500006</v>
      </c>
      <c r="AC9" s="638">
        <f>'BUDGET REVENUE CML 2021-2025'!BX234/10^6</f>
        <v>3836.2</v>
      </c>
      <c r="AD9" s="157">
        <f>'BUDGET REVENUE CML 2021-2025'!BY234/10^6</f>
        <v>0</v>
      </c>
      <c r="AE9" s="157">
        <f>AE19</f>
        <v>5159.1069783500006</v>
      </c>
      <c r="AF9" s="638">
        <f>'BUDGET REVENUE CML 2021-2025'!CA234/10^6</f>
        <v>4186.2</v>
      </c>
      <c r="AG9" s="170">
        <f>SUM(F9,G9,I9)</f>
        <v>8518.7991739999998</v>
      </c>
      <c r="AH9" s="170">
        <f>SUM(K9,M9,O9)</f>
        <v>8963.9397150000004</v>
      </c>
      <c r="AI9" s="170">
        <f>SUM(Q9,S9,V9)</f>
        <v>11362.709342350001</v>
      </c>
      <c r="AJ9" s="170">
        <f>SUM(Y9,AB9,AE9)</f>
        <v>15482.320935050002</v>
      </c>
      <c r="AK9" s="170">
        <f>AG9+AH9+AI9+AJ9</f>
        <v>44327.769166400001</v>
      </c>
      <c r="AL9" s="593">
        <f>F9+G9+I9+K9+M9+O9+Q9+S9+W9+Z9+AC9+AF9</f>
        <v>38545.141252999994</v>
      </c>
      <c r="AM9" s="157">
        <f>'BUDGET REVENUE CML 2021-2025'!BA308/10^6</f>
        <v>439.64102500000001</v>
      </c>
      <c r="AN9" s="157">
        <f>'BUDGET REVENUE CML 2021-2025'!BB308/10^6</f>
        <v>659.05450499999995</v>
      </c>
      <c r="AO9" s="157">
        <f>'BUDGET REVENUE CML 2021-2025'!BC308/10^6</f>
        <v>620</v>
      </c>
      <c r="AP9" s="157">
        <f>'BUDGET REVENUE CML 2021-2025'!BD308/10^6</f>
        <v>631.13081599999998</v>
      </c>
      <c r="AQ9" s="157">
        <f>'BUDGET REVENUE CML 2021-2025'!BE308/10^6</f>
        <v>770.4</v>
      </c>
      <c r="AR9" s="157">
        <f>'BUDGET REVENUE CML 2021-2025'!BF308/10^6</f>
        <v>347.23362500000002</v>
      </c>
      <c r="AS9" s="157">
        <v>571.87910569105691</v>
      </c>
      <c r="AT9" s="157">
        <f>'BUDGET REVENUE CML 2021-2025'!BH308/10^6</f>
        <v>1005.732219</v>
      </c>
      <c r="AU9" s="157">
        <v>508.91055038103309</v>
      </c>
      <c r="AV9" s="157">
        <f>'BUDGET REVENUE CML 2021-2025'!BJ308/10^6</f>
        <v>697.699164</v>
      </c>
      <c r="AW9" s="157">
        <v>777.00882463230698</v>
      </c>
      <c r="AX9" s="157">
        <f>'BUDGET REVENUE CML 2021-2025'!BL308/10^6</f>
        <v>617.57700799999998</v>
      </c>
      <c r="AY9" s="157">
        <f>AY19</f>
        <v>780</v>
      </c>
      <c r="AZ9" s="157">
        <f>'BUDGET REVENUE CML 2021-2025'!BN308/10^6</f>
        <v>626.11084000000005</v>
      </c>
      <c r="BA9" s="157">
        <f>BA19</f>
        <v>780</v>
      </c>
      <c r="BB9" s="157">
        <f>'BUDGET REVENUE CML 2021-2025'!BP308/10^6</f>
        <v>0</v>
      </c>
      <c r="BC9" s="157">
        <f>BC19</f>
        <v>780</v>
      </c>
      <c r="BD9" s="638">
        <f>'BUDGET REVENUE CML 2021-2025'!BR308/10^6</f>
        <v>715</v>
      </c>
      <c r="BE9" s="157">
        <f>'BUDGET REVENUE CML 2021-2025'!BS308/10^6</f>
        <v>0</v>
      </c>
      <c r="BF9" s="157">
        <f>BF19</f>
        <v>780</v>
      </c>
      <c r="BG9" s="638">
        <f>'BUDGET REVENUE CML 2021-2025'!BU308/10^6</f>
        <v>765</v>
      </c>
      <c r="BH9" s="157">
        <f>'BUDGET REVENUE CML 2021-2025'!BV308/10^6</f>
        <v>0</v>
      </c>
      <c r="BI9" s="157">
        <f>BI19</f>
        <v>780</v>
      </c>
      <c r="BJ9" s="638">
        <f>'BUDGET REVENUE CML 2021-2025'!BX308/10^6</f>
        <v>2126</v>
      </c>
      <c r="BK9" s="157">
        <f>'BUDGET REVENUE CML 2021-2025'!BY308/10^6</f>
        <v>0</v>
      </c>
      <c r="BL9" s="157">
        <f>BL19</f>
        <v>780</v>
      </c>
      <c r="BM9" s="638">
        <f>'BUDGET REVENUE CML 2021-2025'!CA308/10^6</f>
        <v>2941.5</v>
      </c>
      <c r="BN9" s="170">
        <f>SUM(AM9,AN9,AP9)</f>
        <v>1729.8263459999998</v>
      </c>
      <c r="BO9" s="170">
        <f>SUM(AR9,AT9,AV9)</f>
        <v>2050.6650079999999</v>
      </c>
      <c r="BP9" s="170">
        <f>SUM(AX9,AZ9,BC9)</f>
        <v>2023.687848</v>
      </c>
      <c r="BQ9" s="170">
        <f>SUM(BF9,BI9,BL9)</f>
        <v>2340</v>
      </c>
      <c r="BR9" s="170">
        <f>BN9+BO9+BP9+BQ9</f>
        <v>8144.1792019999993</v>
      </c>
      <c r="BS9" s="593">
        <f>AM9+AN9+AP9+AR9+AT9+AV9+AX9+AZ9+BD9+BG9+BJ9+BM9</f>
        <v>11571.679201999999</v>
      </c>
      <c r="BT9" s="157">
        <v>0</v>
      </c>
      <c r="BU9" s="157">
        <v>0</v>
      </c>
      <c r="BV9" s="157">
        <v>0</v>
      </c>
      <c r="BW9" s="157">
        <v>0</v>
      </c>
      <c r="BX9" s="157">
        <v>0</v>
      </c>
      <c r="BY9" s="157">
        <v>0</v>
      </c>
      <c r="BZ9" s="157">
        <v>0</v>
      </c>
      <c r="CA9" s="157">
        <v>0</v>
      </c>
      <c r="CB9" s="157">
        <v>0</v>
      </c>
      <c r="CC9" s="157">
        <v>0</v>
      </c>
      <c r="CD9" s="157">
        <v>0</v>
      </c>
      <c r="CE9" s="157">
        <v>0</v>
      </c>
      <c r="CF9" s="157">
        <v>0</v>
      </c>
      <c r="CG9" s="157">
        <v>0</v>
      </c>
      <c r="CH9" s="157">
        <v>0</v>
      </c>
      <c r="CI9" s="157">
        <v>0</v>
      </c>
      <c r="CJ9" s="157">
        <v>0</v>
      </c>
      <c r="CK9" s="638"/>
      <c r="CL9" s="157">
        <v>0</v>
      </c>
      <c r="CM9" s="157">
        <v>0</v>
      </c>
      <c r="CN9" s="638"/>
      <c r="CO9" s="157">
        <v>0</v>
      </c>
      <c r="CP9" s="157">
        <v>0</v>
      </c>
      <c r="CQ9" s="638"/>
      <c r="CR9" s="157">
        <v>0</v>
      </c>
      <c r="CS9" s="157">
        <v>0</v>
      </c>
      <c r="CT9" s="638"/>
      <c r="CU9" s="170">
        <f>SUM(BT9,BU9,BW9)</f>
        <v>0</v>
      </c>
      <c r="CV9" s="170">
        <f>SUM(BY9,CA9,CC9)</f>
        <v>0</v>
      </c>
      <c r="CW9" s="170">
        <f>SUM(CE9,CG9,CJ9)</f>
        <v>0</v>
      </c>
      <c r="CX9" s="170">
        <f>SUM(CM9,CP9,CS9)</f>
        <v>0</v>
      </c>
      <c r="CY9" s="170">
        <f>CU9+CV9+CW9+CX9</f>
        <v>0</v>
      </c>
      <c r="CZ9" s="593">
        <f>BT9+BU9+BW9+BY9+CA9+CC9+CE9+CG9+CK9+CN9+CQ9+CT9</f>
        <v>0</v>
      </c>
      <c r="DA9" s="157">
        <f>'BUDGET REVENUE BP 2021-2025'!CP409/1000000</f>
        <v>1623.4373029999999</v>
      </c>
      <c r="DB9" s="157">
        <f>'BUDGET REVENUE BP 2021-2025'!CQ409/1000000</f>
        <v>1777.60194</v>
      </c>
      <c r="DC9" s="157">
        <f>'BUDGET REVENUE BP 2021-2025'!CR409/1000000</f>
        <v>1625.5</v>
      </c>
      <c r="DD9" s="157">
        <f>'BUDGET REVENUE BP 2021-2025'!CS409/1000000</f>
        <v>2328.7304859999999</v>
      </c>
      <c r="DE9" s="157">
        <f>'BUDGET REVENUE BP 2021-2025'!CT409/1000000</f>
        <v>2413.1999999999998</v>
      </c>
      <c r="DF9" s="157">
        <f>'BUDGET REVENUE BP 2021-2025'!CU409/1000000</f>
        <v>2123.4777680000002</v>
      </c>
      <c r="DG9" s="157">
        <v>2704.1969157182466</v>
      </c>
      <c r="DH9" s="157">
        <f>'BUDGET REVENUE BP 2021-2025'!CW409/1000000</f>
        <v>2067.058129</v>
      </c>
      <c r="DI9" s="157">
        <v>2277.3708767829839</v>
      </c>
      <c r="DJ9" s="157">
        <f>'BUDGET REVENUE BP 2021-2025'!CY409/1000000</f>
        <v>2333.3743850000001</v>
      </c>
      <c r="DK9" s="157">
        <v>4422.4969916985483</v>
      </c>
      <c r="DL9" s="157">
        <f>'BUDGET REVENUE BP 2021-2025'!DA409/1000000</f>
        <v>2201.6615660000002</v>
      </c>
      <c r="DM9" s="157">
        <v>3905.9903988728602</v>
      </c>
      <c r="DN9" s="157">
        <f>'BUDGET REVENUE BP 2021-2025'!DC409/1000000</f>
        <v>2787.9472270000001</v>
      </c>
      <c r="DO9" s="157">
        <v>3902.2805305886818</v>
      </c>
      <c r="DP9" s="157">
        <f>'BUDGET REVENUE BP 2021-2025'!DE409/1000000</f>
        <v>0</v>
      </c>
      <c r="DQ9" s="157">
        <v>3859.4564694285359</v>
      </c>
      <c r="DR9" s="638">
        <f>'BUDGET REVENUE BP 2021-2025'!DG409/1000000</f>
        <v>4031.5</v>
      </c>
      <c r="DS9" s="157">
        <f>'BUDGET REVENUE BP 2021-2025'!DH409/1000000</f>
        <v>0</v>
      </c>
      <c r="DT9" s="157">
        <v>3936.8396672491949</v>
      </c>
      <c r="DU9" s="638">
        <f>'BUDGET REVENUE BP 2021-2025'!DJ409/1000000</f>
        <v>4191.5</v>
      </c>
      <c r="DV9" s="157">
        <f>'BUDGET REVENUE BP 2021-2025'!DK409/1000000</f>
        <v>0</v>
      </c>
      <c r="DW9" s="157">
        <v>4099.3649192002404</v>
      </c>
      <c r="DX9" s="638">
        <f>'BUDGET REVENUE BP 2021-2025'!DM409/1000000</f>
        <v>4396.5</v>
      </c>
      <c r="DY9" s="157">
        <f>'BUDGET REVENUE BP 2021-2025'!DN409/1000000</f>
        <v>0</v>
      </c>
      <c r="DZ9" s="157">
        <v>4110.853525966435</v>
      </c>
      <c r="EA9" s="638">
        <f>'BUDGET REVENUE BP 2021-2025'!DP409/1000000</f>
        <v>4401.5</v>
      </c>
      <c r="EB9" s="170">
        <f>SUM(DA9,DB9,DD9)</f>
        <v>5729.7697289999996</v>
      </c>
      <c r="EC9" s="170">
        <f>SUM(DF9,DH9,DJ9)</f>
        <v>6523.9102819999998</v>
      </c>
      <c r="ED9" s="170">
        <f>SUM(DL9,DN9,DQ9)</f>
        <v>8849.0652624285358</v>
      </c>
      <c r="EE9" s="170">
        <f>SUM(DT9,DW9,DZ9)</f>
        <v>12147.058112415871</v>
      </c>
      <c r="EF9" s="170">
        <f>EB9+EC9+ED9+EE9</f>
        <v>33249.803385844411</v>
      </c>
      <c r="EG9" s="593">
        <f>DA9+DB9+DD9+DF9+DH9+DJ9+DL9+DN9+DR9+DU9+DX9+EA9</f>
        <v>34264.288803999996</v>
      </c>
      <c r="EH9" s="157">
        <f>'BUDGET REVENUE BP 2021-2025'!CP853/1000000</f>
        <v>66.418999999999997</v>
      </c>
      <c r="EI9" s="157">
        <f>'BUDGET REVENUE BP 2021-2025'!CQ853/1000000</f>
        <v>219.083</v>
      </c>
      <c r="EJ9" s="157">
        <f>'BUDGET REVENUE BP 2021-2025'!CR853/1000000</f>
        <v>125</v>
      </c>
      <c r="EK9" s="157">
        <f>'BUDGET REVENUE BP 2021-2025'!CS853/1000000</f>
        <v>113.0665</v>
      </c>
      <c r="EL9" s="157">
        <f>'BUDGET REVENUE BP 2021-2025'!CT853/1000000</f>
        <v>125</v>
      </c>
      <c r="EM9" s="157">
        <f>'BUDGET REVENUE BP 2021-2025'!CU853/1000000</f>
        <v>355.87656299999998</v>
      </c>
      <c r="EN9" s="157">
        <v>215.30026109660574</v>
      </c>
      <c r="EO9" s="157">
        <f>'BUDGET REVENUE BP 2021-2025'!CW853/1000000</f>
        <v>338.53557499999999</v>
      </c>
      <c r="EP9" s="157">
        <v>543.5877626699629</v>
      </c>
      <c r="EQ9" s="157">
        <f>'BUDGET REVENUE BP 2021-2025'!CY853/1000000</f>
        <v>153.41322500000001</v>
      </c>
      <c r="ER9" s="157">
        <v>434.73684210526318</v>
      </c>
      <c r="ES9" s="157">
        <f>'BUDGET REVENUE BP 2021-2025'!DA853/1000000</f>
        <v>32.479999999999997</v>
      </c>
      <c r="ET9" s="157">
        <v>482.49339120280274</v>
      </c>
      <c r="EU9" s="157">
        <f>'BUDGET REVENUE BP 2021-2025'!DC853/1000000</f>
        <v>467.07372700000002</v>
      </c>
      <c r="EV9" s="157">
        <v>323.32944588685433</v>
      </c>
      <c r="EW9" s="157">
        <f>'BUDGET REVENUE BP 2021-2025'!DE853/1000000</f>
        <v>0</v>
      </c>
      <c r="EX9" s="157">
        <v>283.03912850467287</v>
      </c>
      <c r="EY9" s="638">
        <f>'BUDGET REVENUE BP 2021-2025'!DG853/1000000</f>
        <v>195</v>
      </c>
      <c r="EZ9" s="157">
        <f>'BUDGET REVENUE BP 2021-2025'!DH853/1000000</f>
        <v>0</v>
      </c>
      <c r="FA9" s="157">
        <v>572.29188018867922</v>
      </c>
      <c r="FB9" s="638">
        <f>'BUDGET REVENUE BP 2021-2025'!DJ853/1000000</f>
        <v>370</v>
      </c>
      <c r="FC9" s="157">
        <f>'BUDGET REVENUE BP 2021-2025'!DK853/1000000</f>
        <v>0</v>
      </c>
      <c r="FD9" s="157">
        <v>834.55604229607241</v>
      </c>
      <c r="FE9" s="638">
        <f>'BUDGET REVENUE BP 2021-2025'!DM853/1000000</f>
        <v>1188</v>
      </c>
      <c r="FF9" s="157">
        <f>'BUDGET REVENUE BP 2021-2025'!DN853/1000000</f>
        <v>0</v>
      </c>
      <c r="FG9" s="157">
        <v>171.98150289017337</v>
      </c>
      <c r="FH9" s="638">
        <f>'BUDGET REVENUE BP 2021-2025'!DP853/1000000</f>
        <v>420</v>
      </c>
      <c r="FI9" s="170">
        <f>SUM(EH9,EI9,EK9)</f>
        <v>398.56850000000003</v>
      </c>
      <c r="FJ9" s="170">
        <f>SUM(EM9,EO9,EQ9)</f>
        <v>847.82536299999992</v>
      </c>
      <c r="FK9" s="170">
        <f>SUM(ES9,EU9,EX9)</f>
        <v>782.59285550467291</v>
      </c>
      <c r="FL9" s="170">
        <f>SUM(FA9,FD9,FG9)</f>
        <v>1578.829425374925</v>
      </c>
      <c r="FM9" s="170">
        <f>FI9+FJ9+FK9+FL9</f>
        <v>3607.8161438795978</v>
      </c>
      <c r="FN9" s="593">
        <f>EH9+EI9+EK9+EM9+EO9+EQ9+ES9+EU9+EY9+FB9+FE9+FH9</f>
        <v>3918.9475899999998</v>
      </c>
      <c r="FO9" s="157">
        <f>('BUDGET REVENUE BP 2021-2025'!CP761/1000000)+('BUDGET REVENUE CML 2021-2025'!BA346/10^6)</f>
        <v>1375.9092800000001</v>
      </c>
      <c r="FP9" s="157">
        <f>'BUDGET REVENUE BP 2021-2025'!CQ761/1000000</f>
        <v>1318.9645</v>
      </c>
      <c r="FQ9" s="157">
        <f>'BUDGET REVENUE BP 2021-2025'!CR761/1000000</f>
        <v>1456</v>
      </c>
      <c r="FR9" s="157">
        <f>'BUDGET REVENUE BP 2021-2025'!CS761/1000000</f>
        <v>1605.1949340000001</v>
      </c>
      <c r="FS9" s="157">
        <f>'BUDGET REVENUE BP 2021-2025'!CT761/1000000</f>
        <v>1393</v>
      </c>
      <c r="FT9" s="157">
        <f>'BUDGET REVENUE BP 2021-2025'!CU761/1000000</f>
        <v>686.57691899999998</v>
      </c>
      <c r="FU9" s="157">
        <v>2436.6975325803651</v>
      </c>
      <c r="FV9" s="157">
        <f>'BUDGET REVENUE BP 2021-2025'!CW761/1000000</f>
        <v>1759.787611</v>
      </c>
      <c r="FW9" s="157">
        <v>2926.7153496260175</v>
      </c>
      <c r="FX9" s="157">
        <f>'BUDGET REVENUE BP 2021-2025'!CY761/1000000</f>
        <v>2619.9243759999999</v>
      </c>
      <c r="FY9" s="157">
        <v>2573.5759732819461</v>
      </c>
      <c r="FZ9" s="157">
        <f>'BUDGET REVENUE BP 2021-2025'!DA761/1000000</f>
        <v>2897.9526759999999</v>
      </c>
      <c r="GA9" s="157">
        <v>2599.3899388585678</v>
      </c>
      <c r="GB9" s="157">
        <f>'BUDGET REVENUE BP 2021-2025'!DC761/1000000</f>
        <v>6099.1420520000001</v>
      </c>
      <c r="GC9" s="157">
        <v>2331.3352754381694</v>
      </c>
      <c r="GD9" s="157">
        <f>'BUDGET REVENUE BP 2021-2025'!DE761/1000000</f>
        <v>0</v>
      </c>
      <c r="GE9" s="157">
        <v>2016.5320970285331</v>
      </c>
      <c r="GF9" s="638">
        <f>'BUDGET REVENUE BP 2021-2025'!DG761/1000000</f>
        <v>2270.444</v>
      </c>
      <c r="GG9" s="157">
        <f>'BUDGET REVENUE BP 2021-2025'!DH761/1000000</f>
        <v>0</v>
      </c>
      <c r="GH9" s="157">
        <v>2327.4109906204967</v>
      </c>
      <c r="GI9" s="638">
        <f>'BUDGET REVENUE BP 2021-2025'!DJ761/1000000</f>
        <v>2464.0540000000001</v>
      </c>
      <c r="GJ9" s="157">
        <f>'BUDGET REVENUE BP 2021-2025'!DK761/1000000</f>
        <v>0</v>
      </c>
      <c r="GK9" s="157">
        <v>2331.6745309211688</v>
      </c>
      <c r="GL9" s="638">
        <f>'BUDGET REVENUE BP 2021-2025'!DM761/1000000</f>
        <v>2116.4499999999998</v>
      </c>
      <c r="GM9" s="157">
        <f>'BUDGET REVENUE BP 2021-2025'!DN761/1000000</f>
        <v>0</v>
      </c>
      <c r="GN9" s="157">
        <v>2039.7564249536485</v>
      </c>
      <c r="GO9" s="638">
        <f>'BUDGET REVENUE BP 2021-2025'!DP761/1000000</f>
        <v>2143.4499999999998</v>
      </c>
      <c r="GP9" s="580">
        <f>SUM(FO9,FP9,FR9)</f>
        <v>4300.068714</v>
      </c>
      <c r="GQ9" s="580">
        <f>SUM(FT9,FV9,FX9)</f>
        <v>5066.2889059999998</v>
      </c>
      <c r="GR9" s="170">
        <f>SUM(FZ9,GB9,GE9)</f>
        <v>11013.626825028534</v>
      </c>
      <c r="GS9" s="580">
        <f>SUM(GH9,GK9,GN9)</f>
        <v>6698.8419464953131</v>
      </c>
      <c r="GT9" s="170">
        <f>GP9+GQ9+GR9+GS9</f>
        <v>27078.826391523842</v>
      </c>
      <c r="GU9" s="593">
        <f>FO9+FP9+FR9+FT9+FV9+FX9+FZ9+GB9+GF9+GI9+GL9+GO9</f>
        <v>27357.850348</v>
      </c>
      <c r="GV9" s="157">
        <v>0</v>
      </c>
      <c r="GW9" s="157">
        <v>0</v>
      </c>
      <c r="GX9" s="157">
        <v>0</v>
      </c>
      <c r="GY9" s="157">
        <v>0</v>
      </c>
      <c r="GZ9" s="157">
        <v>0</v>
      </c>
      <c r="HA9" s="157">
        <v>0</v>
      </c>
      <c r="HB9" s="157">
        <v>0</v>
      </c>
      <c r="HC9" s="157">
        <v>0</v>
      </c>
      <c r="HD9" s="157">
        <v>0</v>
      </c>
      <c r="HE9" s="157">
        <v>0</v>
      </c>
      <c r="HF9" s="157">
        <v>0</v>
      </c>
      <c r="HG9" s="157">
        <v>0</v>
      </c>
      <c r="HH9" s="157">
        <v>0</v>
      </c>
      <c r="HI9" s="157">
        <v>0</v>
      </c>
      <c r="HJ9" s="157">
        <v>0</v>
      </c>
      <c r="HK9" s="157">
        <v>0</v>
      </c>
      <c r="HL9" s="157">
        <v>0</v>
      </c>
      <c r="HM9" s="638"/>
      <c r="HN9" s="157">
        <v>0</v>
      </c>
      <c r="HO9" s="157">
        <v>0</v>
      </c>
      <c r="HP9" s="638"/>
      <c r="HQ9" s="157">
        <v>0</v>
      </c>
      <c r="HR9" s="157">
        <v>0</v>
      </c>
      <c r="HS9" s="638"/>
      <c r="HT9" s="157">
        <v>0</v>
      </c>
      <c r="HU9" s="157">
        <v>0</v>
      </c>
      <c r="HV9" s="638"/>
      <c r="HW9" s="170">
        <f>SUM(GV9,GW9,GZ9)</f>
        <v>0</v>
      </c>
      <c r="HX9" s="170">
        <f>SUM(HA9,HC9,HE9)</f>
        <v>0</v>
      </c>
      <c r="HY9" s="170">
        <f>SUM(HG9,HI9,HL9)</f>
        <v>0</v>
      </c>
      <c r="HZ9" s="170">
        <f>SUM(HO9,HR9,HU9)</f>
        <v>0</v>
      </c>
      <c r="IA9" s="170">
        <f>HW9+HX9+HY9+HZ9</f>
        <v>0</v>
      </c>
      <c r="IB9" s="593">
        <f>GV9+GW9+GY9+HA9+HC9+HE9+HG9+HI9+HM9+HP9+HS9+HV9</f>
        <v>0</v>
      </c>
      <c r="IC9" s="578">
        <v>0</v>
      </c>
      <c r="ID9" s="578">
        <v>0</v>
      </c>
      <c r="IE9" s="578">
        <v>0</v>
      </c>
      <c r="IF9" s="578">
        <v>0</v>
      </c>
      <c r="IG9" s="578">
        <v>0</v>
      </c>
      <c r="IH9" s="578">
        <v>0</v>
      </c>
      <c r="II9" s="578">
        <v>0</v>
      </c>
      <c r="IJ9" s="578">
        <v>0</v>
      </c>
      <c r="IK9" s="578">
        <v>0</v>
      </c>
      <c r="IL9" s="578">
        <v>0</v>
      </c>
      <c r="IM9" s="578">
        <v>0</v>
      </c>
      <c r="IN9" s="578">
        <v>0</v>
      </c>
      <c r="IO9" s="578">
        <v>0</v>
      </c>
      <c r="IP9" s="578">
        <v>0</v>
      </c>
      <c r="IQ9" s="578">
        <v>0</v>
      </c>
      <c r="IR9" s="578">
        <v>0</v>
      </c>
      <c r="IS9" s="578">
        <v>0</v>
      </c>
      <c r="IT9" s="638"/>
      <c r="IU9" s="578">
        <v>0</v>
      </c>
      <c r="IV9" s="578">
        <v>0</v>
      </c>
      <c r="IW9" s="638"/>
      <c r="IX9" s="578">
        <v>0</v>
      </c>
      <c r="IY9" s="578">
        <v>0</v>
      </c>
      <c r="IZ9" s="638"/>
      <c r="JA9" s="578">
        <v>0</v>
      </c>
      <c r="JB9" s="578">
        <v>0</v>
      </c>
      <c r="JC9" s="638"/>
      <c r="JD9" s="170">
        <f>SUM(IC9,ID9,IG9)</f>
        <v>0</v>
      </c>
      <c r="JE9" s="170">
        <f>SUM(IH9,IJ9,IL9)</f>
        <v>0</v>
      </c>
      <c r="JF9" s="170">
        <f>SUM(IN9,IP9,IS9)</f>
        <v>0</v>
      </c>
      <c r="JG9" s="170">
        <f>SUM(IV9,IY9,JB9)</f>
        <v>0</v>
      </c>
      <c r="JH9" s="170">
        <f>JD9+JE9+JF9+JG9</f>
        <v>0</v>
      </c>
      <c r="JI9" s="593">
        <f>IC9+ID9+IF9+IH9+IJ9+IL9+IN9+IP9+IT9+IW9+IZ9+JC9</f>
        <v>0</v>
      </c>
      <c r="JJ9" s="157">
        <f t="shared" si="6"/>
        <v>0</v>
      </c>
      <c r="JK9" s="157">
        <f t="shared" si="6"/>
        <v>0</v>
      </c>
      <c r="JL9" s="157">
        <f t="shared" si="6"/>
        <v>0</v>
      </c>
      <c r="JM9" s="157">
        <f t="shared" si="6"/>
        <v>0</v>
      </c>
      <c r="JN9" s="157">
        <f t="shared" si="6"/>
        <v>0</v>
      </c>
      <c r="JO9" s="157">
        <f t="shared" si="6"/>
        <v>0</v>
      </c>
      <c r="JP9" s="157">
        <f t="shared" si="6"/>
        <v>0</v>
      </c>
      <c r="JQ9" s="157">
        <f t="shared" si="6"/>
        <v>0</v>
      </c>
      <c r="JR9" s="157">
        <f t="shared" si="6"/>
        <v>0</v>
      </c>
      <c r="JS9" s="157">
        <f t="shared" si="6"/>
        <v>0</v>
      </c>
      <c r="JT9" s="157">
        <f t="shared" si="6"/>
        <v>0</v>
      </c>
      <c r="JU9" s="157"/>
      <c r="JV9" s="157"/>
      <c r="JW9" s="157"/>
      <c r="JX9" s="157"/>
      <c r="JY9" s="157"/>
      <c r="JZ9" s="157"/>
      <c r="KA9" s="157"/>
      <c r="KB9" s="157"/>
      <c r="KC9" s="157"/>
      <c r="KD9" s="157"/>
      <c r="KE9" s="157"/>
      <c r="KF9" s="157"/>
      <c r="KG9" s="170">
        <f>SUM(JJ9,JK9,JN9)</f>
        <v>0</v>
      </c>
      <c r="KH9" s="170">
        <f>SUM(JO9,JQ9,JS9)</f>
        <v>0</v>
      </c>
      <c r="KI9" s="170">
        <f>SUM(JU9,JW9,JZ9)</f>
        <v>0</v>
      </c>
      <c r="KJ9" s="170">
        <f>SUM(KB9,KD9,KF9)</f>
        <v>0</v>
      </c>
      <c r="KK9" s="170">
        <f>KG9+KH9+KI9+KJ9</f>
        <v>0</v>
      </c>
      <c r="KL9" s="157">
        <f t="shared" si="0"/>
        <v>6707.6482649999998</v>
      </c>
      <c r="KM9" s="157">
        <f t="shared" si="0"/>
        <v>6626.0473300000003</v>
      </c>
      <c r="KN9" s="157">
        <f t="shared" si="0"/>
        <v>6683.719255</v>
      </c>
      <c r="KO9" s="157">
        <f t="shared" si="0"/>
        <v>7343.3368680000003</v>
      </c>
      <c r="KP9" s="157">
        <f t="shared" si="0"/>
        <v>7570.8592549999994</v>
      </c>
      <c r="KQ9" s="157">
        <f t="shared" si="0"/>
        <v>6598.1271320000005</v>
      </c>
      <c r="KR9" s="157">
        <f t="shared" si="0"/>
        <v>9858.9097850489889</v>
      </c>
      <c r="KS9" s="157">
        <f t="shared" si="0"/>
        <v>7782.0336319999997</v>
      </c>
      <c r="KT9" s="157">
        <f t="shared" si="0"/>
        <v>9978.6277198371099</v>
      </c>
      <c r="KU9" s="157">
        <f t="shared" si="0"/>
        <v>9072.4685099999988</v>
      </c>
      <c r="KV9" s="157">
        <f t="shared" si="1"/>
        <v>11744.63617302302</v>
      </c>
      <c r="KW9" s="157">
        <f t="shared" si="1"/>
        <v>8101.5123979999998</v>
      </c>
      <c r="KX9" s="157">
        <f t="shared" si="1"/>
        <v>12826.98070728423</v>
      </c>
      <c r="KY9" s="157">
        <f t="shared" si="1"/>
        <v>13832.035062000001</v>
      </c>
      <c r="KZ9" s="157">
        <f t="shared" si="1"/>
        <v>12391.052230263707</v>
      </c>
      <c r="LA9" s="157">
        <f t="shared" si="1"/>
        <v>0</v>
      </c>
      <c r="LB9" s="157">
        <f t="shared" si="1"/>
        <v>12098.134673311744</v>
      </c>
      <c r="LC9" s="637">
        <f t="shared" si="2"/>
        <v>10367.144</v>
      </c>
      <c r="LD9" s="157">
        <f t="shared" si="2"/>
        <v>0</v>
      </c>
      <c r="LE9" s="157">
        <f t="shared" si="2"/>
        <v>12775.649516408372</v>
      </c>
      <c r="LF9" s="637">
        <f t="shared" si="3"/>
        <v>11471.754000000001</v>
      </c>
      <c r="LG9" s="157">
        <f t="shared" si="3"/>
        <v>0</v>
      </c>
      <c r="LH9" s="157">
        <f t="shared" si="3"/>
        <v>13209.702470767481</v>
      </c>
      <c r="LI9" s="637">
        <f t="shared" si="4"/>
        <v>13663.150000000001</v>
      </c>
      <c r="LJ9" s="157">
        <f t="shared" si="4"/>
        <v>0</v>
      </c>
      <c r="LK9" s="157">
        <f t="shared" si="4"/>
        <v>12261.698432160258</v>
      </c>
      <c r="LL9" s="637">
        <f>SUM(AF9,BM9,CT9,EA9,FH9,GO9,HV9,JC9,KF9)</f>
        <v>14092.650000000001</v>
      </c>
      <c r="LM9" s="170">
        <f>SUM(KL9,KM9,KO9)</f>
        <v>20677.032463000003</v>
      </c>
      <c r="LN9" s="170">
        <f>SUM(KQ9,KS9,KU9)</f>
        <v>23452.629273999999</v>
      </c>
      <c r="LO9" s="170">
        <f>SUM(KW9,KY9,LB9)</f>
        <v>34031.682133311748</v>
      </c>
      <c r="LP9" s="170">
        <f>SUM(LE9,LH9,LK9)</f>
        <v>38247.050419336112</v>
      </c>
      <c r="LQ9" s="170">
        <f>LM9+LN9+LO9+LP9</f>
        <v>116408.39428964785</v>
      </c>
      <c r="LR9" s="593">
        <f>KL9+KM9+KO9+KQ9+KS9+KU9+KW9+KY9+LC9+LF9+LI9+LL9</f>
        <v>115657.90719699999</v>
      </c>
      <c r="LS9" s="682"/>
      <c r="LT9" s="682"/>
      <c r="LU9" s="167">
        <f>SUM(AG9,BN9,CU9,EB9,FI9,GP9,HW9)</f>
        <v>20677.032463</v>
      </c>
    </row>
    <row r="10" spans="1:335">
      <c r="A10" s="143" t="s">
        <v>312</v>
      </c>
      <c r="B10" s="143"/>
      <c r="C10" s="143"/>
      <c r="D10" s="143"/>
      <c r="E10" s="143"/>
      <c r="F10" s="157">
        <f>'BUDGET REVENUE CML 2021-2025'!BA265/10^6</f>
        <v>341.08299799999998</v>
      </c>
      <c r="G10" s="157">
        <f>'BUDGET REVENUE CML 2021-2025'!BB265/10^6</f>
        <v>301.888193</v>
      </c>
      <c r="H10" s="157">
        <f>'BUDGET REVENUE CML 2021-2025'!BC265/10^6</f>
        <v>292.26399300000003</v>
      </c>
      <c r="I10" s="157">
        <f>'BUDGET REVENUE CML 2021-2025'!BD265/10^6</f>
        <v>295.79563300000001</v>
      </c>
      <c r="J10" s="157">
        <f>'BUDGET REVENUE CML 2021-2025'!BE265/10^6</f>
        <v>298.07</v>
      </c>
      <c r="K10" s="157">
        <f>'BUDGET REVENUE CML 2021-2025'!BF265/10^6</f>
        <v>332.95927999999998</v>
      </c>
      <c r="L10" s="157">
        <v>318.83867912710525</v>
      </c>
      <c r="M10" s="157">
        <f>'BUDGET REVENUE CML 2021-2025'!BH265/10^6</f>
        <v>149.16736499999999</v>
      </c>
      <c r="N10" s="157">
        <v>334.75692583003143</v>
      </c>
      <c r="O10" s="157">
        <f>'BUDGET REVENUE CML 2021-2025'!BJ265/10^6</f>
        <v>189.13627</v>
      </c>
      <c r="P10" s="157">
        <v>283.47160704354457</v>
      </c>
      <c r="Q10" s="157">
        <f>'BUDGET REVENUE CML 2021-2025'!BL265/10^6</f>
        <v>169.62256500000001</v>
      </c>
      <c r="R10" s="157">
        <f t="shared" si="5"/>
        <v>621.12324999999998</v>
      </c>
      <c r="S10" s="157">
        <f>'BUDGET REVENUE CML 2021-2025'!BN265/10^6</f>
        <v>169.17416299999999</v>
      </c>
      <c r="T10" s="157">
        <f t="shared" si="5"/>
        <v>621.12324999999998</v>
      </c>
      <c r="U10" s="157">
        <f>'BUDGET REVENUE CML 2021-2025'!BP265/10^6</f>
        <v>0</v>
      </c>
      <c r="V10" s="157">
        <f>V20</f>
        <v>621.12324999999998</v>
      </c>
      <c r="W10" s="638">
        <f>'BUDGET REVENUE CML 2021-2025'!BR265/10^6</f>
        <v>207.5</v>
      </c>
      <c r="X10" s="157">
        <f>'BUDGET REVENUE CML 2021-2025'!BS265/10^6</f>
        <v>0</v>
      </c>
      <c r="Y10" s="157">
        <f>Y20</f>
        <v>576.12324999999998</v>
      </c>
      <c r="Z10" s="638">
        <f>'BUDGET REVENUE CML 2021-2025'!BU265/10^6</f>
        <v>275.7</v>
      </c>
      <c r="AA10" s="157">
        <f>'BUDGET REVENUE CML 2021-2025'!BV265/10^6</f>
        <v>0</v>
      </c>
      <c r="AB10" s="157">
        <f>AB20</f>
        <v>576.12324999999998</v>
      </c>
      <c r="AC10" s="638">
        <f>'BUDGET REVENUE CML 2021-2025'!BX265/10^6</f>
        <v>364.7</v>
      </c>
      <c r="AD10" s="157">
        <f>'BUDGET REVENUE CML 2021-2025'!BY265/10^6</f>
        <v>0</v>
      </c>
      <c r="AE10" s="157">
        <f>AE20</f>
        <v>575.12324999999998</v>
      </c>
      <c r="AF10" s="638">
        <f>'BUDGET REVENUE CML 2021-2025'!CA265/10^6</f>
        <v>452.7</v>
      </c>
      <c r="AG10" s="170">
        <f>SUM(F10,G10,I10)</f>
        <v>938.76682400000004</v>
      </c>
      <c r="AH10" s="170">
        <f>SUM(K10,M10,O10)</f>
        <v>671.26291499999991</v>
      </c>
      <c r="AI10" s="170">
        <f>SUM(Q10,S10,V10)</f>
        <v>959.91997800000001</v>
      </c>
      <c r="AJ10" s="170">
        <f>SUM(Y10,AB10,AE10)</f>
        <v>1727.3697499999998</v>
      </c>
      <c r="AK10" s="170">
        <f>AG10+AH10+AI10+AJ10</f>
        <v>4297.3194669999993</v>
      </c>
      <c r="AL10" s="593">
        <f>F10+G10+I10+K10+M10+O10+Q10+S10+W10+Z10+AC10+AF10</f>
        <v>3249.4264669999993</v>
      </c>
      <c r="AM10" s="157">
        <f>'BUDGET REVENUE CML 2021-2025'!BA334/10^6</f>
        <v>427.06700000000001</v>
      </c>
      <c r="AN10" s="157">
        <f>'BUDGET REVENUE CML 2021-2025'!BB334/10^6</f>
        <v>430.79405000000003</v>
      </c>
      <c r="AO10" s="157">
        <f>'BUDGET REVENUE CML 2021-2025'!BC334/10^6</f>
        <v>430.79405000000003</v>
      </c>
      <c r="AP10" s="157">
        <f>'BUDGET REVENUE CML 2021-2025'!BD334/10^6</f>
        <v>423.21292999999997</v>
      </c>
      <c r="AQ10" s="157">
        <f>'BUDGET REVENUE CML 2021-2025'!BE334/10^6</f>
        <v>363.5</v>
      </c>
      <c r="AR10" s="157">
        <f>'BUDGET REVENUE CML 2021-2025'!BF334/10^6</f>
        <v>408.15929999999997</v>
      </c>
      <c r="AS10" s="157">
        <v>387.17281068524966</v>
      </c>
      <c r="AT10" s="157">
        <f>'BUDGET REVENUE CML 2021-2025'!BH334/10^6</f>
        <v>456.69535000000002</v>
      </c>
      <c r="AU10" s="157">
        <v>418.23122482789086</v>
      </c>
      <c r="AV10" s="157">
        <f>'BUDGET REVENUE CML 2021-2025'!BJ334/10^6</f>
        <v>440.57384999999999</v>
      </c>
      <c r="AW10" s="157">
        <v>462.05833756926785</v>
      </c>
      <c r="AX10" s="157">
        <f>'BUDGET REVENUE CML 2021-2025'!BL334/10^6</f>
        <v>386.95460700000001</v>
      </c>
      <c r="AY10" s="157">
        <f>AY20</f>
        <v>579</v>
      </c>
      <c r="AZ10" s="157">
        <f>'BUDGET REVENUE CML 2021-2025'!BN334/10^6</f>
        <v>370.51024699999999</v>
      </c>
      <c r="BA10" s="157">
        <f>BA20</f>
        <v>579</v>
      </c>
      <c r="BB10" s="157">
        <f>'BUDGET REVENUE CML 2021-2025'!BP334/10^6</f>
        <v>0</v>
      </c>
      <c r="BC10" s="157">
        <f>BC20</f>
        <v>609</v>
      </c>
      <c r="BD10" s="638">
        <f>'BUDGET REVENUE CML 2021-2025'!BR334/10^6</f>
        <v>423.4</v>
      </c>
      <c r="BE10" s="157">
        <f>'BUDGET REVENUE CML 2021-2025'!BS334/10^6</f>
        <v>0</v>
      </c>
      <c r="BF10" s="157">
        <f>BF20</f>
        <v>589</v>
      </c>
      <c r="BG10" s="638">
        <f>'BUDGET REVENUE CML 2021-2025'!BU334/10^6</f>
        <v>423.4</v>
      </c>
      <c r="BH10" s="157">
        <f>'BUDGET REVENUE CML 2021-2025'!BV334/10^6</f>
        <v>0</v>
      </c>
      <c r="BI10" s="157">
        <f>BI20</f>
        <v>579</v>
      </c>
      <c r="BJ10" s="638">
        <f>'BUDGET REVENUE CML 2021-2025'!BX334/10^6</f>
        <v>423.4</v>
      </c>
      <c r="BK10" s="157">
        <f>'BUDGET REVENUE CML 2021-2025'!BY334/10^6</f>
        <v>0</v>
      </c>
      <c r="BL10" s="157">
        <f>BL20</f>
        <v>579</v>
      </c>
      <c r="BM10" s="638">
        <f>'BUDGET REVENUE CML 2021-2025'!CA334/10^6</f>
        <v>423.4</v>
      </c>
      <c r="BN10" s="170">
        <f>SUM(AM10,AN10,AP10)</f>
        <v>1281.0739799999999</v>
      </c>
      <c r="BO10" s="170">
        <f>SUM(AR10,AT10,AV10)</f>
        <v>1305.4285</v>
      </c>
      <c r="BP10" s="170">
        <f>SUM(AX10,AZ10,BC10)</f>
        <v>1366.4648540000001</v>
      </c>
      <c r="BQ10" s="170">
        <f>SUM(BF10,BI10,BL10)</f>
        <v>1747</v>
      </c>
      <c r="BR10" s="170">
        <f>BN10+BO10+BP10+BQ10</f>
        <v>5699.9673339999999</v>
      </c>
      <c r="BS10" s="593">
        <f>AM10+AN10+AP10+AR10+AT10+AV10+AX10+AZ10+BD10+BG10+BJ10+BM10</f>
        <v>5037.5673339999994</v>
      </c>
      <c r="BT10" s="157">
        <v>0</v>
      </c>
      <c r="BU10" s="157">
        <v>0</v>
      </c>
      <c r="BV10" s="157">
        <v>0</v>
      </c>
      <c r="BW10" s="157">
        <v>0</v>
      </c>
      <c r="BX10" s="157">
        <v>0</v>
      </c>
      <c r="BY10" s="157">
        <v>0</v>
      </c>
      <c r="BZ10" s="157">
        <v>0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0</v>
      </c>
      <c r="CJ10" s="157">
        <v>0</v>
      </c>
      <c r="CK10" s="638"/>
      <c r="CL10" s="157">
        <v>0</v>
      </c>
      <c r="CM10" s="157">
        <v>0</v>
      </c>
      <c r="CN10" s="638"/>
      <c r="CO10" s="157">
        <v>0</v>
      </c>
      <c r="CP10" s="157">
        <v>0</v>
      </c>
      <c r="CQ10" s="638"/>
      <c r="CR10" s="157">
        <v>0</v>
      </c>
      <c r="CS10" s="157">
        <v>0</v>
      </c>
      <c r="CT10" s="638"/>
      <c r="CU10" s="170">
        <f>SUM(BT10,BU10,BW10)</f>
        <v>0</v>
      </c>
      <c r="CV10" s="170">
        <f>SUM(BY10,CA10,CC10)</f>
        <v>0</v>
      </c>
      <c r="CW10" s="170">
        <f>SUM(CE10,CG10,CJ10)</f>
        <v>0</v>
      </c>
      <c r="CX10" s="170">
        <f>SUM(CM10,CP10,CS10)</f>
        <v>0</v>
      </c>
      <c r="CY10" s="170">
        <f>CU10+CV10+CW10+CX10</f>
        <v>0</v>
      </c>
      <c r="CZ10" s="593">
        <f>BT10+BU10+BW10+BY10+CA10+CC10+CE10+CG10+CK10+CN10+CQ10+CT10</f>
        <v>0</v>
      </c>
      <c r="DA10" s="157">
        <f>'BUDGET REVENUE BP 2021-2025'!CP440/1000000</f>
        <v>277.25807200000003</v>
      </c>
      <c r="DB10" s="157">
        <f>'BUDGET REVENUE BP 2021-2025'!CQ440/1000000</f>
        <v>262.32605999999998</v>
      </c>
      <c r="DC10" s="157">
        <f>'BUDGET REVENUE BP 2021-2025'!CR440/1000000</f>
        <v>169.68606</v>
      </c>
      <c r="DD10" s="157">
        <f>'BUDGET REVENUE BP 2021-2025'!CS440/1000000</f>
        <v>231.7791</v>
      </c>
      <c r="DE10" s="157">
        <f>'BUDGET REVENUE BP 2021-2025'!CT440/1000000</f>
        <v>380</v>
      </c>
      <c r="DF10" s="157">
        <f>'BUDGET REVENUE BP 2021-2025'!CU440/1000000</f>
        <v>1030.8847000000001</v>
      </c>
      <c r="DG10" s="157">
        <v>742.42107234072716</v>
      </c>
      <c r="DH10" s="157">
        <f>'BUDGET REVENUE BP 2021-2025'!CW440/1000000</f>
        <v>798.28679999999997</v>
      </c>
      <c r="DI10" s="157">
        <v>778.1672796618551</v>
      </c>
      <c r="DJ10" s="157">
        <f>'BUDGET REVENUE BP 2021-2025'!CY440/1000000</f>
        <v>947.67665</v>
      </c>
      <c r="DK10" s="157">
        <v>612.55888070293156</v>
      </c>
      <c r="DL10" s="157">
        <f>'BUDGET REVENUE BP 2021-2025'!DA440/1000000</f>
        <v>1176.07375</v>
      </c>
      <c r="DM10" s="157">
        <v>563.09874051054521</v>
      </c>
      <c r="DN10" s="157">
        <f>'BUDGET REVENUE BP 2021-2025'!DC440/1000000</f>
        <v>782.32420000000002</v>
      </c>
      <c r="DO10" s="157">
        <v>554.50095991575461</v>
      </c>
      <c r="DP10" s="157">
        <f>'BUDGET REVENUE BP 2021-2025'!DE440/1000000</f>
        <v>0</v>
      </c>
      <c r="DQ10" s="157">
        <v>592.75487566106494</v>
      </c>
      <c r="DR10" s="638">
        <f>'BUDGET REVENUE BP 2021-2025'!DG440/1000000</f>
        <v>725</v>
      </c>
      <c r="DS10" s="157">
        <f>'BUDGET REVENUE BP 2021-2025'!DH440/1000000</f>
        <v>0</v>
      </c>
      <c r="DT10" s="157">
        <v>577.03471588499758</v>
      </c>
      <c r="DU10" s="638">
        <f>'BUDGET REVENUE BP 2021-2025'!DJ440/1000000</f>
        <v>725</v>
      </c>
      <c r="DV10" s="157">
        <f>'BUDGET REVENUE BP 2021-2025'!DK440/1000000</f>
        <v>0</v>
      </c>
      <c r="DW10" s="157">
        <v>612.07975439819825</v>
      </c>
      <c r="DX10" s="638">
        <f>'BUDGET REVENUE BP 2021-2025'!DM440/1000000</f>
        <v>795</v>
      </c>
      <c r="DY10" s="157">
        <f>'BUDGET REVENUE BP 2021-2025'!DN440/1000000</f>
        <v>0</v>
      </c>
      <c r="DZ10" s="157">
        <v>618.30227308530971</v>
      </c>
      <c r="EA10" s="638">
        <f>'BUDGET REVENUE BP 2021-2025'!DP440/1000000</f>
        <v>795</v>
      </c>
      <c r="EB10" s="170">
        <f>SUM(DA10,DB10,DD10)</f>
        <v>771.36323199999993</v>
      </c>
      <c r="EC10" s="170">
        <f>SUM(DF10,DH10,DJ10)</f>
        <v>2776.8481499999998</v>
      </c>
      <c r="ED10" s="170">
        <f>SUM(DL10,DN10,DQ10)</f>
        <v>2551.152825661065</v>
      </c>
      <c r="EE10" s="170">
        <f>SUM(DT10,DW10,DZ10)</f>
        <v>1807.4167433685054</v>
      </c>
      <c r="EF10" s="170">
        <f>EB10+EC10+ED10+EE10</f>
        <v>7906.7809510295701</v>
      </c>
      <c r="EG10" s="593">
        <f>DA10+DB10+DD10+DF10+DH10+DJ10+DL10+DN10+DR10+DU10+DX10+EA10</f>
        <v>8546.609332</v>
      </c>
      <c r="EH10" s="157">
        <f>'BUDGET REVENUE BP 2021-2025'!CP891/1000000</f>
        <v>1074.92201</v>
      </c>
      <c r="EI10" s="157">
        <f>'BUDGET REVENUE BP 2021-2025'!CQ891/1000000</f>
        <v>2509.108894</v>
      </c>
      <c r="EJ10" s="157">
        <f>'BUDGET REVENUE BP 2021-2025'!CR891/1000000</f>
        <v>2284.3088939999998</v>
      </c>
      <c r="EK10" s="157">
        <f>'BUDGET REVENUE BP 2021-2025'!CS891/1000000</f>
        <v>3055.7281400000002</v>
      </c>
      <c r="EL10" s="157">
        <f>'BUDGET REVENUE BP 2021-2025'!CT891/1000000</f>
        <v>2327.5</v>
      </c>
      <c r="EM10" s="157">
        <f>'BUDGET REVENUE BP 2021-2025'!CU891/1000000</f>
        <v>1903.71866</v>
      </c>
      <c r="EN10" s="157">
        <v>1719.6681172033652</v>
      </c>
      <c r="EO10" s="157">
        <f>'BUDGET REVENUE BP 2021-2025'!CW891/1000000-129</f>
        <v>464.60659999999996</v>
      </c>
      <c r="EP10" s="157">
        <v>1151.6007416563659</v>
      </c>
      <c r="EQ10" s="157">
        <f>'BUDGET REVENUE BP 2021-2025'!CY891/1000000</f>
        <v>2346.62799</v>
      </c>
      <c r="ER10" s="157">
        <v>3193.2456140350878</v>
      </c>
      <c r="ES10" s="157">
        <f>'BUDGET REVENUE BP 2021-2025'!DA891/1000000-189</f>
        <v>3147.2144199999998</v>
      </c>
      <c r="ET10" s="157">
        <v>525.14567211625797</v>
      </c>
      <c r="EU10" s="157">
        <f>'BUDGET REVENUE BP 2021-2025'!DC891/1000000</f>
        <v>4144.4422299999997</v>
      </c>
      <c r="EV10" s="157">
        <v>2860.866837865537</v>
      </c>
      <c r="EW10" s="157">
        <f>'BUDGET REVENUE BP 2021-2025'!DE891/1000000</f>
        <v>0</v>
      </c>
      <c r="EX10" s="157">
        <v>435.44481308411213</v>
      </c>
      <c r="EY10" s="638">
        <f>'BUDGET REVENUE BP 2021-2025'!DG891/1000000</f>
        <v>1800</v>
      </c>
      <c r="EZ10" s="157">
        <f>'BUDGET REVENUE BP 2021-2025'!DH891/1000000</f>
        <v>0</v>
      </c>
      <c r="FA10" s="157">
        <v>154.67348113207547</v>
      </c>
      <c r="FB10" s="638">
        <f>'BUDGET REVENUE BP 2021-2025'!DJ891/1000000</f>
        <v>1600</v>
      </c>
      <c r="FC10" s="157">
        <f>'BUDGET REVENUE BP 2021-2025'!DK891/1000000</f>
        <v>0</v>
      </c>
      <c r="FD10" s="157">
        <v>1794.8574815374282</v>
      </c>
      <c r="FE10" s="638">
        <f>'BUDGET REVENUE BP 2021-2025'!DM891/1000000</f>
        <v>2555</v>
      </c>
      <c r="FF10" s="157">
        <f>'BUDGET REVENUE BP 2021-2025'!DN891/1000000</f>
        <v>0</v>
      </c>
      <c r="FG10" s="157">
        <v>1046.2208092485548</v>
      </c>
      <c r="FH10" s="638">
        <f>'BUDGET REVENUE BP 2021-2025'!DP891/1000000</f>
        <v>2555</v>
      </c>
      <c r="FI10" s="170">
        <f>SUM(EH10,EI10,EK10)</f>
        <v>6639.7590440000004</v>
      </c>
      <c r="FJ10" s="170">
        <f>SUM(EM10,EO10,EQ10)</f>
        <v>4714.9532500000005</v>
      </c>
      <c r="FK10" s="170">
        <f>SUM(ES10,EU10,EX10)</f>
        <v>7727.1014630841109</v>
      </c>
      <c r="FL10" s="170">
        <f>SUM(FA10,FD10,FG10)</f>
        <v>2995.7517719180587</v>
      </c>
      <c r="FM10" s="170">
        <f>FI10+FJ10+FK10+FL10</f>
        <v>22077.565529002171</v>
      </c>
      <c r="FN10" s="593">
        <f>EH10+EI10+EK10+EM10+EO10+EQ10+ES10+EU10+EY10+FB10+FE10+FH10</f>
        <v>27156.368944000002</v>
      </c>
      <c r="FO10" s="157">
        <f>('BUDGET REVENUE BP 2021-2025'!CP810/1000000)+('BUDGET REVENUE CML 2021-2025'!BA348/10^6)</f>
        <v>498.76490999999999</v>
      </c>
      <c r="FP10" s="157">
        <f>'BUDGET REVENUE BP 2021-2025'!CQ810/1000000</f>
        <v>206.39223999999999</v>
      </c>
      <c r="FQ10" s="157">
        <f>'BUDGET REVENUE BP 2021-2025'!CR810/1000000</f>
        <v>462.28268000000003</v>
      </c>
      <c r="FR10" s="157">
        <f>'BUDGET REVENUE BP 2021-2025'!CS810/1000000</f>
        <v>119.25463999999999</v>
      </c>
      <c r="FS10" s="157">
        <f>'BUDGET REVENUE BP 2021-2025'!CT810/1000000</f>
        <v>398.9</v>
      </c>
      <c r="FT10" s="157">
        <f>'BUDGET REVENUE BP 2021-2025'!CU810/1000000</f>
        <v>516.19605000000001</v>
      </c>
      <c r="FU10" s="157">
        <v>522.42891398783672</v>
      </c>
      <c r="FV10" s="157">
        <f>'BUDGET REVENUE BP 2021-2025'!CW810/1000000</f>
        <v>437.57222000000002</v>
      </c>
      <c r="FW10" s="157">
        <v>273.75992634368805</v>
      </c>
      <c r="FX10" s="157">
        <f>'BUDGET REVENUE BP 2021-2025'!CY810/1000000</f>
        <v>393.88423</v>
      </c>
      <c r="FY10" s="157">
        <v>213.00142255327393</v>
      </c>
      <c r="FZ10" s="157">
        <f>'BUDGET REVENUE BP 2021-2025'!DA810/1000000</f>
        <v>292.40065399999997</v>
      </c>
      <c r="GA10" s="157">
        <v>470.30862279724209</v>
      </c>
      <c r="GB10" s="157">
        <f>'BUDGET REVENUE BP 2021-2025'!DC810/1000000</f>
        <v>692.62208999999996</v>
      </c>
      <c r="GC10" s="157">
        <v>527.88875395224022</v>
      </c>
      <c r="GD10" s="157">
        <f>'BUDGET REVENUE BP 2021-2025'!DE810/1000000</f>
        <v>0</v>
      </c>
      <c r="GE10" s="157">
        <v>498.26135611933483</v>
      </c>
      <c r="GF10" s="638">
        <f>'BUDGET REVENUE BP 2021-2025'!DG810/1000000</f>
        <v>561</v>
      </c>
      <c r="GG10" s="157">
        <f>'BUDGET REVENUE BP 2021-2025'!DH810/1000000</f>
        <v>0</v>
      </c>
      <c r="GH10" s="157">
        <v>655.98681400080307</v>
      </c>
      <c r="GI10" s="638">
        <f>'BUDGET REVENUE BP 2021-2025'!DJ810/1000000</f>
        <v>694.5</v>
      </c>
      <c r="GJ10" s="157">
        <f>'BUDGET REVENUE BP 2021-2025'!DK810/1000000</f>
        <v>0</v>
      </c>
      <c r="GK10" s="157">
        <v>677.54014340831054</v>
      </c>
      <c r="GL10" s="638">
        <f>'BUDGET REVENUE BP 2021-2025'!DM810/1000000</f>
        <v>615</v>
      </c>
      <c r="GM10" s="157">
        <f>'BUDGET REVENUE BP 2021-2025'!DN810/1000000</f>
        <v>0</v>
      </c>
      <c r="GN10" s="157">
        <v>533.86053063938834</v>
      </c>
      <c r="GO10" s="638">
        <f>'BUDGET REVENUE BP 2021-2025'!DP810/1000000</f>
        <v>561</v>
      </c>
      <c r="GP10" s="580">
        <f>SUM(FO10,FP10,FR10)</f>
        <v>824.41179</v>
      </c>
      <c r="GQ10" s="580">
        <f>SUM(FT10,FV10,FX10)</f>
        <v>1347.6525000000001</v>
      </c>
      <c r="GR10" s="170">
        <f>SUM(FZ10,GB10,GE10)</f>
        <v>1483.2841001193347</v>
      </c>
      <c r="GS10" s="580">
        <f>SUM(GH10,GK10,GN10)</f>
        <v>1867.3874880485018</v>
      </c>
      <c r="GT10" s="170">
        <f>GP10+GQ10+GR10+GS10</f>
        <v>5522.7358781678367</v>
      </c>
      <c r="GU10" s="593">
        <f>FO10+FP10+FR10+FT10+FV10+FX10+FZ10+GB10+GF10+GI10+GL10+GO10</f>
        <v>5588.5870340000001</v>
      </c>
      <c r="GV10" s="157">
        <v>0</v>
      </c>
      <c r="GW10" s="157">
        <v>0</v>
      </c>
      <c r="GX10" s="157">
        <v>0</v>
      </c>
      <c r="GY10" s="157">
        <v>0</v>
      </c>
      <c r="GZ10" s="157">
        <v>0</v>
      </c>
      <c r="HA10" s="157">
        <v>0</v>
      </c>
      <c r="HB10" s="157">
        <v>0</v>
      </c>
      <c r="HC10" s="157">
        <v>0</v>
      </c>
      <c r="HD10" s="157">
        <v>0</v>
      </c>
      <c r="HE10" s="157">
        <v>0</v>
      </c>
      <c r="HF10" s="157">
        <v>0</v>
      </c>
      <c r="HG10" s="157">
        <v>0</v>
      </c>
      <c r="HH10" s="157">
        <v>0</v>
      </c>
      <c r="HI10" s="157">
        <v>0</v>
      </c>
      <c r="HJ10" s="157">
        <v>0</v>
      </c>
      <c r="HK10" s="157">
        <v>0</v>
      </c>
      <c r="HL10" s="157">
        <v>0</v>
      </c>
      <c r="HM10" s="638"/>
      <c r="HN10" s="157">
        <v>0</v>
      </c>
      <c r="HO10" s="157">
        <v>0</v>
      </c>
      <c r="HP10" s="638"/>
      <c r="HQ10" s="157">
        <v>0</v>
      </c>
      <c r="HR10" s="157">
        <v>0</v>
      </c>
      <c r="HS10" s="638"/>
      <c r="HT10" s="157">
        <v>0</v>
      </c>
      <c r="HU10" s="157">
        <v>0</v>
      </c>
      <c r="HV10" s="638"/>
      <c r="HW10" s="170">
        <f>SUM(GV10,GW10,GZ10)</f>
        <v>0</v>
      </c>
      <c r="HX10" s="170">
        <f>SUM(HA10,HC10,HE10)</f>
        <v>0</v>
      </c>
      <c r="HY10" s="170">
        <f>SUM(HG10,HI10,HL10)</f>
        <v>0</v>
      </c>
      <c r="HZ10" s="170">
        <f>SUM(HO10,HR10,HU10)</f>
        <v>0</v>
      </c>
      <c r="IA10" s="170">
        <f>HW10+HX10+HY10+HZ10</f>
        <v>0</v>
      </c>
      <c r="IB10" s="593">
        <f>GV10+GW10+GY10+HA10+HC10+HE10+HG10+HI10+HM10+HP10+HS10+HV10</f>
        <v>0</v>
      </c>
      <c r="IC10" s="578">
        <v>0</v>
      </c>
      <c r="ID10" s="578">
        <v>0</v>
      </c>
      <c r="IE10" s="578">
        <v>0</v>
      </c>
      <c r="IF10" s="578">
        <v>0</v>
      </c>
      <c r="IG10" s="578">
        <v>0</v>
      </c>
      <c r="IH10" s="578">
        <v>0</v>
      </c>
      <c r="II10" s="578">
        <v>0</v>
      </c>
      <c r="IJ10" s="578">
        <v>0</v>
      </c>
      <c r="IK10" s="578">
        <v>0</v>
      </c>
      <c r="IL10" s="578">
        <v>0</v>
      </c>
      <c r="IM10" s="578">
        <v>0</v>
      </c>
      <c r="IN10" s="578">
        <v>0</v>
      </c>
      <c r="IO10" s="578">
        <v>0</v>
      </c>
      <c r="IP10" s="578">
        <v>0</v>
      </c>
      <c r="IQ10" s="578">
        <v>0</v>
      </c>
      <c r="IR10" s="578">
        <v>0</v>
      </c>
      <c r="IS10" s="578">
        <v>0</v>
      </c>
      <c r="IT10" s="638"/>
      <c r="IU10" s="578">
        <v>0</v>
      </c>
      <c r="IV10" s="578">
        <v>0</v>
      </c>
      <c r="IW10" s="638"/>
      <c r="IX10" s="578">
        <v>0</v>
      </c>
      <c r="IY10" s="578">
        <v>0</v>
      </c>
      <c r="IZ10" s="638"/>
      <c r="JA10" s="578">
        <v>0</v>
      </c>
      <c r="JB10" s="578">
        <v>0</v>
      </c>
      <c r="JC10" s="638"/>
      <c r="JD10" s="170">
        <f>SUM(IC10,ID10,IG10)</f>
        <v>0</v>
      </c>
      <c r="JE10" s="170">
        <f>SUM(IH10,IJ10,IL10)</f>
        <v>0</v>
      </c>
      <c r="JF10" s="170">
        <f>SUM(IN10,IP10,IS10)</f>
        <v>0</v>
      </c>
      <c r="JG10" s="170">
        <f>SUM(IV10,IY10,JB10)</f>
        <v>0</v>
      </c>
      <c r="JH10" s="170">
        <f>JD10+JE10+JF10+JG10</f>
        <v>0</v>
      </c>
      <c r="JI10" s="593">
        <f>IC10+ID10+IF10+IH10+IJ10+IL10+IN10+IP10+IT10+IW10+IZ10+JC10</f>
        <v>0</v>
      </c>
      <c r="JJ10" s="157">
        <f t="shared" si="6"/>
        <v>0</v>
      </c>
      <c r="JK10" s="157">
        <f t="shared" si="6"/>
        <v>0</v>
      </c>
      <c r="JL10" s="157">
        <f t="shared" si="6"/>
        <v>0</v>
      </c>
      <c r="JM10" s="157">
        <f t="shared" si="6"/>
        <v>0</v>
      </c>
      <c r="JN10" s="157">
        <f t="shared" si="6"/>
        <v>0</v>
      </c>
      <c r="JO10" s="157">
        <f t="shared" si="6"/>
        <v>0</v>
      </c>
      <c r="JP10" s="157">
        <f t="shared" si="6"/>
        <v>0</v>
      </c>
      <c r="JQ10" s="157">
        <f t="shared" si="6"/>
        <v>0</v>
      </c>
      <c r="JR10" s="157">
        <f t="shared" si="6"/>
        <v>0</v>
      </c>
      <c r="JS10" s="157">
        <f t="shared" si="6"/>
        <v>0</v>
      </c>
      <c r="JT10" s="157">
        <f t="shared" si="6"/>
        <v>0</v>
      </c>
      <c r="JU10" s="157"/>
      <c r="JV10" s="157"/>
      <c r="JW10" s="157"/>
      <c r="JX10" s="157"/>
      <c r="JY10" s="157"/>
      <c r="JZ10" s="157"/>
      <c r="KA10" s="157"/>
      <c r="KB10" s="157"/>
      <c r="KC10" s="157"/>
      <c r="KD10" s="157"/>
      <c r="KE10" s="157"/>
      <c r="KF10" s="157"/>
      <c r="KG10" s="170">
        <f>SUM(JJ10,JK10,JN10)</f>
        <v>0</v>
      </c>
      <c r="KH10" s="170">
        <f>SUM(JO10,JQ10,JS10)</f>
        <v>0</v>
      </c>
      <c r="KI10" s="170">
        <f>SUM(JU10,JW10,JZ10)</f>
        <v>0</v>
      </c>
      <c r="KJ10" s="170">
        <f>SUM(KB10,KD10,KF10)</f>
        <v>0</v>
      </c>
      <c r="KK10" s="170">
        <f>KG10+KH10+KI10+KJ10</f>
        <v>0</v>
      </c>
      <c r="KL10" s="157">
        <f t="shared" si="0"/>
        <v>2619.0949899999996</v>
      </c>
      <c r="KM10" s="157">
        <f t="shared" si="0"/>
        <v>3710.5094370000002</v>
      </c>
      <c r="KN10" s="157">
        <f t="shared" si="0"/>
        <v>3639.335677</v>
      </c>
      <c r="KO10" s="157">
        <f t="shared" si="0"/>
        <v>4125.7704430000003</v>
      </c>
      <c r="KP10" s="157">
        <f t="shared" si="0"/>
        <v>3767.97</v>
      </c>
      <c r="KQ10" s="157">
        <f t="shared" si="0"/>
        <v>4191.9179899999999</v>
      </c>
      <c r="KR10" s="157">
        <f t="shared" si="0"/>
        <v>3690.529593344284</v>
      </c>
      <c r="KS10" s="157">
        <f t="shared" si="0"/>
        <v>2306.3283350000002</v>
      </c>
      <c r="KT10" s="157">
        <f t="shared" si="0"/>
        <v>2956.5160983198316</v>
      </c>
      <c r="KU10" s="157">
        <f t="shared" si="0"/>
        <v>4317.8989899999997</v>
      </c>
      <c r="KV10" s="157">
        <f t="shared" si="1"/>
        <v>4764.3358619041064</v>
      </c>
      <c r="KW10" s="157">
        <f t="shared" si="1"/>
        <v>5172.2659960000001</v>
      </c>
      <c r="KX10" s="157">
        <f t="shared" si="1"/>
        <v>2758.6762854240455</v>
      </c>
      <c r="KY10" s="157">
        <f t="shared" si="1"/>
        <v>6159.0729299999994</v>
      </c>
      <c r="KZ10" s="157">
        <f t="shared" si="1"/>
        <v>5143.3798017335321</v>
      </c>
      <c r="LA10" s="157">
        <f t="shared" si="1"/>
        <v>0</v>
      </c>
      <c r="LB10" s="157">
        <f t="shared" si="1"/>
        <v>2756.5842948645118</v>
      </c>
      <c r="LC10" s="637">
        <f t="shared" si="2"/>
        <v>3716.9</v>
      </c>
      <c r="LD10" s="157">
        <f t="shared" si="2"/>
        <v>0</v>
      </c>
      <c r="LE10" s="157">
        <f t="shared" si="2"/>
        <v>2552.8182610178765</v>
      </c>
      <c r="LF10" s="637">
        <f t="shared" si="3"/>
        <v>3718.6</v>
      </c>
      <c r="LG10" s="157">
        <f t="shared" si="3"/>
        <v>0</v>
      </c>
      <c r="LH10" s="157">
        <f t="shared" si="3"/>
        <v>4239.6006293439368</v>
      </c>
      <c r="LI10" s="637">
        <f t="shared" si="4"/>
        <v>4753.1000000000004</v>
      </c>
      <c r="LJ10" s="157">
        <f t="shared" si="4"/>
        <v>0</v>
      </c>
      <c r="LK10" s="157">
        <f t="shared" si="4"/>
        <v>3352.5068629732532</v>
      </c>
      <c r="LL10" s="637">
        <f>SUM(AF10,BM10,CT10,EA10,FH10,GO10,HV10,JC10,KF10)</f>
        <v>4787.1000000000004</v>
      </c>
      <c r="LM10" s="170">
        <f>SUM(KL10,KM10,KO10)</f>
        <v>10455.37487</v>
      </c>
      <c r="LN10" s="170">
        <f>SUM(KQ10,KS10,KU10)</f>
        <v>10816.145315</v>
      </c>
      <c r="LO10" s="170">
        <f>SUM(KW10,KY10,LB10)</f>
        <v>14087.923220864512</v>
      </c>
      <c r="LP10" s="170">
        <f>SUM(LE10,LH10,LK10)</f>
        <v>10144.925753335066</v>
      </c>
      <c r="LQ10" s="170">
        <f>LM10+LN10+LO10+LP10</f>
        <v>45504.369159199581</v>
      </c>
      <c r="LR10" s="593">
        <f>KL10+KM10+KO10+KQ10+KS10+KU10+KW10+KY10+LC10+LF10+LI10+LL10</f>
        <v>49578.559110999995</v>
      </c>
      <c r="LS10" s="682"/>
      <c r="LT10" s="682"/>
      <c r="LU10" s="167">
        <f>SUM(AG10,BN10,CU10,EB10,FI10,GP10,HW10)</f>
        <v>10455.374870000001</v>
      </c>
    </row>
    <row r="11" spans="1:335" s="51" customFormat="1">
      <c r="A11" s="156" t="s">
        <v>1208</v>
      </c>
      <c r="B11" s="156"/>
      <c r="C11" s="156"/>
      <c r="D11" s="156"/>
      <c r="E11" s="156"/>
      <c r="F11" s="158">
        <f t="shared" ref="F11:CB11" si="7">SUM(F7:F10)</f>
        <v>7895.2536110000001</v>
      </c>
      <c r="G11" s="158">
        <f t="shared" si="7"/>
        <v>7342.5642749999997</v>
      </c>
      <c r="H11" s="158">
        <f t="shared" si="7"/>
        <v>7502.4619010000006</v>
      </c>
      <c r="I11" s="158">
        <f t="shared" si="7"/>
        <v>7107.8029509999997</v>
      </c>
      <c r="J11" s="158">
        <f t="shared" si="7"/>
        <v>7658.2686289999992</v>
      </c>
      <c r="K11" s="158">
        <f t="shared" si="7"/>
        <v>7521.7309860000005</v>
      </c>
      <c r="L11" s="158">
        <f t="shared" si="7"/>
        <v>8756.9059852999999</v>
      </c>
      <c r="M11" s="158">
        <f t="shared" si="7"/>
        <v>6656.8085739999997</v>
      </c>
      <c r="N11" s="158">
        <f t="shared" si="7"/>
        <v>8700.5158052999996</v>
      </c>
      <c r="O11" s="158">
        <f t="shared" si="7"/>
        <v>7934.4444629999998</v>
      </c>
      <c r="P11" s="158">
        <f t="shared" si="7"/>
        <v>9700.3187964499994</v>
      </c>
      <c r="Q11" s="158">
        <f t="shared" si="7"/>
        <v>6406.0750549999993</v>
      </c>
      <c r="R11" s="158">
        <f t="shared" si="7"/>
        <v>12155.83000922742</v>
      </c>
      <c r="S11" s="158">
        <f t="shared" si="7"/>
        <v>9501.3901179999993</v>
      </c>
      <c r="T11" s="158">
        <f t="shared" si="7"/>
        <v>12150.83000922742</v>
      </c>
      <c r="U11" s="158">
        <f t="shared" si="7"/>
        <v>0</v>
      </c>
      <c r="V11" s="158">
        <f t="shared" si="7"/>
        <v>12255.83000922742</v>
      </c>
      <c r="W11" s="594">
        <f t="shared" si="7"/>
        <v>9067.8721619999997</v>
      </c>
      <c r="X11" s="158">
        <f t="shared" si="7"/>
        <v>0</v>
      </c>
      <c r="Y11" s="158">
        <f t="shared" si="7"/>
        <v>12305.83000922742</v>
      </c>
      <c r="Z11" s="594">
        <f t="shared" si="7"/>
        <v>10054.072162</v>
      </c>
      <c r="AA11" s="158">
        <f t="shared" si="7"/>
        <v>0</v>
      </c>
      <c r="AB11" s="158">
        <f t="shared" si="7"/>
        <v>12310.83000922742</v>
      </c>
      <c r="AC11" s="594">
        <f t="shared" si="7"/>
        <v>10709.072162</v>
      </c>
      <c r="AD11" s="158">
        <f t="shared" si="7"/>
        <v>0</v>
      </c>
      <c r="AE11" s="158">
        <f t="shared" si="7"/>
        <v>12304.83000922742</v>
      </c>
      <c r="AF11" s="594">
        <f t="shared" si="7"/>
        <v>11371.480162</v>
      </c>
      <c r="AG11" s="171">
        <f t="shared" si="7"/>
        <v>22345.620836999999</v>
      </c>
      <c r="AH11" s="579">
        <f t="shared" si="7"/>
        <v>22112.984023000001</v>
      </c>
      <c r="AI11" s="171">
        <f t="shared" si="7"/>
        <v>28163.295182227423</v>
      </c>
      <c r="AJ11" s="171">
        <f>SUM(AJ7:AJ10)</f>
        <v>36921.490027682259</v>
      </c>
      <c r="AK11" s="171">
        <f>SUM(AK7:AK10)</f>
        <v>109543.39006990967</v>
      </c>
      <c r="AL11" s="687">
        <f>SUM(AL7:AL10)</f>
        <v>101568.566681</v>
      </c>
      <c r="AM11" s="158">
        <f>SUM(AM7:AM10)</f>
        <v>3447.5306190000001</v>
      </c>
      <c r="AN11" s="158">
        <f t="shared" si="7"/>
        <v>4283.3325930000001</v>
      </c>
      <c r="AO11" s="158">
        <f t="shared" si="7"/>
        <v>3984.79405</v>
      </c>
      <c r="AP11" s="158">
        <f t="shared" si="7"/>
        <v>6941.5341099999996</v>
      </c>
      <c r="AQ11" s="158">
        <f t="shared" si="7"/>
        <v>4504.8999999999996</v>
      </c>
      <c r="AR11" s="595">
        <f t="shared" si="7"/>
        <v>4883.2084320000004</v>
      </c>
      <c r="AS11" s="595">
        <f t="shared" si="7"/>
        <v>4587.4650000000001</v>
      </c>
      <c r="AT11" s="595">
        <f t="shared" si="7"/>
        <v>4061.3677729999999</v>
      </c>
      <c r="AU11" s="595">
        <f t="shared" si="7"/>
        <v>5366.2800000000007</v>
      </c>
      <c r="AV11" s="595">
        <f t="shared" si="7"/>
        <v>4187.2163609999998</v>
      </c>
      <c r="AW11" s="595">
        <f t="shared" si="7"/>
        <v>5238.4799999999996</v>
      </c>
      <c r="AX11" s="595">
        <f t="shared" si="7"/>
        <v>3676.10896</v>
      </c>
      <c r="AY11" s="595">
        <f t="shared" si="7"/>
        <v>5112.6315458406407</v>
      </c>
      <c r="AZ11" s="595">
        <f t="shared" si="7"/>
        <v>4390.1067760000005</v>
      </c>
      <c r="BA11" s="595">
        <f t="shared" si="7"/>
        <v>6712.6315458406407</v>
      </c>
      <c r="BB11" s="158">
        <f t="shared" si="7"/>
        <v>0</v>
      </c>
      <c r="BC11" s="158">
        <f t="shared" si="7"/>
        <v>5322.6315458406407</v>
      </c>
      <c r="BD11" s="594">
        <f>SUM(BD7:BD10)</f>
        <v>4957.8999999999996</v>
      </c>
      <c r="BE11" s="158">
        <f t="shared" si="7"/>
        <v>0</v>
      </c>
      <c r="BF11" s="158">
        <f t="shared" si="7"/>
        <v>5122.6315458406407</v>
      </c>
      <c r="BG11" s="594">
        <f>SUM(BG7:BG10)</f>
        <v>5182.8999999999996</v>
      </c>
      <c r="BH11" s="158">
        <f t="shared" si="7"/>
        <v>0</v>
      </c>
      <c r="BI11" s="158">
        <f t="shared" si="7"/>
        <v>5112.6315458406407</v>
      </c>
      <c r="BJ11" s="594">
        <f>SUM(BJ7:BJ10)</f>
        <v>6718.9</v>
      </c>
      <c r="BK11" s="158">
        <f t="shared" si="7"/>
        <v>0</v>
      </c>
      <c r="BL11" s="158">
        <f t="shared" si="7"/>
        <v>6892.6315458406407</v>
      </c>
      <c r="BM11" s="594">
        <f>SUM(BM7:BM10)</f>
        <v>7719.7999999999993</v>
      </c>
      <c r="BN11" s="171">
        <f t="shared" si="7"/>
        <v>14672.397321999999</v>
      </c>
      <c r="BO11" s="579">
        <f t="shared" si="7"/>
        <v>13131.792566</v>
      </c>
      <c r="BP11" s="579">
        <f t="shared" si="7"/>
        <v>13388.847281840641</v>
      </c>
      <c r="BQ11" s="579">
        <f t="shared" si="7"/>
        <v>17127.894637521924</v>
      </c>
      <c r="BR11" s="171">
        <f>SUM(BR7:BR10)</f>
        <v>58320.931807362562</v>
      </c>
      <c r="BS11" s="687">
        <f>SUM(BS7:BS10)</f>
        <v>60449.905624000006</v>
      </c>
      <c r="BT11" s="158">
        <f t="shared" si="7"/>
        <v>513</v>
      </c>
      <c r="BU11" s="158">
        <f t="shared" si="7"/>
        <v>363</v>
      </c>
      <c r="BV11" s="158">
        <f t="shared" si="7"/>
        <v>319.5</v>
      </c>
      <c r="BW11" s="158">
        <f t="shared" si="7"/>
        <v>244</v>
      </c>
      <c r="BX11" s="158">
        <f t="shared" si="7"/>
        <v>1710.3</v>
      </c>
      <c r="BY11" s="158">
        <f t="shared" si="7"/>
        <v>1638.4</v>
      </c>
      <c r="BZ11" s="158">
        <f t="shared" si="7"/>
        <v>1270.8</v>
      </c>
      <c r="CA11" s="158">
        <f t="shared" si="7"/>
        <v>743.33573200000001</v>
      </c>
      <c r="CB11" s="158">
        <f t="shared" si="7"/>
        <v>1038.5</v>
      </c>
      <c r="CC11" s="158">
        <f t="shared" ref="CC11:FA11" si="8">SUM(CC7:CC10)</f>
        <v>723.23184500000002</v>
      </c>
      <c r="CD11" s="158">
        <f t="shared" si="8"/>
        <v>1038.5</v>
      </c>
      <c r="CE11" s="158">
        <f t="shared" si="8"/>
        <v>772.67918099999997</v>
      </c>
      <c r="CF11" s="158">
        <f t="shared" si="8"/>
        <v>1480.1400000000003</v>
      </c>
      <c r="CG11" s="158">
        <f t="shared" si="8"/>
        <v>701.88104999999996</v>
      </c>
      <c r="CH11" s="158">
        <f t="shared" si="8"/>
        <v>1480.1400000000003</v>
      </c>
      <c r="CI11" s="158">
        <f t="shared" si="8"/>
        <v>0</v>
      </c>
      <c r="CJ11" s="158">
        <f t="shared" si="8"/>
        <v>1781.6500000000003</v>
      </c>
      <c r="CK11" s="594">
        <f t="shared" si="8"/>
        <v>1383.3</v>
      </c>
      <c r="CL11" s="158">
        <f t="shared" si="8"/>
        <v>0</v>
      </c>
      <c r="CM11" s="158">
        <f t="shared" si="8"/>
        <v>1781.6500000000003</v>
      </c>
      <c r="CN11" s="594">
        <f t="shared" si="8"/>
        <v>1493.8</v>
      </c>
      <c r="CO11" s="158">
        <f t="shared" si="8"/>
        <v>0</v>
      </c>
      <c r="CP11" s="158">
        <f t="shared" si="8"/>
        <v>1781.6500000000003</v>
      </c>
      <c r="CQ11" s="594">
        <f t="shared" si="8"/>
        <v>1604.3</v>
      </c>
      <c r="CR11" s="158">
        <f t="shared" si="8"/>
        <v>0</v>
      </c>
      <c r="CS11" s="158">
        <f t="shared" si="8"/>
        <v>1781.6500000000003</v>
      </c>
      <c r="CT11" s="594">
        <f t="shared" si="8"/>
        <v>1694.8</v>
      </c>
      <c r="CU11" s="171">
        <f t="shared" si="8"/>
        <v>1120</v>
      </c>
      <c r="CV11" s="579">
        <f t="shared" si="8"/>
        <v>3104.9675770000003</v>
      </c>
      <c r="CW11" s="579">
        <f>SUM(CW7:CW10)</f>
        <v>3256.210231</v>
      </c>
      <c r="CX11" s="579">
        <f t="shared" si="8"/>
        <v>5344.9500000000007</v>
      </c>
      <c r="CY11" s="171">
        <f>SUM(CY7:CY10)</f>
        <v>12826.127808000001</v>
      </c>
      <c r="CZ11" s="687">
        <f>SUM(CZ7:CZ10)</f>
        <v>11875.727808</v>
      </c>
      <c r="DA11" s="158">
        <f t="shared" si="8"/>
        <v>9186.0461430000014</v>
      </c>
      <c r="DB11" s="158">
        <f t="shared" si="8"/>
        <v>9021.3228449999988</v>
      </c>
      <c r="DC11" s="158">
        <f t="shared" si="8"/>
        <v>9483.499092</v>
      </c>
      <c r="DD11" s="158">
        <f t="shared" si="8"/>
        <v>10372.135104000001</v>
      </c>
      <c r="DE11" s="158">
        <f t="shared" si="8"/>
        <v>11784.217322</v>
      </c>
      <c r="DF11" s="158">
        <f t="shared" si="8"/>
        <v>10633.749807</v>
      </c>
      <c r="DG11" s="158">
        <f t="shared" si="8"/>
        <v>12852.017324</v>
      </c>
      <c r="DH11" s="158">
        <f t="shared" si="8"/>
        <v>8654.6488989999998</v>
      </c>
      <c r="DI11" s="158">
        <f t="shared" si="8"/>
        <v>11531.426126000002</v>
      </c>
      <c r="DJ11" s="158">
        <f t="shared" si="8"/>
        <v>10709.11067</v>
      </c>
      <c r="DK11" s="158">
        <f t="shared" si="8"/>
        <v>13621.319058599998</v>
      </c>
      <c r="DL11" s="158">
        <f t="shared" si="8"/>
        <v>10695.020025</v>
      </c>
      <c r="DM11" s="158">
        <f t="shared" si="8"/>
        <v>12802.421982899999</v>
      </c>
      <c r="DN11" s="158">
        <f t="shared" si="8"/>
        <v>11374.386245999998</v>
      </c>
      <c r="DO11" s="158">
        <f t="shared" si="8"/>
        <v>13022.421982899998</v>
      </c>
      <c r="DP11" s="158">
        <f t="shared" si="8"/>
        <v>0</v>
      </c>
      <c r="DQ11" s="158">
        <f t="shared" si="8"/>
        <v>13319.421982899999</v>
      </c>
      <c r="DR11" s="594">
        <f>SUM(DR7:DR10)</f>
        <v>15356.160059</v>
      </c>
      <c r="DS11" s="158">
        <f t="shared" si="8"/>
        <v>0</v>
      </c>
      <c r="DT11" s="158">
        <f t="shared" si="8"/>
        <v>13462.421982899998</v>
      </c>
      <c r="DU11" s="594">
        <f>SUM(DU7:DU10)</f>
        <v>15946.160059</v>
      </c>
      <c r="DV11" s="158">
        <f t="shared" si="8"/>
        <v>0</v>
      </c>
      <c r="DW11" s="158">
        <f t="shared" si="8"/>
        <v>13335.921982899998</v>
      </c>
      <c r="DX11" s="594">
        <f>SUM(DX7:DX10)</f>
        <v>16256.160059</v>
      </c>
      <c r="DY11" s="158">
        <f t="shared" si="8"/>
        <v>0</v>
      </c>
      <c r="DZ11" s="158">
        <f t="shared" si="8"/>
        <v>13272.121982899997</v>
      </c>
      <c r="EA11" s="594">
        <f>SUM(EA7:EA10)</f>
        <v>16366.160059</v>
      </c>
      <c r="EB11" s="171">
        <f t="shared" si="8"/>
        <v>28579.504091999999</v>
      </c>
      <c r="EC11" s="579">
        <f t="shared" si="8"/>
        <v>29997.509375999995</v>
      </c>
      <c r="ED11" s="171">
        <f t="shared" si="8"/>
        <v>35388.828253899992</v>
      </c>
      <c r="EE11" s="171">
        <f t="shared" si="8"/>
        <v>40070.465948699988</v>
      </c>
      <c r="EF11" s="171">
        <f>SUM(EF7:EF10)</f>
        <v>134036.30767059998</v>
      </c>
      <c r="EG11" s="594">
        <f>SUM(EG7:EG10)</f>
        <v>144571.05997500001</v>
      </c>
      <c r="EH11" s="158">
        <f t="shared" si="8"/>
        <v>1141.3410100000001</v>
      </c>
      <c r="EI11" s="158">
        <f t="shared" si="8"/>
        <v>2728.191894</v>
      </c>
      <c r="EJ11" s="158">
        <f t="shared" si="8"/>
        <v>2673.3088939999998</v>
      </c>
      <c r="EK11" s="158">
        <f t="shared" si="8"/>
        <v>3756.7135149999995</v>
      </c>
      <c r="EL11" s="158">
        <f t="shared" si="8"/>
        <v>4479.7969000000003</v>
      </c>
      <c r="EM11" s="158">
        <f t="shared" si="8"/>
        <v>3831.1206890000003</v>
      </c>
      <c r="EN11" s="158">
        <f t="shared" si="8"/>
        <v>2356</v>
      </c>
      <c r="EO11" s="158">
        <f t="shared" si="8"/>
        <v>803.14217499999995</v>
      </c>
      <c r="EP11" s="158">
        <f t="shared" si="8"/>
        <v>3257.5</v>
      </c>
      <c r="EQ11" s="158">
        <f t="shared" si="8"/>
        <v>2632.241215</v>
      </c>
      <c r="ER11" s="158">
        <f t="shared" si="8"/>
        <v>3835</v>
      </c>
      <c r="ES11" s="158">
        <f t="shared" si="8"/>
        <v>3179.6944199999998</v>
      </c>
      <c r="ET11" s="158">
        <f t="shared" si="8"/>
        <v>1299.2930000000001</v>
      </c>
      <c r="EU11" s="158">
        <f t="shared" si="8"/>
        <v>4691.5159569999996</v>
      </c>
      <c r="EV11" s="158">
        <f t="shared" si="8"/>
        <v>4381.7127499999997</v>
      </c>
      <c r="EW11" s="158">
        <f t="shared" si="8"/>
        <v>0</v>
      </c>
      <c r="EX11" s="158">
        <f t="shared" si="8"/>
        <v>3882.7162499999999</v>
      </c>
      <c r="EY11" s="594">
        <f t="shared" si="8"/>
        <v>3475</v>
      </c>
      <c r="EZ11" s="158">
        <f t="shared" si="8"/>
        <v>0</v>
      </c>
      <c r="FA11" s="158">
        <f t="shared" si="8"/>
        <v>4098.8472499999998</v>
      </c>
      <c r="FB11" s="594">
        <f>SUM(FB7:FB10)</f>
        <v>3650</v>
      </c>
      <c r="FC11" s="158">
        <f t="shared" ref="FC11:JK11" si="9">SUM(FC7:FC10)</f>
        <v>0</v>
      </c>
      <c r="FD11" s="158">
        <f t="shared" si="9"/>
        <v>4185.4249999999993</v>
      </c>
      <c r="FE11" s="594">
        <f t="shared" si="9"/>
        <v>5458</v>
      </c>
      <c r="FF11" s="158">
        <f t="shared" si="9"/>
        <v>0</v>
      </c>
      <c r="FG11" s="158">
        <f t="shared" si="9"/>
        <v>1770.9999999999998</v>
      </c>
      <c r="FH11" s="594">
        <f t="shared" si="9"/>
        <v>4325</v>
      </c>
      <c r="FI11" s="171">
        <f t="shared" si="9"/>
        <v>7626.2464190000001</v>
      </c>
      <c r="FJ11" s="579">
        <f t="shared" si="9"/>
        <v>7266.5040790000003</v>
      </c>
      <c r="FK11" s="171">
        <f t="shared" si="9"/>
        <v>11753.926626999999</v>
      </c>
      <c r="FL11" s="171">
        <f t="shared" si="9"/>
        <v>10055.272249999998</v>
      </c>
      <c r="FM11" s="171">
        <f>SUM(FM7:FM10)</f>
        <v>36701.949374999997</v>
      </c>
      <c r="FN11" s="594">
        <f>SUM(FN7:FN10)</f>
        <v>39671.960875000004</v>
      </c>
      <c r="FO11" s="158">
        <f t="shared" si="9"/>
        <v>3912.3624760000002</v>
      </c>
      <c r="FP11" s="158">
        <f t="shared" si="9"/>
        <v>3492.5858450000005</v>
      </c>
      <c r="FQ11" s="158">
        <f t="shared" si="9"/>
        <v>3850.4796800000004</v>
      </c>
      <c r="FR11" s="158">
        <f t="shared" si="9"/>
        <v>3821.7045639999997</v>
      </c>
      <c r="FS11" s="158">
        <f t="shared" si="9"/>
        <v>3233.9</v>
      </c>
      <c r="FT11" s="158">
        <f t="shared" si="9"/>
        <v>3102.3391210000004</v>
      </c>
      <c r="FU11" s="158">
        <f t="shared" si="9"/>
        <v>5195.7000000000007</v>
      </c>
      <c r="FV11" s="158">
        <f t="shared" si="9"/>
        <v>4318.088283</v>
      </c>
      <c r="FW11" s="158">
        <f t="shared" si="9"/>
        <v>5018.7</v>
      </c>
      <c r="FX11" s="158">
        <f t="shared" si="9"/>
        <v>6285.1269439999996</v>
      </c>
      <c r="FY11" s="158">
        <f t="shared" si="9"/>
        <v>4855.5000000000009</v>
      </c>
      <c r="FZ11" s="158">
        <f t="shared" si="9"/>
        <v>6280.2909730000001</v>
      </c>
      <c r="GA11" s="158">
        <f t="shared" si="9"/>
        <v>6371.9105115999992</v>
      </c>
      <c r="GB11" s="158">
        <f t="shared" si="9"/>
        <v>9876.9878420000005</v>
      </c>
      <c r="GC11" s="158">
        <f t="shared" si="9"/>
        <v>6096.0833646000001</v>
      </c>
      <c r="GD11" s="158">
        <f t="shared" si="9"/>
        <v>0</v>
      </c>
      <c r="GE11" s="158">
        <f t="shared" si="9"/>
        <v>6352.5605115999997</v>
      </c>
      <c r="GF11" s="594">
        <f t="shared" si="9"/>
        <v>6502.4439999999995</v>
      </c>
      <c r="GG11" s="158">
        <f t="shared" si="9"/>
        <v>0</v>
      </c>
      <c r="GH11" s="158">
        <f t="shared" si="9"/>
        <v>6167.4605115999993</v>
      </c>
      <c r="GI11" s="594">
        <f t="shared" si="9"/>
        <v>6979.5540000000001</v>
      </c>
      <c r="GJ11" s="158">
        <f t="shared" si="9"/>
        <v>0</v>
      </c>
      <c r="GK11" s="158">
        <f t="shared" si="9"/>
        <v>6849.7105116000002</v>
      </c>
      <c r="GL11" s="594">
        <f>SUM(GL7:GL10)</f>
        <v>6667.45</v>
      </c>
      <c r="GM11" s="158">
        <f t="shared" si="9"/>
        <v>0</v>
      </c>
      <c r="GN11" s="158">
        <f t="shared" si="9"/>
        <v>6205.0105115999995</v>
      </c>
      <c r="GO11" s="594">
        <f>SUM(GO7:GO10)</f>
        <v>6670.45</v>
      </c>
      <c r="GP11" s="579">
        <f t="shared" si="9"/>
        <v>11226.652885</v>
      </c>
      <c r="GQ11" s="579">
        <f t="shared" si="9"/>
        <v>13705.554348000001</v>
      </c>
      <c r="GR11" s="579">
        <f t="shared" si="9"/>
        <v>22509.839326600002</v>
      </c>
      <c r="GS11" s="579">
        <f t="shared" si="9"/>
        <v>19222.181534800002</v>
      </c>
      <c r="GT11" s="171">
        <f>SUM(GT7:GT10)</f>
        <v>66664.228094399994</v>
      </c>
      <c r="GU11" s="594">
        <f>SUM(GU7:GU10)</f>
        <v>67909.384047999993</v>
      </c>
      <c r="GV11" s="158">
        <f t="shared" si="9"/>
        <v>1638.43209</v>
      </c>
      <c r="GW11" s="158">
        <f t="shared" si="9"/>
        <v>2567</v>
      </c>
      <c r="GX11" s="158">
        <f t="shared" si="9"/>
        <v>0</v>
      </c>
      <c r="GY11" s="158">
        <f t="shared" si="9"/>
        <v>2294.1713630000004</v>
      </c>
      <c r="GZ11" s="158">
        <f t="shared" si="9"/>
        <v>0</v>
      </c>
      <c r="HA11" s="158">
        <f t="shared" si="9"/>
        <v>2309.807863</v>
      </c>
      <c r="HB11" s="158">
        <f t="shared" si="9"/>
        <v>2142.91</v>
      </c>
      <c r="HC11" s="158">
        <f t="shared" si="9"/>
        <v>1842.6506469999999</v>
      </c>
      <c r="HD11" s="158">
        <f t="shared" si="9"/>
        <v>2121.3940000000002</v>
      </c>
      <c r="HE11" s="158">
        <f t="shared" si="9"/>
        <v>2092.5615040000002</v>
      </c>
      <c r="HF11" s="158">
        <f t="shared" si="9"/>
        <v>4207.3680000000004</v>
      </c>
      <c r="HG11" s="158">
        <f t="shared" si="9"/>
        <v>2000.1727010000002</v>
      </c>
      <c r="HH11" s="158">
        <f t="shared" si="9"/>
        <v>3038.5269518400414</v>
      </c>
      <c r="HI11" s="158">
        <f t="shared" si="9"/>
        <v>1811.0670500000001</v>
      </c>
      <c r="HJ11" s="158">
        <f t="shared" si="9"/>
        <v>3065.1919192196415</v>
      </c>
      <c r="HK11" s="158">
        <f t="shared" si="9"/>
        <v>0</v>
      </c>
      <c r="HL11" s="158">
        <f t="shared" si="9"/>
        <v>3226.8610490176902</v>
      </c>
      <c r="HM11" s="594">
        <f>SUM(HM7:HM10)</f>
        <v>1819.7425999999998</v>
      </c>
      <c r="HN11" s="158">
        <f t="shared" si="9"/>
        <v>0</v>
      </c>
      <c r="HO11" s="158">
        <f t="shared" si="9"/>
        <v>3390.0343516402349</v>
      </c>
      <c r="HP11" s="594">
        <f>SUM(HP7:HP10)</f>
        <v>2825.3311111111107</v>
      </c>
      <c r="HQ11" s="158">
        <f t="shared" si="9"/>
        <v>0</v>
      </c>
      <c r="HR11" s="158">
        <f t="shared" si="9"/>
        <v>3402.7118375193349</v>
      </c>
      <c r="HS11" s="594">
        <f t="shared" si="9"/>
        <v>2340.0411111111111</v>
      </c>
      <c r="HT11" s="158">
        <f t="shared" si="9"/>
        <v>0</v>
      </c>
      <c r="HU11" s="158">
        <f t="shared" si="9"/>
        <v>3431.8935171131334</v>
      </c>
      <c r="HV11" s="594">
        <f t="shared" si="9"/>
        <v>2083.8211111111109</v>
      </c>
      <c r="HW11" s="171">
        <f t="shared" si="9"/>
        <v>6499.6034530000006</v>
      </c>
      <c r="HX11" s="579">
        <f t="shared" si="9"/>
        <v>6245.0200140000006</v>
      </c>
      <c r="HY11" s="171">
        <f t="shared" si="9"/>
        <v>7038.1008000176898</v>
      </c>
      <c r="HZ11" s="171">
        <f t="shared" si="9"/>
        <v>10224.639706272705</v>
      </c>
      <c r="IA11" s="171">
        <f>SUM(IA7:IA10)</f>
        <v>30007.363973290398</v>
      </c>
      <c r="IB11" s="687">
        <f>SUM(IB7:IB10)</f>
        <v>25624.799151333336</v>
      </c>
      <c r="IC11" s="158">
        <f t="shared" si="9"/>
        <v>1589.842948</v>
      </c>
      <c r="ID11" s="158">
        <f t="shared" si="9"/>
        <v>1730.7087859999999</v>
      </c>
      <c r="IE11" s="158">
        <f t="shared" si="9"/>
        <v>1730.7087859999999</v>
      </c>
      <c r="IF11" s="158">
        <f t="shared" si="9"/>
        <v>1750.7055809999999</v>
      </c>
      <c r="IG11" s="158">
        <f t="shared" si="9"/>
        <v>1750.7055809999999</v>
      </c>
      <c r="IH11" s="158">
        <f t="shared" si="9"/>
        <v>1720.604685</v>
      </c>
      <c r="II11" s="158">
        <f t="shared" si="9"/>
        <v>1749.0000000000002</v>
      </c>
      <c r="IJ11" s="158">
        <f t="shared" si="9"/>
        <v>1497.091398</v>
      </c>
      <c r="IK11" s="158">
        <f t="shared" si="9"/>
        <v>1749.0000000000002</v>
      </c>
      <c r="IL11" s="158">
        <f t="shared" si="9"/>
        <v>1683.5309540000001</v>
      </c>
      <c r="IM11" s="158">
        <f t="shared" si="9"/>
        <v>1749.0000000000002</v>
      </c>
      <c r="IN11" s="158">
        <f t="shared" si="9"/>
        <v>1590.1190779999999</v>
      </c>
      <c r="IO11" s="158">
        <f t="shared" si="9"/>
        <v>1765.4932143405001</v>
      </c>
      <c r="IP11" s="158">
        <f t="shared" si="9"/>
        <v>1724.252054</v>
      </c>
      <c r="IQ11" s="158">
        <f t="shared" si="9"/>
        <v>1765.4932143405001</v>
      </c>
      <c r="IR11" s="158">
        <f t="shared" si="9"/>
        <v>0</v>
      </c>
      <c r="IS11" s="158">
        <f t="shared" si="9"/>
        <v>1765.4932143405001</v>
      </c>
      <c r="IT11" s="594">
        <f t="shared" si="9"/>
        <v>1765.4932143405001</v>
      </c>
      <c r="IU11" s="158">
        <f t="shared" si="9"/>
        <v>0</v>
      </c>
      <c r="IV11" s="158">
        <f t="shared" si="9"/>
        <v>1765.4932143405001</v>
      </c>
      <c r="IW11" s="594">
        <f t="shared" si="9"/>
        <v>1765.4932143405001</v>
      </c>
      <c r="IX11" s="158">
        <f t="shared" si="9"/>
        <v>0</v>
      </c>
      <c r="IY11" s="158">
        <f t="shared" si="9"/>
        <v>1765.4932143405001</v>
      </c>
      <c r="IZ11" s="594">
        <f>SUM(IZ7:IZ10)</f>
        <v>1765.4932143405001</v>
      </c>
      <c r="JA11" s="158">
        <f t="shared" si="9"/>
        <v>0</v>
      </c>
      <c r="JB11" s="158">
        <f t="shared" si="9"/>
        <v>1765.4932143405001</v>
      </c>
      <c r="JC11" s="594">
        <f>SUM(JC7:JC10)</f>
        <v>1765.4932143405001</v>
      </c>
      <c r="JD11" s="171">
        <f t="shared" si="9"/>
        <v>5071.2573149999998</v>
      </c>
      <c r="JE11" s="579">
        <f t="shared" si="9"/>
        <v>4901.2270369999997</v>
      </c>
      <c r="JF11" s="171">
        <f t="shared" si="9"/>
        <v>5079.8643463405006</v>
      </c>
      <c r="JG11" s="171">
        <f t="shared" si="9"/>
        <v>5296.4796430215001</v>
      </c>
      <c r="JH11" s="171">
        <f>SUM(JH7:JH10)</f>
        <v>20348.828341362001</v>
      </c>
      <c r="JI11" s="594">
        <f>SUM(JI7:JI10)</f>
        <v>20348.828341361997</v>
      </c>
      <c r="JJ11" s="158">
        <f t="shared" si="9"/>
        <v>-461.22300000000001</v>
      </c>
      <c r="JK11" s="158">
        <f t="shared" si="9"/>
        <v>-633.92826500000001</v>
      </c>
      <c r="JL11" s="158">
        <f t="shared" ref="JL11:KJ11" si="10">SUM(JL7:JL10)</f>
        <v>-438.40600000000001</v>
      </c>
      <c r="JM11" s="158">
        <f t="shared" si="10"/>
        <v>-438.40600000000001</v>
      </c>
      <c r="JN11" s="158">
        <f t="shared" si="10"/>
        <v>-448.74567300000001</v>
      </c>
      <c r="JO11" s="158">
        <f t="shared" si="10"/>
        <v>-448.74567300000001</v>
      </c>
      <c r="JP11" s="158">
        <f t="shared" si="10"/>
        <v>-634</v>
      </c>
      <c r="JQ11" s="158">
        <f t="shared" si="10"/>
        <v>-427.40750000000003</v>
      </c>
      <c r="JR11" s="158">
        <f t="shared" si="10"/>
        <v>-634</v>
      </c>
      <c r="JS11" s="158">
        <f t="shared" si="10"/>
        <v>-432.95230800000002</v>
      </c>
      <c r="JT11" s="158">
        <f t="shared" si="10"/>
        <v>-634</v>
      </c>
      <c r="JU11" s="158">
        <f t="shared" si="10"/>
        <v>-431.05950000000001</v>
      </c>
      <c r="JV11" s="158">
        <f t="shared" si="10"/>
        <v>-1061.33927421095</v>
      </c>
      <c r="JW11" s="158">
        <f t="shared" si="10"/>
        <v>-432.18549999999999</v>
      </c>
      <c r="JX11" s="158">
        <f t="shared" si="10"/>
        <v>-1171.4024445256</v>
      </c>
      <c r="JY11" s="158">
        <f t="shared" si="10"/>
        <v>0</v>
      </c>
      <c r="JZ11" s="158">
        <f t="shared" si="10"/>
        <v>-1139.34973912635</v>
      </c>
      <c r="KA11" s="158">
        <f t="shared" si="10"/>
        <v>0</v>
      </c>
      <c r="KB11" s="158">
        <f t="shared" si="10"/>
        <v>-1143.9785733566098</v>
      </c>
      <c r="KC11" s="158">
        <f t="shared" si="10"/>
        <v>0</v>
      </c>
      <c r="KD11" s="158">
        <f t="shared" si="10"/>
        <v>-1162.39459878912</v>
      </c>
      <c r="KE11" s="158">
        <f t="shared" si="10"/>
        <v>0</v>
      </c>
      <c r="KF11" s="158">
        <f t="shared" si="10"/>
        <v>-1130.9643490446797</v>
      </c>
      <c r="KG11" s="171">
        <f t="shared" si="10"/>
        <v>-1543.8969379999999</v>
      </c>
      <c r="KH11" s="171">
        <f t="shared" si="10"/>
        <v>-1309.1054810000001</v>
      </c>
      <c r="KI11" s="171">
        <f>SUM(KI7:KI10)</f>
        <v>-2002.5947391263499</v>
      </c>
      <c r="KJ11" s="171">
        <f t="shared" si="10"/>
        <v>-3437.3375211904095</v>
      </c>
      <c r="KK11" s="171">
        <f>SUM(KK7:KK10)</f>
        <v>-8292.9346793167588</v>
      </c>
      <c r="KL11" s="583">
        <f>SUM(KL7:KL10)</f>
        <v>28862.585896999997</v>
      </c>
      <c r="KM11" s="583">
        <f>SUM(KM7:KM10)</f>
        <v>30894.777973000004</v>
      </c>
      <c r="KN11" s="583">
        <f>SUM(KN7:KN10)</f>
        <v>29106.346403</v>
      </c>
      <c r="KO11" s="583">
        <f>SUM(KO7:KO10)</f>
        <v>35850.361188000003</v>
      </c>
      <c r="KP11" s="583">
        <f t="shared" ref="KP11:LL11" si="11">SUM(KP7:KP10)</f>
        <v>34673.342758999999</v>
      </c>
      <c r="KQ11" s="583">
        <f t="shared" si="11"/>
        <v>35192.215909999999</v>
      </c>
      <c r="KR11" s="583">
        <f t="shared" si="11"/>
        <v>38276.7983093</v>
      </c>
      <c r="KS11" s="583">
        <f t="shared" si="11"/>
        <v>28149.725981000003</v>
      </c>
      <c r="KT11" s="583">
        <f t="shared" si="11"/>
        <v>38149.3159313</v>
      </c>
      <c r="KU11" s="583">
        <f t="shared" si="11"/>
        <v>35814.511648</v>
      </c>
      <c r="KV11" s="158">
        <f t="shared" si="11"/>
        <v>43611.485855049992</v>
      </c>
      <c r="KW11" s="158">
        <f>SUM(KW7:KW10)</f>
        <v>34169.100893000003</v>
      </c>
      <c r="KX11" s="158">
        <f t="shared" si="11"/>
        <v>42964.907941537655</v>
      </c>
      <c r="KY11" s="158">
        <f t="shared" si="11"/>
        <v>43639.401593000002</v>
      </c>
      <c r="KZ11" s="158">
        <f t="shared" si="11"/>
        <v>47503.1023416026</v>
      </c>
      <c r="LA11" s="158">
        <f t="shared" si="11"/>
        <v>0</v>
      </c>
      <c r="LB11" s="158">
        <f t="shared" si="11"/>
        <v>46767.814823799905</v>
      </c>
      <c r="LC11" s="594">
        <f>SUM(LC7:LC10)</f>
        <v>43188.562296214157</v>
      </c>
      <c r="LD11" s="158">
        <f t="shared" si="11"/>
        <v>0</v>
      </c>
      <c r="LE11" s="158">
        <f t="shared" si="11"/>
        <v>46950.390292192184</v>
      </c>
      <c r="LF11" s="594">
        <f t="shared" si="11"/>
        <v>46753.331973094995</v>
      </c>
      <c r="LG11" s="158">
        <f t="shared" si="11"/>
        <v>0</v>
      </c>
      <c r="LH11" s="158">
        <f t="shared" si="11"/>
        <v>47581.979502638766</v>
      </c>
      <c r="LI11" s="594">
        <f t="shared" si="11"/>
        <v>50357.021947662484</v>
      </c>
      <c r="LJ11" s="158">
        <f t="shared" si="11"/>
        <v>0</v>
      </c>
      <c r="LK11" s="158">
        <f t="shared" si="11"/>
        <v>46293.666431977013</v>
      </c>
      <c r="LL11" s="594">
        <f t="shared" si="11"/>
        <v>50866.040197406932</v>
      </c>
      <c r="LM11" s="171">
        <f t="shared" ref="LM11:LR11" si="12">SUM(LM7:LM10)</f>
        <v>95607.725058000011</v>
      </c>
      <c r="LN11" s="171">
        <f t="shared" si="12"/>
        <v>99156.453538999995</v>
      </c>
      <c r="LO11" s="171">
        <f t="shared" si="12"/>
        <v>124576.31730979991</v>
      </c>
      <c r="LP11" s="171">
        <f t="shared" si="12"/>
        <v>140826.03622680798</v>
      </c>
      <c r="LQ11" s="171">
        <f t="shared" si="12"/>
        <v>460166.53213360789</v>
      </c>
      <c r="LR11" s="594">
        <f t="shared" si="12"/>
        <v>463737.63749737857</v>
      </c>
      <c r="LS11" s="683">
        <f>'[171]PL2020 per com'!$O$26</f>
        <v>421536.595477</v>
      </c>
      <c r="LT11" s="689">
        <f>LR11/LS11-1</f>
        <v>0.10011240417365186</v>
      </c>
      <c r="LU11" s="167"/>
    </row>
    <row r="12" spans="1:335" s="202" customFormat="1">
      <c r="A12" s="202" t="s">
        <v>1075</v>
      </c>
      <c r="F12" s="203"/>
      <c r="G12" s="203"/>
      <c r="H12" s="203"/>
      <c r="I12" s="203"/>
      <c r="J12" s="203"/>
      <c r="K12" s="203"/>
      <c r="L12" s="203">
        <v>8756.9059852999999</v>
      </c>
      <c r="M12" s="203"/>
      <c r="N12" s="203">
        <v>8700.5158052999996</v>
      </c>
      <c r="O12" s="203"/>
      <c r="P12" s="203">
        <v>9700.3187964499994</v>
      </c>
      <c r="Q12" s="203"/>
      <c r="R12" s="203">
        <v>12155.830009227418</v>
      </c>
      <c r="S12" s="203"/>
      <c r="T12" s="203">
        <v>12150.830009227418</v>
      </c>
      <c r="U12" s="203"/>
      <c r="V12" s="203">
        <v>12255.830009227418</v>
      </c>
      <c r="W12" s="206">
        <v>13761.319415999998</v>
      </c>
      <c r="X12" s="203"/>
      <c r="Y12" s="203">
        <v>12305.830009227418</v>
      </c>
      <c r="Z12" s="206">
        <v>14996.989416</v>
      </c>
      <c r="AA12" s="203"/>
      <c r="AB12" s="203">
        <v>12310.830009227418</v>
      </c>
      <c r="AC12" s="206">
        <v>15493.203416</v>
      </c>
      <c r="AD12" s="203"/>
      <c r="AE12" s="203">
        <v>12304.830009227418</v>
      </c>
      <c r="AF12" s="206">
        <v>15575.643415999999</v>
      </c>
      <c r="AG12" s="203">
        <v>22345.620837000002</v>
      </c>
      <c r="AH12" s="204">
        <v>27157.740587050001</v>
      </c>
      <c r="AI12" s="204">
        <v>36562.490027682259</v>
      </c>
      <c r="AJ12" s="204">
        <v>36921.490027682259</v>
      </c>
      <c r="AK12" s="204">
        <v>122987.34147941452</v>
      </c>
      <c r="AL12" s="635">
        <v>120193.225697</v>
      </c>
      <c r="AM12" s="203">
        <v>1018.0239550500009</v>
      </c>
      <c r="AN12" s="203"/>
      <c r="AO12" s="203"/>
      <c r="AP12" s="203"/>
      <c r="AQ12" s="203"/>
      <c r="AR12" s="203"/>
      <c r="AS12" s="203">
        <v>4587.4649999999992</v>
      </c>
      <c r="AT12" s="203"/>
      <c r="AU12" s="203">
        <v>5366.28</v>
      </c>
      <c r="AV12" s="203"/>
      <c r="AW12" s="203">
        <v>5238.4799999999996</v>
      </c>
      <c r="AX12" s="203"/>
      <c r="AY12" s="203">
        <v>5112.6315458406407</v>
      </c>
      <c r="AZ12" s="203"/>
      <c r="BA12" s="203">
        <v>6712.6315458406407</v>
      </c>
      <c r="BB12" s="203"/>
      <c r="BC12" s="203">
        <v>5322.6315458406407</v>
      </c>
      <c r="BD12" s="206">
        <v>4678.7</v>
      </c>
      <c r="BE12" s="203"/>
      <c r="BF12" s="203">
        <v>5122.6315458406407</v>
      </c>
      <c r="BG12" s="206">
        <v>4678.7</v>
      </c>
      <c r="BH12" s="203"/>
      <c r="BI12" s="203">
        <v>5112.6315458406407</v>
      </c>
      <c r="BJ12" s="206">
        <v>5914.7</v>
      </c>
      <c r="BK12" s="203"/>
      <c r="BL12" s="203">
        <v>6892.6315458406407</v>
      </c>
      <c r="BM12" s="206">
        <v>6552.7</v>
      </c>
      <c r="BN12" s="203">
        <v>14672.397322000001</v>
      </c>
      <c r="BO12" s="204">
        <v>15192.224999999999</v>
      </c>
      <c r="BP12" s="204">
        <v>17147.894637521924</v>
      </c>
      <c r="BQ12" s="204">
        <v>17127.894637521924</v>
      </c>
      <c r="BR12" s="204">
        <v>64140.411597043843</v>
      </c>
      <c r="BS12" s="206">
        <v>57695.205624000009</v>
      </c>
      <c r="BT12" s="206"/>
      <c r="BU12" s="203"/>
      <c r="BV12" s="203"/>
      <c r="BW12" s="203"/>
      <c r="BX12" s="203"/>
      <c r="BY12" s="203"/>
      <c r="BZ12" s="203">
        <v>1270.8</v>
      </c>
      <c r="CA12" s="203"/>
      <c r="CB12" s="203">
        <v>1038.5</v>
      </c>
      <c r="CC12" s="203"/>
      <c r="CD12" s="203">
        <v>1038.5</v>
      </c>
      <c r="CE12" s="203"/>
      <c r="CF12" s="203">
        <v>1480.1400000000003</v>
      </c>
      <c r="CG12" s="203"/>
      <c r="CH12" s="203">
        <v>1480.1400000000003</v>
      </c>
      <c r="CI12" s="203"/>
      <c r="CJ12" s="203">
        <v>1781.6500000000003</v>
      </c>
      <c r="CK12" s="206">
        <v>2058.3000000000002</v>
      </c>
      <c r="CL12" s="203"/>
      <c r="CM12" s="203">
        <v>1781.6500000000003</v>
      </c>
      <c r="CN12" s="206">
        <v>2008.3</v>
      </c>
      <c r="CO12" s="203"/>
      <c r="CP12" s="203">
        <v>1781.6500000000003</v>
      </c>
      <c r="CQ12" s="206">
        <v>2008.3</v>
      </c>
      <c r="CR12" s="203"/>
      <c r="CS12" s="203">
        <v>1781.6500000000003</v>
      </c>
      <c r="CT12" s="206">
        <v>2008.3</v>
      </c>
      <c r="CU12" s="203">
        <v>1120</v>
      </c>
      <c r="CV12" s="204">
        <v>3347.8</v>
      </c>
      <c r="CW12" s="204">
        <v>4741.9300000000012</v>
      </c>
      <c r="CX12" s="204">
        <v>5344.9500000000007</v>
      </c>
      <c r="CY12" s="204">
        <v>14554.680000000002</v>
      </c>
      <c r="CZ12" s="206">
        <v>13782.727808</v>
      </c>
      <c r="DA12" s="203"/>
      <c r="DB12" s="203"/>
      <c r="DC12" s="203"/>
      <c r="DD12" s="203"/>
      <c r="DE12" s="203"/>
      <c r="DF12" s="203"/>
      <c r="DG12" s="203">
        <v>12852.017324</v>
      </c>
      <c r="DH12" s="203"/>
      <c r="DI12" s="203">
        <v>11531.426126</v>
      </c>
      <c r="DJ12" s="203"/>
      <c r="DK12" s="203">
        <v>13621.3190586</v>
      </c>
      <c r="DL12" s="203"/>
      <c r="DM12" s="203">
        <v>12802.421982899999</v>
      </c>
      <c r="DN12" s="203"/>
      <c r="DO12" s="203">
        <v>13022.421982899999</v>
      </c>
      <c r="DP12" s="203"/>
      <c r="DQ12" s="203">
        <v>13319.421982899999</v>
      </c>
      <c r="DR12" s="206">
        <v>16268.548622</v>
      </c>
      <c r="DS12" s="203"/>
      <c r="DT12" s="203">
        <v>13462.421982899999</v>
      </c>
      <c r="DU12" s="206">
        <v>16564.548622000002</v>
      </c>
      <c r="DV12" s="203"/>
      <c r="DW12" s="203">
        <v>13335.921982899999</v>
      </c>
      <c r="DX12" s="206">
        <v>16994.548622000002</v>
      </c>
      <c r="DY12" s="203"/>
      <c r="DZ12" s="203">
        <v>13272.121982899998</v>
      </c>
      <c r="EA12" s="206">
        <v>17043.548622000002</v>
      </c>
      <c r="EB12" s="203">
        <v>28579.504091999999</v>
      </c>
      <c r="EC12" s="204">
        <v>38004.762508599997</v>
      </c>
      <c r="ED12" s="204">
        <v>39144.265948699998</v>
      </c>
      <c r="EE12" s="204">
        <v>40070.465948699995</v>
      </c>
      <c r="EF12" s="204">
        <v>145798.998498</v>
      </c>
      <c r="EG12" s="206">
        <v>147517.61422700001</v>
      </c>
      <c r="EH12" s="206"/>
      <c r="EI12" s="203"/>
      <c r="EJ12" s="203"/>
      <c r="EK12" s="203"/>
      <c r="EL12" s="203"/>
      <c r="EM12" s="203"/>
      <c r="EN12" s="203">
        <v>2356</v>
      </c>
      <c r="EO12" s="203"/>
      <c r="EP12" s="203">
        <v>3257.5</v>
      </c>
      <c r="EQ12" s="203"/>
      <c r="ER12" s="203">
        <v>3835</v>
      </c>
      <c r="ES12" s="203"/>
      <c r="ET12" s="203">
        <v>1299.2930000000001</v>
      </c>
      <c r="EU12" s="203"/>
      <c r="EV12" s="203">
        <v>4381.7127499999997</v>
      </c>
      <c r="EW12" s="203"/>
      <c r="EX12" s="203">
        <v>3882.7162499999999</v>
      </c>
      <c r="EY12" s="206">
        <v>2675</v>
      </c>
      <c r="EZ12" s="203"/>
      <c r="FA12" s="203">
        <v>4098.8472499999998</v>
      </c>
      <c r="FB12" s="206">
        <v>2650</v>
      </c>
      <c r="FC12" s="203"/>
      <c r="FD12" s="203">
        <v>4185.4249999999993</v>
      </c>
      <c r="FE12" s="206">
        <v>5958</v>
      </c>
      <c r="FF12" s="203"/>
      <c r="FG12" s="203">
        <v>1770.9999999999998</v>
      </c>
      <c r="FH12" s="206">
        <v>4325</v>
      </c>
      <c r="FI12" s="203">
        <v>7626.2464189999992</v>
      </c>
      <c r="FJ12" s="204">
        <v>9448.5</v>
      </c>
      <c r="FK12" s="204">
        <v>9563.7219999999998</v>
      </c>
      <c r="FL12" s="204">
        <v>10055.272249999998</v>
      </c>
      <c r="FM12" s="204">
        <v>36693.740668999992</v>
      </c>
      <c r="FN12" s="206">
        <v>38371.960875000004</v>
      </c>
      <c r="FO12" s="203"/>
      <c r="FP12" s="206"/>
      <c r="FQ12" s="203"/>
      <c r="FR12" s="203"/>
      <c r="FS12" s="203"/>
      <c r="FT12" s="203"/>
      <c r="FU12" s="203">
        <v>5195.7</v>
      </c>
      <c r="FV12" s="203"/>
      <c r="FW12" s="203">
        <v>5018.7</v>
      </c>
      <c r="FX12" s="203"/>
      <c r="FY12" s="203">
        <v>4855.5</v>
      </c>
      <c r="FZ12" s="203"/>
      <c r="GA12" s="203">
        <v>6371.9105116000001</v>
      </c>
      <c r="GB12" s="203"/>
      <c r="GC12" s="203">
        <v>6096.0833646000001</v>
      </c>
      <c r="GD12" s="203"/>
      <c r="GE12" s="203">
        <v>6352.5605115999997</v>
      </c>
      <c r="GF12" s="206">
        <v>7152.4439999999995</v>
      </c>
      <c r="GG12" s="203"/>
      <c r="GH12" s="203">
        <v>6167.4605116000002</v>
      </c>
      <c r="GI12" s="206">
        <v>6529.5540000000001</v>
      </c>
      <c r="GJ12" s="203"/>
      <c r="GK12" s="203">
        <v>6849.7105116000002</v>
      </c>
      <c r="GL12" s="206">
        <v>6217.45</v>
      </c>
      <c r="GM12" s="203"/>
      <c r="GN12" s="203">
        <v>6205.0105115999995</v>
      </c>
      <c r="GO12" s="206">
        <v>6520.45</v>
      </c>
      <c r="GP12" s="203">
        <v>11226.652885</v>
      </c>
      <c r="GQ12" s="204">
        <v>15069.9</v>
      </c>
      <c r="GR12" s="204">
        <v>18820.554387799999</v>
      </c>
      <c r="GS12" s="204">
        <v>19222.181534800002</v>
      </c>
      <c r="GT12" s="204">
        <v>64339.288807600002</v>
      </c>
      <c r="GU12" s="206">
        <v>67509.384047999993</v>
      </c>
      <c r="GV12" s="203">
        <v>734.41936700000042</v>
      </c>
      <c r="GW12" s="203"/>
      <c r="GX12" s="203"/>
      <c r="GY12" s="203"/>
      <c r="GZ12" s="203"/>
      <c r="HA12" s="203"/>
      <c r="HB12" s="203">
        <v>2142.91</v>
      </c>
      <c r="HC12" s="203"/>
      <c r="HD12" s="203">
        <v>2121.3940000000002</v>
      </c>
      <c r="HE12" s="203"/>
      <c r="HF12" s="203">
        <v>4207.3680000000004</v>
      </c>
      <c r="HG12" s="203"/>
      <c r="HH12" s="203">
        <v>3038.5269518400414</v>
      </c>
      <c r="HI12" s="203"/>
      <c r="HJ12" s="203">
        <v>3065.1919192196415</v>
      </c>
      <c r="HK12" s="203"/>
      <c r="HL12" s="203">
        <v>3226.8610490176902</v>
      </c>
      <c r="HM12" s="206">
        <v>4330.1450000000004</v>
      </c>
      <c r="HN12" s="203"/>
      <c r="HO12" s="203">
        <v>3390.0343516402349</v>
      </c>
      <c r="HP12" s="206">
        <v>4650.6450000000004</v>
      </c>
      <c r="HQ12" s="203"/>
      <c r="HR12" s="203">
        <v>3402.7118375193349</v>
      </c>
      <c r="HS12" s="206">
        <v>4401.6450000000004</v>
      </c>
      <c r="HT12" s="203"/>
      <c r="HU12" s="203">
        <v>3431.8935171131334</v>
      </c>
      <c r="HV12" s="206">
        <v>4170.1450000000004</v>
      </c>
      <c r="HW12" s="203">
        <v>6499</v>
      </c>
      <c r="HX12" s="204">
        <v>8471.6720000000005</v>
      </c>
      <c r="HY12" s="203">
        <v>9330.5799200773727</v>
      </c>
      <c r="HZ12" s="202">
        <v>10224.639706272705</v>
      </c>
      <c r="IA12" s="204">
        <v>34525.89162635008</v>
      </c>
      <c r="IB12" s="206">
        <v>34108.443218</v>
      </c>
      <c r="II12" s="202">
        <v>1749.0000000000002</v>
      </c>
      <c r="IK12" s="202">
        <v>1749.0000000000002</v>
      </c>
      <c r="IM12" s="202">
        <v>1749.0000000000002</v>
      </c>
      <c r="IO12" s="202">
        <v>1765.4932143405001</v>
      </c>
      <c r="IQ12" s="202">
        <v>1765.4932143405001</v>
      </c>
      <c r="IS12" s="202">
        <v>1765.4932143405001</v>
      </c>
      <c r="IT12" s="206">
        <v>1765.4932143405001</v>
      </c>
      <c r="IV12" s="202">
        <v>1765.4932143405001</v>
      </c>
      <c r="IW12" s="206">
        <v>1765.4932143405001</v>
      </c>
      <c r="IY12" s="202">
        <v>1765.4932143405001</v>
      </c>
      <c r="IZ12" s="206">
        <v>1765.4932143405001</v>
      </c>
      <c r="JB12" s="202">
        <v>1765.4932143405001</v>
      </c>
      <c r="JC12" s="206">
        <v>1765.4932143405001</v>
      </c>
      <c r="JD12" s="202">
        <v>5072</v>
      </c>
      <c r="JE12" s="202">
        <v>5247.0000000000009</v>
      </c>
      <c r="JF12" s="202">
        <v>5296.4796430215001</v>
      </c>
      <c r="JG12" s="202">
        <v>5296.4796430215001</v>
      </c>
      <c r="JH12" s="204">
        <v>20911.959286042998</v>
      </c>
      <c r="JI12" s="206">
        <v>20348.828341361997</v>
      </c>
      <c r="JJ12" s="203"/>
      <c r="JK12" s="203"/>
      <c r="JL12" s="203"/>
      <c r="JM12" s="203"/>
      <c r="JN12" s="203"/>
      <c r="JO12" s="203"/>
      <c r="JP12" s="203"/>
      <c r="JQ12" s="203"/>
      <c r="JR12" s="203"/>
      <c r="JS12" s="203"/>
      <c r="JT12" s="203"/>
      <c r="JU12" s="203"/>
      <c r="JV12" s="203"/>
      <c r="JW12" s="203"/>
      <c r="JX12" s="203"/>
      <c r="JY12" s="203"/>
      <c r="JZ12" s="203"/>
      <c r="KA12" s="203"/>
      <c r="KB12" s="203"/>
      <c r="KC12" s="203"/>
      <c r="KD12" s="203"/>
      <c r="KE12" s="203"/>
      <c r="KF12" s="203"/>
      <c r="KG12" s="203">
        <v>-1533</v>
      </c>
      <c r="KH12" s="203">
        <v>-1902</v>
      </c>
      <c r="KI12" s="203">
        <v>-3372.0914578628999</v>
      </c>
      <c r="KJ12" s="203">
        <v>-3437.3375211904099</v>
      </c>
      <c r="KK12" s="204">
        <v>-10244.428979053309</v>
      </c>
      <c r="KL12" s="645">
        <v>28862.240757</v>
      </c>
      <c r="KM12" s="645">
        <v>30894.947591</v>
      </c>
      <c r="KN12" s="645"/>
      <c r="KO12" s="645">
        <v>35850.376398</v>
      </c>
      <c r="KP12" s="645"/>
      <c r="KQ12" s="645">
        <v>35192.265698000003</v>
      </c>
      <c r="KR12" s="645"/>
      <c r="KS12" s="645">
        <v>28149.725981</v>
      </c>
      <c r="KT12" s="645"/>
      <c r="KU12" s="645">
        <v>35814.511648</v>
      </c>
      <c r="KV12" s="203"/>
      <c r="KW12" s="203">
        <v>34169.100893000003</v>
      </c>
      <c r="KX12" s="203"/>
      <c r="KY12" s="203"/>
      <c r="KZ12" s="203"/>
      <c r="LA12" s="203"/>
      <c r="LB12" s="203"/>
      <c r="LC12" s="206">
        <v>51550.600513214144</v>
      </c>
      <c r="LD12" s="206">
        <v>0</v>
      </c>
      <c r="LE12" s="206"/>
      <c r="LF12" s="206">
        <v>52700.251678983885</v>
      </c>
      <c r="LG12" s="206">
        <v>0</v>
      </c>
      <c r="LH12" s="206"/>
      <c r="LI12" s="206">
        <v>57590.945653551375</v>
      </c>
      <c r="LJ12" s="206">
        <v>0</v>
      </c>
      <c r="LK12" s="206"/>
      <c r="LL12" s="206">
        <v>56830.315903295814</v>
      </c>
      <c r="LM12" s="587">
        <v>95608.421554999994</v>
      </c>
      <c r="LN12" s="203">
        <v>120037.60009564999</v>
      </c>
      <c r="LO12" s="203">
        <v>137235.82510694014</v>
      </c>
      <c r="LP12" s="203">
        <v>140826.03622680795</v>
      </c>
      <c r="LQ12" s="204">
        <v>493707.88298439805</v>
      </c>
      <c r="LR12" s="206">
        <v>491244.79483204527</v>
      </c>
      <c r="LS12" s="206"/>
      <c r="LT12" s="206"/>
      <c r="LU12" s="167">
        <v>92069.421555000008</v>
      </c>
      <c r="LV12" s="51"/>
      <c r="LW12" s="51"/>
    </row>
    <row r="13" spans="1:335" s="263" customFormat="1" ht="6.75" customHeight="1">
      <c r="A13" s="263" t="s">
        <v>1209</v>
      </c>
      <c r="F13" s="265">
        <v>7895.2536110000001</v>
      </c>
      <c r="G13" s="265">
        <v>7342.5642750000006</v>
      </c>
      <c r="H13" s="265"/>
      <c r="I13" s="265">
        <v>7107.8029509999997</v>
      </c>
      <c r="J13" s="265"/>
      <c r="K13" s="265">
        <v>7521.7309859999996</v>
      </c>
      <c r="L13" s="265"/>
      <c r="M13" s="265">
        <v>6656.8085740000006</v>
      </c>
      <c r="N13" s="265"/>
      <c r="O13" s="265">
        <v>7934.4444629999998</v>
      </c>
      <c r="P13" s="265"/>
      <c r="Q13" s="265">
        <v>6406.0750550000002</v>
      </c>
      <c r="R13" s="265"/>
      <c r="S13" s="265"/>
      <c r="T13" s="265"/>
      <c r="U13" s="265"/>
      <c r="V13" s="265"/>
      <c r="W13" s="265"/>
      <c r="X13" s="265"/>
      <c r="Y13" s="265"/>
      <c r="Z13" s="265"/>
      <c r="AA13" s="265"/>
      <c r="AB13" s="265"/>
      <c r="AC13" s="265"/>
      <c r="AD13" s="265"/>
      <c r="AE13" s="265"/>
      <c r="AF13" s="265"/>
      <c r="AG13" s="265"/>
      <c r="AH13" s="265"/>
      <c r="AI13" s="265"/>
      <c r="AJ13" s="265"/>
      <c r="AK13" s="265"/>
      <c r="AL13" s="265"/>
      <c r="AM13" s="265">
        <v>3447.5306190000001</v>
      </c>
      <c r="AN13" s="265">
        <v>4283.3325930000001</v>
      </c>
      <c r="AO13" s="265"/>
      <c r="AP13" s="265">
        <v>6941.5341099999996</v>
      </c>
      <c r="AQ13" s="265"/>
      <c r="AR13" s="265">
        <v>4883.2084320000004</v>
      </c>
      <c r="AS13" s="265"/>
      <c r="AT13" s="265">
        <v>4061.3677729999999</v>
      </c>
      <c r="AU13" s="265"/>
      <c r="AV13" s="265">
        <v>4187.2163609999998</v>
      </c>
      <c r="AW13" s="265"/>
      <c r="AX13" s="265">
        <v>3676.10896</v>
      </c>
      <c r="AY13" s="265"/>
      <c r="AZ13" s="265"/>
      <c r="BA13" s="265"/>
      <c r="BB13" s="265"/>
      <c r="BC13" s="265"/>
      <c r="BD13" s="265"/>
      <c r="BE13" s="265"/>
      <c r="BF13" s="265"/>
      <c r="BG13" s="265"/>
      <c r="BH13" s="265"/>
      <c r="BI13" s="265"/>
      <c r="BJ13" s="265"/>
      <c r="BK13" s="265"/>
      <c r="BL13" s="265"/>
      <c r="BM13" s="265"/>
      <c r="BN13" s="265"/>
      <c r="BO13" s="584"/>
      <c r="BP13" s="584"/>
      <c r="BQ13" s="584"/>
      <c r="BR13" s="265"/>
      <c r="BS13" s="265"/>
      <c r="BT13" s="265">
        <v>513</v>
      </c>
      <c r="BU13" s="265">
        <v>363</v>
      </c>
      <c r="BV13" s="265"/>
      <c r="BW13" s="265">
        <v>244</v>
      </c>
      <c r="BX13" s="265"/>
      <c r="BY13" s="265">
        <v>1638.4</v>
      </c>
      <c r="BZ13" s="265"/>
      <c r="CA13" s="265">
        <v>743</v>
      </c>
      <c r="CB13" s="265"/>
      <c r="CC13" s="265">
        <v>723</v>
      </c>
      <c r="CD13" s="265"/>
      <c r="CE13" s="265">
        <v>773</v>
      </c>
      <c r="CF13" s="265"/>
      <c r="CG13" s="265"/>
      <c r="CH13" s="265"/>
      <c r="CI13" s="265"/>
      <c r="CJ13" s="265"/>
      <c r="CK13" s="265"/>
      <c r="CL13" s="265"/>
      <c r="CM13" s="265"/>
      <c r="CN13" s="265"/>
      <c r="CO13" s="265"/>
      <c r="CP13" s="265"/>
      <c r="CQ13" s="265"/>
      <c r="CR13" s="265"/>
      <c r="CS13" s="265"/>
      <c r="CT13" s="265"/>
      <c r="CU13" s="265"/>
      <c r="CV13" s="265"/>
      <c r="CW13" s="265"/>
      <c r="CX13" s="265"/>
      <c r="CY13" s="265"/>
      <c r="CZ13" s="265"/>
      <c r="DA13" s="265">
        <v>9186.0461429999996</v>
      </c>
      <c r="DB13" s="265">
        <v>9021.3228450000006</v>
      </c>
      <c r="DC13" s="265"/>
      <c r="DD13" s="265">
        <v>10372.135104000001</v>
      </c>
      <c r="DE13" s="265"/>
      <c r="DF13" s="265">
        <v>10633.749807</v>
      </c>
      <c r="DG13" s="265"/>
      <c r="DH13" s="265">
        <v>8654.6488989999998</v>
      </c>
      <c r="DI13" s="265"/>
      <c r="DJ13" s="265">
        <v>10709.11067</v>
      </c>
      <c r="DK13" s="265"/>
      <c r="DL13" s="265">
        <v>10695.020025</v>
      </c>
      <c r="DM13" s="265"/>
      <c r="DN13" s="265"/>
      <c r="DO13" s="265"/>
      <c r="DP13" s="265"/>
      <c r="DQ13" s="265"/>
      <c r="DR13" s="265"/>
      <c r="DS13" s="265"/>
      <c r="DT13" s="265"/>
      <c r="DU13" s="265"/>
      <c r="DV13" s="265"/>
      <c r="DW13" s="265"/>
      <c r="DX13" s="265"/>
      <c r="DY13" s="265"/>
      <c r="DZ13" s="265"/>
      <c r="EA13" s="265"/>
      <c r="EB13" s="265"/>
      <c r="EC13" s="584"/>
      <c r="ED13" s="584"/>
      <c r="EE13" s="584"/>
      <c r="EF13" s="265"/>
      <c r="EG13" s="265"/>
      <c r="EH13" s="265">
        <v>1141.3410100000001</v>
      </c>
      <c r="EI13" s="265">
        <v>2728.191894</v>
      </c>
      <c r="EJ13" s="265"/>
      <c r="EK13" s="265">
        <v>3756.7135149999999</v>
      </c>
      <c r="EL13" s="265"/>
      <c r="EM13" s="265">
        <v>3831.1206889999999</v>
      </c>
      <c r="EN13" s="265"/>
      <c r="EO13" s="265">
        <v>803.14217499999995</v>
      </c>
      <c r="EP13" s="265"/>
      <c r="EQ13" s="265">
        <v>2632.241215</v>
      </c>
      <c r="ER13" s="265"/>
      <c r="ES13" s="265">
        <v>3179.6944199999998</v>
      </c>
      <c r="ET13" s="265"/>
      <c r="EU13" s="265"/>
      <c r="EV13" s="265"/>
      <c r="EW13" s="265"/>
      <c r="EX13" s="265"/>
      <c r="EY13" s="265"/>
      <c r="EZ13" s="265"/>
      <c r="FA13" s="265"/>
      <c r="FB13" s="265"/>
      <c r="FC13" s="265"/>
      <c r="FD13" s="265"/>
      <c r="FE13" s="265"/>
      <c r="FF13" s="265"/>
      <c r="FG13" s="265"/>
      <c r="FH13" s="265"/>
      <c r="FI13" s="265"/>
      <c r="FJ13" s="584"/>
      <c r="FK13" s="584"/>
      <c r="FL13" s="584"/>
      <c r="FM13" s="265"/>
      <c r="FN13" s="265"/>
      <c r="FO13" s="265">
        <v>3912.3624759999998</v>
      </c>
      <c r="FP13" s="265">
        <v>3492.5858450000001</v>
      </c>
      <c r="FR13" s="265">
        <v>3821.7045639999997</v>
      </c>
      <c r="FS13" s="265"/>
      <c r="FT13" s="265">
        <v>3102.3391210000004</v>
      </c>
      <c r="FU13" s="265"/>
      <c r="FV13" s="265">
        <v>4318.088283</v>
      </c>
      <c r="FW13" s="265"/>
      <c r="FX13" s="265">
        <v>6285.1269439999996</v>
      </c>
      <c r="FY13" s="265"/>
      <c r="FZ13" s="265">
        <v>6280.2909730000001</v>
      </c>
      <c r="GA13" s="265"/>
      <c r="GB13" s="265"/>
      <c r="GC13" s="265"/>
      <c r="GD13" s="265"/>
      <c r="GE13" s="265"/>
      <c r="GF13" s="265"/>
      <c r="GG13" s="265"/>
      <c r="GH13" s="265"/>
      <c r="GI13" s="265"/>
      <c r="GJ13" s="265"/>
      <c r="GK13" s="265"/>
      <c r="GL13" s="265"/>
      <c r="GM13" s="265"/>
      <c r="GN13" s="265"/>
      <c r="GO13" s="265"/>
      <c r="GP13" s="265"/>
      <c r="GQ13" s="584"/>
      <c r="GR13" s="584"/>
      <c r="GS13" s="584"/>
      <c r="GT13" s="265"/>
      <c r="GU13" s="265"/>
      <c r="GV13" s="265">
        <v>1638</v>
      </c>
      <c r="GW13" s="265">
        <v>2567</v>
      </c>
      <c r="GX13" s="265"/>
      <c r="GY13" s="265">
        <v>2294</v>
      </c>
      <c r="GZ13" s="265"/>
      <c r="HA13" s="265">
        <v>2310</v>
      </c>
      <c r="HB13" s="265"/>
      <c r="HC13" s="265">
        <v>1843</v>
      </c>
      <c r="HD13" s="265"/>
      <c r="HE13" s="265">
        <v>2093</v>
      </c>
      <c r="HF13" s="265"/>
      <c r="HG13" s="265">
        <v>2000</v>
      </c>
      <c r="HH13" s="265"/>
      <c r="HI13" s="265"/>
      <c r="HJ13" s="265"/>
      <c r="HK13" s="265"/>
      <c r="HL13" s="265"/>
      <c r="HM13" s="265"/>
      <c r="HN13" s="265"/>
      <c r="HO13" s="265"/>
      <c r="HP13" s="265"/>
      <c r="HQ13" s="265"/>
      <c r="HR13" s="265"/>
      <c r="HS13" s="265"/>
      <c r="HT13" s="265"/>
      <c r="HU13" s="265"/>
      <c r="HV13" s="265"/>
      <c r="HW13" s="265"/>
      <c r="HX13" s="265"/>
      <c r="HY13" s="265"/>
      <c r="IA13" s="265"/>
      <c r="IB13" s="265"/>
      <c r="IT13" s="265"/>
      <c r="IW13" s="265"/>
      <c r="IZ13" s="265"/>
      <c r="JC13" s="265"/>
      <c r="JH13" s="265"/>
      <c r="JI13" s="265"/>
      <c r="JJ13" s="265"/>
      <c r="JK13" s="265"/>
      <c r="JL13" s="265"/>
      <c r="JM13" s="265"/>
      <c r="JN13" s="265"/>
      <c r="JO13" s="265"/>
      <c r="JP13" s="265"/>
      <c r="JQ13" s="265"/>
      <c r="JR13" s="265"/>
      <c r="JS13" s="265"/>
      <c r="JT13" s="265"/>
      <c r="JU13" s="265"/>
      <c r="JV13" s="265"/>
      <c r="JW13" s="265"/>
      <c r="JX13" s="265"/>
      <c r="JY13" s="265"/>
      <c r="JZ13" s="265"/>
      <c r="KA13" s="265"/>
      <c r="KB13" s="265"/>
      <c r="KC13" s="265"/>
      <c r="KD13" s="265"/>
      <c r="KE13" s="265"/>
      <c r="KF13" s="265"/>
      <c r="KG13" s="265"/>
      <c r="KH13" s="265"/>
      <c r="KI13" s="265"/>
      <c r="KJ13" s="265"/>
      <c r="KK13" s="265"/>
      <c r="KL13" s="265">
        <v>28862.533858999999</v>
      </c>
      <c r="KM13" s="265">
        <v>30894.997452</v>
      </c>
      <c r="KN13" s="265"/>
      <c r="KO13" s="265">
        <v>35850.890243999995</v>
      </c>
      <c r="KP13" s="265"/>
      <c r="KR13" s="265">
        <v>38276.798309300008</v>
      </c>
      <c r="KS13" s="265"/>
      <c r="KT13" s="265">
        <v>38149.3159313</v>
      </c>
      <c r="KU13" s="265"/>
      <c r="KV13" s="265">
        <v>43611.485855049999</v>
      </c>
      <c r="KW13" s="265"/>
      <c r="KX13" s="265">
        <v>42964.90794153764</v>
      </c>
      <c r="KY13" s="265"/>
      <c r="KZ13" s="265">
        <v>47503.1023416026</v>
      </c>
      <c r="LA13" s="265"/>
      <c r="LB13" s="265">
        <v>46767.814823799898</v>
      </c>
      <c r="LC13" s="265"/>
      <c r="LD13" s="265"/>
      <c r="LE13" s="265">
        <v>46950.390292192184</v>
      </c>
      <c r="LF13" s="265"/>
      <c r="LG13" s="265"/>
      <c r="LH13" s="265">
        <v>47581.97950263878</v>
      </c>
      <c r="LI13" s="265"/>
      <c r="LJ13" s="265"/>
      <c r="LK13" s="265">
        <v>46293.666431977006</v>
      </c>
      <c r="LL13" s="265"/>
      <c r="LM13" s="265"/>
      <c r="LN13" s="265"/>
      <c r="LO13" s="265"/>
      <c r="LP13" s="265"/>
      <c r="LQ13" s="265"/>
      <c r="LR13" s="265"/>
      <c r="LS13" s="265"/>
      <c r="LT13" s="265"/>
      <c r="LU13" s="585"/>
    </row>
    <row r="14" spans="1:335" s="51" customFormat="1">
      <c r="A14" s="1305" t="s">
        <v>1210</v>
      </c>
      <c r="B14" s="590" t="s">
        <v>1147</v>
      </c>
      <c r="C14" s="591"/>
      <c r="D14" s="591"/>
      <c r="E14" s="591"/>
      <c r="F14" s="1277" t="s">
        <v>1155</v>
      </c>
      <c r="G14" s="1277"/>
      <c r="H14" s="1277"/>
      <c r="I14" s="1277"/>
      <c r="J14" s="1277"/>
      <c r="K14" s="1277"/>
      <c r="L14" s="1277"/>
      <c r="M14" s="1277"/>
      <c r="N14" s="1277"/>
      <c r="O14" s="1277"/>
      <c r="P14" s="1277"/>
      <c r="Q14" s="1277"/>
      <c r="R14" s="1277"/>
      <c r="S14" s="1277"/>
      <c r="T14" s="1277"/>
      <c r="U14" s="1277"/>
      <c r="V14" s="1277"/>
      <c r="W14" s="1277"/>
      <c r="X14" s="1277"/>
      <c r="Y14" s="1277"/>
      <c r="Z14" s="1277"/>
      <c r="AA14" s="1277"/>
      <c r="AB14" s="1277"/>
      <c r="AC14" s="1277"/>
      <c r="AD14" s="1277"/>
      <c r="AE14" s="1277"/>
      <c r="AF14" s="1277"/>
      <c r="AG14" s="1277"/>
      <c r="AH14" s="1277"/>
      <c r="AI14" s="1277"/>
      <c r="AJ14" s="1277"/>
      <c r="AK14" s="1277"/>
      <c r="AL14" s="1277"/>
      <c r="AM14" s="1277"/>
      <c r="AN14" s="1277"/>
      <c r="AO14" s="1277"/>
      <c r="AP14" s="1277"/>
      <c r="AQ14" s="1277"/>
      <c r="AR14" s="1277"/>
      <c r="AS14" s="1277"/>
      <c r="AT14" s="1277"/>
      <c r="AU14" s="1277"/>
      <c r="AV14" s="1277"/>
      <c r="AW14" s="1277"/>
      <c r="AX14" s="1277"/>
      <c r="AY14" s="1277"/>
      <c r="AZ14" s="1277"/>
      <c r="BA14" s="1277"/>
      <c r="BB14" s="1277"/>
      <c r="BC14" s="1277"/>
      <c r="BD14" s="1277"/>
      <c r="BE14" s="1277"/>
      <c r="BF14" s="1277"/>
      <c r="BG14" s="1277"/>
      <c r="BH14" s="1277"/>
      <c r="BI14" s="1277"/>
      <c r="BJ14" s="1277"/>
      <c r="BK14" s="1277"/>
      <c r="BL14" s="1277"/>
      <c r="BM14" s="1277"/>
      <c r="BN14" s="1277"/>
      <c r="BO14" s="1277"/>
      <c r="BP14" s="1277"/>
      <c r="BQ14" s="1277"/>
      <c r="BR14" s="1277"/>
      <c r="BS14" s="1277"/>
      <c r="BT14" s="1277"/>
      <c r="BU14" s="1277"/>
      <c r="BV14" s="1277"/>
      <c r="BW14" s="1277"/>
      <c r="BX14" s="1277"/>
      <c r="BY14" s="1277"/>
      <c r="BZ14" s="1277"/>
      <c r="CA14" s="1277"/>
      <c r="CB14" s="1277"/>
      <c r="CC14" s="1277"/>
      <c r="CD14" s="1277"/>
      <c r="CE14" s="1277"/>
      <c r="CF14" s="1277"/>
      <c r="CG14" s="1277"/>
      <c r="CH14" s="1277"/>
      <c r="CI14" s="1277"/>
      <c r="CJ14" s="1277"/>
      <c r="CK14" s="1277"/>
      <c r="CL14" s="1277"/>
      <c r="CM14" s="1277"/>
      <c r="CN14" s="1277"/>
      <c r="CO14" s="1277"/>
      <c r="CP14" s="1277"/>
      <c r="CQ14" s="1277"/>
      <c r="CR14" s="1277"/>
      <c r="CS14" s="1277"/>
      <c r="CT14" s="1277"/>
      <c r="CU14" s="1277"/>
      <c r="CV14" s="1277"/>
      <c r="CW14" s="1277"/>
      <c r="CX14" s="1277"/>
      <c r="CY14" s="1277"/>
      <c r="CZ14" s="1278"/>
      <c r="DA14" s="1279" t="s">
        <v>1104</v>
      </c>
      <c r="DB14" s="1280"/>
      <c r="DC14" s="1280"/>
      <c r="DD14" s="1280"/>
      <c r="DE14" s="1280"/>
      <c r="DF14" s="1280"/>
      <c r="DG14" s="1280"/>
      <c r="DH14" s="1280"/>
      <c r="DI14" s="1280"/>
      <c r="DJ14" s="1280"/>
      <c r="DK14" s="1280"/>
      <c r="DL14" s="1280"/>
      <c r="DM14" s="1280"/>
      <c r="DN14" s="1280"/>
      <c r="DO14" s="1280"/>
      <c r="DP14" s="1280"/>
      <c r="DQ14" s="1280"/>
      <c r="DR14" s="1280"/>
      <c r="DS14" s="1280"/>
      <c r="DT14" s="1280"/>
      <c r="DU14" s="1280"/>
      <c r="DV14" s="1280"/>
      <c r="DW14" s="1280"/>
      <c r="DX14" s="1280"/>
      <c r="DY14" s="1280"/>
      <c r="DZ14" s="1280"/>
      <c r="EA14" s="1280"/>
      <c r="EB14" s="1280"/>
      <c r="EC14" s="1280"/>
      <c r="ED14" s="1280"/>
      <c r="EE14" s="1280"/>
      <c r="EF14" s="1280"/>
      <c r="EG14" s="1280"/>
      <c r="EH14" s="1280"/>
      <c r="EI14" s="1280"/>
      <c r="EJ14" s="1280"/>
      <c r="EK14" s="1280"/>
      <c r="EL14" s="1280"/>
      <c r="EM14" s="1280"/>
      <c r="EN14" s="1280"/>
      <c r="EO14" s="1280"/>
      <c r="EP14" s="1280"/>
      <c r="EQ14" s="1280"/>
      <c r="ER14" s="1280"/>
      <c r="ES14" s="1280"/>
      <c r="ET14" s="1280"/>
      <c r="EU14" s="1280"/>
      <c r="EV14" s="1280"/>
      <c r="EW14" s="1280"/>
      <c r="EX14" s="1280"/>
      <c r="EY14" s="1280"/>
      <c r="EZ14" s="1280"/>
      <c r="FA14" s="1280"/>
      <c r="FB14" s="1280"/>
      <c r="FC14" s="1280"/>
      <c r="FD14" s="1280"/>
      <c r="FE14" s="1280"/>
      <c r="FF14" s="1280"/>
      <c r="FG14" s="1280"/>
      <c r="FH14" s="1280"/>
      <c r="FI14" s="1280"/>
      <c r="FJ14" s="1280"/>
      <c r="FK14" s="1280"/>
      <c r="FL14" s="1280"/>
      <c r="FM14" s="1280"/>
      <c r="FN14" s="1281"/>
      <c r="FO14" s="1282" t="s">
        <v>1211</v>
      </c>
      <c r="FP14" s="1283"/>
      <c r="FQ14" s="1283"/>
      <c r="FR14" s="1283"/>
      <c r="FS14" s="1283"/>
      <c r="FT14" s="1283"/>
      <c r="FU14" s="1283"/>
      <c r="FV14" s="1283"/>
      <c r="FW14" s="1283"/>
      <c r="FX14" s="1283"/>
      <c r="FY14" s="1283"/>
      <c r="FZ14" s="1283"/>
      <c r="GA14" s="1283"/>
      <c r="GB14" s="1283"/>
      <c r="GC14" s="1283"/>
      <c r="GD14" s="1283"/>
      <c r="GE14" s="1283"/>
      <c r="GF14" s="1283"/>
      <c r="GG14" s="1283"/>
      <c r="GH14" s="1283"/>
      <c r="GI14" s="1283"/>
      <c r="GJ14" s="1283"/>
      <c r="GK14" s="1283"/>
      <c r="GL14" s="1283"/>
      <c r="GM14" s="1283"/>
      <c r="GN14" s="1283"/>
      <c r="GO14" s="1283"/>
      <c r="GP14" s="1283"/>
      <c r="GQ14" s="1283"/>
      <c r="GR14" s="1283"/>
      <c r="GS14" s="1283"/>
      <c r="GT14" s="1283"/>
      <c r="GU14" s="1284"/>
      <c r="GV14" s="1288" t="s">
        <v>1212</v>
      </c>
      <c r="GW14" s="1289"/>
      <c r="GX14" s="1289"/>
      <c r="GY14" s="1289"/>
      <c r="GZ14" s="1289"/>
      <c r="HA14" s="1289"/>
      <c r="HB14" s="1289"/>
      <c r="HC14" s="1289"/>
      <c r="HD14" s="1289"/>
      <c r="HE14" s="1289"/>
      <c r="HF14" s="1289"/>
      <c r="HG14" s="1289"/>
      <c r="HH14" s="1289"/>
      <c r="HI14" s="1289"/>
      <c r="HJ14" s="1289"/>
      <c r="HK14" s="1289"/>
      <c r="HL14" s="1289"/>
      <c r="HM14" s="1289"/>
      <c r="HN14" s="1289"/>
      <c r="HO14" s="1289"/>
      <c r="HP14" s="1289"/>
      <c r="HQ14" s="1289"/>
      <c r="HR14" s="1289"/>
      <c r="HS14" s="1289"/>
      <c r="HT14" s="1289"/>
      <c r="HU14" s="1289"/>
      <c r="HV14" s="1289"/>
      <c r="HW14" s="1289"/>
      <c r="HX14" s="1289"/>
      <c r="HY14" s="1289"/>
      <c r="HZ14" s="1289"/>
      <c r="IA14" s="1289"/>
      <c r="IB14" s="1290"/>
      <c r="IC14" s="1268" t="s">
        <v>1213</v>
      </c>
      <c r="ID14" s="1269"/>
      <c r="IE14" s="1269"/>
      <c r="IF14" s="1269"/>
      <c r="IG14" s="1269"/>
      <c r="IH14" s="1269"/>
      <c r="II14" s="1269"/>
      <c r="IJ14" s="1269"/>
      <c r="IK14" s="1269"/>
      <c r="IL14" s="1269"/>
      <c r="IM14" s="1269"/>
      <c r="IN14" s="1269"/>
      <c r="IO14" s="1269"/>
      <c r="IP14" s="1269"/>
      <c r="IQ14" s="1269"/>
      <c r="IR14" s="1269"/>
      <c r="IS14" s="1269"/>
      <c r="IT14" s="1269"/>
      <c r="IU14" s="1269"/>
      <c r="IV14" s="1269"/>
      <c r="IW14" s="1269"/>
      <c r="IX14" s="1269"/>
      <c r="IY14" s="1269"/>
      <c r="IZ14" s="1269"/>
      <c r="JA14" s="1269"/>
      <c r="JB14" s="1269"/>
      <c r="JC14" s="1269"/>
      <c r="JD14" s="1269"/>
      <c r="JE14" s="1269"/>
      <c r="JF14" s="1269"/>
      <c r="JG14" s="1269"/>
      <c r="JH14" s="1269"/>
      <c r="JI14" s="1270"/>
      <c r="JJ14" s="1246" t="s">
        <v>1153</v>
      </c>
      <c r="JK14" s="1247"/>
      <c r="JL14" s="1247"/>
      <c r="JM14" s="1247"/>
      <c r="JN14" s="1247"/>
      <c r="JO14" s="1247"/>
      <c r="JP14" s="1247"/>
      <c r="JQ14" s="1247"/>
      <c r="JR14" s="1247"/>
      <c r="JS14" s="1247"/>
      <c r="JT14" s="1247"/>
      <c r="JU14" s="1247"/>
      <c r="JV14" s="1247"/>
      <c r="JW14" s="1247"/>
      <c r="JX14" s="1247"/>
      <c r="JY14" s="1247"/>
      <c r="JZ14" s="1247"/>
      <c r="KA14" s="1247"/>
      <c r="KB14" s="1247"/>
      <c r="KC14" s="1247"/>
      <c r="KD14" s="1247"/>
      <c r="KE14" s="1247"/>
      <c r="KF14" s="1247"/>
      <c r="KG14" s="1247"/>
      <c r="KH14" s="1247"/>
      <c r="KI14" s="1247"/>
      <c r="KJ14" s="1247"/>
      <c r="KK14" s="1248"/>
      <c r="KL14" s="1252" t="s">
        <v>1154</v>
      </c>
      <c r="KM14" s="1253"/>
      <c r="KN14" s="1253"/>
      <c r="KO14" s="1253"/>
      <c r="KP14" s="1253"/>
      <c r="KQ14" s="1253"/>
      <c r="KR14" s="1253"/>
      <c r="KS14" s="1253"/>
      <c r="KT14" s="1253"/>
      <c r="KU14" s="1253"/>
      <c r="KV14" s="1253"/>
      <c r="KW14" s="1253"/>
      <c r="KX14" s="1253"/>
      <c r="KY14" s="1253"/>
      <c r="KZ14" s="1253"/>
      <c r="LA14" s="1253"/>
      <c r="LB14" s="1253"/>
      <c r="LC14" s="1253"/>
      <c r="LD14" s="1253"/>
      <c r="LE14" s="1253"/>
      <c r="LF14" s="1253"/>
      <c r="LG14" s="1253"/>
      <c r="LH14" s="1253"/>
      <c r="LI14" s="1253"/>
      <c r="LJ14" s="1253"/>
      <c r="LK14" s="1253"/>
      <c r="LL14" s="1253"/>
      <c r="LM14" s="1253"/>
      <c r="LN14" s="1253"/>
      <c r="LO14" s="1253"/>
      <c r="LP14" s="1253"/>
      <c r="LQ14" s="1253"/>
      <c r="LR14" s="1253"/>
      <c r="LS14" s="1097"/>
      <c r="LT14" s="1097"/>
      <c r="LU14" s="166"/>
    </row>
    <row r="15" spans="1:335" s="51" customFormat="1">
      <c r="A15" s="1306"/>
      <c r="B15" s="588" t="s">
        <v>304</v>
      </c>
      <c r="C15" s="589"/>
      <c r="D15" s="589"/>
      <c r="E15" s="589"/>
      <c r="F15" s="1256" t="s">
        <v>1155</v>
      </c>
      <c r="G15" s="1256"/>
      <c r="H15" s="1256"/>
      <c r="I15" s="1256"/>
      <c r="J15" s="1256"/>
      <c r="K15" s="1256"/>
      <c r="L15" s="1256"/>
      <c r="M15" s="1256"/>
      <c r="N15" s="1256"/>
      <c r="O15" s="1256"/>
      <c r="P15" s="1256"/>
      <c r="Q15" s="1256"/>
      <c r="R15" s="1256"/>
      <c r="S15" s="1256"/>
      <c r="T15" s="1256"/>
      <c r="U15" s="1256"/>
      <c r="V15" s="1256"/>
      <c r="W15" s="1256"/>
      <c r="X15" s="1256"/>
      <c r="Y15" s="1256"/>
      <c r="Z15" s="1256"/>
      <c r="AA15" s="1256"/>
      <c r="AB15" s="1256"/>
      <c r="AC15" s="1256"/>
      <c r="AD15" s="1256"/>
      <c r="AE15" s="1256"/>
      <c r="AF15" s="1256"/>
      <c r="AG15" s="1256"/>
      <c r="AH15" s="1256"/>
      <c r="AI15" s="1256"/>
      <c r="AJ15" s="1256"/>
      <c r="AK15" s="1256"/>
      <c r="AL15" s="1257"/>
      <c r="AM15" s="1258" t="s">
        <v>305</v>
      </c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  <c r="BA15" s="1259"/>
      <c r="BB15" s="1259"/>
      <c r="BC15" s="1259"/>
      <c r="BD15" s="1259"/>
      <c r="BE15" s="1259"/>
      <c r="BF15" s="1259"/>
      <c r="BG15" s="1259"/>
      <c r="BH15" s="1259"/>
      <c r="BI15" s="1259"/>
      <c r="BJ15" s="1259"/>
      <c r="BK15" s="1259"/>
      <c r="BL15" s="1259"/>
      <c r="BM15" s="1259"/>
      <c r="BN15" s="1259"/>
      <c r="BO15" s="1259"/>
      <c r="BP15" s="1259"/>
      <c r="BQ15" s="1259"/>
      <c r="BR15" s="1259"/>
      <c r="BS15" s="1260"/>
      <c r="BT15" s="1261" t="s">
        <v>1214</v>
      </c>
      <c r="BU15" s="1262"/>
      <c r="BV15" s="1262"/>
      <c r="BW15" s="1262"/>
      <c r="BX15" s="1262"/>
      <c r="BY15" s="1262"/>
      <c r="BZ15" s="1262"/>
      <c r="CA15" s="1262"/>
      <c r="CB15" s="1262"/>
      <c r="CC15" s="1262"/>
      <c r="CD15" s="1262"/>
      <c r="CE15" s="1262"/>
      <c r="CF15" s="1262"/>
      <c r="CG15" s="1262"/>
      <c r="CH15" s="1262"/>
      <c r="CI15" s="1262"/>
      <c r="CJ15" s="1262"/>
      <c r="CK15" s="1262"/>
      <c r="CL15" s="1262"/>
      <c r="CM15" s="1262"/>
      <c r="CN15" s="1262"/>
      <c r="CO15" s="1262"/>
      <c r="CP15" s="1262"/>
      <c r="CQ15" s="1262"/>
      <c r="CR15" s="1262"/>
      <c r="CS15" s="1262"/>
      <c r="CT15" s="1262"/>
      <c r="CU15" s="1262"/>
      <c r="CV15" s="1262"/>
      <c r="CW15" s="1262"/>
      <c r="CX15" s="1262"/>
      <c r="CY15" s="1262"/>
      <c r="CZ15" s="1263"/>
      <c r="DA15" s="1264" t="s">
        <v>304</v>
      </c>
      <c r="DB15" s="1256"/>
      <c r="DC15" s="1256"/>
      <c r="DD15" s="1256"/>
      <c r="DE15" s="1256"/>
      <c r="DF15" s="1256"/>
      <c r="DG15" s="1256"/>
      <c r="DH15" s="1256"/>
      <c r="DI15" s="1256"/>
      <c r="DJ15" s="1256"/>
      <c r="DK15" s="1256"/>
      <c r="DL15" s="1256"/>
      <c r="DM15" s="1256"/>
      <c r="DN15" s="1256"/>
      <c r="DO15" s="1256"/>
      <c r="DP15" s="1256"/>
      <c r="DQ15" s="1256"/>
      <c r="DR15" s="1256"/>
      <c r="DS15" s="1256"/>
      <c r="DT15" s="1256"/>
      <c r="DU15" s="1256"/>
      <c r="DV15" s="1256"/>
      <c r="DW15" s="1256"/>
      <c r="DX15" s="1256"/>
      <c r="DY15" s="1256"/>
      <c r="DZ15" s="1256"/>
      <c r="EA15" s="1256"/>
      <c r="EB15" s="1256"/>
      <c r="EC15" s="1256"/>
      <c r="ED15" s="1256"/>
      <c r="EE15" s="1256"/>
      <c r="EF15" s="1256"/>
      <c r="EG15" s="1257"/>
      <c r="EH15" s="1265" t="s">
        <v>305</v>
      </c>
      <c r="EI15" s="1266"/>
      <c r="EJ15" s="1266"/>
      <c r="EK15" s="1266"/>
      <c r="EL15" s="1266"/>
      <c r="EM15" s="1266"/>
      <c r="EN15" s="1266"/>
      <c r="EO15" s="1266"/>
      <c r="EP15" s="1266"/>
      <c r="EQ15" s="1266"/>
      <c r="ER15" s="1266"/>
      <c r="ES15" s="1266"/>
      <c r="ET15" s="1266"/>
      <c r="EU15" s="1266"/>
      <c r="EV15" s="1266"/>
      <c r="EW15" s="1266"/>
      <c r="EX15" s="1266"/>
      <c r="EY15" s="1266"/>
      <c r="EZ15" s="1266"/>
      <c r="FA15" s="1266"/>
      <c r="FB15" s="1266"/>
      <c r="FC15" s="1266"/>
      <c r="FD15" s="1266"/>
      <c r="FE15" s="1266"/>
      <c r="FF15" s="1266"/>
      <c r="FG15" s="1266"/>
      <c r="FH15" s="1266"/>
      <c r="FI15" s="1266"/>
      <c r="FJ15" s="1266"/>
      <c r="FK15" s="1266"/>
      <c r="FL15" s="1266"/>
      <c r="FM15" s="1266"/>
      <c r="FN15" s="1267"/>
      <c r="FO15" s="1285"/>
      <c r="FP15" s="1286"/>
      <c r="FQ15" s="1286"/>
      <c r="FR15" s="1286"/>
      <c r="FS15" s="1286"/>
      <c r="FT15" s="1286"/>
      <c r="FU15" s="1286"/>
      <c r="FV15" s="1286"/>
      <c r="FW15" s="1286"/>
      <c r="FX15" s="1286"/>
      <c r="FY15" s="1286"/>
      <c r="FZ15" s="1286"/>
      <c r="GA15" s="1286"/>
      <c r="GB15" s="1286"/>
      <c r="GC15" s="1286"/>
      <c r="GD15" s="1286"/>
      <c r="GE15" s="1286"/>
      <c r="GF15" s="1286"/>
      <c r="GG15" s="1286"/>
      <c r="GH15" s="1286"/>
      <c r="GI15" s="1286"/>
      <c r="GJ15" s="1286"/>
      <c r="GK15" s="1286"/>
      <c r="GL15" s="1286"/>
      <c r="GM15" s="1286"/>
      <c r="GN15" s="1286"/>
      <c r="GO15" s="1286"/>
      <c r="GP15" s="1286"/>
      <c r="GQ15" s="1286"/>
      <c r="GR15" s="1286"/>
      <c r="GS15" s="1286"/>
      <c r="GT15" s="1286"/>
      <c r="GU15" s="1287"/>
      <c r="GV15" s="1291"/>
      <c r="GW15" s="1292"/>
      <c r="GX15" s="1292"/>
      <c r="GY15" s="1292"/>
      <c r="GZ15" s="1292"/>
      <c r="HA15" s="1292"/>
      <c r="HB15" s="1292"/>
      <c r="HC15" s="1292"/>
      <c r="HD15" s="1292"/>
      <c r="HE15" s="1292"/>
      <c r="HF15" s="1292"/>
      <c r="HG15" s="1292"/>
      <c r="HH15" s="1292"/>
      <c r="HI15" s="1292"/>
      <c r="HJ15" s="1292"/>
      <c r="HK15" s="1292"/>
      <c r="HL15" s="1292"/>
      <c r="HM15" s="1292"/>
      <c r="HN15" s="1292"/>
      <c r="HO15" s="1292"/>
      <c r="HP15" s="1292"/>
      <c r="HQ15" s="1292"/>
      <c r="HR15" s="1292"/>
      <c r="HS15" s="1292"/>
      <c r="HT15" s="1292"/>
      <c r="HU15" s="1292"/>
      <c r="HV15" s="1292"/>
      <c r="HW15" s="1292"/>
      <c r="HX15" s="1292"/>
      <c r="HY15" s="1292"/>
      <c r="HZ15" s="1292"/>
      <c r="IA15" s="1292"/>
      <c r="IB15" s="1293"/>
      <c r="IC15" s="1271"/>
      <c r="ID15" s="1272"/>
      <c r="IE15" s="1272"/>
      <c r="IF15" s="1272"/>
      <c r="IG15" s="1272"/>
      <c r="IH15" s="1272"/>
      <c r="II15" s="1272"/>
      <c r="IJ15" s="1272"/>
      <c r="IK15" s="1272"/>
      <c r="IL15" s="1272"/>
      <c r="IM15" s="1272"/>
      <c r="IN15" s="1272"/>
      <c r="IO15" s="1272"/>
      <c r="IP15" s="1272"/>
      <c r="IQ15" s="1272"/>
      <c r="IR15" s="1272"/>
      <c r="IS15" s="1272"/>
      <c r="IT15" s="1272"/>
      <c r="IU15" s="1272"/>
      <c r="IV15" s="1272"/>
      <c r="IW15" s="1272"/>
      <c r="IX15" s="1272"/>
      <c r="IY15" s="1272"/>
      <c r="IZ15" s="1272"/>
      <c r="JA15" s="1272"/>
      <c r="JB15" s="1272"/>
      <c r="JC15" s="1272"/>
      <c r="JD15" s="1272"/>
      <c r="JE15" s="1272"/>
      <c r="JF15" s="1272"/>
      <c r="JG15" s="1272"/>
      <c r="JH15" s="1272"/>
      <c r="JI15" s="1273"/>
      <c r="JJ15" s="1249"/>
      <c r="JK15" s="1250"/>
      <c r="JL15" s="1250"/>
      <c r="JM15" s="1250"/>
      <c r="JN15" s="1250"/>
      <c r="JO15" s="1250"/>
      <c r="JP15" s="1250"/>
      <c r="JQ15" s="1250"/>
      <c r="JR15" s="1250"/>
      <c r="JS15" s="1250"/>
      <c r="JT15" s="1250"/>
      <c r="JU15" s="1250"/>
      <c r="JV15" s="1250"/>
      <c r="JW15" s="1250"/>
      <c r="JX15" s="1250"/>
      <c r="JY15" s="1250"/>
      <c r="JZ15" s="1250"/>
      <c r="KA15" s="1250"/>
      <c r="KB15" s="1250"/>
      <c r="KC15" s="1250"/>
      <c r="KD15" s="1250"/>
      <c r="KE15" s="1250"/>
      <c r="KF15" s="1250"/>
      <c r="KG15" s="1250"/>
      <c r="KH15" s="1250"/>
      <c r="KI15" s="1250"/>
      <c r="KJ15" s="1250"/>
      <c r="KK15" s="1251"/>
      <c r="KL15" s="1254"/>
      <c r="KM15" s="1255"/>
      <c r="KN15" s="1255"/>
      <c r="KO15" s="1255"/>
      <c r="KP15" s="1255"/>
      <c r="KQ15" s="1255"/>
      <c r="KR15" s="1255"/>
      <c r="KS15" s="1255"/>
      <c r="KT15" s="1255"/>
      <c r="KU15" s="1255"/>
      <c r="KV15" s="1255"/>
      <c r="KW15" s="1255"/>
      <c r="KX15" s="1255"/>
      <c r="KY15" s="1255"/>
      <c r="KZ15" s="1255"/>
      <c r="LA15" s="1255"/>
      <c r="LB15" s="1255"/>
      <c r="LC15" s="1255"/>
      <c r="LD15" s="1255"/>
      <c r="LE15" s="1255"/>
      <c r="LF15" s="1255"/>
      <c r="LG15" s="1255"/>
      <c r="LH15" s="1255"/>
      <c r="LI15" s="1255"/>
      <c r="LJ15" s="1255"/>
      <c r="LK15" s="1255"/>
      <c r="LL15" s="1255"/>
      <c r="LM15" s="1255"/>
      <c r="LN15" s="1255"/>
      <c r="LO15" s="1255"/>
      <c r="LP15" s="1255"/>
      <c r="LQ15" s="1255"/>
      <c r="LR15" s="1255"/>
      <c r="LS15" s="1097"/>
      <c r="LT15" s="1097"/>
      <c r="LU15" s="166"/>
    </row>
    <row r="16" spans="1:335" s="51" customFormat="1">
      <c r="A16" s="1306"/>
      <c r="B16" s="173">
        <v>44105</v>
      </c>
      <c r="C16" s="173">
        <v>44136</v>
      </c>
      <c r="D16" s="173">
        <v>44166</v>
      </c>
      <c r="E16" s="173" t="s">
        <v>1157</v>
      </c>
      <c r="F16" s="211">
        <v>44197</v>
      </c>
      <c r="G16" s="211">
        <v>44228</v>
      </c>
      <c r="H16" s="211">
        <v>44228</v>
      </c>
      <c r="I16" s="211">
        <v>44256</v>
      </c>
      <c r="J16" s="211">
        <v>44256</v>
      </c>
      <c r="K16" s="211">
        <v>44287</v>
      </c>
      <c r="L16" s="211">
        <v>44287</v>
      </c>
      <c r="M16" s="211">
        <v>44317</v>
      </c>
      <c r="N16" s="211">
        <v>44317</v>
      </c>
      <c r="O16" s="211">
        <v>44348</v>
      </c>
      <c r="P16" s="211">
        <v>44348</v>
      </c>
      <c r="Q16" s="211">
        <v>44378</v>
      </c>
      <c r="R16" s="211">
        <v>44378</v>
      </c>
      <c r="S16" s="211">
        <v>44409</v>
      </c>
      <c r="T16" s="211">
        <v>44409</v>
      </c>
      <c r="U16" s="211">
        <v>44440</v>
      </c>
      <c r="V16" s="211">
        <v>44440</v>
      </c>
      <c r="W16" s="211">
        <v>44440</v>
      </c>
      <c r="X16" s="211">
        <v>44470</v>
      </c>
      <c r="Y16" s="211">
        <v>44470</v>
      </c>
      <c r="Z16" s="211">
        <v>44470</v>
      </c>
      <c r="AA16" s="211">
        <v>44501</v>
      </c>
      <c r="AB16" s="211">
        <v>44501</v>
      </c>
      <c r="AC16" s="211">
        <v>44501</v>
      </c>
      <c r="AD16" s="211">
        <v>44531</v>
      </c>
      <c r="AE16" s="211">
        <v>44531</v>
      </c>
      <c r="AF16" s="211">
        <v>44531</v>
      </c>
      <c r="AG16" s="169" t="s">
        <v>1185</v>
      </c>
      <c r="AH16" s="169" t="s">
        <v>1186</v>
      </c>
      <c r="AI16" s="169" t="s">
        <v>1187</v>
      </c>
      <c r="AJ16" s="169" t="s">
        <v>1188</v>
      </c>
      <c r="AK16" s="169" t="s">
        <v>1205</v>
      </c>
      <c r="AL16" s="169" t="s">
        <v>1205</v>
      </c>
      <c r="AM16" s="211">
        <v>44197</v>
      </c>
      <c r="AN16" s="211">
        <v>44228</v>
      </c>
      <c r="AO16" s="211">
        <v>44228</v>
      </c>
      <c r="AP16" s="211">
        <v>44256</v>
      </c>
      <c r="AQ16" s="211">
        <v>44256</v>
      </c>
      <c r="AR16" s="211">
        <v>44287</v>
      </c>
      <c r="AS16" s="211">
        <v>44287</v>
      </c>
      <c r="AT16" s="211">
        <v>44317</v>
      </c>
      <c r="AU16" s="211">
        <v>44317</v>
      </c>
      <c r="AV16" s="211">
        <v>44348</v>
      </c>
      <c r="AW16" s="211">
        <v>44348</v>
      </c>
      <c r="AX16" s="211">
        <v>44378</v>
      </c>
      <c r="AY16" s="211">
        <v>44378</v>
      </c>
      <c r="AZ16" s="211">
        <v>44409</v>
      </c>
      <c r="BA16" s="211">
        <v>44409</v>
      </c>
      <c r="BB16" s="211">
        <v>44440</v>
      </c>
      <c r="BC16" s="211">
        <v>44440</v>
      </c>
      <c r="BD16" s="211">
        <v>44440</v>
      </c>
      <c r="BE16" s="211">
        <v>44470</v>
      </c>
      <c r="BF16" s="211">
        <v>44470</v>
      </c>
      <c r="BG16" s="211">
        <v>44470</v>
      </c>
      <c r="BH16" s="211">
        <v>44501</v>
      </c>
      <c r="BI16" s="211">
        <v>44501</v>
      </c>
      <c r="BJ16" s="211">
        <v>44501</v>
      </c>
      <c r="BK16" s="211">
        <v>44531</v>
      </c>
      <c r="BL16" s="211">
        <v>44531</v>
      </c>
      <c r="BM16" s="211">
        <v>44531</v>
      </c>
      <c r="BN16" s="169" t="s">
        <v>1185</v>
      </c>
      <c r="BO16" s="169" t="s">
        <v>1186</v>
      </c>
      <c r="BP16" s="169" t="s">
        <v>1187</v>
      </c>
      <c r="BQ16" s="169" t="s">
        <v>1188</v>
      </c>
      <c r="BR16" s="169" t="s">
        <v>1205</v>
      </c>
      <c r="BS16" s="169" t="s">
        <v>1205</v>
      </c>
      <c r="BT16" s="211">
        <v>44197</v>
      </c>
      <c r="BU16" s="211">
        <v>44228</v>
      </c>
      <c r="BV16" s="211">
        <v>44228</v>
      </c>
      <c r="BW16" s="211">
        <v>44256</v>
      </c>
      <c r="BX16" s="211">
        <v>44256</v>
      </c>
      <c r="BY16" s="211">
        <v>44287</v>
      </c>
      <c r="BZ16" s="211">
        <v>44287</v>
      </c>
      <c r="CA16" s="211">
        <v>44317</v>
      </c>
      <c r="CB16" s="211">
        <v>44317</v>
      </c>
      <c r="CC16" s="211">
        <v>44348</v>
      </c>
      <c r="CD16" s="211">
        <v>44348</v>
      </c>
      <c r="CE16" s="211">
        <v>44378</v>
      </c>
      <c r="CF16" s="211">
        <v>44378</v>
      </c>
      <c r="CG16" s="211">
        <v>44409</v>
      </c>
      <c r="CH16" s="211">
        <v>44409</v>
      </c>
      <c r="CI16" s="211">
        <v>44440</v>
      </c>
      <c r="CJ16" s="211">
        <v>44440</v>
      </c>
      <c r="CK16" s="211">
        <v>44440</v>
      </c>
      <c r="CL16" s="211">
        <v>44470</v>
      </c>
      <c r="CM16" s="211">
        <v>44470</v>
      </c>
      <c r="CN16" s="211">
        <v>44470</v>
      </c>
      <c r="CO16" s="211">
        <v>44501</v>
      </c>
      <c r="CP16" s="211">
        <v>44501</v>
      </c>
      <c r="CQ16" s="211">
        <v>44501</v>
      </c>
      <c r="CR16" s="211">
        <v>44531</v>
      </c>
      <c r="CS16" s="211">
        <v>44531</v>
      </c>
      <c r="CT16" s="211">
        <v>44531</v>
      </c>
      <c r="CU16" s="169" t="s">
        <v>1185</v>
      </c>
      <c r="CV16" s="169" t="s">
        <v>1186</v>
      </c>
      <c r="CW16" s="169" t="s">
        <v>1187</v>
      </c>
      <c r="CX16" s="169" t="s">
        <v>1188</v>
      </c>
      <c r="CY16" s="169" t="s">
        <v>1205</v>
      </c>
      <c r="CZ16" s="169" t="s">
        <v>1205</v>
      </c>
      <c r="DA16" s="211">
        <v>44197</v>
      </c>
      <c r="DB16" s="211">
        <v>44228</v>
      </c>
      <c r="DC16" s="211">
        <v>44228</v>
      </c>
      <c r="DD16" s="211">
        <v>44256</v>
      </c>
      <c r="DE16" s="211">
        <v>44256</v>
      </c>
      <c r="DF16" s="211">
        <v>44287</v>
      </c>
      <c r="DG16" s="211">
        <v>44287</v>
      </c>
      <c r="DH16" s="211">
        <v>44317</v>
      </c>
      <c r="DI16" s="211">
        <v>44317</v>
      </c>
      <c r="DJ16" s="211">
        <v>44348</v>
      </c>
      <c r="DK16" s="211">
        <v>44348</v>
      </c>
      <c r="DL16" s="211">
        <v>44378</v>
      </c>
      <c r="DM16" s="211">
        <v>44378</v>
      </c>
      <c r="DN16" s="211">
        <v>44409</v>
      </c>
      <c r="DO16" s="211">
        <v>44409</v>
      </c>
      <c r="DP16" s="211">
        <v>44440</v>
      </c>
      <c r="DQ16" s="211">
        <v>44440</v>
      </c>
      <c r="DR16" s="211">
        <v>44440</v>
      </c>
      <c r="DS16" s="211">
        <v>44470</v>
      </c>
      <c r="DT16" s="211">
        <v>44470</v>
      </c>
      <c r="DU16" s="211">
        <v>44470</v>
      </c>
      <c r="DV16" s="211">
        <v>44501</v>
      </c>
      <c r="DW16" s="211">
        <v>44501</v>
      </c>
      <c r="DX16" s="211">
        <v>44501</v>
      </c>
      <c r="DY16" s="211">
        <v>44531</v>
      </c>
      <c r="DZ16" s="211">
        <v>44531</v>
      </c>
      <c r="EA16" s="211">
        <v>44531</v>
      </c>
      <c r="EB16" s="169" t="s">
        <v>1185</v>
      </c>
      <c r="EC16" s="169" t="s">
        <v>1186</v>
      </c>
      <c r="ED16" s="169" t="s">
        <v>1187</v>
      </c>
      <c r="EE16" s="169" t="s">
        <v>1188</v>
      </c>
      <c r="EF16" s="169" t="s">
        <v>1205</v>
      </c>
      <c r="EG16" s="169" t="s">
        <v>1205</v>
      </c>
      <c r="EH16" s="211">
        <v>44197</v>
      </c>
      <c r="EI16" s="211">
        <v>44228</v>
      </c>
      <c r="EJ16" s="211">
        <v>44228</v>
      </c>
      <c r="EK16" s="211">
        <v>44256</v>
      </c>
      <c r="EL16" s="211">
        <v>44256</v>
      </c>
      <c r="EM16" s="211">
        <v>44287</v>
      </c>
      <c r="EN16" s="211">
        <v>44287</v>
      </c>
      <c r="EO16" s="211">
        <v>44317</v>
      </c>
      <c r="EP16" s="211">
        <v>44317</v>
      </c>
      <c r="EQ16" s="211">
        <v>44348</v>
      </c>
      <c r="ER16" s="211">
        <v>44348</v>
      </c>
      <c r="ES16" s="211">
        <v>44378</v>
      </c>
      <c r="ET16" s="211">
        <v>44378</v>
      </c>
      <c r="EU16" s="211">
        <v>44409</v>
      </c>
      <c r="EV16" s="211">
        <v>44409</v>
      </c>
      <c r="EW16" s="211">
        <v>44440</v>
      </c>
      <c r="EX16" s="211">
        <v>44440</v>
      </c>
      <c r="EY16" s="211">
        <v>44440</v>
      </c>
      <c r="EZ16" s="211">
        <v>44470</v>
      </c>
      <c r="FA16" s="211">
        <v>44470</v>
      </c>
      <c r="FB16" s="211">
        <v>44470</v>
      </c>
      <c r="FC16" s="211">
        <v>44501</v>
      </c>
      <c r="FD16" s="211">
        <v>44501</v>
      </c>
      <c r="FE16" s="211">
        <v>44501</v>
      </c>
      <c r="FF16" s="211">
        <v>44531</v>
      </c>
      <c r="FG16" s="211">
        <v>44531</v>
      </c>
      <c r="FH16" s="211">
        <v>44531</v>
      </c>
      <c r="FI16" s="169" t="s">
        <v>1185</v>
      </c>
      <c r="FJ16" s="169" t="s">
        <v>1186</v>
      </c>
      <c r="FK16" s="169" t="s">
        <v>1187</v>
      </c>
      <c r="FL16" s="169" t="s">
        <v>1188</v>
      </c>
      <c r="FM16" s="169" t="s">
        <v>1205</v>
      </c>
      <c r="FN16" s="169" t="s">
        <v>1205</v>
      </c>
      <c r="FO16" s="211">
        <v>44197</v>
      </c>
      <c r="FP16" s="211">
        <v>44228</v>
      </c>
      <c r="FQ16" s="211">
        <v>44228</v>
      </c>
      <c r="FR16" s="211">
        <v>44256</v>
      </c>
      <c r="FS16" s="211">
        <v>44256</v>
      </c>
      <c r="FT16" s="211">
        <v>44287</v>
      </c>
      <c r="FU16" s="211">
        <v>44287</v>
      </c>
      <c r="FV16" s="211">
        <v>44317</v>
      </c>
      <c r="FW16" s="211">
        <v>44317</v>
      </c>
      <c r="FX16" s="211">
        <v>44348</v>
      </c>
      <c r="FY16" s="211">
        <v>44348</v>
      </c>
      <c r="FZ16" s="211">
        <v>44378</v>
      </c>
      <c r="GA16" s="211">
        <v>44378</v>
      </c>
      <c r="GB16" s="211">
        <v>44409</v>
      </c>
      <c r="GC16" s="211">
        <v>44409</v>
      </c>
      <c r="GD16" s="211">
        <v>44440</v>
      </c>
      <c r="GE16" s="211">
        <v>44440</v>
      </c>
      <c r="GF16" s="211">
        <v>44440</v>
      </c>
      <c r="GG16" s="211">
        <v>44470</v>
      </c>
      <c r="GH16" s="211">
        <v>44470</v>
      </c>
      <c r="GI16" s="211">
        <v>44470</v>
      </c>
      <c r="GJ16" s="211">
        <v>44501</v>
      </c>
      <c r="GK16" s="211">
        <v>44501</v>
      </c>
      <c r="GL16" s="211">
        <v>44501</v>
      </c>
      <c r="GM16" s="211">
        <v>44531</v>
      </c>
      <c r="GN16" s="211">
        <v>44531</v>
      </c>
      <c r="GO16" s="211">
        <v>44531</v>
      </c>
      <c r="GP16" s="169" t="s">
        <v>1185</v>
      </c>
      <c r="GQ16" s="169" t="s">
        <v>1186</v>
      </c>
      <c r="GR16" s="169" t="s">
        <v>1187</v>
      </c>
      <c r="GS16" s="169" t="s">
        <v>1188</v>
      </c>
      <c r="GT16" s="169" t="s">
        <v>1205</v>
      </c>
      <c r="GU16" s="169" t="s">
        <v>1205</v>
      </c>
      <c r="GV16" s="211">
        <v>44197</v>
      </c>
      <c r="GW16" s="211">
        <v>44228</v>
      </c>
      <c r="GX16" s="211">
        <v>44228</v>
      </c>
      <c r="GY16" s="211">
        <v>44256</v>
      </c>
      <c r="GZ16" s="211">
        <v>44256</v>
      </c>
      <c r="HA16" s="211">
        <v>44287</v>
      </c>
      <c r="HB16" s="211">
        <v>44287</v>
      </c>
      <c r="HC16" s="211">
        <v>44317</v>
      </c>
      <c r="HD16" s="211">
        <v>44317</v>
      </c>
      <c r="HE16" s="211">
        <v>44348</v>
      </c>
      <c r="HF16" s="211">
        <v>44348</v>
      </c>
      <c r="HG16" s="211">
        <v>44378</v>
      </c>
      <c r="HH16" s="211">
        <v>44378</v>
      </c>
      <c r="HI16" s="211">
        <v>44409</v>
      </c>
      <c r="HJ16" s="211">
        <v>44409</v>
      </c>
      <c r="HK16" s="211">
        <v>44440</v>
      </c>
      <c r="HL16" s="211">
        <v>44440</v>
      </c>
      <c r="HM16" s="211">
        <v>44440</v>
      </c>
      <c r="HN16" s="211">
        <v>44470</v>
      </c>
      <c r="HO16" s="211">
        <v>44470</v>
      </c>
      <c r="HP16" s="211">
        <v>44470</v>
      </c>
      <c r="HQ16" s="211">
        <v>44501</v>
      </c>
      <c r="HR16" s="211">
        <v>44501</v>
      </c>
      <c r="HS16" s="211">
        <v>44501</v>
      </c>
      <c r="HT16" s="211">
        <v>44531</v>
      </c>
      <c r="HU16" s="211">
        <v>44531</v>
      </c>
      <c r="HV16" s="211">
        <v>44531</v>
      </c>
      <c r="HW16" s="169" t="s">
        <v>1185</v>
      </c>
      <c r="HX16" s="169" t="s">
        <v>1186</v>
      </c>
      <c r="HY16" s="169" t="s">
        <v>1187</v>
      </c>
      <c r="HZ16" s="169" t="s">
        <v>1188</v>
      </c>
      <c r="IA16" s="169" t="s">
        <v>1205</v>
      </c>
      <c r="IB16" s="169" t="s">
        <v>1205</v>
      </c>
      <c r="IC16" s="211">
        <v>44197</v>
      </c>
      <c r="ID16" s="211">
        <v>44228</v>
      </c>
      <c r="IE16" s="211">
        <v>44228</v>
      </c>
      <c r="IF16" s="211">
        <v>44256</v>
      </c>
      <c r="IG16" s="211">
        <v>44256</v>
      </c>
      <c r="IH16" s="211">
        <v>44287</v>
      </c>
      <c r="II16" s="211">
        <v>44287</v>
      </c>
      <c r="IJ16" s="211">
        <v>44317</v>
      </c>
      <c r="IK16" s="211">
        <v>44317</v>
      </c>
      <c r="IL16" s="211">
        <v>44348</v>
      </c>
      <c r="IM16" s="211">
        <v>44348</v>
      </c>
      <c r="IN16" s="211">
        <v>44378</v>
      </c>
      <c r="IO16" s="211">
        <v>44378</v>
      </c>
      <c r="IP16" s="211">
        <v>44409</v>
      </c>
      <c r="IQ16" s="211">
        <v>44409</v>
      </c>
      <c r="IR16" s="211">
        <v>44440</v>
      </c>
      <c r="IS16" s="211">
        <v>44440</v>
      </c>
      <c r="IT16" s="211">
        <v>44440</v>
      </c>
      <c r="IU16" s="211">
        <v>44470</v>
      </c>
      <c r="IV16" s="211">
        <v>44470</v>
      </c>
      <c r="IW16" s="211">
        <v>44470</v>
      </c>
      <c r="IX16" s="211">
        <v>44501</v>
      </c>
      <c r="IY16" s="211">
        <v>44501</v>
      </c>
      <c r="IZ16" s="211">
        <v>44501</v>
      </c>
      <c r="JA16" s="211">
        <v>44531</v>
      </c>
      <c r="JB16" s="211">
        <v>44531</v>
      </c>
      <c r="JC16" s="211">
        <v>44531</v>
      </c>
      <c r="JD16" s="169" t="s">
        <v>1185</v>
      </c>
      <c r="JE16" s="169" t="s">
        <v>1186</v>
      </c>
      <c r="JF16" s="169" t="s">
        <v>1187</v>
      </c>
      <c r="JG16" s="169" t="s">
        <v>1188</v>
      </c>
      <c r="JH16" s="169" t="s">
        <v>1205</v>
      </c>
      <c r="JI16" s="169" t="s">
        <v>1205</v>
      </c>
      <c r="JJ16" s="211">
        <v>44197</v>
      </c>
      <c r="JK16" s="211">
        <v>44228</v>
      </c>
      <c r="JL16" s="211">
        <v>44228</v>
      </c>
      <c r="JM16" s="211">
        <v>44256</v>
      </c>
      <c r="JN16" s="211">
        <v>44256</v>
      </c>
      <c r="JO16" s="211">
        <v>44287</v>
      </c>
      <c r="JP16" s="211">
        <v>44287</v>
      </c>
      <c r="JQ16" s="211">
        <v>44317</v>
      </c>
      <c r="JR16" s="211">
        <v>44317</v>
      </c>
      <c r="JS16" s="211">
        <v>44348</v>
      </c>
      <c r="JT16" s="211">
        <v>44348</v>
      </c>
      <c r="JU16" s="211">
        <v>44378</v>
      </c>
      <c r="JV16" s="211">
        <v>44378</v>
      </c>
      <c r="JW16" s="211">
        <v>44409</v>
      </c>
      <c r="JX16" s="211">
        <v>44409</v>
      </c>
      <c r="JY16" s="211">
        <v>44440</v>
      </c>
      <c r="JZ16" s="211">
        <v>44440</v>
      </c>
      <c r="KA16" s="211">
        <v>44470</v>
      </c>
      <c r="KB16" s="211">
        <v>44470</v>
      </c>
      <c r="KC16" s="211">
        <v>44501</v>
      </c>
      <c r="KD16" s="211">
        <v>44501</v>
      </c>
      <c r="KE16" s="211">
        <v>44531</v>
      </c>
      <c r="KF16" s="211">
        <v>44531</v>
      </c>
      <c r="KG16" s="169" t="s">
        <v>1185</v>
      </c>
      <c r="KH16" s="169" t="s">
        <v>1186</v>
      </c>
      <c r="KI16" s="169" t="s">
        <v>1187</v>
      </c>
      <c r="KJ16" s="169" t="s">
        <v>1188</v>
      </c>
      <c r="KK16" s="169" t="s">
        <v>1205</v>
      </c>
      <c r="KL16" s="211">
        <v>44197</v>
      </c>
      <c r="KM16" s="211">
        <v>44228</v>
      </c>
      <c r="KN16" s="211">
        <v>44228</v>
      </c>
      <c r="KO16" s="211">
        <v>44256</v>
      </c>
      <c r="KP16" s="211">
        <v>44256</v>
      </c>
      <c r="KQ16" s="211">
        <v>44287</v>
      </c>
      <c r="KR16" s="211">
        <v>44287</v>
      </c>
      <c r="KS16" s="211">
        <v>44317</v>
      </c>
      <c r="KT16" s="211">
        <v>44317</v>
      </c>
      <c r="KU16" s="211">
        <v>44348</v>
      </c>
      <c r="KV16" s="211">
        <v>44348</v>
      </c>
      <c r="KW16" s="211">
        <v>44378</v>
      </c>
      <c r="KX16" s="211">
        <v>44378</v>
      </c>
      <c r="KY16" s="211">
        <v>44409</v>
      </c>
      <c r="KZ16" s="211">
        <v>44409</v>
      </c>
      <c r="LA16" s="211">
        <v>44440</v>
      </c>
      <c r="LB16" s="211">
        <v>44440</v>
      </c>
      <c r="LC16" s="211">
        <v>44440</v>
      </c>
      <c r="LD16" s="211">
        <v>44470</v>
      </c>
      <c r="LE16" s="211">
        <v>44470</v>
      </c>
      <c r="LF16" s="211">
        <v>44470</v>
      </c>
      <c r="LG16" s="211">
        <v>44501</v>
      </c>
      <c r="LH16" s="211">
        <v>44501</v>
      </c>
      <c r="LI16" s="211">
        <v>44501</v>
      </c>
      <c r="LJ16" s="211">
        <v>44531</v>
      </c>
      <c r="LK16" s="211">
        <v>44531</v>
      </c>
      <c r="LL16" s="211">
        <v>44531</v>
      </c>
      <c r="LM16" s="169" t="s">
        <v>1185</v>
      </c>
      <c r="LN16" s="169" t="s">
        <v>1186</v>
      </c>
      <c r="LO16" s="169" t="s">
        <v>1187</v>
      </c>
      <c r="LP16" s="169" t="s">
        <v>1188</v>
      </c>
      <c r="LQ16" s="169" t="s">
        <v>1205</v>
      </c>
      <c r="LR16" s="169" t="s">
        <v>1205</v>
      </c>
      <c r="LS16" s="684"/>
      <c r="LT16" s="684"/>
      <c r="LU16" s="166"/>
    </row>
    <row r="17" spans="1:333">
      <c r="A17" s="143" t="s">
        <v>303</v>
      </c>
      <c r="B17" s="143"/>
      <c r="C17" s="143"/>
      <c r="D17" s="143"/>
      <c r="E17" s="143"/>
      <c r="F17" s="157">
        <f>'BUDGET REVENUE CML 2021-2025'!Y119/10^6</f>
        <v>4585.1697891774193</v>
      </c>
      <c r="G17" s="157">
        <f>H17</f>
        <v>4591.8355577274187</v>
      </c>
      <c r="H17" s="157">
        <f>'BUDGET REVENUE CML 2021-2025'!Z119/10^6</f>
        <v>4591.8355577274187</v>
      </c>
      <c r="I17" s="157">
        <f>J17</f>
        <v>4891.8355577274187</v>
      </c>
      <c r="J17" s="157">
        <f>'BUDGET REVENUE CML 2021-2025'!AA119/10^6</f>
        <v>4891.8355577274187</v>
      </c>
      <c r="K17" s="157">
        <f>L17</f>
        <v>5121.8355577274187</v>
      </c>
      <c r="L17" s="157">
        <f>'BUDGET REVENUE CML 2021-2025'!AB119/10^6</f>
        <v>5121.8355577274187</v>
      </c>
      <c r="M17" s="157">
        <f>N17</f>
        <v>5121.8355577274187</v>
      </c>
      <c r="N17" s="157">
        <f>'BUDGET REVENUE CML 2021-2025'!AC119/10^6</f>
        <v>5121.8355577274187</v>
      </c>
      <c r="O17" s="157">
        <f>P17</f>
        <v>5121.8355577274187</v>
      </c>
      <c r="P17" s="578">
        <f>'BUDGET REVENUE CML 2021-2025'!AD119/10^6</f>
        <v>5121.8355577274187</v>
      </c>
      <c r="Q17" s="157">
        <f>R17</f>
        <v>5121.8355577274187</v>
      </c>
      <c r="R17" s="578">
        <f>'BUDGET REVENUE CML 2021-2025'!AE119/10^6</f>
        <v>5121.8355577274187</v>
      </c>
      <c r="S17" s="157">
        <f>T17</f>
        <v>5121.8355577274187</v>
      </c>
      <c r="T17" s="578">
        <f>'BUDGET REVENUE CML 2021-2025'!AF119/10^6</f>
        <v>5121.8355577274187</v>
      </c>
      <c r="U17" s="578">
        <f>V17</f>
        <v>5121.8355577274187</v>
      </c>
      <c r="V17" s="578">
        <f>'BUDGET REVENUE CML 2021-2025'!AG119/10^6</f>
        <v>5121.8355577274187</v>
      </c>
      <c r="W17" s="578">
        <f>V17</f>
        <v>5121.8355577274187</v>
      </c>
      <c r="X17" s="578">
        <f>Y17</f>
        <v>5121.8355577274187</v>
      </c>
      <c r="Y17" s="578">
        <f>'BUDGET REVENUE CML 2021-2025'!AH119/10^6</f>
        <v>5121.8355577274187</v>
      </c>
      <c r="Z17" s="578">
        <f>Y17</f>
        <v>5121.8355577274187</v>
      </c>
      <c r="AA17" s="578">
        <f>AB17</f>
        <v>5121.8355577274187</v>
      </c>
      <c r="AB17" s="578">
        <f>'BUDGET REVENUE CML 2021-2025'!AI119/10^6</f>
        <v>5121.8355577274187</v>
      </c>
      <c r="AC17" s="578">
        <f>AB17</f>
        <v>5121.8355577274187</v>
      </c>
      <c r="AD17" s="578">
        <f>AE17</f>
        <v>5121.8355577274187</v>
      </c>
      <c r="AE17" s="578">
        <f>'BUDGET REVENUE CML 2021-2025'!AJ119/10^6</f>
        <v>5121.8355577274187</v>
      </c>
      <c r="AF17" s="578">
        <f>AE17</f>
        <v>5121.8355577274187</v>
      </c>
      <c r="AG17" s="170">
        <f>SUM(F17,G17,J17)</f>
        <v>14068.840904632256</v>
      </c>
      <c r="AH17" s="170">
        <f>SUM(K17,M17,O17)</f>
        <v>15365.506673182255</v>
      </c>
      <c r="AI17" s="170">
        <f>SUM(Q17,S17,V17)</f>
        <v>15365.506673182255</v>
      </c>
      <c r="AJ17" s="170">
        <f>SUM(Y17,AB17,AE17)</f>
        <v>15365.506673182255</v>
      </c>
      <c r="AK17" s="170">
        <f>AG17+AH17+AI17+AJ17</f>
        <v>60165.360924179025</v>
      </c>
      <c r="AL17" s="170">
        <f>F17+G17+I17+K17+M17+O17+Q17+S17+W17+Z17+AC17+AF17</f>
        <v>60165.360924179033</v>
      </c>
      <c r="AM17" s="157">
        <f>'BUDGET REVENUE CML 2021-2025'!Y288/10^6</f>
        <v>3594.6315458406411</v>
      </c>
      <c r="AN17" s="157">
        <f>AO17</f>
        <v>5194.6315458406407</v>
      </c>
      <c r="AO17" s="157">
        <f>'BUDGET REVENUE CML 2021-2025'!Z288/10^6</f>
        <v>5194.6315458406407</v>
      </c>
      <c r="AP17" s="157">
        <f>AQ17</f>
        <v>3594.6315458406411</v>
      </c>
      <c r="AQ17" s="157">
        <f>'BUDGET REVENUE CML 2021-2025'!AA288/10^6</f>
        <v>3594.6315458406411</v>
      </c>
      <c r="AR17" s="157">
        <f>AS17</f>
        <v>3594.6315458406411</v>
      </c>
      <c r="AS17" s="157">
        <f>'BUDGET REVENUE CML 2021-2025'!AB288/10^6</f>
        <v>3594.6315458406411</v>
      </c>
      <c r="AT17" s="157">
        <f>AU17</f>
        <v>5194.6315458406407</v>
      </c>
      <c r="AU17" s="157">
        <f>'BUDGET REVENUE CML 2021-2025'!AC288/10^6</f>
        <v>5194.6315458406407</v>
      </c>
      <c r="AV17" s="157">
        <f>AW17</f>
        <v>3774.6315458406411</v>
      </c>
      <c r="AW17" s="157">
        <f>'BUDGET REVENUE CML 2021-2025'!AD288/10^6</f>
        <v>3774.6315458406411</v>
      </c>
      <c r="AX17" s="157">
        <f>AY17</f>
        <v>3753.6315458406411</v>
      </c>
      <c r="AY17" s="157">
        <f>'BUDGET REVENUE CML 2021-2025'!AE288/10^6</f>
        <v>3753.6315458406411</v>
      </c>
      <c r="AZ17" s="157">
        <f>BA17</f>
        <v>5353.6315458406407</v>
      </c>
      <c r="BA17" s="157">
        <f>'BUDGET REVENUE CML 2021-2025'!AF288/10^6</f>
        <v>5353.6315458406407</v>
      </c>
      <c r="BB17" s="157">
        <f>BC17</f>
        <v>3933.6315458406411</v>
      </c>
      <c r="BC17" s="157">
        <f>'BUDGET REVENUE CML 2021-2025'!AG288/10^6</f>
        <v>3933.6315458406411</v>
      </c>
      <c r="BD17" s="578">
        <f>BC17</f>
        <v>3933.6315458406411</v>
      </c>
      <c r="BE17" s="157">
        <f>BF17</f>
        <v>3753.6315458406411</v>
      </c>
      <c r="BF17" s="157">
        <f>'BUDGET REVENUE CML 2021-2025'!AH288/10^6</f>
        <v>3753.6315458406411</v>
      </c>
      <c r="BG17" s="578">
        <f>BF17</f>
        <v>3753.6315458406411</v>
      </c>
      <c r="BH17" s="157">
        <f>BI17</f>
        <v>3753.6315458406411</v>
      </c>
      <c r="BI17" s="157">
        <f>'BUDGET REVENUE CML 2021-2025'!AI288/10^6</f>
        <v>3753.6315458406411</v>
      </c>
      <c r="BJ17" s="578">
        <f>BI17</f>
        <v>3753.6315458406411</v>
      </c>
      <c r="BK17" s="157">
        <f>BL17</f>
        <v>5533.6315458406407</v>
      </c>
      <c r="BL17" s="157">
        <f>'BUDGET REVENUE CML 2021-2025'!AJ288/10^6</f>
        <v>5533.6315458406407</v>
      </c>
      <c r="BM17" s="578">
        <f>BL17</f>
        <v>5533.6315458406407</v>
      </c>
      <c r="BN17" s="170">
        <f>SUM(AM17,AN17,AQ17)</f>
        <v>12383.894637521922</v>
      </c>
      <c r="BO17" s="170">
        <f>SUM(AR17,AT17,AV17)</f>
        <v>12563.894637521922</v>
      </c>
      <c r="BP17" s="170">
        <f>SUM(AX17,AZ17,BC17)</f>
        <v>13040.894637521922</v>
      </c>
      <c r="BQ17" s="170">
        <f>SUM(BF17,BI17,BL17)</f>
        <v>13040.894637521924</v>
      </c>
      <c r="BR17" s="170">
        <f>BN17+BO17+BP17+BQ17</f>
        <v>51029.578550087688</v>
      </c>
      <c r="BS17" s="170">
        <f>AM17+AN17+AP17+AR17+AT17+AV17+AX17+AZ17+BD17+BG17+BJ17+BM17</f>
        <v>51029.578550087681</v>
      </c>
      <c r="BT17" s="157">
        <f>'BUDGET REVENUE CLI 2021-2025'!H58/10^6</f>
        <v>1096.4000000000001</v>
      </c>
      <c r="BU17" s="157">
        <f>BV17</f>
        <v>1096.4000000000001</v>
      </c>
      <c r="BV17" s="157">
        <f>'BUDGET REVENUE CLI 2021-2025'!I58/10^6</f>
        <v>1096.4000000000001</v>
      </c>
      <c r="BW17" s="157">
        <f>BX17</f>
        <v>1096.4000000000001</v>
      </c>
      <c r="BX17" s="157">
        <f>'BUDGET REVENUE CLI 2021-2025'!J58/10^6</f>
        <v>1096.4000000000001</v>
      </c>
      <c r="BY17" s="157">
        <f>BZ17</f>
        <v>1096.4000000000001</v>
      </c>
      <c r="BZ17" s="157">
        <f>'BUDGET REVENUE CLI 2021-2025'!K58/10^6</f>
        <v>1096.4000000000001</v>
      </c>
      <c r="CA17" s="157">
        <f>CB17</f>
        <v>1233.45</v>
      </c>
      <c r="CB17" s="157">
        <f>'BUDGET REVENUE CLI 2021-2025'!L58/10^6</f>
        <v>1233.45</v>
      </c>
      <c r="CC17" s="157">
        <f>CD17</f>
        <v>1233.45</v>
      </c>
      <c r="CD17" s="157">
        <f>'BUDGET REVENUE CLI 2021-2025'!M58/10^6</f>
        <v>1233.45</v>
      </c>
      <c r="CE17" s="157">
        <f>CF17</f>
        <v>1233.45</v>
      </c>
      <c r="CF17" s="157">
        <f>'BUDGET REVENUE CLI 2021-2025'!N58/10^6</f>
        <v>1233.45</v>
      </c>
      <c r="CG17" s="157">
        <f>CH17</f>
        <v>1233.45</v>
      </c>
      <c r="CH17" s="157">
        <f>'BUDGET REVENUE CLI 2021-2025'!O58/10^6</f>
        <v>1233.45</v>
      </c>
      <c r="CI17" s="157">
        <f>CJ17</f>
        <v>1781.65</v>
      </c>
      <c r="CJ17" s="157">
        <f>'BUDGET REVENUE CLI 2021-2025'!P58/10^6</f>
        <v>1781.65</v>
      </c>
      <c r="CK17" s="578">
        <f>CJ17</f>
        <v>1781.65</v>
      </c>
      <c r="CL17" s="157">
        <f>CM17</f>
        <v>1781.65</v>
      </c>
      <c r="CM17" s="157">
        <f>'BUDGET REVENUE CLI 2021-2025'!Q58/10^6</f>
        <v>1781.65</v>
      </c>
      <c r="CN17" s="578">
        <f>CM17</f>
        <v>1781.65</v>
      </c>
      <c r="CO17" s="157">
        <f>CP17</f>
        <v>1781.65</v>
      </c>
      <c r="CP17" s="157">
        <f>'BUDGET REVENUE CLI 2021-2025'!R58/10^6</f>
        <v>1781.65</v>
      </c>
      <c r="CQ17" s="578">
        <f>CP17</f>
        <v>1781.65</v>
      </c>
      <c r="CR17" s="157">
        <f>CS17</f>
        <v>1781.65</v>
      </c>
      <c r="CS17" s="157">
        <f>'BUDGET REVENUE CLI 2021-2025'!S58/10^6</f>
        <v>1781.65</v>
      </c>
      <c r="CT17" s="578">
        <f>CS17</f>
        <v>1781.65</v>
      </c>
      <c r="CU17" s="170">
        <f>SUM(BT17,BU17,BW17)</f>
        <v>3289.2000000000003</v>
      </c>
      <c r="CV17" s="170">
        <f>SUM(BY17,CA17,CC17)</f>
        <v>3563.3</v>
      </c>
      <c r="CW17" s="170">
        <f>SUM(CE17,CG17,CJ17)</f>
        <v>4248.55</v>
      </c>
      <c r="CX17" s="170">
        <f>SUM(CM17,CP17,CS17)</f>
        <v>5344.9500000000007</v>
      </c>
      <c r="CY17" s="170">
        <f>CU17+CV17+CW17+CX17</f>
        <v>16446</v>
      </c>
      <c r="CZ17" s="170">
        <f>BT17+BU17+BW17+BY17+CA17+CC17+CE17+CG17+CK17+CN17+CQ17+CT17</f>
        <v>16446</v>
      </c>
      <c r="DA17" s="157">
        <f>'BUDGET REVENUE BP 2021-2025'!BN240/1000000</f>
        <v>6480.8324990000001</v>
      </c>
      <c r="DB17" s="157">
        <f>DC17</f>
        <v>6480.8324990000001</v>
      </c>
      <c r="DC17" s="157">
        <f>'BUDGET REVENUE BP 2021-2025'!BO240/1000000</f>
        <v>6480.8324990000001</v>
      </c>
      <c r="DD17" s="157">
        <f>DE17</f>
        <v>6880.8324990000001</v>
      </c>
      <c r="DE17" s="157">
        <f>'BUDGET REVENUE BP 2021-2025'!BP240/1000000</f>
        <v>6880.8324990000001</v>
      </c>
      <c r="DF17" s="157">
        <f>DG17</f>
        <v>7213.2394990000003</v>
      </c>
      <c r="DG17" s="157">
        <f>'BUDGET REVENUE BP 2021-2025'!BQ240/1000000</f>
        <v>7213.2394990000003</v>
      </c>
      <c r="DH17" s="157">
        <f>DI17</f>
        <v>5621.6392919999998</v>
      </c>
      <c r="DI17" s="157">
        <f>'BUDGET REVENUE BP 2021-2025'!BR240/1000000</f>
        <v>5621.6392919999998</v>
      </c>
      <c r="DJ17" s="157">
        <f>DK17</f>
        <v>6391.7394990000003</v>
      </c>
      <c r="DK17" s="157">
        <f>'BUDGET REVENUE BP 2021-2025'!BS240/1000000</f>
        <v>6391.7394990000003</v>
      </c>
      <c r="DL17" s="157">
        <f>DM17</f>
        <v>6923.2394990000003</v>
      </c>
      <c r="DM17" s="157">
        <f>'BUDGET REVENUE BP 2021-2025'!BT240/1000000</f>
        <v>6923.2394990000003</v>
      </c>
      <c r="DN17" s="157">
        <f>DO17</f>
        <v>7123.2394990000003</v>
      </c>
      <c r="DO17" s="157">
        <f>'BUDGET REVENUE BP 2021-2025'!BU240/1000000</f>
        <v>7123.2394990000003</v>
      </c>
      <c r="DP17" s="157">
        <f>DQ17</f>
        <v>7313.2394990000003</v>
      </c>
      <c r="DQ17" s="157">
        <f>'BUDGET REVENUE BP 2021-2025'!BV240/1000000</f>
        <v>7313.2394990000003</v>
      </c>
      <c r="DR17" s="578">
        <f>DQ17</f>
        <v>7313.2394990000003</v>
      </c>
      <c r="DS17" s="157">
        <f>DT17</f>
        <v>7423.2394990000003</v>
      </c>
      <c r="DT17" s="157">
        <f>'BUDGET REVENUE BP 2021-2025'!BW240/1000000</f>
        <v>7423.2394990000003</v>
      </c>
      <c r="DU17" s="578">
        <f>DT17</f>
        <v>7423.2394990000003</v>
      </c>
      <c r="DV17" s="157">
        <f>DW17</f>
        <v>7263.2394990000003</v>
      </c>
      <c r="DW17" s="157">
        <f>'BUDGET REVENUE BP 2021-2025'!BX240/1000000</f>
        <v>7263.2394990000003</v>
      </c>
      <c r="DX17" s="578">
        <f>DW17</f>
        <v>7263.2394990000003</v>
      </c>
      <c r="DY17" s="157">
        <f>DZ17</f>
        <v>7263.2394990000003</v>
      </c>
      <c r="DZ17" s="157">
        <f>'BUDGET REVENUE BP 2021-2025'!BY240/1000000</f>
        <v>7263.2394990000003</v>
      </c>
      <c r="EA17" s="578">
        <f>DZ17</f>
        <v>7263.2394990000003</v>
      </c>
      <c r="EB17" s="170">
        <f>SUM(DA17,DB17,DE17)</f>
        <v>19842.497497</v>
      </c>
      <c r="EC17" s="170">
        <f>SUM(DF17,DH17,DJ17)</f>
        <v>19226.618289999999</v>
      </c>
      <c r="ED17" s="170">
        <f>SUM(DL17,DN17,DQ17)</f>
        <v>21359.718497000002</v>
      </c>
      <c r="EE17" s="170">
        <f>SUM(DT17,DW17,DZ17)</f>
        <v>21949.718497000002</v>
      </c>
      <c r="EF17" s="170">
        <f>EB17+EC17+ED17+EE17</f>
        <v>82378.552781000006</v>
      </c>
      <c r="EG17" s="170">
        <f>DA17+DB17+DD17+DF17+DH17+DJ17+DL17+DN17+DR17+DU17+DX17+EA17</f>
        <v>82378.55278100002</v>
      </c>
      <c r="EH17" s="157">
        <f>'BUDGET REVENUE BP 2021-2025'!BN833/1000000</f>
        <v>0</v>
      </c>
      <c r="EI17" s="157">
        <f>EJ17</f>
        <v>0</v>
      </c>
      <c r="EJ17" s="157">
        <f>'BUDGET REVENUE BP 2021-2025'!BO833/1000000</f>
        <v>0</v>
      </c>
      <c r="EK17" s="157">
        <f>EL17</f>
        <v>0</v>
      </c>
      <c r="EL17" s="157">
        <f>'BUDGET REVENUE BP 2021-2025'!BP833/1000000</f>
        <v>0</v>
      </c>
      <c r="EM17" s="157">
        <f>EN17</f>
        <v>0</v>
      </c>
      <c r="EN17" s="157">
        <f>'BUDGET REVENUE BP 2021-2025'!BQ833/1000000</f>
        <v>0</v>
      </c>
      <c r="EO17" s="157">
        <f>EP17</f>
        <v>0</v>
      </c>
      <c r="EP17" s="157">
        <f>'BUDGET REVENUE BP 2021-2025'!BR833/1000000</f>
        <v>0</v>
      </c>
      <c r="EQ17" s="157">
        <f>ER17</f>
        <v>0</v>
      </c>
      <c r="ER17" s="157">
        <f>'BUDGET REVENUE BP 2021-2025'!BS833/1000000</f>
        <v>0</v>
      </c>
      <c r="ES17" s="157">
        <f>ET17</f>
        <v>0</v>
      </c>
      <c r="ET17" s="157">
        <f>'BUDGET REVENUE BP 2021-2025'!BT833/1000000</f>
        <v>0</v>
      </c>
      <c r="EU17" s="157">
        <f>EV17</f>
        <v>0</v>
      </c>
      <c r="EV17" s="157">
        <f>'BUDGET REVENUE BP 2021-2025'!BU833/1000000</f>
        <v>0</v>
      </c>
      <c r="EW17" s="157">
        <f>EX17</f>
        <v>0</v>
      </c>
      <c r="EX17" s="157">
        <f>'BUDGET REVENUE BP 2021-2025'!BV833/1000000</f>
        <v>0</v>
      </c>
      <c r="EY17" s="578">
        <f>EX17</f>
        <v>0</v>
      </c>
      <c r="EZ17" s="157">
        <f>FA17</f>
        <v>0</v>
      </c>
      <c r="FA17" s="157">
        <f>'BUDGET REVENUE BP 2021-2025'!BW833/1000000</f>
        <v>0</v>
      </c>
      <c r="FB17" s="578">
        <f>FA17</f>
        <v>0</v>
      </c>
      <c r="FC17" s="157">
        <f>FD17</f>
        <v>0</v>
      </c>
      <c r="FD17" s="157">
        <f>'BUDGET REVENUE BP 2021-2025'!BX833/1000000</f>
        <v>0</v>
      </c>
      <c r="FE17" s="578">
        <f>FD17</f>
        <v>0</v>
      </c>
      <c r="FF17" s="157">
        <f>FG17</f>
        <v>0</v>
      </c>
      <c r="FG17" s="157">
        <f>'BUDGET REVENUE BP 2021-2025'!BY833/1000000</f>
        <v>0</v>
      </c>
      <c r="FH17" s="578">
        <f>FG17</f>
        <v>0</v>
      </c>
      <c r="FI17" s="170">
        <f>SUM(EH17,EI17,EL17)</f>
        <v>0</v>
      </c>
      <c r="FJ17" s="170">
        <f>SUM(EM17,EO17,EQ17)</f>
        <v>0</v>
      </c>
      <c r="FK17" s="170">
        <f>SUM(ES17,EU17,EX17)</f>
        <v>0</v>
      </c>
      <c r="FL17" s="170">
        <f>SUM(FA17,FD17,FG17)</f>
        <v>0</v>
      </c>
      <c r="FM17" s="170">
        <f>FI17+FJ17+FK17+FL17</f>
        <v>0</v>
      </c>
      <c r="FN17" s="170">
        <f>EH17+EI17+EK17+EM17+EO17+EQ17+ES17+EU17+EY17+FB17+FE17+FH17</f>
        <v>0</v>
      </c>
      <c r="FO17" s="157">
        <f>'BUDGET REVENUE BP 2021-2025'!BN624/1000000</f>
        <v>2984</v>
      </c>
      <c r="FP17" s="157">
        <f>FQ17</f>
        <v>2980.5</v>
      </c>
      <c r="FQ17" s="157">
        <f>'BUDGET REVENUE BP 2021-2025'!BO624/1000000</f>
        <v>2980.5</v>
      </c>
      <c r="FR17" s="157">
        <f>FS17</f>
        <v>2983.5</v>
      </c>
      <c r="FS17" s="157">
        <f>'BUDGET REVENUE BP 2021-2025'!BP624/1000000</f>
        <v>2983.5</v>
      </c>
      <c r="FT17" s="157">
        <f>FU17</f>
        <v>2970.5</v>
      </c>
      <c r="FU17" s="157">
        <f>'BUDGET REVENUE BP 2021-2025'!BQ624/1000000</f>
        <v>2970.5</v>
      </c>
      <c r="FV17" s="157">
        <f>FW17</f>
        <v>3130.5</v>
      </c>
      <c r="FW17" s="157">
        <f>'BUDGET REVENUE BP 2021-2025'!BR624/1000000</f>
        <v>3130.5</v>
      </c>
      <c r="FX17" s="157">
        <f>FY17</f>
        <v>3129</v>
      </c>
      <c r="FY17" s="157">
        <f>'BUDGET REVENUE BP 2021-2025'!BS624/1000000</f>
        <v>3129</v>
      </c>
      <c r="FZ17" s="157">
        <f>GA17</f>
        <v>3134</v>
      </c>
      <c r="GA17" s="157">
        <f>'BUDGET REVENUE BP 2021-2025'!BT624/1000000</f>
        <v>3134</v>
      </c>
      <c r="GB17" s="157">
        <f>GC17</f>
        <v>3140.5</v>
      </c>
      <c r="GC17" s="157">
        <f>'BUDGET REVENUE BP 2021-2025'!BU624/1000000</f>
        <v>3140.5</v>
      </c>
      <c r="GD17" s="157">
        <f>GE17</f>
        <v>3133.5</v>
      </c>
      <c r="GE17" s="157">
        <f>'BUDGET REVENUE BP 2021-2025'!BV624/1000000</f>
        <v>3133.5</v>
      </c>
      <c r="GF17" s="578">
        <f>GE17</f>
        <v>3133.5</v>
      </c>
      <c r="GG17" s="157">
        <f>GH17</f>
        <v>3134</v>
      </c>
      <c r="GH17" s="157">
        <f>'BUDGET REVENUE BP 2021-2025'!BW624/1000000</f>
        <v>3134</v>
      </c>
      <c r="GI17" s="578">
        <f>GH17</f>
        <v>3134</v>
      </c>
      <c r="GJ17" s="157">
        <f>GK17</f>
        <v>3130.5</v>
      </c>
      <c r="GK17" s="157">
        <f>'BUDGET REVENUE BP 2021-2025'!BX624/1000000</f>
        <v>3130.5</v>
      </c>
      <c r="GL17" s="578">
        <f>GK17</f>
        <v>3130.5</v>
      </c>
      <c r="GM17" s="157">
        <f>GN17</f>
        <v>3137.5</v>
      </c>
      <c r="GN17" s="157">
        <f>'BUDGET REVENUE BP 2021-2025'!BY624/1000000</f>
        <v>3137.5</v>
      </c>
      <c r="GO17" s="578">
        <f>GN17</f>
        <v>3137.5</v>
      </c>
      <c r="GP17" s="170">
        <f>SUM(FO17,FP17,FS17)</f>
        <v>8948</v>
      </c>
      <c r="GQ17" s="170">
        <f>SUM(FT17,FV17,FX17)</f>
        <v>9230</v>
      </c>
      <c r="GR17" s="170">
        <f>SUM(FZ17,GB17,GE17)</f>
        <v>9408</v>
      </c>
      <c r="GS17" s="170">
        <f>SUM(GH17,GK17,GN17)</f>
        <v>9402</v>
      </c>
      <c r="GT17" s="170">
        <f>GP17+GQ17+GR17+GS17</f>
        <v>36988</v>
      </c>
      <c r="GU17" s="170">
        <f>FO17+FP17+FR17+FT17+FV17+FX17+FZ17+GB17+GF17+GI17+GL17+GO17</f>
        <v>36988</v>
      </c>
      <c r="GV17" s="157">
        <f>'BUDGET REVENUE TBS 2021'!E68</f>
        <v>2967.4739788728771</v>
      </c>
      <c r="GW17" s="157">
        <f>GX17</f>
        <v>2784.1141888200591</v>
      </c>
      <c r="GX17" s="157">
        <f>'BUDGET REVENUE TBS 2021'!G68</f>
        <v>2784.1141888200591</v>
      </c>
      <c r="GY17" s="157">
        <f>GZ17</f>
        <v>2895.7584992921093</v>
      </c>
      <c r="GZ17" s="157">
        <f>'BUDGET REVENUE TBS 2021'!I68</f>
        <v>2895.7584992921093</v>
      </c>
      <c r="HA17" s="157">
        <f>HB17</f>
        <v>2858.4069205403393</v>
      </c>
      <c r="HB17" s="157">
        <f>'BUDGET REVENUE TBS 2021'!M68</f>
        <v>2858.4069205403393</v>
      </c>
      <c r="HC17" s="157">
        <f>HD17</f>
        <v>3075.2094628416903</v>
      </c>
      <c r="HD17" s="157">
        <f>'BUDGET REVENUE TBS 2021'!O68</f>
        <v>3075.2094628416903</v>
      </c>
      <c r="HE17" s="157">
        <f>HF17</f>
        <v>3024.3661364987947</v>
      </c>
      <c r="HF17" s="157">
        <f>'BUDGET REVENUE TBS 2021'!R68</f>
        <v>3024.3661364987947</v>
      </c>
      <c r="HG17" s="157">
        <f>HH17</f>
        <v>3038.5269518400414</v>
      </c>
      <c r="HH17" s="157">
        <f>'BUDGET REVENUE TBS 2021'!X68</f>
        <v>3038.5269518400414</v>
      </c>
      <c r="HI17" s="157">
        <f>HJ17</f>
        <v>3065.1919192196415</v>
      </c>
      <c r="HJ17" s="157">
        <f>'BUDGET REVENUE TBS 2021'!AA68</f>
        <v>3065.1919192196415</v>
      </c>
      <c r="HK17" s="157">
        <f>HL17</f>
        <v>3226.8610490176907</v>
      </c>
      <c r="HL17" s="157">
        <f>'BUDGET REVENUE TBS 2021'!AD68</f>
        <v>3226.8610490176907</v>
      </c>
      <c r="HM17" s="578">
        <f>HL17</f>
        <v>3226.8610490176907</v>
      </c>
      <c r="HN17" s="157">
        <f>HO17</f>
        <v>3390.0343516402345</v>
      </c>
      <c r="HO17" s="157">
        <f>'BUDGET REVENUE TBS 2021'!AK68</f>
        <v>3390.0343516402345</v>
      </c>
      <c r="HP17" s="578">
        <f>HO17</f>
        <v>3390.0343516402345</v>
      </c>
      <c r="HQ17" s="157">
        <f>HR17</f>
        <v>3402.7118375193349</v>
      </c>
      <c r="HR17" s="157">
        <f>'BUDGET REVENUE TBS 2021'!AO68</f>
        <v>3402.7118375193349</v>
      </c>
      <c r="HS17" s="578">
        <f>HR17</f>
        <v>3402.7118375193349</v>
      </c>
      <c r="HT17" s="157">
        <f>HU17</f>
        <v>3431.8935171131334</v>
      </c>
      <c r="HU17" s="157">
        <f>'BUDGET REVENUE TBS 2021'!AS68</f>
        <v>3431.8935171131334</v>
      </c>
      <c r="HV17" s="578">
        <f>HU17</f>
        <v>3431.8935171131334</v>
      </c>
      <c r="HW17" s="170">
        <f>SUM(GV17,GW17,GZ17)</f>
        <v>8647.3466669850459</v>
      </c>
      <c r="HX17" s="170">
        <f>SUM(HA17,HC17,HE17)</f>
        <v>8957.9825198808248</v>
      </c>
      <c r="HY17" s="170">
        <f>SUM(HG17,HI17,HL17)</f>
        <v>9330.5799200773727</v>
      </c>
      <c r="HZ17" s="170">
        <f>SUM(HO17,HR17,HU17)</f>
        <v>10224.639706272703</v>
      </c>
      <c r="IA17" s="170">
        <f>HW17+HX17+HY17+HZ17</f>
        <v>37160.548813215944</v>
      </c>
      <c r="IB17" s="170">
        <f>GV17+GW17+GY17+HA17+HC17+HE17+HG17+HI17+HM17+HP17+HS17+HV17</f>
        <v>37160.548813215944</v>
      </c>
      <c r="IC17" s="578">
        <v>1765.4932143404997</v>
      </c>
      <c r="ID17" s="581">
        <f>IE17</f>
        <v>1765.4932143404997</v>
      </c>
      <c r="IE17" s="578">
        <v>1765.4932143404997</v>
      </c>
      <c r="IF17" s="581">
        <f>IG17</f>
        <v>1765.4932143404997</v>
      </c>
      <c r="IG17" s="578">
        <v>1765.4932143404997</v>
      </c>
      <c r="IH17" s="581">
        <f>II17</f>
        <v>1765.4932143404997</v>
      </c>
      <c r="II17" s="578">
        <v>1765.4932143404997</v>
      </c>
      <c r="IJ17" s="581">
        <f>IK17</f>
        <v>1765.4932143404997</v>
      </c>
      <c r="IK17" s="578">
        <v>1765.4932143404997</v>
      </c>
      <c r="IL17" s="581">
        <f>IM17</f>
        <v>1765.4932143404997</v>
      </c>
      <c r="IM17" s="578">
        <v>1765.4932143404997</v>
      </c>
      <c r="IN17" s="581">
        <f>IO17</f>
        <v>1765.4932143404997</v>
      </c>
      <c r="IO17" s="578">
        <v>1765.4932143404997</v>
      </c>
      <c r="IP17" s="581">
        <f>IQ17</f>
        <v>1765.4932143404997</v>
      </c>
      <c r="IQ17" s="578">
        <v>1765.4932143404997</v>
      </c>
      <c r="IR17" s="581">
        <f>IS17</f>
        <v>1765.4932143404997</v>
      </c>
      <c r="IS17" s="578">
        <v>1765.4932143404997</v>
      </c>
      <c r="IT17" s="578">
        <f>IS17</f>
        <v>1765.4932143404997</v>
      </c>
      <c r="IU17" s="581">
        <f>IV17</f>
        <v>1765.4932143404997</v>
      </c>
      <c r="IV17" s="578">
        <v>1765.4932143404997</v>
      </c>
      <c r="IW17" s="578">
        <f>IV17</f>
        <v>1765.4932143404997</v>
      </c>
      <c r="IX17" s="581">
        <f>IY17</f>
        <v>1765.4932143404997</v>
      </c>
      <c r="IY17" s="578">
        <v>1765.4932143404997</v>
      </c>
      <c r="IZ17" s="578">
        <f>IY17</f>
        <v>1765.4932143404997</v>
      </c>
      <c r="JA17" s="581">
        <f>JB17</f>
        <v>1765.4932143404997</v>
      </c>
      <c r="JB17" s="578">
        <v>1765.4932143404997</v>
      </c>
      <c r="JC17" s="578">
        <f>JB17</f>
        <v>1765.4932143404997</v>
      </c>
      <c r="JD17" s="170">
        <f>SUM(IC17,ID17,IG17)</f>
        <v>5296.4796430214992</v>
      </c>
      <c r="JE17" s="170">
        <f>SUM(IH17,IJ17,IL17)</f>
        <v>5296.4796430214992</v>
      </c>
      <c r="JF17" s="170">
        <f>SUM(IN17,IP17,IS17)</f>
        <v>5296.4796430214992</v>
      </c>
      <c r="JG17" s="170">
        <f>SUM(IV17,IY17,JB17)</f>
        <v>5296.4796430214992</v>
      </c>
      <c r="JH17" s="170">
        <f>JD17+JE17+JF17+JG17</f>
        <v>21185.918572085997</v>
      </c>
      <c r="JI17" s="170">
        <f>IC17+ID17+IF17+IH17+IJ17+IL17+IN17+IP17+IT17+IW17+IZ17+JC17</f>
        <v>21185.918572085997</v>
      </c>
      <c r="JJ17" s="157">
        <v>-991.20391151596402</v>
      </c>
      <c r="JK17" s="157">
        <f>JL17</f>
        <v>-1100.46704628414</v>
      </c>
      <c r="JL17" s="157">
        <v>-1100.46704628414</v>
      </c>
      <c r="JM17" s="157">
        <f>JN17</f>
        <v>-1108.6523454020501</v>
      </c>
      <c r="JN17" s="157">
        <v>-1108.6523454020501</v>
      </c>
      <c r="JO17" s="157">
        <f>JP17</f>
        <v>-1109.8270620124799</v>
      </c>
      <c r="JP17" s="157">
        <v>-1109.8270620124799</v>
      </c>
      <c r="JQ17" s="157">
        <f>JR17</f>
        <v>-1088.8905734499299</v>
      </c>
      <c r="JR17" s="157">
        <v>-1088.8905734499299</v>
      </c>
      <c r="JS17" s="157">
        <f>JT17</f>
        <v>-1059.00518434623</v>
      </c>
      <c r="JT17" s="157">
        <v>-1059.00518434623</v>
      </c>
      <c r="JU17" s="157">
        <f>JV17</f>
        <v>-1061.33927421095</v>
      </c>
      <c r="JV17" s="157">
        <v>-1061.33927421095</v>
      </c>
      <c r="JW17" s="157">
        <f>JX17</f>
        <v>-1171.4024445256</v>
      </c>
      <c r="JX17" s="157">
        <v>-1171.4024445256</v>
      </c>
      <c r="JY17" s="157">
        <f>JZ17</f>
        <v>-1139.34973912635</v>
      </c>
      <c r="JZ17" s="157">
        <v>-1139.34973912635</v>
      </c>
      <c r="KA17" s="157">
        <f>KB17</f>
        <v>-1143.97857335661</v>
      </c>
      <c r="KB17" s="157">
        <v>-1143.97857335661</v>
      </c>
      <c r="KC17" s="157">
        <f>KD17</f>
        <v>-1162.39459878912</v>
      </c>
      <c r="KD17" s="157">
        <v>-1162.39459878912</v>
      </c>
      <c r="KE17" s="157">
        <f>KF17</f>
        <v>-1130.9643490446799</v>
      </c>
      <c r="KF17" s="157">
        <v>-1130.9643490446799</v>
      </c>
      <c r="KG17" s="170">
        <f>SUM(JJ17,JK17,JN17)</f>
        <v>-3200.3233032021544</v>
      </c>
      <c r="KH17" s="170">
        <f>SUM(JO17,JQ17,JS17)</f>
        <v>-3257.7228198086395</v>
      </c>
      <c r="KI17" s="170">
        <f>SUM(JU17,JW17,JZ17)</f>
        <v>-3372.0914578628999</v>
      </c>
      <c r="KJ17" s="170">
        <f>SUM(KB17,KD17,KF17)</f>
        <v>-3437.3375211904095</v>
      </c>
      <c r="KK17" s="170">
        <f>KG17+KH17+KI17+KJ17</f>
        <v>-13267.475102064103</v>
      </c>
      <c r="KL17" s="157">
        <f t="shared" ref="KL17:KU20" si="13">SUM(F17,AM17,BT17,DA17,EH17,FO17,GV17,IC17,JJ17)</f>
        <v>22482.797115715472</v>
      </c>
      <c r="KM17" s="157">
        <f t="shared" si="13"/>
        <v>23793.339959444475</v>
      </c>
      <c r="KN17" s="157">
        <f t="shared" si="13"/>
        <v>23793.339959444475</v>
      </c>
      <c r="KO17" s="157">
        <f t="shared" si="13"/>
        <v>22999.798970798616</v>
      </c>
      <c r="KP17" s="157">
        <f t="shared" si="13"/>
        <v>22999.798970798616</v>
      </c>
      <c r="KQ17" s="157">
        <f t="shared" si="13"/>
        <v>23510.679675436419</v>
      </c>
      <c r="KR17" s="157">
        <f t="shared" si="13"/>
        <v>23510.679675436419</v>
      </c>
      <c r="KS17" s="157">
        <f t="shared" si="13"/>
        <v>24053.868499300315</v>
      </c>
      <c r="KT17" s="157">
        <f t="shared" si="13"/>
        <v>24053.868499300315</v>
      </c>
      <c r="KU17" s="157">
        <f t="shared" si="13"/>
        <v>23381.510769061126</v>
      </c>
      <c r="KV17" s="157">
        <f t="shared" ref="KV17:LB20" si="14">SUM(P17,AW17,CD17,DK17,ER17,FY17,HF17,IM17,JT17)</f>
        <v>23381.510769061126</v>
      </c>
      <c r="KW17" s="157">
        <f t="shared" si="14"/>
        <v>23908.837494537653</v>
      </c>
      <c r="KX17" s="157">
        <f t="shared" si="14"/>
        <v>23908.837494537653</v>
      </c>
      <c r="KY17" s="157">
        <f t="shared" si="14"/>
        <v>25631.939291602597</v>
      </c>
      <c r="KZ17" s="157">
        <f t="shared" si="14"/>
        <v>25631.939291602597</v>
      </c>
      <c r="LA17" s="157">
        <f t="shared" si="14"/>
        <v>25136.8611267999</v>
      </c>
      <c r="LB17" s="157">
        <f t="shared" si="14"/>
        <v>25136.8611267999</v>
      </c>
      <c r="LC17" s="578">
        <f>LB17</f>
        <v>25136.8611267999</v>
      </c>
      <c r="LD17" s="157">
        <f t="shared" ref="LD17:LE20" si="15">SUM(X17,BE17,CL17,DS17,EZ17,GG17,HN17,IU17,KA17)</f>
        <v>25225.905595192184</v>
      </c>
      <c r="LE17" s="157">
        <f t="shared" si="15"/>
        <v>25225.905595192184</v>
      </c>
      <c r="LF17" s="578">
        <f>LE17</f>
        <v>25225.905595192184</v>
      </c>
      <c r="LG17" s="157">
        <f t="shared" ref="LG17:LH20" si="16">SUM(AA17,BH17,CO17,DV17,FC17,GJ17,HQ17,IX17,KC17)</f>
        <v>25056.667055638773</v>
      </c>
      <c r="LH17" s="157">
        <f t="shared" si="16"/>
        <v>25056.667055638773</v>
      </c>
      <c r="LI17" s="578">
        <f>LH17</f>
        <v>25056.667055638773</v>
      </c>
      <c r="LJ17" s="157">
        <f t="shared" ref="LJ17:LK20" si="17">SUM(AD17,BK17,CR17,DY17,FF17,GM17,HT17,JA17,KE17)</f>
        <v>26904.278984977012</v>
      </c>
      <c r="LK17" s="157">
        <f t="shared" si="17"/>
        <v>26904.278984977012</v>
      </c>
      <c r="LL17" s="578">
        <f>LK17</f>
        <v>26904.278984977012</v>
      </c>
      <c r="LM17" s="170">
        <f>SUM(KL17,KM17,KO17)</f>
        <v>69275.936045958559</v>
      </c>
      <c r="LN17" s="170">
        <f>SUM(KQ17,KS17,KU17)</f>
        <v>70946.058943797863</v>
      </c>
      <c r="LO17" s="170">
        <f>SUM(KW17,KY17,LB17)</f>
        <v>74677.637912940147</v>
      </c>
      <c r="LP17" s="170">
        <f>SUM(LE17,LH17,LK17)</f>
        <v>77186.85163580798</v>
      </c>
      <c r="LQ17" s="170">
        <f>LM17+LN17+LO17+LP17</f>
        <v>292086.48453850456</v>
      </c>
      <c r="LR17" s="170">
        <f>KL17+KM17+KO17+KQ17+KS17+KU17+KW17+KY17+LC17+LF17+LI17+LL17</f>
        <v>292086.4845385045</v>
      </c>
      <c r="LS17" s="685"/>
      <c r="LT17" s="685"/>
      <c r="LU17" s="167">
        <f>SUM(AG17,BN17,CU17,EB17,FI17,GP17,HW17)</f>
        <v>67179.779706139234</v>
      </c>
    </row>
    <row r="18" spans="1:333">
      <c r="A18" s="143" t="s">
        <v>308</v>
      </c>
      <c r="B18" s="143"/>
      <c r="C18" s="143"/>
      <c r="D18" s="143"/>
      <c r="E18" s="143"/>
      <c r="F18" s="157">
        <f>'BUDGET REVENUE CML 2021-2025'!Y169/10^6</f>
        <v>1205.36422315</v>
      </c>
      <c r="G18" s="157">
        <f>H18</f>
        <v>1205.36422315</v>
      </c>
      <c r="H18" s="157">
        <f>'BUDGET REVENUE CML 2021-2025'!Z169/10^6</f>
        <v>1205.36422315</v>
      </c>
      <c r="I18" s="157">
        <f>J18</f>
        <v>1353.7642231500001</v>
      </c>
      <c r="J18" s="157">
        <f>'BUDGET REVENUE CML 2021-2025'!AA169/10^6</f>
        <v>1353.7642231500001</v>
      </c>
      <c r="K18" s="157">
        <f>L18</f>
        <v>1353.7642231500001</v>
      </c>
      <c r="L18" s="157">
        <f>'BUDGET REVENUE CML 2021-2025'!AB169/10^6</f>
        <v>1353.7642231500001</v>
      </c>
      <c r="M18" s="157">
        <f>N18</f>
        <v>1353.7642231500001</v>
      </c>
      <c r="N18" s="157">
        <f>'BUDGET REVENUE CML 2021-2025'!AC169/10^6</f>
        <v>1353.7642231500001</v>
      </c>
      <c r="O18" s="157">
        <f>P18</f>
        <v>1353.7642231500001</v>
      </c>
      <c r="P18" s="578">
        <f>'BUDGET REVENUE CML 2021-2025'!AD169/10^6</f>
        <v>1353.7642231500001</v>
      </c>
      <c r="Q18" s="157">
        <f>R18</f>
        <v>1353.7642231500001</v>
      </c>
      <c r="R18" s="578">
        <f>'BUDGET REVENUE CML 2021-2025'!AE169/10^6</f>
        <v>1353.7642231500001</v>
      </c>
      <c r="S18" s="157">
        <f>T18</f>
        <v>1353.7642231500001</v>
      </c>
      <c r="T18" s="578">
        <f>'BUDGET REVENUE CML 2021-2025'!AF169/10^6</f>
        <v>1353.7642231500001</v>
      </c>
      <c r="U18" s="578">
        <f>V18</f>
        <v>1353.7642231500001</v>
      </c>
      <c r="V18" s="578">
        <f>'BUDGET REVENUE CML 2021-2025'!AG169/10^6</f>
        <v>1353.7642231500001</v>
      </c>
      <c r="W18" s="578">
        <f>V18</f>
        <v>1353.7642231500001</v>
      </c>
      <c r="X18" s="578">
        <f>Y18</f>
        <v>1448.7642231500001</v>
      </c>
      <c r="Y18" s="578">
        <f>'BUDGET REVENUE CML 2021-2025'!AH169/10^6</f>
        <v>1448.7642231500001</v>
      </c>
      <c r="Z18" s="578">
        <f>Y18</f>
        <v>1448.7642231500001</v>
      </c>
      <c r="AA18" s="578">
        <f>AB18</f>
        <v>1448.7642231500001</v>
      </c>
      <c r="AB18" s="578">
        <f>'BUDGET REVENUE CML 2021-2025'!AI169/10^6</f>
        <v>1448.7642231500001</v>
      </c>
      <c r="AC18" s="578">
        <f>AB18</f>
        <v>1448.7642231500001</v>
      </c>
      <c r="AD18" s="578">
        <f>AE18</f>
        <v>1448.7642231500001</v>
      </c>
      <c r="AE18" s="578">
        <f>'BUDGET REVENUE CML 2021-2025'!AJ169/10^6</f>
        <v>1448.7642231500001</v>
      </c>
      <c r="AF18" s="578">
        <f>AE18</f>
        <v>1448.7642231500001</v>
      </c>
      <c r="AG18" s="170">
        <f>SUM(F18,G18,J18)</f>
        <v>3764.49266945</v>
      </c>
      <c r="AH18" s="170">
        <f>SUM(K18,M18,O18)</f>
        <v>4061.2926694500002</v>
      </c>
      <c r="AI18" s="170">
        <f>SUM(Q18,S18,V18)</f>
        <v>4061.2926694500002</v>
      </c>
      <c r="AJ18" s="170">
        <f>SUM(Y18,AB18,AE18)</f>
        <v>4346.2926694500002</v>
      </c>
      <c r="AK18" s="170">
        <f>AG18+AH18+AI18+AJ18</f>
        <v>16233.3706778</v>
      </c>
      <c r="AL18" s="170">
        <f>F18+G18+I18+K18+M18+O18+Q18+S18+W18+Z18+AC18+AF18</f>
        <v>16233.370677799998</v>
      </c>
      <c r="AM18" s="157">
        <f>'BUDGET REVENUE CML 2021-2025'!Y293/10^6</f>
        <v>0</v>
      </c>
      <c r="AN18" s="157">
        <f>AO18</f>
        <v>0</v>
      </c>
      <c r="AO18" s="157">
        <f>'BUDGET REVENUE CML 2021-2025'!Z293/10^6</f>
        <v>0</v>
      </c>
      <c r="AP18" s="157">
        <f>AQ18</f>
        <v>0</v>
      </c>
      <c r="AQ18" s="157">
        <f>'BUDGET REVENUE CML 2021-2025'!AA293/10^6</f>
        <v>0</v>
      </c>
      <c r="AR18" s="157">
        <f>AS18</f>
        <v>0</v>
      </c>
      <c r="AS18" s="157">
        <f>'BUDGET REVENUE CML 2021-2025'!AB293/10^6</f>
        <v>0</v>
      </c>
      <c r="AT18" s="157">
        <f>AU18</f>
        <v>0</v>
      </c>
      <c r="AU18" s="157">
        <f>'BUDGET REVENUE CML 2021-2025'!AC293/10^6</f>
        <v>0</v>
      </c>
      <c r="AV18" s="157">
        <f>AW18</f>
        <v>0</v>
      </c>
      <c r="AW18" s="157">
        <f>'BUDGET REVENUE CML 2021-2025'!AD293/10^6</f>
        <v>0</v>
      </c>
      <c r="AX18" s="157">
        <f>AY18</f>
        <v>0</v>
      </c>
      <c r="AY18" s="157">
        <f>'BUDGET REVENUE CML 2021-2025'!AE293/10^6</f>
        <v>0</v>
      </c>
      <c r="AZ18" s="157">
        <f>BA18</f>
        <v>0</v>
      </c>
      <c r="BA18" s="157">
        <f>'BUDGET REVENUE CML 2021-2025'!AF293/10^6</f>
        <v>0</v>
      </c>
      <c r="BB18" s="157">
        <f>BC18</f>
        <v>0</v>
      </c>
      <c r="BC18" s="157">
        <f>'BUDGET REVENUE CML 2021-2025'!AG293/10^6</f>
        <v>0</v>
      </c>
      <c r="BD18" s="578">
        <f>BC18</f>
        <v>0</v>
      </c>
      <c r="BE18" s="157">
        <f>BF18</f>
        <v>0</v>
      </c>
      <c r="BF18" s="157">
        <f>'BUDGET REVENUE CML 2021-2025'!AH293/10^6</f>
        <v>0</v>
      </c>
      <c r="BG18" s="578">
        <f>BF18</f>
        <v>0</v>
      </c>
      <c r="BH18" s="157">
        <f>BI18</f>
        <v>0</v>
      </c>
      <c r="BI18" s="157">
        <f>'BUDGET REVENUE CML 2021-2025'!AI293/10^6</f>
        <v>0</v>
      </c>
      <c r="BJ18" s="578">
        <f>BI18</f>
        <v>0</v>
      </c>
      <c r="BK18" s="157">
        <f>BL18</f>
        <v>0</v>
      </c>
      <c r="BL18" s="157">
        <f>'BUDGET REVENUE CML 2021-2025'!AJ293/10^6</f>
        <v>0</v>
      </c>
      <c r="BM18" s="578">
        <f>BL18</f>
        <v>0</v>
      </c>
      <c r="BN18" s="170">
        <f>SUM(AM18,AN18,AQ18)</f>
        <v>0</v>
      </c>
      <c r="BO18" s="170">
        <f>SUM(AR18,AT18,AV18)</f>
        <v>0</v>
      </c>
      <c r="BP18" s="170">
        <f>SUM(AX18,AZ18,BC18)</f>
        <v>0</v>
      </c>
      <c r="BQ18" s="170">
        <f>SUM(BF18,BI18,BL18)</f>
        <v>0</v>
      </c>
      <c r="BR18" s="170">
        <f>BN18+BO18+BP18+BQ18</f>
        <v>0</v>
      </c>
      <c r="BS18" s="170">
        <f>AM18+AN18+AP18+AR18+AT18+AV18+AX18+AZ18+BD18+BG18+BJ18+BM18</f>
        <v>0</v>
      </c>
      <c r="BT18" s="157">
        <v>0</v>
      </c>
      <c r="BU18" s="157">
        <f>BV18</f>
        <v>0</v>
      </c>
      <c r="BV18" s="157">
        <v>0</v>
      </c>
      <c r="BW18" s="157">
        <f>BX18</f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578">
        <f>CJ18</f>
        <v>0</v>
      </c>
      <c r="CL18" s="157">
        <v>0</v>
      </c>
      <c r="CM18" s="157">
        <v>0</v>
      </c>
      <c r="CN18" s="578">
        <f>CM18</f>
        <v>0</v>
      </c>
      <c r="CO18" s="157">
        <v>0</v>
      </c>
      <c r="CP18" s="157">
        <v>0</v>
      </c>
      <c r="CQ18" s="578">
        <f>CP18</f>
        <v>0</v>
      </c>
      <c r="CR18" s="157">
        <v>0</v>
      </c>
      <c r="CS18" s="157">
        <v>0</v>
      </c>
      <c r="CT18" s="578">
        <f>CS18</f>
        <v>0</v>
      </c>
      <c r="CU18" s="170">
        <f>SUM(BT18,BU18,BW18)</f>
        <v>0</v>
      </c>
      <c r="CV18" s="170">
        <f>SUM(BY18,CA18,CC18)</f>
        <v>0</v>
      </c>
      <c r="CW18" s="170">
        <f>SUM(CE18,CG18,CJ18)</f>
        <v>0</v>
      </c>
      <c r="CX18" s="170">
        <f>SUM(CM18,CP18,CS18)</f>
        <v>0</v>
      </c>
      <c r="CY18" s="170">
        <f>CU18+CV18+CW18+CX18</f>
        <v>0</v>
      </c>
      <c r="CZ18" s="170">
        <f>BT18+BU18+BW18+BY18+CA18+CC18+CE18+CG18+CK18+CN18+CQ18+CT18</f>
        <v>0</v>
      </c>
      <c r="DA18" s="157">
        <f>'BUDGET REVENUE BP 2021-2025'!BN295/1000000</f>
        <v>1426.3658439999999</v>
      </c>
      <c r="DB18" s="157">
        <f>DC18</f>
        <v>1426.3658439999999</v>
      </c>
      <c r="DC18" s="157">
        <f>'BUDGET REVENUE BP 2021-2025'!BO295/1000000</f>
        <v>1426.3658439999999</v>
      </c>
      <c r="DD18" s="157">
        <f>DE18</f>
        <v>1572.9658440000001</v>
      </c>
      <c r="DE18" s="157">
        <f>'BUDGET REVENUE BP 2021-2025'!BP295/1000000</f>
        <v>1572.9658440000001</v>
      </c>
      <c r="DF18" s="157">
        <f>DG18</f>
        <v>1572.9658440000001</v>
      </c>
      <c r="DG18" s="157">
        <f>'BUDGET REVENUE BP 2021-2025'!BQ295/1000000</f>
        <v>1572.9658440000001</v>
      </c>
      <c r="DH18" s="157">
        <f>DI18</f>
        <v>1489.5109674</v>
      </c>
      <c r="DI18" s="157">
        <f>'BUDGET REVENUE BP 2021-2025'!BR295/1000000</f>
        <v>1489.5109674</v>
      </c>
      <c r="DJ18" s="157">
        <f>DK18</f>
        <v>1572.9658440000001</v>
      </c>
      <c r="DK18" s="157">
        <f>'BUDGET REVENUE BP 2021-2025'!BS295/1000000</f>
        <v>1572.9658440000001</v>
      </c>
      <c r="DL18" s="157">
        <f>DM18</f>
        <v>1628.6024284</v>
      </c>
      <c r="DM18" s="157">
        <f>'BUDGET REVENUE BP 2021-2025'!BT295/1000000</f>
        <v>1628.6024284</v>
      </c>
      <c r="DN18" s="157">
        <f>DO18</f>
        <v>1628.6024284</v>
      </c>
      <c r="DO18" s="157">
        <f>'BUDGET REVENUE BP 2021-2025'!BU295/1000000</f>
        <v>1628.6024284</v>
      </c>
      <c r="DP18" s="157">
        <f>DQ18</f>
        <v>1628.6024284</v>
      </c>
      <c r="DQ18" s="157">
        <f>'BUDGET REVENUE BP 2021-2025'!BV295/1000000</f>
        <v>1628.6024284</v>
      </c>
      <c r="DR18" s="578">
        <f>DQ18</f>
        <v>1628.6024284</v>
      </c>
      <c r="DS18" s="157">
        <f>DT18</f>
        <v>1628.6024284</v>
      </c>
      <c r="DT18" s="157">
        <f>'BUDGET REVENUE BP 2021-2025'!BW295/1000000</f>
        <v>1628.6024284</v>
      </c>
      <c r="DU18" s="578">
        <f>DT18</f>
        <v>1628.6024284</v>
      </c>
      <c r="DV18" s="157">
        <f>DW18</f>
        <v>1628.6024284</v>
      </c>
      <c r="DW18" s="157">
        <f>'BUDGET REVENUE BP 2021-2025'!BX295/1000000</f>
        <v>1628.6024284</v>
      </c>
      <c r="DX18" s="578">
        <f>DW18</f>
        <v>1628.6024284</v>
      </c>
      <c r="DY18" s="157">
        <f>DZ18</f>
        <v>1628.6024284</v>
      </c>
      <c r="DZ18" s="157">
        <f>'BUDGET REVENUE BP 2021-2025'!BY295/1000000</f>
        <v>1628.6024284</v>
      </c>
      <c r="EA18" s="578">
        <f>DZ18</f>
        <v>1628.6024284</v>
      </c>
      <c r="EB18" s="170">
        <f>SUM(DA18,DB18,DE18)</f>
        <v>4425.6975320000001</v>
      </c>
      <c r="EC18" s="170">
        <f>SUM(DF18,DH18,DJ18)</f>
        <v>4635.4426554000001</v>
      </c>
      <c r="ED18" s="170">
        <f>SUM(DL18,DN18,DQ18)</f>
        <v>4885.8072852000005</v>
      </c>
      <c r="EE18" s="170">
        <f>SUM(DT18,DW18,DZ18)</f>
        <v>4885.8072852000005</v>
      </c>
      <c r="EF18" s="170">
        <f>EB18+EC18+ED18+EE18</f>
        <v>18832.754757800001</v>
      </c>
      <c r="EG18" s="170">
        <f>DA18+DB18+DD18+DF18+DH18+DJ18+DL18+DN18+DR18+DU18+DX18+EA18</f>
        <v>18832.754757800001</v>
      </c>
      <c r="EH18" s="157">
        <v>0</v>
      </c>
      <c r="EI18" s="157">
        <f t="shared" ref="EI18:EQ20" si="18">EJ18</f>
        <v>0</v>
      </c>
      <c r="EJ18" s="157">
        <v>0</v>
      </c>
      <c r="EK18" s="157">
        <f t="shared" si="18"/>
        <v>0</v>
      </c>
      <c r="EL18" s="157">
        <v>0</v>
      </c>
      <c r="EM18" s="157">
        <f t="shared" si="18"/>
        <v>0</v>
      </c>
      <c r="EN18" s="157">
        <v>0</v>
      </c>
      <c r="EO18" s="157">
        <f t="shared" si="18"/>
        <v>0</v>
      </c>
      <c r="EP18" s="157">
        <v>0</v>
      </c>
      <c r="EQ18" s="157">
        <f t="shared" si="18"/>
        <v>0</v>
      </c>
      <c r="ER18" s="157">
        <v>0</v>
      </c>
      <c r="ES18" s="157">
        <f>ET18</f>
        <v>0</v>
      </c>
      <c r="ET18" s="157">
        <v>0</v>
      </c>
      <c r="EU18" s="157">
        <f>EV18</f>
        <v>0</v>
      </c>
      <c r="EV18" s="157">
        <v>0</v>
      </c>
      <c r="EW18" s="157">
        <f>EX18</f>
        <v>0</v>
      </c>
      <c r="EX18" s="157">
        <v>0</v>
      </c>
      <c r="EY18" s="578">
        <f>EX18</f>
        <v>0</v>
      </c>
      <c r="EZ18" s="157">
        <f>FA18</f>
        <v>0</v>
      </c>
      <c r="FA18" s="157">
        <v>0</v>
      </c>
      <c r="FB18" s="578">
        <f>FA18</f>
        <v>0</v>
      </c>
      <c r="FC18" s="157">
        <f>FD18</f>
        <v>0</v>
      </c>
      <c r="FD18" s="157">
        <v>0</v>
      </c>
      <c r="FE18" s="578">
        <f>FD18</f>
        <v>0</v>
      </c>
      <c r="FF18" s="157">
        <f>FG18</f>
        <v>0</v>
      </c>
      <c r="FG18" s="157">
        <v>0</v>
      </c>
      <c r="FH18" s="578">
        <f>FG18</f>
        <v>0</v>
      </c>
      <c r="FI18" s="170">
        <f>SUM(EH18,EI18,EL18)</f>
        <v>0</v>
      </c>
      <c r="FJ18" s="170">
        <f>SUM(EM18,EO18,EQ18)</f>
        <v>0</v>
      </c>
      <c r="FK18" s="170">
        <f>SUM(ES18,EU18,EX18)</f>
        <v>0</v>
      </c>
      <c r="FL18" s="170">
        <f>SUM(FA18,FD18,FG18)</f>
        <v>0</v>
      </c>
      <c r="FM18" s="170">
        <f>FI18+FJ18+FK18+FL18</f>
        <v>0</v>
      </c>
      <c r="FN18" s="170">
        <f>EH18+EI18+EK18+EM18+EO18+EQ18+ES18+EU18+EY18+FB18+FE18+FH18</f>
        <v>0</v>
      </c>
      <c r="FO18" s="157">
        <f>'BUDGET REVENUE BP 2021-2025'!BN655/1000000</f>
        <v>134</v>
      </c>
      <c r="FP18" s="157">
        <f>FQ18</f>
        <v>146</v>
      </c>
      <c r="FQ18" s="157">
        <f>'BUDGET REVENUE BP 2021-2025'!BO655/1000000</f>
        <v>146</v>
      </c>
      <c r="FR18" s="157">
        <f>FS18</f>
        <v>147</v>
      </c>
      <c r="FS18" s="157">
        <f>'BUDGET REVENUE BP 2021-2025'!BP655/1000000</f>
        <v>147</v>
      </c>
      <c r="FT18" s="157">
        <f>FU18</f>
        <v>196</v>
      </c>
      <c r="FU18" s="157">
        <f>'BUDGET REVENUE BP 2021-2025'!BQ655/1000000</f>
        <v>196</v>
      </c>
      <c r="FV18" s="157">
        <f>FW18</f>
        <v>145.18700000000001</v>
      </c>
      <c r="FW18" s="157">
        <f>'BUDGET REVENUE BP 2021-2025'!BR655/1000000</f>
        <v>145.18700000000001</v>
      </c>
      <c r="FX18" s="157">
        <f>FY18</f>
        <v>158.18700000000001</v>
      </c>
      <c r="FY18" s="157">
        <f>'BUDGET REVENUE BP 2021-2025'!BS655/1000000</f>
        <v>158.18700000000001</v>
      </c>
      <c r="FZ18" s="157">
        <f>GA18</f>
        <v>208.18700000000001</v>
      </c>
      <c r="GA18" s="157">
        <f>'BUDGET REVENUE BP 2021-2025'!BT655/1000000</f>
        <v>208.18700000000001</v>
      </c>
      <c r="GB18" s="157">
        <f>GC18</f>
        <v>187.18700000000001</v>
      </c>
      <c r="GC18" s="157">
        <f>'BUDGET REVENUE BP 2021-2025'!BU655/1000000</f>
        <v>187.18700000000001</v>
      </c>
      <c r="GD18" s="157">
        <f>GE18</f>
        <v>178.18700000000001</v>
      </c>
      <c r="GE18" s="157">
        <f>'BUDGET REVENUE BP 2021-2025'!BV655/1000000</f>
        <v>178.18700000000001</v>
      </c>
      <c r="GF18" s="578">
        <f>GE18</f>
        <v>178.18700000000001</v>
      </c>
      <c r="GG18" s="157">
        <f>GH18</f>
        <v>247.18700000000001</v>
      </c>
      <c r="GH18" s="157">
        <f>'BUDGET REVENUE BP 2021-2025'!BW655/1000000</f>
        <v>247.18700000000001</v>
      </c>
      <c r="GI18" s="578">
        <f>GH18</f>
        <v>247.18700000000001</v>
      </c>
      <c r="GJ18" s="157">
        <f>GK18</f>
        <v>208.18700000000001</v>
      </c>
      <c r="GK18" s="157">
        <f>'BUDGET REVENUE BP 2021-2025'!BX655/1000000</f>
        <v>208.18700000000001</v>
      </c>
      <c r="GL18" s="578">
        <f>GK18</f>
        <v>208.18700000000001</v>
      </c>
      <c r="GM18" s="157">
        <f>GN18</f>
        <v>147.18700000000001</v>
      </c>
      <c r="GN18" s="157">
        <f>'BUDGET REVENUE BP 2021-2025'!BY655/1000000</f>
        <v>147.18700000000001</v>
      </c>
      <c r="GO18" s="578">
        <f>GN18</f>
        <v>147.18700000000001</v>
      </c>
      <c r="GP18" s="170">
        <f>SUM(FO18,FP18,FS18)</f>
        <v>427</v>
      </c>
      <c r="GQ18" s="170">
        <f>SUM(FT18,FV18,FX18)</f>
        <v>499.37400000000002</v>
      </c>
      <c r="GR18" s="170">
        <f>SUM(FZ18,GB18,GE18)</f>
        <v>573.56100000000004</v>
      </c>
      <c r="GS18" s="170">
        <f>SUM(GH18,GK18,GN18)</f>
        <v>602.56100000000004</v>
      </c>
      <c r="GT18" s="170">
        <f>GP18+GQ18+GR18+GS18</f>
        <v>2102.4960000000001</v>
      </c>
      <c r="GU18" s="170">
        <f>FO18+FP18+FR18+FT18+FV18+FX18+FZ18+GB18+GF18+GI18+GL18+GO18</f>
        <v>2102.4959999999996</v>
      </c>
      <c r="GV18" s="157">
        <v>0</v>
      </c>
      <c r="GW18" s="157">
        <f>GX18</f>
        <v>0</v>
      </c>
      <c r="GX18" s="157">
        <v>0</v>
      </c>
      <c r="GY18" s="157">
        <f>GZ18</f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f>HH18</f>
        <v>0</v>
      </c>
      <c r="HH18" s="157">
        <v>0</v>
      </c>
      <c r="HI18" s="157">
        <f>HJ18</f>
        <v>0</v>
      </c>
      <c r="HJ18" s="157">
        <v>0</v>
      </c>
      <c r="HK18" s="157">
        <f>HL18</f>
        <v>0</v>
      </c>
      <c r="HL18" s="157">
        <v>0</v>
      </c>
      <c r="HM18" s="578">
        <f>HL18</f>
        <v>0</v>
      </c>
      <c r="HN18" s="157">
        <f>HO18</f>
        <v>0</v>
      </c>
      <c r="HO18" s="157">
        <v>0</v>
      </c>
      <c r="HP18" s="578">
        <f>HO18</f>
        <v>0</v>
      </c>
      <c r="HQ18" s="157">
        <f>HR18</f>
        <v>0</v>
      </c>
      <c r="HR18" s="157">
        <v>0</v>
      </c>
      <c r="HS18" s="578">
        <f>HR18</f>
        <v>0</v>
      </c>
      <c r="HT18" s="157">
        <f>HU18</f>
        <v>0</v>
      </c>
      <c r="HU18" s="157">
        <v>0</v>
      </c>
      <c r="HV18" s="578">
        <f>HU18</f>
        <v>0</v>
      </c>
      <c r="HW18" s="170">
        <f>SUM(GV18,GW18,GZ18)</f>
        <v>0</v>
      </c>
      <c r="HX18" s="170">
        <f>SUM(HA18,HC18,HE18)</f>
        <v>0</v>
      </c>
      <c r="HY18" s="170">
        <f>SUM(HG18,HI18,HL18)</f>
        <v>0</v>
      </c>
      <c r="HZ18" s="170">
        <f>SUM(HO18,HR18,HU18)</f>
        <v>0</v>
      </c>
      <c r="IA18" s="170">
        <f>HW18+HX18+HY18+HZ18</f>
        <v>0</v>
      </c>
      <c r="IB18" s="170">
        <f>GV18+GW18+GY18+HA18+HC18+HE18+HG18+HI18+HM18+HP18+HS18+HV18</f>
        <v>0</v>
      </c>
      <c r="IC18" s="578">
        <v>0</v>
      </c>
      <c r="ID18" s="578">
        <v>0</v>
      </c>
      <c r="IE18" s="578">
        <v>0</v>
      </c>
      <c r="IF18" s="578">
        <v>0</v>
      </c>
      <c r="IG18" s="578">
        <v>0</v>
      </c>
      <c r="IH18" s="578">
        <v>0</v>
      </c>
      <c r="II18" s="578">
        <v>0</v>
      </c>
      <c r="IJ18" s="578">
        <v>0</v>
      </c>
      <c r="IK18" s="578">
        <v>0</v>
      </c>
      <c r="IL18" s="578">
        <v>0</v>
      </c>
      <c r="IM18" s="578">
        <v>0</v>
      </c>
      <c r="IN18" s="578">
        <v>0</v>
      </c>
      <c r="IO18" s="578">
        <v>0</v>
      </c>
      <c r="IP18" s="578">
        <v>0</v>
      </c>
      <c r="IQ18" s="578">
        <v>0</v>
      </c>
      <c r="IR18" s="578">
        <v>0</v>
      </c>
      <c r="IS18" s="578">
        <v>0</v>
      </c>
      <c r="IT18" s="578">
        <f>IS18</f>
        <v>0</v>
      </c>
      <c r="IU18" s="578">
        <v>0</v>
      </c>
      <c r="IV18" s="578">
        <v>0</v>
      </c>
      <c r="IW18" s="578">
        <f>IV18</f>
        <v>0</v>
      </c>
      <c r="IX18" s="578">
        <v>0</v>
      </c>
      <c r="IY18" s="578">
        <v>0</v>
      </c>
      <c r="IZ18" s="578">
        <f>IY18</f>
        <v>0</v>
      </c>
      <c r="JA18" s="578">
        <v>0</v>
      </c>
      <c r="JB18" s="578">
        <v>0</v>
      </c>
      <c r="JC18" s="578">
        <f>JB18</f>
        <v>0</v>
      </c>
      <c r="JD18" s="170">
        <f>SUM(IC18,ID18,IG18)</f>
        <v>0</v>
      </c>
      <c r="JE18" s="170">
        <f>SUM(IH18,IJ18,IL18)</f>
        <v>0</v>
      </c>
      <c r="JF18" s="170">
        <f>SUM(IN18,IP18,IS18)</f>
        <v>0</v>
      </c>
      <c r="JG18" s="170">
        <f>SUM(IV18,IY18,JB18)</f>
        <v>0</v>
      </c>
      <c r="JH18" s="170">
        <f>JD18+JE18+JF18+JG18</f>
        <v>0</v>
      </c>
      <c r="JI18" s="170">
        <f>IC18+ID18+IF18+IH18+IJ18+IL18+IN18+IP18+IT18+IW18+IZ18+JC18</f>
        <v>0</v>
      </c>
      <c r="JJ18" s="157"/>
      <c r="JK18" s="157"/>
      <c r="JL18" s="157"/>
      <c r="JM18" s="157"/>
      <c r="JN18" s="157"/>
      <c r="JO18" s="157"/>
      <c r="JP18" s="157"/>
      <c r="JQ18" s="157"/>
      <c r="JR18" s="157"/>
      <c r="JS18" s="157"/>
      <c r="JT18" s="157"/>
      <c r="JU18" s="157"/>
      <c r="JV18" s="157"/>
      <c r="JW18" s="157"/>
      <c r="JX18" s="157"/>
      <c r="JY18" s="157"/>
      <c r="JZ18" s="157"/>
      <c r="KA18" s="157"/>
      <c r="KB18" s="157"/>
      <c r="KC18" s="157"/>
      <c r="KD18" s="157"/>
      <c r="KE18" s="157"/>
      <c r="KF18" s="157"/>
      <c r="KG18" s="170">
        <f>SUM(JJ18,JK18,JN18)</f>
        <v>0</v>
      </c>
      <c r="KH18" s="170">
        <f>SUM(JO18,JQ18,JS18)</f>
        <v>0</v>
      </c>
      <c r="KI18" s="170">
        <f>SUM(JU18,JW18,JZ18)</f>
        <v>0</v>
      </c>
      <c r="KJ18" s="170">
        <f>SUM(KB18,KD18,KF18)</f>
        <v>0</v>
      </c>
      <c r="KK18" s="170">
        <f>KG18+KH18+KI18+KJ18</f>
        <v>0</v>
      </c>
      <c r="KL18" s="157">
        <f t="shared" si="13"/>
        <v>2765.7300671499997</v>
      </c>
      <c r="KM18" s="157">
        <f t="shared" si="13"/>
        <v>2777.7300671499997</v>
      </c>
      <c r="KN18" s="157">
        <f t="shared" si="13"/>
        <v>2777.7300671499997</v>
      </c>
      <c r="KO18" s="157">
        <f t="shared" si="13"/>
        <v>3073.7300671500002</v>
      </c>
      <c r="KP18" s="157">
        <f t="shared" si="13"/>
        <v>3073.7300671500002</v>
      </c>
      <c r="KQ18" s="157">
        <f t="shared" si="13"/>
        <v>3122.7300671500002</v>
      </c>
      <c r="KR18" s="157">
        <f t="shared" si="13"/>
        <v>3122.7300671500002</v>
      </c>
      <c r="KS18" s="157">
        <f t="shared" si="13"/>
        <v>2988.4621905499998</v>
      </c>
      <c r="KT18" s="157">
        <f t="shared" si="13"/>
        <v>2988.4621905499998</v>
      </c>
      <c r="KU18" s="157">
        <f t="shared" si="13"/>
        <v>3084.9170671500001</v>
      </c>
      <c r="KV18" s="157">
        <f t="shared" si="14"/>
        <v>3084.9170671500001</v>
      </c>
      <c r="KW18" s="157">
        <f t="shared" si="14"/>
        <v>3190.5536515499998</v>
      </c>
      <c r="KX18" s="157">
        <f t="shared" si="14"/>
        <v>3190.5536515499998</v>
      </c>
      <c r="KY18" s="157">
        <f t="shared" si="14"/>
        <v>3169.5536515499998</v>
      </c>
      <c r="KZ18" s="157">
        <f t="shared" si="14"/>
        <v>3169.5536515499998</v>
      </c>
      <c r="LA18" s="157">
        <f t="shared" si="14"/>
        <v>3160.5536515499998</v>
      </c>
      <c r="LB18" s="157">
        <f t="shared" si="14"/>
        <v>3160.5536515499998</v>
      </c>
      <c r="LC18" s="578">
        <f>LB18</f>
        <v>3160.5536515499998</v>
      </c>
      <c r="LD18" s="157">
        <f t="shared" si="15"/>
        <v>3324.5536515499998</v>
      </c>
      <c r="LE18" s="157">
        <f t="shared" si="15"/>
        <v>3324.5536515499998</v>
      </c>
      <c r="LF18" s="578">
        <f>LE18</f>
        <v>3324.5536515499998</v>
      </c>
      <c r="LG18" s="157">
        <f t="shared" si="16"/>
        <v>3285.5536515499998</v>
      </c>
      <c r="LH18" s="157">
        <f t="shared" si="16"/>
        <v>3285.5536515499998</v>
      </c>
      <c r="LI18" s="578">
        <f>LH18</f>
        <v>3285.5536515499998</v>
      </c>
      <c r="LJ18" s="157">
        <f t="shared" si="17"/>
        <v>3224.5536515499998</v>
      </c>
      <c r="LK18" s="157">
        <f t="shared" si="17"/>
        <v>3224.5536515499998</v>
      </c>
      <c r="LL18" s="578">
        <f>LK18</f>
        <v>3224.5536515499998</v>
      </c>
      <c r="LM18" s="170">
        <f>SUM(KL18,KM18,KO18)</f>
        <v>8617.1902014499992</v>
      </c>
      <c r="LN18" s="170">
        <f>SUM(KQ18,KS18,KU18)</f>
        <v>9196.1093248500001</v>
      </c>
      <c r="LO18" s="170">
        <f>SUM(KW18,KY18,LB18)</f>
        <v>9520.6609546500003</v>
      </c>
      <c r="LP18" s="170">
        <f>SUM(LE18,LH18,LK18)</f>
        <v>9834.6609546500003</v>
      </c>
      <c r="LQ18" s="170">
        <f>LM18+LN18+LO18+LP18</f>
        <v>37168.621435599998</v>
      </c>
      <c r="LR18" s="170">
        <f>KL18+KM18+KO18+KQ18+KS18+KU18+KW18+KY18+LC18+LF18+LI18+LL18</f>
        <v>37168.621435599991</v>
      </c>
      <c r="LS18" s="685"/>
      <c r="LT18" s="685"/>
      <c r="LU18" s="167">
        <f>SUM(AG18,BN18,CU18,EB18,FI18,GP18,HW18)</f>
        <v>8617.190201450001</v>
      </c>
    </row>
    <row r="19" spans="1:333">
      <c r="A19" s="143" t="s">
        <v>310</v>
      </c>
      <c r="B19" s="143"/>
      <c r="C19" s="143"/>
      <c r="D19" s="143"/>
      <c r="E19" s="143"/>
      <c r="F19" s="157">
        <f>'BUDGET REVENUE CML 2021-2025'!Y234/10^6</f>
        <v>4375.2419123500003</v>
      </c>
      <c r="G19" s="157">
        <f>H19</f>
        <v>4385.2419123500003</v>
      </c>
      <c r="H19" s="157">
        <f>'BUDGET REVENUE CML 2021-2025'!Z234/10^6</f>
        <v>4385.2419123500003</v>
      </c>
      <c r="I19" s="157">
        <f>J19</f>
        <v>4385.2419123500003</v>
      </c>
      <c r="J19" s="157">
        <f>'BUDGET REVENUE CML 2021-2025'!AA234/10^6</f>
        <v>4385.2419123500003</v>
      </c>
      <c r="K19" s="157">
        <f>L19</f>
        <v>4465.2419123500003</v>
      </c>
      <c r="L19" s="157">
        <f>'BUDGET REVENUE CML 2021-2025'!AB234/10^6</f>
        <v>4465.2419123500003</v>
      </c>
      <c r="M19" s="157">
        <f>N19</f>
        <v>4525.2419123500003</v>
      </c>
      <c r="N19" s="157">
        <f>'BUDGET REVENUE CML 2021-2025'!AC234/10^6</f>
        <v>4525.2419123500003</v>
      </c>
      <c r="O19" s="157">
        <f>P19</f>
        <v>4795.2419123500003</v>
      </c>
      <c r="P19" s="578">
        <f>'BUDGET REVENUE CML 2021-2025'!AD234/10^6</f>
        <v>4795.2419123500003</v>
      </c>
      <c r="Q19" s="157">
        <f>R19</f>
        <v>5059.1069783500006</v>
      </c>
      <c r="R19" s="157">
        <f>'BUDGET REVENUE CML 2021-2025'!AE234/10^6</f>
        <v>5059.1069783500006</v>
      </c>
      <c r="S19" s="157">
        <f>T19</f>
        <v>5054.1069783500006</v>
      </c>
      <c r="T19" s="157">
        <f>'BUDGET REVENUE CML 2021-2025'!AF234/10^6</f>
        <v>5054.1069783500006</v>
      </c>
      <c r="U19" s="157">
        <f>V19</f>
        <v>5159.1069783500006</v>
      </c>
      <c r="V19" s="157">
        <f>'BUDGET REVENUE CML 2021-2025'!AG234/10^6</f>
        <v>5159.1069783500006</v>
      </c>
      <c r="W19" s="578">
        <f>V19</f>
        <v>5159.1069783500006</v>
      </c>
      <c r="X19" s="157">
        <f>Y19</f>
        <v>5159.1069783500006</v>
      </c>
      <c r="Y19" s="157">
        <f>'BUDGET REVENUE CML 2021-2025'!AH234/10^6</f>
        <v>5159.1069783500006</v>
      </c>
      <c r="Z19" s="578">
        <f>Y19</f>
        <v>5159.1069783500006</v>
      </c>
      <c r="AA19" s="157">
        <f>AB19</f>
        <v>5164.1069783500006</v>
      </c>
      <c r="AB19" s="157">
        <f>'BUDGET REVENUE CML 2021-2025'!AI234/10^6</f>
        <v>5164.1069783500006</v>
      </c>
      <c r="AC19" s="578">
        <f>AB19</f>
        <v>5164.1069783500006</v>
      </c>
      <c r="AD19" s="157">
        <f>AE19</f>
        <v>5159.1069783500006</v>
      </c>
      <c r="AE19" s="157">
        <f>'BUDGET REVENUE CML 2021-2025'!AJ234/10^6</f>
        <v>5159.1069783500006</v>
      </c>
      <c r="AF19" s="578">
        <f>AE19</f>
        <v>5159.1069783500006</v>
      </c>
      <c r="AG19" s="170">
        <f>SUM(F19,G19,J19)</f>
        <v>13145.725737050001</v>
      </c>
      <c r="AH19" s="170">
        <f>SUM(K19,M19,O19)</f>
        <v>13785.725737050001</v>
      </c>
      <c r="AI19" s="170">
        <f>SUM(Q19,S19,V19)</f>
        <v>15272.320935050002</v>
      </c>
      <c r="AJ19" s="170">
        <f>SUM(Y19,AB19,AE19)</f>
        <v>15482.320935050002</v>
      </c>
      <c r="AK19" s="170">
        <f>AG19+AH19+AI19+AJ19</f>
        <v>57686.09334420001</v>
      </c>
      <c r="AL19" s="170">
        <f>F19+G19+I19+K19+M19+O19+Q19+S19+W19+Z19+AC19+AF19</f>
        <v>57686.093344199995</v>
      </c>
      <c r="AM19" s="157">
        <f>'BUDGET REVENUE CML 2021-2025'!Y308/10^6</f>
        <v>845</v>
      </c>
      <c r="AN19" s="157">
        <f>AO19</f>
        <v>845</v>
      </c>
      <c r="AO19" s="157">
        <f>'BUDGET REVENUE CML 2021-2025'!Z308/10^6</f>
        <v>845</v>
      </c>
      <c r="AP19" s="157">
        <f>AQ19</f>
        <v>845</v>
      </c>
      <c r="AQ19" s="157">
        <f>'BUDGET REVENUE CML 2021-2025'!AA308/10^6</f>
        <v>845</v>
      </c>
      <c r="AR19" s="157">
        <f>AS19</f>
        <v>845</v>
      </c>
      <c r="AS19" s="157">
        <f>'BUDGET REVENUE CML 2021-2025'!AB308/10^6</f>
        <v>845</v>
      </c>
      <c r="AT19" s="157">
        <f>AU19</f>
        <v>845</v>
      </c>
      <c r="AU19" s="157">
        <f>'BUDGET REVENUE CML 2021-2025'!AC308/10^6</f>
        <v>845</v>
      </c>
      <c r="AV19" s="157">
        <f>AW19</f>
        <v>845</v>
      </c>
      <c r="AW19" s="157">
        <f>'BUDGET REVENUE CML 2021-2025'!AD308/10^6</f>
        <v>845</v>
      </c>
      <c r="AX19" s="157">
        <f>AY19</f>
        <v>780</v>
      </c>
      <c r="AY19" s="157">
        <f>'BUDGET REVENUE CML 2021-2025'!AE308/10^6</f>
        <v>780</v>
      </c>
      <c r="AZ19" s="157">
        <f>BA19</f>
        <v>780</v>
      </c>
      <c r="BA19" s="157">
        <f>'BUDGET REVENUE CML 2021-2025'!AF308/10^6</f>
        <v>780</v>
      </c>
      <c r="BB19" s="157">
        <f>BC19</f>
        <v>780</v>
      </c>
      <c r="BC19" s="157">
        <f>'BUDGET REVENUE CML 2021-2025'!AG308/10^6</f>
        <v>780</v>
      </c>
      <c r="BD19" s="578">
        <f>BC19</f>
        <v>780</v>
      </c>
      <c r="BE19" s="157">
        <f>BF19</f>
        <v>780</v>
      </c>
      <c r="BF19" s="157">
        <f>'BUDGET REVENUE CML 2021-2025'!AH308/10^6</f>
        <v>780</v>
      </c>
      <c r="BG19" s="578">
        <f>BF19</f>
        <v>780</v>
      </c>
      <c r="BH19" s="157">
        <f>BI19</f>
        <v>780</v>
      </c>
      <c r="BI19" s="157">
        <f>'BUDGET REVENUE CML 2021-2025'!AI308/10^6</f>
        <v>780</v>
      </c>
      <c r="BJ19" s="578">
        <f>BI19</f>
        <v>780</v>
      </c>
      <c r="BK19" s="157">
        <f>BL19</f>
        <v>780</v>
      </c>
      <c r="BL19" s="157">
        <f>'BUDGET REVENUE CML 2021-2025'!AJ308/10^6</f>
        <v>780</v>
      </c>
      <c r="BM19" s="578">
        <f>BL19</f>
        <v>780</v>
      </c>
      <c r="BN19" s="170">
        <f>SUM(AM19,AN19,AQ19)</f>
        <v>2535</v>
      </c>
      <c r="BO19" s="170">
        <f>SUM(AR19,AT19,AV19)</f>
        <v>2535</v>
      </c>
      <c r="BP19" s="170">
        <f>SUM(AX19,AZ19,BC19)</f>
        <v>2340</v>
      </c>
      <c r="BQ19" s="170">
        <f>SUM(BF19,BI19,BL19)</f>
        <v>2340</v>
      </c>
      <c r="BR19" s="170">
        <f>BN19+BO19+BP19+BQ19</f>
        <v>9750</v>
      </c>
      <c r="BS19" s="170">
        <f>AM19+AN19+AP19+AR19+AT19+AV19+AX19+AZ19+BD19+BG19+BJ19+BM19</f>
        <v>9750</v>
      </c>
      <c r="BT19" s="157">
        <v>0</v>
      </c>
      <c r="BU19" s="157">
        <f>BV19</f>
        <v>0</v>
      </c>
      <c r="BV19" s="157">
        <v>0</v>
      </c>
      <c r="BW19" s="157">
        <f>BX19</f>
        <v>0</v>
      </c>
      <c r="BX19" s="157">
        <v>0</v>
      </c>
      <c r="BY19" s="157">
        <v>0</v>
      </c>
      <c r="BZ19" s="157">
        <v>0</v>
      </c>
      <c r="CA19" s="157">
        <v>0</v>
      </c>
      <c r="CB19" s="157">
        <v>0</v>
      </c>
      <c r="CC19" s="157">
        <v>0</v>
      </c>
      <c r="CD19" s="157">
        <v>0</v>
      </c>
      <c r="CE19" s="157">
        <v>0</v>
      </c>
      <c r="CF19" s="157">
        <v>0</v>
      </c>
      <c r="CG19" s="157">
        <v>0</v>
      </c>
      <c r="CH19" s="157">
        <v>0</v>
      </c>
      <c r="CI19" s="157">
        <v>0</v>
      </c>
      <c r="CJ19" s="157">
        <v>0</v>
      </c>
      <c r="CK19" s="578">
        <f>CJ19</f>
        <v>0</v>
      </c>
      <c r="CL19" s="157">
        <v>0</v>
      </c>
      <c r="CM19" s="157">
        <v>0</v>
      </c>
      <c r="CN19" s="578">
        <f>CM19</f>
        <v>0</v>
      </c>
      <c r="CO19" s="157">
        <v>0</v>
      </c>
      <c r="CP19" s="157">
        <v>0</v>
      </c>
      <c r="CQ19" s="578">
        <f>CP19</f>
        <v>0</v>
      </c>
      <c r="CR19" s="157">
        <v>0</v>
      </c>
      <c r="CS19" s="157">
        <v>0</v>
      </c>
      <c r="CT19" s="578">
        <f>CS19</f>
        <v>0</v>
      </c>
      <c r="CU19" s="170">
        <f>SUM(BT19,BU19,BW19)</f>
        <v>0</v>
      </c>
      <c r="CV19" s="170">
        <f>SUM(BY19,CA19,CC19)</f>
        <v>0</v>
      </c>
      <c r="CW19" s="170">
        <f>SUM(CE19,CG19,CJ19)</f>
        <v>0</v>
      </c>
      <c r="CX19" s="170">
        <f>SUM(CM19,CP19,CS19)</f>
        <v>0</v>
      </c>
      <c r="CY19" s="170">
        <f>CU19+CV19+CW19+CX19</f>
        <v>0</v>
      </c>
      <c r="CZ19" s="170">
        <f>BT19+BU19+BW19+BY19+CA19+CC19+CE19+CG19+CK19+CN19+CQ19+CT19</f>
        <v>0</v>
      </c>
      <c r="DA19" s="157">
        <f>'BUDGET REVENUE BP 2021-2025'!BN409/1000000</f>
        <v>2540.6235115999998</v>
      </c>
      <c r="DB19" s="157">
        <f>DC19</f>
        <v>2540.6235115999998</v>
      </c>
      <c r="DC19" s="157">
        <f>'BUDGET REVENUE BP 2021-2025'!BO409/1000000</f>
        <v>2540.6235115999998</v>
      </c>
      <c r="DD19" s="157">
        <f>DE19</f>
        <v>2538.6235115999998</v>
      </c>
      <c r="DE19" s="157">
        <f>'BUDGET REVENUE BP 2021-2025'!BP409/1000000</f>
        <v>2538.6235115999998</v>
      </c>
      <c r="DF19" s="157">
        <f>DG19</f>
        <v>2624.9235140000001</v>
      </c>
      <c r="DG19" s="157">
        <f>'BUDGET REVENUE BP 2021-2025'!BQ409/1000000</f>
        <v>2624.9235140000001</v>
      </c>
      <c r="DH19" s="157">
        <f>DI19</f>
        <v>2248.4349869000002</v>
      </c>
      <c r="DI19" s="157">
        <f>'BUDGET REVENUE BP 2021-2025'!BR409/1000000</f>
        <v>2248.4349869000002</v>
      </c>
      <c r="DJ19" s="157">
        <f>DK19</f>
        <v>2483.6235115999998</v>
      </c>
      <c r="DK19" s="157">
        <f>'BUDGET REVENUE BP 2021-2025'!BS409/1000000</f>
        <v>2483.6235115999998</v>
      </c>
      <c r="DL19" s="157">
        <f>DM19</f>
        <v>2543.6235115999998</v>
      </c>
      <c r="DM19" s="157">
        <f>'BUDGET REVENUE BP 2021-2025'!BT409/1000000</f>
        <v>2543.6235115999998</v>
      </c>
      <c r="DN19" s="157">
        <f>DO19</f>
        <v>2543.6235115999998</v>
      </c>
      <c r="DO19" s="157">
        <f>'BUDGET REVENUE BP 2021-2025'!BU409/1000000</f>
        <v>2543.6235115999998</v>
      </c>
      <c r="DP19" s="157">
        <f>DQ19</f>
        <v>2553.6235115999998</v>
      </c>
      <c r="DQ19" s="157">
        <f>'BUDGET REVENUE BP 2021-2025'!BV409/1000000</f>
        <v>2553.6235115999998</v>
      </c>
      <c r="DR19" s="578">
        <f>DQ19</f>
        <v>2553.6235115999998</v>
      </c>
      <c r="DS19" s="157">
        <f>DT19</f>
        <v>2573.6235115999998</v>
      </c>
      <c r="DT19" s="157">
        <f>'BUDGET REVENUE BP 2021-2025'!BW409/1000000</f>
        <v>2573.6235115999998</v>
      </c>
      <c r="DU19" s="578">
        <f>DT19</f>
        <v>2573.6235115999998</v>
      </c>
      <c r="DV19" s="157">
        <f>DW19</f>
        <v>2618.6235115999998</v>
      </c>
      <c r="DW19" s="157">
        <f>'BUDGET REVENUE BP 2021-2025'!BX409/1000000</f>
        <v>2618.6235115999998</v>
      </c>
      <c r="DX19" s="578">
        <f>DW19</f>
        <v>2618.6235115999998</v>
      </c>
      <c r="DY19" s="157">
        <f>DZ19</f>
        <v>2560.6235115999998</v>
      </c>
      <c r="DZ19" s="157">
        <f>'BUDGET REVENUE BP 2021-2025'!BY409/1000000</f>
        <v>2560.6235115999998</v>
      </c>
      <c r="EA19" s="578">
        <f>DZ19</f>
        <v>2560.6235115999998</v>
      </c>
      <c r="EB19" s="170">
        <f>SUM(DA19,DB19,DE19)</f>
        <v>7619.8705347999994</v>
      </c>
      <c r="EC19" s="170">
        <f>SUM(DF19,DH19,DJ19)</f>
        <v>7356.9820124999997</v>
      </c>
      <c r="ED19" s="170">
        <f>SUM(DL19,DN19,DQ19)</f>
        <v>7640.8705347999994</v>
      </c>
      <c r="EE19" s="170">
        <f>SUM(DT19,DW19,DZ19)</f>
        <v>7752.8705347999994</v>
      </c>
      <c r="EF19" s="170">
        <f>EB19+EC19+ED19+EE19</f>
        <v>30370.593616899998</v>
      </c>
      <c r="EG19" s="170">
        <f>DA19+DB19+DD19+DF19+DH19+DJ19+DL19+DN19+DR19+DU19+DX19+EA19</f>
        <v>30370.593616899991</v>
      </c>
      <c r="EH19" s="157">
        <f>'BUDGET REVENUE BP 2021-2025'!BN853/1000000</f>
        <v>245</v>
      </c>
      <c r="EI19" s="157">
        <f t="shared" si="18"/>
        <v>485</v>
      </c>
      <c r="EJ19" s="157">
        <f>'BUDGET REVENUE BP 2021-2025'!BO853/1000000</f>
        <v>485</v>
      </c>
      <c r="EK19" s="157">
        <f t="shared" si="18"/>
        <v>235</v>
      </c>
      <c r="EL19" s="157">
        <f>'BUDGET REVENUE BP 2021-2025'!BP853/1000000</f>
        <v>235</v>
      </c>
      <c r="EM19" s="157">
        <f t="shared" si="18"/>
        <v>285</v>
      </c>
      <c r="EN19" s="157">
        <f>'BUDGET REVENUE BP 2021-2025'!BQ853/1000000</f>
        <v>285</v>
      </c>
      <c r="EO19" s="157">
        <f t="shared" si="18"/>
        <v>535</v>
      </c>
      <c r="EP19" s="157">
        <f>'BUDGET REVENUE BP 2021-2025'!BR853/1000000</f>
        <v>535</v>
      </c>
      <c r="EQ19" s="157">
        <f t="shared" si="18"/>
        <v>235</v>
      </c>
      <c r="ER19" s="157">
        <f>'BUDGET REVENUE BP 2021-2025'!BS853/1000000</f>
        <v>235</v>
      </c>
      <c r="ES19" s="157">
        <f>ET19</f>
        <v>285</v>
      </c>
      <c r="ET19" s="157">
        <f>'BUDGET REVENUE BP 2021-2025'!BT853/1000000</f>
        <v>285</v>
      </c>
      <c r="EU19" s="157">
        <f>EV19</f>
        <v>485</v>
      </c>
      <c r="EV19" s="157">
        <f>'BUDGET REVENUE BP 2021-2025'!BU853/1000000</f>
        <v>485</v>
      </c>
      <c r="EW19" s="157">
        <f>EX19</f>
        <v>235</v>
      </c>
      <c r="EX19" s="157">
        <f>'BUDGET REVENUE BP 2021-2025'!BV853/1000000</f>
        <v>235</v>
      </c>
      <c r="EY19" s="578">
        <f>EX19</f>
        <v>235</v>
      </c>
      <c r="EZ19" s="157">
        <f>FA19</f>
        <v>300</v>
      </c>
      <c r="FA19" s="157">
        <f>'BUDGET REVENUE BP 2021-2025'!BW853/1000000</f>
        <v>300</v>
      </c>
      <c r="FB19" s="578">
        <f>FA19</f>
        <v>300</v>
      </c>
      <c r="FC19" s="157">
        <f>FD19</f>
        <v>535</v>
      </c>
      <c r="FD19" s="157">
        <f>'BUDGET REVENUE BP 2021-2025'!BX853/1000000</f>
        <v>535</v>
      </c>
      <c r="FE19" s="578">
        <f>FD19</f>
        <v>535</v>
      </c>
      <c r="FF19" s="157">
        <f>FG19</f>
        <v>235</v>
      </c>
      <c r="FG19" s="157">
        <f>'BUDGET REVENUE BP 2021-2025'!BY853/1000000</f>
        <v>235</v>
      </c>
      <c r="FH19" s="578">
        <f>FG19</f>
        <v>235</v>
      </c>
      <c r="FI19" s="170">
        <f>SUM(EH19,EI19,EL19)</f>
        <v>965</v>
      </c>
      <c r="FJ19" s="170">
        <f>SUM(EM19,EO19,EQ19)</f>
        <v>1055</v>
      </c>
      <c r="FK19" s="170">
        <f>SUM(ES19,EU19,EX19)</f>
        <v>1005</v>
      </c>
      <c r="FL19" s="170">
        <f>SUM(FA19,FD19,FG19)</f>
        <v>1070</v>
      </c>
      <c r="FM19" s="170">
        <f>FI19+FJ19+FK19+FL19</f>
        <v>4095</v>
      </c>
      <c r="FN19" s="170">
        <f>EH19+EI19+EK19+EM19+EO19+EQ19+ES19+EU19+EY19+FB19+FE19+FH19</f>
        <v>4095</v>
      </c>
      <c r="FO19" s="157">
        <f>'BUDGET REVENUE BP 2021-2025'!BN761/1000000</f>
        <v>2080</v>
      </c>
      <c r="FP19" s="157">
        <f>FQ19</f>
        <v>2060</v>
      </c>
      <c r="FQ19" s="157">
        <f>'BUDGET REVENUE BP 2021-2025'!BO761/1000000</f>
        <v>2060</v>
      </c>
      <c r="FR19" s="157">
        <f>FS19</f>
        <v>2080</v>
      </c>
      <c r="FS19" s="157">
        <f>'BUDGET REVENUE BP 2021-2025'!BP761/1000000</f>
        <v>2080</v>
      </c>
      <c r="FT19" s="157">
        <f>FU19</f>
        <v>2092.5</v>
      </c>
      <c r="FU19" s="157">
        <f>'BUDGET REVENUE BP 2021-2025'!BQ761/1000000</f>
        <v>2092.5</v>
      </c>
      <c r="FV19" s="157">
        <f>FW19</f>
        <v>2049</v>
      </c>
      <c r="FW19" s="157">
        <f>'BUDGET REVENUE BP 2021-2025'!BR761/1000000</f>
        <v>2049</v>
      </c>
      <c r="FX19" s="157">
        <f>FY19</f>
        <v>2180</v>
      </c>
      <c r="FY19" s="157">
        <f>'BUDGET REVENUE BP 2021-2025'!BS761/1000000</f>
        <v>2180</v>
      </c>
      <c r="FZ19" s="157">
        <f>GA19</f>
        <v>2205</v>
      </c>
      <c r="GA19" s="157">
        <f>'BUDGET REVENUE BP 2021-2025'!BT761/1000000</f>
        <v>2205</v>
      </c>
      <c r="GB19" s="157">
        <f>GC19</f>
        <v>2195</v>
      </c>
      <c r="GC19" s="157">
        <f>'BUDGET REVENUE BP 2021-2025'!BU761/1000000</f>
        <v>2195</v>
      </c>
      <c r="GD19" s="157">
        <f>GE19</f>
        <v>2202.5</v>
      </c>
      <c r="GE19" s="157">
        <f>'BUDGET REVENUE BP 2021-2025'!BV761/1000000</f>
        <v>2202.5</v>
      </c>
      <c r="GF19" s="578">
        <f>GE19</f>
        <v>2202.5</v>
      </c>
      <c r="GG19" s="157">
        <f>GH19</f>
        <v>2187.5</v>
      </c>
      <c r="GH19" s="157">
        <f>'BUDGET REVENUE BP 2021-2025'!BW761/1000000</f>
        <v>2187.5</v>
      </c>
      <c r="GI19" s="578">
        <f>GH19</f>
        <v>2187.5</v>
      </c>
      <c r="GJ19" s="157">
        <f>GK19</f>
        <v>2207.5</v>
      </c>
      <c r="GK19" s="157">
        <f>'BUDGET REVENUE BP 2021-2025'!BX761/1000000</f>
        <v>2207.5</v>
      </c>
      <c r="GL19" s="578">
        <f>GK19</f>
        <v>2207.5</v>
      </c>
      <c r="GM19" s="157">
        <f>GN19</f>
        <v>2209.343617</v>
      </c>
      <c r="GN19" s="157">
        <f>'BUDGET REVENUE BP 2021-2025'!BY761/1000000</f>
        <v>2209.343617</v>
      </c>
      <c r="GO19" s="578">
        <f>GN19</f>
        <v>2209.343617</v>
      </c>
      <c r="GP19" s="170">
        <f>SUM(FO19,FP19,FS19)</f>
        <v>6220</v>
      </c>
      <c r="GQ19" s="170">
        <f>SUM(FT19,FV19,FX19)</f>
        <v>6321.5</v>
      </c>
      <c r="GR19" s="170">
        <f>SUM(FZ19,GB19,GE19)</f>
        <v>6602.5</v>
      </c>
      <c r="GS19" s="170">
        <f>SUM(GH19,GK19,GN19)</f>
        <v>6604.3436170000004</v>
      </c>
      <c r="GT19" s="170">
        <f>GP19+GQ19+GR19+GS19</f>
        <v>25748.343616999999</v>
      </c>
      <c r="GU19" s="170">
        <f>FO19+FP19+FR19+FT19+FV19+FX19+FZ19+GB19+GF19+GI19+GL19+GO19</f>
        <v>25748.343616999999</v>
      </c>
      <c r="GV19" s="157">
        <v>0</v>
      </c>
      <c r="GW19" s="157">
        <f>GX19</f>
        <v>0</v>
      </c>
      <c r="GX19" s="157">
        <v>0</v>
      </c>
      <c r="GY19" s="157">
        <f>GZ19</f>
        <v>0</v>
      </c>
      <c r="GZ19" s="157">
        <v>0</v>
      </c>
      <c r="HA19" s="157">
        <v>0</v>
      </c>
      <c r="HB19" s="157">
        <v>0</v>
      </c>
      <c r="HC19" s="157">
        <v>0</v>
      </c>
      <c r="HD19" s="157">
        <v>0</v>
      </c>
      <c r="HE19" s="157">
        <v>0</v>
      </c>
      <c r="HF19" s="157">
        <v>0</v>
      </c>
      <c r="HG19" s="157">
        <f>HH19</f>
        <v>0</v>
      </c>
      <c r="HH19" s="157">
        <v>0</v>
      </c>
      <c r="HI19" s="157">
        <f>HJ19</f>
        <v>0</v>
      </c>
      <c r="HJ19" s="157">
        <v>0</v>
      </c>
      <c r="HK19" s="157">
        <f>HL19</f>
        <v>0</v>
      </c>
      <c r="HL19" s="157">
        <v>0</v>
      </c>
      <c r="HM19" s="578">
        <f>HL19</f>
        <v>0</v>
      </c>
      <c r="HN19" s="157">
        <f>HO19</f>
        <v>0</v>
      </c>
      <c r="HO19" s="157">
        <v>0</v>
      </c>
      <c r="HP19" s="578">
        <f>HO19</f>
        <v>0</v>
      </c>
      <c r="HQ19" s="157">
        <f>HR19</f>
        <v>0</v>
      </c>
      <c r="HR19" s="157">
        <v>0</v>
      </c>
      <c r="HS19" s="578">
        <f>HR19</f>
        <v>0</v>
      </c>
      <c r="HT19" s="157">
        <f>HU19</f>
        <v>0</v>
      </c>
      <c r="HU19" s="157">
        <v>0</v>
      </c>
      <c r="HV19" s="578">
        <f>HU19</f>
        <v>0</v>
      </c>
      <c r="HW19" s="170">
        <f>SUM(GV19,GW19,GZ19)</f>
        <v>0</v>
      </c>
      <c r="HX19" s="170">
        <f>SUM(HA19,HC19,HE19)</f>
        <v>0</v>
      </c>
      <c r="HY19" s="170">
        <f>SUM(HG19,HI19,HL19)</f>
        <v>0</v>
      </c>
      <c r="HZ19" s="170">
        <f>SUM(HO19,HR19,HU19)</f>
        <v>0</v>
      </c>
      <c r="IA19" s="170">
        <f>HW19+HX19+HY19+HZ19</f>
        <v>0</v>
      </c>
      <c r="IB19" s="170">
        <f>GV19+GW19+GY19+HA19+HC19+HE19+HG19+HI19+HM19+HP19+HS19+HV19</f>
        <v>0</v>
      </c>
      <c r="IC19" s="578">
        <v>0</v>
      </c>
      <c r="ID19" s="578">
        <v>0</v>
      </c>
      <c r="IE19" s="578">
        <v>0</v>
      </c>
      <c r="IF19" s="578">
        <v>0</v>
      </c>
      <c r="IG19" s="578">
        <v>0</v>
      </c>
      <c r="IH19" s="578">
        <v>0</v>
      </c>
      <c r="II19" s="578">
        <v>0</v>
      </c>
      <c r="IJ19" s="578">
        <v>0</v>
      </c>
      <c r="IK19" s="578">
        <v>0</v>
      </c>
      <c r="IL19" s="578">
        <v>0</v>
      </c>
      <c r="IM19" s="578">
        <v>0</v>
      </c>
      <c r="IN19" s="578">
        <v>0</v>
      </c>
      <c r="IO19" s="578">
        <v>0</v>
      </c>
      <c r="IP19" s="578">
        <v>0</v>
      </c>
      <c r="IQ19" s="578">
        <v>0</v>
      </c>
      <c r="IR19" s="578">
        <v>0</v>
      </c>
      <c r="IS19" s="578">
        <v>0</v>
      </c>
      <c r="IT19" s="578">
        <f>IS19</f>
        <v>0</v>
      </c>
      <c r="IU19" s="578">
        <v>0</v>
      </c>
      <c r="IV19" s="578">
        <v>0</v>
      </c>
      <c r="IW19" s="578">
        <f>IV19</f>
        <v>0</v>
      </c>
      <c r="IX19" s="578">
        <v>0</v>
      </c>
      <c r="IY19" s="578">
        <v>0</v>
      </c>
      <c r="IZ19" s="578">
        <f>IY19</f>
        <v>0</v>
      </c>
      <c r="JA19" s="578">
        <v>0</v>
      </c>
      <c r="JB19" s="578">
        <v>0</v>
      </c>
      <c r="JC19" s="578">
        <f>JB19</f>
        <v>0</v>
      </c>
      <c r="JD19" s="170">
        <f>SUM(IC19,ID19,IG19)</f>
        <v>0</v>
      </c>
      <c r="JE19" s="170">
        <f>SUM(IH19,IJ19,IL19)</f>
        <v>0</v>
      </c>
      <c r="JF19" s="170">
        <f>SUM(IN19,IP19,IS19)</f>
        <v>0</v>
      </c>
      <c r="JG19" s="170">
        <f>SUM(IV19,IY19,JB19)</f>
        <v>0</v>
      </c>
      <c r="JH19" s="170">
        <f>JD19+JE19+JF19+JG19</f>
        <v>0</v>
      </c>
      <c r="JI19" s="170">
        <f>IC19+ID19+IF19+IH19+IJ19+IL19+IN19+IP19+IT19+IW19+IZ19+JC19</f>
        <v>0</v>
      </c>
      <c r="JJ19" s="157"/>
      <c r="JK19" s="157"/>
      <c r="JL19" s="157"/>
      <c r="JM19" s="157"/>
      <c r="JN19" s="157"/>
      <c r="JO19" s="157"/>
      <c r="JP19" s="157"/>
      <c r="JQ19" s="157"/>
      <c r="JR19" s="157"/>
      <c r="JS19" s="157"/>
      <c r="JT19" s="157"/>
      <c r="JU19" s="157"/>
      <c r="JV19" s="157"/>
      <c r="JW19" s="157"/>
      <c r="JX19" s="157"/>
      <c r="JY19" s="157"/>
      <c r="JZ19" s="157"/>
      <c r="KA19" s="157"/>
      <c r="KB19" s="157"/>
      <c r="KC19" s="157"/>
      <c r="KD19" s="157"/>
      <c r="KE19" s="157"/>
      <c r="KF19" s="157"/>
      <c r="KG19" s="170">
        <f>SUM(JJ19,JK19,JN19)</f>
        <v>0</v>
      </c>
      <c r="KH19" s="170">
        <f>SUM(JO19,JQ19,JS19)</f>
        <v>0</v>
      </c>
      <c r="KI19" s="170">
        <f>SUM(JU19,JW19,JZ19)</f>
        <v>0</v>
      </c>
      <c r="KJ19" s="170">
        <f>SUM(KB19,KD19,KF19)</f>
        <v>0</v>
      </c>
      <c r="KK19" s="170">
        <f>KG19+KH19+KI19+KJ19</f>
        <v>0</v>
      </c>
      <c r="KL19" s="157">
        <f t="shared" si="13"/>
        <v>10085.865423949999</v>
      </c>
      <c r="KM19" s="157">
        <f t="shared" si="13"/>
        <v>10315.865423949999</v>
      </c>
      <c r="KN19" s="157">
        <f t="shared" si="13"/>
        <v>10315.865423949999</v>
      </c>
      <c r="KO19" s="157">
        <f t="shared" si="13"/>
        <v>10083.865423949999</v>
      </c>
      <c r="KP19" s="157">
        <f t="shared" si="13"/>
        <v>10083.865423949999</v>
      </c>
      <c r="KQ19" s="157">
        <f t="shared" si="13"/>
        <v>10312.66542635</v>
      </c>
      <c r="KR19" s="157">
        <f t="shared" si="13"/>
        <v>10312.66542635</v>
      </c>
      <c r="KS19" s="157">
        <f t="shared" si="13"/>
        <v>10202.67689925</v>
      </c>
      <c r="KT19" s="157">
        <f t="shared" si="13"/>
        <v>10202.67689925</v>
      </c>
      <c r="KU19" s="157">
        <f t="shared" si="13"/>
        <v>10538.865423949999</v>
      </c>
      <c r="KV19" s="157">
        <f t="shared" si="14"/>
        <v>10538.865423949999</v>
      </c>
      <c r="KW19" s="157">
        <f t="shared" si="14"/>
        <v>10872.730489950001</v>
      </c>
      <c r="KX19" s="157">
        <f t="shared" si="14"/>
        <v>10872.730489950001</v>
      </c>
      <c r="KY19" s="157">
        <f t="shared" si="14"/>
        <v>11057.730489950001</v>
      </c>
      <c r="KZ19" s="157">
        <f t="shared" si="14"/>
        <v>11057.730489950001</v>
      </c>
      <c r="LA19" s="157">
        <f t="shared" si="14"/>
        <v>10930.230489950001</v>
      </c>
      <c r="LB19" s="157">
        <f t="shared" si="14"/>
        <v>10930.230489950001</v>
      </c>
      <c r="LC19" s="578">
        <f>LB19</f>
        <v>10930.230489950001</v>
      </c>
      <c r="LD19" s="157">
        <f t="shared" si="15"/>
        <v>11000.230489950001</v>
      </c>
      <c r="LE19" s="157">
        <f t="shared" si="15"/>
        <v>11000.230489950001</v>
      </c>
      <c r="LF19" s="578">
        <f>LE19</f>
        <v>11000.230489950001</v>
      </c>
      <c r="LG19" s="157">
        <f t="shared" si="16"/>
        <v>11305.230489950001</v>
      </c>
      <c r="LH19" s="157">
        <f t="shared" si="16"/>
        <v>11305.230489950001</v>
      </c>
      <c r="LI19" s="578">
        <f>LH19</f>
        <v>11305.230489950001</v>
      </c>
      <c r="LJ19" s="157">
        <f t="shared" si="17"/>
        <v>10944.074106950002</v>
      </c>
      <c r="LK19" s="157">
        <f t="shared" si="17"/>
        <v>10944.074106950002</v>
      </c>
      <c r="LL19" s="578">
        <f>LK19</f>
        <v>10944.074106950002</v>
      </c>
      <c r="LM19" s="170">
        <f>SUM(KL19,KM19,KO19)</f>
        <v>30485.596271849998</v>
      </c>
      <c r="LN19" s="170">
        <f>SUM(KQ19,KS19,KU19)</f>
        <v>31054.207749550002</v>
      </c>
      <c r="LO19" s="170">
        <f>SUM(KW19,KY19,LB19)</f>
        <v>32860.691469850004</v>
      </c>
      <c r="LP19" s="170">
        <f>SUM(LE19,LH19,LK19)</f>
        <v>33249.535086850003</v>
      </c>
      <c r="LQ19" s="170">
        <f>LM19+LN19+LO19+LP19</f>
        <v>127650.03057810001</v>
      </c>
      <c r="LR19" s="170">
        <f>KL19+KM19+KO19+KQ19+KS19+KU19+KW19+KY19+LC19+LF19+LI19+LL19</f>
        <v>127650.03057810001</v>
      </c>
      <c r="LS19" s="685"/>
      <c r="LT19" s="685"/>
      <c r="LU19" s="167">
        <f>SUM(AG19,BN19,CU19,EB19,FI19,GP19,HW19)</f>
        <v>30485.596271850001</v>
      </c>
    </row>
    <row r="20" spans="1:333">
      <c r="A20" s="143" t="s">
        <v>312</v>
      </c>
      <c r="B20" s="143"/>
      <c r="C20" s="143"/>
      <c r="D20" s="143"/>
      <c r="E20" s="143"/>
      <c r="F20" s="157">
        <f>'BUDGET REVENUE CML 2021-2025'!Y265/10^6</f>
        <v>519.28944999999999</v>
      </c>
      <c r="G20" s="157">
        <f>H20</f>
        <v>525.12324999999998</v>
      </c>
      <c r="H20" s="157">
        <f>'BUDGET REVENUE CML 2021-2025'!Z265/10^6</f>
        <v>525.12324999999998</v>
      </c>
      <c r="I20" s="157">
        <f>J20</f>
        <v>571.12324999999998</v>
      </c>
      <c r="J20" s="157">
        <f>'BUDGET REVENUE CML 2021-2025'!AA265/10^6</f>
        <v>571.12324999999998</v>
      </c>
      <c r="K20" s="157">
        <f>L20</f>
        <v>571.12324999999998</v>
      </c>
      <c r="L20" s="157">
        <f>'BUDGET REVENUE CML 2021-2025'!AB265/10^6</f>
        <v>571.12324999999998</v>
      </c>
      <c r="M20" s="157">
        <f>N20</f>
        <v>518.12324999999998</v>
      </c>
      <c r="N20" s="157">
        <f>'BUDGET REVENUE CML 2021-2025'!AC265/10^6</f>
        <v>518.12324999999998</v>
      </c>
      <c r="O20" s="157">
        <f>P20</f>
        <v>571.12324999999998</v>
      </c>
      <c r="P20" s="578">
        <f>'BUDGET REVENUE CML 2021-2025'!AD265/10^6</f>
        <v>571.12324999999998</v>
      </c>
      <c r="Q20" s="157">
        <f>R20</f>
        <v>621.12324999999998</v>
      </c>
      <c r="R20" s="157">
        <f>'BUDGET REVENUE CML 2021-2025'!AE265/10^6</f>
        <v>621.12324999999998</v>
      </c>
      <c r="S20" s="157">
        <f>T20</f>
        <v>621.12324999999998</v>
      </c>
      <c r="T20" s="157">
        <f>'BUDGET REVENUE CML 2021-2025'!AF265/10^6</f>
        <v>621.12324999999998</v>
      </c>
      <c r="U20" s="157">
        <f>V20</f>
        <v>621.12324999999998</v>
      </c>
      <c r="V20" s="157">
        <f>'BUDGET REVENUE CML 2021-2025'!AG265/10^6</f>
        <v>621.12324999999998</v>
      </c>
      <c r="W20" s="578">
        <f>V20</f>
        <v>621.12324999999998</v>
      </c>
      <c r="X20" s="157">
        <f>Y20</f>
        <v>576.12324999999998</v>
      </c>
      <c r="Y20" s="157">
        <f>'BUDGET REVENUE CML 2021-2025'!AH265/10^6</f>
        <v>576.12324999999998</v>
      </c>
      <c r="Z20" s="578">
        <f>Y20</f>
        <v>576.12324999999998</v>
      </c>
      <c r="AA20" s="157">
        <f>AB20</f>
        <v>576.12324999999998</v>
      </c>
      <c r="AB20" s="157">
        <f>'BUDGET REVENUE CML 2021-2025'!AI265/10^6</f>
        <v>576.12324999999998</v>
      </c>
      <c r="AC20" s="578">
        <f>AB20</f>
        <v>576.12324999999998</v>
      </c>
      <c r="AD20" s="157">
        <f>AE20</f>
        <v>575.12324999999998</v>
      </c>
      <c r="AE20" s="157">
        <f>'BUDGET REVENUE CML 2021-2025'!AJ265/10^6</f>
        <v>575.12324999999998</v>
      </c>
      <c r="AF20" s="578">
        <f>AE20</f>
        <v>575.12324999999998</v>
      </c>
      <c r="AG20" s="170">
        <f>SUM(F20,G20,J20)</f>
        <v>1615.53595</v>
      </c>
      <c r="AH20" s="170">
        <f>SUM(K20,M20,O20)</f>
        <v>1660.3697499999998</v>
      </c>
      <c r="AI20" s="170">
        <f>SUM(Q20,S20,V20)</f>
        <v>1863.3697499999998</v>
      </c>
      <c r="AJ20" s="170">
        <f>SUM(Y20,AB20,AE20)</f>
        <v>1727.3697499999998</v>
      </c>
      <c r="AK20" s="170">
        <f>AG20+AH20+AI20+AJ20</f>
        <v>6866.645199999999</v>
      </c>
      <c r="AL20" s="170">
        <f>F20+G20+I20+K20+M20+O20+Q20+S20+W20+Z20+AC20+AF20</f>
        <v>6866.645199999999</v>
      </c>
      <c r="AM20" s="157">
        <f>'BUDGET REVENUE CML 2021-2025'!Y334/10^6</f>
        <v>520</v>
      </c>
      <c r="AN20" s="157">
        <f>AO20</f>
        <v>520</v>
      </c>
      <c r="AO20" s="157">
        <f>'BUDGET REVENUE CML 2021-2025'!Z334/10^6</f>
        <v>520</v>
      </c>
      <c r="AP20" s="157">
        <f>AQ20</f>
        <v>599</v>
      </c>
      <c r="AQ20" s="157">
        <f>'BUDGET REVENUE CML 2021-2025'!AA334/10^6</f>
        <v>599</v>
      </c>
      <c r="AR20" s="157">
        <f>AS20</f>
        <v>579</v>
      </c>
      <c r="AS20" s="157">
        <f>'BUDGET REVENUE CML 2021-2025'!AB334/10^6</f>
        <v>579</v>
      </c>
      <c r="AT20" s="157">
        <f>AU20</f>
        <v>579</v>
      </c>
      <c r="AU20" s="157">
        <f>'BUDGET REVENUE CML 2021-2025'!AC334/10^6</f>
        <v>579</v>
      </c>
      <c r="AV20" s="157">
        <f>AW20</f>
        <v>579</v>
      </c>
      <c r="AW20" s="157">
        <f>'BUDGET REVENUE CML 2021-2025'!AD334/10^6</f>
        <v>579</v>
      </c>
      <c r="AX20" s="157">
        <f>AY20</f>
        <v>579</v>
      </c>
      <c r="AY20" s="157">
        <f>'BUDGET REVENUE CML 2021-2025'!AE334/10^6</f>
        <v>579</v>
      </c>
      <c r="AZ20" s="157">
        <f>BA20</f>
        <v>579</v>
      </c>
      <c r="BA20" s="157">
        <f>'BUDGET REVENUE CML 2021-2025'!AF334/10^6</f>
        <v>579</v>
      </c>
      <c r="BB20" s="157">
        <f>BC20</f>
        <v>609</v>
      </c>
      <c r="BC20" s="157">
        <f>'BUDGET REVENUE CML 2021-2025'!AG334/10^6</f>
        <v>609</v>
      </c>
      <c r="BD20" s="578">
        <f>BC20</f>
        <v>609</v>
      </c>
      <c r="BE20" s="157">
        <f>BF20</f>
        <v>589</v>
      </c>
      <c r="BF20" s="157">
        <f>'BUDGET REVENUE CML 2021-2025'!AH334/10^6</f>
        <v>589</v>
      </c>
      <c r="BG20" s="578">
        <f>BF20</f>
        <v>589</v>
      </c>
      <c r="BH20" s="157">
        <f>BI20</f>
        <v>579</v>
      </c>
      <c r="BI20" s="157">
        <f>'BUDGET REVENUE CML 2021-2025'!AI334/10^6</f>
        <v>579</v>
      </c>
      <c r="BJ20" s="578">
        <f>BI20</f>
        <v>579</v>
      </c>
      <c r="BK20" s="157">
        <f>BL20</f>
        <v>579</v>
      </c>
      <c r="BL20" s="157">
        <f>'BUDGET REVENUE CML 2021-2025'!AJ334/10^6</f>
        <v>579</v>
      </c>
      <c r="BM20" s="578">
        <f>BL20</f>
        <v>579</v>
      </c>
      <c r="BN20" s="170">
        <f>SUM(AM20,AN20,AQ20)</f>
        <v>1639</v>
      </c>
      <c r="BO20" s="170">
        <f>SUM(AR20,AT20,AV20)</f>
        <v>1737</v>
      </c>
      <c r="BP20" s="170">
        <f>SUM(AX20,AZ20,BC20)</f>
        <v>1767</v>
      </c>
      <c r="BQ20" s="170">
        <f>SUM(BF20,BI20,BL20)</f>
        <v>1747</v>
      </c>
      <c r="BR20" s="170">
        <f>BN20+BO20+BP20+BQ20</f>
        <v>6890</v>
      </c>
      <c r="BS20" s="170">
        <f>AM20+AN20+AP20+AR20+AT20+AV20+AX20+AZ20+BD20+BG20+BJ20+BM20</f>
        <v>6890</v>
      </c>
      <c r="BT20" s="157">
        <v>0</v>
      </c>
      <c r="BU20" s="157">
        <f>BV20</f>
        <v>0</v>
      </c>
      <c r="BV20" s="157">
        <v>0</v>
      </c>
      <c r="BW20" s="157">
        <f>BX20</f>
        <v>0</v>
      </c>
      <c r="BX20" s="157">
        <v>0</v>
      </c>
      <c r="BY20" s="157">
        <v>0</v>
      </c>
      <c r="BZ20" s="157">
        <v>0</v>
      </c>
      <c r="CA20" s="157">
        <v>0</v>
      </c>
      <c r="CB20" s="157">
        <v>0</v>
      </c>
      <c r="CC20" s="157">
        <v>0</v>
      </c>
      <c r="CD20" s="157">
        <v>0</v>
      </c>
      <c r="CE20" s="157">
        <v>0</v>
      </c>
      <c r="CF20" s="157">
        <v>0</v>
      </c>
      <c r="CG20" s="157">
        <v>0</v>
      </c>
      <c r="CH20" s="157">
        <v>0</v>
      </c>
      <c r="CI20" s="157">
        <v>0</v>
      </c>
      <c r="CJ20" s="157">
        <v>0</v>
      </c>
      <c r="CK20" s="578">
        <f>CJ20</f>
        <v>0</v>
      </c>
      <c r="CL20" s="157">
        <v>0</v>
      </c>
      <c r="CM20" s="157">
        <v>0</v>
      </c>
      <c r="CN20" s="578">
        <f>CM20</f>
        <v>0</v>
      </c>
      <c r="CO20" s="157">
        <v>0</v>
      </c>
      <c r="CP20" s="157">
        <v>0</v>
      </c>
      <c r="CQ20" s="578">
        <f>CP20</f>
        <v>0</v>
      </c>
      <c r="CR20" s="157">
        <v>0</v>
      </c>
      <c r="CS20" s="157">
        <v>0</v>
      </c>
      <c r="CT20" s="578">
        <f>CS20</f>
        <v>0</v>
      </c>
      <c r="CU20" s="170">
        <f>SUM(BT20,BU20,BW20)</f>
        <v>0</v>
      </c>
      <c r="CV20" s="170">
        <f>SUM(BY20,CA20,CC20)</f>
        <v>0</v>
      </c>
      <c r="CW20" s="170">
        <f>SUM(CE20,CG20,CJ20)</f>
        <v>0</v>
      </c>
      <c r="CX20" s="170">
        <f>SUM(CM20,CP20,CS20)</f>
        <v>0</v>
      </c>
      <c r="CY20" s="170">
        <f>CU20+CV20+CW20+CX20</f>
        <v>0</v>
      </c>
      <c r="CZ20" s="170">
        <f>BT20+BU20+BW20+BY20+CA20+CC20+CE20+CG20+CK20+CN20+CQ20+CT20</f>
        <v>0</v>
      </c>
      <c r="DA20" s="157">
        <f>'BUDGET REVENUE BP 2021-2025'!BN440/1000000</f>
        <v>534.9</v>
      </c>
      <c r="DB20" s="157">
        <f>DC20</f>
        <v>834.9</v>
      </c>
      <c r="DC20" s="157">
        <f>'BUDGET REVENUE BP 2021-2025'!BO440/1000000</f>
        <v>834.9</v>
      </c>
      <c r="DD20" s="157">
        <f>DE20</f>
        <v>834.9</v>
      </c>
      <c r="DE20" s="157">
        <f>'BUDGET REVENUE BP 2021-2025'!BP440/1000000</f>
        <v>834.9</v>
      </c>
      <c r="DF20" s="157">
        <f>DG20</f>
        <v>834.9</v>
      </c>
      <c r="DG20" s="157">
        <f>'BUDGET REVENUE BP 2021-2025'!BQ440/1000000</f>
        <v>834.9</v>
      </c>
      <c r="DH20" s="157">
        <f>DI20</f>
        <v>467.99720000000002</v>
      </c>
      <c r="DI20" s="157">
        <f>'BUDGET REVENUE BP 2021-2025'!BR440/1000000</f>
        <v>467.99720000000002</v>
      </c>
      <c r="DJ20" s="157">
        <f>DK20</f>
        <v>534.9</v>
      </c>
      <c r="DK20" s="157">
        <f>'BUDGET REVENUE BP 2021-2025'!BS440/1000000</f>
        <v>534.9</v>
      </c>
      <c r="DL20" s="157">
        <f>DM20</f>
        <v>534.9</v>
      </c>
      <c r="DM20" s="157">
        <f>'BUDGET REVENUE BP 2021-2025'!BT440/1000000</f>
        <v>534.9</v>
      </c>
      <c r="DN20" s="157">
        <f>DO20</f>
        <v>534.9</v>
      </c>
      <c r="DO20" s="157">
        <f>'BUDGET REVENUE BP 2021-2025'!BU440/1000000</f>
        <v>534.9</v>
      </c>
      <c r="DP20" s="157">
        <f>DQ20</f>
        <v>604.9</v>
      </c>
      <c r="DQ20" s="157">
        <f>'BUDGET REVENUE BP 2021-2025'!BV440/1000000</f>
        <v>604.9</v>
      </c>
      <c r="DR20" s="578">
        <f>DQ20</f>
        <v>604.9</v>
      </c>
      <c r="DS20" s="157">
        <f>DT20</f>
        <v>604.9</v>
      </c>
      <c r="DT20" s="157">
        <f>'BUDGET REVENUE BP 2021-2025'!BW440/1000000</f>
        <v>604.9</v>
      </c>
      <c r="DU20" s="578">
        <f>DT20</f>
        <v>604.9</v>
      </c>
      <c r="DV20" s="157">
        <f>DW20</f>
        <v>604.9</v>
      </c>
      <c r="DW20" s="157">
        <f>'BUDGET REVENUE BP 2021-2025'!BX440/1000000</f>
        <v>604.9</v>
      </c>
      <c r="DX20" s="578">
        <f>DW20</f>
        <v>604.9</v>
      </c>
      <c r="DY20" s="157">
        <f>DZ20</f>
        <v>604.9</v>
      </c>
      <c r="DZ20" s="157">
        <f>'BUDGET REVENUE BP 2021-2025'!BY440/1000000</f>
        <v>604.9</v>
      </c>
      <c r="EA20" s="578">
        <f>DZ20</f>
        <v>604.9</v>
      </c>
      <c r="EB20" s="170">
        <f>SUM(DA20,DB20,DE20)</f>
        <v>2204.6999999999998</v>
      </c>
      <c r="EC20" s="170">
        <f>SUM(DF20,DH20,DJ20)</f>
        <v>1837.7972</v>
      </c>
      <c r="ED20" s="170">
        <f>SUM(DL20,DN20,DQ20)</f>
        <v>1674.6999999999998</v>
      </c>
      <c r="EE20" s="170">
        <f>SUM(DT20,DW20,DZ20)</f>
        <v>1814.6999999999998</v>
      </c>
      <c r="EF20" s="170">
        <f>EB20+EC20+ED20+EE20</f>
        <v>7531.8971999999994</v>
      </c>
      <c r="EG20" s="170">
        <f>DA20+DB20+DD20+DF20+DH20+DJ20+DL20+DN20+DR20+DU20+DX20+EA20</f>
        <v>7531.8971999999985</v>
      </c>
      <c r="EH20" s="157">
        <f>'BUDGET REVENUE BP 2021-2025'!BN891/1000000</f>
        <v>972</v>
      </c>
      <c r="EI20" s="157">
        <f t="shared" si="18"/>
        <v>2558.5</v>
      </c>
      <c r="EJ20" s="157">
        <f>'BUDGET REVENUE BP 2021-2025'!BO891/1000000</f>
        <v>2558.5</v>
      </c>
      <c r="EK20" s="157">
        <f t="shared" si="18"/>
        <v>3924.31</v>
      </c>
      <c r="EL20" s="157">
        <f>'BUDGET REVENUE BP 2021-2025'!BP891/1000000</f>
        <v>3924.31</v>
      </c>
      <c r="EM20" s="157">
        <f t="shared" si="18"/>
        <v>3411.1154499999998</v>
      </c>
      <c r="EN20" s="157">
        <f>'BUDGET REVENUE BP 2021-2025'!BQ891/1000000</f>
        <v>3411.1154499999998</v>
      </c>
      <c r="EO20" s="157">
        <f t="shared" si="18"/>
        <v>3082.5650000000001</v>
      </c>
      <c r="EP20" s="157">
        <f>'BUDGET REVENUE BP 2021-2025'!BR891/1000000</f>
        <v>3082.5650000000001</v>
      </c>
      <c r="EQ20" s="157">
        <f t="shared" si="18"/>
        <v>1804.665</v>
      </c>
      <c r="ER20" s="157">
        <f>'BUDGET REVENUE BP 2021-2025'!BS891/1000000</f>
        <v>1804.665</v>
      </c>
      <c r="ES20" s="157">
        <f>ET20</f>
        <v>844.82</v>
      </c>
      <c r="ET20" s="157">
        <f>'BUDGET REVENUE BP 2021-2025'!BT891/1000000</f>
        <v>844.82</v>
      </c>
      <c r="EU20" s="157">
        <f>EV20</f>
        <v>3325.1849999999999</v>
      </c>
      <c r="EV20" s="157">
        <f>'BUDGET REVENUE BP 2021-2025'!BU891/1000000</f>
        <v>3325.1849999999999</v>
      </c>
      <c r="EW20" s="157">
        <f>EX20</f>
        <v>3141.2750000000001</v>
      </c>
      <c r="EX20" s="157">
        <f>'BUDGET REVENUE BP 2021-2025'!BV891/1000000</f>
        <v>3141.2750000000001</v>
      </c>
      <c r="EY20" s="578">
        <f>EX20</f>
        <v>3141.2750000000001</v>
      </c>
      <c r="EZ20" s="157">
        <f>FA20</f>
        <v>3264.2150000000001</v>
      </c>
      <c r="FA20" s="157">
        <f>'BUDGET REVENUE BP 2021-2025'!BW891/1000000</f>
        <v>3264.2150000000001</v>
      </c>
      <c r="FB20" s="578">
        <f>FA20</f>
        <v>3264.2150000000001</v>
      </c>
      <c r="FC20" s="157">
        <f>FD20</f>
        <v>3104.5</v>
      </c>
      <c r="FD20" s="157">
        <f>'BUDGET REVENUE BP 2021-2025'!BX891/1000000</f>
        <v>3104.5</v>
      </c>
      <c r="FE20" s="578">
        <f>FD20</f>
        <v>3104.5</v>
      </c>
      <c r="FF20" s="157">
        <f>FG20</f>
        <v>1305</v>
      </c>
      <c r="FG20" s="157">
        <f>'BUDGET REVENUE BP 2021-2025'!BY891/1000000</f>
        <v>1305</v>
      </c>
      <c r="FH20" s="578">
        <f>FG20</f>
        <v>1305</v>
      </c>
      <c r="FI20" s="170">
        <f>SUM(EH20,EI20,EL20)</f>
        <v>7454.8099999999995</v>
      </c>
      <c r="FJ20" s="170">
        <f>SUM(EM20,EO20,EQ20)</f>
        <v>8298.3454500000007</v>
      </c>
      <c r="FK20" s="170">
        <f>SUM(ES20,EU20,EX20)</f>
        <v>7311.2800000000007</v>
      </c>
      <c r="FL20" s="170">
        <f>SUM(FA20,FD20,FG20)</f>
        <v>7673.7150000000001</v>
      </c>
      <c r="FM20" s="170">
        <f>FI20+FJ20+FK20+FL20</f>
        <v>30738.150450000001</v>
      </c>
      <c r="FN20" s="170">
        <f>EH20+EI20+EK20+EM20+EO20+EQ20+ES20+EU20+EY20+FB20+FE20+FH20</f>
        <v>30738.150450000001</v>
      </c>
      <c r="FO20" s="157">
        <f>'BUDGET REVENUE BP 2021-2025'!BN810/1000000</f>
        <v>832</v>
      </c>
      <c r="FP20" s="157">
        <f>FQ20</f>
        <v>1393.45</v>
      </c>
      <c r="FQ20" s="157">
        <f>'BUDGET REVENUE BP 2021-2025'!BO810/1000000</f>
        <v>1393.45</v>
      </c>
      <c r="FR20" s="157">
        <f>FS20</f>
        <v>892.55</v>
      </c>
      <c r="FS20" s="157">
        <f>'BUDGET REVENUE BP 2021-2025'!BP810/1000000</f>
        <v>892.55</v>
      </c>
      <c r="FT20" s="157">
        <f>FU20</f>
        <v>610.15</v>
      </c>
      <c r="FU20" s="157">
        <f>'BUDGET REVENUE BP 2021-2025'!BQ810/1000000</f>
        <v>610.15</v>
      </c>
      <c r="FV20" s="157">
        <f>FW20</f>
        <v>473.9</v>
      </c>
      <c r="FW20" s="157">
        <f>'BUDGET REVENUE BP 2021-2025'!BR810/1000000</f>
        <v>473.9</v>
      </c>
      <c r="FX20" s="157">
        <f>FY20</f>
        <v>845.15</v>
      </c>
      <c r="FY20" s="157">
        <f>'BUDGET REVENUE BP 2021-2025'!BS810/1000000</f>
        <v>845.15</v>
      </c>
      <c r="FZ20" s="157">
        <f>GA20</f>
        <v>861.1</v>
      </c>
      <c r="GA20" s="157">
        <f>'BUDGET REVENUE BP 2021-2025'!BT810/1000000</f>
        <v>861.1</v>
      </c>
      <c r="GB20" s="157">
        <f>GC20</f>
        <v>599.77285300000005</v>
      </c>
      <c r="GC20" s="157">
        <f>'BUDGET REVENUE BP 2021-2025'!BU810/1000000</f>
        <v>599.77285300000005</v>
      </c>
      <c r="GD20" s="157">
        <f>GE20</f>
        <v>892.25</v>
      </c>
      <c r="GE20" s="157">
        <f>'BUDGET REVENUE BP 2021-2025'!BV810/1000000</f>
        <v>892.25</v>
      </c>
      <c r="GF20" s="578">
        <f>GE20</f>
        <v>892.25</v>
      </c>
      <c r="GG20" s="157">
        <f>GH20</f>
        <v>607.65</v>
      </c>
      <c r="GH20" s="157">
        <f>'BUDGET REVENUE BP 2021-2025'!BW810/1000000</f>
        <v>607.65</v>
      </c>
      <c r="GI20" s="578">
        <f>GH20</f>
        <v>607.65</v>
      </c>
      <c r="GJ20" s="157">
        <f>GK20</f>
        <v>1302.4000000000001</v>
      </c>
      <c r="GK20" s="157">
        <f>'BUDGET REVENUE BP 2021-2025'!BX810/1000000</f>
        <v>1302.4000000000001</v>
      </c>
      <c r="GL20" s="578">
        <f>GK20</f>
        <v>1302.4000000000001</v>
      </c>
      <c r="GM20" s="157">
        <f>GN20</f>
        <v>761.7</v>
      </c>
      <c r="GN20" s="157">
        <f>'BUDGET REVENUE BP 2021-2025'!BY810/1000000</f>
        <v>761.7</v>
      </c>
      <c r="GO20" s="578">
        <f>GN20</f>
        <v>761.7</v>
      </c>
      <c r="GP20" s="170">
        <f>SUM(FO20,FP20,FS20)</f>
        <v>3118</v>
      </c>
      <c r="GQ20" s="170">
        <f>SUM(FT20,FV20,FX20)</f>
        <v>1929.1999999999998</v>
      </c>
      <c r="GR20" s="170">
        <f>SUM(FZ20,GB20,GE20)</f>
        <v>2353.1228529999998</v>
      </c>
      <c r="GS20" s="170">
        <f>SUM(GH20,GK20,GN20)</f>
        <v>2671.75</v>
      </c>
      <c r="GT20" s="170">
        <f>GP20+GQ20+GR20+GS20</f>
        <v>10072.072853</v>
      </c>
      <c r="GU20" s="170">
        <f>FO20+FP20+FR20+FT20+FV20+FX20+FZ20+GB20+GF20+GI20+GL20+GO20</f>
        <v>10072.072853000001</v>
      </c>
      <c r="GV20" s="157">
        <v>0</v>
      </c>
      <c r="GW20" s="157">
        <f>GX20</f>
        <v>0</v>
      </c>
      <c r="GX20" s="157">
        <v>0</v>
      </c>
      <c r="GY20" s="157">
        <f>GZ20</f>
        <v>0</v>
      </c>
      <c r="GZ20" s="157">
        <v>0</v>
      </c>
      <c r="HA20" s="157">
        <v>0</v>
      </c>
      <c r="HB20" s="157">
        <v>0</v>
      </c>
      <c r="HC20" s="157">
        <v>0</v>
      </c>
      <c r="HD20" s="157">
        <v>0</v>
      </c>
      <c r="HE20" s="157">
        <v>0</v>
      </c>
      <c r="HF20" s="157">
        <v>0</v>
      </c>
      <c r="HG20" s="157">
        <f>HH20</f>
        <v>0</v>
      </c>
      <c r="HH20" s="157">
        <v>0</v>
      </c>
      <c r="HI20" s="157">
        <f>HJ20</f>
        <v>0</v>
      </c>
      <c r="HJ20" s="157">
        <v>0</v>
      </c>
      <c r="HK20" s="157">
        <f>HL20</f>
        <v>0</v>
      </c>
      <c r="HL20" s="157">
        <v>0</v>
      </c>
      <c r="HM20" s="578">
        <f>HL20</f>
        <v>0</v>
      </c>
      <c r="HN20" s="157">
        <f>HO20</f>
        <v>0</v>
      </c>
      <c r="HO20" s="157">
        <v>0</v>
      </c>
      <c r="HP20" s="578">
        <f>HO20</f>
        <v>0</v>
      </c>
      <c r="HQ20" s="157">
        <f>HR20</f>
        <v>0</v>
      </c>
      <c r="HR20" s="157">
        <v>0</v>
      </c>
      <c r="HS20" s="578">
        <f>HR20</f>
        <v>0</v>
      </c>
      <c r="HT20" s="157">
        <f>HU20</f>
        <v>0</v>
      </c>
      <c r="HU20" s="157">
        <v>0</v>
      </c>
      <c r="HV20" s="578">
        <f>HU20</f>
        <v>0</v>
      </c>
      <c r="HW20" s="170">
        <f>SUM(GV20,GW20,GZ20)</f>
        <v>0</v>
      </c>
      <c r="HX20" s="170">
        <f>SUM(HA20,HC20,HE20)</f>
        <v>0</v>
      </c>
      <c r="HY20" s="170">
        <f>SUM(HG20,HI20,HL20)</f>
        <v>0</v>
      </c>
      <c r="HZ20" s="170">
        <f>SUM(HO20,HR20,HU20)</f>
        <v>0</v>
      </c>
      <c r="IA20" s="170">
        <f>HW20+HX20+HY20+HZ20</f>
        <v>0</v>
      </c>
      <c r="IB20" s="170">
        <f>GV20+GW20+GY20+HA20+HC20+HE20+HG20+HI20+HM20+HP20+HS20+HV20</f>
        <v>0</v>
      </c>
      <c r="IC20" s="578">
        <v>0</v>
      </c>
      <c r="ID20" s="578">
        <v>0</v>
      </c>
      <c r="IE20" s="578">
        <v>0</v>
      </c>
      <c r="IF20" s="578">
        <v>0</v>
      </c>
      <c r="IG20" s="578">
        <v>0</v>
      </c>
      <c r="IH20" s="578">
        <v>0</v>
      </c>
      <c r="II20" s="578">
        <v>0</v>
      </c>
      <c r="IJ20" s="578">
        <v>0</v>
      </c>
      <c r="IK20" s="578">
        <v>0</v>
      </c>
      <c r="IL20" s="578">
        <v>0</v>
      </c>
      <c r="IM20" s="578">
        <v>0</v>
      </c>
      <c r="IN20" s="578">
        <v>0</v>
      </c>
      <c r="IO20" s="578">
        <v>0</v>
      </c>
      <c r="IP20" s="578">
        <v>0</v>
      </c>
      <c r="IQ20" s="578">
        <v>0</v>
      </c>
      <c r="IR20" s="578">
        <v>0</v>
      </c>
      <c r="IS20" s="578">
        <v>0</v>
      </c>
      <c r="IT20" s="578">
        <f>IS20</f>
        <v>0</v>
      </c>
      <c r="IU20" s="578">
        <v>0</v>
      </c>
      <c r="IV20" s="578">
        <v>0</v>
      </c>
      <c r="IW20" s="578">
        <f>IV20</f>
        <v>0</v>
      </c>
      <c r="IX20" s="578">
        <v>0</v>
      </c>
      <c r="IY20" s="578">
        <v>0</v>
      </c>
      <c r="IZ20" s="578">
        <f>IY20</f>
        <v>0</v>
      </c>
      <c r="JA20" s="578">
        <v>0</v>
      </c>
      <c r="JB20" s="578">
        <v>0</v>
      </c>
      <c r="JC20" s="578">
        <f>JB20</f>
        <v>0</v>
      </c>
      <c r="JD20" s="170">
        <f>SUM(IC20,ID20,IG20)</f>
        <v>0</v>
      </c>
      <c r="JE20" s="170">
        <f>SUM(IH20,IJ20,IL20)</f>
        <v>0</v>
      </c>
      <c r="JF20" s="170">
        <f>SUM(IN20,IP20,IS20)</f>
        <v>0</v>
      </c>
      <c r="JG20" s="170">
        <f>SUM(IV20,IY20,JB20)</f>
        <v>0</v>
      </c>
      <c r="JH20" s="170">
        <f>JD20+JE20+JF20+JG20</f>
        <v>0</v>
      </c>
      <c r="JI20" s="170">
        <f>IC20+ID20+IF20+IH20+IJ20+IL20+IN20+IP20+IT20+IW20+IZ20+JC20</f>
        <v>0</v>
      </c>
      <c r="JJ20" s="157"/>
      <c r="JK20" s="157"/>
      <c r="JL20" s="157"/>
      <c r="JM20" s="157"/>
      <c r="JN20" s="157"/>
      <c r="JO20" s="157"/>
      <c r="JP20" s="157"/>
      <c r="JQ20" s="157"/>
      <c r="JR20" s="157"/>
      <c r="JS20" s="157"/>
      <c r="JT20" s="157"/>
      <c r="JU20" s="157"/>
      <c r="JV20" s="157"/>
      <c r="JW20" s="157"/>
      <c r="JX20" s="157"/>
      <c r="JY20" s="157"/>
      <c r="JZ20" s="157"/>
      <c r="KA20" s="157"/>
      <c r="KB20" s="157"/>
      <c r="KC20" s="157"/>
      <c r="KD20" s="157"/>
      <c r="KE20" s="157"/>
      <c r="KF20" s="157"/>
      <c r="KG20" s="170">
        <f>SUM(JJ20,JK20,JN20)</f>
        <v>0</v>
      </c>
      <c r="KH20" s="170">
        <f>SUM(JO20,JQ20,JS20)</f>
        <v>0</v>
      </c>
      <c r="KI20" s="170">
        <f>SUM(JU20,JW20,JZ20)</f>
        <v>0</v>
      </c>
      <c r="KJ20" s="170">
        <f>SUM(KB20,KD20,KF20)</f>
        <v>0</v>
      </c>
      <c r="KK20" s="170">
        <f>KG20+KH20+KI20+KJ20</f>
        <v>0</v>
      </c>
      <c r="KL20" s="157">
        <f t="shared" si="13"/>
        <v>3378.1894499999999</v>
      </c>
      <c r="KM20" s="157">
        <f t="shared" si="13"/>
        <v>5831.97325</v>
      </c>
      <c r="KN20" s="157">
        <f t="shared" si="13"/>
        <v>5831.97325</v>
      </c>
      <c r="KO20" s="157">
        <f t="shared" si="13"/>
        <v>6821.8832499999999</v>
      </c>
      <c r="KP20" s="157">
        <f t="shared" si="13"/>
        <v>6821.8832499999999</v>
      </c>
      <c r="KQ20" s="157">
        <f t="shared" si="13"/>
        <v>6006.2886999999992</v>
      </c>
      <c r="KR20" s="157">
        <f t="shared" si="13"/>
        <v>6006.2886999999992</v>
      </c>
      <c r="KS20" s="157">
        <f t="shared" si="13"/>
        <v>5121.5854499999996</v>
      </c>
      <c r="KT20" s="157">
        <f t="shared" si="13"/>
        <v>5121.5854499999996</v>
      </c>
      <c r="KU20" s="157">
        <f t="shared" si="13"/>
        <v>4334.8382499999998</v>
      </c>
      <c r="KV20" s="157">
        <f t="shared" si="14"/>
        <v>4334.8382499999998</v>
      </c>
      <c r="KW20" s="157">
        <f t="shared" si="14"/>
        <v>3440.9432500000003</v>
      </c>
      <c r="KX20" s="157">
        <f t="shared" si="14"/>
        <v>3440.9432500000003</v>
      </c>
      <c r="KY20" s="157">
        <f t="shared" si="14"/>
        <v>5659.9811030000001</v>
      </c>
      <c r="KZ20" s="157">
        <f t="shared" si="14"/>
        <v>5659.9811030000001</v>
      </c>
      <c r="LA20" s="157">
        <f t="shared" si="14"/>
        <v>5868.5482499999998</v>
      </c>
      <c r="LB20" s="157">
        <f t="shared" si="14"/>
        <v>5868.5482499999998</v>
      </c>
      <c r="LC20" s="578">
        <f>LB20</f>
        <v>5868.5482499999998</v>
      </c>
      <c r="LD20" s="157">
        <f t="shared" si="15"/>
        <v>5641.88825</v>
      </c>
      <c r="LE20" s="157">
        <f t="shared" si="15"/>
        <v>5641.88825</v>
      </c>
      <c r="LF20" s="578">
        <f>LE20</f>
        <v>5641.88825</v>
      </c>
      <c r="LG20" s="157">
        <f t="shared" si="16"/>
        <v>6166.9232499999998</v>
      </c>
      <c r="LH20" s="157">
        <f t="shared" si="16"/>
        <v>6166.9232499999998</v>
      </c>
      <c r="LI20" s="578">
        <f>LH20</f>
        <v>6166.9232499999998</v>
      </c>
      <c r="LJ20" s="157">
        <f t="shared" si="17"/>
        <v>3825.72325</v>
      </c>
      <c r="LK20" s="157">
        <f t="shared" si="17"/>
        <v>3825.72325</v>
      </c>
      <c r="LL20" s="578">
        <f>LK20</f>
        <v>3825.72325</v>
      </c>
      <c r="LM20" s="170">
        <f>SUM(KL20,KM20,KO20)</f>
        <v>16032.04595</v>
      </c>
      <c r="LN20" s="170">
        <f>SUM(KQ20,KS20,KU20)</f>
        <v>15462.7124</v>
      </c>
      <c r="LO20" s="170">
        <f>SUM(KW20,KY20,LB20)</f>
        <v>14969.472603</v>
      </c>
      <c r="LP20" s="170">
        <f>SUM(LE20,LH20,LK20)</f>
        <v>15634.534749999999</v>
      </c>
      <c r="LQ20" s="170">
        <f>LM20+LN20+LO20+LP20</f>
        <v>62098.765702999997</v>
      </c>
      <c r="LR20" s="170">
        <f>KL20+KM20+KO20+KQ20+KS20+KU20+KW20+KY20+LC20+LF20+LI20+LL20</f>
        <v>62098.765702999997</v>
      </c>
      <c r="LS20" s="685"/>
      <c r="LT20" s="685"/>
      <c r="LU20" s="167">
        <f>SUM(AG20,BN20,CU20,EB20,FI20,GP20,HW20)</f>
        <v>16032.04595</v>
      </c>
    </row>
    <row r="21" spans="1:333" s="51" customFormat="1">
      <c r="A21" s="156" t="s">
        <v>1208</v>
      </c>
      <c r="B21" s="156"/>
      <c r="C21" s="156"/>
      <c r="D21" s="156"/>
      <c r="E21" s="156"/>
      <c r="F21" s="158">
        <f t="shared" ref="F21:CB21" si="19">SUM(F17:F20)</f>
        <v>10685.065374677419</v>
      </c>
      <c r="G21" s="158">
        <f t="shared" si="19"/>
        <v>10707.564943227419</v>
      </c>
      <c r="H21" s="158">
        <f t="shared" si="19"/>
        <v>10707.564943227419</v>
      </c>
      <c r="I21" s="158">
        <f t="shared" si="19"/>
        <v>11201.96494322742</v>
      </c>
      <c r="J21" s="158">
        <f t="shared" si="19"/>
        <v>11201.96494322742</v>
      </c>
      <c r="K21" s="158">
        <f t="shared" si="19"/>
        <v>11511.96494322742</v>
      </c>
      <c r="L21" s="158">
        <f t="shared" si="19"/>
        <v>11511.96494322742</v>
      </c>
      <c r="M21" s="158">
        <f t="shared" si="19"/>
        <v>11518.96494322742</v>
      </c>
      <c r="N21" s="158">
        <f t="shared" si="19"/>
        <v>11518.96494322742</v>
      </c>
      <c r="O21" s="158">
        <f t="shared" si="19"/>
        <v>11841.96494322742</v>
      </c>
      <c r="P21" s="158">
        <f t="shared" si="19"/>
        <v>11841.96494322742</v>
      </c>
      <c r="Q21" s="158">
        <f t="shared" si="19"/>
        <v>12155.83000922742</v>
      </c>
      <c r="R21" s="158">
        <f t="shared" si="19"/>
        <v>12155.83000922742</v>
      </c>
      <c r="S21" s="158">
        <f t="shared" si="19"/>
        <v>12150.83000922742</v>
      </c>
      <c r="T21" s="158">
        <f t="shared" si="19"/>
        <v>12150.83000922742</v>
      </c>
      <c r="U21" s="158">
        <f t="shared" si="19"/>
        <v>12255.83000922742</v>
      </c>
      <c r="V21" s="158">
        <f t="shared" si="19"/>
        <v>12255.83000922742</v>
      </c>
      <c r="W21" s="158">
        <f t="shared" si="19"/>
        <v>12255.83000922742</v>
      </c>
      <c r="X21" s="158">
        <f t="shared" si="19"/>
        <v>12305.83000922742</v>
      </c>
      <c r="Y21" s="158">
        <f t="shared" si="19"/>
        <v>12305.83000922742</v>
      </c>
      <c r="Z21" s="158">
        <f t="shared" si="19"/>
        <v>12305.83000922742</v>
      </c>
      <c r="AA21" s="158">
        <f t="shared" si="19"/>
        <v>12310.83000922742</v>
      </c>
      <c r="AB21" s="158">
        <f t="shared" si="19"/>
        <v>12310.83000922742</v>
      </c>
      <c r="AC21" s="158">
        <f t="shared" si="19"/>
        <v>12310.83000922742</v>
      </c>
      <c r="AD21" s="158">
        <f t="shared" si="19"/>
        <v>12304.83000922742</v>
      </c>
      <c r="AE21" s="158">
        <f t="shared" si="19"/>
        <v>12304.83000922742</v>
      </c>
      <c r="AF21" s="158">
        <f t="shared" si="19"/>
        <v>12304.83000922742</v>
      </c>
      <c r="AG21" s="171">
        <f t="shared" si="19"/>
        <v>32594.595261132257</v>
      </c>
      <c r="AH21" s="171">
        <f t="shared" si="19"/>
        <v>34872.894829682256</v>
      </c>
      <c r="AI21" s="171">
        <f t="shared" si="19"/>
        <v>36562.490027682259</v>
      </c>
      <c r="AJ21" s="171">
        <f t="shared" si="19"/>
        <v>36921.490027682259</v>
      </c>
      <c r="AK21" s="171">
        <f>SUM(AK17:AK20)</f>
        <v>140951.47014617905</v>
      </c>
      <c r="AL21" s="171">
        <f>SUM(AL17:AL20)</f>
        <v>140951.47014617902</v>
      </c>
      <c r="AM21" s="158">
        <f t="shared" si="19"/>
        <v>4959.6315458406407</v>
      </c>
      <c r="AN21" s="158">
        <f t="shared" si="19"/>
        <v>6559.6315458406407</v>
      </c>
      <c r="AO21" s="158">
        <f t="shared" si="19"/>
        <v>6559.6315458406407</v>
      </c>
      <c r="AP21" s="158">
        <f t="shared" si="19"/>
        <v>5038.6315458406407</v>
      </c>
      <c r="AQ21" s="158">
        <f t="shared" si="19"/>
        <v>5038.6315458406407</v>
      </c>
      <c r="AR21" s="158">
        <f t="shared" si="19"/>
        <v>5018.6315458406407</v>
      </c>
      <c r="AS21" s="158">
        <f t="shared" si="19"/>
        <v>5018.6315458406407</v>
      </c>
      <c r="AT21" s="158">
        <f t="shared" si="19"/>
        <v>6618.6315458406407</v>
      </c>
      <c r="AU21" s="158">
        <f t="shared" si="19"/>
        <v>6618.6315458406407</v>
      </c>
      <c r="AV21" s="158">
        <f t="shared" si="19"/>
        <v>5198.6315458406407</v>
      </c>
      <c r="AW21" s="158">
        <f t="shared" si="19"/>
        <v>5198.6315458406407</v>
      </c>
      <c r="AX21" s="158">
        <f t="shared" si="19"/>
        <v>5112.6315458406407</v>
      </c>
      <c r="AY21" s="158">
        <f t="shared" si="19"/>
        <v>5112.6315458406407</v>
      </c>
      <c r="AZ21" s="158">
        <f t="shared" si="19"/>
        <v>6712.6315458406407</v>
      </c>
      <c r="BA21" s="158">
        <f t="shared" si="19"/>
        <v>6712.6315458406407</v>
      </c>
      <c r="BB21" s="158">
        <f t="shared" si="19"/>
        <v>5322.6315458406407</v>
      </c>
      <c r="BC21" s="158">
        <f t="shared" si="19"/>
        <v>5322.6315458406407</v>
      </c>
      <c r="BD21" s="158">
        <f>SUM(BD17:BD20)</f>
        <v>5322.6315458406407</v>
      </c>
      <c r="BE21" s="158">
        <f t="shared" si="19"/>
        <v>5122.6315458406407</v>
      </c>
      <c r="BF21" s="158">
        <f t="shared" si="19"/>
        <v>5122.6315458406407</v>
      </c>
      <c r="BG21" s="158">
        <f>SUM(BG17:BG20)</f>
        <v>5122.6315458406407</v>
      </c>
      <c r="BH21" s="158">
        <f t="shared" si="19"/>
        <v>5112.6315458406407</v>
      </c>
      <c r="BI21" s="158">
        <f t="shared" si="19"/>
        <v>5112.6315458406407</v>
      </c>
      <c r="BJ21" s="158">
        <f>SUM(BJ17:BJ20)</f>
        <v>5112.6315458406407</v>
      </c>
      <c r="BK21" s="158">
        <f t="shared" si="19"/>
        <v>6892.6315458406407</v>
      </c>
      <c r="BL21" s="158">
        <f t="shared" si="19"/>
        <v>6892.6315458406407</v>
      </c>
      <c r="BM21" s="158">
        <f>SUM(BM17:BM20)</f>
        <v>6892.6315458406407</v>
      </c>
      <c r="BN21" s="171">
        <f t="shared" si="19"/>
        <v>16557.894637521924</v>
      </c>
      <c r="BO21" s="171">
        <f t="shared" si="19"/>
        <v>16835.894637521924</v>
      </c>
      <c r="BP21" s="171">
        <f t="shared" si="19"/>
        <v>17147.894637521924</v>
      </c>
      <c r="BQ21" s="171">
        <f t="shared" si="19"/>
        <v>17127.894637521924</v>
      </c>
      <c r="BR21" s="171">
        <f>SUM(BR17:BR20)</f>
        <v>67669.578550087695</v>
      </c>
      <c r="BS21" s="171">
        <f>SUM(BS17:BS20)</f>
        <v>67669.578550087681</v>
      </c>
      <c r="BT21" s="158">
        <f t="shared" si="19"/>
        <v>1096.4000000000001</v>
      </c>
      <c r="BU21" s="158">
        <f t="shared" si="19"/>
        <v>1096.4000000000001</v>
      </c>
      <c r="BV21" s="158">
        <f t="shared" si="19"/>
        <v>1096.4000000000001</v>
      </c>
      <c r="BW21" s="158">
        <f t="shared" si="19"/>
        <v>1096.4000000000001</v>
      </c>
      <c r="BX21" s="158">
        <f t="shared" si="19"/>
        <v>1096.4000000000001</v>
      </c>
      <c r="BY21" s="158">
        <f t="shared" si="19"/>
        <v>1096.4000000000001</v>
      </c>
      <c r="BZ21" s="158">
        <f t="shared" si="19"/>
        <v>1096.4000000000001</v>
      </c>
      <c r="CA21" s="158">
        <f t="shared" si="19"/>
        <v>1233.45</v>
      </c>
      <c r="CB21" s="158">
        <f t="shared" si="19"/>
        <v>1233.45</v>
      </c>
      <c r="CC21" s="158">
        <f t="shared" ref="CC21:DZ21" si="20">SUM(CC17:CC20)</f>
        <v>1233.45</v>
      </c>
      <c r="CD21" s="158">
        <f t="shared" si="20"/>
        <v>1233.45</v>
      </c>
      <c r="CE21" s="158">
        <f t="shared" si="20"/>
        <v>1233.45</v>
      </c>
      <c r="CF21" s="158">
        <f t="shared" si="20"/>
        <v>1233.45</v>
      </c>
      <c r="CG21" s="158">
        <f t="shared" si="20"/>
        <v>1233.45</v>
      </c>
      <c r="CH21" s="158">
        <f t="shared" si="20"/>
        <v>1233.45</v>
      </c>
      <c r="CI21" s="158">
        <f t="shared" si="20"/>
        <v>1781.65</v>
      </c>
      <c r="CJ21" s="158">
        <f t="shared" si="20"/>
        <v>1781.65</v>
      </c>
      <c r="CK21" s="158">
        <f t="shared" si="20"/>
        <v>1781.65</v>
      </c>
      <c r="CL21" s="158">
        <f t="shared" si="20"/>
        <v>1781.65</v>
      </c>
      <c r="CM21" s="158">
        <f t="shared" si="20"/>
        <v>1781.65</v>
      </c>
      <c r="CN21" s="158">
        <f t="shared" si="20"/>
        <v>1781.65</v>
      </c>
      <c r="CO21" s="158">
        <f t="shared" si="20"/>
        <v>1781.65</v>
      </c>
      <c r="CP21" s="158">
        <f t="shared" si="20"/>
        <v>1781.65</v>
      </c>
      <c r="CQ21" s="158">
        <f t="shared" si="20"/>
        <v>1781.65</v>
      </c>
      <c r="CR21" s="158">
        <f t="shared" si="20"/>
        <v>1781.65</v>
      </c>
      <c r="CS21" s="158">
        <f t="shared" si="20"/>
        <v>1781.65</v>
      </c>
      <c r="CT21" s="158">
        <f t="shared" si="20"/>
        <v>1781.65</v>
      </c>
      <c r="CU21" s="171">
        <f t="shared" si="20"/>
        <v>3289.2000000000003</v>
      </c>
      <c r="CV21" s="171">
        <f t="shared" si="20"/>
        <v>3563.3</v>
      </c>
      <c r="CW21" s="171">
        <f t="shared" si="20"/>
        <v>4248.55</v>
      </c>
      <c r="CX21" s="171">
        <f t="shared" si="20"/>
        <v>5344.9500000000007</v>
      </c>
      <c r="CY21" s="171">
        <f>SUM(CY17:CY20)</f>
        <v>16446</v>
      </c>
      <c r="CZ21" s="171">
        <f>SUM(CZ17:CZ20)</f>
        <v>16446</v>
      </c>
      <c r="DA21" s="158">
        <f t="shared" si="20"/>
        <v>10982.721854599999</v>
      </c>
      <c r="DB21" s="158">
        <f t="shared" si="20"/>
        <v>11282.721854599999</v>
      </c>
      <c r="DC21" s="158">
        <f t="shared" si="20"/>
        <v>11282.721854599999</v>
      </c>
      <c r="DD21" s="158">
        <f t="shared" si="20"/>
        <v>11827.321854600001</v>
      </c>
      <c r="DE21" s="158">
        <f t="shared" si="20"/>
        <v>11827.321854600001</v>
      </c>
      <c r="DF21" s="158">
        <f t="shared" si="20"/>
        <v>12246.028856999999</v>
      </c>
      <c r="DG21" s="158">
        <f t="shared" si="20"/>
        <v>12246.028856999999</v>
      </c>
      <c r="DH21" s="158">
        <f t="shared" si="20"/>
        <v>9827.582446299999</v>
      </c>
      <c r="DI21" s="158">
        <f t="shared" si="20"/>
        <v>9827.582446299999</v>
      </c>
      <c r="DJ21" s="158">
        <f t="shared" si="20"/>
        <v>10983.2288546</v>
      </c>
      <c r="DK21" s="158">
        <f t="shared" si="20"/>
        <v>10983.2288546</v>
      </c>
      <c r="DL21" s="158">
        <f t="shared" si="20"/>
        <v>11630.365438999999</v>
      </c>
      <c r="DM21" s="158">
        <f t="shared" si="20"/>
        <v>11630.365438999999</v>
      </c>
      <c r="DN21" s="158">
        <f t="shared" si="20"/>
        <v>11830.365438999999</v>
      </c>
      <c r="DO21" s="158">
        <f t="shared" si="20"/>
        <v>11830.365438999999</v>
      </c>
      <c r="DP21" s="158">
        <f t="shared" si="20"/>
        <v>12100.365438999999</v>
      </c>
      <c r="DQ21" s="158">
        <f t="shared" si="20"/>
        <v>12100.365438999999</v>
      </c>
      <c r="DR21" s="158">
        <f>SUM(DR17:DR20)</f>
        <v>12100.365438999999</v>
      </c>
      <c r="DS21" s="158">
        <f t="shared" si="20"/>
        <v>12230.365438999999</v>
      </c>
      <c r="DT21" s="158">
        <f t="shared" si="20"/>
        <v>12230.365438999999</v>
      </c>
      <c r="DU21" s="158">
        <f>SUM(DU17:DU20)</f>
        <v>12230.365438999999</v>
      </c>
      <c r="DV21" s="158">
        <f t="shared" si="20"/>
        <v>12115.365438999999</v>
      </c>
      <c r="DW21" s="158">
        <f t="shared" si="20"/>
        <v>12115.365438999999</v>
      </c>
      <c r="DX21" s="158">
        <f>SUM(DX17:DX20)</f>
        <v>12115.365438999999</v>
      </c>
      <c r="DY21" s="158">
        <f t="shared" si="20"/>
        <v>12057.365438999999</v>
      </c>
      <c r="DZ21" s="158">
        <f t="shared" si="20"/>
        <v>12057.365438999999</v>
      </c>
      <c r="EA21" s="158">
        <f>SUM(EA17:EA20)</f>
        <v>12057.365438999999</v>
      </c>
      <c r="EB21" s="171">
        <f>SUM(EB17:EB20)</f>
        <v>34092.7655638</v>
      </c>
      <c r="EC21" s="171">
        <f t="shared" ref="EC21:HB21" si="21">SUM(EC17:EC20)</f>
        <v>33056.840157899998</v>
      </c>
      <c r="ED21" s="171">
        <f t="shared" si="21"/>
        <v>35561.096316999996</v>
      </c>
      <c r="EE21" s="171">
        <f t="shared" si="21"/>
        <v>36403.096316999996</v>
      </c>
      <c r="EF21" s="171">
        <f>SUM(EF17:EF20)</f>
        <v>139113.79835570001</v>
      </c>
      <c r="EG21" s="171">
        <f>SUM(EG17:EG20)</f>
        <v>139113.79835570004</v>
      </c>
      <c r="EH21" s="158">
        <f t="shared" si="21"/>
        <v>1217</v>
      </c>
      <c r="EI21" s="158">
        <f t="shared" si="21"/>
        <v>3043.5</v>
      </c>
      <c r="EJ21" s="158">
        <f t="shared" si="21"/>
        <v>3043.5</v>
      </c>
      <c r="EK21" s="158">
        <f t="shared" si="21"/>
        <v>4159.3099999999995</v>
      </c>
      <c r="EL21" s="158">
        <f t="shared" si="21"/>
        <v>4159.3099999999995</v>
      </c>
      <c r="EM21" s="158">
        <f t="shared" si="21"/>
        <v>3696.1154499999998</v>
      </c>
      <c r="EN21" s="158">
        <f t="shared" si="21"/>
        <v>3696.1154499999998</v>
      </c>
      <c r="EO21" s="158">
        <f t="shared" si="21"/>
        <v>3617.5650000000001</v>
      </c>
      <c r="EP21" s="158">
        <f t="shared" si="21"/>
        <v>3617.5650000000001</v>
      </c>
      <c r="EQ21" s="158">
        <f t="shared" si="21"/>
        <v>2039.665</v>
      </c>
      <c r="ER21" s="158">
        <f t="shared" si="21"/>
        <v>2039.665</v>
      </c>
      <c r="ES21" s="158">
        <f t="shared" si="21"/>
        <v>1129.8200000000002</v>
      </c>
      <c r="ET21" s="158">
        <f t="shared" si="21"/>
        <v>1129.8200000000002</v>
      </c>
      <c r="EU21" s="158">
        <f t="shared" si="21"/>
        <v>3810.1849999999999</v>
      </c>
      <c r="EV21" s="158">
        <f t="shared" si="21"/>
        <v>3810.1849999999999</v>
      </c>
      <c r="EW21" s="158">
        <f t="shared" si="21"/>
        <v>3376.2750000000001</v>
      </c>
      <c r="EX21" s="158">
        <f t="shared" si="21"/>
        <v>3376.2750000000001</v>
      </c>
      <c r="EY21" s="158">
        <f t="shared" si="21"/>
        <v>3376.2750000000001</v>
      </c>
      <c r="EZ21" s="158">
        <f t="shared" si="21"/>
        <v>3564.2150000000001</v>
      </c>
      <c r="FA21" s="158">
        <f t="shared" si="21"/>
        <v>3564.2150000000001</v>
      </c>
      <c r="FB21" s="158">
        <f t="shared" si="21"/>
        <v>3564.2150000000001</v>
      </c>
      <c r="FC21" s="158">
        <f t="shared" si="21"/>
        <v>3639.5</v>
      </c>
      <c r="FD21" s="158">
        <f t="shared" si="21"/>
        <v>3639.5</v>
      </c>
      <c r="FE21" s="158">
        <f t="shared" si="21"/>
        <v>3639.5</v>
      </c>
      <c r="FF21" s="158">
        <f t="shared" si="21"/>
        <v>1540</v>
      </c>
      <c r="FG21" s="158">
        <f t="shared" si="21"/>
        <v>1540</v>
      </c>
      <c r="FH21" s="158">
        <f t="shared" si="21"/>
        <v>1540</v>
      </c>
      <c r="FI21" s="171">
        <f t="shared" si="21"/>
        <v>8419.81</v>
      </c>
      <c r="FJ21" s="171">
        <f t="shared" si="21"/>
        <v>9353.3454500000007</v>
      </c>
      <c r="FK21" s="171">
        <f t="shared" si="21"/>
        <v>8316.2800000000007</v>
      </c>
      <c r="FL21" s="171">
        <f t="shared" si="21"/>
        <v>8743.7150000000001</v>
      </c>
      <c r="FM21" s="171">
        <f>SUM(FM17:FM20)</f>
        <v>34833.150450000001</v>
      </c>
      <c r="FN21" s="171">
        <f>SUM(FN17:FN20)</f>
        <v>34833.150450000001</v>
      </c>
      <c r="FO21" s="158">
        <f t="shared" si="21"/>
        <v>6030</v>
      </c>
      <c r="FP21" s="158">
        <f t="shared" si="21"/>
        <v>6579.95</v>
      </c>
      <c r="FQ21" s="158">
        <f t="shared" si="21"/>
        <v>6579.95</v>
      </c>
      <c r="FR21" s="158">
        <f t="shared" si="21"/>
        <v>6103.05</v>
      </c>
      <c r="FS21" s="158">
        <f t="shared" si="21"/>
        <v>6103.05</v>
      </c>
      <c r="FT21" s="158">
        <f t="shared" si="21"/>
        <v>5869.15</v>
      </c>
      <c r="FU21" s="158">
        <f t="shared" si="21"/>
        <v>5869.15</v>
      </c>
      <c r="FV21" s="158">
        <f t="shared" si="21"/>
        <v>5798.5869999999995</v>
      </c>
      <c r="FW21" s="158">
        <f t="shared" si="21"/>
        <v>5798.5869999999995</v>
      </c>
      <c r="FX21" s="158">
        <f t="shared" si="21"/>
        <v>6312.3369999999995</v>
      </c>
      <c r="FY21" s="158">
        <f t="shared" si="21"/>
        <v>6312.3369999999995</v>
      </c>
      <c r="FZ21" s="158">
        <f t="shared" si="21"/>
        <v>6408.2870000000003</v>
      </c>
      <c r="GA21" s="158">
        <f t="shared" si="21"/>
        <v>6408.2870000000003</v>
      </c>
      <c r="GB21" s="158">
        <f t="shared" si="21"/>
        <v>6122.4598530000003</v>
      </c>
      <c r="GC21" s="158">
        <f t="shared" si="21"/>
        <v>6122.4598530000003</v>
      </c>
      <c r="GD21" s="158">
        <f t="shared" si="21"/>
        <v>6406.4369999999999</v>
      </c>
      <c r="GE21" s="158">
        <f t="shared" si="21"/>
        <v>6406.4369999999999</v>
      </c>
      <c r="GF21" s="158">
        <f>SUM(GF17:GF20)</f>
        <v>6406.4369999999999</v>
      </c>
      <c r="GG21" s="158">
        <f t="shared" si="21"/>
        <v>6176.3369999999995</v>
      </c>
      <c r="GH21" s="158">
        <f t="shared" si="21"/>
        <v>6176.3369999999995</v>
      </c>
      <c r="GI21" s="158">
        <f>SUM(GI17:GI20)</f>
        <v>6176.3369999999995</v>
      </c>
      <c r="GJ21" s="158">
        <f t="shared" si="21"/>
        <v>6848.5869999999995</v>
      </c>
      <c r="GK21" s="158">
        <f t="shared" si="21"/>
        <v>6848.5869999999995</v>
      </c>
      <c r="GL21" s="158">
        <f>SUM(GL17:GL20)</f>
        <v>6848.5869999999995</v>
      </c>
      <c r="GM21" s="158">
        <f t="shared" si="21"/>
        <v>6255.7306170000002</v>
      </c>
      <c r="GN21" s="158">
        <f t="shared" si="21"/>
        <v>6255.7306170000002</v>
      </c>
      <c r="GO21" s="158">
        <f>SUM(GO17:GO20)</f>
        <v>6255.7306170000002</v>
      </c>
      <c r="GP21" s="171">
        <f t="shared" si="21"/>
        <v>18713</v>
      </c>
      <c r="GQ21" s="171">
        <f t="shared" si="21"/>
        <v>17980.074000000001</v>
      </c>
      <c r="GR21" s="171">
        <f t="shared" si="21"/>
        <v>18937.183853000002</v>
      </c>
      <c r="GS21" s="171">
        <f t="shared" si="21"/>
        <v>19280.654617</v>
      </c>
      <c r="GT21" s="171">
        <f>SUM(GT17:GT20)</f>
        <v>74910.912469999996</v>
      </c>
      <c r="GU21" s="171">
        <f>SUM(GU17:GU20)</f>
        <v>74910.912469999996</v>
      </c>
      <c r="GV21" s="158">
        <f t="shared" si="21"/>
        <v>2967.4739788728771</v>
      </c>
      <c r="GW21" s="158">
        <f t="shared" si="21"/>
        <v>2784.1141888200591</v>
      </c>
      <c r="GX21" s="158">
        <f t="shared" si="21"/>
        <v>2784.1141888200591</v>
      </c>
      <c r="GY21" s="158">
        <f t="shared" si="21"/>
        <v>2895.7584992921093</v>
      </c>
      <c r="GZ21" s="158">
        <f t="shared" si="21"/>
        <v>2895.7584992921093</v>
      </c>
      <c r="HA21" s="158">
        <f t="shared" si="21"/>
        <v>2858.4069205403393</v>
      </c>
      <c r="HB21" s="158">
        <f t="shared" si="21"/>
        <v>2858.4069205403393</v>
      </c>
      <c r="HC21" s="158">
        <f t="shared" ref="HC21:KJ21" si="22">SUM(HC17:HC20)</f>
        <v>3075.2094628416903</v>
      </c>
      <c r="HD21" s="158">
        <f t="shared" si="22"/>
        <v>3075.2094628416903</v>
      </c>
      <c r="HE21" s="158">
        <f t="shared" si="22"/>
        <v>3024.3661364987947</v>
      </c>
      <c r="HF21" s="158">
        <f t="shared" si="22"/>
        <v>3024.3661364987947</v>
      </c>
      <c r="HG21" s="158">
        <f t="shared" si="22"/>
        <v>3038.5269518400414</v>
      </c>
      <c r="HH21" s="158">
        <f t="shared" si="22"/>
        <v>3038.5269518400414</v>
      </c>
      <c r="HI21" s="158">
        <f t="shared" si="22"/>
        <v>3065.1919192196415</v>
      </c>
      <c r="HJ21" s="158">
        <f t="shared" si="22"/>
        <v>3065.1919192196415</v>
      </c>
      <c r="HK21" s="158">
        <f t="shared" si="22"/>
        <v>3226.8610490176907</v>
      </c>
      <c r="HL21" s="158">
        <f t="shared" si="22"/>
        <v>3226.8610490176907</v>
      </c>
      <c r="HM21" s="158">
        <f t="shared" si="22"/>
        <v>3226.8610490176907</v>
      </c>
      <c r="HN21" s="158">
        <f t="shared" si="22"/>
        <v>3390.0343516402345</v>
      </c>
      <c r="HO21" s="158">
        <f t="shared" si="22"/>
        <v>3390.0343516402345</v>
      </c>
      <c r="HP21" s="158">
        <f t="shared" si="22"/>
        <v>3390.0343516402345</v>
      </c>
      <c r="HQ21" s="158">
        <f t="shared" si="22"/>
        <v>3402.7118375193349</v>
      </c>
      <c r="HR21" s="158">
        <f t="shared" si="22"/>
        <v>3402.7118375193349</v>
      </c>
      <c r="HS21" s="158">
        <f t="shared" si="22"/>
        <v>3402.7118375193349</v>
      </c>
      <c r="HT21" s="158">
        <f t="shared" si="22"/>
        <v>3431.8935171131334</v>
      </c>
      <c r="HU21" s="158">
        <f t="shared" si="22"/>
        <v>3431.8935171131334</v>
      </c>
      <c r="HV21" s="158">
        <f t="shared" si="22"/>
        <v>3431.8935171131334</v>
      </c>
      <c r="HW21" s="171">
        <f t="shared" si="22"/>
        <v>8647.3466669850459</v>
      </c>
      <c r="HX21" s="171">
        <f t="shared" si="22"/>
        <v>8957.9825198808248</v>
      </c>
      <c r="HY21" s="171">
        <f t="shared" si="22"/>
        <v>9330.5799200773727</v>
      </c>
      <c r="HZ21" s="171">
        <f t="shared" si="22"/>
        <v>10224.639706272703</v>
      </c>
      <c r="IA21" s="171">
        <f>SUM(IA17:IA20)</f>
        <v>37160.548813215944</v>
      </c>
      <c r="IB21" s="171">
        <f>SUM(IB17:IB20)</f>
        <v>37160.548813215944</v>
      </c>
      <c r="IC21" s="158">
        <f t="shared" si="22"/>
        <v>1765.4932143404997</v>
      </c>
      <c r="ID21" s="158">
        <f t="shared" si="22"/>
        <v>1765.4932143404997</v>
      </c>
      <c r="IE21" s="158">
        <f t="shared" si="22"/>
        <v>1765.4932143404997</v>
      </c>
      <c r="IF21" s="158">
        <f t="shared" si="22"/>
        <v>1765.4932143404997</v>
      </c>
      <c r="IG21" s="158">
        <f t="shared" si="22"/>
        <v>1765.4932143404997</v>
      </c>
      <c r="IH21" s="158">
        <f t="shared" si="22"/>
        <v>1765.4932143404997</v>
      </c>
      <c r="II21" s="158">
        <f t="shared" si="22"/>
        <v>1765.4932143404997</v>
      </c>
      <c r="IJ21" s="158">
        <f t="shared" si="22"/>
        <v>1765.4932143404997</v>
      </c>
      <c r="IK21" s="158">
        <f t="shared" si="22"/>
        <v>1765.4932143404997</v>
      </c>
      <c r="IL21" s="158">
        <f t="shared" si="22"/>
        <v>1765.4932143404997</v>
      </c>
      <c r="IM21" s="158">
        <f t="shared" si="22"/>
        <v>1765.4932143404997</v>
      </c>
      <c r="IN21" s="158">
        <f t="shared" si="22"/>
        <v>1765.4932143404997</v>
      </c>
      <c r="IO21" s="158">
        <f t="shared" ref="IO21:JC21" si="23">SUM(IO17:IO20)</f>
        <v>1765.4932143404997</v>
      </c>
      <c r="IP21" s="158">
        <f t="shared" si="23"/>
        <v>1765.4932143404997</v>
      </c>
      <c r="IQ21" s="158">
        <f t="shared" si="23"/>
        <v>1765.4932143404997</v>
      </c>
      <c r="IR21" s="158">
        <f t="shared" si="23"/>
        <v>1765.4932143404997</v>
      </c>
      <c r="IS21" s="158">
        <f t="shared" si="23"/>
        <v>1765.4932143404997</v>
      </c>
      <c r="IT21" s="158">
        <f t="shared" si="23"/>
        <v>1765.4932143404997</v>
      </c>
      <c r="IU21" s="158">
        <f t="shared" si="23"/>
        <v>1765.4932143404997</v>
      </c>
      <c r="IV21" s="158">
        <f t="shared" si="23"/>
        <v>1765.4932143404997</v>
      </c>
      <c r="IW21" s="158">
        <f t="shared" si="23"/>
        <v>1765.4932143404997</v>
      </c>
      <c r="IX21" s="158">
        <f t="shared" si="23"/>
        <v>1765.4932143404997</v>
      </c>
      <c r="IY21" s="158">
        <f t="shared" si="23"/>
        <v>1765.4932143404997</v>
      </c>
      <c r="IZ21" s="158">
        <f t="shared" si="23"/>
        <v>1765.4932143404997</v>
      </c>
      <c r="JA21" s="158">
        <f t="shared" si="23"/>
        <v>1765.4932143404997</v>
      </c>
      <c r="JB21" s="158">
        <f t="shared" si="23"/>
        <v>1765.4932143404997</v>
      </c>
      <c r="JC21" s="158">
        <f t="shared" si="23"/>
        <v>1765.4932143404997</v>
      </c>
      <c r="JD21" s="171">
        <f t="shared" si="22"/>
        <v>5296.4796430214992</v>
      </c>
      <c r="JE21" s="579">
        <f t="shared" si="22"/>
        <v>5296.4796430214992</v>
      </c>
      <c r="JF21" s="171">
        <f t="shared" si="22"/>
        <v>5296.4796430214992</v>
      </c>
      <c r="JG21" s="171">
        <f t="shared" si="22"/>
        <v>5296.4796430214992</v>
      </c>
      <c r="JH21" s="171">
        <f>SUM(JH17:JH20)</f>
        <v>21185.918572085997</v>
      </c>
      <c r="JI21" s="171">
        <f>SUM(JI17:JI20)</f>
        <v>21185.918572085997</v>
      </c>
      <c r="JJ21" s="158">
        <f t="shared" si="22"/>
        <v>-991.20391151596402</v>
      </c>
      <c r="JK21" s="158">
        <f>SUM(JK17:JK20)</f>
        <v>-1100.46704628414</v>
      </c>
      <c r="JL21" s="158">
        <f t="shared" si="22"/>
        <v>-1100.46704628414</v>
      </c>
      <c r="JM21" s="158">
        <f t="shared" si="22"/>
        <v>-1108.6523454020501</v>
      </c>
      <c r="JN21" s="158">
        <f t="shared" si="22"/>
        <v>-1108.6523454020501</v>
      </c>
      <c r="JO21" s="158">
        <f t="shared" si="22"/>
        <v>-1109.8270620124799</v>
      </c>
      <c r="JP21" s="158">
        <f t="shared" si="22"/>
        <v>-1109.8270620124799</v>
      </c>
      <c r="JQ21" s="158">
        <f t="shared" si="22"/>
        <v>-1088.8905734499299</v>
      </c>
      <c r="JR21" s="158">
        <f t="shared" si="22"/>
        <v>-1088.8905734499299</v>
      </c>
      <c r="JS21" s="158">
        <f t="shared" si="22"/>
        <v>-1059.00518434623</v>
      </c>
      <c r="JT21" s="158">
        <f t="shared" si="22"/>
        <v>-1059.00518434623</v>
      </c>
      <c r="JU21" s="158">
        <f t="shared" si="22"/>
        <v>-1061.33927421095</v>
      </c>
      <c r="JV21" s="158">
        <f t="shared" si="22"/>
        <v>-1061.33927421095</v>
      </c>
      <c r="JW21" s="158">
        <f t="shared" si="22"/>
        <v>-1171.4024445256</v>
      </c>
      <c r="JX21" s="158">
        <f t="shared" si="22"/>
        <v>-1171.4024445256</v>
      </c>
      <c r="JY21" s="158">
        <f t="shared" si="22"/>
        <v>-1139.34973912635</v>
      </c>
      <c r="JZ21" s="158">
        <f t="shared" si="22"/>
        <v>-1139.34973912635</v>
      </c>
      <c r="KA21" s="158">
        <f t="shared" si="22"/>
        <v>-1143.97857335661</v>
      </c>
      <c r="KB21" s="158">
        <f t="shared" si="22"/>
        <v>-1143.97857335661</v>
      </c>
      <c r="KC21" s="158">
        <f t="shared" si="22"/>
        <v>-1162.39459878912</v>
      </c>
      <c r="KD21" s="158">
        <f t="shared" si="22"/>
        <v>-1162.39459878912</v>
      </c>
      <c r="KE21" s="158">
        <f t="shared" si="22"/>
        <v>-1130.9643490446799</v>
      </c>
      <c r="KF21" s="158">
        <f t="shared" si="22"/>
        <v>-1130.9643490446799</v>
      </c>
      <c r="KG21" s="171">
        <f t="shared" si="22"/>
        <v>-3200.3233032021544</v>
      </c>
      <c r="KH21" s="171">
        <f t="shared" si="22"/>
        <v>-3257.7228198086395</v>
      </c>
      <c r="KI21" s="171">
        <f t="shared" si="22"/>
        <v>-3372.0914578628999</v>
      </c>
      <c r="KJ21" s="171">
        <f t="shared" si="22"/>
        <v>-3437.3375211904095</v>
      </c>
      <c r="KK21" s="171">
        <f>SUM(KK17:KK20)</f>
        <v>-13267.475102064103</v>
      </c>
      <c r="KL21" s="158">
        <f>SUM(KL17:KL20)</f>
        <v>38712.582056815467</v>
      </c>
      <c r="KM21" s="158">
        <f>SUM(KM17:KM20)</f>
        <v>42718.908700544482</v>
      </c>
      <c r="KN21" s="158">
        <f>SUM(KN17:KN20)</f>
        <v>42718.908700544482</v>
      </c>
      <c r="KO21" s="158">
        <f>SUM(KO17:KO20)</f>
        <v>42979.277711898612</v>
      </c>
      <c r="KP21" s="158">
        <f t="shared" ref="KP21:LP21" si="24">SUM(KP17:KP20)</f>
        <v>42979.277711898612</v>
      </c>
      <c r="KQ21" s="158">
        <f t="shared" si="24"/>
        <v>42952.363868936416</v>
      </c>
      <c r="KR21" s="158">
        <f t="shared" si="24"/>
        <v>42952.363868936416</v>
      </c>
      <c r="KS21" s="158">
        <f t="shared" si="24"/>
        <v>42366.593039100313</v>
      </c>
      <c r="KT21" s="158">
        <f t="shared" si="24"/>
        <v>42366.593039100313</v>
      </c>
      <c r="KU21" s="158">
        <f t="shared" si="24"/>
        <v>41340.131510161125</v>
      </c>
      <c r="KV21" s="158">
        <f t="shared" si="24"/>
        <v>41340.131510161125</v>
      </c>
      <c r="KW21" s="158">
        <f t="shared" si="24"/>
        <v>41413.064886037653</v>
      </c>
      <c r="KX21" s="158">
        <f t="shared" si="24"/>
        <v>41413.064886037653</v>
      </c>
      <c r="KY21" s="158">
        <f t="shared" si="24"/>
        <v>45519.204536102596</v>
      </c>
      <c r="KZ21" s="158">
        <f t="shared" si="24"/>
        <v>45519.204536102596</v>
      </c>
      <c r="LA21" s="158">
        <f t="shared" si="24"/>
        <v>45096.1935182999</v>
      </c>
      <c r="LB21" s="158">
        <f t="shared" si="24"/>
        <v>45096.1935182999</v>
      </c>
      <c r="LC21" s="158">
        <f t="shared" si="24"/>
        <v>45096.1935182999</v>
      </c>
      <c r="LD21" s="158">
        <f t="shared" si="24"/>
        <v>45192.57798669218</v>
      </c>
      <c r="LE21" s="158">
        <f t="shared" si="24"/>
        <v>45192.57798669218</v>
      </c>
      <c r="LF21" s="158">
        <f t="shared" si="24"/>
        <v>45192.57798669218</v>
      </c>
      <c r="LG21" s="158">
        <f t="shared" si="24"/>
        <v>45814.374447138769</v>
      </c>
      <c r="LH21" s="158">
        <f t="shared" si="24"/>
        <v>45814.374447138769</v>
      </c>
      <c r="LI21" s="158">
        <f t="shared" si="24"/>
        <v>45814.374447138769</v>
      </c>
      <c r="LJ21" s="158">
        <f t="shared" si="24"/>
        <v>44898.629993477014</v>
      </c>
      <c r="LK21" s="158">
        <f t="shared" si="24"/>
        <v>44898.629993477014</v>
      </c>
      <c r="LL21" s="158">
        <f t="shared" si="24"/>
        <v>44898.629993477014</v>
      </c>
      <c r="LM21" s="171">
        <f>SUM(LM17:LM20)</f>
        <v>124410.76846925855</v>
      </c>
      <c r="LN21" s="171">
        <f t="shared" si="24"/>
        <v>126659.08841819786</v>
      </c>
      <c r="LO21" s="171">
        <f t="shared" si="24"/>
        <v>132028.46294044013</v>
      </c>
      <c r="LP21" s="171">
        <f t="shared" si="24"/>
        <v>135905.58242730796</v>
      </c>
      <c r="LQ21" s="171">
        <f>SUM(LQ17:LQ20)</f>
        <v>519003.90225520456</v>
      </c>
      <c r="LR21" s="171">
        <f>SUM(LR17:LR20)</f>
        <v>519003.90225520451</v>
      </c>
      <c r="LS21" s="222"/>
      <c r="LT21" s="222"/>
      <c r="LU21" s="168">
        <f>SUM(AG21,BN21,CU21,EB21,FI21,GP21,HW21)</f>
        <v>122314.61212943922</v>
      </c>
    </row>
    <row r="22" spans="1:333" s="51" customFormat="1"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2"/>
      <c r="AH22" s="222"/>
      <c r="AI22" s="222"/>
      <c r="AJ22" s="222"/>
      <c r="AK22" s="222"/>
      <c r="AL22" s="222"/>
      <c r="AM22" s="221"/>
      <c r="AN22" s="221"/>
      <c r="AO22" s="221"/>
      <c r="AP22" s="221"/>
      <c r="AQ22" s="221"/>
      <c r="AR22" s="221"/>
      <c r="AS22" s="221"/>
      <c r="AT22" s="221"/>
      <c r="AU22" s="221"/>
      <c r="AV22" s="221"/>
      <c r="AW22" s="221"/>
      <c r="AX22" s="221"/>
      <c r="AY22" s="221"/>
      <c r="AZ22" s="221"/>
      <c r="BA22" s="221"/>
      <c r="BB22" s="221"/>
      <c r="BC22" s="221"/>
      <c r="BD22" s="221"/>
      <c r="BE22" s="221"/>
      <c r="BF22" s="221"/>
      <c r="BG22" s="221"/>
      <c r="BH22" s="221"/>
      <c r="BI22" s="221"/>
      <c r="BJ22" s="221"/>
      <c r="BK22" s="221"/>
      <c r="BL22" s="221"/>
      <c r="BM22" s="221"/>
      <c r="BN22" s="222"/>
      <c r="BO22" s="222"/>
      <c r="BP22" s="222"/>
      <c r="BQ22" s="222"/>
      <c r="BR22" s="222"/>
      <c r="BS22" s="222"/>
      <c r="BT22" s="221"/>
      <c r="BU22" s="221"/>
      <c r="BV22" s="221"/>
      <c r="BW22" s="221"/>
      <c r="BX22" s="221"/>
      <c r="BY22" s="221"/>
      <c r="BZ22" s="221"/>
      <c r="CA22" s="221"/>
      <c r="CB22" s="221"/>
      <c r="CC22" s="221"/>
      <c r="CD22" s="221"/>
      <c r="CE22" s="221"/>
      <c r="CF22" s="221"/>
      <c r="CG22" s="221"/>
      <c r="CH22" s="221"/>
      <c r="CI22" s="221"/>
      <c r="CJ22" s="221"/>
      <c r="CK22" s="221"/>
      <c r="CL22" s="221"/>
      <c r="CM22" s="221"/>
      <c r="CN22" s="221"/>
      <c r="CO22" s="221"/>
      <c r="CP22" s="221"/>
      <c r="CQ22" s="221"/>
      <c r="CR22" s="221"/>
      <c r="CS22" s="221"/>
      <c r="CT22" s="221"/>
      <c r="CU22" s="222"/>
      <c r="CV22" s="222"/>
      <c r="CW22" s="222"/>
      <c r="CX22" s="222"/>
      <c r="CY22" s="222"/>
      <c r="CZ22" s="222"/>
      <c r="DA22" s="221"/>
      <c r="DB22" s="221"/>
      <c r="DC22" s="221"/>
      <c r="DD22" s="221"/>
      <c r="DE22" s="221"/>
      <c r="DF22" s="221"/>
      <c r="DG22" s="221"/>
      <c r="DH22" s="221"/>
      <c r="DI22" s="221"/>
      <c r="DJ22" s="221"/>
      <c r="DK22" s="221"/>
      <c r="DL22" s="221"/>
      <c r="DM22" s="221"/>
      <c r="DN22" s="221"/>
      <c r="DO22" s="221"/>
      <c r="DP22" s="221"/>
      <c r="DQ22" s="221"/>
      <c r="DR22" s="221"/>
      <c r="DS22" s="221"/>
      <c r="DT22" s="221"/>
      <c r="DU22" s="221"/>
      <c r="DV22" s="221"/>
      <c r="DW22" s="221"/>
      <c r="DX22" s="221"/>
      <c r="DY22" s="221"/>
      <c r="DZ22" s="221"/>
      <c r="EA22" s="221"/>
      <c r="EB22" s="222"/>
      <c r="EC22" s="222"/>
      <c r="ED22" s="222"/>
      <c r="EE22" s="222"/>
      <c r="EF22" s="222"/>
      <c r="EG22" s="222"/>
      <c r="EH22" s="221"/>
      <c r="EI22" s="221"/>
      <c r="EJ22" s="221"/>
      <c r="EK22" s="221"/>
      <c r="EL22" s="221"/>
      <c r="EM22" s="221"/>
      <c r="EN22" s="221"/>
      <c r="EO22" s="221"/>
      <c r="EP22" s="221"/>
      <c r="EQ22" s="221"/>
      <c r="ER22" s="221"/>
      <c r="ES22" s="221"/>
      <c r="ET22" s="221"/>
      <c r="EU22" s="221"/>
      <c r="EV22" s="221"/>
      <c r="EW22" s="221"/>
      <c r="EX22" s="221"/>
      <c r="EY22" s="221"/>
      <c r="EZ22" s="221"/>
      <c r="FA22" s="221"/>
      <c r="FB22" s="221"/>
      <c r="FC22" s="221"/>
      <c r="FD22" s="221"/>
      <c r="FE22" s="221"/>
      <c r="FF22" s="221"/>
      <c r="FG22" s="221"/>
      <c r="FH22" s="221"/>
      <c r="FI22" s="222"/>
      <c r="FJ22" s="222"/>
      <c r="FK22" s="222"/>
      <c r="FL22" s="222"/>
      <c r="FM22" s="222"/>
      <c r="FN22" s="222"/>
      <c r="FO22" s="221"/>
      <c r="FP22" s="221"/>
      <c r="FQ22" s="221"/>
      <c r="FR22" s="221"/>
      <c r="FS22" s="221"/>
      <c r="FT22" s="221"/>
      <c r="FU22" s="221"/>
      <c r="FV22" s="221"/>
      <c r="FW22" s="221"/>
      <c r="FX22" s="221"/>
      <c r="FY22" s="221"/>
      <c r="FZ22" s="221"/>
      <c r="GA22" s="221"/>
      <c r="GB22" s="221"/>
      <c r="GC22" s="221"/>
      <c r="GD22" s="221"/>
      <c r="GE22" s="221"/>
      <c r="GF22" s="221"/>
      <c r="GG22" s="221"/>
      <c r="GH22" s="221"/>
      <c r="GI22" s="221"/>
      <c r="GJ22" s="221"/>
      <c r="GK22" s="221"/>
      <c r="GL22" s="221"/>
      <c r="GM22" s="221"/>
      <c r="GN22" s="221"/>
      <c r="GO22" s="221"/>
      <c r="GP22" s="222"/>
      <c r="GQ22" s="222"/>
      <c r="GR22" s="222"/>
      <c r="GS22" s="222"/>
      <c r="GT22" s="222"/>
      <c r="GU22" s="222"/>
      <c r="GV22" s="221"/>
      <c r="GW22" s="221"/>
      <c r="GX22" s="221"/>
      <c r="GY22" s="221"/>
      <c r="GZ22" s="221"/>
      <c r="HA22" s="221"/>
      <c r="HB22" s="221"/>
      <c r="HC22" s="221"/>
      <c r="HD22" s="221"/>
      <c r="HE22" s="221"/>
      <c r="HF22" s="221"/>
      <c r="HG22" s="221"/>
      <c r="HH22" s="221"/>
      <c r="HI22" s="221"/>
      <c r="HJ22" s="221"/>
      <c r="HK22" s="221"/>
      <c r="HL22" s="221"/>
      <c r="HM22" s="221"/>
      <c r="HN22" s="221"/>
      <c r="HO22" s="221"/>
      <c r="HP22" s="221"/>
      <c r="HQ22" s="221"/>
      <c r="HR22" s="221"/>
      <c r="HS22" s="221"/>
      <c r="HT22" s="221"/>
      <c r="HU22" s="221"/>
      <c r="HV22" s="221"/>
      <c r="HW22" s="222"/>
      <c r="HX22" s="222"/>
      <c r="HY22" s="222"/>
      <c r="HZ22" s="222"/>
      <c r="IA22" s="222"/>
      <c r="IB22" s="222"/>
      <c r="IC22" s="221"/>
      <c r="ID22" s="221"/>
      <c r="IE22" s="221"/>
      <c r="IF22" s="221"/>
      <c r="IG22" s="221"/>
      <c r="IH22" s="221"/>
      <c r="II22" s="221"/>
      <c r="IJ22" s="221"/>
      <c r="IK22" s="221"/>
      <c r="IL22" s="221"/>
      <c r="IM22" s="221"/>
      <c r="IN22" s="221"/>
      <c r="IO22" s="221"/>
      <c r="IP22" s="221"/>
      <c r="IQ22" s="221"/>
      <c r="IR22" s="221"/>
      <c r="IS22" s="221"/>
      <c r="IT22" s="221"/>
      <c r="IU22" s="221"/>
      <c r="IV22" s="221"/>
      <c r="IW22" s="221"/>
      <c r="IX22" s="221"/>
      <c r="IY22" s="221"/>
      <c r="IZ22" s="221"/>
      <c r="JA22" s="221"/>
      <c r="JB22" s="221"/>
      <c r="JC22" s="221"/>
      <c r="JD22" s="222"/>
      <c r="JE22" s="582"/>
      <c r="JF22" s="222"/>
      <c r="JG22" s="222"/>
      <c r="JH22" s="222"/>
      <c r="JI22" s="222"/>
      <c r="JJ22" s="221"/>
      <c r="JK22" s="221"/>
      <c r="JL22" s="221"/>
      <c r="JM22" s="221"/>
      <c r="JN22" s="221"/>
      <c r="JO22" s="221"/>
      <c r="JP22" s="221"/>
      <c r="JQ22" s="221"/>
      <c r="JR22" s="221"/>
      <c r="JS22" s="221"/>
      <c r="JT22" s="221"/>
      <c r="JU22" s="221"/>
      <c r="JV22" s="221"/>
      <c r="JW22" s="221"/>
      <c r="JX22" s="221"/>
      <c r="JY22" s="221"/>
      <c r="JZ22" s="221"/>
      <c r="KA22" s="221"/>
      <c r="KB22" s="221"/>
      <c r="KC22" s="221"/>
      <c r="KD22" s="221"/>
      <c r="KE22" s="221"/>
      <c r="KF22" s="221"/>
      <c r="KG22" s="222"/>
      <c r="KH22" s="222"/>
      <c r="KI22" s="222"/>
      <c r="KJ22" s="222"/>
      <c r="KK22" s="222"/>
      <c r="KL22" s="168">
        <v>38809.405568415488</v>
      </c>
      <c r="KM22" s="168"/>
      <c r="KN22" s="168">
        <v>42835.732212144503</v>
      </c>
      <c r="KO22" s="168"/>
      <c r="KP22" s="168">
        <v>43056.101223498597</v>
      </c>
      <c r="KQ22" s="168"/>
      <c r="KR22" s="168">
        <v>43102.987382936401</v>
      </c>
      <c r="KS22" s="168"/>
      <c r="KT22" s="168">
        <v>42231.748026000299</v>
      </c>
      <c r="KU22" s="168"/>
      <c r="KV22" s="168">
        <v>41256.955021761103</v>
      </c>
      <c r="KW22" s="168"/>
      <c r="KX22" s="168">
        <v>41384.888397637696</v>
      </c>
      <c r="KY22" s="168"/>
      <c r="KZ22" s="168">
        <v>45501.028047702603</v>
      </c>
      <c r="LA22" s="168"/>
      <c r="LB22" s="168">
        <v>45050.5170298999</v>
      </c>
      <c r="LC22" s="221"/>
      <c r="LD22" s="168"/>
      <c r="LE22" s="168">
        <v>45191.901498292202</v>
      </c>
      <c r="LF22" s="221"/>
      <c r="LG22" s="168"/>
      <c r="LH22" s="168">
        <v>45823.697958738703</v>
      </c>
      <c r="LI22" s="221"/>
      <c r="LJ22" s="168"/>
      <c r="LK22" s="168">
        <v>44856.109888077001</v>
      </c>
      <c r="LL22" s="221"/>
      <c r="LM22" s="222"/>
      <c r="LN22" s="222"/>
      <c r="LO22" s="222"/>
      <c r="LP22" s="222"/>
      <c r="LQ22" s="222"/>
      <c r="LR22" s="222"/>
      <c r="LS22" s="222"/>
      <c r="LT22" s="222"/>
      <c r="LU22" s="168"/>
    </row>
    <row r="23" spans="1:333" s="164" customFormat="1" ht="6.75" customHeight="1">
      <c r="F23" s="163"/>
      <c r="G23" s="163"/>
      <c r="H23" s="163"/>
      <c r="I23" s="163"/>
      <c r="J23" s="163" t="e">
        <f>#REF!</f>
        <v>#REF!</v>
      </c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5"/>
      <c r="AH23" s="165"/>
      <c r="AI23" s="165"/>
      <c r="AJ23" s="165"/>
      <c r="AK23" s="165"/>
      <c r="AL23" s="165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  <c r="AX23" s="163"/>
      <c r="AY23" s="163"/>
      <c r="AZ23" s="163"/>
      <c r="BA23" s="163"/>
      <c r="BB23" s="163"/>
      <c r="BC23" s="163"/>
      <c r="BD23" s="163"/>
      <c r="BE23" s="163"/>
      <c r="BF23" s="163"/>
      <c r="BG23" s="163"/>
      <c r="BH23" s="163"/>
      <c r="BI23" s="163"/>
      <c r="BJ23" s="163"/>
      <c r="BK23" s="163"/>
      <c r="BL23" s="163"/>
      <c r="BM23" s="163"/>
      <c r="BN23" s="165"/>
      <c r="BO23" s="165"/>
      <c r="BP23" s="165"/>
      <c r="BQ23" s="165"/>
      <c r="BR23" s="165"/>
      <c r="BS23" s="165"/>
      <c r="BT23" s="163"/>
      <c r="BU23" s="163"/>
      <c r="BV23" s="163">
        <f>'BUDGET REVENUE CLI 2021-2025'!I58/10^6</f>
        <v>1096.4000000000001</v>
      </c>
      <c r="BW23" s="163"/>
      <c r="BX23" s="163">
        <f>'BUDGET REVENUE CLI 2021-2025'!J58/10^6</f>
        <v>1096.4000000000001</v>
      </c>
      <c r="BY23" s="163"/>
      <c r="BZ23" s="163"/>
      <c r="CA23" s="163"/>
      <c r="CB23" s="163"/>
      <c r="CC23" s="163"/>
      <c r="CD23" s="163"/>
      <c r="CE23" s="163"/>
      <c r="CF23" s="163"/>
      <c r="CG23" s="163"/>
      <c r="CH23" s="163"/>
      <c r="CI23" s="163"/>
      <c r="CJ23" s="163"/>
      <c r="CK23" s="163"/>
      <c r="CL23" s="163"/>
      <c r="CM23" s="163"/>
      <c r="CN23" s="163"/>
      <c r="CO23" s="163"/>
      <c r="CP23" s="163"/>
      <c r="CQ23" s="163"/>
      <c r="CR23" s="163"/>
      <c r="CS23" s="163"/>
      <c r="CT23" s="163"/>
      <c r="CU23" s="165"/>
      <c r="CV23" s="165"/>
      <c r="CW23" s="165"/>
      <c r="CX23" s="165"/>
      <c r="CY23" s="165"/>
      <c r="CZ23" s="165"/>
      <c r="DA23" s="163"/>
      <c r="DB23" s="163"/>
      <c r="DC23" s="163" t="e">
        <f>#REF!</f>
        <v>#REF!</v>
      </c>
      <c r="DD23" s="163"/>
      <c r="DE23" s="163" t="e">
        <f>#REF!</f>
        <v>#REF!</v>
      </c>
      <c r="DF23" s="163"/>
      <c r="DG23" s="163"/>
      <c r="DH23" s="163"/>
      <c r="DI23" s="163"/>
      <c r="DJ23" s="163"/>
      <c r="DK23" s="163"/>
      <c r="DL23" s="163"/>
      <c r="DM23" s="163"/>
      <c r="DN23" s="163"/>
      <c r="DO23" s="163"/>
      <c r="DP23" s="163"/>
      <c r="DQ23" s="163"/>
      <c r="DR23" s="163"/>
      <c r="DS23" s="163"/>
      <c r="DT23" s="163"/>
      <c r="DU23" s="163"/>
      <c r="DV23" s="163"/>
      <c r="DW23" s="163"/>
      <c r="DX23" s="163"/>
      <c r="DY23" s="163"/>
      <c r="DZ23" s="163"/>
      <c r="EA23" s="163"/>
      <c r="EB23" s="165"/>
      <c r="EC23" s="165"/>
      <c r="ED23" s="165"/>
      <c r="EE23" s="165"/>
      <c r="EF23" s="165"/>
      <c r="EG23" s="165"/>
      <c r="EH23" s="163"/>
      <c r="EI23" s="163"/>
      <c r="EJ23" s="163" t="e">
        <f>#REF!</f>
        <v>#REF!</v>
      </c>
      <c r="EK23" s="163"/>
      <c r="EL23" s="163" t="e">
        <f>#REF!</f>
        <v>#REF!</v>
      </c>
      <c r="EM23" s="163"/>
      <c r="EN23" s="163"/>
      <c r="EO23" s="163"/>
      <c r="EP23" s="163"/>
      <c r="EQ23" s="163"/>
      <c r="ER23" s="163"/>
      <c r="ES23" s="163"/>
      <c r="ET23" s="163"/>
      <c r="EU23" s="163"/>
      <c r="EV23" s="163"/>
      <c r="EW23" s="163"/>
      <c r="EX23" s="163"/>
      <c r="EY23" s="163"/>
      <c r="EZ23" s="163"/>
      <c r="FA23" s="163"/>
      <c r="FB23" s="163"/>
      <c r="FC23" s="163"/>
      <c r="FD23" s="163"/>
      <c r="FE23" s="163"/>
      <c r="FF23" s="163"/>
      <c r="FG23" s="163"/>
      <c r="FH23" s="163"/>
      <c r="FI23" s="165"/>
      <c r="FJ23" s="165"/>
      <c r="FK23" s="165"/>
      <c r="FL23" s="165"/>
      <c r="FM23" s="165"/>
      <c r="FN23" s="165"/>
      <c r="FO23" s="163"/>
      <c r="FP23" s="163"/>
      <c r="FQ23" s="163" t="e">
        <f>#REF!</f>
        <v>#REF!</v>
      </c>
      <c r="FR23" s="163"/>
      <c r="FS23" s="163" t="e">
        <f>#REF!</f>
        <v>#REF!</v>
      </c>
      <c r="FT23" s="163"/>
      <c r="FU23" s="163"/>
      <c r="FV23" s="163"/>
      <c r="FW23" s="163"/>
      <c r="FX23" s="163"/>
      <c r="FY23" s="163"/>
      <c r="FZ23" s="163"/>
      <c r="GA23" s="163"/>
      <c r="GB23" s="163"/>
      <c r="GC23" s="163"/>
      <c r="GD23" s="163"/>
      <c r="GE23" s="163"/>
      <c r="GF23" s="163"/>
      <c r="GG23" s="163"/>
      <c r="GH23" s="163"/>
      <c r="GI23" s="163"/>
      <c r="GJ23" s="163"/>
      <c r="GK23" s="163"/>
      <c r="GL23" s="163"/>
      <c r="GM23" s="163"/>
      <c r="GN23" s="163"/>
      <c r="GO23" s="163"/>
      <c r="GP23" s="165"/>
      <c r="GQ23" s="165"/>
      <c r="GR23" s="165"/>
      <c r="GS23" s="165"/>
      <c r="GT23" s="165"/>
      <c r="GU23" s="165"/>
      <c r="GV23" s="163"/>
      <c r="GW23" s="163"/>
      <c r="GX23" s="163" t="e">
        <f>#REF!</f>
        <v>#REF!</v>
      </c>
      <c r="GY23" s="163"/>
      <c r="GZ23" s="163" t="e">
        <f>#REF!</f>
        <v>#REF!</v>
      </c>
      <c r="HA23" s="163"/>
      <c r="HB23" s="163"/>
      <c r="HC23" s="163"/>
      <c r="HD23" s="163"/>
      <c r="HE23" s="163"/>
      <c r="HF23" s="163"/>
      <c r="HG23" s="163"/>
      <c r="HH23" s="163"/>
      <c r="HI23" s="163"/>
      <c r="HJ23" s="163"/>
      <c r="HK23" s="163"/>
      <c r="HL23" s="163"/>
      <c r="HM23" s="163"/>
      <c r="HN23" s="163"/>
      <c r="HO23" s="163"/>
      <c r="HP23" s="163"/>
      <c r="HQ23" s="163"/>
      <c r="HR23" s="163"/>
      <c r="HS23" s="163"/>
      <c r="HT23" s="163"/>
      <c r="HU23" s="163"/>
      <c r="HV23" s="163"/>
      <c r="HW23" s="165"/>
      <c r="HX23" s="165"/>
      <c r="HY23" s="165"/>
      <c r="HZ23" s="165"/>
      <c r="IA23" s="165"/>
      <c r="IB23" s="165"/>
      <c r="IC23" s="165"/>
      <c r="ID23" s="165"/>
      <c r="IE23" s="165"/>
      <c r="IF23" s="165"/>
      <c r="IG23" s="165"/>
      <c r="IH23" s="165"/>
      <c r="II23" s="165"/>
      <c r="IJ23" s="165"/>
      <c r="IK23" s="165"/>
      <c r="IL23" s="165"/>
      <c r="IM23" s="165"/>
      <c r="IN23" s="165"/>
      <c r="IO23" s="165"/>
      <c r="IP23" s="165"/>
      <c r="IQ23" s="165"/>
      <c r="IR23" s="165"/>
      <c r="IS23" s="165"/>
      <c r="IT23" s="163"/>
      <c r="IU23" s="165"/>
      <c r="IV23" s="165"/>
      <c r="IW23" s="163"/>
      <c r="IX23" s="165"/>
      <c r="IY23" s="165"/>
      <c r="IZ23" s="163"/>
      <c r="JA23" s="165"/>
      <c r="JB23" s="165"/>
      <c r="JC23" s="163"/>
      <c r="JD23" s="165"/>
      <c r="JE23" s="165"/>
      <c r="JF23" s="165"/>
      <c r="JG23" s="165"/>
      <c r="JH23" s="165"/>
      <c r="JI23" s="165"/>
      <c r="JJ23" s="172"/>
      <c r="JK23" s="172"/>
      <c r="JL23" s="172"/>
      <c r="JM23" s="172"/>
      <c r="JN23" s="172"/>
      <c r="JO23" s="172"/>
      <c r="JP23" s="172"/>
      <c r="JQ23" s="172"/>
      <c r="JR23" s="172"/>
      <c r="JS23" s="172"/>
      <c r="JT23" s="172"/>
      <c r="JU23" s="172"/>
      <c r="JV23" s="172"/>
      <c r="JW23" s="172"/>
      <c r="JX23" s="172"/>
      <c r="JY23" s="172"/>
      <c r="JZ23" s="172"/>
      <c r="KA23" s="172"/>
      <c r="KB23" s="172"/>
      <c r="KC23" s="172"/>
      <c r="KD23" s="172"/>
      <c r="KE23" s="172"/>
      <c r="KF23" s="172"/>
      <c r="KG23" s="172"/>
      <c r="KH23" s="172"/>
      <c r="KI23" s="165"/>
      <c r="KJ23" s="165"/>
      <c r="KK23" s="165"/>
      <c r="KL23" s="172"/>
      <c r="KM23" s="163"/>
      <c r="KN23" s="172"/>
      <c r="KO23" s="163"/>
      <c r="KP23" s="172"/>
      <c r="KQ23" s="163"/>
      <c r="KR23" s="172"/>
      <c r="KS23" s="163"/>
      <c r="KT23" s="172"/>
      <c r="KU23" s="163"/>
      <c r="KV23" s="172"/>
      <c r="KW23" s="163"/>
      <c r="KX23" s="172"/>
      <c r="KY23" s="163"/>
      <c r="KZ23" s="172"/>
      <c r="LA23" s="163"/>
      <c r="LB23" s="172"/>
      <c r="LC23" s="163"/>
      <c r="LD23" s="163"/>
      <c r="LE23" s="172"/>
      <c r="LF23" s="163"/>
      <c r="LG23" s="163"/>
      <c r="LH23" s="172"/>
      <c r="LI23" s="163"/>
      <c r="LJ23" s="163"/>
      <c r="LK23" s="172"/>
      <c r="LL23" s="163"/>
      <c r="LM23" s="163"/>
      <c r="LN23" s="163"/>
      <c r="LO23" s="163"/>
      <c r="LP23" s="163"/>
      <c r="LQ23" s="165"/>
      <c r="LR23" s="165"/>
      <c r="LS23" s="165"/>
      <c r="LT23" s="165"/>
    </row>
    <row r="24" spans="1:333" s="51" customFormat="1">
      <c r="A24" s="1304" t="s">
        <v>1215</v>
      </c>
      <c r="B24" s="590" t="s">
        <v>1147</v>
      </c>
      <c r="C24" s="591"/>
      <c r="D24" s="591"/>
      <c r="E24" s="591"/>
      <c r="F24" s="1277" t="s">
        <v>1155</v>
      </c>
      <c r="G24" s="1277"/>
      <c r="H24" s="1277"/>
      <c r="I24" s="1277"/>
      <c r="J24" s="1277"/>
      <c r="K24" s="1277"/>
      <c r="L24" s="1277"/>
      <c r="M24" s="1277"/>
      <c r="N24" s="1277"/>
      <c r="O24" s="1277"/>
      <c r="P24" s="1277"/>
      <c r="Q24" s="1277"/>
      <c r="R24" s="1277"/>
      <c r="S24" s="1277"/>
      <c r="T24" s="1277"/>
      <c r="U24" s="1277"/>
      <c r="V24" s="1277"/>
      <c r="W24" s="1277"/>
      <c r="X24" s="1277"/>
      <c r="Y24" s="1277"/>
      <c r="Z24" s="1277"/>
      <c r="AA24" s="1277"/>
      <c r="AB24" s="1277"/>
      <c r="AC24" s="1277"/>
      <c r="AD24" s="1277"/>
      <c r="AE24" s="1277"/>
      <c r="AF24" s="1277"/>
      <c r="AG24" s="1277"/>
      <c r="AH24" s="1277"/>
      <c r="AI24" s="1277"/>
      <c r="AJ24" s="1277"/>
      <c r="AK24" s="1277"/>
      <c r="AL24" s="1277"/>
      <c r="AM24" s="1277"/>
      <c r="AN24" s="1277"/>
      <c r="AO24" s="1277"/>
      <c r="AP24" s="1277"/>
      <c r="AQ24" s="1277"/>
      <c r="AR24" s="1277"/>
      <c r="AS24" s="1277"/>
      <c r="AT24" s="1277"/>
      <c r="AU24" s="1277"/>
      <c r="AV24" s="1277"/>
      <c r="AW24" s="1277"/>
      <c r="AX24" s="1277"/>
      <c r="AY24" s="1277"/>
      <c r="AZ24" s="1277"/>
      <c r="BA24" s="1277"/>
      <c r="BB24" s="1277"/>
      <c r="BC24" s="1277"/>
      <c r="BD24" s="1277"/>
      <c r="BE24" s="1277"/>
      <c r="BF24" s="1277"/>
      <c r="BG24" s="1277"/>
      <c r="BH24" s="1277"/>
      <c r="BI24" s="1277"/>
      <c r="BJ24" s="1277"/>
      <c r="BK24" s="1277"/>
      <c r="BL24" s="1277"/>
      <c r="BM24" s="1277"/>
      <c r="BN24" s="1277"/>
      <c r="BO24" s="1277"/>
      <c r="BP24" s="1277"/>
      <c r="BQ24" s="1277"/>
      <c r="BR24" s="1277"/>
      <c r="BS24" s="1277"/>
      <c r="BT24" s="1277"/>
      <c r="BU24" s="1277"/>
      <c r="BV24" s="1277"/>
      <c r="BW24" s="1277"/>
      <c r="BX24" s="1277"/>
      <c r="BY24" s="1277"/>
      <c r="BZ24" s="1277"/>
      <c r="CA24" s="1277"/>
      <c r="CB24" s="1277"/>
      <c r="CC24" s="1277"/>
      <c r="CD24" s="1277"/>
      <c r="CE24" s="1277"/>
      <c r="CF24" s="1277"/>
      <c r="CG24" s="1277"/>
      <c r="CH24" s="1277"/>
      <c r="CI24" s="1277"/>
      <c r="CJ24" s="1277"/>
      <c r="CK24" s="1277"/>
      <c r="CL24" s="1277"/>
      <c r="CM24" s="1277"/>
      <c r="CN24" s="1277"/>
      <c r="CO24" s="1277"/>
      <c r="CP24" s="1277"/>
      <c r="CQ24" s="1277"/>
      <c r="CR24" s="1277"/>
      <c r="CS24" s="1277"/>
      <c r="CT24" s="1277"/>
      <c r="CU24" s="1277"/>
      <c r="CV24" s="1277"/>
      <c r="CW24" s="1277"/>
      <c r="CX24" s="1277"/>
      <c r="CY24" s="1277"/>
      <c r="CZ24" s="1278"/>
      <c r="DA24" s="1279" t="s">
        <v>1104</v>
      </c>
      <c r="DB24" s="1280"/>
      <c r="DC24" s="1280"/>
      <c r="DD24" s="1280"/>
      <c r="DE24" s="1280"/>
      <c r="DF24" s="1280"/>
      <c r="DG24" s="1280"/>
      <c r="DH24" s="1280"/>
      <c r="DI24" s="1280"/>
      <c r="DJ24" s="1280"/>
      <c r="DK24" s="1280"/>
      <c r="DL24" s="1280"/>
      <c r="DM24" s="1280"/>
      <c r="DN24" s="1280"/>
      <c r="DO24" s="1280"/>
      <c r="DP24" s="1280"/>
      <c r="DQ24" s="1280"/>
      <c r="DR24" s="1280"/>
      <c r="DS24" s="1280"/>
      <c r="DT24" s="1280"/>
      <c r="DU24" s="1280"/>
      <c r="DV24" s="1280"/>
      <c r="DW24" s="1280"/>
      <c r="DX24" s="1280"/>
      <c r="DY24" s="1280"/>
      <c r="DZ24" s="1280"/>
      <c r="EA24" s="1280"/>
      <c r="EB24" s="1280"/>
      <c r="EC24" s="1280"/>
      <c r="ED24" s="1280"/>
      <c r="EE24" s="1280"/>
      <c r="EF24" s="1280"/>
      <c r="EG24" s="1280"/>
      <c r="EH24" s="1280"/>
      <c r="EI24" s="1280"/>
      <c r="EJ24" s="1280"/>
      <c r="EK24" s="1280"/>
      <c r="EL24" s="1280"/>
      <c r="EM24" s="1280"/>
      <c r="EN24" s="1280"/>
      <c r="EO24" s="1280"/>
      <c r="EP24" s="1280"/>
      <c r="EQ24" s="1280"/>
      <c r="ER24" s="1280"/>
      <c r="ES24" s="1280"/>
      <c r="ET24" s="1280"/>
      <c r="EU24" s="1280"/>
      <c r="EV24" s="1280"/>
      <c r="EW24" s="1280"/>
      <c r="EX24" s="1280"/>
      <c r="EY24" s="1280"/>
      <c r="EZ24" s="1280"/>
      <c r="FA24" s="1280"/>
      <c r="FB24" s="1280"/>
      <c r="FC24" s="1280"/>
      <c r="FD24" s="1280"/>
      <c r="FE24" s="1280"/>
      <c r="FF24" s="1280"/>
      <c r="FG24" s="1280"/>
      <c r="FH24" s="1280"/>
      <c r="FI24" s="1280"/>
      <c r="FJ24" s="1280"/>
      <c r="FK24" s="1280"/>
      <c r="FL24" s="1280"/>
      <c r="FM24" s="1280"/>
      <c r="FN24" s="1281"/>
      <c r="FO24" s="1282" t="s">
        <v>1211</v>
      </c>
      <c r="FP24" s="1283"/>
      <c r="FQ24" s="1283"/>
      <c r="FR24" s="1283"/>
      <c r="FS24" s="1283"/>
      <c r="FT24" s="1283"/>
      <c r="FU24" s="1283"/>
      <c r="FV24" s="1283"/>
      <c r="FW24" s="1283"/>
      <c r="FX24" s="1283"/>
      <c r="FY24" s="1283"/>
      <c r="FZ24" s="1283"/>
      <c r="GA24" s="1283"/>
      <c r="GB24" s="1283"/>
      <c r="GC24" s="1283"/>
      <c r="GD24" s="1283"/>
      <c r="GE24" s="1283"/>
      <c r="GF24" s="1283"/>
      <c r="GG24" s="1283"/>
      <c r="GH24" s="1283"/>
      <c r="GI24" s="1283"/>
      <c r="GJ24" s="1283"/>
      <c r="GK24" s="1283"/>
      <c r="GL24" s="1283"/>
      <c r="GM24" s="1283"/>
      <c r="GN24" s="1283"/>
      <c r="GO24" s="1283"/>
      <c r="GP24" s="1283"/>
      <c r="GQ24" s="1283"/>
      <c r="GR24" s="1283"/>
      <c r="GS24" s="1283"/>
      <c r="GT24" s="1283"/>
      <c r="GU24" s="1284"/>
      <c r="GV24" s="1288" t="s">
        <v>1212</v>
      </c>
      <c r="GW24" s="1289"/>
      <c r="GX24" s="1289"/>
      <c r="GY24" s="1289"/>
      <c r="GZ24" s="1289"/>
      <c r="HA24" s="1289"/>
      <c r="HB24" s="1289"/>
      <c r="HC24" s="1289"/>
      <c r="HD24" s="1289"/>
      <c r="HE24" s="1289"/>
      <c r="HF24" s="1289"/>
      <c r="HG24" s="1289"/>
      <c r="HH24" s="1289"/>
      <c r="HI24" s="1289"/>
      <c r="HJ24" s="1289"/>
      <c r="HK24" s="1289"/>
      <c r="HL24" s="1289"/>
      <c r="HM24" s="1289"/>
      <c r="HN24" s="1289"/>
      <c r="HO24" s="1289"/>
      <c r="HP24" s="1289"/>
      <c r="HQ24" s="1289"/>
      <c r="HR24" s="1289"/>
      <c r="HS24" s="1289"/>
      <c r="HT24" s="1289"/>
      <c r="HU24" s="1289"/>
      <c r="HV24" s="1289"/>
      <c r="HW24" s="1289"/>
      <c r="HX24" s="1289"/>
      <c r="HY24" s="1289"/>
      <c r="HZ24" s="1289"/>
      <c r="IA24" s="1289"/>
      <c r="IB24" s="1290"/>
      <c r="IC24" s="1268" t="s">
        <v>1213</v>
      </c>
      <c r="ID24" s="1269"/>
      <c r="IE24" s="1269"/>
      <c r="IF24" s="1269"/>
      <c r="IG24" s="1269"/>
      <c r="IH24" s="1269"/>
      <c r="II24" s="1269"/>
      <c r="IJ24" s="1269"/>
      <c r="IK24" s="1269"/>
      <c r="IL24" s="1269"/>
      <c r="IM24" s="1269"/>
      <c r="IN24" s="1269"/>
      <c r="IO24" s="1269"/>
      <c r="IP24" s="1269"/>
      <c r="IQ24" s="1269"/>
      <c r="IR24" s="1269"/>
      <c r="IS24" s="1269"/>
      <c r="IT24" s="1269"/>
      <c r="IU24" s="1269"/>
      <c r="IV24" s="1269"/>
      <c r="IW24" s="1269"/>
      <c r="IX24" s="1269"/>
      <c r="IY24" s="1269"/>
      <c r="IZ24" s="1269"/>
      <c r="JA24" s="1269"/>
      <c r="JB24" s="1269"/>
      <c r="JC24" s="1269"/>
      <c r="JD24" s="1269"/>
      <c r="JE24" s="1269"/>
      <c r="JF24" s="1269"/>
      <c r="JG24" s="1269"/>
      <c r="JH24" s="1269"/>
      <c r="JI24" s="1270"/>
      <c r="JJ24" s="1246" t="s">
        <v>1153</v>
      </c>
      <c r="JK24" s="1247"/>
      <c r="JL24" s="1247"/>
      <c r="JM24" s="1247"/>
      <c r="JN24" s="1247"/>
      <c r="JO24" s="1247"/>
      <c r="JP24" s="1247"/>
      <c r="JQ24" s="1247"/>
      <c r="JR24" s="1247"/>
      <c r="JS24" s="1247"/>
      <c r="JT24" s="1247"/>
      <c r="JU24" s="1247"/>
      <c r="JV24" s="1247"/>
      <c r="JW24" s="1247"/>
      <c r="JX24" s="1247"/>
      <c r="JY24" s="1247"/>
      <c r="JZ24" s="1247"/>
      <c r="KA24" s="1247"/>
      <c r="KB24" s="1247"/>
      <c r="KC24" s="1247"/>
      <c r="KD24" s="1247"/>
      <c r="KE24" s="1247"/>
      <c r="KF24" s="1247"/>
      <c r="KG24" s="1247"/>
      <c r="KH24" s="1247"/>
      <c r="KI24" s="1247"/>
      <c r="KJ24" s="1247"/>
      <c r="KK24" s="1248"/>
      <c r="KL24" s="1252" t="s">
        <v>1154</v>
      </c>
      <c r="KM24" s="1253"/>
      <c r="KN24" s="1253"/>
      <c r="KO24" s="1253"/>
      <c r="KP24" s="1253"/>
      <c r="KQ24" s="1253"/>
      <c r="KR24" s="1253"/>
      <c r="KS24" s="1253"/>
      <c r="KT24" s="1253"/>
      <c r="KU24" s="1253"/>
      <c r="KV24" s="1253"/>
      <c r="KW24" s="1253"/>
      <c r="KX24" s="1253"/>
      <c r="KY24" s="1253"/>
      <c r="KZ24" s="1253"/>
      <c r="LA24" s="1253"/>
      <c r="LB24" s="1253"/>
      <c r="LC24" s="1253"/>
      <c r="LD24" s="1253"/>
      <c r="LE24" s="1253"/>
      <c r="LF24" s="1253"/>
      <c r="LG24" s="1253"/>
      <c r="LH24" s="1253"/>
      <c r="LI24" s="1253"/>
      <c r="LJ24" s="1253"/>
      <c r="LK24" s="1253"/>
      <c r="LL24" s="1253"/>
      <c r="LM24" s="1253"/>
      <c r="LN24" s="1253"/>
      <c r="LO24" s="1253"/>
      <c r="LP24" s="1253"/>
      <c r="LQ24" s="1253"/>
      <c r="LR24" s="1253"/>
      <c r="LS24" s="1097"/>
      <c r="LT24" s="1097"/>
      <c r="LU24" s="166"/>
    </row>
    <row r="25" spans="1:333" s="51" customFormat="1">
      <c r="A25" s="1304"/>
      <c r="B25" s="588" t="s">
        <v>304</v>
      </c>
      <c r="C25" s="589"/>
      <c r="D25" s="589"/>
      <c r="E25" s="589"/>
      <c r="F25" s="1256" t="s">
        <v>1155</v>
      </c>
      <c r="G25" s="1256"/>
      <c r="H25" s="1256"/>
      <c r="I25" s="1256"/>
      <c r="J25" s="1256"/>
      <c r="K25" s="1256"/>
      <c r="L25" s="1256"/>
      <c r="M25" s="1256"/>
      <c r="N25" s="1256"/>
      <c r="O25" s="1256"/>
      <c r="P25" s="1256"/>
      <c r="Q25" s="1256"/>
      <c r="R25" s="1256"/>
      <c r="S25" s="1256"/>
      <c r="T25" s="1256"/>
      <c r="U25" s="1256"/>
      <c r="V25" s="1256"/>
      <c r="W25" s="1256"/>
      <c r="X25" s="1256"/>
      <c r="Y25" s="1256"/>
      <c r="Z25" s="1256"/>
      <c r="AA25" s="1256"/>
      <c r="AB25" s="1256"/>
      <c r="AC25" s="1256"/>
      <c r="AD25" s="1256"/>
      <c r="AE25" s="1256"/>
      <c r="AF25" s="1256"/>
      <c r="AG25" s="1256"/>
      <c r="AH25" s="1256"/>
      <c r="AI25" s="1256"/>
      <c r="AJ25" s="1256"/>
      <c r="AK25" s="1256"/>
      <c r="AL25" s="1257"/>
      <c r="AM25" s="1258" t="s">
        <v>305</v>
      </c>
      <c r="AN25" s="1259"/>
      <c r="AO25" s="1259"/>
      <c r="AP25" s="1259"/>
      <c r="AQ25" s="1259"/>
      <c r="AR25" s="1259"/>
      <c r="AS25" s="1259"/>
      <c r="AT25" s="1259"/>
      <c r="AU25" s="1259"/>
      <c r="AV25" s="1259"/>
      <c r="AW25" s="1259"/>
      <c r="AX25" s="1259"/>
      <c r="AY25" s="1259"/>
      <c r="AZ25" s="1259"/>
      <c r="BA25" s="1259"/>
      <c r="BB25" s="1259"/>
      <c r="BC25" s="1259"/>
      <c r="BD25" s="1259"/>
      <c r="BE25" s="1259"/>
      <c r="BF25" s="1259"/>
      <c r="BG25" s="1259"/>
      <c r="BH25" s="1259"/>
      <c r="BI25" s="1259"/>
      <c r="BJ25" s="1259"/>
      <c r="BK25" s="1259"/>
      <c r="BL25" s="1259"/>
      <c r="BM25" s="1259"/>
      <c r="BN25" s="1259"/>
      <c r="BO25" s="1259"/>
      <c r="BP25" s="1259"/>
      <c r="BQ25" s="1259"/>
      <c r="BR25" s="1259"/>
      <c r="BS25" s="1260"/>
      <c r="BT25" s="1261" t="s">
        <v>1214</v>
      </c>
      <c r="BU25" s="1262"/>
      <c r="BV25" s="1262"/>
      <c r="BW25" s="1262"/>
      <c r="BX25" s="1262"/>
      <c r="BY25" s="1262"/>
      <c r="BZ25" s="1262"/>
      <c r="CA25" s="1262"/>
      <c r="CB25" s="1262"/>
      <c r="CC25" s="1262"/>
      <c r="CD25" s="1262"/>
      <c r="CE25" s="1262"/>
      <c r="CF25" s="1262"/>
      <c r="CG25" s="1262"/>
      <c r="CH25" s="1262"/>
      <c r="CI25" s="1262"/>
      <c r="CJ25" s="1262"/>
      <c r="CK25" s="1262"/>
      <c r="CL25" s="1262"/>
      <c r="CM25" s="1262"/>
      <c r="CN25" s="1262"/>
      <c r="CO25" s="1262"/>
      <c r="CP25" s="1262"/>
      <c r="CQ25" s="1262"/>
      <c r="CR25" s="1262"/>
      <c r="CS25" s="1262"/>
      <c r="CT25" s="1262"/>
      <c r="CU25" s="1262"/>
      <c r="CV25" s="1262"/>
      <c r="CW25" s="1262"/>
      <c r="CX25" s="1262"/>
      <c r="CY25" s="1262"/>
      <c r="CZ25" s="1263"/>
      <c r="DA25" s="1264" t="s">
        <v>304</v>
      </c>
      <c r="DB25" s="1256"/>
      <c r="DC25" s="1256"/>
      <c r="DD25" s="1256"/>
      <c r="DE25" s="1256"/>
      <c r="DF25" s="1256"/>
      <c r="DG25" s="1256"/>
      <c r="DH25" s="1256"/>
      <c r="DI25" s="1256"/>
      <c r="DJ25" s="1256"/>
      <c r="DK25" s="1256"/>
      <c r="DL25" s="1256"/>
      <c r="DM25" s="1256"/>
      <c r="DN25" s="1256"/>
      <c r="DO25" s="1256"/>
      <c r="DP25" s="1256"/>
      <c r="DQ25" s="1256"/>
      <c r="DR25" s="1256"/>
      <c r="DS25" s="1256"/>
      <c r="DT25" s="1256"/>
      <c r="DU25" s="1256"/>
      <c r="DV25" s="1256"/>
      <c r="DW25" s="1256"/>
      <c r="DX25" s="1256"/>
      <c r="DY25" s="1256"/>
      <c r="DZ25" s="1256"/>
      <c r="EA25" s="1256"/>
      <c r="EB25" s="1256"/>
      <c r="EC25" s="1256"/>
      <c r="ED25" s="1256"/>
      <c r="EE25" s="1256"/>
      <c r="EF25" s="1256"/>
      <c r="EG25" s="1257"/>
      <c r="EH25" s="1265" t="s">
        <v>305</v>
      </c>
      <c r="EI25" s="1266"/>
      <c r="EJ25" s="1266"/>
      <c r="EK25" s="1266"/>
      <c r="EL25" s="1266"/>
      <c r="EM25" s="1266"/>
      <c r="EN25" s="1266"/>
      <c r="EO25" s="1266"/>
      <c r="EP25" s="1266"/>
      <c r="EQ25" s="1266"/>
      <c r="ER25" s="1266"/>
      <c r="ES25" s="1266"/>
      <c r="ET25" s="1266"/>
      <c r="EU25" s="1266"/>
      <c r="EV25" s="1266"/>
      <c r="EW25" s="1266"/>
      <c r="EX25" s="1266"/>
      <c r="EY25" s="1266"/>
      <c r="EZ25" s="1266"/>
      <c r="FA25" s="1266"/>
      <c r="FB25" s="1266"/>
      <c r="FC25" s="1266"/>
      <c r="FD25" s="1266"/>
      <c r="FE25" s="1266"/>
      <c r="FF25" s="1266"/>
      <c r="FG25" s="1266"/>
      <c r="FH25" s="1266"/>
      <c r="FI25" s="1266"/>
      <c r="FJ25" s="1266"/>
      <c r="FK25" s="1266"/>
      <c r="FL25" s="1266"/>
      <c r="FM25" s="1266"/>
      <c r="FN25" s="1267"/>
      <c r="FO25" s="1285"/>
      <c r="FP25" s="1286"/>
      <c r="FQ25" s="1286"/>
      <c r="FR25" s="1286"/>
      <c r="FS25" s="1286"/>
      <c r="FT25" s="1286"/>
      <c r="FU25" s="1286"/>
      <c r="FV25" s="1286"/>
      <c r="FW25" s="1286"/>
      <c r="FX25" s="1286"/>
      <c r="FY25" s="1286"/>
      <c r="FZ25" s="1286"/>
      <c r="GA25" s="1286"/>
      <c r="GB25" s="1286"/>
      <c r="GC25" s="1286"/>
      <c r="GD25" s="1286"/>
      <c r="GE25" s="1286"/>
      <c r="GF25" s="1286"/>
      <c r="GG25" s="1286"/>
      <c r="GH25" s="1286"/>
      <c r="GI25" s="1286"/>
      <c r="GJ25" s="1286"/>
      <c r="GK25" s="1286"/>
      <c r="GL25" s="1286"/>
      <c r="GM25" s="1286"/>
      <c r="GN25" s="1286"/>
      <c r="GO25" s="1286"/>
      <c r="GP25" s="1286"/>
      <c r="GQ25" s="1286"/>
      <c r="GR25" s="1286"/>
      <c r="GS25" s="1286"/>
      <c r="GT25" s="1286"/>
      <c r="GU25" s="1287"/>
      <c r="GV25" s="1291"/>
      <c r="GW25" s="1292"/>
      <c r="GX25" s="1292"/>
      <c r="GY25" s="1292"/>
      <c r="GZ25" s="1292"/>
      <c r="HA25" s="1292"/>
      <c r="HB25" s="1292"/>
      <c r="HC25" s="1292"/>
      <c r="HD25" s="1292"/>
      <c r="HE25" s="1292"/>
      <c r="HF25" s="1292"/>
      <c r="HG25" s="1292"/>
      <c r="HH25" s="1292"/>
      <c r="HI25" s="1292"/>
      <c r="HJ25" s="1292"/>
      <c r="HK25" s="1292"/>
      <c r="HL25" s="1292"/>
      <c r="HM25" s="1292"/>
      <c r="HN25" s="1292"/>
      <c r="HO25" s="1292"/>
      <c r="HP25" s="1292"/>
      <c r="HQ25" s="1292"/>
      <c r="HR25" s="1292"/>
      <c r="HS25" s="1292"/>
      <c r="HT25" s="1292"/>
      <c r="HU25" s="1292"/>
      <c r="HV25" s="1292"/>
      <c r="HW25" s="1292"/>
      <c r="HX25" s="1292"/>
      <c r="HY25" s="1292"/>
      <c r="HZ25" s="1292"/>
      <c r="IA25" s="1292"/>
      <c r="IB25" s="1293"/>
      <c r="IC25" s="1271"/>
      <c r="ID25" s="1272"/>
      <c r="IE25" s="1272"/>
      <c r="IF25" s="1272"/>
      <c r="IG25" s="1272"/>
      <c r="IH25" s="1272"/>
      <c r="II25" s="1272"/>
      <c r="IJ25" s="1272"/>
      <c r="IK25" s="1272"/>
      <c r="IL25" s="1272"/>
      <c r="IM25" s="1272"/>
      <c r="IN25" s="1272"/>
      <c r="IO25" s="1272"/>
      <c r="IP25" s="1272"/>
      <c r="IQ25" s="1272"/>
      <c r="IR25" s="1272"/>
      <c r="IS25" s="1272"/>
      <c r="IT25" s="1272"/>
      <c r="IU25" s="1272"/>
      <c r="IV25" s="1272"/>
      <c r="IW25" s="1272"/>
      <c r="IX25" s="1272"/>
      <c r="IY25" s="1272"/>
      <c r="IZ25" s="1272"/>
      <c r="JA25" s="1272"/>
      <c r="JB25" s="1272"/>
      <c r="JC25" s="1272"/>
      <c r="JD25" s="1272"/>
      <c r="JE25" s="1272"/>
      <c r="JF25" s="1272"/>
      <c r="JG25" s="1272"/>
      <c r="JH25" s="1272"/>
      <c r="JI25" s="1273"/>
      <c r="JJ25" s="1249"/>
      <c r="JK25" s="1250"/>
      <c r="JL25" s="1250"/>
      <c r="JM25" s="1250"/>
      <c r="JN25" s="1250"/>
      <c r="JO25" s="1250"/>
      <c r="JP25" s="1250"/>
      <c r="JQ25" s="1250"/>
      <c r="JR25" s="1250"/>
      <c r="JS25" s="1250"/>
      <c r="JT25" s="1250"/>
      <c r="JU25" s="1250"/>
      <c r="JV25" s="1250"/>
      <c r="JW25" s="1250"/>
      <c r="JX25" s="1250"/>
      <c r="JY25" s="1250"/>
      <c r="JZ25" s="1250"/>
      <c r="KA25" s="1250"/>
      <c r="KB25" s="1250"/>
      <c r="KC25" s="1250"/>
      <c r="KD25" s="1250"/>
      <c r="KE25" s="1250"/>
      <c r="KF25" s="1250"/>
      <c r="KG25" s="1250"/>
      <c r="KH25" s="1250"/>
      <c r="KI25" s="1250"/>
      <c r="KJ25" s="1250"/>
      <c r="KK25" s="1251"/>
      <c r="KL25" s="1254"/>
      <c r="KM25" s="1255"/>
      <c r="KN25" s="1255"/>
      <c r="KO25" s="1255"/>
      <c r="KP25" s="1255"/>
      <c r="KQ25" s="1255"/>
      <c r="KR25" s="1255"/>
      <c r="KS25" s="1255"/>
      <c r="KT25" s="1255"/>
      <c r="KU25" s="1255"/>
      <c r="KV25" s="1255"/>
      <c r="KW25" s="1255"/>
      <c r="KX25" s="1255"/>
      <c r="KY25" s="1255"/>
      <c r="KZ25" s="1255"/>
      <c r="LA25" s="1255"/>
      <c r="LB25" s="1255"/>
      <c r="LC25" s="1255"/>
      <c r="LD25" s="1255"/>
      <c r="LE25" s="1255"/>
      <c r="LF25" s="1255"/>
      <c r="LG25" s="1255"/>
      <c r="LH25" s="1255"/>
      <c r="LI25" s="1255"/>
      <c r="LJ25" s="1255"/>
      <c r="LK25" s="1255"/>
      <c r="LL25" s="1255"/>
      <c r="LM25" s="1255"/>
      <c r="LN25" s="1255"/>
      <c r="LO25" s="1255"/>
      <c r="LP25" s="1255"/>
      <c r="LQ25" s="1255"/>
      <c r="LR25" s="1255"/>
      <c r="LS25" s="1097"/>
      <c r="LT25" s="1097"/>
      <c r="LU25" s="166"/>
    </row>
    <row r="26" spans="1:333" s="51" customFormat="1">
      <c r="A26" s="1304"/>
      <c r="B26" s="173">
        <v>44105</v>
      </c>
      <c r="C26" s="173">
        <v>44136</v>
      </c>
      <c r="D26" s="173">
        <v>44166</v>
      </c>
      <c r="E26" s="173" t="s">
        <v>1157</v>
      </c>
      <c r="F26" s="211" t="s">
        <v>1158</v>
      </c>
      <c r="G26" s="211" t="s">
        <v>1159</v>
      </c>
      <c r="H26" s="211" t="s">
        <v>1160</v>
      </c>
      <c r="I26" s="211" t="s">
        <v>1161</v>
      </c>
      <c r="J26" s="211" t="s">
        <v>1162</v>
      </c>
      <c r="K26" s="211" t="s">
        <v>1163</v>
      </c>
      <c r="L26" s="211" t="s">
        <v>1164</v>
      </c>
      <c r="M26" s="211" t="s">
        <v>1165</v>
      </c>
      <c r="N26" s="211" t="s">
        <v>1166</v>
      </c>
      <c r="O26" s="211" t="s">
        <v>1167</v>
      </c>
      <c r="P26" s="211" t="s">
        <v>1168</v>
      </c>
      <c r="Q26" s="211" t="s">
        <v>1169</v>
      </c>
      <c r="R26" s="211" t="s">
        <v>1170</v>
      </c>
      <c r="S26" s="211" t="s">
        <v>1171</v>
      </c>
      <c r="T26" s="211" t="s">
        <v>1172</v>
      </c>
      <c r="U26" s="211" t="s">
        <v>1173</v>
      </c>
      <c r="V26" s="211" t="s">
        <v>1174</v>
      </c>
      <c r="W26" s="211" t="s">
        <v>1216</v>
      </c>
      <c r="X26" s="211" t="s">
        <v>1176</v>
      </c>
      <c r="Y26" s="211" t="s">
        <v>1177</v>
      </c>
      <c r="Z26" s="211" t="s">
        <v>1217</v>
      </c>
      <c r="AA26" s="211" t="s">
        <v>1179</v>
      </c>
      <c r="AB26" s="211" t="s">
        <v>1180</v>
      </c>
      <c r="AC26" s="211" t="s">
        <v>1218</v>
      </c>
      <c r="AD26" s="211" t="s">
        <v>1182</v>
      </c>
      <c r="AE26" s="211" t="s">
        <v>1183</v>
      </c>
      <c r="AF26" s="211" t="s">
        <v>1219</v>
      </c>
      <c r="AG26" s="169" t="s">
        <v>1185</v>
      </c>
      <c r="AH26" s="169" t="s">
        <v>1186</v>
      </c>
      <c r="AI26" s="169" t="s">
        <v>1187</v>
      </c>
      <c r="AJ26" s="169" t="s">
        <v>1188</v>
      </c>
      <c r="AK26" s="169" t="s">
        <v>1205</v>
      </c>
      <c r="AL26" s="169" t="s">
        <v>1205</v>
      </c>
      <c r="AM26" s="211" t="s">
        <v>1158</v>
      </c>
      <c r="AN26" s="211" t="s">
        <v>1159</v>
      </c>
      <c r="AO26" s="211" t="s">
        <v>1160</v>
      </c>
      <c r="AP26" s="211" t="s">
        <v>1161</v>
      </c>
      <c r="AQ26" s="211" t="s">
        <v>1162</v>
      </c>
      <c r="AR26" s="211" t="s">
        <v>1163</v>
      </c>
      <c r="AS26" s="211" t="s">
        <v>1164</v>
      </c>
      <c r="AT26" s="211" t="s">
        <v>1165</v>
      </c>
      <c r="AU26" s="211" t="s">
        <v>1166</v>
      </c>
      <c r="AV26" s="211" t="s">
        <v>1167</v>
      </c>
      <c r="AW26" s="211" t="s">
        <v>1168</v>
      </c>
      <c r="AX26" s="211" t="s">
        <v>1169</v>
      </c>
      <c r="AY26" s="211" t="s">
        <v>1170</v>
      </c>
      <c r="AZ26" s="211" t="s">
        <v>1171</v>
      </c>
      <c r="BA26" s="211" t="s">
        <v>1172</v>
      </c>
      <c r="BB26" s="211" t="s">
        <v>1173</v>
      </c>
      <c r="BC26" s="211" t="s">
        <v>1174</v>
      </c>
      <c r="BD26" s="211" t="s">
        <v>1216</v>
      </c>
      <c r="BE26" s="211" t="s">
        <v>1176</v>
      </c>
      <c r="BF26" s="211" t="s">
        <v>1177</v>
      </c>
      <c r="BG26" s="211" t="s">
        <v>1217</v>
      </c>
      <c r="BH26" s="211" t="s">
        <v>1179</v>
      </c>
      <c r="BI26" s="211" t="s">
        <v>1180</v>
      </c>
      <c r="BJ26" s="211" t="s">
        <v>1218</v>
      </c>
      <c r="BK26" s="211" t="s">
        <v>1182</v>
      </c>
      <c r="BL26" s="211" t="s">
        <v>1183</v>
      </c>
      <c r="BM26" s="211" t="s">
        <v>1219</v>
      </c>
      <c r="BN26" s="169" t="s">
        <v>1185</v>
      </c>
      <c r="BO26" s="169" t="s">
        <v>1186</v>
      </c>
      <c r="BP26" s="169" t="s">
        <v>1187</v>
      </c>
      <c r="BQ26" s="169" t="s">
        <v>1188</v>
      </c>
      <c r="BR26" s="169" t="s">
        <v>1205</v>
      </c>
      <c r="BS26" s="169" t="s">
        <v>1205</v>
      </c>
      <c r="BT26" s="211" t="s">
        <v>1158</v>
      </c>
      <c r="BU26" s="211" t="s">
        <v>1159</v>
      </c>
      <c r="BV26" s="211" t="s">
        <v>1160</v>
      </c>
      <c r="BW26" s="211" t="s">
        <v>1161</v>
      </c>
      <c r="BX26" s="211" t="s">
        <v>1162</v>
      </c>
      <c r="BY26" s="211" t="s">
        <v>1163</v>
      </c>
      <c r="BZ26" s="211" t="s">
        <v>1164</v>
      </c>
      <c r="CA26" s="211" t="s">
        <v>1165</v>
      </c>
      <c r="CB26" s="211" t="s">
        <v>1166</v>
      </c>
      <c r="CC26" s="211" t="s">
        <v>1167</v>
      </c>
      <c r="CD26" s="211" t="s">
        <v>1168</v>
      </c>
      <c r="CE26" s="211" t="s">
        <v>1169</v>
      </c>
      <c r="CF26" s="211" t="s">
        <v>1170</v>
      </c>
      <c r="CG26" s="211" t="s">
        <v>1171</v>
      </c>
      <c r="CH26" s="211" t="s">
        <v>1172</v>
      </c>
      <c r="CI26" s="211" t="s">
        <v>1173</v>
      </c>
      <c r="CJ26" s="211" t="s">
        <v>1174</v>
      </c>
      <c r="CK26" s="211" t="s">
        <v>1216</v>
      </c>
      <c r="CL26" s="211" t="s">
        <v>1176</v>
      </c>
      <c r="CM26" s="211" t="s">
        <v>1177</v>
      </c>
      <c r="CN26" s="211" t="s">
        <v>1217</v>
      </c>
      <c r="CO26" s="211" t="s">
        <v>1179</v>
      </c>
      <c r="CP26" s="211" t="s">
        <v>1180</v>
      </c>
      <c r="CQ26" s="211" t="s">
        <v>1218</v>
      </c>
      <c r="CR26" s="211" t="s">
        <v>1182</v>
      </c>
      <c r="CS26" s="211" t="s">
        <v>1183</v>
      </c>
      <c r="CT26" s="211" t="s">
        <v>1219</v>
      </c>
      <c r="CU26" s="169" t="s">
        <v>1185</v>
      </c>
      <c r="CV26" s="169" t="s">
        <v>1186</v>
      </c>
      <c r="CW26" s="169" t="s">
        <v>1187</v>
      </c>
      <c r="CX26" s="169" t="s">
        <v>1188</v>
      </c>
      <c r="CY26" s="169" t="s">
        <v>1205</v>
      </c>
      <c r="CZ26" s="169" t="s">
        <v>1205</v>
      </c>
      <c r="DA26" s="211" t="s">
        <v>1158</v>
      </c>
      <c r="DB26" s="211" t="s">
        <v>1159</v>
      </c>
      <c r="DC26" s="211" t="s">
        <v>1160</v>
      </c>
      <c r="DD26" s="211" t="s">
        <v>1161</v>
      </c>
      <c r="DE26" s="211" t="s">
        <v>1162</v>
      </c>
      <c r="DF26" s="211" t="s">
        <v>1163</v>
      </c>
      <c r="DG26" s="211" t="s">
        <v>1164</v>
      </c>
      <c r="DH26" s="211" t="s">
        <v>1165</v>
      </c>
      <c r="DI26" s="211" t="s">
        <v>1166</v>
      </c>
      <c r="DJ26" s="211" t="s">
        <v>1167</v>
      </c>
      <c r="DK26" s="211" t="s">
        <v>1168</v>
      </c>
      <c r="DL26" s="211" t="s">
        <v>1169</v>
      </c>
      <c r="DM26" s="211" t="s">
        <v>1170</v>
      </c>
      <c r="DN26" s="211" t="s">
        <v>1171</v>
      </c>
      <c r="DO26" s="211" t="s">
        <v>1172</v>
      </c>
      <c r="DP26" s="211" t="s">
        <v>1173</v>
      </c>
      <c r="DQ26" s="211" t="s">
        <v>1174</v>
      </c>
      <c r="DR26" s="211" t="s">
        <v>1216</v>
      </c>
      <c r="DS26" s="211" t="s">
        <v>1176</v>
      </c>
      <c r="DT26" s="211" t="s">
        <v>1177</v>
      </c>
      <c r="DU26" s="211" t="s">
        <v>1217</v>
      </c>
      <c r="DV26" s="211" t="s">
        <v>1179</v>
      </c>
      <c r="DW26" s="211" t="s">
        <v>1180</v>
      </c>
      <c r="DX26" s="211" t="s">
        <v>1218</v>
      </c>
      <c r="DY26" s="211" t="s">
        <v>1182</v>
      </c>
      <c r="DZ26" s="211" t="s">
        <v>1183</v>
      </c>
      <c r="EA26" s="211" t="s">
        <v>1219</v>
      </c>
      <c r="EB26" s="169" t="s">
        <v>1185</v>
      </c>
      <c r="EC26" s="169" t="s">
        <v>1186</v>
      </c>
      <c r="ED26" s="169" t="s">
        <v>1187</v>
      </c>
      <c r="EE26" s="169" t="s">
        <v>1188</v>
      </c>
      <c r="EF26" s="169" t="s">
        <v>1205</v>
      </c>
      <c r="EG26" s="169" t="s">
        <v>1205</v>
      </c>
      <c r="EH26" s="211" t="s">
        <v>1158</v>
      </c>
      <c r="EI26" s="211" t="s">
        <v>1159</v>
      </c>
      <c r="EJ26" s="211" t="s">
        <v>1160</v>
      </c>
      <c r="EK26" s="211" t="s">
        <v>1161</v>
      </c>
      <c r="EL26" s="211" t="s">
        <v>1162</v>
      </c>
      <c r="EM26" s="211" t="s">
        <v>1163</v>
      </c>
      <c r="EN26" s="211" t="s">
        <v>1164</v>
      </c>
      <c r="EO26" s="211" t="s">
        <v>1165</v>
      </c>
      <c r="EP26" s="211" t="s">
        <v>1166</v>
      </c>
      <c r="EQ26" s="211" t="s">
        <v>1167</v>
      </c>
      <c r="ER26" s="211" t="s">
        <v>1168</v>
      </c>
      <c r="ES26" s="211" t="s">
        <v>1169</v>
      </c>
      <c r="ET26" s="211" t="s">
        <v>1170</v>
      </c>
      <c r="EU26" s="211" t="s">
        <v>1171</v>
      </c>
      <c r="EV26" s="211" t="s">
        <v>1172</v>
      </c>
      <c r="EW26" s="211" t="s">
        <v>1173</v>
      </c>
      <c r="EX26" s="211" t="s">
        <v>1174</v>
      </c>
      <c r="EY26" s="211" t="s">
        <v>1216</v>
      </c>
      <c r="EZ26" s="211" t="s">
        <v>1176</v>
      </c>
      <c r="FA26" s="211" t="s">
        <v>1177</v>
      </c>
      <c r="FB26" s="211" t="s">
        <v>1217</v>
      </c>
      <c r="FC26" s="211" t="s">
        <v>1179</v>
      </c>
      <c r="FD26" s="211" t="s">
        <v>1180</v>
      </c>
      <c r="FE26" s="211" t="s">
        <v>1218</v>
      </c>
      <c r="FF26" s="211" t="s">
        <v>1182</v>
      </c>
      <c r="FG26" s="211" t="s">
        <v>1183</v>
      </c>
      <c r="FH26" s="211" t="s">
        <v>1219</v>
      </c>
      <c r="FI26" s="169" t="s">
        <v>1185</v>
      </c>
      <c r="FJ26" s="169" t="s">
        <v>1186</v>
      </c>
      <c r="FK26" s="169" t="s">
        <v>1187</v>
      </c>
      <c r="FL26" s="169" t="s">
        <v>1188</v>
      </c>
      <c r="FM26" s="169" t="s">
        <v>1205</v>
      </c>
      <c r="FN26" s="169" t="s">
        <v>1205</v>
      </c>
      <c r="FO26" s="211" t="s">
        <v>1158</v>
      </c>
      <c r="FP26" s="211" t="s">
        <v>1159</v>
      </c>
      <c r="FQ26" s="211" t="s">
        <v>1160</v>
      </c>
      <c r="FR26" s="211" t="s">
        <v>1161</v>
      </c>
      <c r="FS26" s="211" t="s">
        <v>1162</v>
      </c>
      <c r="FT26" s="211" t="s">
        <v>1163</v>
      </c>
      <c r="FU26" s="211" t="s">
        <v>1164</v>
      </c>
      <c r="FV26" s="211" t="s">
        <v>1165</v>
      </c>
      <c r="FW26" s="211" t="s">
        <v>1166</v>
      </c>
      <c r="FX26" s="211" t="s">
        <v>1167</v>
      </c>
      <c r="FY26" s="211" t="s">
        <v>1168</v>
      </c>
      <c r="FZ26" s="211" t="s">
        <v>1169</v>
      </c>
      <c r="GA26" s="211" t="s">
        <v>1170</v>
      </c>
      <c r="GB26" s="211" t="s">
        <v>1171</v>
      </c>
      <c r="GC26" s="211" t="s">
        <v>1172</v>
      </c>
      <c r="GD26" s="211" t="s">
        <v>1173</v>
      </c>
      <c r="GE26" s="211" t="s">
        <v>1174</v>
      </c>
      <c r="GF26" s="211" t="s">
        <v>1216</v>
      </c>
      <c r="GG26" s="211" t="s">
        <v>1176</v>
      </c>
      <c r="GH26" s="211" t="s">
        <v>1177</v>
      </c>
      <c r="GI26" s="211" t="s">
        <v>1217</v>
      </c>
      <c r="GJ26" s="211" t="s">
        <v>1179</v>
      </c>
      <c r="GK26" s="211" t="s">
        <v>1180</v>
      </c>
      <c r="GL26" s="211" t="s">
        <v>1218</v>
      </c>
      <c r="GM26" s="211" t="s">
        <v>1182</v>
      </c>
      <c r="GN26" s="211" t="s">
        <v>1183</v>
      </c>
      <c r="GO26" s="211" t="s">
        <v>1219</v>
      </c>
      <c r="GP26" s="169" t="s">
        <v>1185</v>
      </c>
      <c r="GQ26" s="169" t="s">
        <v>1186</v>
      </c>
      <c r="GR26" s="169" t="s">
        <v>1187</v>
      </c>
      <c r="GS26" s="169" t="s">
        <v>1188</v>
      </c>
      <c r="GT26" s="169" t="s">
        <v>1205</v>
      </c>
      <c r="GU26" s="169" t="s">
        <v>1205</v>
      </c>
      <c r="GV26" s="211" t="s">
        <v>1158</v>
      </c>
      <c r="GW26" s="211" t="s">
        <v>1159</v>
      </c>
      <c r="GX26" s="211" t="s">
        <v>1160</v>
      </c>
      <c r="GY26" s="211" t="s">
        <v>1161</v>
      </c>
      <c r="GZ26" s="211" t="s">
        <v>1162</v>
      </c>
      <c r="HA26" s="211" t="s">
        <v>1163</v>
      </c>
      <c r="HB26" s="211" t="s">
        <v>1164</v>
      </c>
      <c r="HC26" s="211" t="s">
        <v>1165</v>
      </c>
      <c r="HD26" s="211" t="s">
        <v>1166</v>
      </c>
      <c r="HE26" s="211" t="s">
        <v>1167</v>
      </c>
      <c r="HF26" s="211" t="s">
        <v>1168</v>
      </c>
      <c r="HG26" s="211" t="s">
        <v>1169</v>
      </c>
      <c r="HH26" s="211" t="s">
        <v>1170</v>
      </c>
      <c r="HI26" s="211" t="s">
        <v>1171</v>
      </c>
      <c r="HJ26" s="211" t="s">
        <v>1172</v>
      </c>
      <c r="HK26" s="211" t="s">
        <v>1173</v>
      </c>
      <c r="HL26" s="211" t="s">
        <v>1174</v>
      </c>
      <c r="HM26" s="211" t="s">
        <v>1216</v>
      </c>
      <c r="HN26" s="211" t="s">
        <v>1176</v>
      </c>
      <c r="HO26" s="211" t="s">
        <v>1177</v>
      </c>
      <c r="HP26" s="211" t="s">
        <v>1217</v>
      </c>
      <c r="HQ26" s="211" t="s">
        <v>1179</v>
      </c>
      <c r="HR26" s="211" t="s">
        <v>1180</v>
      </c>
      <c r="HS26" s="211" t="s">
        <v>1218</v>
      </c>
      <c r="HT26" s="211" t="s">
        <v>1182</v>
      </c>
      <c r="HU26" s="211" t="s">
        <v>1183</v>
      </c>
      <c r="HV26" s="211" t="s">
        <v>1219</v>
      </c>
      <c r="HW26" s="169" t="s">
        <v>1185</v>
      </c>
      <c r="HX26" s="169" t="s">
        <v>1186</v>
      </c>
      <c r="HY26" s="169" t="s">
        <v>1187</v>
      </c>
      <c r="HZ26" s="169" t="s">
        <v>1188</v>
      </c>
      <c r="IA26" s="169" t="s">
        <v>1205</v>
      </c>
      <c r="IB26" s="169" t="s">
        <v>1205</v>
      </c>
      <c r="IC26" s="211" t="s">
        <v>1158</v>
      </c>
      <c r="ID26" s="211" t="s">
        <v>1159</v>
      </c>
      <c r="IE26" s="211" t="s">
        <v>1160</v>
      </c>
      <c r="IF26" s="211" t="s">
        <v>1161</v>
      </c>
      <c r="IG26" s="211" t="s">
        <v>1162</v>
      </c>
      <c r="IH26" s="211" t="s">
        <v>1163</v>
      </c>
      <c r="II26" s="211" t="s">
        <v>1164</v>
      </c>
      <c r="IJ26" s="211" t="s">
        <v>1165</v>
      </c>
      <c r="IK26" s="211" t="s">
        <v>1166</v>
      </c>
      <c r="IL26" s="211" t="s">
        <v>1167</v>
      </c>
      <c r="IM26" s="211" t="s">
        <v>1168</v>
      </c>
      <c r="IN26" s="211" t="s">
        <v>1169</v>
      </c>
      <c r="IO26" s="211" t="s">
        <v>1170</v>
      </c>
      <c r="IP26" s="211" t="s">
        <v>1171</v>
      </c>
      <c r="IQ26" s="211" t="s">
        <v>1172</v>
      </c>
      <c r="IR26" s="211" t="s">
        <v>1173</v>
      </c>
      <c r="IS26" s="211" t="s">
        <v>1174</v>
      </c>
      <c r="IT26" s="211" t="s">
        <v>1216</v>
      </c>
      <c r="IU26" s="211" t="s">
        <v>1176</v>
      </c>
      <c r="IV26" s="211" t="s">
        <v>1177</v>
      </c>
      <c r="IW26" s="211" t="s">
        <v>1217</v>
      </c>
      <c r="IX26" s="211" t="s">
        <v>1179</v>
      </c>
      <c r="IY26" s="211" t="s">
        <v>1180</v>
      </c>
      <c r="IZ26" s="211" t="s">
        <v>1218</v>
      </c>
      <c r="JA26" s="211" t="s">
        <v>1182</v>
      </c>
      <c r="JB26" s="211" t="s">
        <v>1183</v>
      </c>
      <c r="JC26" s="211" t="s">
        <v>1219</v>
      </c>
      <c r="JD26" s="169" t="s">
        <v>1185</v>
      </c>
      <c r="JE26" s="169" t="s">
        <v>1186</v>
      </c>
      <c r="JF26" s="169" t="s">
        <v>1187</v>
      </c>
      <c r="JG26" s="169" t="s">
        <v>1188</v>
      </c>
      <c r="JH26" s="169" t="s">
        <v>1205</v>
      </c>
      <c r="JI26" s="169" t="s">
        <v>1205</v>
      </c>
      <c r="JJ26" s="211" t="s">
        <v>1158</v>
      </c>
      <c r="JK26" s="211" t="s">
        <v>1159</v>
      </c>
      <c r="JL26" s="211" t="s">
        <v>1160</v>
      </c>
      <c r="JM26" s="211" t="s">
        <v>1161</v>
      </c>
      <c r="JN26" s="211" t="s">
        <v>1162</v>
      </c>
      <c r="JO26" s="211" t="s">
        <v>1163</v>
      </c>
      <c r="JP26" s="211" t="s">
        <v>1164</v>
      </c>
      <c r="JQ26" s="211" t="s">
        <v>1165</v>
      </c>
      <c r="JR26" s="211" t="s">
        <v>1166</v>
      </c>
      <c r="JS26" s="211" t="s">
        <v>1167</v>
      </c>
      <c r="JT26" s="211" t="s">
        <v>1168</v>
      </c>
      <c r="JU26" s="211" t="s">
        <v>1169</v>
      </c>
      <c r="JV26" s="211" t="s">
        <v>1170</v>
      </c>
      <c r="JW26" s="211" t="s">
        <v>1171</v>
      </c>
      <c r="JX26" s="211" t="s">
        <v>1172</v>
      </c>
      <c r="JY26" s="211" t="s">
        <v>1173</v>
      </c>
      <c r="JZ26" s="211" t="s">
        <v>1174</v>
      </c>
      <c r="KA26" s="211" t="s">
        <v>1176</v>
      </c>
      <c r="KB26" s="211" t="s">
        <v>1177</v>
      </c>
      <c r="KC26" s="211" t="s">
        <v>1179</v>
      </c>
      <c r="KD26" s="211" t="s">
        <v>1180</v>
      </c>
      <c r="KE26" s="211" t="s">
        <v>1182</v>
      </c>
      <c r="KF26" s="211" t="s">
        <v>1183</v>
      </c>
      <c r="KG26" s="169" t="s">
        <v>1185</v>
      </c>
      <c r="KH26" s="169" t="s">
        <v>1186</v>
      </c>
      <c r="KI26" s="169" t="s">
        <v>1187</v>
      </c>
      <c r="KJ26" s="169" t="s">
        <v>1188</v>
      </c>
      <c r="KK26" s="169" t="s">
        <v>1205</v>
      </c>
      <c r="KL26" s="211" t="s">
        <v>1158</v>
      </c>
      <c r="KM26" s="211" t="s">
        <v>1159</v>
      </c>
      <c r="KN26" s="211" t="s">
        <v>1160</v>
      </c>
      <c r="KO26" s="211" t="s">
        <v>1161</v>
      </c>
      <c r="KP26" s="211" t="s">
        <v>1162</v>
      </c>
      <c r="KQ26" s="211" t="s">
        <v>1163</v>
      </c>
      <c r="KR26" s="211" t="s">
        <v>1164</v>
      </c>
      <c r="KS26" s="211" t="s">
        <v>1165</v>
      </c>
      <c r="KT26" s="211" t="s">
        <v>1166</v>
      </c>
      <c r="KU26" s="211" t="s">
        <v>1167</v>
      </c>
      <c r="KV26" s="211" t="s">
        <v>1168</v>
      </c>
      <c r="KW26" s="211" t="s">
        <v>1169</v>
      </c>
      <c r="KX26" s="211" t="s">
        <v>1170</v>
      </c>
      <c r="KY26" s="211" t="s">
        <v>1171</v>
      </c>
      <c r="KZ26" s="211" t="s">
        <v>1172</v>
      </c>
      <c r="LA26" s="211" t="s">
        <v>1173</v>
      </c>
      <c r="LB26" s="211" t="s">
        <v>1174</v>
      </c>
      <c r="LC26" s="211" t="s">
        <v>1216</v>
      </c>
      <c r="LD26" s="211" t="s">
        <v>1176</v>
      </c>
      <c r="LE26" s="211" t="s">
        <v>1177</v>
      </c>
      <c r="LF26" s="211" t="s">
        <v>1217</v>
      </c>
      <c r="LG26" s="211" t="s">
        <v>1179</v>
      </c>
      <c r="LH26" s="211" t="s">
        <v>1180</v>
      </c>
      <c r="LI26" s="211" t="s">
        <v>1218</v>
      </c>
      <c r="LJ26" s="211" t="s">
        <v>1182</v>
      </c>
      <c r="LK26" s="211" t="s">
        <v>1183</v>
      </c>
      <c r="LL26" s="211" t="s">
        <v>1219</v>
      </c>
      <c r="LM26" s="169" t="s">
        <v>1185</v>
      </c>
      <c r="LN26" s="169" t="s">
        <v>1186</v>
      </c>
      <c r="LO26" s="169" t="s">
        <v>1187</v>
      </c>
      <c r="LP26" s="169" t="s">
        <v>1188</v>
      </c>
      <c r="LQ26" s="169" t="s">
        <v>1205</v>
      </c>
      <c r="LR26" s="169" t="s">
        <v>1205</v>
      </c>
      <c r="LS26" s="684"/>
      <c r="LT26" s="684"/>
      <c r="LU26" s="166"/>
    </row>
    <row r="27" spans="1:333">
      <c r="A27" s="143" t="s">
        <v>303</v>
      </c>
      <c r="B27" s="143"/>
      <c r="C27" s="143"/>
      <c r="D27" s="143"/>
      <c r="E27" s="143"/>
      <c r="F27" s="174">
        <f t="shared" ref="F27:V27" si="25">F7-F17</f>
        <v>-1112.8913561774193</v>
      </c>
      <c r="G27" s="174">
        <f t="shared" si="25"/>
        <v>-1189.2613857274187</v>
      </c>
      <c r="H27" s="174">
        <f t="shared" si="25"/>
        <v>-1120.7186327274189</v>
      </c>
      <c r="I27" s="174">
        <f t="shared" si="25"/>
        <v>-1703.0334937274188</v>
      </c>
      <c r="J27" s="174">
        <f t="shared" si="25"/>
        <v>-1327.4336787274187</v>
      </c>
      <c r="K27" s="174">
        <f t="shared" si="25"/>
        <v>-1940.7376607274186</v>
      </c>
      <c r="L27" s="174">
        <f t="shared" si="25"/>
        <v>-1703.3288311951555</v>
      </c>
      <c r="M27" s="174">
        <f t="shared" si="25"/>
        <v>-2138.6998747274188</v>
      </c>
      <c r="N27" s="174">
        <f t="shared" si="25"/>
        <v>-1682.847422497528</v>
      </c>
      <c r="O27" s="174">
        <f t="shared" si="25"/>
        <v>-1657.1162997274187</v>
      </c>
      <c r="P27" s="174">
        <f t="shared" si="25"/>
        <v>-518.74239594257597</v>
      </c>
      <c r="Q27" s="174">
        <f t="shared" si="25"/>
        <v>-2101.5582067274186</v>
      </c>
      <c r="R27" s="174">
        <f t="shared" si="25"/>
        <v>0</v>
      </c>
      <c r="S27" s="174">
        <f t="shared" si="25"/>
        <v>-394.81938072741832</v>
      </c>
      <c r="T27" s="174">
        <f t="shared" si="25"/>
        <v>0</v>
      </c>
      <c r="U27" s="174">
        <f t="shared" si="25"/>
        <v>-5121.8355577274187</v>
      </c>
      <c r="V27" s="174">
        <f t="shared" si="25"/>
        <v>0</v>
      </c>
      <c r="W27" s="174">
        <f t="shared" ref="W27:AF27" si="26">W7-W17</f>
        <v>-596.50739572741895</v>
      </c>
      <c r="X27" s="174">
        <f t="shared" si="26"/>
        <v>-5121.8355577274187</v>
      </c>
      <c r="Y27" s="174">
        <f t="shared" si="26"/>
        <v>0</v>
      </c>
      <c r="Z27" s="174">
        <f t="shared" si="26"/>
        <v>-390.50739572741895</v>
      </c>
      <c r="AA27" s="174">
        <f t="shared" si="26"/>
        <v>-5121.8355577274187</v>
      </c>
      <c r="AB27" s="174">
        <f t="shared" si="26"/>
        <v>0</v>
      </c>
      <c r="AC27" s="174">
        <f t="shared" si="26"/>
        <v>-5.5073957274189524</v>
      </c>
      <c r="AD27" s="174">
        <f t="shared" si="26"/>
        <v>-5121.8355577274187</v>
      </c>
      <c r="AE27" s="174">
        <f t="shared" si="26"/>
        <v>0</v>
      </c>
      <c r="AF27" s="174">
        <f t="shared" si="26"/>
        <v>198.9006042725814</v>
      </c>
      <c r="AG27" s="170">
        <f>SUM(F27,G27,J27)</f>
        <v>-3629.5864206322567</v>
      </c>
      <c r="AH27" s="170">
        <f>SUM(K27,M27,O27)</f>
        <v>-5736.5538351822561</v>
      </c>
      <c r="AI27" s="170">
        <f>SUM(Q27,S27,V27)</f>
        <v>-2496.3775874548369</v>
      </c>
      <c r="AJ27" s="170">
        <f>SUM(Y27,AB27,AE27)</f>
        <v>0</v>
      </c>
      <c r="AK27" s="170">
        <f>AG27+AH27+AI27+AJ27</f>
        <v>-11862.51784326935</v>
      </c>
      <c r="AL27" s="170">
        <f>F27+G27+I27+K27+M27+O27+Q27+S27+W27+Z27+AC27+AF27</f>
        <v>-13031.739241179024</v>
      </c>
      <c r="AM27" s="174">
        <f t="shared" ref="AM27:BM27" si="27">AM7-AM17</f>
        <v>-1013.8089518406409</v>
      </c>
      <c r="AN27" s="174">
        <f t="shared" si="27"/>
        <v>-2001.1475078406406</v>
      </c>
      <c r="AO27" s="174">
        <f t="shared" si="27"/>
        <v>-2260.6315458406407</v>
      </c>
      <c r="AP27" s="174">
        <f t="shared" si="27"/>
        <v>2292.5588181593589</v>
      </c>
      <c r="AQ27" s="174">
        <f t="shared" si="27"/>
        <v>-223.63154584064114</v>
      </c>
      <c r="AR27" s="174">
        <f t="shared" si="27"/>
        <v>533.18396115935911</v>
      </c>
      <c r="AS27" s="174">
        <f t="shared" si="27"/>
        <v>33.781537783052045</v>
      </c>
      <c r="AT27" s="174">
        <f t="shared" si="27"/>
        <v>-2595.6913418406407</v>
      </c>
      <c r="AU27" s="174">
        <f t="shared" si="27"/>
        <v>-755.49332104956375</v>
      </c>
      <c r="AV27" s="174">
        <f t="shared" si="27"/>
        <v>-725.68819884064123</v>
      </c>
      <c r="AW27" s="174">
        <f t="shared" si="27"/>
        <v>224.78129195778365</v>
      </c>
      <c r="AX27" s="174">
        <f t="shared" si="27"/>
        <v>-1082.054200840641</v>
      </c>
      <c r="AY27" s="174">
        <f t="shared" si="27"/>
        <v>0</v>
      </c>
      <c r="AZ27" s="174">
        <f t="shared" si="27"/>
        <v>-1960.1458568406406</v>
      </c>
      <c r="BA27" s="174">
        <f t="shared" si="27"/>
        <v>0</v>
      </c>
      <c r="BB27" s="174">
        <f t="shared" si="27"/>
        <v>-3933.6315458406411</v>
      </c>
      <c r="BC27" s="174">
        <f t="shared" si="27"/>
        <v>0</v>
      </c>
      <c r="BD27" s="174">
        <f t="shared" si="27"/>
        <v>-114.13154584064114</v>
      </c>
      <c r="BE27" s="174">
        <f t="shared" si="27"/>
        <v>-3753.6315458406411</v>
      </c>
      <c r="BF27" s="174">
        <f t="shared" si="27"/>
        <v>0</v>
      </c>
      <c r="BG27" s="174">
        <f t="shared" si="27"/>
        <v>240.86845415935886</v>
      </c>
      <c r="BH27" s="174">
        <f t="shared" si="27"/>
        <v>-3753.6315458406411</v>
      </c>
      <c r="BI27" s="174">
        <f t="shared" si="27"/>
        <v>0</v>
      </c>
      <c r="BJ27" s="174">
        <f t="shared" si="27"/>
        <v>415.86845415935886</v>
      </c>
      <c r="BK27" s="174">
        <f t="shared" si="27"/>
        <v>-5533.6315458406407</v>
      </c>
      <c r="BL27" s="174">
        <f t="shared" si="27"/>
        <v>0</v>
      </c>
      <c r="BM27" s="174">
        <f t="shared" si="27"/>
        <v>-1178.731545840641</v>
      </c>
      <c r="BN27" s="170">
        <f>SUM(AM27,AN27,AQ27)</f>
        <v>-3238.5880055219227</v>
      </c>
      <c r="BO27" s="170">
        <f>SUM(AR27,AT27,AV27)</f>
        <v>-2788.1955795219228</v>
      </c>
      <c r="BP27" s="170">
        <f>SUM(AX27,AZ27,BC27)</f>
        <v>-3042.2000576812816</v>
      </c>
      <c r="BQ27" s="170">
        <f>SUM(BF27,BI27,BL27)</f>
        <v>0</v>
      </c>
      <c r="BR27" s="170">
        <f>BN27+BO27+BP27+BQ27</f>
        <v>-9068.9836427251284</v>
      </c>
      <c r="BS27" s="170">
        <f>AM27+AN27+AP27+AR27+AT27+AV27+AX27+AZ27+BD27+BG27+BJ27+BM27</f>
        <v>-7188.9194620876915</v>
      </c>
      <c r="BT27" s="174">
        <f t="shared" ref="BT27:CT27" si="28">BT7-BT17</f>
        <v>-583.40000000000009</v>
      </c>
      <c r="BU27" s="174">
        <f t="shared" si="28"/>
        <v>-733.40000000000009</v>
      </c>
      <c r="BV27" s="174">
        <f t="shared" si="28"/>
        <v>-776.90000000000009</v>
      </c>
      <c r="BW27" s="174">
        <f t="shared" si="28"/>
        <v>-852.40000000000009</v>
      </c>
      <c r="BX27" s="174">
        <f t="shared" si="28"/>
        <v>613.89999999999986</v>
      </c>
      <c r="BY27" s="174">
        <f t="shared" si="28"/>
        <v>542</v>
      </c>
      <c r="BZ27" s="174">
        <f t="shared" si="28"/>
        <v>174.39999999999986</v>
      </c>
      <c r="CA27" s="174">
        <f t="shared" si="28"/>
        <v>-490.11426800000004</v>
      </c>
      <c r="CB27" s="174">
        <f t="shared" si="28"/>
        <v>-194.95000000000005</v>
      </c>
      <c r="CC27" s="174">
        <f t="shared" si="28"/>
        <v>-510.21815500000002</v>
      </c>
      <c r="CD27" s="174">
        <f t="shared" si="28"/>
        <v>-194.95000000000005</v>
      </c>
      <c r="CE27" s="174">
        <f t="shared" si="28"/>
        <v>-460.77081900000007</v>
      </c>
      <c r="CF27" s="174">
        <f t="shared" si="28"/>
        <v>246.69000000000028</v>
      </c>
      <c r="CG27" s="174">
        <f t="shared" si="28"/>
        <v>-531.56895000000009</v>
      </c>
      <c r="CH27" s="174">
        <f t="shared" si="28"/>
        <v>246.69000000000028</v>
      </c>
      <c r="CI27" s="174">
        <f t="shared" si="28"/>
        <v>-1781.65</v>
      </c>
      <c r="CJ27" s="174">
        <f t="shared" si="28"/>
        <v>0</v>
      </c>
      <c r="CK27" s="174">
        <f t="shared" si="28"/>
        <v>-398.35000000000014</v>
      </c>
      <c r="CL27" s="174">
        <f t="shared" si="28"/>
        <v>-1781.65</v>
      </c>
      <c r="CM27" s="174">
        <f t="shared" si="28"/>
        <v>0</v>
      </c>
      <c r="CN27" s="174">
        <f t="shared" si="28"/>
        <v>-287.85000000000014</v>
      </c>
      <c r="CO27" s="174">
        <f t="shared" si="28"/>
        <v>-1781.65</v>
      </c>
      <c r="CP27" s="174">
        <f t="shared" si="28"/>
        <v>0</v>
      </c>
      <c r="CQ27" s="174">
        <f t="shared" si="28"/>
        <v>-177.35000000000014</v>
      </c>
      <c r="CR27" s="174">
        <f t="shared" si="28"/>
        <v>-1781.65</v>
      </c>
      <c r="CS27" s="174">
        <f t="shared" si="28"/>
        <v>0</v>
      </c>
      <c r="CT27" s="174">
        <f t="shared" si="28"/>
        <v>-86.850000000000136</v>
      </c>
      <c r="CU27" s="170">
        <f>SUM(BT27,BU27,BW27)</f>
        <v>-2169.2000000000003</v>
      </c>
      <c r="CV27" s="170">
        <f>SUM(BY27,CA27,CC27)</f>
        <v>-458.33242300000006</v>
      </c>
      <c r="CW27" s="170">
        <f>SUM(CE27,CG27,CJ27)</f>
        <v>-992.33976900000016</v>
      </c>
      <c r="CX27" s="170">
        <f>SUM(CM27,CP27,CS27)</f>
        <v>0</v>
      </c>
      <c r="CY27" s="170">
        <f>CU27+CV27+CW27+CX27</f>
        <v>-3619.8721920000007</v>
      </c>
      <c r="CZ27" s="170">
        <f>BT27+BU27+BW27+BY27+CA27+CC27+CE27+CG27+CK27+CN27+CQ27+CT27</f>
        <v>-4570.2721920000013</v>
      </c>
      <c r="DA27" s="174">
        <f t="shared" ref="DA27:EA27" si="29">DA7-DA17</f>
        <v>-729.24801000000025</v>
      </c>
      <c r="DB27" s="174">
        <f t="shared" si="29"/>
        <v>-1014.5615370000005</v>
      </c>
      <c r="DC27" s="174">
        <f t="shared" si="29"/>
        <v>-219.09451799999988</v>
      </c>
      <c r="DD27" s="174">
        <f t="shared" si="29"/>
        <v>-164.71294299999863</v>
      </c>
      <c r="DE27" s="174">
        <f t="shared" si="29"/>
        <v>587.1848229999996</v>
      </c>
      <c r="DF27" s="174">
        <f t="shared" si="29"/>
        <v>-710.05472500000178</v>
      </c>
      <c r="DG27" s="174">
        <f t="shared" si="29"/>
        <v>655.63557832713013</v>
      </c>
      <c r="DH27" s="174">
        <f t="shared" si="29"/>
        <v>-663.28535499999998</v>
      </c>
      <c r="DI27" s="174">
        <f t="shared" si="29"/>
        <v>1650.5041455537403</v>
      </c>
      <c r="DJ27" s="174">
        <f t="shared" si="29"/>
        <v>-322.24046700000054</v>
      </c>
      <c r="DK27" s="174">
        <f t="shared" si="29"/>
        <v>863.51933413641382</v>
      </c>
      <c r="DL27" s="174">
        <f t="shared" si="29"/>
        <v>-475.400936</v>
      </c>
      <c r="DM27" s="174">
        <f t="shared" si="29"/>
        <v>-34.165672931202607</v>
      </c>
      <c r="DN27" s="174">
        <f t="shared" si="29"/>
        <v>-522.75112200000058</v>
      </c>
      <c r="DO27" s="174">
        <f t="shared" si="29"/>
        <v>-171.5643366185941</v>
      </c>
      <c r="DP27" s="174">
        <f t="shared" si="29"/>
        <v>-7313.2394990000003</v>
      </c>
      <c r="DQ27" s="174">
        <f t="shared" si="29"/>
        <v>-189.90715560682384</v>
      </c>
      <c r="DR27" s="174">
        <f t="shared" si="29"/>
        <v>1311.4205599999996</v>
      </c>
      <c r="DS27" s="174">
        <f t="shared" si="29"/>
        <v>-7423.2394990000003</v>
      </c>
      <c r="DT27" s="174">
        <f t="shared" si="29"/>
        <v>-230.17779544770838</v>
      </c>
      <c r="DU27" s="174">
        <f t="shared" si="29"/>
        <v>1581.4205599999996</v>
      </c>
      <c r="DV27" s="174">
        <f t="shared" si="29"/>
        <v>-7263.2394990000003</v>
      </c>
      <c r="DW27" s="174">
        <f t="shared" si="29"/>
        <v>-318.0579261242674</v>
      </c>
      <c r="DX27" s="174">
        <f t="shared" si="29"/>
        <v>1786.4205599999996</v>
      </c>
      <c r="DY27" s="174">
        <f t="shared" si="29"/>
        <v>-7263.2394990000003</v>
      </c>
      <c r="DZ27" s="174">
        <f t="shared" si="29"/>
        <v>-371.15595865408613</v>
      </c>
      <c r="EA27" s="174">
        <f t="shared" si="29"/>
        <v>1911.4205599999996</v>
      </c>
      <c r="EB27" s="170">
        <f>SUM(DA27,DB27,DE27)</f>
        <v>-1156.6247240000012</v>
      </c>
      <c r="EC27" s="170">
        <f>SUM(DF27,DH27,DJ27)</f>
        <v>-1695.5805470000023</v>
      </c>
      <c r="ED27" s="170">
        <f>SUM(DL27,DN27,DQ27)</f>
        <v>-1188.0592136068244</v>
      </c>
      <c r="EE27" s="170">
        <f>SUM(DT27,DW27,DZ27)</f>
        <v>-919.39168022606191</v>
      </c>
      <c r="EF27" s="170">
        <f>EB27+EC27+ED27+EE27</f>
        <v>-4959.6561648328898</v>
      </c>
      <c r="EG27" s="170">
        <f>DA27+DB27+DD27+DF27+DH27+DJ27+DL27+DN27+DR27+DU27+DX27+EA27</f>
        <v>1988.427144999996</v>
      </c>
      <c r="EH27" s="174">
        <f t="shared" ref="EH27:FH27" si="30">EH7-EH17</f>
        <v>0</v>
      </c>
      <c r="EI27" s="174">
        <f t="shared" si="30"/>
        <v>0</v>
      </c>
      <c r="EJ27" s="174">
        <f t="shared" si="30"/>
        <v>264</v>
      </c>
      <c r="EK27" s="174">
        <f t="shared" si="30"/>
        <v>587.9188749999995</v>
      </c>
      <c r="EL27" s="174">
        <f t="shared" si="30"/>
        <v>2027.2969000000001</v>
      </c>
      <c r="EM27" s="174">
        <f t="shared" si="30"/>
        <v>1571.5254660000001</v>
      </c>
      <c r="EN27" s="174">
        <f t="shared" si="30"/>
        <v>421.03162170002906</v>
      </c>
      <c r="EO27" s="174">
        <f t="shared" si="30"/>
        <v>0</v>
      </c>
      <c r="EP27" s="174">
        <f t="shared" si="30"/>
        <v>1562.3114956736711</v>
      </c>
      <c r="EQ27" s="174">
        <f t="shared" si="30"/>
        <v>132.19999999999999</v>
      </c>
      <c r="ER27" s="174">
        <f t="shared" si="30"/>
        <v>207.01754385964912</v>
      </c>
      <c r="ES27" s="174">
        <f t="shared" si="30"/>
        <v>0</v>
      </c>
      <c r="ET27" s="174">
        <f t="shared" si="30"/>
        <v>291.65393668093947</v>
      </c>
      <c r="EU27" s="174">
        <f t="shared" si="30"/>
        <v>80</v>
      </c>
      <c r="EV27" s="174">
        <f t="shared" si="30"/>
        <v>1197.5164662476086</v>
      </c>
      <c r="EW27" s="174">
        <f t="shared" si="30"/>
        <v>0</v>
      </c>
      <c r="EX27" s="174">
        <f t="shared" si="30"/>
        <v>3164.2323084112149</v>
      </c>
      <c r="EY27" s="174">
        <f t="shared" si="30"/>
        <v>1480</v>
      </c>
      <c r="EZ27" s="174">
        <f t="shared" si="30"/>
        <v>0</v>
      </c>
      <c r="FA27" s="174">
        <f t="shared" si="30"/>
        <v>3371.8818886792451</v>
      </c>
      <c r="FB27" s="174">
        <f t="shared" si="30"/>
        <v>1680</v>
      </c>
      <c r="FC27" s="174">
        <f t="shared" si="30"/>
        <v>0</v>
      </c>
      <c r="FD27" s="174">
        <f t="shared" si="30"/>
        <v>1556.0114761664986</v>
      </c>
      <c r="FE27" s="174">
        <f t="shared" si="30"/>
        <v>1715</v>
      </c>
      <c r="FF27" s="174">
        <f t="shared" si="30"/>
        <v>0</v>
      </c>
      <c r="FG27" s="174">
        <f t="shared" si="30"/>
        <v>552.79768786127158</v>
      </c>
      <c r="FH27" s="174">
        <f t="shared" si="30"/>
        <v>1350</v>
      </c>
      <c r="FI27" s="170">
        <f>SUM(EH27,EI27,EL27)</f>
        <v>2027.2969000000001</v>
      </c>
      <c r="FJ27" s="170">
        <f>SUM(EM27,EO27,EQ27)</f>
        <v>1703.7254660000001</v>
      </c>
      <c r="FK27" s="170">
        <f>SUM(ES27,EU27,EX27)</f>
        <v>3244.2323084112149</v>
      </c>
      <c r="FL27" s="170">
        <f>SUM(FA27,FD27,FG27)</f>
        <v>5480.6910527070158</v>
      </c>
      <c r="FM27" s="170">
        <f>FI27+FJ27+FK27+FL27</f>
        <v>12455.945727118231</v>
      </c>
      <c r="FN27" s="170">
        <f>EH27+EI27+EK27+EM27+EO27+EQ27+ES27+EU27+EY27+FB27+FE27+FH27</f>
        <v>8596.6443409999993</v>
      </c>
      <c r="FO27" s="174">
        <f t="shared" ref="FO27:GO27" si="31">FO7-FO17</f>
        <v>-1091.3372639999998</v>
      </c>
      <c r="FP27" s="174">
        <f t="shared" si="31"/>
        <v>-1209.8575109999999</v>
      </c>
      <c r="FQ27" s="174">
        <f t="shared" si="31"/>
        <v>-1244.3030000000001</v>
      </c>
      <c r="FR27" s="174">
        <f t="shared" si="31"/>
        <v>-1177.6929310000007</v>
      </c>
      <c r="FS27" s="174">
        <f t="shared" si="31"/>
        <v>-1764.5</v>
      </c>
      <c r="FT27" s="174">
        <f t="shared" si="31"/>
        <v>-1426.4248339999997</v>
      </c>
      <c r="FU27" s="174">
        <f t="shared" si="31"/>
        <v>-1109.4974630755862</v>
      </c>
      <c r="FV27" s="174">
        <f t="shared" si="31"/>
        <v>-1290.4568879999999</v>
      </c>
      <c r="FW27" s="174">
        <f t="shared" si="31"/>
        <v>-1661.0658782237551</v>
      </c>
      <c r="FX27" s="174">
        <f t="shared" si="31"/>
        <v>-214.26753099999996</v>
      </c>
      <c r="FY27" s="174">
        <f t="shared" si="31"/>
        <v>-1359.2934272441819</v>
      </c>
      <c r="FZ27" s="174">
        <f t="shared" si="31"/>
        <v>-454.34133999999995</v>
      </c>
      <c r="GA27" s="174">
        <f t="shared" si="31"/>
        <v>-316.38051179065087</v>
      </c>
      <c r="GB27" s="174">
        <f t="shared" si="31"/>
        <v>-410.19614300000012</v>
      </c>
      <c r="GC27" s="174">
        <f t="shared" si="31"/>
        <v>-296.76757423776917</v>
      </c>
      <c r="GD27" s="174">
        <f t="shared" si="31"/>
        <v>-3133.5</v>
      </c>
      <c r="GE27" s="174">
        <f t="shared" si="31"/>
        <v>297.48684258287085</v>
      </c>
      <c r="GF27" s="174">
        <f t="shared" si="31"/>
        <v>119.5</v>
      </c>
      <c r="GG27" s="174">
        <f t="shared" si="31"/>
        <v>-3134</v>
      </c>
      <c r="GH27" s="174">
        <f t="shared" si="31"/>
        <v>-382.53910844587563</v>
      </c>
      <c r="GI27" s="174">
        <f t="shared" si="31"/>
        <v>269</v>
      </c>
      <c r="GJ27" s="174">
        <f t="shared" si="31"/>
        <v>-3130.5</v>
      </c>
      <c r="GK27" s="174">
        <f t="shared" si="31"/>
        <v>205.42122640709613</v>
      </c>
      <c r="GL27" s="174">
        <f t="shared" si="31"/>
        <v>387.5</v>
      </c>
      <c r="GM27" s="174">
        <f t="shared" si="31"/>
        <v>-3137.5</v>
      </c>
      <c r="GN27" s="174">
        <f t="shared" si="31"/>
        <v>58.050199442185658</v>
      </c>
      <c r="GO27" s="174">
        <f t="shared" si="31"/>
        <v>410.5</v>
      </c>
      <c r="GP27" s="170">
        <f>SUM(FO27,FP27,FS27)</f>
        <v>-4065.6947749999999</v>
      </c>
      <c r="GQ27" s="170">
        <f>SUM(FT27,FV27,FX27)</f>
        <v>-2931.1492529999996</v>
      </c>
      <c r="GR27" s="170">
        <f>SUM(FZ27,GB27,GE27)</f>
        <v>-567.05064041712922</v>
      </c>
      <c r="GS27" s="170">
        <f>SUM(GH27,GK27,GN27)</f>
        <v>-119.06768259659384</v>
      </c>
      <c r="GT27" s="170">
        <f>GP27+GQ27+GR27+GS27</f>
        <v>-7682.9623510137226</v>
      </c>
      <c r="GU27" s="170">
        <f>FO27+FP27+FR27+FT27+FV27+FX27+FZ27+GB27+GF27+GI27+GL27+GO27</f>
        <v>-6088.0744419999992</v>
      </c>
      <c r="GV27" s="174">
        <f t="shared" ref="GV27:HV27" si="32">GV7-GV17</f>
        <v>-1329.0418888728771</v>
      </c>
      <c r="GW27" s="174">
        <f t="shared" si="32"/>
        <v>-217.1141888200591</v>
      </c>
      <c r="GX27" s="174">
        <f t="shared" si="32"/>
        <v>-2784.1141888200591</v>
      </c>
      <c r="GY27" s="174">
        <f t="shared" si="32"/>
        <v>-601.58713629210888</v>
      </c>
      <c r="GZ27" s="174">
        <f t="shared" si="32"/>
        <v>-2895.7584992921093</v>
      </c>
      <c r="HA27" s="174">
        <f t="shared" si="32"/>
        <v>-548.59905754033934</v>
      </c>
      <c r="HB27" s="174">
        <f t="shared" si="32"/>
        <v>-715.49692054033949</v>
      </c>
      <c r="HC27" s="174">
        <f t="shared" si="32"/>
        <v>-1232.5588158416904</v>
      </c>
      <c r="HD27" s="174">
        <f t="shared" si="32"/>
        <v>-953.81546284169008</v>
      </c>
      <c r="HE27" s="174">
        <f t="shared" si="32"/>
        <v>-931.80463249879449</v>
      </c>
      <c r="HF27" s="174">
        <f t="shared" si="32"/>
        <v>1183.0018635012057</v>
      </c>
      <c r="HG27" s="174">
        <f t="shared" si="32"/>
        <v>-1038.3542508400412</v>
      </c>
      <c r="HH27" s="174">
        <f t="shared" si="32"/>
        <v>0</v>
      </c>
      <c r="HI27" s="174">
        <f t="shared" si="32"/>
        <v>-1254.1248692196414</v>
      </c>
      <c r="HJ27" s="174">
        <f t="shared" si="32"/>
        <v>0</v>
      </c>
      <c r="HK27" s="174">
        <f t="shared" si="32"/>
        <v>-3226.8610490176907</v>
      </c>
      <c r="HL27" s="174">
        <f t="shared" si="32"/>
        <v>0</v>
      </c>
      <c r="HM27" s="174">
        <f t="shared" si="32"/>
        <v>-1407.1184490176909</v>
      </c>
      <c r="HN27" s="174">
        <f t="shared" si="32"/>
        <v>-3390.0343516402345</v>
      </c>
      <c r="HO27" s="174">
        <f t="shared" si="32"/>
        <v>0</v>
      </c>
      <c r="HP27" s="174">
        <f t="shared" si="32"/>
        <v>-564.70324052912383</v>
      </c>
      <c r="HQ27" s="174">
        <f t="shared" si="32"/>
        <v>-3402.7118375193349</v>
      </c>
      <c r="HR27" s="174">
        <f t="shared" si="32"/>
        <v>0</v>
      </c>
      <c r="HS27" s="174">
        <f t="shared" si="32"/>
        <v>-1062.6707264082238</v>
      </c>
      <c r="HT27" s="174">
        <f t="shared" si="32"/>
        <v>-3431.8935171131334</v>
      </c>
      <c r="HU27" s="174">
        <f t="shared" si="32"/>
        <v>0</v>
      </c>
      <c r="HV27" s="174">
        <f t="shared" si="32"/>
        <v>-1348.0724060020225</v>
      </c>
      <c r="HW27" s="170">
        <f>SUM(GV27,GW27,GZ27)</f>
        <v>-4441.9145769850456</v>
      </c>
      <c r="HX27" s="170">
        <f>SUM(HA27,HC27,HE27)</f>
        <v>-2712.9625058808242</v>
      </c>
      <c r="HY27" s="170">
        <f>SUM(HG27,HI27,HL27)</f>
        <v>-2292.4791200596828</v>
      </c>
      <c r="HZ27" s="170">
        <f>SUM(HO27,HR27,HU27)</f>
        <v>0</v>
      </c>
      <c r="IA27" s="170">
        <f>HW27+HX27+HY27+HZ27</f>
        <v>-9447.3562029255518</v>
      </c>
      <c r="IB27" s="170">
        <f>GV27+GW27+GY27+HA27+HC27+HE27+HG27+HI27+HM27+HP27+HS27+HV27</f>
        <v>-11535.749661882614</v>
      </c>
      <c r="IC27" s="174">
        <f t="shared" ref="IC27:JC27" si="33">IC7-IC17</f>
        <v>-175.65026634049968</v>
      </c>
      <c r="ID27" s="174">
        <f t="shared" si="33"/>
        <v>-34.784428340499744</v>
      </c>
      <c r="IE27" s="174">
        <f t="shared" si="33"/>
        <v>-34.784428340499744</v>
      </c>
      <c r="IF27" s="174">
        <f t="shared" si="33"/>
        <v>-14.787633340499724</v>
      </c>
      <c r="IG27" s="174">
        <f t="shared" si="33"/>
        <v>-14.787633340499724</v>
      </c>
      <c r="IH27" s="174">
        <f t="shared" si="33"/>
        <v>-44.888529340499645</v>
      </c>
      <c r="II27" s="174">
        <f t="shared" si="33"/>
        <v>-16.493214340499435</v>
      </c>
      <c r="IJ27" s="174">
        <f t="shared" si="33"/>
        <v>-268.40181634049964</v>
      </c>
      <c r="IK27" s="174">
        <f t="shared" si="33"/>
        <v>-16.493214340499435</v>
      </c>
      <c r="IL27" s="174">
        <f t="shared" si="33"/>
        <v>-81.962260340499597</v>
      </c>
      <c r="IM27" s="174">
        <f t="shared" si="33"/>
        <v>-16.493214340499435</v>
      </c>
      <c r="IN27" s="174">
        <f t="shared" si="33"/>
        <v>-175.37413634049972</v>
      </c>
      <c r="IO27" s="174">
        <f t="shared" si="33"/>
        <v>0</v>
      </c>
      <c r="IP27" s="174">
        <f t="shared" si="33"/>
        <v>-41.241160340499619</v>
      </c>
      <c r="IQ27" s="174">
        <f t="shared" si="33"/>
        <v>0</v>
      </c>
      <c r="IR27" s="174">
        <f t="shared" si="33"/>
        <v>-1765.4932143404997</v>
      </c>
      <c r="IS27" s="174">
        <f t="shared" si="33"/>
        <v>0</v>
      </c>
      <c r="IT27" s="174">
        <f t="shared" si="33"/>
        <v>0</v>
      </c>
      <c r="IU27" s="174">
        <f t="shared" si="33"/>
        <v>-1765.4932143404997</v>
      </c>
      <c r="IV27" s="174">
        <f t="shared" si="33"/>
        <v>0</v>
      </c>
      <c r="IW27" s="174">
        <f t="shared" si="33"/>
        <v>0</v>
      </c>
      <c r="IX27" s="174">
        <f t="shared" si="33"/>
        <v>-1765.4932143404997</v>
      </c>
      <c r="IY27" s="174">
        <f t="shared" si="33"/>
        <v>0</v>
      </c>
      <c r="IZ27" s="174">
        <f t="shared" si="33"/>
        <v>0</v>
      </c>
      <c r="JA27" s="174">
        <f t="shared" si="33"/>
        <v>-1765.4932143404997</v>
      </c>
      <c r="JB27" s="174">
        <f t="shared" si="33"/>
        <v>0</v>
      </c>
      <c r="JC27" s="174">
        <f t="shared" si="33"/>
        <v>0</v>
      </c>
      <c r="JD27" s="170">
        <f>SUM(IC27,ID27,IG27)</f>
        <v>-225.22232802149915</v>
      </c>
      <c r="JE27" s="170">
        <f>SUM(IH27,IJ27,IL27)</f>
        <v>-395.25260602149888</v>
      </c>
      <c r="JF27" s="170">
        <f>SUM(IN27,IP27,IS27)</f>
        <v>-216.61529668099934</v>
      </c>
      <c r="JG27" s="170">
        <f>SUM(IV27,IY27,JB27)</f>
        <v>0</v>
      </c>
      <c r="JH27" s="170">
        <f>JD27+JE27+JF27+JG27</f>
        <v>-837.09023072399737</v>
      </c>
      <c r="JI27" s="170">
        <f>IC27+ID27+IF27+IH27+IJ27+IL27+IN27+IP27+IT27+IW27+IZ27+JC27</f>
        <v>-837.09023072399737</v>
      </c>
      <c r="JJ27" s="174">
        <f t="shared" ref="JJ27:KF27" si="34">JJ7-JJ17</f>
        <v>529.98091151596395</v>
      </c>
      <c r="JK27" s="174">
        <f t="shared" si="34"/>
        <v>466.53878128413999</v>
      </c>
      <c r="JL27" s="174">
        <f t="shared" si="34"/>
        <v>662.06104628414005</v>
      </c>
      <c r="JM27" s="174">
        <f t="shared" si="34"/>
        <v>670.24634540205011</v>
      </c>
      <c r="JN27" s="174">
        <f t="shared" si="34"/>
        <v>659.90667240205005</v>
      </c>
      <c r="JO27" s="174">
        <f t="shared" si="34"/>
        <v>661.08138901247992</v>
      </c>
      <c r="JP27" s="174">
        <f t="shared" si="34"/>
        <v>475.82706201247993</v>
      </c>
      <c r="JQ27" s="174">
        <f t="shared" si="34"/>
        <v>661.48307344992986</v>
      </c>
      <c r="JR27" s="174">
        <f t="shared" si="34"/>
        <v>454.89057344992989</v>
      </c>
      <c r="JS27" s="174">
        <f t="shared" si="34"/>
        <v>626.05287634622994</v>
      </c>
      <c r="JT27" s="174">
        <f t="shared" si="34"/>
        <v>425.00518434622995</v>
      </c>
      <c r="JU27" s="174">
        <f t="shared" si="34"/>
        <v>630.27977421094988</v>
      </c>
      <c r="JV27" s="174">
        <f t="shared" si="34"/>
        <v>0</v>
      </c>
      <c r="JW27" s="174">
        <f t="shared" si="34"/>
        <v>739.21694452559996</v>
      </c>
      <c r="JX27" s="174">
        <f t="shared" si="34"/>
        <v>0</v>
      </c>
      <c r="JY27" s="174">
        <f t="shared" si="34"/>
        <v>1139.34973912635</v>
      </c>
      <c r="JZ27" s="174">
        <f t="shared" si="34"/>
        <v>0</v>
      </c>
      <c r="KA27" s="174">
        <f t="shared" si="34"/>
        <v>1143.97857335661</v>
      </c>
      <c r="KB27" s="174">
        <f t="shared" si="34"/>
        <v>0</v>
      </c>
      <c r="KC27" s="174">
        <f t="shared" si="34"/>
        <v>1162.39459878912</v>
      </c>
      <c r="KD27" s="174">
        <f t="shared" si="34"/>
        <v>0</v>
      </c>
      <c r="KE27" s="174">
        <f t="shared" si="34"/>
        <v>1130.9643490446799</v>
      </c>
      <c r="KF27" s="174">
        <f t="shared" si="34"/>
        <v>0</v>
      </c>
      <c r="KG27" s="170">
        <f>SUM(JJ27,JK27,JN27)</f>
        <v>1656.4263652021541</v>
      </c>
      <c r="KH27" s="170">
        <f>SUM(JO27,JQ27,JS27)</f>
        <v>1948.6173388086395</v>
      </c>
      <c r="KI27" s="170">
        <f>SUM(JU27,JW27,JZ27)</f>
        <v>1369.4967187365498</v>
      </c>
      <c r="KJ27" s="170">
        <f>SUM(KB27,KD27,KF27)</f>
        <v>0</v>
      </c>
      <c r="KK27" s="170">
        <f>KG27+KH27+KI27+KJ27</f>
        <v>4974.5404227473437</v>
      </c>
      <c r="KL27" s="157">
        <f t="shared" ref="KL27:KU30" si="35">SUM(F27,AM27,BT27,DA27,EH27,FO27,GV27,IC27,JJ27)</f>
        <v>-5505.3968257154738</v>
      </c>
      <c r="KM27" s="157">
        <f t="shared" si="35"/>
        <v>-5933.5877774444798</v>
      </c>
      <c r="KN27" s="157">
        <f t="shared" si="35"/>
        <v>-7514.4852674444792</v>
      </c>
      <c r="KO27" s="157">
        <f t="shared" si="35"/>
        <v>-963.49009879861819</v>
      </c>
      <c r="KP27" s="157">
        <f t="shared" si="35"/>
        <v>-2337.8229617986194</v>
      </c>
      <c r="KQ27" s="157">
        <f t="shared" si="35"/>
        <v>-1362.9139904364201</v>
      </c>
      <c r="KR27" s="157">
        <f t="shared" si="35"/>
        <v>-1784.1406293288896</v>
      </c>
      <c r="KS27" s="157">
        <f t="shared" si="35"/>
        <v>-8017.7252863003196</v>
      </c>
      <c r="KT27" s="157">
        <f t="shared" si="35"/>
        <v>-1596.9590842756947</v>
      </c>
      <c r="KU27" s="157">
        <f t="shared" si="35"/>
        <v>-3685.0446680611249</v>
      </c>
      <c r="KV27" s="157">
        <f t="shared" ref="KV27:LB30" si="36">SUM(P27,AW27,CD27,DK27,ER27,FY27,HF27,IM27,JT27)</f>
        <v>813.84618027402485</v>
      </c>
      <c r="KW27" s="157">
        <f t="shared" si="36"/>
        <v>-5157.5741155376509</v>
      </c>
      <c r="KX27" s="157">
        <f t="shared" si="36"/>
        <v>187.79775195908627</v>
      </c>
      <c r="KY27" s="157">
        <f t="shared" si="36"/>
        <v>-4295.6305376026012</v>
      </c>
      <c r="KZ27" s="157">
        <f t="shared" si="36"/>
        <v>975.87455539124562</v>
      </c>
      <c r="LA27" s="157">
        <f t="shared" si="36"/>
        <v>-25136.8611267999</v>
      </c>
      <c r="LB27" s="157">
        <f t="shared" si="36"/>
        <v>3271.811995387262</v>
      </c>
      <c r="LC27" s="174">
        <f>LC7-LC17</f>
        <v>394.8131694142503</v>
      </c>
      <c r="LD27" s="157">
        <f t="shared" ref="LD27:LE30" si="37">SUM(X27,BE27,CL27,DS27,EZ27,GG27,HN27,IU27,KA27)</f>
        <v>-25225.905595192184</v>
      </c>
      <c r="LE27" s="157">
        <f t="shared" si="37"/>
        <v>2759.1649847856611</v>
      </c>
      <c r="LF27" s="174">
        <f>LF7-LF17</f>
        <v>2528.2283779028148</v>
      </c>
      <c r="LG27" s="157">
        <f t="shared" ref="LG27:LH30" si="38">SUM(AA27,BH27,CO27,DV27,FC27,GJ27,HQ27,IX27,KC27)</f>
        <v>-25056.667055638773</v>
      </c>
      <c r="LH27" s="157">
        <f t="shared" si="38"/>
        <v>1443.3747764493273</v>
      </c>
      <c r="LI27" s="174">
        <f>LI7-LI17</f>
        <v>3059.2608920237144</v>
      </c>
      <c r="LJ27" s="157">
        <f t="shared" ref="LJ27:LK30" si="39">SUM(AD27,BK27,CR27,DY27,FF27,GM27,HT27,JA27,KE27)</f>
        <v>-26904.278984977012</v>
      </c>
      <c r="LK27" s="157">
        <f t="shared" si="39"/>
        <v>239.69192864937111</v>
      </c>
      <c r="LL27" s="174">
        <f>LL7-LL17</f>
        <v>1257.1672124299184</v>
      </c>
      <c r="LM27" s="170">
        <f>SUM(KL27,KM27,KO27)</f>
        <v>-12402.474701958572</v>
      </c>
      <c r="LN27" s="170">
        <f>SUM(KQ27,KS27,KU27)</f>
        <v>-13065.683944797864</v>
      </c>
      <c r="LO27" s="170">
        <f>SUM(KW27,KY27,LB27)</f>
        <v>-6181.3926577529901</v>
      </c>
      <c r="LP27" s="170">
        <f>SUM(LE27,LH27,LK27)</f>
        <v>4442.2316898843592</v>
      </c>
      <c r="LQ27" s="170">
        <f>LM27+LN27+LO27+LP27</f>
        <v>-27207.319614625063</v>
      </c>
      <c r="LR27" s="170">
        <f>KL27+KM27+KO27+KQ27+KS27+KU27+KW27+KY27+LC27+LF27+LI27+LL27</f>
        <v>-27681.893648125988</v>
      </c>
      <c r="LS27" s="685"/>
      <c r="LT27" s="685"/>
      <c r="LU27" s="167">
        <f>SUM(AG27,BN27,CU27,EB27,FI27,GP27,HW27)</f>
        <v>-16674.311602139227</v>
      </c>
    </row>
    <row r="28" spans="1:333">
      <c r="A28" s="143" t="s">
        <v>308</v>
      </c>
      <c r="B28" s="143"/>
      <c r="C28" s="143"/>
      <c r="D28" s="143"/>
      <c r="E28" s="143"/>
      <c r="F28" s="174">
        <f t="shared" ref="F28:V28" si="40">F8-F18</f>
        <v>-325.71370015000002</v>
      </c>
      <c r="G28" s="174">
        <f t="shared" si="40"/>
        <v>-218.60569815000008</v>
      </c>
      <c r="H28" s="174">
        <f t="shared" si="40"/>
        <v>-323.50249515000007</v>
      </c>
      <c r="I28" s="174">
        <f t="shared" si="40"/>
        <v>-395.77310115000012</v>
      </c>
      <c r="J28" s="174">
        <f t="shared" si="40"/>
        <v>-427.2267281500001</v>
      </c>
      <c r="K28" s="174">
        <f t="shared" si="40"/>
        <v>-431.05267115000015</v>
      </c>
      <c r="L28" s="174">
        <f t="shared" si="40"/>
        <v>-265.03961347208246</v>
      </c>
      <c r="M28" s="174">
        <f t="shared" si="40"/>
        <v>-440.17879515000016</v>
      </c>
      <c r="N28" s="174">
        <f t="shared" si="40"/>
        <v>-149.03665928703526</v>
      </c>
      <c r="O28" s="174">
        <f t="shared" si="40"/>
        <v>-341.23264815000016</v>
      </c>
      <c r="P28" s="174">
        <f t="shared" si="40"/>
        <v>-76.827736833343806</v>
      </c>
      <c r="Q28" s="174">
        <f t="shared" si="40"/>
        <v>-489.43023215000017</v>
      </c>
      <c r="R28" s="174">
        <f t="shared" si="40"/>
        <v>0</v>
      </c>
      <c r="S28" s="174">
        <f t="shared" si="40"/>
        <v>-600.32566115000009</v>
      </c>
      <c r="T28" s="174">
        <f t="shared" si="40"/>
        <v>0</v>
      </c>
      <c r="U28" s="174">
        <f t="shared" si="40"/>
        <v>-1353.7642231500001</v>
      </c>
      <c r="V28" s="174">
        <f t="shared" si="40"/>
        <v>0</v>
      </c>
      <c r="W28" s="174">
        <f t="shared" ref="W28:AF28" si="41">W8-W18</f>
        <v>-173.92022315000008</v>
      </c>
      <c r="X28" s="174">
        <f t="shared" si="41"/>
        <v>-1448.7642231500001</v>
      </c>
      <c r="Y28" s="174">
        <f t="shared" si="41"/>
        <v>0</v>
      </c>
      <c r="Z28" s="174">
        <f t="shared" si="41"/>
        <v>-82.920223150000083</v>
      </c>
      <c r="AA28" s="174">
        <f t="shared" si="41"/>
        <v>-1448.7642231500001</v>
      </c>
      <c r="AB28" s="174">
        <f t="shared" si="41"/>
        <v>0</v>
      </c>
      <c r="AC28" s="174">
        <f t="shared" si="41"/>
        <v>-56.920223150000083</v>
      </c>
      <c r="AD28" s="174">
        <f t="shared" si="41"/>
        <v>-1448.7642231500001</v>
      </c>
      <c r="AE28" s="174">
        <f t="shared" si="41"/>
        <v>0</v>
      </c>
      <c r="AF28" s="174">
        <f t="shared" si="41"/>
        <v>-36.920223150000083</v>
      </c>
      <c r="AG28" s="170">
        <f>SUM(F28,G28,J28)</f>
        <v>-971.5461264500002</v>
      </c>
      <c r="AH28" s="170">
        <f>SUM(K28,M28,O28)</f>
        <v>-1212.4641144500006</v>
      </c>
      <c r="AI28" s="170">
        <f>SUM(Q28,S28,V28)</f>
        <v>-1089.7558933000003</v>
      </c>
      <c r="AJ28" s="170">
        <f>SUM(Y28,AB28,AE28)</f>
        <v>0</v>
      </c>
      <c r="AK28" s="170">
        <f>AG28+AH28+AI28+AJ28</f>
        <v>-3273.766134200001</v>
      </c>
      <c r="AL28" s="170">
        <f>F28+G28+I28+K28+M28+O28+Q28+S28+W28+Z28+AC28+AF28</f>
        <v>-3592.9933998000015</v>
      </c>
      <c r="AM28" s="174">
        <f t="shared" ref="AM28:BM28" si="42">AM8-AM18</f>
        <v>0</v>
      </c>
      <c r="AN28" s="174">
        <f t="shared" si="42"/>
        <v>0</v>
      </c>
      <c r="AO28" s="174">
        <f t="shared" si="42"/>
        <v>0</v>
      </c>
      <c r="AP28" s="174">
        <f t="shared" si="42"/>
        <v>0</v>
      </c>
      <c r="AQ28" s="174">
        <f t="shared" si="42"/>
        <v>0</v>
      </c>
      <c r="AR28" s="174">
        <f t="shared" si="42"/>
        <v>0</v>
      </c>
      <c r="AS28" s="174">
        <f t="shared" si="42"/>
        <v>0</v>
      </c>
      <c r="AT28" s="174">
        <f t="shared" si="42"/>
        <v>0</v>
      </c>
      <c r="AU28" s="174">
        <f t="shared" si="42"/>
        <v>0</v>
      </c>
      <c r="AV28" s="174">
        <f t="shared" si="42"/>
        <v>0</v>
      </c>
      <c r="AW28" s="174">
        <f t="shared" si="42"/>
        <v>0</v>
      </c>
      <c r="AX28" s="174">
        <f t="shared" si="42"/>
        <v>0</v>
      </c>
      <c r="AY28" s="174">
        <f t="shared" si="42"/>
        <v>0</v>
      </c>
      <c r="AZ28" s="174">
        <f t="shared" si="42"/>
        <v>0</v>
      </c>
      <c r="BA28" s="174">
        <f t="shared" si="42"/>
        <v>0</v>
      </c>
      <c r="BB28" s="174">
        <f t="shared" si="42"/>
        <v>0</v>
      </c>
      <c r="BC28" s="174">
        <f t="shared" si="42"/>
        <v>0</v>
      </c>
      <c r="BD28" s="174">
        <f t="shared" si="42"/>
        <v>0</v>
      </c>
      <c r="BE28" s="174">
        <f t="shared" si="42"/>
        <v>0</v>
      </c>
      <c r="BF28" s="174">
        <f t="shared" si="42"/>
        <v>0</v>
      </c>
      <c r="BG28" s="174">
        <f t="shared" si="42"/>
        <v>0</v>
      </c>
      <c r="BH28" s="174">
        <f t="shared" si="42"/>
        <v>0</v>
      </c>
      <c r="BI28" s="174">
        <f t="shared" si="42"/>
        <v>0</v>
      </c>
      <c r="BJ28" s="174">
        <f t="shared" si="42"/>
        <v>0</v>
      </c>
      <c r="BK28" s="174">
        <f t="shared" si="42"/>
        <v>0</v>
      </c>
      <c r="BL28" s="174">
        <f t="shared" si="42"/>
        <v>0</v>
      </c>
      <c r="BM28" s="174">
        <f t="shared" si="42"/>
        <v>0</v>
      </c>
      <c r="BN28" s="170">
        <f>SUM(AM28,AN28,AQ28)</f>
        <v>0</v>
      </c>
      <c r="BO28" s="170">
        <f>SUM(AR28,AT28,AV28)</f>
        <v>0</v>
      </c>
      <c r="BP28" s="170">
        <f>SUM(AX28,AZ28,BC28)</f>
        <v>0</v>
      </c>
      <c r="BQ28" s="170">
        <f>SUM(BF28,BI28,BL28)</f>
        <v>0</v>
      </c>
      <c r="BR28" s="170">
        <f>BN28+BO28+BP28+BQ28</f>
        <v>0</v>
      </c>
      <c r="BS28" s="170">
        <f>AM28+AN28+AP28+AR28+AT28+AV28+AX28+AZ28+BD28+BG28+BJ28+BM28</f>
        <v>0</v>
      </c>
      <c r="BT28" s="174">
        <f t="shared" ref="BT28:CT28" si="43">BT8-BT18</f>
        <v>0</v>
      </c>
      <c r="BU28" s="174">
        <f t="shared" si="43"/>
        <v>0</v>
      </c>
      <c r="BV28" s="174">
        <f t="shared" si="43"/>
        <v>0</v>
      </c>
      <c r="BW28" s="174">
        <f t="shared" si="43"/>
        <v>0</v>
      </c>
      <c r="BX28" s="174">
        <f t="shared" si="43"/>
        <v>0</v>
      </c>
      <c r="BY28" s="174">
        <f t="shared" si="43"/>
        <v>0</v>
      </c>
      <c r="BZ28" s="174">
        <f t="shared" si="43"/>
        <v>0</v>
      </c>
      <c r="CA28" s="174">
        <f t="shared" si="43"/>
        <v>0</v>
      </c>
      <c r="CB28" s="174">
        <f t="shared" si="43"/>
        <v>0</v>
      </c>
      <c r="CC28" s="174">
        <f t="shared" si="43"/>
        <v>0</v>
      </c>
      <c r="CD28" s="174">
        <f t="shared" si="43"/>
        <v>0</v>
      </c>
      <c r="CE28" s="174">
        <f t="shared" si="43"/>
        <v>0</v>
      </c>
      <c r="CF28" s="174">
        <f t="shared" si="43"/>
        <v>0</v>
      </c>
      <c r="CG28" s="174">
        <f t="shared" si="43"/>
        <v>0</v>
      </c>
      <c r="CH28" s="174">
        <f t="shared" si="43"/>
        <v>0</v>
      </c>
      <c r="CI28" s="174">
        <f t="shared" si="43"/>
        <v>0</v>
      </c>
      <c r="CJ28" s="174">
        <f t="shared" si="43"/>
        <v>0</v>
      </c>
      <c r="CK28" s="174">
        <f t="shared" si="43"/>
        <v>0</v>
      </c>
      <c r="CL28" s="174">
        <f t="shared" si="43"/>
        <v>0</v>
      </c>
      <c r="CM28" s="174">
        <f t="shared" si="43"/>
        <v>0</v>
      </c>
      <c r="CN28" s="174">
        <f t="shared" si="43"/>
        <v>0</v>
      </c>
      <c r="CO28" s="174">
        <f t="shared" si="43"/>
        <v>0</v>
      </c>
      <c r="CP28" s="174">
        <f t="shared" si="43"/>
        <v>0</v>
      </c>
      <c r="CQ28" s="174">
        <f t="shared" si="43"/>
        <v>0</v>
      </c>
      <c r="CR28" s="174">
        <f t="shared" si="43"/>
        <v>0</v>
      </c>
      <c r="CS28" s="174">
        <f t="shared" si="43"/>
        <v>0</v>
      </c>
      <c r="CT28" s="174">
        <f t="shared" si="43"/>
        <v>0</v>
      </c>
      <c r="CU28" s="170">
        <f>SUM(BT28,BU28,BW28)</f>
        <v>0</v>
      </c>
      <c r="CV28" s="170">
        <f>SUM(BY28,CA28,CC28)</f>
        <v>0</v>
      </c>
      <c r="CW28" s="170">
        <f>SUM(CE28,CG28,CJ28)</f>
        <v>0</v>
      </c>
      <c r="CX28" s="170">
        <f>SUM(CM28,CP28,CS28)</f>
        <v>0</v>
      </c>
      <c r="CY28" s="170">
        <f>CU28+CV28+CW28+CX28</f>
        <v>0</v>
      </c>
      <c r="CZ28" s="170">
        <f>BT28+BU28+BW28+BY28+CA28+CC28+CE28+CG28+CK28+CN28+CQ28+CT28</f>
        <v>0</v>
      </c>
      <c r="DA28" s="174">
        <f t="shared" ref="DA28:EA28" si="44">DA8-DA18</f>
        <v>107.40043500000002</v>
      </c>
      <c r="DB28" s="174">
        <f t="shared" si="44"/>
        <v>88.758039000000053</v>
      </c>
      <c r="DC28" s="174">
        <f t="shared" si="44"/>
        <v>0.20920700000010584</v>
      </c>
      <c r="DD28" s="174">
        <f t="shared" si="44"/>
        <v>-477.45988200000011</v>
      </c>
      <c r="DE28" s="174">
        <f t="shared" si="44"/>
        <v>-49.965844000000061</v>
      </c>
      <c r="DF28" s="174">
        <f t="shared" si="44"/>
        <v>-596.76327900000001</v>
      </c>
      <c r="DG28" s="174">
        <f t="shared" si="44"/>
        <v>-36.441585386103498</v>
      </c>
      <c r="DH28" s="174">
        <f t="shared" si="44"/>
        <v>-658.56093440000006</v>
      </c>
      <c r="DI28" s="174">
        <f t="shared" si="44"/>
        <v>-285.76643539857696</v>
      </c>
      <c r="DJ28" s="174">
        <f t="shared" si="44"/>
        <v>-214.40524100000016</v>
      </c>
      <c r="DK28" s="174">
        <f t="shared" si="44"/>
        <v>-241.96149093789495</v>
      </c>
      <c r="DL28" s="174">
        <f t="shared" si="44"/>
        <v>-759.15628240000001</v>
      </c>
      <c r="DM28" s="174">
        <f t="shared" si="44"/>
        <v>-184.34341095220384</v>
      </c>
      <c r="DN28" s="174">
        <f t="shared" si="44"/>
        <v>-424.97598640000001</v>
      </c>
      <c r="DO28" s="174">
        <f t="shared" si="44"/>
        <v>-14.637098385843956</v>
      </c>
      <c r="DP28" s="174">
        <f t="shared" si="44"/>
        <v>-1628.6024284</v>
      </c>
      <c r="DQ28" s="174">
        <f t="shared" si="44"/>
        <v>115.27586601722146</v>
      </c>
      <c r="DR28" s="174">
        <f t="shared" si="44"/>
        <v>346.39757159999999</v>
      </c>
      <c r="DS28" s="174">
        <f t="shared" si="44"/>
        <v>-1628.6024284</v>
      </c>
      <c r="DT28" s="174">
        <f t="shared" si="44"/>
        <v>126.88346781351379</v>
      </c>
      <c r="DU28" s="174">
        <f t="shared" si="44"/>
        <v>396.39757159999999</v>
      </c>
      <c r="DV28" s="174">
        <f t="shared" si="44"/>
        <v>-1628.6024284</v>
      </c>
      <c r="DW28" s="174">
        <f t="shared" si="44"/>
        <v>50.693308025826127</v>
      </c>
      <c r="DX28" s="174">
        <f t="shared" si="44"/>
        <v>386.39757159999999</v>
      </c>
      <c r="DY28" s="174">
        <f t="shared" si="44"/>
        <v>-1628.6024284</v>
      </c>
      <c r="DZ28" s="174">
        <f t="shared" si="44"/>
        <v>22.280215102338161</v>
      </c>
      <c r="EA28" s="174">
        <f t="shared" si="44"/>
        <v>366.39757159999999</v>
      </c>
      <c r="EB28" s="170">
        <f>SUM(DA28,DB28,DE28)</f>
        <v>146.19263000000001</v>
      </c>
      <c r="EC28" s="170">
        <f>SUM(DF28,DH28,DJ28)</f>
        <v>-1469.7294544000003</v>
      </c>
      <c r="ED28" s="170">
        <f>SUM(DL28,DN28,DQ28)</f>
        <v>-1068.8564027827786</v>
      </c>
      <c r="EE28" s="170">
        <f>SUM(DT28,DW28,DZ28)</f>
        <v>199.85699094167808</v>
      </c>
      <c r="EF28" s="170">
        <f>EB28+EC28+ED28+EE28</f>
        <v>-2192.5362362411006</v>
      </c>
      <c r="EG28" s="170">
        <f>DA28+DB28+DD28+DF28+DH28+DJ28+DL28+DN28+DR28+DU28+DX28+EA28</f>
        <v>-1439.5728448</v>
      </c>
      <c r="EH28" s="174">
        <f t="shared" ref="EH28:FH28" si="45">EH8-EH18</f>
        <v>0</v>
      </c>
      <c r="EI28" s="174">
        <f t="shared" si="45"/>
        <v>0</v>
      </c>
      <c r="EJ28" s="174">
        <f t="shared" si="45"/>
        <v>0</v>
      </c>
      <c r="EK28" s="174">
        <f t="shared" si="45"/>
        <v>0</v>
      </c>
      <c r="EL28" s="174">
        <f t="shared" si="45"/>
        <v>0</v>
      </c>
      <c r="EM28" s="174">
        <f t="shared" si="45"/>
        <v>0</v>
      </c>
      <c r="EN28" s="174">
        <f t="shared" si="45"/>
        <v>0</v>
      </c>
      <c r="EO28" s="174">
        <f t="shared" si="45"/>
        <v>0</v>
      </c>
      <c r="EP28" s="174">
        <f t="shared" si="45"/>
        <v>0</v>
      </c>
      <c r="EQ28" s="174">
        <f t="shared" si="45"/>
        <v>0</v>
      </c>
      <c r="ER28" s="174">
        <f t="shared" si="45"/>
        <v>0</v>
      </c>
      <c r="ES28" s="174">
        <f t="shared" si="45"/>
        <v>0</v>
      </c>
      <c r="ET28" s="174">
        <f t="shared" si="45"/>
        <v>0</v>
      </c>
      <c r="EU28" s="174">
        <f t="shared" si="45"/>
        <v>0</v>
      </c>
      <c r="EV28" s="174">
        <f t="shared" si="45"/>
        <v>0</v>
      </c>
      <c r="EW28" s="174">
        <f t="shared" si="45"/>
        <v>0</v>
      </c>
      <c r="EX28" s="174">
        <f t="shared" si="45"/>
        <v>0</v>
      </c>
      <c r="EY28" s="174">
        <f t="shared" si="45"/>
        <v>0</v>
      </c>
      <c r="EZ28" s="174">
        <f t="shared" si="45"/>
        <v>0</v>
      </c>
      <c r="FA28" s="174">
        <f t="shared" si="45"/>
        <v>0</v>
      </c>
      <c r="FB28" s="174">
        <f t="shared" si="45"/>
        <v>0</v>
      </c>
      <c r="FC28" s="174">
        <f t="shared" si="45"/>
        <v>0</v>
      </c>
      <c r="FD28" s="174">
        <f t="shared" si="45"/>
        <v>0</v>
      </c>
      <c r="FE28" s="174">
        <f t="shared" si="45"/>
        <v>0</v>
      </c>
      <c r="FF28" s="174">
        <f t="shared" si="45"/>
        <v>0</v>
      </c>
      <c r="FG28" s="174">
        <f t="shared" si="45"/>
        <v>0</v>
      </c>
      <c r="FH28" s="174">
        <f t="shared" si="45"/>
        <v>0</v>
      </c>
      <c r="FI28" s="170">
        <f>SUM(EH28,EI28,EL28)</f>
        <v>0</v>
      </c>
      <c r="FJ28" s="170">
        <f>SUM(EM28,EO28,EQ28)</f>
        <v>0</v>
      </c>
      <c r="FK28" s="170">
        <f>SUM(ES28,EU28,EX28)</f>
        <v>0</v>
      </c>
      <c r="FL28" s="170">
        <f>SUM(FA28,FD28,FG28)</f>
        <v>0</v>
      </c>
      <c r="FM28" s="170">
        <f>FI28+FJ28+FK28+FL28</f>
        <v>0</v>
      </c>
      <c r="FN28" s="170">
        <f>EH28+EI28+EK28+EM28+EO28+EQ28+ES28+EU28+EY28+FB28+FE28+FH28</f>
        <v>0</v>
      </c>
      <c r="FO28" s="174">
        <f t="shared" ref="FO28:GO28" si="46">FO8-FO18</f>
        <v>11.02555000000001</v>
      </c>
      <c r="FP28" s="174">
        <f t="shared" si="46"/>
        <v>50.586615999999992</v>
      </c>
      <c r="FQ28" s="174">
        <f t="shared" si="46"/>
        <v>50</v>
      </c>
      <c r="FR28" s="174">
        <f t="shared" si="46"/>
        <v>144.44792100000001</v>
      </c>
      <c r="FS28" s="174">
        <f t="shared" si="46"/>
        <v>76</v>
      </c>
      <c r="FT28" s="174">
        <f t="shared" si="46"/>
        <v>159.49098600000002</v>
      </c>
      <c r="FU28" s="174">
        <f t="shared" si="46"/>
        <v>179.57101650738491</v>
      </c>
      <c r="FV28" s="174">
        <f t="shared" si="46"/>
        <v>135.49833999999998</v>
      </c>
      <c r="FW28" s="174">
        <f t="shared" si="46"/>
        <v>203.60360225404952</v>
      </c>
      <c r="FX28" s="174">
        <f t="shared" si="46"/>
        <v>198.39886899999999</v>
      </c>
      <c r="FY28" s="174">
        <f t="shared" si="46"/>
        <v>141.02903140896245</v>
      </c>
      <c r="FZ28" s="174">
        <f t="shared" si="46"/>
        <v>202.09198299999997</v>
      </c>
      <c r="GA28" s="174">
        <f t="shared" si="46"/>
        <v>276.40546173484114</v>
      </c>
      <c r="GB28" s="174">
        <f t="shared" si="46"/>
        <v>167.732843</v>
      </c>
      <c r="GC28" s="174">
        <f t="shared" si="46"/>
        <v>205.93990944735941</v>
      </c>
      <c r="GD28" s="174">
        <f t="shared" si="46"/>
        <v>-178.18700000000001</v>
      </c>
      <c r="GE28" s="174">
        <f t="shared" si="46"/>
        <v>228.59321586926092</v>
      </c>
      <c r="GF28" s="174">
        <f t="shared" si="46"/>
        <v>239.81299999999999</v>
      </c>
      <c r="GG28" s="174">
        <f t="shared" si="46"/>
        <v>-247.18700000000001</v>
      </c>
      <c r="GH28" s="174">
        <f t="shared" si="46"/>
        <v>185.41481542457575</v>
      </c>
      <c r="GI28" s="174">
        <f t="shared" si="46"/>
        <v>170.81299999999999</v>
      </c>
      <c r="GJ28" s="174">
        <f t="shared" si="46"/>
        <v>-208.18700000000001</v>
      </c>
      <c r="GK28" s="174">
        <f t="shared" si="46"/>
        <v>296.38761086342475</v>
      </c>
      <c r="GL28" s="174">
        <f t="shared" si="46"/>
        <v>209.81299999999999</v>
      </c>
      <c r="GM28" s="174">
        <f t="shared" si="46"/>
        <v>-147.18700000000001</v>
      </c>
      <c r="GN28" s="174">
        <f t="shared" si="46"/>
        <v>288.65635656477696</v>
      </c>
      <c r="GO28" s="174">
        <f t="shared" si="46"/>
        <v>270.81299999999999</v>
      </c>
      <c r="GP28" s="170">
        <f>SUM(FO28,FP28,FS28)</f>
        <v>137.612166</v>
      </c>
      <c r="GQ28" s="170">
        <f>SUM(FT28,FV28,FX28)</f>
        <v>493.388195</v>
      </c>
      <c r="GR28" s="170">
        <f>SUM(FZ28,GB28,GE28)</f>
        <v>598.41804186926083</v>
      </c>
      <c r="GS28" s="170">
        <f>SUM(GH28,GK28,GN28)</f>
        <v>770.4587828527774</v>
      </c>
      <c r="GT28" s="170">
        <f>GP28+GQ28+GR28+GS28</f>
        <v>1999.8771857220381</v>
      </c>
      <c r="GU28" s="170">
        <f>FO28+FP28+FR28+FT28+FV28+FX28+FZ28+GB28+GF28+GI28+GL28+GO28</f>
        <v>1960.5251080000003</v>
      </c>
      <c r="GV28" s="174">
        <f t="shared" ref="GV28:HV28" si="47">GV8-GV18</f>
        <v>0</v>
      </c>
      <c r="GW28" s="174">
        <f t="shared" si="47"/>
        <v>0</v>
      </c>
      <c r="GX28" s="174">
        <f t="shared" si="47"/>
        <v>0</v>
      </c>
      <c r="GY28" s="174">
        <f t="shared" si="47"/>
        <v>0</v>
      </c>
      <c r="GZ28" s="174">
        <f t="shared" si="47"/>
        <v>0</v>
      </c>
      <c r="HA28" s="174">
        <f t="shared" si="47"/>
        <v>0</v>
      </c>
      <c r="HB28" s="174">
        <f t="shared" si="47"/>
        <v>0</v>
      </c>
      <c r="HC28" s="174">
        <f t="shared" si="47"/>
        <v>0</v>
      </c>
      <c r="HD28" s="174">
        <f t="shared" si="47"/>
        <v>0</v>
      </c>
      <c r="HE28" s="174">
        <f t="shared" si="47"/>
        <v>0</v>
      </c>
      <c r="HF28" s="174">
        <f t="shared" si="47"/>
        <v>0</v>
      </c>
      <c r="HG28" s="174">
        <f t="shared" si="47"/>
        <v>0</v>
      </c>
      <c r="HH28" s="174">
        <f t="shared" si="47"/>
        <v>0</v>
      </c>
      <c r="HI28" s="174">
        <f t="shared" si="47"/>
        <v>0</v>
      </c>
      <c r="HJ28" s="174">
        <f t="shared" si="47"/>
        <v>0</v>
      </c>
      <c r="HK28" s="174">
        <f t="shared" si="47"/>
        <v>0</v>
      </c>
      <c r="HL28" s="174">
        <f t="shared" si="47"/>
        <v>0</v>
      </c>
      <c r="HM28" s="174">
        <f t="shared" si="47"/>
        <v>0</v>
      </c>
      <c r="HN28" s="174">
        <f t="shared" si="47"/>
        <v>0</v>
      </c>
      <c r="HO28" s="174">
        <f t="shared" si="47"/>
        <v>0</v>
      </c>
      <c r="HP28" s="174">
        <f t="shared" si="47"/>
        <v>0</v>
      </c>
      <c r="HQ28" s="174">
        <f t="shared" si="47"/>
        <v>0</v>
      </c>
      <c r="HR28" s="174">
        <f t="shared" si="47"/>
        <v>0</v>
      </c>
      <c r="HS28" s="174">
        <f t="shared" si="47"/>
        <v>0</v>
      </c>
      <c r="HT28" s="174">
        <f t="shared" si="47"/>
        <v>0</v>
      </c>
      <c r="HU28" s="174">
        <f t="shared" si="47"/>
        <v>0</v>
      </c>
      <c r="HV28" s="174">
        <f t="shared" si="47"/>
        <v>0</v>
      </c>
      <c r="HW28" s="170">
        <f>SUM(GV28,GW28,GZ28)</f>
        <v>0</v>
      </c>
      <c r="HX28" s="170">
        <f>SUM(HA28,HC28,HE28)</f>
        <v>0</v>
      </c>
      <c r="HY28" s="170">
        <f>SUM(HG28,HI28,HL28)</f>
        <v>0</v>
      </c>
      <c r="HZ28" s="170">
        <f>SUM(HO28,HR28,HU28)</f>
        <v>0</v>
      </c>
      <c r="IA28" s="170">
        <f>HW28+HX28+HY28+HZ28</f>
        <v>0</v>
      </c>
      <c r="IB28" s="170">
        <f>GV28+GW28+GY28+HA28+HC28+HE28+HG28+HI28+HM28+HP28+HS28+HV28</f>
        <v>0</v>
      </c>
      <c r="IC28" s="174">
        <f t="shared" ref="IC28:JC28" si="48">IC8-IC18</f>
        <v>0</v>
      </c>
      <c r="ID28" s="174">
        <f t="shared" si="48"/>
        <v>0</v>
      </c>
      <c r="IE28" s="174">
        <f t="shared" si="48"/>
        <v>0</v>
      </c>
      <c r="IF28" s="174">
        <f t="shared" si="48"/>
        <v>0</v>
      </c>
      <c r="IG28" s="174">
        <f t="shared" si="48"/>
        <v>0</v>
      </c>
      <c r="IH28" s="174">
        <f t="shared" si="48"/>
        <v>0</v>
      </c>
      <c r="II28" s="174">
        <f t="shared" si="48"/>
        <v>0</v>
      </c>
      <c r="IJ28" s="174">
        <f t="shared" si="48"/>
        <v>0</v>
      </c>
      <c r="IK28" s="174">
        <f t="shared" si="48"/>
        <v>0</v>
      </c>
      <c r="IL28" s="174">
        <f t="shared" si="48"/>
        <v>0</v>
      </c>
      <c r="IM28" s="174">
        <f t="shared" si="48"/>
        <v>0</v>
      </c>
      <c r="IN28" s="174">
        <f t="shared" si="48"/>
        <v>0</v>
      </c>
      <c r="IO28" s="174">
        <f t="shared" si="48"/>
        <v>0</v>
      </c>
      <c r="IP28" s="174">
        <f t="shared" si="48"/>
        <v>0</v>
      </c>
      <c r="IQ28" s="174">
        <f t="shared" si="48"/>
        <v>0</v>
      </c>
      <c r="IR28" s="174">
        <f t="shared" si="48"/>
        <v>0</v>
      </c>
      <c r="IS28" s="174">
        <f t="shared" si="48"/>
        <v>0</v>
      </c>
      <c r="IT28" s="174">
        <f t="shared" si="48"/>
        <v>0</v>
      </c>
      <c r="IU28" s="174">
        <f t="shared" si="48"/>
        <v>0</v>
      </c>
      <c r="IV28" s="174">
        <f t="shared" si="48"/>
        <v>0</v>
      </c>
      <c r="IW28" s="174">
        <f t="shared" si="48"/>
        <v>0</v>
      </c>
      <c r="IX28" s="174">
        <f t="shared" si="48"/>
        <v>0</v>
      </c>
      <c r="IY28" s="174">
        <f t="shared" si="48"/>
        <v>0</v>
      </c>
      <c r="IZ28" s="174">
        <f t="shared" si="48"/>
        <v>0</v>
      </c>
      <c r="JA28" s="174">
        <f t="shared" si="48"/>
        <v>0</v>
      </c>
      <c r="JB28" s="174">
        <f t="shared" si="48"/>
        <v>0</v>
      </c>
      <c r="JC28" s="174">
        <f t="shared" si="48"/>
        <v>0</v>
      </c>
      <c r="JD28" s="170">
        <f>SUM(IC28,ID28,IG28)</f>
        <v>0</v>
      </c>
      <c r="JE28" s="170">
        <f>SUM(IH28,IJ28,IL28)</f>
        <v>0</v>
      </c>
      <c r="JF28" s="170">
        <f>SUM(IN28,IP28,IS28)</f>
        <v>0</v>
      </c>
      <c r="JG28" s="170">
        <f>SUM(IV28,IY28,JB28)</f>
        <v>0</v>
      </c>
      <c r="JH28" s="170">
        <f>JD28+JE28+JF28+JG28</f>
        <v>0</v>
      </c>
      <c r="JI28" s="170">
        <f>IC28+ID28+IF28+IH28+IJ28+IL28+IN28+IP28+IT28+IW28+IZ28+JC28</f>
        <v>0</v>
      </c>
      <c r="JJ28" s="174">
        <f t="shared" ref="JJ28:KF28" si="49">JJ8-JJ18</f>
        <v>0</v>
      </c>
      <c r="JK28" s="174">
        <f t="shared" si="49"/>
        <v>0</v>
      </c>
      <c r="JL28" s="174">
        <f t="shared" si="49"/>
        <v>0</v>
      </c>
      <c r="JM28" s="174">
        <f t="shared" si="49"/>
        <v>0</v>
      </c>
      <c r="JN28" s="174">
        <f t="shared" si="49"/>
        <v>0</v>
      </c>
      <c r="JO28" s="174">
        <f t="shared" si="49"/>
        <v>0</v>
      </c>
      <c r="JP28" s="174">
        <f t="shared" si="49"/>
        <v>0</v>
      </c>
      <c r="JQ28" s="174">
        <f t="shared" si="49"/>
        <v>0</v>
      </c>
      <c r="JR28" s="174">
        <f t="shared" si="49"/>
        <v>0</v>
      </c>
      <c r="JS28" s="174">
        <f t="shared" si="49"/>
        <v>0</v>
      </c>
      <c r="JT28" s="174">
        <f t="shared" si="49"/>
        <v>0</v>
      </c>
      <c r="JU28" s="174">
        <f t="shared" si="49"/>
        <v>0</v>
      </c>
      <c r="JV28" s="174">
        <f t="shared" si="49"/>
        <v>0</v>
      </c>
      <c r="JW28" s="174">
        <f t="shared" si="49"/>
        <v>0</v>
      </c>
      <c r="JX28" s="174">
        <f t="shared" si="49"/>
        <v>0</v>
      </c>
      <c r="JY28" s="174">
        <f t="shared" si="49"/>
        <v>0</v>
      </c>
      <c r="JZ28" s="174">
        <f t="shared" si="49"/>
        <v>0</v>
      </c>
      <c r="KA28" s="174">
        <f t="shared" si="49"/>
        <v>0</v>
      </c>
      <c r="KB28" s="174">
        <f t="shared" si="49"/>
        <v>0</v>
      </c>
      <c r="KC28" s="174">
        <f t="shared" si="49"/>
        <v>0</v>
      </c>
      <c r="KD28" s="174">
        <f t="shared" si="49"/>
        <v>0</v>
      </c>
      <c r="KE28" s="174">
        <f t="shared" si="49"/>
        <v>0</v>
      </c>
      <c r="KF28" s="174">
        <f t="shared" si="49"/>
        <v>0</v>
      </c>
      <c r="KG28" s="170">
        <f>SUM(JJ28,JK28,JN28)</f>
        <v>0</v>
      </c>
      <c r="KH28" s="170">
        <f>SUM(JO28,JQ28,JS28)</f>
        <v>0</v>
      </c>
      <c r="KI28" s="170">
        <f>SUM(JU28,JW28,JZ28)</f>
        <v>0</v>
      </c>
      <c r="KJ28" s="170">
        <f>SUM(KB28,KD28,KF28)</f>
        <v>0</v>
      </c>
      <c r="KK28" s="170">
        <f>KG28+KH28+KI28+KJ28</f>
        <v>0</v>
      </c>
      <c r="KL28" s="157">
        <f t="shared" si="35"/>
        <v>-207.28771515</v>
      </c>
      <c r="KM28" s="157">
        <f t="shared" si="35"/>
        <v>-79.261043150000035</v>
      </c>
      <c r="KN28" s="157">
        <f t="shared" si="35"/>
        <v>-273.29328814999997</v>
      </c>
      <c r="KO28" s="157">
        <f t="shared" si="35"/>
        <v>-728.78506215000016</v>
      </c>
      <c r="KP28" s="157">
        <f t="shared" si="35"/>
        <v>-401.19257215000016</v>
      </c>
      <c r="KQ28" s="157">
        <f t="shared" si="35"/>
        <v>-868.32496415000014</v>
      </c>
      <c r="KR28" s="157">
        <f t="shared" si="35"/>
        <v>-121.91018235080105</v>
      </c>
      <c r="KS28" s="157">
        <f t="shared" si="35"/>
        <v>-963.24138955000024</v>
      </c>
      <c r="KT28" s="157">
        <f t="shared" si="35"/>
        <v>-231.1994924315627</v>
      </c>
      <c r="KU28" s="157">
        <f t="shared" si="35"/>
        <v>-357.23902015000033</v>
      </c>
      <c r="KV28" s="157">
        <f t="shared" si="36"/>
        <v>-177.7601963622763</v>
      </c>
      <c r="KW28" s="157">
        <f t="shared" si="36"/>
        <v>-1046.4945315500001</v>
      </c>
      <c r="KX28" s="157">
        <f t="shared" si="36"/>
        <v>92.0620507826373</v>
      </c>
      <c r="KY28" s="157">
        <f t="shared" si="36"/>
        <v>-857.5688045500001</v>
      </c>
      <c r="KZ28" s="157">
        <f t="shared" si="36"/>
        <v>191.30281106151546</v>
      </c>
      <c r="LA28" s="157">
        <f t="shared" si="36"/>
        <v>-3160.5536515499998</v>
      </c>
      <c r="LB28" s="157">
        <f t="shared" si="36"/>
        <v>343.86908188648238</v>
      </c>
      <c r="LC28" s="174">
        <f>LC8-LC18</f>
        <v>412.29034845000024</v>
      </c>
      <c r="LD28" s="157">
        <f t="shared" si="37"/>
        <v>-3324.5536515499998</v>
      </c>
      <c r="LE28" s="157">
        <f t="shared" si="37"/>
        <v>312.29828323808954</v>
      </c>
      <c r="LF28" s="174">
        <f>LF8-LF18</f>
        <v>484.29034845000024</v>
      </c>
      <c r="LG28" s="157">
        <f t="shared" si="38"/>
        <v>-3285.5536515499998</v>
      </c>
      <c r="LH28" s="157">
        <f t="shared" si="38"/>
        <v>347.08091888925088</v>
      </c>
      <c r="LI28" s="174">
        <f>LI8-LI18</f>
        <v>539.29034845000024</v>
      </c>
      <c r="LJ28" s="157">
        <f t="shared" si="39"/>
        <v>-3224.5536515499998</v>
      </c>
      <c r="LK28" s="157">
        <f t="shared" si="39"/>
        <v>310.93657166711512</v>
      </c>
      <c r="LL28" s="174">
        <f>LL8-LL18</f>
        <v>600.29034845000024</v>
      </c>
      <c r="LM28" s="170">
        <f>SUM(KL28,KM28,KO28)</f>
        <v>-1015.3338204500002</v>
      </c>
      <c r="LN28" s="170">
        <f>SUM(KQ28,KS28,KU28)</f>
        <v>-2188.8053738500007</v>
      </c>
      <c r="LO28" s="170">
        <f>SUM(KW28,KY28,LB28)</f>
        <v>-1560.194254213518</v>
      </c>
      <c r="LP28" s="170">
        <f>SUM(LE28,LH28,LK28)</f>
        <v>970.31577379445559</v>
      </c>
      <c r="LQ28" s="170">
        <f>LM28+LN28+LO28+LP28</f>
        <v>-3794.0176747190626</v>
      </c>
      <c r="LR28" s="170">
        <f>KL28+KM28+KO28+KQ28+KS28+KU28+KW28+KY28+LC28+LF28+LI28+LL28</f>
        <v>-3072.0411365999998</v>
      </c>
      <c r="LS28" s="685"/>
      <c r="LT28" s="685"/>
      <c r="LU28" s="167">
        <f>SUM(AG28,BN28,CU28,EB28,FI28,GP28,HW28)</f>
        <v>-687.74133045000019</v>
      </c>
    </row>
    <row r="29" spans="1:333">
      <c r="A29" s="143" t="s">
        <v>310</v>
      </c>
      <c r="B29" s="143"/>
      <c r="C29" s="143"/>
      <c r="D29" s="143"/>
      <c r="E29" s="143"/>
      <c r="F29" s="174">
        <f t="shared" ref="F29:V29" si="50">F9-F19</f>
        <v>-1173.0002553500003</v>
      </c>
      <c r="G29" s="174">
        <f t="shared" si="50"/>
        <v>-1733.8985273500002</v>
      </c>
      <c r="H29" s="174">
        <f t="shared" si="50"/>
        <v>-1528.0226573500004</v>
      </c>
      <c r="I29" s="174">
        <f t="shared" si="50"/>
        <v>-1720.0277803500003</v>
      </c>
      <c r="J29" s="174">
        <f t="shared" si="50"/>
        <v>-1515.9826573500004</v>
      </c>
      <c r="K29" s="174">
        <f t="shared" si="50"/>
        <v>-1380.2796553500002</v>
      </c>
      <c r="L29" s="174">
        <f t="shared" si="50"/>
        <v>-534.40594238728727</v>
      </c>
      <c r="M29" s="174">
        <f t="shared" si="50"/>
        <v>-1914.3218143500003</v>
      </c>
      <c r="N29" s="174">
        <f t="shared" si="50"/>
        <v>-803.19873197288825</v>
      </c>
      <c r="O29" s="174">
        <f t="shared" si="50"/>
        <v>-1527.1845523500006</v>
      </c>
      <c r="P29" s="174">
        <f t="shared" si="50"/>
        <v>-1258.4243710450446</v>
      </c>
      <c r="Q29" s="174">
        <f t="shared" si="50"/>
        <v>-2707.2658303500007</v>
      </c>
      <c r="R29" s="174">
        <f t="shared" si="50"/>
        <v>0</v>
      </c>
      <c r="S29" s="174">
        <f t="shared" si="50"/>
        <v>-1202.3457623500008</v>
      </c>
      <c r="T29" s="174">
        <f t="shared" si="50"/>
        <v>0</v>
      </c>
      <c r="U29" s="174">
        <f t="shared" si="50"/>
        <v>-5159.1069783500006</v>
      </c>
      <c r="V29" s="174">
        <f t="shared" si="50"/>
        <v>0</v>
      </c>
      <c r="W29" s="174">
        <f t="shared" ref="W29:AF29" si="51">W9-W19</f>
        <v>-2003.9069783500008</v>
      </c>
      <c r="X29" s="174">
        <f t="shared" si="51"/>
        <v>-5159.1069783500006</v>
      </c>
      <c r="Y29" s="174">
        <f t="shared" si="51"/>
        <v>0</v>
      </c>
      <c r="Z29" s="174">
        <f t="shared" si="51"/>
        <v>-1477.9069783500008</v>
      </c>
      <c r="AA29" s="174">
        <f t="shared" si="51"/>
        <v>-5164.1069783500006</v>
      </c>
      <c r="AB29" s="174">
        <f t="shared" si="51"/>
        <v>0</v>
      </c>
      <c r="AC29" s="174">
        <f t="shared" si="51"/>
        <v>-1327.9069783500008</v>
      </c>
      <c r="AD29" s="174">
        <f t="shared" si="51"/>
        <v>-5159.1069783500006</v>
      </c>
      <c r="AE29" s="174">
        <f t="shared" si="51"/>
        <v>0</v>
      </c>
      <c r="AF29" s="174">
        <f t="shared" si="51"/>
        <v>-972.90697835000083</v>
      </c>
      <c r="AG29" s="170">
        <f>SUM(F29,G29,J29)</f>
        <v>-4422.8814400500014</v>
      </c>
      <c r="AH29" s="170">
        <f>SUM(K29,M29,O29)</f>
        <v>-4821.7860220500006</v>
      </c>
      <c r="AI29" s="170">
        <f>SUM(Q29,S29,V29)</f>
        <v>-3909.6115927000014</v>
      </c>
      <c r="AJ29" s="170">
        <f>SUM(Y29,AB29,AE29)</f>
        <v>0</v>
      </c>
      <c r="AK29" s="170">
        <f>AG29+AH29+AI29+AJ29</f>
        <v>-13154.279054800003</v>
      </c>
      <c r="AL29" s="170">
        <f>F29+G29+I29+K29+M29+O29+Q29+S29+W29+Z29+AC29+AF29</f>
        <v>-19140.952091200012</v>
      </c>
      <c r="AM29" s="174">
        <f t="shared" ref="AM29:BM29" si="52">AM9-AM19</f>
        <v>-405.35897499999999</v>
      </c>
      <c r="AN29" s="174">
        <f t="shared" si="52"/>
        <v>-185.94549500000005</v>
      </c>
      <c r="AO29" s="174">
        <f t="shared" si="52"/>
        <v>-225</v>
      </c>
      <c r="AP29" s="174">
        <f t="shared" si="52"/>
        <v>-213.86918400000002</v>
      </c>
      <c r="AQ29" s="174">
        <f t="shared" si="52"/>
        <v>-74.600000000000023</v>
      </c>
      <c r="AR29" s="174">
        <f t="shared" si="52"/>
        <v>-497.76637499999998</v>
      </c>
      <c r="AS29" s="174">
        <f t="shared" si="52"/>
        <v>-273.12089430894309</v>
      </c>
      <c r="AT29" s="174">
        <f t="shared" si="52"/>
        <v>160.73221899999999</v>
      </c>
      <c r="AU29" s="174">
        <f t="shared" si="52"/>
        <v>-336.08944961896691</v>
      </c>
      <c r="AV29" s="174">
        <f t="shared" si="52"/>
        <v>-147.300836</v>
      </c>
      <c r="AW29" s="174">
        <f t="shared" si="52"/>
        <v>-67.991175367693018</v>
      </c>
      <c r="AX29" s="174">
        <f t="shared" si="52"/>
        <v>-162.42299200000002</v>
      </c>
      <c r="AY29" s="174">
        <f t="shared" si="52"/>
        <v>0</v>
      </c>
      <c r="AZ29" s="174">
        <f t="shared" si="52"/>
        <v>-153.88915999999995</v>
      </c>
      <c r="BA29" s="174">
        <f t="shared" si="52"/>
        <v>0</v>
      </c>
      <c r="BB29" s="174">
        <f t="shared" si="52"/>
        <v>-780</v>
      </c>
      <c r="BC29" s="174">
        <f t="shared" si="52"/>
        <v>0</v>
      </c>
      <c r="BD29" s="174">
        <f t="shared" si="52"/>
        <v>-65</v>
      </c>
      <c r="BE29" s="174">
        <f t="shared" si="52"/>
        <v>-780</v>
      </c>
      <c r="BF29" s="174">
        <f t="shared" si="52"/>
        <v>0</v>
      </c>
      <c r="BG29" s="174">
        <f t="shared" si="52"/>
        <v>-15</v>
      </c>
      <c r="BH29" s="174">
        <f t="shared" si="52"/>
        <v>-780</v>
      </c>
      <c r="BI29" s="174">
        <f t="shared" si="52"/>
        <v>0</v>
      </c>
      <c r="BJ29" s="174">
        <f t="shared" si="52"/>
        <v>1346</v>
      </c>
      <c r="BK29" s="174">
        <f t="shared" si="52"/>
        <v>-780</v>
      </c>
      <c r="BL29" s="174">
        <f t="shared" si="52"/>
        <v>0</v>
      </c>
      <c r="BM29" s="174">
        <f t="shared" si="52"/>
        <v>2161.5</v>
      </c>
      <c r="BN29" s="170">
        <f>SUM(AM29,AN29,AQ29)</f>
        <v>-665.90447000000006</v>
      </c>
      <c r="BO29" s="170">
        <f>SUM(AR29,AT29,AV29)</f>
        <v>-484.334992</v>
      </c>
      <c r="BP29" s="170">
        <f>SUM(AX29,AZ29,BC29)</f>
        <v>-316.31215199999997</v>
      </c>
      <c r="BQ29" s="170">
        <f>SUM(BF29,BI29,BL29)</f>
        <v>0</v>
      </c>
      <c r="BR29" s="170">
        <f>BN29+BO29+BP29+BQ29</f>
        <v>-1466.551614</v>
      </c>
      <c r="BS29" s="170">
        <f>AM29+AN29+AP29+AR29+AT29+AV29+AX29+AZ29+BD29+BG29+BJ29+BM29</f>
        <v>1821.6792019999998</v>
      </c>
      <c r="BT29" s="174">
        <f t="shared" ref="BT29:CT29" si="53">BT9-BT19</f>
        <v>0</v>
      </c>
      <c r="BU29" s="174">
        <f t="shared" si="53"/>
        <v>0</v>
      </c>
      <c r="BV29" s="174">
        <f t="shared" si="53"/>
        <v>0</v>
      </c>
      <c r="BW29" s="174">
        <f t="shared" si="53"/>
        <v>0</v>
      </c>
      <c r="BX29" s="174">
        <f t="shared" si="53"/>
        <v>0</v>
      </c>
      <c r="BY29" s="174">
        <f t="shared" si="53"/>
        <v>0</v>
      </c>
      <c r="BZ29" s="174">
        <f t="shared" si="53"/>
        <v>0</v>
      </c>
      <c r="CA29" s="174">
        <f t="shared" si="53"/>
        <v>0</v>
      </c>
      <c r="CB29" s="174">
        <f t="shared" si="53"/>
        <v>0</v>
      </c>
      <c r="CC29" s="174">
        <f t="shared" si="53"/>
        <v>0</v>
      </c>
      <c r="CD29" s="174">
        <f t="shared" si="53"/>
        <v>0</v>
      </c>
      <c r="CE29" s="174">
        <f t="shared" si="53"/>
        <v>0</v>
      </c>
      <c r="CF29" s="174">
        <f t="shared" si="53"/>
        <v>0</v>
      </c>
      <c r="CG29" s="174">
        <f t="shared" si="53"/>
        <v>0</v>
      </c>
      <c r="CH29" s="174">
        <f t="shared" si="53"/>
        <v>0</v>
      </c>
      <c r="CI29" s="174">
        <f t="shared" si="53"/>
        <v>0</v>
      </c>
      <c r="CJ29" s="174">
        <f t="shared" si="53"/>
        <v>0</v>
      </c>
      <c r="CK29" s="174">
        <f t="shared" si="53"/>
        <v>0</v>
      </c>
      <c r="CL29" s="174">
        <f t="shared" si="53"/>
        <v>0</v>
      </c>
      <c r="CM29" s="174">
        <f t="shared" si="53"/>
        <v>0</v>
      </c>
      <c r="CN29" s="174">
        <f t="shared" si="53"/>
        <v>0</v>
      </c>
      <c r="CO29" s="174">
        <f t="shared" si="53"/>
        <v>0</v>
      </c>
      <c r="CP29" s="174">
        <f t="shared" si="53"/>
        <v>0</v>
      </c>
      <c r="CQ29" s="174">
        <f t="shared" si="53"/>
        <v>0</v>
      </c>
      <c r="CR29" s="174">
        <f t="shared" si="53"/>
        <v>0</v>
      </c>
      <c r="CS29" s="174">
        <f t="shared" si="53"/>
        <v>0</v>
      </c>
      <c r="CT29" s="174">
        <f t="shared" si="53"/>
        <v>0</v>
      </c>
      <c r="CU29" s="170">
        <f>SUM(BT29,BU29,BW29)</f>
        <v>0</v>
      </c>
      <c r="CV29" s="170">
        <f>SUM(BY29,CA29,CC29)</f>
        <v>0</v>
      </c>
      <c r="CW29" s="170">
        <f>SUM(CE29,CG29,CJ29)</f>
        <v>0</v>
      </c>
      <c r="CX29" s="170">
        <f>SUM(CM29,CP29,CS29)</f>
        <v>0</v>
      </c>
      <c r="CY29" s="170">
        <f>CU29+CV29+CW29+CX29</f>
        <v>0</v>
      </c>
      <c r="CZ29" s="170">
        <f>BT29+BU29+BW29+BY29+CA29+CC29+CE29+CG29+CK29+CN29+CQ29+CT29</f>
        <v>0</v>
      </c>
      <c r="DA29" s="174">
        <f t="shared" ref="DA29:EA29" si="54">DA9-DA19</f>
        <v>-917.18620859999987</v>
      </c>
      <c r="DB29" s="174">
        <f t="shared" si="54"/>
        <v>-763.02157159999979</v>
      </c>
      <c r="DC29" s="174">
        <f t="shared" si="54"/>
        <v>-915.1235115999998</v>
      </c>
      <c r="DD29" s="174">
        <f t="shared" si="54"/>
        <v>-209.89302559999987</v>
      </c>
      <c r="DE29" s="174">
        <f t="shared" si="54"/>
        <v>-125.42351159999998</v>
      </c>
      <c r="DF29" s="174">
        <f t="shared" si="54"/>
        <v>-501.44574599999987</v>
      </c>
      <c r="DG29" s="174">
        <f t="shared" si="54"/>
        <v>79.273401718246532</v>
      </c>
      <c r="DH29" s="174">
        <f t="shared" si="54"/>
        <v>-181.37685790000023</v>
      </c>
      <c r="DI29" s="174">
        <f t="shared" si="54"/>
        <v>28.935889882983702</v>
      </c>
      <c r="DJ29" s="174">
        <f t="shared" si="54"/>
        <v>-150.24912659999973</v>
      </c>
      <c r="DK29" s="174">
        <f t="shared" si="54"/>
        <v>1938.8734800985485</v>
      </c>
      <c r="DL29" s="174">
        <f t="shared" si="54"/>
        <v>-341.96194559999958</v>
      </c>
      <c r="DM29" s="174">
        <f t="shared" si="54"/>
        <v>1362.3668872728604</v>
      </c>
      <c r="DN29" s="174">
        <f t="shared" si="54"/>
        <v>244.32371540000031</v>
      </c>
      <c r="DO29" s="174">
        <f t="shared" si="54"/>
        <v>1358.657018988682</v>
      </c>
      <c r="DP29" s="174">
        <f t="shared" si="54"/>
        <v>-2553.6235115999998</v>
      </c>
      <c r="DQ29" s="174">
        <f t="shared" si="54"/>
        <v>1305.8329578285361</v>
      </c>
      <c r="DR29" s="174">
        <f t="shared" si="54"/>
        <v>1477.8764884000002</v>
      </c>
      <c r="DS29" s="174">
        <f t="shared" si="54"/>
        <v>-2573.6235115999998</v>
      </c>
      <c r="DT29" s="174">
        <f t="shared" si="54"/>
        <v>1363.2161556491951</v>
      </c>
      <c r="DU29" s="174">
        <f t="shared" si="54"/>
        <v>1617.8764884000002</v>
      </c>
      <c r="DV29" s="174">
        <f t="shared" si="54"/>
        <v>-2618.6235115999998</v>
      </c>
      <c r="DW29" s="174">
        <f t="shared" si="54"/>
        <v>1480.7414076002406</v>
      </c>
      <c r="DX29" s="174">
        <f t="shared" si="54"/>
        <v>1777.8764884000002</v>
      </c>
      <c r="DY29" s="174">
        <f t="shared" si="54"/>
        <v>-2560.6235115999998</v>
      </c>
      <c r="DZ29" s="174">
        <f t="shared" si="54"/>
        <v>1550.2300143664352</v>
      </c>
      <c r="EA29" s="174">
        <f t="shared" si="54"/>
        <v>1840.8764884000002</v>
      </c>
      <c r="EB29" s="170">
        <f>SUM(DA29,DB29,DE29)</f>
        <v>-1805.6312917999996</v>
      </c>
      <c r="EC29" s="170">
        <f>SUM(DF29,DH29,DJ29)</f>
        <v>-833.07173049999983</v>
      </c>
      <c r="ED29" s="170">
        <f>SUM(DL29,DN29,DQ29)</f>
        <v>1208.1947276285368</v>
      </c>
      <c r="EE29" s="170">
        <f>SUM(DT29,DW29,DZ29)</f>
        <v>4394.1875776158704</v>
      </c>
      <c r="EF29" s="170">
        <f>EB29+EC29+ED29+EE29</f>
        <v>2963.679282944408</v>
      </c>
      <c r="EG29" s="170">
        <f>DA29+DB29+DD29+DF29+DH29+DJ29+DL29+DN29+DR29+DU29+DX29+EA29</f>
        <v>3893.6951871000024</v>
      </c>
      <c r="EH29" s="174">
        <f t="shared" ref="EH29:FH29" si="55">EH9-EH19</f>
        <v>-178.58100000000002</v>
      </c>
      <c r="EI29" s="174">
        <f t="shared" si="55"/>
        <v>-265.91700000000003</v>
      </c>
      <c r="EJ29" s="174">
        <f t="shared" si="55"/>
        <v>-360</v>
      </c>
      <c r="EK29" s="174">
        <f t="shared" si="55"/>
        <v>-121.9335</v>
      </c>
      <c r="EL29" s="174">
        <f t="shared" si="55"/>
        <v>-110</v>
      </c>
      <c r="EM29" s="174">
        <f t="shared" si="55"/>
        <v>70.876562999999976</v>
      </c>
      <c r="EN29" s="174">
        <f t="shared" si="55"/>
        <v>-69.699738903394262</v>
      </c>
      <c r="EO29" s="174">
        <f t="shared" si="55"/>
        <v>-196.46442500000001</v>
      </c>
      <c r="EP29" s="174">
        <f t="shared" si="55"/>
        <v>8.5877626699628991</v>
      </c>
      <c r="EQ29" s="174">
        <f t="shared" si="55"/>
        <v>-81.586774999999989</v>
      </c>
      <c r="ER29" s="174">
        <f t="shared" si="55"/>
        <v>199.73684210526318</v>
      </c>
      <c r="ES29" s="174">
        <f t="shared" si="55"/>
        <v>-252.52</v>
      </c>
      <c r="ET29" s="174">
        <f t="shared" si="55"/>
        <v>197.49339120280274</v>
      </c>
      <c r="EU29" s="174">
        <f t="shared" si="55"/>
        <v>-17.926272999999981</v>
      </c>
      <c r="EV29" s="174">
        <f t="shared" si="55"/>
        <v>-161.67055411314567</v>
      </c>
      <c r="EW29" s="174">
        <f t="shared" si="55"/>
        <v>-235</v>
      </c>
      <c r="EX29" s="174">
        <f t="shared" si="55"/>
        <v>48.039128504672874</v>
      </c>
      <c r="EY29" s="174">
        <f t="shared" si="55"/>
        <v>-40</v>
      </c>
      <c r="EZ29" s="174">
        <f t="shared" si="55"/>
        <v>-300</v>
      </c>
      <c r="FA29" s="174">
        <f t="shared" si="55"/>
        <v>272.29188018867922</v>
      </c>
      <c r="FB29" s="174">
        <f t="shared" si="55"/>
        <v>70</v>
      </c>
      <c r="FC29" s="174">
        <f t="shared" si="55"/>
        <v>-535</v>
      </c>
      <c r="FD29" s="174">
        <f t="shared" si="55"/>
        <v>299.55604229607241</v>
      </c>
      <c r="FE29" s="174">
        <f t="shared" si="55"/>
        <v>653</v>
      </c>
      <c r="FF29" s="174">
        <f t="shared" si="55"/>
        <v>-235</v>
      </c>
      <c r="FG29" s="174">
        <f t="shared" si="55"/>
        <v>-63.018497109826626</v>
      </c>
      <c r="FH29" s="174">
        <f t="shared" si="55"/>
        <v>185</v>
      </c>
      <c r="FI29" s="170">
        <f>SUM(EH29,EI29,EL29)</f>
        <v>-554.49800000000005</v>
      </c>
      <c r="FJ29" s="170">
        <f>SUM(EM29,EO29,EQ29)</f>
        <v>-207.17463700000002</v>
      </c>
      <c r="FK29" s="170">
        <f>SUM(ES29,EU29,EX29)</f>
        <v>-222.40714449532715</v>
      </c>
      <c r="FL29" s="170">
        <f>SUM(FA29,FD29,FG29)</f>
        <v>508.82942537492499</v>
      </c>
      <c r="FM29" s="170">
        <f>FI29+FJ29+FK29+FL29</f>
        <v>-475.25035612040233</v>
      </c>
      <c r="FN29" s="170">
        <f>EH29+EI29+EK29+EM29+EO29+EQ29+ES29+EU29+EY29+FB29+FE29+FH29</f>
        <v>-176.05241000000001</v>
      </c>
      <c r="FO29" s="174">
        <f t="shared" ref="FO29:GO29" si="56">FO9-FO19</f>
        <v>-704.09071999999992</v>
      </c>
      <c r="FP29" s="174">
        <f t="shared" si="56"/>
        <v>-741.03549999999996</v>
      </c>
      <c r="FQ29" s="174">
        <f t="shared" si="56"/>
        <v>-604</v>
      </c>
      <c r="FR29" s="174">
        <f t="shared" si="56"/>
        <v>-474.8050659999999</v>
      </c>
      <c r="FS29" s="174">
        <f t="shared" si="56"/>
        <v>-687</v>
      </c>
      <c r="FT29" s="174">
        <f t="shared" si="56"/>
        <v>-1405.9230809999999</v>
      </c>
      <c r="FU29" s="174">
        <f t="shared" si="56"/>
        <v>344.19753258036508</v>
      </c>
      <c r="FV29" s="174">
        <f t="shared" si="56"/>
        <v>-289.21238900000003</v>
      </c>
      <c r="FW29" s="174">
        <f t="shared" si="56"/>
        <v>877.71534962601754</v>
      </c>
      <c r="FX29" s="174">
        <f t="shared" si="56"/>
        <v>439.92437599999994</v>
      </c>
      <c r="FY29" s="174">
        <f t="shared" si="56"/>
        <v>393.57597328194606</v>
      </c>
      <c r="FZ29" s="174">
        <f t="shared" si="56"/>
        <v>692.95267599999988</v>
      </c>
      <c r="GA29" s="174">
        <f t="shared" si="56"/>
        <v>394.3899388585678</v>
      </c>
      <c r="GB29" s="174">
        <f t="shared" si="56"/>
        <v>3904.1420520000001</v>
      </c>
      <c r="GC29" s="174">
        <f t="shared" si="56"/>
        <v>136.33527543816945</v>
      </c>
      <c r="GD29" s="174">
        <f t="shared" si="56"/>
        <v>-2202.5</v>
      </c>
      <c r="GE29" s="174">
        <f t="shared" si="56"/>
        <v>-185.96790297146686</v>
      </c>
      <c r="GF29" s="174">
        <f t="shared" si="56"/>
        <v>67.94399999999996</v>
      </c>
      <c r="GG29" s="174">
        <f t="shared" si="56"/>
        <v>-2187.5</v>
      </c>
      <c r="GH29" s="174">
        <f t="shared" si="56"/>
        <v>139.9109906204967</v>
      </c>
      <c r="GI29" s="174">
        <f t="shared" si="56"/>
        <v>276.55400000000009</v>
      </c>
      <c r="GJ29" s="174">
        <f t="shared" si="56"/>
        <v>-2207.5</v>
      </c>
      <c r="GK29" s="174">
        <f t="shared" si="56"/>
        <v>124.17453092116875</v>
      </c>
      <c r="GL29" s="174">
        <f t="shared" si="56"/>
        <v>-91.050000000000182</v>
      </c>
      <c r="GM29" s="174">
        <f t="shared" si="56"/>
        <v>-2209.343617</v>
      </c>
      <c r="GN29" s="174">
        <f t="shared" si="56"/>
        <v>-169.58719204635145</v>
      </c>
      <c r="GO29" s="174">
        <f t="shared" si="56"/>
        <v>-65.893617000000177</v>
      </c>
      <c r="GP29" s="170">
        <f>SUM(FO29,FP29,FS29)</f>
        <v>-2132.1262200000001</v>
      </c>
      <c r="GQ29" s="170">
        <f>SUM(FT29,FV29,FX29)</f>
        <v>-1255.211094</v>
      </c>
      <c r="GR29" s="170">
        <f>SUM(FZ29,GB29,GE29)</f>
        <v>4411.1268250285329</v>
      </c>
      <c r="GS29" s="170">
        <f>SUM(GH29,GK29,GN29)</f>
        <v>94.49832949531401</v>
      </c>
      <c r="GT29" s="170">
        <f>GP29+GQ29+GR29+GS29</f>
        <v>1118.2878405238466</v>
      </c>
      <c r="GU29" s="170">
        <f>FO29+FP29+FR29+FT29+FV29+FX29+FZ29+GB29+GF29+GI29+GL29+GO29</f>
        <v>1609.5067309999995</v>
      </c>
      <c r="GV29" s="174">
        <f t="shared" ref="GV29:HV29" si="57">GV9-GV19</f>
        <v>0</v>
      </c>
      <c r="GW29" s="174">
        <f t="shared" si="57"/>
        <v>0</v>
      </c>
      <c r="GX29" s="174">
        <f t="shared" si="57"/>
        <v>0</v>
      </c>
      <c r="GY29" s="174">
        <f t="shared" si="57"/>
        <v>0</v>
      </c>
      <c r="GZ29" s="174">
        <f t="shared" si="57"/>
        <v>0</v>
      </c>
      <c r="HA29" s="174">
        <f t="shared" si="57"/>
        <v>0</v>
      </c>
      <c r="HB29" s="174">
        <f t="shared" si="57"/>
        <v>0</v>
      </c>
      <c r="HC29" s="174">
        <f t="shared" si="57"/>
        <v>0</v>
      </c>
      <c r="HD29" s="174">
        <f t="shared" si="57"/>
        <v>0</v>
      </c>
      <c r="HE29" s="174">
        <f t="shared" si="57"/>
        <v>0</v>
      </c>
      <c r="HF29" s="174">
        <f t="shared" si="57"/>
        <v>0</v>
      </c>
      <c r="HG29" s="174">
        <f t="shared" si="57"/>
        <v>0</v>
      </c>
      <c r="HH29" s="174">
        <f t="shared" si="57"/>
        <v>0</v>
      </c>
      <c r="HI29" s="174">
        <f t="shared" si="57"/>
        <v>0</v>
      </c>
      <c r="HJ29" s="174">
        <f t="shared" si="57"/>
        <v>0</v>
      </c>
      <c r="HK29" s="174">
        <f t="shared" si="57"/>
        <v>0</v>
      </c>
      <c r="HL29" s="174">
        <f t="shared" si="57"/>
        <v>0</v>
      </c>
      <c r="HM29" s="174">
        <f t="shared" si="57"/>
        <v>0</v>
      </c>
      <c r="HN29" s="174">
        <f t="shared" si="57"/>
        <v>0</v>
      </c>
      <c r="HO29" s="174">
        <f t="shared" si="57"/>
        <v>0</v>
      </c>
      <c r="HP29" s="174">
        <f t="shared" si="57"/>
        <v>0</v>
      </c>
      <c r="HQ29" s="174">
        <f t="shared" si="57"/>
        <v>0</v>
      </c>
      <c r="HR29" s="174">
        <f t="shared" si="57"/>
        <v>0</v>
      </c>
      <c r="HS29" s="174">
        <f t="shared" si="57"/>
        <v>0</v>
      </c>
      <c r="HT29" s="174">
        <f t="shared" si="57"/>
        <v>0</v>
      </c>
      <c r="HU29" s="174">
        <f t="shared" si="57"/>
        <v>0</v>
      </c>
      <c r="HV29" s="174">
        <f t="shared" si="57"/>
        <v>0</v>
      </c>
      <c r="HW29" s="170">
        <f>SUM(GV29,GW29,GZ29)</f>
        <v>0</v>
      </c>
      <c r="HX29" s="170">
        <f>SUM(HA29,HC29,HE29)</f>
        <v>0</v>
      </c>
      <c r="HY29" s="170">
        <f>SUM(HG29,HI29,HL29)</f>
        <v>0</v>
      </c>
      <c r="HZ29" s="170">
        <f>SUM(HO29,HR29,HU29)</f>
        <v>0</v>
      </c>
      <c r="IA29" s="170">
        <f>HW29+HX29+HY29+HZ29</f>
        <v>0</v>
      </c>
      <c r="IB29" s="170">
        <f>GV29+GW29+GY29+HA29+HC29+HE29+HG29+HI29+HM29+HP29+HS29+HV29</f>
        <v>0</v>
      </c>
      <c r="IC29" s="174">
        <f t="shared" ref="IC29:JC29" si="58">IC9-IC19</f>
        <v>0</v>
      </c>
      <c r="ID29" s="174">
        <f t="shared" si="58"/>
        <v>0</v>
      </c>
      <c r="IE29" s="174">
        <f t="shared" si="58"/>
        <v>0</v>
      </c>
      <c r="IF29" s="174">
        <f t="shared" si="58"/>
        <v>0</v>
      </c>
      <c r="IG29" s="174">
        <f t="shared" si="58"/>
        <v>0</v>
      </c>
      <c r="IH29" s="174">
        <f t="shared" si="58"/>
        <v>0</v>
      </c>
      <c r="II29" s="174">
        <f t="shared" si="58"/>
        <v>0</v>
      </c>
      <c r="IJ29" s="174">
        <f t="shared" si="58"/>
        <v>0</v>
      </c>
      <c r="IK29" s="174">
        <f t="shared" si="58"/>
        <v>0</v>
      </c>
      <c r="IL29" s="174">
        <f t="shared" si="58"/>
        <v>0</v>
      </c>
      <c r="IM29" s="174">
        <f t="shared" si="58"/>
        <v>0</v>
      </c>
      <c r="IN29" s="174">
        <f t="shared" si="58"/>
        <v>0</v>
      </c>
      <c r="IO29" s="174">
        <f t="shared" si="58"/>
        <v>0</v>
      </c>
      <c r="IP29" s="174">
        <f t="shared" si="58"/>
        <v>0</v>
      </c>
      <c r="IQ29" s="174">
        <f t="shared" si="58"/>
        <v>0</v>
      </c>
      <c r="IR29" s="174">
        <f t="shared" si="58"/>
        <v>0</v>
      </c>
      <c r="IS29" s="174">
        <f t="shared" si="58"/>
        <v>0</v>
      </c>
      <c r="IT29" s="174">
        <f t="shared" si="58"/>
        <v>0</v>
      </c>
      <c r="IU29" s="174">
        <f t="shared" si="58"/>
        <v>0</v>
      </c>
      <c r="IV29" s="174">
        <f t="shared" si="58"/>
        <v>0</v>
      </c>
      <c r="IW29" s="174">
        <f t="shared" si="58"/>
        <v>0</v>
      </c>
      <c r="IX29" s="174">
        <f t="shared" si="58"/>
        <v>0</v>
      </c>
      <c r="IY29" s="174">
        <f t="shared" si="58"/>
        <v>0</v>
      </c>
      <c r="IZ29" s="174">
        <f t="shared" si="58"/>
        <v>0</v>
      </c>
      <c r="JA29" s="174">
        <f t="shared" si="58"/>
        <v>0</v>
      </c>
      <c r="JB29" s="174">
        <f t="shared" si="58"/>
        <v>0</v>
      </c>
      <c r="JC29" s="174">
        <f t="shared" si="58"/>
        <v>0</v>
      </c>
      <c r="JD29" s="170">
        <f>SUM(IC29,ID29,IG29)</f>
        <v>0</v>
      </c>
      <c r="JE29" s="170">
        <f>SUM(IH29,IJ29,IL29)</f>
        <v>0</v>
      </c>
      <c r="JF29" s="170">
        <f>SUM(IN29,IP29,IS29)</f>
        <v>0</v>
      </c>
      <c r="JG29" s="170">
        <f>SUM(IV29,IY29,JB29)</f>
        <v>0</v>
      </c>
      <c r="JH29" s="170">
        <f>JD29+JE29+JF29+JG29</f>
        <v>0</v>
      </c>
      <c r="JI29" s="170">
        <f>IC29+ID29+IF29+IH29+IJ29+IL29+IN29+IP29+IT29+IW29+IZ29+JC29</f>
        <v>0</v>
      </c>
      <c r="JJ29" s="174">
        <f t="shared" ref="JJ29:KF29" si="59">JJ9-JJ19</f>
        <v>0</v>
      </c>
      <c r="JK29" s="174">
        <f t="shared" si="59"/>
        <v>0</v>
      </c>
      <c r="JL29" s="174">
        <f t="shared" si="59"/>
        <v>0</v>
      </c>
      <c r="JM29" s="174">
        <f t="shared" si="59"/>
        <v>0</v>
      </c>
      <c r="JN29" s="174">
        <f t="shared" si="59"/>
        <v>0</v>
      </c>
      <c r="JO29" s="174">
        <f t="shared" si="59"/>
        <v>0</v>
      </c>
      <c r="JP29" s="174">
        <f t="shared" si="59"/>
        <v>0</v>
      </c>
      <c r="JQ29" s="174">
        <f t="shared" si="59"/>
        <v>0</v>
      </c>
      <c r="JR29" s="174">
        <f t="shared" si="59"/>
        <v>0</v>
      </c>
      <c r="JS29" s="174">
        <f t="shared" si="59"/>
        <v>0</v>
      </c>
      <c r="JT29" s="174">
        <f t="shared" si="59"/>
        <v>0</v>
      </c>
      <c r="JU29" s="174">
        <f t="shared" si="59"/>
        <v>0</v>
      </c>
      <c r="JV29" s="174">
        <f t="shared" si="59"/>
        <v>0</v>
      </c>
      <c r="JW29" s="174">
        <f t="shared" si="59"/>
        <v>0</v>
      </c>
      <c r="JX29" s="174">
        <f t="shared" si="59"/>
        <v>0</v>
      </c>
      <c r="JY29" s="174">
        <f t="shared" si="59"/>
        <v>0</v>
      </c>
      <c r="JZ29" s="174">
        <f t="shared" si="59"/>
        <v>0</v>
      </c>
      <c r="KA29" s="174">
        <f t="shared" si="59"/>
        <v>0</v>
      </c>
      <c r="KB29" s="174">
        <f t="shared" si="59"/>
        <v>0</v>
      </c>
      <c r="KC29" s="174">
        <f t="shared" si="59"/>
        <v>0</v>
      </c>
      <c r="KD29" s="174">
        <f t="shared" si="59"/>
        <v>0</v>
      </c>
      <c r="KE29" s="174">
        <f t="shared" si="59"/>
        <v>0</v>
      </c>
      <c r="KF29" s="174">
        <f t="shared" si="59"/>
        <v>0</v>
      </c>
      <c r="KG29" s="170">
        <f>SUM(JJ29,JK29,JN29)</f>
        <v>0</v>
      </c>
      <c r="KH29" s="170">
        <f>SUM(JO29,JQ29,JS29)</f>
        <v>0</v>
      </c>
      <c r="KI29" s="170">
        <f>SUM(JU29,JW29,JZ29)</f>
        <v>0</v>
      </c>
      <c r="KJ29" s="170">
        <f>SUM(KB29,KD29,KF29)</f>
        <v>0</v>
      </c>
      <c r="KK29" s="170">
        <f>KG29+KH29+KI29+KJ29</f>
        <v>0</v>
      </c>
      <c r="KL29" s="157">
        <f t="shared" si="35"/>
        <v>-3378.2171589500003</v>
      </c>
      <c r="KM29" s="157">
        <f t="shared" si="35"/>
        <v>-3689.8180939499998</v>
      </c>
      <c r="KN29" s="157">
        <f t="shared" si="35"/>
        <v>-3632.1461689500002</v>
      </c>
      <c r="KO29" s="157">
        <f t="shared" si="35"/>
        <v>-2740.5285559500003</v>
      </c>
      <c r="KP29" s="157">
        <f t="shared" si="35"/>
        <v>-2513.0061689500003</v>
      </c>
      <c r="KQ29" s="157">
        <f t="shared" si="35"/>
        <v>-3714.5382943499999</v>
      </c>
      <c r="KR29" s="157">
        <f t="shared" si="35"/>
        <v>-453.75564130101304</v>
      </c>
      <c r="KS29" s="157">
        <f t="shared" si="35"/>
        <v>-2420.6432672500005</v>
      </c>
      <c r="KT29" s="157">
        <f t="shared" si="35"/>
        <v>-224.04917941289114</v>
      </c>
      <c r="KU29" s="157">
        <f t="shared" si="35"/>
        <v>-1466.3969139500002</v>
      </c>
      <c r="KV29" s="157">
        <f t="shared" si="36"/>
        <v>1205.7707490730202</v>
      </c>
      <c r="KW29" s="157">
        <f t="shared" si="36"/>
        <v>-2771.2180919500006</v>
      </c>
      <c r="KX29" s="157">
        <f t="shared" si="36"/>
        <v>1954.2502173342309</v>
      </c>
      <c r="KY29" s="157">
        <f t="shared" si="36"/>
        <v>2774.3045720499995</v>
      </c>
      <c r="KZ29" s="157">
        <f t="shared" si="36"/>
        <v>1333.3217403137057</v>
      </c>
      <c r="LA29" s="157">
        <f t="shared" si="36"/>
        <v>-10930.230489950001</v>
      </c>
      <c r="LB29" s="157">
        <f t="shared" si="36"/>
        <v>1167.9041833617421</v>
      </c>
      <c r="LC29" s="174">
        <f>LC9-LC19</f>
        <v>-563.08648995000112</v>
      </c>
      <c r="LD29" s="157">
        <f t="shared" si="37"/>
        <v>-11000.230489950001</v>
      </c>
      <c r="LE29" s="157">
        <f t="shared" si="37"/>
        <v>1775.419026458371</v>
      </c>
      <c r="LF29" s="174">
        <f>LF9-LF19</f>
        <v>471.52351004999946</v>
      </c>
      <c r="LG29" s="157">
        <f t="shared" si="38"/>
        <v>-11305.230489950001</v>
      </c>
      <c r="LH29" s="157">
        <f t="shared" si="38"/>
        <v>1904.4719808174818</v>
      </c>
      <c r="LI29" s="174">
        <f>LI9-LI19</f>
        <v>2357.9195100500001</v>
      </c>
      <c r="LJ29" s="157">
        <f t="shared" si="39"/>
        <v>-10944.074106950002</v>
      </c>
      <c r="LK29" s="157">
        <f t="shared" si="39"/>
        <v>1317.6243252102572</v>
      </c>
      <c r="LL29" s="174">
        <f>LL9-LL19</f>
        <v>3148.5758930499996</v>
      </c>
      <c r="LM29" s="170">
        <f>SUM(KL29,KM29,KO29)</f>
        <v>-9808.56380885</v>
      </c>
      <c r="LN29" s="170">
        <f>SUM(KQ29,KS29,KU29)</f>
        <v>-7601.5784755500008</v>
      </c>
      <c r="LO29" s="170">
        <f>SUM(KW29,KY29,LB29)</f>
        <v>1170.990663461741</v>
      </c>
      <c r="LP29" s="170">
        <f>SUM(LE29,LH29,LK29)</f>
        <v>4997.5153324861094</v>
      </c>
      <c r="LQ29" s="170">
        <f>LM29+LN29+LO29+LP29</f>
        <v>-11241.636288452151</v>
      </c>
      <c r="LR29" s="170">
        <f>KL29+KM29+KO29+KQ29+KS29+KU29+KW29+KY29+LC29+LF29+LI29+LL29</f>
        <v>-11992.1233811</v>
      </c>
      <c r="LS29" s="685"/>
      <c r="LT29" s="685"/>
      <c r="LU29" s="167">
        <f>SUM(AG29,BN29,CU29,EB29,FI29,GP29,HW29)</f>
        <v>-9581.0414218500009</v>
      </c>
    </row>
    <row r="30" spans="1:333">
      <c r="A30" s="143" t="s">
        <v>312</v>
      </c>
      <c r="B30" s="143"/>
      <c r="C30" s="143"/>
      <c r="D30" s="143"/>
      <c r="E30" s="143"/>
      <c r="F30" s="174">
        <f t="shared" ref="F30:V30" si="60">F10-F20</f>
        <v>-178.20645200000001</v>
      </c>
      <c r="G30" s="174">
        <f t="shared" si="60"/>
        <v>-223.23505699999998</v>
      </c>
      <c r="H30" s="174">
        <f t="shared" si="60"/>
        <v>-232.85925699999996</v>
      </c>
      <c r="I30" s="174">
        <f t="shared" si="60"/>
        <v>-275.32761699999998</v>
      </c>
      <c r="J30" s="174">
        <f t="shared" si="60"/>
        <v>-273.05324999999999</v>
      </c>
      <c r="K30" s="174">
        <f t="shared" si="60"/>
        <v>-238.16397000000001</v>
      </c>
      <c r="L30" s="174">
        <f t="shared" si="60"/>
        <v>-252.28457087289473</v>
      </c>
      <c r="M30" s="174">
        <f t="shared" si="60"/>
        <v>-368.95588499999997</v>
      </c>
      <c r="N30" s="174">
        <f t="shared" si="60"/>
        <v>-183.36632416996855</v>
      </c>
      <c r="O30" s="174">
        <f t="shared" si="60"/>
        <v>-381.98698000000002</v>
      </c>
      <c r="P30" s="174">
        <f t="shared" si="60"/>
        <v>-287.65164295645542</v>
      </c>
      <c r="Q30" s="174">
        <f t="shared" si="60"/>
        <v>-451.50068499999998</v>
      </c>
      <c r="R30" s="174">
        <f t="shared" si="60"/>
        <v>0</v>
      </c>
      <c r="S30" s="174">
        <f t="shared" si="60"/>
        <v>-451.94908699999996</v>
      </c>
      <c r="T30" s="174">
        <f t="shared" si="60"/>
        <v>0</v>
      </c>
      <c r="U30" s="174">
        <f t="shared" si="60"/>
        <v>-621.12324999999998</v>
      </c>
      <c r="V30" s="174">
        <f t="shared" si="60"/>
        <v>0</v>
      </c>
      <c r="W30" s="174">
        <f t="shared" ref="W30:AF30" si="61">W10-W20</f>
        <v>-413.62324999999998</v>
      </c>
      <c r="X30" s="174">
        <f t="shared" si="61"/>
        <v>-576.12324999999998</v>
      </c>
      <c r="Y30" s="174">
        <f t="shared" si="61"/>
        <v>0</v>
      </c>
      <c r="Z30" s="174">
        <f t="shared" si="61"/>
        <v>-300.42325</v>
      </c>
      <c r="AA30" s="174">
        <f t="shared" si="61"/>
        <v>-576.12324999999998</v>
      </c>
      <c r="AB30" s="174">
        <f t="shared" si="61"/>
        <v>0</v>
      </c>
      <c r="AC30" s="174">
        <f t="shared" si="61"/>
        <v>-211.42325</v>
      </c>
      <c r="AD30" s="174">
        <f t="shared" si="61"/>
        <v>-575.12324999999998</v>
      </c>
      <c r="AE30" s="174">
        <f t="shared" si="61"/>
        <v>0</v>
      </c>
      <c r="AF30" s="174">
        <f t="shared" si="61"/>
        <v>-122.42325</v>
      </c>
      <c r="AG30" s="170">
        <f>SUM(F30,G30,J30)</f>
        <v>-674.49475899999993</v>
      </c>
      <c r="AH30" s="170">
        <f>SUM(K30,M30,O30)</f>
        <v>-989.10683499999993</v>
      </c>
      <c r="AI30" s="170">
        <f>SUM(Q30,S30,V30)</f>
        <v>-903.44977199999994</v>
      </c>
      <c r="AJ30" s="170">
        <f>SUM(Y30,AB30,AE30)</f>
        <v>0</v>
      </c>
      <c r="AK30" s="170">
        <f>AG30+AH30+AI30+AJ30</f>
        <v>-2567.0513659999997</v>
      </c>
      <c r="AL30" s="170">
        <f>F30+G30+I30+K30+M30+O30+Q30+S30+W30+Z30+AC30+AF30</f>
        <v>-3617.2187329999997</v>
      </c>
      <c r="AM30" s="174">
        <f t="shared" ref="AM30:BM30" si="62">AM10-AM20</f>
        <v>-92.932999999999993</v>
      </c>
      <c r="AN30" s="174">
        <f t="shared" si="62"/>
        <v>-89.205949999999973</v>
      </c>
      <c r="AO30" s="174">
        <f t="shared" si="62"/>
        <v>-89.205949999999973</v>
      </c>
      <c r="AP30" s="174">
        <f t="shared" si="62"/>
        <v>-175.78707000000003</v>
      </c>
      <c r="AQ30" s="174">
        <f t="shared" si="62"/>
        <v>-235.5</v>
      </c>
      <c r="AR30" s="174">
        <f t="shared" si="62"/>
        <v>-170.84070000000003</v>
      </c>
      <c r="AS30" s="174">
        <f t="shared" si="62"/>
        <v>-191.82718931475034</v>
      </c>
      <c r="AT30" s="174">
        <f t="shared" si="62"/>
        <v>-122.30464999999998</v>
      </c>
      <c r="AU30" s="174">
        <f t="shared" si="62"/>
        <v>-160.76877517210914</v>
      </c>
      <c r="AV30" s="174">
        <f t="shared" si="62"/>
        <v>-138.42615000000001</v>
      </c>
      <c r="AW30" s="174">
        <f t="shared" si="62"/>
        <v>-116.94166243073215</v>
      </c>
      <c r="AX30" s="174">
        <f t="shared" si="62"/>
        <v>-192.04539299999999</v>
      </c>
      <c r="AY30" s="174">
        <f t="shared" si="62"/>
        <v>0</v>
      </c>
      <c r="AZ30" s="174">
        <f t="shared" si="62"/>
        <v>-208.48975300000001</v>
      </c>
      <c r="BA30" s="174">
        <f t="shared" si="62"/>
        <v>0</v>
      </c>
      <c r="BB30" s="174">
        <f t="shared" si="62"/>
        <v>-609</v>
      </c>
      <c r="BC30" s="174">
        <f t="shared" si="62"/>
        <v>0</v>
      </c>
      <c r="BD30" s="174">
        <f t="shared" si="62"/>
        <v>-185.60000000000002</v>
      </c>
      <c r="BE30" s="174">
        <f t="shared" si="62"/>
        <v>-589</v>
      </c>
      <c r="BF30" s="174">
        <f t="shared" si="62"/>
        <v>0</v>
      </c>
      <c r="BG30" s="174">
        <f t="shared" si="62"/>
        <v>-165.60000000000002</v>
      </c>
      <c r="BH30" s="174">
        <f t="shared" si="62"/>
        <v>-579</v>
      </c>
      <c r="BI30" s="174">
        <f t="shared" si="62"/>
        <v>0</v>
      </c>
      <c r="BJ30" s="174">
        <f t="shared" si="62"/>
        <v>-155.60000000000002</v>
      </c>
      <c r="BK30" s="174">
        <f t="shared" si="62"/>
        <v>-579</v>
      </c>
      <c r="BL30" s="174">
        <f t="shared" si="62"/>
        <v>0</v>
      </c>
      <c r="BM30" s="174">
        <f t="shared" si="62"/>
        <v>-155.60000000000002</v>
      </c>
      <c r="BN30" s="170">
        <f>SUM(AM30,AN30,AQ30)</f>
        <v>-417.63894999999997</v>
      </c>
      <c r="BO30" s="170">
        <f>SUM(AR30,AT30,AV30)</f>
        <v>-431.57150000000001</v>
      </c>
      <c r="BP30" s="170">
        <f>SUM(AX30,AZ30,BC30)</f>
        <v>-400.535146</v>
      </c>
      <c r="BQ30" s="170">
        <f>SUM(BF30,BI30,BL30)</f>
        <v>0</v>
      </c>
      <c r="BR30" s="170">
        <f>BN30+BO30+BP30+BQ30</f>
        <v>-1249.745596</v>
      </c>
      <c r="BS30" s="170">
        <f>AM30+AN30+AP30+AR30+AT30+AV30+AX30+AZ30+BD30+BG30+BJ30+BM30</f>
        <v>-1852.4326659999997</v>
      </c>
      <c r="BT30" s="174">
        <f t="shared" ref="BT30:CT30" si="63">BT10-BT20</f>
        <v>0</v>
      </c>
      <c r="BU30" s="174">
        <f t="shared" si="63"/>
        <v>0</v>
      </c>
      <c r="BV30" s="174">
        <f t="shared" si="63"/>
        <v>0</v>
      </c>
      <c r="BW30" s="174">
        <f t="shared" si="63"/>
        <v>0</v>
      </c>
      <c r="BX30" s="174">
        <f t="shared" si="63"/>
        <v>0</v>
      </c>
      <c r="BY30" s="174">
        <f t="shared" si="63"/>
        <v>0</v>
      </c>
      <c r="BZ30" s="174">
        <f t="shared" si="63"/>
        <v>0</v>
      </c>
      <c r="CA30" s="174">
        <f t="shared" si="63"/>
        <v>0</v>
      </c>
      <c r="CB30" s="174">
        <f t="shared" si="63"/>
        <v>0</v>
      </c>
      <c r="CC30" s="174">
        <f t="shared" si="63"/>
        <v>0</v>
      </c>
      <c r="CD30" s="174">
        <f t="shared" si="63"/>
        <v>0</v>
      </c>
      <c r="CE30" s="174">
        <f t="shared" si="63"/>
        <v>0</v>
      </c>
      <c r="CF30" s="174">
        <f t="shared" si="63"/>
        <v>0</v>
      </c>
      <c r="CG30" s="174">
        <f t="shared" si="63"/>
        <v>0</v>
      </c>
      <c r="CH30" s="174">
        <f t="shared" si="63"/>
        <v>0</v>
      </c>
      <c r="CI30" s="174">
        <f t="shared" si="63"/>
        <v>0</v>
      </c>
      <c r="CJ30" s="174">
        <f t="shared" si="63"/>
        <v>0</v>
      </c>
      <c r="CK30" s="174">
        <f t="shared" si="63"/>
        <v>0</v>
      </c>
      <c r="CL30" s="174">
        <f t="shared" si="63"/>
        <v>0</v>
      </c>
      <c r="CM30" s="174">
        <f t="shared" si="63"/>
        <v>0</v>
      </c>
      <c r="CN30" s="174">
        <f t="shared" si="63"/>
        <v>0</v>
      </c>
      <c r="CO30" s="174">
        <f t="shared" si="63"/>
        <v>0</v>
      </c>
      <c r="CP30" s="174">
        <f t="shared" si="63"/>
        <v>0</v>
      </c>
      <c r="CQ30" s="174">
        <f t="shared" si="63"/>
        <v>0</v>
      </c>
      <c r="CR30" s="174">
        <f t="shared" si="63"/>
        <v>0</v>
      </c>
      <c r="CS30" s="174">
        <f t="shared" si="63"/>
        <v>0</v>
      </c>
      <c r="CT30" s="174">
        <f t="shared" si="63"/>
        <v>0</v>
      </c>
      <c r="CU30" s="170">
        <f>SUM(BT30,BU30,BW30)</f>
        <v>0</v>
      </c>
      <c r="CV30" s="170">
        <f>SUM(BY30,CA30,CC30)</f>
        <v>0</v>
      </c>
      <c r="CW30" s="170">
        <f>SUM(CE30,CG30,CJ30)</f>
        <v>0</v>
      </c>
      <c r="CX30" s="170">
        <f>SUM(CM30,CP30,CS30)</f>
        <v>0</v>
      </c>
      <c r="CY30" s="170">
        <f>CU30+CV30+CW30+CX30</f>
        <v>0</v>
      </c>
      <c r="CZ30" s="170">
        <f>BT30+BU30+BW30+BY30+CA30+CC30+CE30+CG30+CK30+CN30+CQ30+CT30</f>
        <v>0</v>
      </c>
      <c r="DA30" s="174">
        <f t="shared" ref="DA30:EA30" si="64">DA10-DA20</f>
        <v>-257.64192799999995</v>
      </c>
      <c r="DB30" s="174">
        <f t="shared" si="64"/>
        <v>-572.57393999999999</v>
      </c>
      <c r="DC30" s="174">
        <f t="shared" si="64"/>
        <v>-665.21393999999998</v>
      </c>
      <c r="DD30" s="174">
        <f t="shared" si="64"/>
        <v>-603.12090000000001</v>
      </c>
      <c r="DE30" s="174">
        <f t="shared" si="64"/>
        <v>-454.9</v>
      </c>
      <c r="DF30" s="174">
        <f t="shared" si="64"/>
        <v>195.98470000000009</v>
      </c>
      <c r="DG30" s="174">
        <f t="shared" si="64"/>
        <v>-92.478927659272813</v>
      </c>
      <c r="DH30" s="174">
        <f t="shared" si="64"/>
        <v>330.28959999999995</v>
      </c>
      <c r="DI30" s="174">
        <f t="shared" si="64"/>
        <v>310.17007966185508</v>
      </c>
      <c r="DJ30" s="174">
        <f t="shared" si="64"/>
        <v>412.77665000000002</v>
      </c>
      <c r="DK30" s="174">
        <f t="shared" si="64"/>
        <v>77.658880702931583</v>
      </c>
      <c r="DL30" s="174">
        <f t="shared" si="64"/>
        <v>641.17375000000004</v>
      </c>
      <c r="DM30" s="174">
        <f t="shared" si="64"/>
        <v>28.198740510545235</v>
      </c>
      <c r="DN30" s="174">
        <f t="shared" si="64"/>
        <v>247.42420000000004</v>
      </c>
      <c r="DO30" s="174">
        <f t="shared" si="64"/>
        <v>19.600959915754629</v>
      </c>
      <c r="DP30" s="174">
        <f t="shared" si="64"/>
        <v>-604.9</v>
      </c>
      <c r="DQ30" s="174">
        <f t="shared" si="64"/>
        <v>-12.145124338935034</v>
      </c>
      <c r="DR30" s="174">
        <f t="shared" si="64"/>
        <v>120.10000000000002</v>
      </c>
      <c r="DS30" s="174">
        <f t="shared" si="64"/>
        <v>-604.9</v>
      </c>
      <c r="DT30" s="174">
        <f t="shared" si="64"/>
        <v>-27.865284115002396</v>
      </c>
      <c r="DU30" s="174">
        <f t="shared" si="64"/>
        <v>120.10000000000002</v>
      </c>
      <c r="DV30" s="174">
        <f t="shared" si="64"/>
        <v>-604.9</v>
      </c>
      <c r="DW30" s="174">
        <f t="shared" si="64"/>
        <v>7.1797543981982699</v>
      </c>
      <c r="DX30" s="174">
        <f t="shared" si="64"/>
        <v>190.10000000000002</v>
      </c>
      <c r="DY30" s="174">
        <f t="shared" si="64"/>
        <v>-604.9</v>
      </c>
      <c r="DZ30" s="174">
        <f t="shared" si="64"/>
        <v>13.40227308530973</v>
      </c>
      <c r="EA30" s="174">
        <f t="shared" si="64"/>
        <v>190.10000000000002</v>
      </c>
      <c r="EB30" s="170">
        <f>SUM(DA30,DB30,DE30)</f>
        <v>-1285.1158679999999</v>
      </c>
      <c r="EC30" s="170">
        <f>SUM(DF30,DH30,DJ30)</f>
        <v>939.05095000000006</v>
      </c>
      <c r="ED30" s="170">
        <f>SUM(DL30,DN30,DQ30)</f>
        <v>876.45282566106505</v>
      </c>
      <c r="EE30" s="170">
        <f>SUM(DT30,DW30,DZ30)</f>
        <v>-7.2832566314943961</v>
      </c>
      <c r="EF30" s="170">
        <f>EB30+EC30+ED30+EE30</f>
        <v>523.10465102957085</v>
      </c>
      <c r="EG30" s="170">
        <f>DA30+DB30+DD30+DF30+DH30+DJ30+DL30+DN30+DR30+DU30+DX30+EA30</f>
        <v>1014.712132</v>
      </c>
      <c r="EH30" s="174">
        <f t="shared" ref="EH30:FH30" si="65">EH10-EH20</f>
        <v>102.92201</v>
      </c>
      <c r="EI30" s="174">
        <f t="shared" si="65"/>
        <v>-49.391106000000036</v>
      </c>
      <c r="EJ30" s="174">
        <f t="shared" si="65"/>
        <v>-274.19110600000022</v>
      </c>
      <c r="EK30" s="174">
        <f t="shared" si="65"/>
        <v>-868.58185999999978</v>
      </c>
      <c r="EL30" s="174">
        <f t="shared" si="65"/>
        <v>-1596.81</v>
      </c>
      <c r="EM30" s="174">
        <f t="shared" si="65"/>
        <v>-1507.3967899999998</v>
      </c>
      <c r="EN30" s="174">
        <f t="shared" si="65"/>
        <v>-1691.4473327966346</v>
      </c>
      <c r="EO30" s="174">
        <f t="shared" si="65"/>
        <v>-2617.9584</v>
      </c>
      <c r="EP30" s="174">
        <f t="shared" si="65"/>
        <v>-1930.9642583436341</v>
      </c>
      <c r="EQ30" s="174">
        <f t="shared" si="65"/>
        <v>541.96298999999999</v>
      </c>
      <c r="ER30" s="174">
        <f t="shared" si="65"/>
        <v>1388.5806140350878</v>
      </c>
      <c r="ES30" s="174">
        <f t="shared" si="65"/>
        <v>2302.3944199999996</v>
      </c>
      <c r="ET30" s="174">
        <f t="shared" si="65"/>
        <v>-319.67432788374208</v>
      </c>
      <c r="EU30" s="174">
        <f t="shared" si="65"/>
        <v>819.25722999999971</v>
      </c>
      <c r="EV30" s="174">
        <f t="shared" si="65"/>
        <v>-464.31816213446291</v>
      </c>
      <c r="EW30" s="174">
        <f t="shared" si="65"/>
        <v>-3141.2750000000001</v>
      </c>
      <c r="EX30" s="174">
        <f t="shared" si="65"/>
        <v>-2705.8301869158881</v>
      </c>
      <c r="EY30" s="174">
        <f t="shared" si="65"/>
        <v>-1341.2750000000001</v>
      </c>
      <c r="EZ30" s="174">
        <f t="shared" si="65"/>
        <v>-3264.2150000000001</v>
      </c>
      <c r="FA30" s="174">
        <f t="shared" si="65"/>
        <v>-3109.5415188679249</v>
      </c>
      <c r="FB30" s="174">
        <f t="shared" si="65"/>
        <v>-1664.2150000000001</v>
      </c>
      <c r="FC30" s="174">
        <f t="shared" si="65"/>
        <v>-3104.5</v>
      </c>
      <c r="FD30" s="174">
        <f t="shared" si="65"/>
        <v>-1309.6425184625718</v>
      </c>
      <c r="FE30" s="174">
        <f t="shared" si="65"/>
        <v>-549.5</v>
      </c>
      <c r="FF30" s="174">
        <f t="shared" si="65"/>
        <v>-1305</v>
      </c>
      <c r="FG30" s="174">
        <f t="shared" si="65"/>
        <v>-258.77919075144519</v>
      </c>
      <c r="FH30" s="174">
        <f t="shared" si="65"/>
        <v>1250</v>
      </c>
      <c r="FI30" s="170">
        <f>SUM(EH30,EI30,EL30)</f>
        <v>-1543.279096</v>
      </c>
      <c r="FJ30" s="170">
        <f>SUM(EM30,EO30,EQ30)</f>
        <v>-3583.3922000000002</v>
      </c>
      <c r="FK30" s="170">
        <f>SUM(ES30,EU30,EX30)</f>
        <v>415.8214630841112</v>
      </c>
      <c r="FL30" s="170">
        <f>SUM(FA30,FD30,FG30)</f>
        <v>-4677.9632280819424</v>
      </c>
      <c r="FM30" s="170">
        <f>FI30+FJ30+FK30+FL30</f>
        <v>-9388.8130609978325</v>
      </c>
      <c r="FN30" s="170">
        <f>EH30+EI30+EK30+EM30+EO30+EQ30+ES30+EU30+EY30+FB30+FE30+FH30</f>
        <v>-3581.7815060000003</v>
      </c>
      <c r="FO30" s="174">
        <f t="shared" ref="FO30:GO30" si="66">FO10-FO20</f>
        <v>-333.23509000000001</v>
      </c>
      <c r="FP30" s="174">
        <f t="shared" si="66"/>
        <v>-1187.0577600000001</v>
      </c>
      <c r="FQ30" s="174">
        <f t="shared" si="66"/>
        <v>-931.16732000000002</v>
      </c>
      <c r="FR30" s="174">
        <f t="shared" si="66"/>
        <v>-773.29535999999996</v>
      </c>
      <c r="FS30" s="174">
        <f t="shared" si="66"/>
        <v>-493.65</v>
      </c>
      <c r="FT30" s="174">
        <f t="shared" si="66"/>
        <v>-93.953949999999963</v>
      </c>
      <c r="FU30" s="174">
        <f t="shared" si="66"/>
        <v>-87.721086012163255</v>
      </c>
      <c r="FV30" s="174">
        <f t="shared" si="66"/>
        <v>-36.327779999999962</v>
      </c>
      <c r="FW30" s="174">
        <f t="shared" si="66"/>
        <v>-200.14007365631193</v>
      </c>
      <c r="FX30" s="174">
        <f t="shared" si="66"/>
        <v>-451.26576999999997</v>
      </c>
      <c r="FY30" s="174">
        <f t="shared" si="66"/>
        <v>-632.14857744672599</v>
      </c>
      <c r="FZ30" s="174">
        <f t="shared" si="66"/>
        <v>-568.69934600000011</v>
      </c>
      <c r="GA30" s="174">
        <f t="shared" si="66"/>
        <v>-390.79137720275793</v>
      </c>
      <c r="GB30" s="174">
        <f t="shared" si="66"/>
        <v>92.849236999999903</v>
      </c>
      <c r="GC30" s="174">
        <f t="shared" si="66"/>
        <v>-71.884099047759833</v>
      </c>
      <c r="GD30" s="174">
        <f t="shared" si="66"/>
        <v>-892.25</v>
      </c>
      <c r="GE30" s="174">
        <f t="shared" si="66"/>
        <v>-393.98864388066517</v>
      </c>
      <c r="GF30" s="174">
        <f t="shared" si="66"/>
        <v>-331.25</v>
      </c>
      <c r="GG30" s="174">
        <f t="shared" si="66"/>
        <v>-607.65</v>
      </c>
      <c r="GH30" s="174">
        <f t="shared" si="66"/>
        <v>48.336814000803088</v>
      </c>
      <c r="GI30" s="174">
        <f t="shared" si="66"/>
        <v>86.850000000000023</v>
      </c>
      <c r="GJ30" s="174">
        <f t="shared" si="66"/>
        <v>-1302.4000000000001</v>
      </c>
      <c r="GK30" s="174">
        <f t="shared" si="66"/>
        <v>-624.85985659168955</v>
      </c>
      <c r="GL30" s="174">
        <f t="shared" si="66"/>
        <v>-687.40000000000009</v>
      </c>
      <c r="GM30" s="174">
        <f t="shared" si="66"/>
        <v>-761.7</v>
      </c>
      <c r="GN30" s="174">
        <f t="shared" si="66"/>
        <v>-227.8394693606117</v>
      </c>
      <c r="GO30" s="174">
        <f t="shared" si="66"/>
        <v>-200.70000000000005</v>
      </c>
      <c r="GP30" s="170">
        <f>SUM(FO30,FP30,FS30)</f>
        <v>-2013.9428500000004</v>
      </c>
      <c r="GQ30" s="170">
        <f>SUM(FT30,FV30,FX30)</f>
        <v>-581.5474999999999</v>
      </c>
      <c r="GR30" s="170">
        <f>SUM(FZ30,GB30,GE30)</f>
        <v>-869.83875288066542</v>
      </c>
      <c r="GS30" s="170">
        <f>SUM(GH30,GK30,GN30)</f>
        <v>-804.36251195149816</v>
      </c>
      <c r="GT30" s="170">
        <f>GP30+GQ30+GR30+GS30</f>
        <v>-4269.6916148321634</v>
      </c>
      <c r="GU30" s="170">
        <f>FO30+FP30+FR30+FT30+FV30+FX30+FZ30+GB30+GF30+GI30+GL30+GO30</f>
        <v>-4483.4858190000004</v>
      </c>
      <c r="GV30" s="174">
        <f t="shared" ref="GV30:HV30" si="67">GV10-GV20</f>
        <v>0</v>
      </c>
      <c r="GW30" s="174">
        <f t="shared" si="67"/>
        <v>0</v>
      </c>
      <c r="GX30" s="174">
        <f t="shared" si="67"/>
        <v>0</v>
      </c>
      <c r="GY30" s="174">
        <f t="shared" si="67"/>
        <v>0</v>
      </c>
      <c r="GZ30" s="174">
        <f t="shared" si="67"/>
        <v>0</v>
      </c>
      <c r="HA30" s="174">
        <f t="shared" si="67"/>
        <v>0</v>
      </c>
      <c r="HB30" s="174">
        <f t="shared" si="67"/>
        <v>0</v>
      </c>
      <c r="HC30" s="174">
        <f t="shared" si="67"/>
        <v>0</v>
      </c>
      <c r="HD30" s="174">
        <f t="shared" si="67"/>
        <v>0</v>
      </c>
      <c r="HE30" s="174">
        <f t="shared" si="67"/>
        <v>0</v>
      </c>
      <c r="HF30" s="174">
        <f t="shared" si="67"/>
        <v>0</v>
      </c>
      <c r="HG30" s="174">
        <f t="shared" si="67"/>
        <v>0</v>
      </c>
      <c r="HH30" s="174">
        <f t="shared" si="67"/>
        <v>0</v>
      </c>
      <c r="HI30" s="174">
        <f t="shared" si="67"/>
        <v>0</v>
      </c>
      <c r="HJ30" s="174">
        <f t="shared" si="67"/>
        <v>0</v>
      </c>
      <c r="HK30" s="174">
        <f t="shared" si="67"/>
        <v>0</v>
      </c>
      <c r="HL30" s="174">
        <f t="shared" si="67"/>
        <v>0</v>
      </c>
      <c r="HM30" s="174">
        <f t="shared" si="67"/>
        <v>0</v>
      </c>
      <c r="HN30" s="174">
        <f t="shared" si="67"/>
        <v>0</v>
      </c>
      <c r="HO30" s="174">
        <f t="shared" si="67"/>
        <v>0</v>
      </c>
      <c r="HP30" s="174">
        <f t="shared" si="67"/>
        <v>0</v>
      </c>
      <c r="HQ30" s="174">
        <f t="shared" si="67"/>
        <v>0</v>
      </c>
      <c r="HR30" s="174">
        <f t="shared" si="67"/>
        <v>0</v>
      </c>
      <c r="HS30" s="174">
        <f t="shared" si="67"/>
        <v>0</v>
      </c>
      <c r="HT30" s="174">
        <f t="shared" si="67"/>
        <v>0</v>
      </c>
      <c r="HU30" s="174">
        <f t="shared" si="67"/>
        <v>0</v>
      </c>
      <c r="HV30" s="174">
        <f t="shared" si="67"/>
        <v>0</v>
      </c>
      <c r="HW30" s="170">
        <f>SUM(GV30,GW30,GZ30)</f>
        <v>0</v>
      </c>
      <c r="HX30" s="170">
        <f>SUM(HA30,HC30,HE30)</f>
        <v>0</v>
      </c>
      <c r="HY30" s="170">
        <f>SUM(HG30,HI30,HL30)</f>
        <v>0</v>
      </c>
      <c r="HZ30" s="170">
        <f>SUM(HO30,HR30,HU30)</f>
        <v>0</v>
      </c>
      <c r="IA30" s="170">
        <f>HW30+HX30+HY30+HZ30</f>
        <v>0</v>
      </c>
      <c r="IB30" s="170">
        <f>GV30+GW30+GY30+HA30+HC30+HE30+HG30+HI30+HM30+HP30+HS30+HV30</f>
        <v>0</v>
      </c>
      <c r="IC30" s="174">
        <f t="shared" ref="IC30:JC30" si="68">IC10-IC20</f>
        <v>0</v>
      </c>
      <c r="ID30" s="174">
        <f t="shared" si="68"/>
        <v>0</v>
      </c>
      <c r="IE30" s="174">
        <f t="shared" si="68"/>
        <v>0</v>
      </c>
      <c r="IF30" s="174">
        <f t="shared" si="68"/>
        <v>0</v>
      </c>
      <c r="IG30" s="174">
        <f t="shared" si="68"/>
        <v>0</v>
      </c>
      <c r="IH30" s="174">
        <f t="shared" si="68"/>
        <v>0</v>
      </c>
      <c r="II30" s="174">
        <f t="shared" si="68"/>
        <v>0</v>
      </c>
      <c r="IJ30" s="174">
        <f t="shared" si="68"/>
        <v>0</v>
      </c>
      <c r="IK30" s="174">
        <f t="shared" si="68"/>
        <v>0</v>
      </c>
      <c r="IL30" s="174">
        <f t="shared" si="68"/>
        <v>0</v>
      </c>
      <c r="IM30" s="174">
        <f t="shared" si="68"/>
        <v>0</v>
      </c>
      <c r="IN30" s="174">
        <f t="shared" si="68"/>
        <v>0</v>
      </c>
      <c r="IO30" s="174">
        <f t="shared" si="68"/>
        <v>0</v>
      </c>
      <c r="IP30" s="174">
        <f t="shared" si="68"/>
        <v>0</v>
      </c>
      <c r="IQ30" s="174">
        <f t="shared" si="68"/>
        <v>0</v>
      </c>
      <c r="IR30" s="174">
        <f t="shared" si="68"/>
        <v>0</v>
      </c>
      <c r="IS30" s="174">
        <f t="shared" si="68"/>
        <v>0</v>
      </c>
      <c r="IT30" s="174">
        <f t="shared" si="68"/>
        <v>0</v>
      </c>
      <c r="IU30" s="174">
        <f t="shared" si="68"/>
        <v>0</v>
      </c>
      <c r="IV30" s="174">
        <f t="shared" si="68"/>
        <v>0</v>
      </c>
      <c r="IW30" s="174">
        <f t="shared" si="68"/>
        <v>0</v>
      </c>
      <c r="IX30" s="174">
        <f t="shared" si="68"/>
        <v>0</v>
      </c>
      <c r="IY30" s="174">
        <f t="shared" si="68"/>
        <v>0</v>
      </c>
      <c r="IZ30" s="174">
        <f t="shared" si="68"/>
        <v>0</v>
      </c>
      <c r="JA30" s="174">
        <f t="shared" si="68"/>
        <v>0</v>
      </c>
      <c r="JB30" s="174">
        <f t="shared" si="68"/>
        <v>0</v>
      </c>
      <c r="JC30" s="174">
        <f t="shared" si="68"/>
        <v>0</v>
      </c>
      <c r="JD30" s="170">
        <f>SUM(IC30,ID30,IG30)</f>
        <v>0</v>
      </c>
      <c r="JE30" s="170">
        <f>SUM(IH30,IJ30,IL30)</f>
        <v>0</v>
      </c>
      <c r="JF30" s="170">
        <f>SUM(IN30,IP30,IS30)</f>
        <v>0</v>
      </c>
      <c r="JG30" s="170">
        <f>SUM(IV30,IY30,JB30)</f>
        <v>0</v>
      </c>
      <c r="JH30" s="170">
        <f>JD30+JE30+JF30+JG30</f>
        <v>0</v>
      </c>
      <c r="JI30" s="170">
        <f>IC30+ID30+IF30+IH30+IJ30+IL30+IN30+IP30+IT30+IW30+IZ30+JC30</f>
        <v>0</v>
      </c>
      <c r="JJ30" s="174">
        <f t="shared" ref="JJ30:KF30" si="69">JJ10-JJ20</f>
        <v>0</v>
      </c>
      <c r="JK30" s="174">
        <f t="shared" si="69"/>
        <v>0</v>
      </c>
      <c r="JL30" s="174">
        <f t="shared" si="69"/>
        <v>0</v>
      </c>
      <c r="JM30" s="174">
        <f t="shared" si="69"/>
        <v>0</v>
      </c>
      <c r="JN30" s="174">
        <f t="shared" si="69"/>
        <v>0</v>
      </c>
      <c r="JO30" s="174">
        <f t="shared" si="69"/>
        <v>0</v>
      </c>
      <c r="JP30" s="174">
        <f t="shared" si="69"/>
        <v>0</v>
      </c>
      <c r="JQ30" s="174">
        <f t="shared" si="69"/>
        <v>0</v>
      </c>
      <c r="JR30" s="174">
        <f t="shared" si="69"/>
        <v>0</v>
      </c>
      <c r="JS30" s="174">
        <f t="shared" si="69"/>
        <v>0</v>
      </c>
      <c r="JT30" s="174">
        <f t="shared" si="69"/>
        <v>0</v>
      </c>
      <c r="JU30" s="174">
        <f t="shared" si="69"/>
        <v>0</v>
      </c>
      <c r="JV30" s="174">
        <f t="shared" si="69"/>
        <v>0</v>
      </c>
      <c r="JW30" s="174">
        <f t="shared" si="69"/>
        <v>0</v>
      </c>
      <c r="JX30" s="174">
        <f t="shared" si="69"/>
        <v>0</v>
      </c>
      <c r="JY30" s="174">
        <f t="shared" si="69"/>
        <v>0</v>
      </c>
      <c r="JZ30" s="174">
        <f t="shared" si="69"/>
        <v>0</v>
      </c>
      <c r="KA30" s="174">
        <f t="shared" si="69"/>
        <v>0</v>
      </c>
      <c r="KB30" s="174">
        <f t="shared" si="69"/>
        <v>0</v>
      </c>
      <c r="KC30" s="174">
        <f t="shared" si="69"/>
        <v>0</v>
      </c>
      <c r="KD30" s="174">
        <f t="shared" si="69"/>
        <v>0</v>
      </c>
      <c r="KE30" s="174">
        <f t="shared" si="69"/>
        <v>0</v>
      </c>
      <c r="KF30" s="174">
        <f t="shared" si="69"/>
        <v>0</v>
      </c>
      <c r="KG30" s="170">
        <f>SUM(JJ30,JK30,JN30)</f>
        <v>0</v>
      </c>
      <c r="KH30" s="170">
        <f>SUM(JO30,JQ30,JS30)</f>
        <v>0</v>
      </c>
      <c r="KI30" s="170">
        <f>SUM(JU30,JW30,JZ30)</f>
        <v>0</v>
      </c>
      <c r="KJ30" s="170">
        <f>SUM(KB30,KD30,KF30)</f>
        <v>0</v>
      </c>
      <c r="KK30" s="170">
        <f>KG30+KH30+KI30+KJ30</f>
        <v>0</v>
      </c>
      <c r="KL30" s="157">
        <f t="shared" si="35"/>
        <v>-759.09445999999991</v>
      </c>
      <c r="KM30" s="157">
        <f t="shared" si="35"/>
        <v>-2121.4638130000003</v>
      </c>
      <c r="KN30" s="157">
        <f t="shared" si="35"/>
        <v>-2192.637573</v>
      </c>
      <c r="KO30" s="157">
        <f t="shared" si="35"/>
        <v>-2696.112807</v>
      </c>
      <c r="KP30" s="157">
        <f t="shared" si="35"/>
        <v>-3053.9132500000001</v>
      </c>
      <c r="KQ30" s="157">
        <f t="shared" si="35"/>
        <v>-1814.3707099999997</v>
      </c>
      <c r="KR30" s="157">
        <f t="shared" si="35"/>
        <v>-2315.7591066557156</v>
      </c>
      <c r="KS30" s="157">
        <f t="shared" si="35"/>
        <v>-2815.2571149999999</v>
      </c>
      <c r="KT30" s="157">
        <f t="shared" si="35"/>
        <v>-2165.0693516801689</v>
      </c>
      <c r="KU30" s="157">
        <f t="shared" si="35"/>
        <v>-16.93925999999999</v>
      </c>
      <c r="KV30" s="157">
        <f t="shared" si="36"/>
        <v>429.49761190410572</v>
      </c>
      <c r="KW30" s="157">
        <f t="shared" si="36"/>
        <v>1731.3227459999996</v>
      </c>
      <c r="KX30" s="157">
        <f t="shared" si="36"/>
        <v>-682.26696457595472</v>
      </c>
      <c r="KY30" s="157">
        <f t="shared" si="36"/>
        <v>499.09182699999963</v>
      </c>
      <c r="KZ30" s="157">
        <f t="shared" si="36"/>
        <v>-516.60130126646811</v>
      </c>
      <c r="LA30" s="157">
        <f t="shared" si="36"/>
        <v>-5868.5482499999998</v>
      </c>
      <c r="LB30" s="157">
        <f t="shared" si="36"/>
        <v>-3111.9639551354885</v>
      </c>
      <c r="LC30" s="174">
        <f>LC10-LC20</f>
        <v>-2151.6482499999997</v>
      </c>
      <c r="LD30" s="157">
        <f t="shared" si="37"/>
        <v>-5641.88825</v>
      </c>
      <c r="LE30" s="157">
        <f t="shared" si="37"/>
        <v>-3089.0699889821244</v>
      </c>
      <c r="LF30" s="174">
        <f>LF10-LF20</f>
        <v>-1923.2882500000001</v>
      </c>
      <c r="LG30" s="157">
        <f t="shared" si="38"/>
        <v>-6166.9232499999998</v>
      </c>
      <c r="LH30" s="157">
        <f t="shared" si="38"/>
        <v>-1927.322620656063</v>
      </c>
      <c r="LI30" s="174">
        <f>LI10-LI20</f>
        <v>-1413.8232499999995</v>
      </c>
      <c r="LJ30" s="157">
        <f t="shared" si="39"/>
        <v>-3825.72325</v>
      </c>
      <c r="LK30" s="157">
        <f t="shared" si="39"/>
        <v>-473.21638702674716</v>
      </c>
      <c r="LL30" s="174">
        <f>LL10-LL20</f>
        <v>961.37675000000036</v>
      </c>
      <c r="LM30" s="170">
        <f>SUM(KL30,KM30,KO30)</f>
        <v>-5576.6710800000001</v>
      </c>
      <c r="LN30" s="170">
        <f>SUM(KQ30,KS30,KU30)</f>
        <v>-4646.5670849999997</v>
      </c>
      <c r="LO30" s="170">
        <f>SUM(KW30,KY30,LB30)</f>
        <v>-881.5493821354894</v>
      </c>
      <c r="LP30" s="170">
        <f>SUM(LE30,LH30,LK30)</f>
        <v>-5489.6089966649342</v>
      </c>
      <c r="LQ30" s="170">
        <f>LM30+LN30+LO30+LP30</f>
        <v>-16594.396543800423</v>
      </c>
      <c r="LR30" s="170">
        <f>KL30+KM30+KO30+KQ30+KS30+KU30+KW30+KY30+LC30+LF30+LI30+LL30</f>
        <v>-12520.206591999999</v>
      </c>
      <c r="LS30" s="685"/>
      <c r="LT30" s="685"/>
      <c r="LU30" s="167">
        <f>SUM(AG30,BN30,CU30,EB30,FI30,GP30,HW30)</f>
        <v>-5934.4715230000002</v>
      </c>
    </row>
    <row r="31" spans="1:333" s="51" customFormat="1">
      <c r="A31" s="156" t="s">
        <v>1208</v>
      </c>
      <c r="B31" s="156"/>
      <c r="C31" s="156"/>
      <c r="D31" s="156"/>
      <c r="E31" s="156"/>
      <c r="F31" s="158">
        <f t="shared" ref="F31:CB31" si="70">SUM(F27:F30)</f>
        <v>-2789.8117636774195</v>
      </c>
      <c r="G31" s="158">
        <f t="shared" si="70"/>
        <v>-3365.0006682274188</v>
      </c>
      <c r="H31" s="158">
        <f t="shared" si="70"/>
        <v>-3205.1030422274193</v>
      </c>
      <c r="I31" s="158">
        <f t="shared" si="70"/>
        <v>-4094.161992227419</v>
      </c>
      <c r="J31" s="158">
        <f t="shared" si="70"/>
        <v>-3543.696314227419</v>
      </c>
      <c r="K31" s="158">
        <f t="shared" si="70"/>
        <v>-3990.2339572274191</v>
      </c>
      <c r="L31" s="158">
        <f t="shared" si="70"/>
        <v>-2755.0589579274201</v>
      </c>
      <c r="M31" s="158">
        <f t="shared" si="70"/>
        <v>-4862.1563692274194</v>
      </c>
      <c r="N31" s="158">
        <f t="shared" si="70"/>
        <v>-2818.4491379274205</v>
      </c>
      <c r="O31" s="158">
        <f t="shared" si="70"/>
        <v>-3907.5204802274197</v>
      </c>
      <c r="P31" s="158">
        <f t="shared" si="70"/>
        <v>-2141.6461467774197</v>
      </c>
      <c r="Q31" s="158">
        <f t="shared" si="70"/>
        <v>-5749.7549542274201</v>
      </c>
      <c r="R31" s="158">
        <f t="shared" si="70"/>
        <v>0</v>
      </c>
      <c r="S31" s="158">
        <f t="shared" si="70"/>
        <v>-2649.4398912274191</v>
      </c>
      <c r="T31" s="158">
        <f t="shared" si="70"/>
        <v>0</v>
      </c>
      <c r="U31" s="158">
        <f t="shared" si="70"/>
        <v>-12255.83000922742</v>
      </c>
      <c r="V31" s="158">
        <f t="shared" si="70"/>
        <v>0</v>
      </c>
      <c r="W31" s="158">
        <f t="shared" ref="W31:AF31" si="71">SUM(W27:W30)</f>
        <v>-3187.9578472274202</v>
      </c>
      <c r="X31" s="158">
        <f t="shared" si="71"/>
        <v>-12305.83000922742</v>
      </c>
      <c r="Y31" s="158">
        <f t="shared" si="71"/>
        <v>0</v>
      </c>
      <c r="Z31" s="158">
        <f t="shared" si="71"/>
        <v>-2251.7578472274199</v>
      </c>
      <c r="AA31" s="158">
        <f t="shared" si="71"/>
        <v>-12310.83000922742</v>
      </c>
      <c r="AB31" s="158">
        <f t="shared" si="71"/>
        <v>0</v>
      </c>
      <c r="AC31" s="158">
        <f t="shared" si="71"/>
        <v>-1601.7578472274199</v>
      </c>
      <c r="AD31" s="158">
        <f t="shared" si="71"/>
        <v>-12304.83000922742</v>
      </c>
      <c r="AE31" s="158">
        <f t="shared" si="71"/>
        <v>0</v>
      </c>
      <c r="AF31" s="158">
        <f t="shared" si="71"/>
        <v>-933.34984722741956</v>
      </c>
      <c r="AG31" s="171">
        <f t="shared" si="70"/>
        <v>-9698.5087461322564</v>
      </c>
      <c r="AH31" s="171">
        <f t="shared" si="70"/>
        <v>-12759.910806682257</v>
      </c>
      <c r="AI31" s="171">
        <f t="shared" si="70"/>
        <v>-8399.1948454548383</v>
      </c>
      <c r="AJ31" s="171">
        <f t="shared" si="70"/>
        <v>0</v>
      </c>
      <c r="AK31" s="171">
        <f>SUM(AK27:AK30)</f>
        <v>-30857.614398269354</v>
      </c>
      <c r="AL31" s="171">
        <f>SUM(AL27:AL30)</f>
        <v>-39382.903465179043</v>
      </c>
      <c r="AM31" s="158">
        <f t="shared" si="70"/>
        <v>-1512.100926840641</v>
      </c>
      <c r="AN31" s="158">
        <f t="shared" si="70"/>
        <v>-2276.2989528406406</v>
      </c>
      <c r="AO31" s="158">
        <f t="shared" si="70"/>
        <v>-2574.8374958406407</v>
      </c>
      <c r="AP31" s="158">
        <f t="shared" si="70"/>
        <v>1902.9025641593587</v>
      </c>
      <c r="AQ31" s="158">
        <f t="shared" si="70"/>
        <v>-533.73154584064116</v>
      </c>
      <c r="AR31" s="158">
        <f t="shared" si="70"/>
        <v>-135.42311384064089</v>
      </c>
      <c r="AS31" s="158">
        <f t="shared" si="70"/>
        <v>-431.16654584064139</v>
      </c>
      <c r="AT31" s="158">
        <f t="shared" si="70"/>
        <v>-2557.2637728406407</v>
      </c>
      <c r="AU31" s="158">
        <f t="shared" si="70"/>
        <v>-1252.3515458406398</v>
      </c>
      <c r="AV31" s="158">
        <f t="shared" si="70"/>
        <v>-1011.4151848406412</v>
      </c>
      <c r="AW31" s="158">
        <f t="shared" si="70"/>
        <v>39.848454159358482</v>
      </c>
      <c r="AX31" s="158">
        <f t="shared" si="70"/>
        <v>-1436.5225858406411</v>
      </c>
      <c r="AY31" s="158">
        <f t="shared" si="70"/>
        <v>0</v>
      </c>
      <c r="AZ31" s="158">
        <f t="shared" si="70"/>
        <v>-2322.5247698406401</v>
      </c>
      <c r="BA31" s="158">
        <f t="shared" si="70"/>
        <v>0</v>
      </c>
      <c r="BB31" s="158">
        <f t="shared" si="70"/>
        <v>-5322.6315458406407</v>
      </c>
      <c r="BC31" s="158">
        <f t="shared" si="70"/>
        <v>0</v>
      </c>
      <c r="BD31" s="158">
        <f t="shared" si="70"/>
        <v>-364.73154584064116</v>
      </c>
      <c r="BE31" s="158">
        <f t="shared" si="70"/>
        <v>-5122.6315458406407</v>
      </c>
      <c r="BF31" s="158">
        <f t="shared" si="70"/>
        <v>0</v>
      </c>
      <c r="BG31" s="158">
        <f t="shared" si="70"/>
        <v>60.268454159358839</v>
      </c>
      <c r="BH31" s="158">
        <f t="shared" si="70"/>
        <v>-5112.6315458406407</v>
      </c>
      <c r="BI31" s="158">
        <f t="shared" si="70"/>
        <v>0</v>
      </c>
      <c r="BJ31" s="158">
        <f t="shared" si="70"/>
        <v>1606.268454159359</v>
      </c>
      <c r="BK31" s="158">
        <f t="shared" si="70"/>
        <v>-6892.6315458406407</v>
      </c>
      <c r="BL31" s="158">
        <f t="shared" si="70"/>
        <v>0</v>
      </c>
      <c r="BM31" s="158">
        <f t="shared" si="70"/>
        <v>827.16845415935893</v>
      </c>
      <c r="BN31" s="171">
        <f t="shared" si="70"/>
        <v>-4322.1314255219222</v>
      </c>
      <c r="BO31" s="171">
        <f t="shared" si="70"/>
        <v>-3704.1020715219229</v>
      </c>
      <c r="BP31" s="171">
        <f t="shared" si="70"/>
        <v>-3759.0473556812817</v>
      </c>
      <c r="BQ31" s="209">
        <f t="shared" si="70"/>
        <v>0</v>
      </c>
      <c r="BR31" s="171">
        <f>SUM(BR27:BR30)</f>
        <v>-11785.280852725129</v>
      </c>
      <c r="BS31" s="171">
        <f>SUM(BS27:BS30)</f>
        <v>-7219.6729260876918</v>
      </c>
      <c r="BT31" s="158">
        <f t="shared" si="70"/>
        <v>-583.40000000000009</v>
      </c>
      <c r="BU31" s="158">
        <f t="shared" si="70"/>
        <v>-733.40000000000009</v>
      </c>
      <c r="BV31" s="158">
        <f t="shared" si="70"/>
        <v>-776.90000000000009</v>
      </c>
      <c r="BW31" s="158">
        <f t="shared" si="70"/>
        <v>-852.40000000000009</v>
      </c>
      <c r="BX31" s="158">
        <f t="shared" si="70"/>
        <v>613.89999999999986</v>
      </c>
      <c r="BY31" s="158">
        <f t="shared" si="70"/>
        <v>542</v>
      </c>
      <c r="BZ31" s="158">
        <f t="shared" si="70"/>
        <v>174.39999999999986</v>
      </c>
      <c r="CA31" s="158">
        <f t="shared" si="70"/>
        <v>-490.11426800000004</v>
      </c>
      <c r="CB31" s="158">
        <f t="shared" si="70"/>
        <v>-194.95000000000005</v>
      </c>
      <c r="CC31" s="158">
        <f t="shared" ref="CC31:FA31" si="72">SUM(CC27:CC30)</f>
        <v>-510.21815500000002</v>
      </c>
      <c r="CD31" s="158">
        <f t="shared" si="72"/>
        <v>-194.95000000000005</v>
      </c>
      <c r="CE31" s="158">
        <f t="shared" si="72"/>
        <v>-460.77081900000007</v>
      </c>
      <c r="CF31" s="158">
        <f t="shared" si="72"/>
        <v>246.69000000000028</v>
      </c>
      <c r="CG31" s="158">
        <f t="shared" si="72"/>
        <v>-531.56895000000009</v>
      </c>
      <c r="CH31" s="158">
        <f t="shared" si="72"/>
        <v>246.69000000000028</v>
      </c>
      <c r="CI31" s="158">
        <f t="shared" si="72"/>
        <v>-1781.65</v>
      </c>
      <c r="CJ31" s="158">
        <f t="shared" si="72"/>
        <v>0</v>
      </c>
      <c r="CK31" s="158">
        <f t="shared" si="72"/>
        <v>-398.35000000000014</v>
      </c>
      <c r="CL31" s="158">
        <f t="shared" si="72"/>
        <v>-1781.65</v>
      </c>
      <c r="CM31" s="158">
        <f t="shared" si="72"/>
        <v>0</v>
      </c>
      <c r="CN31" s="158">
        <f t="shared" si="72"/>
        <v>-287.85000000000014</v>
      </c>
      <c r="CO31" s="158">
        <f t="shared" si="72"/>
        <v>-1781.65</v>
      </c>
      <c r="CP31" s="158">
        <f t="shared" si="72"/>
        <v>0</v>
      </c>
      <c r="CQ31" s="158">
        <f t="shared" si="72"/>
        <v>-177.35000000000014</v>
      </c>
      <c r="CR31" s="158">
        <f t="shared" si="72"/>
        <v>-1781.65</v>
      </c>
      <c r="CS31" s="158">
        <f t="shared" si="72"/>
        <v>0</v>
      </c>
      <c r="CT31" s="158">
        <f t="shared" si="72"/>
        <v>-86.850000000000136</v>
      </c>
      <c r="CU31" s="171">
        <f t="shared" si="72"/>
        <v>-2169.2000000000003</v>
      </c>
      <c r="CV31" s="171">
        <f t="shared" si="72"/>
        <v>-458.33242300000006</v>
      </c>
      <c r="CW31" s="171">
        <f t="shared" si="72"/>
        <v>-992.33976900000016</v>
      </c>
      <c r="CX31" s="171">
        <f t="shared" si="72"/>
        <v>0</v>
      </c>
      <c r="CY31" s="171">
        <f>SUM(CY27:CY30)</f>
        <v>-3619.8721920000007</v>
      </c>
      <c r="CZ31" s="171">
        <f>SUM(CZ27:CZ30)</f>
        <v>-4570.2721920000013</v>
      </c>
      <c r="DA31" s="158">
        <f t="shared" si="72"/>
        <v>-1796.6757116000001</v>
      </c>
      <c r="DB31" s="158">
        <f t="shared" si="72"/>
        <v>-2261.3990096000002</v>
      </c>
      <c r="DC31" s="158">
        <f t="shared" si="72"/>
        <v>-1799.2227625999994</v>
      </c>
      <c r="DD31" s="158">
        <f t="shared" si="72"/>
        <v>-1455.1867505999985</v>
      </c>
      <c r="DE31" s="158">
        <f t="shared" si="72"/>
        <v>-43.104532600000425</v>
      </c>
      <c r="DF31" s="158">
        <f t="shared" si="72"/>
        <v>-1612.2790500000015</v>
      </c>
      <c r="DG31" s="158">
        <f t="shared" si="72"/>
        <v>605.98846700000036</v>
      </c>
      <c r="DH31" s="158">
        <f t="shared" si="72"/>
        <v>-1172.9335473000001</v>
      </c>
      <c r="DI31" s="158">
        <f t="shared" si="72"/>
        <v>1703.8436797000022</v>
      </c>
      <c r="DJ31" s="158">
        <f t="shared" si="72"/>
        <v>-274.1181846000004</v>
      </c>
      <c r="DK31" s="158">
        <f t="shared" si="72"/>
        <v>2638.0902039999987</v>
      </c>
      <c r="DL31" s="158">
        <f t="shared" si="72"/>
        <v>-935.34541399999955</v>
      </c>
      <c r="DM31" s="158">
        <f t="shared" si="72"/>
        <v>1172.0565438999993</v>
      </c>
      <c r="DN31" s="158">
        <f t="shared" si="72"/>
        <v>-455.97919300000024</v>
      </c>
      <c r="DO31" s="158">
        <f t="shared" si="72"/>
        <v>1192.0565438999986</v>
      </c>
      <c r="DP31" s="158">
        <f t="shared" si="72"/>
        <v>-12100.365438999999</v>
      </c>
      <c r="DQ31" s="158">
        <f t="shared" si="72"/>
        <v>1219.0565438999988</v>
      </c>
      <c r="DR31" s="158">
        <f>SUM(DR27:DR30)</f>
        <v>3255.7946199999997</v>
      </c>
      <c r="DS31" s="158">
        <f t="shared" si="72"/>
        <v>-12230.365438999999</v>
      </c>
      <c r="DT31" s="158">
        <f t="shared" si="72"/>
        <v>1232.0565438999981</v>
      </c>
      <c r="DU31" s="158">
        <f>SUM(DU27:DU30)</f>
        <v>3715.7946199999997</v>
      </c>
      <c r="DV31" s="158">
        <f t="shared" si="72"/>
        <v>-12115.365438999999</v>
      </c>
      <c r="DW31" s="158">
        <f t="shared" si="72"/>
        <v>1220.5565438999975</v>
      </c>
      <c r="DX31" s="158">
        <f>SUM(DX27:DX30)</f>
        <v>4140.7946199999997</v>
      </c>
      <c r="DY31" s="158">
        <f t="shared" si="72"/>
        <v>-12057.365438999999</v>
      </c>
      <c r="DZ31" s="158">
        <f t="shared" si="72"/>
        <v>1214.7565438999968</v>
      </c>
      <c r="EA31" s="158">
        <f>SUM(EA27:EA30)</f>
        <v>4308.7946200000006</v>
      </c>
      <c r="EB31" s="171">
        <f t="shared" si="72"/>
        <v>-4101.1792538000009</v>
      </c>
      <c r="EC31" s="171">
        <f t="shared" si="72"/>
        <v>-3059.3307819000029</v>
      </c>
      <c r="ED31" s="171">
        <f t="shared" si="72"/>
        <v>-172.26806310000131</v>
      </c>
      <c r="EE31" s="171">
        <f t="shared" si="72"/>
        <v>3667.3696316999922</v>
      </c>
      <c r="EF31" s="171">
        <f>SUM(EF27:EF30)</f>
        <v>-3665.408467100011</v>
      </c>
      <c r="EG31" s="171">
        <f>SUM(EG27:EG30)</f>
        <v>5457.2616192999985</v>
      </c>
      <c r="EH31" s="158">
        <f t="shared" si="72"/>
        <v>-75.658990000000017</v>
      </c>
      <c r="EI31" s="158">
        <f t="shared" si="72"/>
        <v>-315.30810600000007</v>
      </c>
      <c r="EJ31" s="158">
        <f t="shared" si="72"/>
        <v>-370.19110600000022</v>
      </c>
      <c r="EK31" s="158">
        <f t="shared" si="72"/>
        <v>-402.59648500000026</v>
      </c>
      <c r="EL31" s="158">
        <f t="shared" si="72"/>
        <v>320.48690000000011</v>
      </c>
      <c r="EM31" s="158">
        <f t="shared" si="72"/>
        <v>135.0052390000003</v>
      </c>
      <c r="EN31" s="158">
        <f t="shared" si="72"/>
        <v>-1340.1154499999998</v>
      </c>
      <c r="EO31" s="158">
        <f t="shared" si="72"/>
        <v>-2814.4228250000001</v>
      </c>
      <c r="EP31" s="158">
        <f t="shared" si="72"/>
        <v>-360.06500000000028</v>
      </c>
      <c r="EQ31" s="158">
        <f t="shared" si="72"/>
        <v>592.57621500000005</v>
      </c>
      <c r="ER31" s="158">
        <f t="shared" si="72"/>
        <v>1795.335</v>
      </c>
      <c r="ES31" s="158">
        <f t="shared" si="72"/>
        <v>2049.8744199999996</v>
      </c>
      <c r="ET31" s="158">
        <f t="shared" si="72"/>
        <v>169.47300000000013</v>
      </c>
      <c r="EU31" s="158">
        <f>SUM(EU27:EU30)</f>
        <v>881.33095699999967</v>
      </c>
      <c r="EV31" s="158">
        <f t="shared" si="72"/>
        <v>571.52774999999997</v>
      </c>
      <c r="EW31" s="158">
        <f>SUM(EW27:EW30)</f>
        <v>-3376.2750000000001</v>
      </c>
      <c r="EX31" s="158">
        <f t="shared" si="72"/>
        <v>506.44124999999985</v>
      </c>
      <c r="EY31" s="158">
        <f t="shared" si="72"/>
        <v>98.724999999999909</v>
      </c>
      <c r="EZ31" s="158">
        <f>SUM(EZ27:EZ30)</f>
        <v>-3564.2150000000001</v>
      </c>
      <c r="FA31" s="158">
        <f t="shared" si="72"/>
        <v>534.6322499999992</v>
      </c>
      <c r="FB31" s="158">
        <f>SUM(FB27:FB30)</f>
        <v>85.784999999999854</v>
      </c>
      <c r="FC31" s="158">
        <f>SUM(FC27:FC30)</f>
        <v>-3639.5</v>
      </c>
      <c r="FD31" s="158">
        <f t="shared" ref="FD31:HF31" si="73">SUM(FD27:FD30)</f>
        <v>545.92499999999927</v>
      </c>
      <c r="FE31" s="158">
        <f t="shared" si="73"/>
        <v>1818.5</v>
      </c>
      <c r="FF31" s="158">
        <f>SUM(FF27:FF30)</f>
        <v>-1540</v>
      </c>
      <c r="FG31" s="158">
        <f t="shared" si="73"/>
        <v>230.99999999999977</v>
      </c>
      <c r="FH31" s="158">
        <f t="shared" si="73"/>
        <v>2785</v>
      </c>
      <c r="FI31" s="171">
        <f t="shared" si="73"/>
        <v>-70.480195999999978</v>
      </c>
      <c r="FJ31" s="171">
        <f t="shared" si="73"/>
        <v>-2086.8413710000004</v>
      </c>
      <c r="FK31" s="171">
        <f t="shared" si="73"/>
        <v>3437.6466269999992</v>
      </c>
      <c r="FL31" s="171">
        <f t="shared" si="73"/>
        <v>1311.557249999998</v>
      </c>
      <c r="FM31" s="171">
        <f>SUM(FM27:FM30)</f>
        <v>2591.8823099999954</v>
      </c>
      <c r="FN31" s="171">
        <f>SUM(FN27:FN30)</f>
        <v>4838.8104249999988</v>
      </c>
      <c r="FO31" s="158">
        <f t="shared" si="73"/>
        <v>-2117.6375239999998</v>
      </c>
      <c r="FP31" s="158">
        <f t="shared" si="73"/>
        <v>-3087.3641550000002</v>
      </c>
      <c r="FQ31" s="158">
        <f t="shared" si="73"/>
        <v>-2729.4703200000004</v>
      </c>
      <c r="FR31" s="158">
        <f t="shared" si="73"/>
        <v>-2281.3454360000005</v>
      </c>
      <c r="FS31" s="158">
        <f t="shared" si="73"/>
        <v>-2869.15</v>
      </c>
      <c r="FT31" s="158">
        <f t="shared" si="73"/>
        <v>-2766.8108789999997</v>
      </c>
      <c r="FU31" s="158">
        <f t="shared" si="73"/>
        <v>-673.44999999999948</v>
      </c>
      <c r="FV31" s="158">
        <f t="shared" si="73"/>
        <v>-1480.4987169999999</v>
      </c>
      <c r="FW31" s="158">
        <f t="shared" si="73"/>
        <v>-779.88699999999994</v>
      </c>
      <c r="FX31" s="158">
        <f t="shared" si="73"/>
        <v>-27.210056000000009</v>
      </c>
      <c r="FY31" s="158">
        <f t="shared" si="73"/>
        <v>-1456.8369999999993</v>
      </c>
      <c r="FZ31" s="158">
        <f t="shared" si="73"/>
        <v>-127.9960270000002</v>
      </c>
      <c r="GA31" s="158">
        <f t="shared" si="73"/>
        <v>-36.376488399999857</v>
      </c>
      <c r="GB31" s="158">
        <f t="shared" si="73"/>
        <v>3754.5279889999997</v>
      </c>
      <c r="GC31" s="158">
        <f t="shared" si="73"/>
        <v>-26.376488400000142</v>
      </c>
      <c r="GD31" s="158">
        <f t="shared" si="73"/>
        <v>-6406.4369999999999</v>
      </c>
      <c r="GE31" s="158">
        <f t="shared" si="73"/>
        <v>-53.876488400000255</v>
      </c>
      <c r="GF31" s="158">
        <f t="shared" si="73"/>
        <v>96.006999999999948</v>
      </c>
      <c r="GG31" s="158">
        <f t="shared" si="73"/>
        <v>-6176.3369999999995</v>
      </c>
      <c r="GH31" s="158">
        <f t="shared" si="73"/>
        <v>-8.8764884000000848</v>
      </c>
      <c r="GI31" s="158">
        <f t="shared" si="73"/>
        <v>803.2170000000001</v>
      </c>
      <c r="GJ31" s="158">
        <f t="shared" si="73"/>
        <v>-6848.5869999999995</v>
      </c>
      <c r="GK31" s="158">
        <f t="shared" si="73"/>
        <v>1.1235116000000289</v>
      </c>
      <c r="GL31" s="158">
        <f>SUM(GL27:GL30)</f>
        <v>-181.13700000000028</v>
      </c>
      <c r="GM31" s="158">
        <f t="shared" si="73"/>
        <v>-6255.7306170000002</v>
      </c>
      <c r="GN31" s="158">
        <f t="shared" si="73"/>
        <v>-50.720105400000534</v>
      </c>
      <c r="GO31" s="158">
        <f>SUM(GO27:GO30)</f>
        <v>414.71938299999977</v>
      </c>
      <c r="GP31" s="171">
        <f t="shared" si="73"/>
        <v>-8074.1516790000005</v>
      </c>
      <c r="GQ31" s="171">
        <f t="shared" si="73"/>
        <v>-4274.519651999999</v>
      </c>
      <c r="GR31" s="171">
        <f t="shared" si="73"/>
        <v>3572.6554735999998</v>
      </c>
      <c r="GS31" s="171">
        <f t="shared" si="73"/>
        <v>-58.47308220000059</v>
      </c>
      <c r="GT31" s="171">
        <f>SUM(GT27:GT30)</f>
        <v>-8834.4889396000017</v>
      </c>
      <c r="GU31" s="171">
        <f>SUM(GU27:GU30)</f>
        <v>-7001.5284220000003</v>
      </c>
      <c r="GV31" s="158">
        <f t="shared" si="73"/>
        <v>-1329.0418888728771</v>
      </c>
      <c r="GW31" s="158">
        <f t="shared" si="73"/>
        <v>-217.1141888200591</v>
      </c>
      <c r="GX31" s="158">
        <f t="shared" si="73"/>
        <v>-2784.1141888200591</v>
      </c>
      <c r="GY31" s="158">
        <f t="shared" si="73"/>
        <v>-601.58713629210888</v>
      </c>
      <c r="GZ31" s="158">
        <f t="shared" si="73"/>
        <v>-2895.7584992921093</v>
      </c>
      <c r="HA31" s="158">
        <f t="shared" si="73"/>
        <v>-548.59905754033934</v>
      </c>
      <c r="HB31" s="158">
        <f t="shared" si="73"/>
        <v>-715.49692054033949</v>
      </c>
      <c r="HC31" s="158">
        <f t="shared" si="73"/>
        <v>-1232.5588158416904</v>
      </c>
      <c r="HD31" s="158">
        <f t="shared" si="73"/>
        <v>-953.81546284169008</v>
      </c>
      <c r="HE31" s="158">
        <f t="shared" si="73"/>
        <v>-931.80463249879449</v>
      </c>
      <c r="HF31" s="158">
        <f t="shared" si="73"/>
        <v>1183.0018635012057</v>
      </c>
      <c r="HG31" s="158">
        <f>SUM(HG27:HG30)</f>
        <v>-1038.3542508400412</v>
      </c>
      <c r="HH31" s="158">
        <f t="shared" ref="HH31:KW31" si="74">SUM(HH27:HH30)</f>
        <v>0</v>
      </c>
      <c r="HI31" s="158">
        <f t="shared" si="74"/>
        <v>-1254.1248692196414</v>
      </c>
      <c r="HJ31" s="158">
        <f t="shared" si="74"/>
        <v>0</v>
      </c>
      <c r="HK31" s="158">
        <f t="shared" si="74"/>
        <v>-3226.8610490176907</v>
      </c>
      <c r="HL31" s="158">
        <f t="shared" si="74"/>
        <v>0</v>
      </c>
      <c r="HM31" s="158">
        <f t="shared" si="74"/>
        <v>-1407.1184490176909</v>
      </c>
      <c r="HN31" s="158">
        <f t="shared" si="74"/>
        <v>-3390.0343516402345</v>
      </c>
      <c r="HO31" s="158">
        <f t="shared" si="74"/>
        <v>0</v>
      </c>
      <c r="HP31" s="158">
        <f t="shared" si="74"/>
        <v>-564.70324052912383</v>
      </c>
      <c r="HQ31" s="158">
        <f t="shared" si="74"/>
        <v>-3402.7118375193349</v>
      </c>
      <c r="HR31" s="158">
        <f t="shared" si="74"/>
        <v>0</v>
      </c>
      <c r="HS31" s="158">
        <f t="shared" si="74"/>
        <v>-1062.6707264082238</v>
      </c>
      <c r="HT31" s="158">
        <f t="shared" si="74"/>
        <v>-3431.8935171131334</v>
      </c>
      <c r="HU31" s="158">
        <f t="shared" si="74"/>
        <v>0</v>
      </c>
      <c r="HV31" s="158">
        <f t="shared" si="74"/>
        <v>-1348.0724060020225</v>
      </c>
      <c r="HW31" s="171">
        <f t="shared" si="74"/>
        <v>-4441.9145769850456</v>
      </c>
      <c r="HX31" s="171">
        <f t="shared" si="74"/>
        <v>-2712.9625058808242</v>
      </c>
      <c r="HY31" s="171">
        <f t="shared" si="74"/>
        <v>-2292.4791200596828</v>
      </c>
      <c r="HZ31" s="171">
        <f t="shared" si="74"/>
        <v>0</v>
      </c>
      <c r="IA31" s="171">
        <f>SUM(IA27:IA30)</f>
        <v>-9447.3562029255518</v>
      </c>
      <c r="IB31" s="171">
        <f>SUM(IB27:IB30)</f>
        <v>-11535.749661882614</v>
      </c>
      <c r="IC31" s="158">
        <f t="shared" si="74"/>
        <v>-175.65026634049968</v>
      </c>
      <c r="ID31" s="158">
        <f t="shared" si="74"/>
        <v>-34.784428340499744</v>
      </c>
      <c r="IE31" s="158">
        <f t="shared" si="74"/>
        <v>-34.784428340499744</v>
      </c>
      <c r="IF31" s="158">
        <f t="shared" si="74"/>
        <v>-14.787633340499724</v>
      </c>
      <c r="IG31" s="158">
        <f t="shared" si="74"/>
        <v>-14.787633340499724</v>
      </c>
      <c r="IH31" s="158">
        <f t="shared" si="74"/>
        <v>-44.888529340499645</v>
      </c>
      <c r="II31" s="158">
        <f t="shared" si="74"/>
        <v>-16.493214340499435</v>
      </c>
      <c r="IJ31" s="158">
        <f t="shared" si="74"/>
        <v>-268.40181634049964</v>
      </c>
      <c r="IK31" s="158">
        <f t="shared" si="74"/>
        <v>-16.493214340499435</v>
      </c>
      <c r="IL31" s="158">
        <f t="shared" si="74"/>
        <v>-81.962260340499597</v>
      </c>
      <c r="IM31" s="158">
        <f t="shared" si="74"/>
        <v>-16.493214340499435</v>
      </c>
      <c r="IN31" s="158">
        <f t="shared" si="74"/>
        <v>-175.37413634049972</v>
      </c>
      <c r="IO31" s="158">
        <f t="shared" si="74"/>
        <v>0</v>
      </c>
      <c r="IP31" s="158">
        <f t="shared" si="74"/>
        <v>-41.241160340499619</v>
      </c>
      <c r="IQ31" s="158">
        <f t="shared" si="74"/>
        <v>0</v>
      </c>
      <c r="IR31" s="158">
        <f t="shared" si="74"/>
        <v>-1765.4932143404997</v>
      </c>
      <c r="IS31" s="158">
        <f t="shared" si="74"/>
        <v>0</v>
      </c>
      <c r="IT31" s="158">
        <f>SUM(IT27:IT30)</f>
        <v>0</v>
      </c>
      <c r="IU31" s="158">
        <f t="shared" si="74"/>
        <v>-1765.4932143404997</v>
      </c>
      <c r="IV31" s="158">
        <f t="shared" si="74"/>
        <v>0</v>
      </c>
      <c r="IW31" s="158">
        <f>SUM(IW27:IW30)</f>
        <v>0</v>
      </c>
      <c r="IX31" s="158">
        <f t="shared" si="74"/>
        <v>-1765.4932143404997</v>
      </c>
      <c r="IY31" s="158">
        <f t="shared" si="74"/>
        <v>0</v>
      </c>
      <c r="IZ31" s="158">
        <f>SUM(IZ27:IZ30)</f>
        <v>0</v>
      </c>
      <c r="JA31" s="158">
        <f t="shared" si="74"/>
        <v>-1765.4932143404997</v>
      </c>
      <c r="JB31" s="158">
        <f t="shared" si="74"/>
        <v>0</v>
      </c>
      <c r="JC31" s="158">
        <f>SUM(JC27:JC30)</f>
        <v>0</v>
      </c>
      <c r="JD31" s="171">
        <f t="shared" si="74"/>
        <v>-225.22232802149915</v>
      </c>
      <c r="JE31" s="579">
        <f t="shared" si="74"/>
        <v>-395.25260602149888</v>
      </c>
      <c r="JF31" s="171">
        <f t="shared" si="74"/>
        <v>-216.61529668099934</v>
      </c>
      <c r="JG31" s="171">
        <f t="shared" si="74"/>
        <v>0</v>
      </c>
      <c r="JH31" s="171">
        <f>SUM(JH27:JH30)</f>
        <v>-837.09023072399737</v>
      </c>
      <c r="JI31" s="171">
        <f>SUM(JI27:JI30)</f>
        <v>-837.09023072399737</v>
      </c>
      <c r="JJ31" s="158">
        <f t="shared" si="74"/>
        <v>529.98091151596395</v>
      </c>
      <c r="JK31" s="158">
        <f t="shared" si="74"/>
        <v>466.53878128413999</v>
      </c>
      <c r="JL31" s="158">
        <f t="shared" si="74"/>
        <v>662.06104628414005</v>
      </c>
      <c r="JM31" s="158">
        <f t="shared" si="74"/>
        <v>670.24634540205011</v>
      </c>
      <c r="JN31" s="158">
        <f t="shared" si="74"/>
        <v>659.90667240205005</v>
      </c>
      <c r="JO31" s="158">
        <f t="shared" si="74"/>
        <v>661.08138901247992</v>
      </c>
      <c r="JP31" s="158">
        <f t="shared" si="74"/>
        <v>475.82706201247993</v>
      </c>
      <c r="JQ31" s="158">
        <f t="shared" si="74"/>
        <v>661.48307344992986</v>
      </c>
      <c r="JR31" s="158">
        <f t="shared" si="74"/>
        <v>454.89057344992989</v>
      </c>
      <c r="JS31" s="158">
        <f t="shared" si="74"/>
        <v>626.05287634622994</v>
      </c>
      <c r="JT31" s="158">
        <f t="shared" si="74"/>
        <v>425.00518434622995</v>
      </c>
      <c r="JU31" s="158">
        <f t="shared" si="74"/>
        <v>630.27977421094988</v>
      </c>
      <c r="JV31" s="158">
        <f t="shared" si="74"/>
        <v>0</v>
      </c>
      <c r="JW31" s="158">
        <f t="shared" si="74"/>
        <v>739.21694452559996</v>
      </c>
      <c r="JX31" s="158">
        <f t="shared" si="74"/>
        <v>0</v>
      </c>
      <c r="JY31" s="158">
        <f t="shared" si="74"/>
        <v>1139.34973912635</v>
      </c>
      <c r="JZ31" s="158">
        <f t="shared" si="74"/>
        <v>0</v>
      </c>
      <c r="KA31" s="158">
        <f t="shared" si="74"/>
        <v>1143.97857335661</v>
      </c>
      <c r="KB31" s="158">
        <f t="shared" si="74"/>
        <v>0</v>
      </c>
      <c r="KC31" s="158">
        <f t="shared" si="74"/>
        <v>1162.39459878912</v>
      </c>
      <c r="KD31" s="158">
        <f t="shared" si="74"/>
        <v>0</v>
      </c>
      <c r="KE31" s="158">
        <f t="shared" si="74"/>
        <v>1130.9643490446799</v>
      </c>
      <c r="KF31" s="158">
        <f t="shared" si="74"/>
        <v>0</v>
      </c>
      <c r="KG31" s="171">
        <f t="shared" si="74"/>
        <v>1656.4263652021541</v>
      </c>
      <c r="KH31" s="171">
        <f t="shared" si="74"/>
        <v>1948.6173388086395</v>
      </c>
      <c r="KI31" s="171">
        <f t="shared" si="74"/>
        <v>1369.4967187365498</v>
      </c>
      <c r="KJ31" s="171">
        <f t="shared" si="74"/>
        <v>0</v>
      </c>
      <c r="KK31" s="171">
        <f>SUM(KK27:KK30)</f>
        <v>4974.5404227473437</v>
      </c>
      <c r="KL31" s="158">
        <f t="shared" si="74"/>
        <v>-9849.9961598154732</v>
      </c>
      <c r="KM31" s="158">
        <f t="shared" si="74"/>
        <v>-11824.13072754448</v>
      </c>
      <c r="KN31" s="158">
        <f t="shared" si="74"/>
        <v>-13612.562297544478</v>
      </c>
      <c r="KO31" s="158">
        <f t="shared" si="74"/>
        <v>-7128.9165238986188</v>
      </c>
      <c r="KP31" s="158">
        <f t="shared" si="74"/>
        <v>-8305.9349528986204</v>
      </c>
      <c r="KQ31" s="158">
        <f t="shared" si="74"/>
        <v>-7760.1479589364189</v>
      </c>
      <c r="KR31" s="158">
        <f t="shared" si="74"/>
        <v>-4675.5655596364195</v>
      </c>
      <c r="KS31" s="158">
        <f t="shared" si="74"/>
        <v>-14216.867058100321</v>
      </c>
      <c r="KT31" s="158">
        <f t="shared" si="74"/>
        <v>-4217.277107800317</v>
      </c>
      <c r="KU31" s="158">
        <f t="shared" si="74"/>
        <v>-5525.6198621611256</v>
      </c>
      <c r="KV31" s="158">
        <f t="shared" si="74"/>
        <v>2271.3543448888745</v>
      </c>
      <c r="KW31" s="158">
        <f t="shared" si="74"/>
        <v>-7243.9639930376525</v>
      </c>
      <c r="KX31" s="158">
        <f t="shared" ref="KX31:LL31" si="75">SUM(KX27:KX30)</f>
        <v>1551.8430555</v>
      </c>
      <c r="KY31" s="158">
        <f t="shared" si="75"/>
        <v>-1879.8029431026021</v>
      </c>
      <c r="KZ31" s="158">
        <f t="shared" si="75"/>
        <v>1983.8978054999989</v>
      </c>
      <c r="LA31" s="158">
        <f t="shared" si="75"/>
        <v>-45096.1935182999</v>
      </c>
      <c r="LB31" s="158">
        <f t="shared" si="75"/>
        <v>1671.621305499998</v>
      </c>
      <c r="LC31" s="158">
        <f t="shared" si="75"/>
        <v>-1907.6312220857503</v>
      </c>
      <c r="LD31" s="158">
        <f t="shared" si="75"/>
        <v>-45192.57798669218</v>
      </c>
      <c r="LE31" s="158">
        <f t="shared" si="75"/>
        <v>1757.8123054999969</v>
      </c>
      <c r="LF31" s="158">
        <f t="shared" si="75"/>
        <v>1560.7539864028145</v>
      </c>
      <c r="LG31" s="158">
        <f t="shared" si="75"/>
        <v>-45814.374447138769</v>
      </c>
      <c r="LH31" s="158">
        <f t="shared" si="75"/>
        <v>1767.605055499997</v>
      </c>
      <c r="LI31" s="158">
        <f t="shared" si="75"/>
        <v>4542.6475005237153</v>
      </c>
      <c r="LJ31" s="158">
        <f t="shared" si="75"/>
        <v>-44898.629993477014</v>
      </c>
      <c r="LK31" s="158">
        <f t="shared" si="75"/>
        <v>1395.0364384999962</v>
      </c>
      <c r="LL31" s="158">
        <f t="shared" si="75"/>
        <v>5967.4102039299187</v>
      </c>
      <c r="LM31" s="171">
        <f t="shared" ref="LM31:LR31" si="76">SUM(LM27:LM30)</f>
        <v>-28803.043411258572</v>
      </c>
      <c r="LN31" s="171">
        <f t="shared" si="76"/>
        <v>-27502.634879197863</v>
      </c>
      <c r="LO31" s="171">
        <f t="shared" si="76"/>
        <v>-7452.1456306402561</v>
      </c>
      <c r="LP31" s="171">
        <f t="shared" si="76"/>
        <v>4920.4537994999901</v>
      </c>
      <c r="LQ31" s="171">
        <f t="shared" si="76"/>
        <v>-58837.370121596701</v>
      </c>
      <c r="LR31" s="171">
        <f t="shared" si="76"/>
        <v>-55266.264757825993</v>
      </c>
      <c r="LS31" s="222"/>
      <c r="LT31" s="222"/>
      <c r="LU31" s="168">
        <f>SUM(AG31,BN31,CU31,EB31,FI31,GP31,HW31)</f>
        <v>-32877.565877439221</v>
      </c>
    </row>
    <row r="32" spans="1:333" s="51" customFormat="1"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2"/>
      <c r="AH32" s="222"/>
      <c r="AI32" s="222"/>
      <c r="AJ32" s="223"/>
      <c r="AK32" s="223"/>
      <c r="AL32" s="223"/>
      <c r="AM32" s="221"/>
      <c r="AN32" s="221"/>
      <c r="AO32" s="221"/>
      <c r="AP32" s="221"/>
      <c r="AQ32" s="221"/>
      <c r="AR32" s="221"/>
      <c r="AS32" s="221"/>
      <c r="AT32" s="221"/>
      <c r="AU32" s="221"/>
      <c r="AV32" s="221"/>
      <c r="AW32" s="221"/>
      <c r="AX32" s="221"/>
      <c r="AY32" s="221"/>
      <c r="AZ32" s="221"/>
      <c r="BA32" s="221"/>
      <c r="BB32" s="221"/>
      <c r="BC32" s="221"/>
      <c r="BD32" s="221"/>
      <c r="BE32" s="221"/>
      <c r="BF32" s="221"/>
      <c r="BG32" s="221"/>
      <c r="BH32" s="221"/>
      <c r="BI32" s="221"/>
      <c r="BJ32" s="221"/>
      <c r="BK32" s="221"/>
      <c r="BL32" s="221"/>
      <c r="BM32" s="221"/>
      <c r="BN32" s="222"/>
      <c r="BO32" s="222"/>
      <c r="BP32" s="222"/>
      <c r="BQ32" s="223"/>
      <c r="BR32" s="223"/>
      <c r="BS32" s="223"/>
      <c r="BT32" s="221"/>
      <c r="BU32" s="221"/>
      <c r="BV32" s="221"/>
      <c r="BW32" s="221"/>
      <c r="BX32" s="221"/>
      <c r="BY32" s="221"/>
      <c r="BZ32" s="221"/>
      <c r="CA32" s="221"/>
      <c r="CB32" s="221"/>
      <c r="CC32" s="221"/>
      <c r="CD32" s="221"/>
      <c r="CE32" s="221"/>
      <c r="CF32" s="221"/>
      <c r="CG32" s="221"/>
      <c r="CH32" s="221"/>
      <c r="CI32" s="221"/>
      <c r="CJ32" s="221"/>
      <c r="CK32" s="221"/>
      <c r="CL32" s="221"/>
      <c r="CM32" s="221"/>
      <c r="CN32" s="221"/>
      <c r="CO32" s="221"/>
      <c r="CP32" s="221"/>
      <c r="CQ32" s="221"/>
      <c r="CR32" s="221"/>
      <c r="CS32" s="221"/>
      <c r="CT32" s="221"/>
      <c r="CU32" s="222"/>
      <c r="CV32" s="222"/>
      <c r="CW32" s="222"/>
      <c r="CX32" s="222"/>
      <c r="CY32" s="223"/>
      <c r="CZ32" s="223"/>
      <c r="DA32" s="221"/>
      <c r="DB32" s="221"/>
      <c r="DC32" s="221"/>
      <c r="DD32" s="221"/>
      <c r="DE32" s="221"/>
      <c r="DF32" s="221"/>
      <c r="DG32" s="221"/>
      <c r="DH32" s="221"/>
      <c r="DI32" s="221"/>
      <c r="DJ32" s="221"/>
      <c r="DK32" s="221"/>
      <c r="DL32" s="221"/>
      <c r="DM32" s="221"/>
      <c r="DN32" s="221"/>
      <c r="DO32" s="221"/>
      <c r="DP32" s="221"/>
      <c r="DQ32" s="221"/>
      <c r="DR32" s="221"/>
      <c r="DS32" s="221"/>
      <c r="DT32" s="221"/>
      <c r="DU32" s="221"/>
      <c r="DV32" s="221"/>
      <c r="DW32" s="221"/>
      <c r="DX32" s="221"/>
      <c r="DY32" s="221"/>
      <c r="DZ32" s="221"/>
      <c r="EA32" s="221"/>
      <c r="EB32" s="222"/>
      <c r="EC32" s="222"/>
      <c r="ED32" s="222"/>
      <c r="EE32" s="222"/>
      <c r="EF32" s="223"/>
      <c r="EG32" s="223"/>
      <c r="EH32" s="221"/>
      <c r="EI32" s="221"/>
      <c r="EJ32" s="221"/>
      <c r="EK32" s="221"/>
      <c r="EL32" s="221"/>
      <c r="EM32" s="221"/>
      <c r="EN32" s="221"/>
      <c r="EO32" s="221"/>
      <c r="EP32" s="221"/>
      <c r="EQ32" s="221"/>
      <c r="ER32" s="221"/>
      <c r="ES32" s="221"/>
      <c r="ET32" s="221"/>
      <c r="EU32" s="221"/>
      <c r="EV32" s="221"/>
      <c r="EW32" s="221"/>
      <c r="EX32" s="221"/>
      <c r="EY32" s="221"/>
      <c r="EZ32" s="221"/>
      <c r="FA32" s="221"/>
      <c r="FB32" s="221"/>
      <c r="FC32" s="221"/>
      <c r="FD32" s="221"/>
      <c r="FE32" s="221"/>
      <c r="FF32" s="221"/>
      <c r="FG32" s="221"/>
      <c r="FH32" s="221"/>
      <c r="FI32" s="222"/>
      <c r="FJ32" s="222"/>
      <c r="FK32" s="222"/>
      <c r="FL32" s="222"/>
      <c r="FM32" s="223"/>
      <c r="FN32" s="223"/>
      <c r="FO32" s="221"/>
      <c r="FP32" s="221"/>
      <c r="FQ32" s="221"/>
      <c r="FR32" s="221"/>
      <c r="FS32" s="221"/>
      <c r="FT32" s="221"/>
      <c r="FU32" s="221"/>
      <c r="FV32" s="221"/>
      <c r="FW32" s="221"/>
      <c r="FX32" s="221"/>
      <c r="FY32" s="221"/>
      <c r="FZ32" s="221"/>
      <c r="GA32" s="221"/>
      <c r="GB32" s="221"/>
      <c r="GC32" s="221"/>
      <c r="GD32" s="221"/>
      <c r="GE32" s="221"/>
      <c r="GF32" s="221"/>
      <c r="GG32" s="221"/>
      <c r="GH32" s="221"/>
      <c r="GI32" s="221"/>
      <c r="GJ32" s="221"/>
      <c r="GK32" s="221"/>
      <c r="GL32" s="221"/>
      <c r="GM32" s="221"/>
      <c r="GN32" s="221"/>
      <c r="GO32" s="221"/>
      <c r="GP32" s="222"/>
      <c r="GQ32" s="222"/>
      <c r="GR32" s="222"/>
      <c r="GS32" s="222"/>
      <c r="GT32" s="223"/>
      <c r="GU32" s="223"/>
      <c r="GV32" s="221"/>
      <c r="GW32" s="221"/>
      <c r="GX32" s="221"/>
      <c r="GY32" s="221"/>
      <c r="GZ32" s="221"/>
      <c r="HA32" s="221"/>
      <c r="HB32" s="221"/>
      <c r="HC32" s="221"/>
      <c r="HD32" s="221"/>
      <c r="HE32" s="221"/>
      <c r="HF32" s="221"/>
      <c r="HG32" s="221"/>
      <c r="HH32" s="221"/>
      <c r="HI32" s="221"/>
      <c r="HJ32" s="221"/>
      <c r="HK32" s="221"/>
      <c r="HL32" s="221"/>
      <c r="HM32" s="221"/>
      <c r="HN32" s="221"/>
      <c r="HO32" s="221"/>
      <c r="HP32" s="221"/>
      <c r="HQ32" s="221"/>
      <c r="HR32" s="221"/>
      <c r="HS32" s="221"/>
      <c r="HT32" s="221"/>
      <c r="HU32" s="221"/>
      <c r="HV32" s="221"/>
      <c r="HW32" s="222"/>
      <c r="HX32" s="222"/>
      <c r="HY32" s="222"/>
      <c r="HZ32" s="222"/>
      <c r="IA32" s="223"/>
      <c r="IB32" s="223"/>
      <c r="IC32" s="222"/>
      <c r="ID32" s="222"/>
      <c r="IE32" s="222"/>
      <c r="IF32" s="222"/>
      <c r="IG32" s="222"/>
      <c r="IH32" s="222"/>
      <c r="II32" s="222"/>
      <c r="IJ32" s="222"/>
      <c r="IK32" s="222"/>
      <c r="IL32" s="222"/>
      <c r="IM32" s="222"/>
      <c r="IN32" s="222"/>
      <c r="IO32" s="222"/>
      <c r="IP32" s="222"/>
      <c r="IQ32" s="222"/>
      <c r="IR32" s="222"/>
      <c r="IS32" s="222"/>
      <c r="IT32" s="221"/>
      <c r="IU32" s="222"/>
      <c r="IV32" s="222"/>
      <c r="IW32" s="221"/>
      <c r="IX32" s="222"/>
      <c r="IY32" s="222"/>
      <c r="IZ32" s="221"/>
      <c r="JA32" s="222"/>
      <c r="JB32" s="222"/>
      <c r="JC32" s="221"/>
      <c r="JD32" s="222"/>
      <c r="JE32" s="222"/>
      <c r="JF32" s="222"/>
      <c r="JG32" s="222"/>
      <c r="JH32" s="223"/>
      <c r="JI32" s="223"/>
      <c r="JJ32" s="221"/>
      <c r="JK32" s="221"/>
      <c r="JL32" s="221"/>
      <c r="JM32" s="221"/>
      <c r="JN32" s="221"/>
      <c r="JO32" s="221"/>
      <c r="JP32" s="221"/>
      <c r="JQ32" s="221"/>
      <c r="JR32" s="221"/>
      <c r="JS32" s="221"/>
      <c r="JT32" s="221"/>
      <c r="JU32" s="221"/>
      <c r="JV32" s="221"/>
      <c r="JW32" s="221"/>
      <c r="JX32" s="221"/>
      <c r="JY32" s="221"/>
      <c r="JZ32" s="221"/>
      <c r="KA32" s="221"/>
      <c r="KB32" s="221"/>
      <c r="KC32" s="221"/>
      <c r="KD32" s="221"/>
      <c r="KE32" s="221"/>
      <c r="KF32" s="221"/>
      <c r="KG32" s="221"/>
      <c r="KH32" s="221"/>
      <c r="KI32" s="222"/>
      <c r="KJ32" s="222"/>
      <c r="KK32" s="223"/>
      <c r="KL32" s="221"/>
      <c r="KM32" s="221"/>
      <c r="KN32" s="221"/>
      <c r="KO32" s="221"/>
      <c r="KP32" s="221"/>
      <c r="KQ32" s="221"/>
      <c r="KR32" s="221"/>
      <c r="KS32" s="221"/>
      <c r="KT32" s="221"/>
      <c r="KU32" s="221"/>
      <c r="KV32" s="221"/>
      <c r="KW32" s="221"/>
      <c r="KX32" s="221"/>
      <c r="KY32" s="221"/>
      <c r="KZ32" s="221"/>
      <c r="LA32" s="221"/>
      <c r="LB32" s="221"/>
      <c r="LC32" s="221"/>
      <c r="LD32" s="221"/>
      <c r="LE32" s="221"/>
      <c r="LF32" s="221"/>
      <c r="LG32" s="221"/>
      <c r="LH32" s="221"/>
      <c r="LI32" s="221"/>
      <c r="LJ32" s="221"/>
      <c r="LK32" s="221"/>
      <c r="LL32" s="221"/>
      <c r="LM32" s="221"/>
      <c r="LN32" s="221"/>
      <c r="LO32" s="221"/>
      <c r="LP32" s="221"/>
      <c r="LQ32" s="223"/>
      <c r="LR32" s="223"/>
      <c r="LS32" s="223"/>
      <c r="LT32" s="223"/>
      <c r="LU32" s="168"/>
    </row>
    <row r="33" spans="6:333" s="161" customFormat="1">
      <c r="F33" s="162"/>
      <c r="G33" s="162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  <c r="AD33" s="162"/>
      <c r="AE33" s="162"/>
      <c r="AF33" s="162"/>
      <c r="AH33" s="162"/>
      <c r="AI33" s="161" t="s">
        <v>1</v>
      </c>
      <c r="AJ33" s="219" t="s">
        <v>1220</v>
      </c>
      <c r="AK33" s="220" t="s">
        <v>1075</v>
      </c>
      <c r="AL33" s="219"/>
      <c r="AM33" s="219" t="s">
        <v>1220</v>
      </c>
      <c r="AN33" s="220" t="s">
        <v>1075</v>
      </c>
      <c r="AO33" s="219" t="s">
        <v>1220</v>
      </c>
      <c r="AP33" s="220" t="s">
        <v>1075</v>
      </c>
      <c r="AQ33" s="219" t="s">
        <v>1220</v>
      </c>
      <c r="AR33" s="220" t="s">
        <v>1075</v>
      </c>
      <c r="AS33" s="162"/>
      <c r="AT33" s="162"/>
      <c r="AU33" s="162"/>
      <c r="AV33" s="162"/>
      <c r="AW33" s="162"/>
      <c r="AX33" s="162"/>
      <c r="AY33" s="162"/>
      <c r="AZ33" s="162"/>
      <c r="BA33" s="162"/>
      <c r="BB33" s="162"/>
      <c r="BC33" s="162"/>
      <c r="BD33" s="162"/>
      <c r="BE33" s="162"/>
      <c r="BF33" s="162"/>
      <c r="BG33" s="162"/>
      <c r="BH33" s="162"/>
      <c r="BI33" s="162"/>
      <c r="BJ33" s="162"/>
      <c r="BK33" s="162"/>
      <c r="BL33" s="162"/>
      <c r="BM33" s="162"/>
      <c r="BN33" s="162"/>
      <c r="BO33" s="162"/>
      <c r="BP33" s="162"/>
      <c r="BQ33" s="210">
        <f>BQ11-BQ12</f>
        <v>0</v>
      </c>
      <c r="BR33" s="220" t="s">
        <v>1075</v>
      </c>
      <c r="BS33" s="219"/>
      <c r="BT33" s="162"/>
      <c r="BU33" s="162"/>
      <c r="BV33" s="162"/>
      <c r="BW33" s="162"/>
      <c r="BX33" s="162"/>
      <c r="BY33" s="162"/>
      <c r="BZ33" s="162"/>
      <c r="CA33" s="162"/>
      <c r="CB33" s="162"/>
      <c r="CC33" s="162"/>
      <c r="CD33" s="162"/>
      <c r="CE33" s="162"/>
      <c r="CF33" s="162"/>
      <c r="CG33" s="162"/>
      <c r="CH33" s="162"/>
      <c r="CI33" s="162"/>
      <c r="CJ33" s="162"/>
      <c r="CK33" s="162"/>
      <c r="CL33" s="162"/>
      <c r="CM33" s="162"/>
      <c r="CN33" s="162"/>
      <c r="CO33" s="162"/>
      <c r="CP33" s="162"/>
      <c r="CQ33" s="162"/>
      <c r="CR33" s="162"/>
      <c r="CS33" s="162"/>
      <c r="CT33" s="162"/>
      <c r="CU33" s="162"/>
      <c r="CV33" s="162"/>
      <c r="CW33" s="162"/>
      <c r="CX33" s="162"/>
      <c r="CY33" s="220" t="s">
        <v>1075</v>
      </c>
      <c r="CZ33" s="219"/>
      <c r="DA33" s="162"/>
      <c r="DB33" s="162"/>
      <c r="DC33" s="162"/>
      <c r="DD33" s="162"/>
      <c r="DE33" s="162"/>
      <c r="DF33" s="162"/>
      <c r="DG33" s="162"/>
      <c r="DH33" s="162"/>
      <c r="DI33" s="162"/>
      <c r="DJ33" s="162"/>
      <c r="DK33" s="162"/>
      <c r="DL33" s="162"/>
      <c r="DM33" s="162"/>
      <c r="DN33" s="162"/>
      <c r="DO33" s="162"/>
      <c r="DP33" s="162"/>
      <c r="DQ33" s="162"/>
      <c r="DR33" s="162"/>
      <c r="DS33" s="162"/>
      <c r="DT33" s="162"/>
      <c r="DU33" s="162"/>
      <c r="DV33" s="162"/>
      <c r="DW33" s="162"/>
      <c r="DX33" s="162"/>
      <c r="DY33" s="162"/>
      <c r="DZ33" s="162"/>
      <c r="EA33" s="162"/>
      <c r="EB33" s="162"/>
      <c r="EC33" s="162"/>
      <c r="ED33" s="162"/>
      <c r="EE33" s="162"/>
      <c r="EF33" s="220" t="s">
        <v>1075</v>
      </c>
      <c r="EG33" s="219"/>
      <c r="EH33" s="162"/>
      <c r="EI33" s="162"/>
      <c r="EJ33" s="162"/>
      <c r="EK33" s="162"/>
      <c r="EL33" s="162"/>
      <c r="EM33" s="162"/>
      <c r="EN33" s="162"/>
      <c r="EO33" s="162"/>
      <c r="EP33" s="162"/>
      <c r="EQ33" s="162"/>
      <c r="ER33" s="162"/>
      <c r="ES33" s="162"/>
      <c r="ET33" s="162"/>
      <c r="EU33" s="162"/>
      <c r="EV33" s="162"/>
      <c r="EW33" s="162"/>
      <c r="EX33" s="162"/>
      <c r="EY33" s="162"/>
      <c r="EZ33" s="162"/>
      <c r="FA33" s="162"/>
      <c r="FB33" s="162"/>
      <c r="FC33" s="162"/>
      <c r="FD33" s="162"/>
      <c r="FE33" s="162"/>
      <c r="FF33" s="162"/>
      <c r="FG33" s="162"/>
      <c r="FH33" s="162"/>
      <c r="FI33" s="162"/>
      <c r="FJ33" s="162"/>
      <c r="FK33" s="162"/>
      <c r="FL33" s="162"/>
      <c r="FM33" s="220" t="s">
        <v>1075</v>
      </c>
      <c r="FN33" s="219"/>
      <c r="FO33" s="162"/>
      <c r="FP33" s="162"/>
      <c r="FQ33" s="162"/>
      <c r="FR33" s="162"/>
      <c r="FS33" s="162"/>
      <c r="FT33" s="162"/>
      <c r="FU33" s="162"/>
      <c r="FV33" s="162"/>
      <c r="FW33" s="162"/>
      <c r="FX33" s="162"/>
      <c r="FY33" s="162"/>
      <c r="FZ33" s="162"/>
      <c r="GA33" s="162"/>
      <c r="GB33" s="162"/>
      <c r="GC33" s="162"/>
      <c r="GD33" s="162"/>
      <c r="GE33" s="162"/>
      <c r="GF33" s="162"/>
      <c r="GG33" s="162"/>
      <c r="GH33" s="162"/>
      <c r="GI33" s="162"/>
      <c r="GJ33" s="162"/>
      <c r="GK33" s="162"/>
      <c r="GL33" s="162"/>
      <c r="GM33" s="162"/>
      <c r="GN33" s="162"/>
      <c r="GO33" s="162"/>
      <c r="GP33" s="162"/>
      <c r="GQ33" s="162"/>
      <c r="GR33" s="162"/>
      <c r="GS33" s="162"/>
      <c r="GT33" s="220" t="s">
        <v>1075</v>
      </c>
      <c r="GU33" s="219"/>
      <c r="GV33" s="162"/>
      <c r="GW33" s="162"/>
      <c r="GX33" s="162"/>
      <c r="GY33" s="162"/>
      <c r="GZ33" s="162"/>
      <c r="HA33" s="162"/>
      <c r="HB33" s="162"/>
      <c r="HC33" s="162"/>
      <c r="HD33" s="162"/>
      <c r="HE33" s="162"/>
      <c r="HF33" s="162"/>
      <c r="HG33" s="162"/>
      <c r="HH33" s="162"/>
      <c r="HI33" s="162"/>
      <c r="HJ33" s="162"/>
      <c r="HK33" s="162"/>
      <c r="HL33" s="162"/>
      <c r="HM33" s="162"/>
      <c r="HN33" s="162"/>
      <c r="HO33" s="162"/>
      <c r="HP33" s="162"/>
      <c r="HQ33" s="162"/>
      <c r="HR33" s="162"/>
      <c r="HS33" s="162"/>
      <c r="HT33" s="162"/>
      <c r="HU33" s="162"/>
      <c r="HV33" s="162"/>
      <c r="HW33" s="162"/>
      <c r="HX33" s="162"/>
      <c r="HY33" s="162"/>
      <c r="HZ33" s="162"/>
      <c r="IA33" s="220" t="s">
        <v>1075</v>
      </c>
      <c r="IB33" s="219"/>
      <c r="IC33" s="162"/>
      <c r="ID33" s="162"/>
      <c r="IE33" s="162"/>
      <c r="IF33" s="162"/>
      <c r="IG33" s="162"/>
      <c r="IH33" s="162"/>
      <c r="II33" s="162"/>
      <c r="IJ33" s="162"/>
      <c r="IK33" s="162"/>
      <c r="IL33" s="162"/>
      <c r="IM33" s="162"/>
      <c r="IN33" s="162"/>
      <c r="IO33" s="162"/>
      <c r="IP33" s="162"/>
      <c r="IQ33" s="162"/>
      <c r="IR33" s="162"/>
      <c r="IS33" s="162"/>
      <c r="IT33" s="162"/>
      <c r="IU33" s="162"/>
      <c r="IV33" s="162"/>
      <c r="IW33" s="162"/>
      <c r="IX33" s="162"/>
      <c r="IY33" s="162"/>
      <c r="IZ33" s="162"/>
      <c r="JA33" s="162"/>
      <c r="JB33" s="162"/>
      <c r="JC33" s="162"/>
      <c r="JD33" s="162"/>
      <c r="JE33" s="162"/>
      <c r="JF33" s="162"/>
      <c r="JG33" s="162"/>
      <c r="JH33" s="220" t="s">
        <v>1075</v>
      </c>
      <c r="JI33" s="219"/>
      <c r="KK33" s="220" t="s">
        <v>1075</v>
      </c>
      <c r="LC33" s="162"/>
      <c r="LF33" s="162"/>
      <c r="LI33" s="162"/>
      <c r="LL33" s="162"/>
      <c r="LQ33" s="220" t="s">
        <v>1075</v>
      </c>
      <c r="LR33" s="219"/>
      <c r="LS33" s="219"/>
      <c r="LT33" s="219"/>
      <c r="LU33" s="164"/>
    </row>
    <row r="34" spans="6:333" ht="43.5">
      <c r="AI34" s="216" t="s">
        <v>1185</v>
      </c>
      <c r="AJ34" s="216" t="s">
        <v>1186</v>
      </c>
      <c r="AK34" s="216" t="s">
        <v>1186</v>
      </c>
      <c r="AL34" s="216"/>
      <c r="AM34" s="216" t="s">
        <v>1187</v>
      </c>
      <c r="AN34" s="216" t="s">
        <v>1187</v>
      </c>
      <c r="AO34" s="216" t="s">
        <v>1188</v>
      </c>
      <c r="AP34" s="216" t="s">
        <v>1188</v>
      </c>
      <c r="AQ34" s="217" t="s">
        <v>1221</v>
      </c>
      <c r="AR34" s="217" t="s">
        <v>1221</v>
      </c>
      <c r="BR34" s="216" t="s">
        <v>1186</v>
      </c>
      <c r="BS34" s="216"/>
      <c r="CY34" s="216" t="s">
        <v>1186</v>
      </c>
      <c r="CZ34" s="216"/>
      <c r="EF34" s="216" t="s">
        <v>1186</v>
      </c>
      <c r="EG34" s="216"/>
      <c r="FM34" s="216" t="s">
        <v>1186</v>
      </c>
      <c r="FN34" s="216"/>
      <c r="GT34" s="216" t="s">
        <v>1186</v>
      </c>
      <c r="GU34" s="216"/>
      <c r="IA34" s="216" t="s">
        <v>1186</v>
      </c>
      <c r="IB34" s="216"/>
      <c r="JH34" s="216" t="s">
        <v>1186</v>
      </c>
      <c r="JI34" s="216"/>
      <c r="KK34" s="216" t="s">
        <v>1186</v>
      </c>
      <c r="LQ34" s="216" t="s">
        <v>1186</v>
      </c>
      <c r="LR34" s="216"/>
      <c r="LS34" s="216"/>
      <c r="LT34" s="216"/>
    </row>
    <row r="35" spans="6:333">
      <c r="AH35" s="50" t="s">
        <v>1222</v>
      </c>
      <c r="AI35" s="212">
        <f>AG11</f>
        <v>22345.620836999999</v>
      </c>
      <c r="AJ35" s="219">
        <f>AH11</f>
        <v>22112.984023000001</v>
      </c>
      <c r="AK35" s="220">
        <f>AH12</f>
        <v>27157.740587050001</v>
      </c>
      <c r="AL35" s="219"/>
      <c r="AM35" s="219">
        <f>AI11</f>
        <v>28163.295182227423</v>
      </c>
      <c r="AN35" s="220">
        <f>AI12</f>
        <v>36562.490027682259</v>
      </c>
      <c r="AO35" s="219">
        <f>AJ11</f>
        <v>36921.490027682259</v>
      </c>
      <c r="AP35" s="220">
        <f>AJ12</f>
        <v>36921.490027682259</v>
      </c>
      <c r="AQ35" s="219">
        <f t="shared" ref="AQ35:AQ43" si="77">AJ35+AM35+AO35+AI35</f>
        <v>109543.39006990968</v>
      </c>
      <c r="AR35" s="220">
        <f t="shared" ref="AR35:AR43" si="78">AK35+AN35+AP35+AI35</f>
        <v>122987.34147941452</v>
      </c>
      <c r="BR35" s="220">
        <f>BO12</f>
        <v>15192.224999999999</v>
      </c>
      <c r="BS35" s="219"/>
      <c r="CY35" s="220">
        <f>CV12</f>
        <v>3347.8</v>
      </c>
      <c r="CZ35" s="219"/>
      <c r="EF35" s="220">
        <f>EC12</f>
        <v>38004.762508599997</v>
      </c>
      <c r="EG35" s="219"/>
      <c r="FM35" s="220">
        <f>FJ12</f>
        <v>9448.5</v>
      </c>
      <c r="FN35" s="219"/>
      <c r="GT35" s="220">
        <f>GQ12</f>
        <v>15069.9</v>
      </c>
      <c r="GU35" s="219"/>
      <c r="IA35" s="220">
        <f>HX12</f>
        <v>8471.6720000000005</v>
      </c>
      <c r="IB35" s="219"/>
      <c r="JH35" s="220">
        <f>JE12</f>
        <v>5247.0000000000009</v>
      </c>
      <c r="JI35" s="219"/>
      <c r="KK35" s="220">
        <f>KH12</f>
        <v>-1902</v>
      </c>
      <c r="LQ35" s="220">
        <f>LN12</f>
        <v>120037.60009564999</v>
      </c>
      <c r="LR35" s="219"/>
      <c r="LS35" s="219"/>
      <c r="LT35" s="219"/>
    </row>
    <row r="36" spans="6:333">
      <c r="AH36" s="50" t="s">
        <v>1223</v>
      </c>
      <c r="AI36" s="212">
        <f>BN11</f>
        <v>14672.397321999999</v>
      </c>
      <c r="AJ36" s="219">
        <f>BO11</f>
        <v>13131.792566</v>
      </c>
      <c r="AK36" s="220">
        <f>BO12</f>
        <v>15192.224999999999</v>
      </c>
      <c r="AL36" s="219"/>
      <c r="AM36" s="219">
        <f>BP11</f>
        <v>13388.847281840641</v>
      </c>
      <c r="AN36" s="220">
        <f>BP12</f>
        <v>17147.894637521924</v>
      </c>
      <c r="AO36" s="219">
        <f>BQ11</f>
        <v>17127.894637521924</v>
      </c>
      <c r="AP36" s="220">
        <f>BQ12</f>
        <v>17127.894637521924</v>
      </c>
      <c r="AQ36" s="219">
        <f t="shared" si="77"/>
        <v>58320.931807362562</v>
      </c>
      <c r="AR36" s="220">
        <f t="shared" si="78"/>
        <v>64140.411597043843</v>
      </c>
      <c r="BR36" s="220">
        <f>CV12</f>
        <v>3347.8</v>
      </c>
      <c r="BS36" s="219"/>
      <c r="CY36" s="220">
        <f>EC12</f>
        <v>38004.762508599997</v>
      </c>
      <c r="CZ36" s="219"/>
      <c r="EF36" s="220">
        <f>FJ12</f>
        <v>9448.5</v>
      </c>
      <c r="EG36" s="219"/>
      <c r="FM36" s="220">
        <f>GQ12</f>
        <v>15069.9</v>
      </c>
      <c r="FN36" s="219"/>
      <c r="GT36" s="220">
        <f>HX12</f>
        <v>8471.6720000000005</v>
      </c>
      <c r="GU36" s="219"/>
      <c r="IA36" s="220">
        <f>JE12</f>
        <v>5247.0000000000009</v>
      </c>
      <c r="IB36" s="219"/>
      <c r="JH36" s="220">
        <f>KH12</f>
        <v>-1902</v>
      </c>
      <c r="JI36" s="219"/>
      <c r="KK36" s="220">
        <f>LN12</f>
        <v>120037.60009564999</v>
      </c>
      <c r="LQ36" s="220">
        <f>MS12</f>
        <v>0</v>
      </c>
      <c r="LR36" s="219"/>
      <c r="LS36" s="219"/>
      <c r="LT36" s="219"/>
    </row>
    <row r="37" spans="6:333">
      <c r="AH37" s="50" t="s">
        <v>1224</v>
      </c>
      <c r="AI37" s="212">
        <f>1120</f>
        <v>1120</v>
      </c>
      <c r="AJ37" s="219">
        <f>CV11</f>
        <v>3104.9675770000003</v>
      </c>
      <c r="AK37" s="220">
        <f>CV12</f>
        <v>3347.8</v>
      </c>
      <c r="AL37" s="219"/>
      <c r="AM37" s="219">
        <f>CW11</f>
        <v>3256.210231</v>
      </c>
      <c r="AN37" s="220">
        <f>CW12</f>
        <v>4741.9300000000012</v>
      </c>
      <c r="AO37" s="219">
        <f>CX11</f>
        <v>5344.9500000000007</v>
      </c>
      <c r="AP37" s="220">
        <f>CX12</f>
        <v>5344.9500000000007</v>
      </c>
      <c r="AQ37" s="219">
        <f t="shared" si="77"/>
        <v>12826.127808000001</v>
      </c>
      <c r="AR37" s="220">
        <f t="shared" si="78"/>
        <v>14554.680000000002</v>
      </c>
      <c r="BR37" s="220">
        <f>ED12</f>
        <v>39144.265948699998</v>
      </c>
      <c r="BS37" s="219"/>
      <c r="CY37" s="220">
        <f>FL12</f>
        <v>10055.272249999998</v>
      </c>
      <c r="CZ37" s="219"/>
      <c r="EF37" s="220">
        <f>GV12</f>
        <v>734.41936700000042</v>
      </c>
      <c r="EG37" s="219"/>
      <c r="FM37" s="220">
        <f>ID12</f>
        <v>0</v>
      </c>
      <c r="FN37" s="219"/>
      <c r="GT37" s="220">
        <f>JL12</f>
        <v>0</v>
      </c>
      <c r="GU37" s="219"/>
      <c r="IA37" s="220">
        <f>KO12</f>
        <v>35850.376398</v>
      </c>
      <c r="IB37" s="219"/>
      <c r="JH37" s="220">
        <f>LY12</f>
        <v>0</v>
      </c>
      <c r="JI37" s="219"/>
      <c r="KK37" s="220">
        <f>NA12</f>
        <v>0</v>
      </c>
      <c r="LQ37" s="220">
        <f>OC12</f>
        <v>0</v>
      </c>
      <c r="LR37" s="219"/>
      <c r="LS37" s="219"/>
      <c r="LT37" s="219"/>
    </row>
    <row r="38" spans="6:333">
      <c r="AH38" s="50" t="s">
        <v>1225</v>
      </c>
      <c r="AI38" s="212">
        <f>EB11</f>
        <v>28579.504091999999</v>
      </c>
      <c r="AJ38" s="219">
        <f>EC11</f>
        <v>29997.509375999995</v>
      </c>
      <c r="AK38" s="220">
        <f>EC12</f>
        <v>38004.762508599997</v>
      </c>
      <c r="AL38" s="219"/>
      <c r="AM38" s="219">
        <f>ED11</f>
        <v>35388.828253899992</v>
      </c>
      <c r="AN38" s="220">
        <f>ED12</f>
        <v>39144.265948699998</v>
      </c>
      <c r="AO38" s="219">
        <f>EE11</f>
        <v>40070.465948699988</v>
      </c>
      <c r="AP38" s="220">
        <f>EE12</f>
        <v>40070.465948699995</v>
      </c>
      <c r="AQ38" s="219">
        <f t="shared" si="77"/>
        <v>134036.30767059996</v>
      </c>
      <c r="AR38" s="220">
        <f t="shared" si="78"/>
        <v>145798.99849799997</v>
      </c>
      <c r="BR38" s="220">
        <f>FK12</f>
        <v>9563.7219999999998</v>
      </c>
      <c r="BS38" s="219"/>
      <c r="CY38" s="220">
        <f>GS12</f>
        <v>19222.181534800002</v>
      </c>
      <c r="CZ38" s="219"/>
      <c r="EF38" s="220">
        <f>IC12</f>
        <v>0</v>
      </c>
      <c r="EG38" s="219"/>
      <c r="FM38" s="220">
        <f>JK12</f>
        <v>0</v>
      </c>
      <c r="FN38" s="219"/>
      <c r="GT38" s="220">
        <f>KN12</f>
        <v>0</v>
      </c>
      <c r="GU38" s="219"/>
      <c r="IA38" s="220">
        <f>LX12</f>
        <v>0</v>
      </c>
      <c r="IB38" s="219"/>
      <c r="JH38" s="220">
        <f>MZ12</f>
        <v>0</v>
      </c>
      <c r="JI38" s="219"/>
      <c r="KK38" s="220">
        <f>OB12</f>
        <v>0</v>
      </c>
      <c r="LQ38" s="220">
        <f>PD12</f>
        <v>0</v>
      </c>
      <c r="LR38" s="219"/>
      <c r="LS38" s="219"/>
      <c r="LT38" s="219"/>
    </row>
    <row r="39" spans="6:333">
      <c r="AH39" s="50" t="s">
        <v>1226</v>
      </c>
      <c r="AI39" s="212">
        <f>7626</f>
        <v>7626</v>
      </c>
      <c r="AJ39" s="219">
        <f>FJ11</f>
        <v>7266.5040790000003</v>
      </c>
      <c r="AK39" s="220">
        <f>FJ12</f>
        <v>9448.5</v>
      </c>
      <c r="AL39" s="219"/>
      <c r="AM39" s="219">
        <f>FK11</f>
        <v>11753.926626999999</v>
      </c>
      <c r="AN39" s="220">
        <f>FK12</f>
        <v>9563.7219999999998</v>
      </c>
      <c r="AO39" s="219">
        <f>FL11</f>
        <v>10055.272249999998</v>
      </c>
      <c r="AP39" s="220">
        <f>FL12</f>
        <v>10055.272249999998</v>
      </c>
      <c r="AQ39" s="219">
        <f t="shared" si="77"/>
        <v>36701.702955999994</v>
      </c>
      <c r="AR39" s="220">
        <f t="shared" si="78"/>
        <v>36693.494250000003</v>
      </c>
      <c r="BR39" s="220">
        <f>GR12</f>
        <v>18820.554387799999</v>
      </c>
      <c r="BS39" s="219"/>
      <c r="CY39" s="220">
        <f>HZ12</f>
        <v>10224.639706272705</v>
      </c>
      <c r="CZ39" s="219"/>
      <c r="EF39" s="220">
        <f>JJ12</f>
        <v>0</v>
      </c>
      <c r="EG39" s="219"/>
      <c r="FM39" s="220">
        <f>KM12</f>
        <v>30894.947591</v>
      </c>
      <c r="FN39" s="219"/>
      <c r="GT39" s="220">
        <f>LW12</f>
        <v>0</v>
      </c>
      <c r="GU39" s="219"/>
      <c r="IA39" s="220">
        <f>MY12</f>
        <v>0</v>
      </c>
      <c r="IB39" s="219"/>
      <c r="JH39" s="220">
        <f>OA12</f>
        <v>0</v>
      </c>
      <c r="JI39" s="219"/>
      <c r="KK39" s="220">
        <f>PC12</f>
        <v>0</v>
      </c>
      <c r="LQ39" s="220">
        <f>QE12</f>
        <v>0</v>
      </c>
      <c r="LR39" s="219"/>
      <c r="LS39" s="219"/>
      <c r="LT39" s="219"/>
    </row>
    <row r="40" spans="6:333">
      <c r="AH40" s="50" t="s">
        <v>1227</v>
      </c>
      <c r="AI40" s="212">
        <f>11227</f>
        <v>11227</v>
      </c>
      <c r="AJ40" s="219">
        <f>GQ11</f>
        <v>13705.554348000001</v>
      </c>
      <c r="AK40" s="220">
        <f>GQ12</f>
        <v>15069.9</v>
      </c>
      <c r="AL40" s="219"/>
      <c r="AM40" s="219">
        <f>GR11</f>
        <v>22509.839326600002</v>
      </c>
      <c r="AN40" s="220">
        <f>GR12</f>
        <v>18820.554387799999</v>
      </c>
      <c r="AO40" s="219">
        <f>GS11</f>
        <v>19222.181534800002</v>
      </c>
      <c r="AP40" s="220">
        <f>GS12</f>
        <v>19222.181534800002</v>
      </c>
      <c r="AQ40" s="219">
        <f t="shared" si="77"/>
        <v>66664.575209400005</v>
      </c>
      <c r="AR40" s="220">
        <f t="shared" si="78"/>
        <v>64339.635922599999</v>
      </c>
      <c r="BR40" s="220">
        <f>HY12</f>
        <v>9330.5799200773727</v>
      </c>
      <c r="BS40" s="219"/>
      <c r="CY40" s="220">
        <f>JG12</f>
        <v>5296.4796430215001</v>
      </c>
      <c r="CZ40" s="219"/>
      <c r="EF40" s="220">
        <f>KL12</f>
        <v>28862.240757</v>
      </c>
      <c r="EG40" s="219"/>
      <c r="FM40" s="220">
        <f>LV12</f>
        <v>0</v>
      </c>
      <c r="FN40" s="219"/>
      <c r="GT40" s="220">
        <f>MX12</f>
        <v>0</v>
      </c>
      <c r="GU40" s="219"/>
      <c r="IA40" s="220">
        <f>NZ12</f>
        <v>0</v>
      </c>
      <c r="IB40" s="219"/>
      <c r="JH40" s="220">
        <f>PB12</f>
        <v>0</v>
      </c>
      <c r="JI40" s="219"/>
      <c r="KK40" s="220">
        <f>QD12</f>
        <v>0</v>
      </c>
      <c r="LQ40" s="220">
        <f>RF12</f>
        <v>0</v>
      </c>
      <c r="LR40" s="219"/>
      <c r="LS40" s="219"/>
      <c r="LT40" s="219"/>
    </row>
    <row r="41" spans="6:333">
      <c r="AH41" s="50" t="s">
        <v>1228</v>
      </c>
      <c r="AI41" s="212">
        <f>HW11</f>
        <v>6499.6034530000006</v>
      </c>
      <c r="AJ41" s="219">
        <f>HX11</f>
        <v>6245.0200140000006</v>
      </c>
      <c r="AK41" s="220">
        <f>HX12</f>
        <v>8471.6720000000005</v>
      </c>
      <c r="AL41" s="219"/>
      <c r="AM41" s="219">
        <f>AN41</f>
        <v>9330.5799200773727</v>
      </c>
      <c r="AN41" s="220">
        <f>HY12</f>
        <v>9330.5799200773727</v>
      </c>
      <c r="AO41" s="219">
        <f>AP41</f>
        <v>10224.639706272705</v>
      </c>
      <c r="AP41" s="220">
        <f>HZ12</f>
        <v>10224.639706272705</v>
      </c>
      <c r="AQ41" s="219">
        <f t="shared" si="77"/>
        <v>32299.843093350079</v>
      </c>
      <c r="AR41" s="220">
        <f t="shared" si="78"/>
        <v>34526.495079350083</v>
      </c>
      <c r="BR41" s="220">
        <f>JF12</f>
        <v>5296.4796430215001</v>
      </c>
      <c r="BS41" s="219"/>
      <c r="CY41" s="220">
        <f>KJ12</f>
        <v>-3437.3375211904099</v>
      </c>
      <c r="CZ41" s="219"/>
      <c r="EF41" s="220">
        <f>LU12</f>
        <v>92069.421555000008</v>
      </c>
      <c r="EG41" s="219"/>
      <c r="FM41" s="220">
        <f>MW12</f>
        <v>0</v>
      </c>
      <c r="FN41" s="219"/>
      <c r="GT41" s="220">
        <f>NY12</f>
        <v>0</v>
      </c>
      <c r="GU41" s="219"/>
      <c r="IA41" s="220">
        <f>PA12</f>
        <v>0</v>
      </c>
      <c r="IB41" s="219"/>
      <c r="JH41" s="220">
        <f>QC12</f>
        <v>0</v>
      </c>
      <c r="JI41" s="219"/>
      <c r="KK41" s="220">
        <f>RE12</f>
        <v>0</v>
      </c>
      <c r="LQ41" s="220">
        <f>SG12</f>
        <v>0</v>
      </c>
      <c r="LR41" s="219"/>
      <c r="LS41" s="219"/>
      <c r="LT41" s="219"/>
    </row>
    <row r="42" spans="6:333">
      <c r="AH42" s="50" t="s">
        <v>1229</v>
      </c>
      <c r="AI42" s="213">
        <f>5072</f>
        <v>5072</v>
      </c>
      <c r="AJ42" s="219">
        <f>5247</f>
        <v>5247</v>
      </c>
      <c r="AK42" s="220">
        <f>5247</f>
        <v>5247</v>
      </c>
      <c r="AL42" s="219"/>
      <c r="AM42" s="219">
        <f>5296</f>
        <v>5296</v>
      </c>
      <c r="AN42" s="220">
        <f>5296</f>
        <v>5296</v>
      </c>
      <c r="AO42" s="219">
        <f>5296</f>
        <v>5296</v>
      </c>
      <c r="AP42" s="220">
        <f>5296</f>
        <v>5296</v>
      </c>
      <c r="AQ42" s="219">
        <f t="shared" si="77"/>
        <v>20911</v>
      </c>
      <c r="AR42" s="220">
        <f t="shared" si="78"/>
        <v>20911</v>
      </c>
      <c r="BR42" s="220">
        <f>5247</f>
        <v>5247</v>
      </c>
      <c r="BS42" s="219"/>
      <c r="CY42" s="220">
        <f>5247</f>
        <v>5247</v>
      </c>
      <c r="CZ42" s="219"/>
      <c r="EF42" s="220">
        <f>5247</f>
        <v>5247</v>
      </c>
      <c r="EG42" s="219"/>
      <c r="FM42" s="220">
        <f>5247</f>
        <v>5247</v>
      </c>
      <c r="FN42" s="219"/>
      <c r="GT42" s="220">
        <f>5247</f>
        <v>5247</v>
      </c>
      <c r="GU42" s="219"/>
      <c r="IA42" s="220">
        <f>5247</f>
        <v>5247</v>
      </c>
      <c r="IB42" s="219"/>
      <c r="JH42" s="220">
        <f>5247</f>
        <v>5247</v>
      </c>
      <c r="JI42" s="219"/>
      <c r="KK42" s="220">
        <f>5247</f>
        <v>5247</v>
      </c>
      <c r="LQ42" s="220">
        <f>5247</f>
        <v>5247</v>
      </c>
      <c r="LR42" s="219"/>
      <c r="LS42" s="219"/>
      <c r="LT42" s="219"/>
    </row>
    <row r="43" spans="6:333">
      <c r="AH43" s="50" t="s">
        <v>1153</v>
      </c>
      <c r="AI43" s="213">
        <v>-1533</v>
      </c>
      <c r="AJ43" s="219">
        <v>-1902</v>
      </c>
      <c r="AK43" s="220">
        <v>-1902</v>
      </c>
      <c r="AL43" s="219"/>
      <c r="AM43" s="219">
        <v>-3372</v>
      </c>
      <c r="AN43" s="220">
        <v>-3372</v>
      </c>
      <c r="AO43" s="219">
        <v>-3437</v>
      </c>
      <c r="AP43" s="220">
        <v>-3437</v>
      </c>
      <c r="AQ43" s="219">
        <f t="shared" si="77"/>
        <v>-10244</v>
      </c>
      <c r="AR43" s="220">
        <f t="shared" si="78"/>
        <v>-10244</v>
      </c>
      <c r="BR43" s="220">
        <v>-1902</v>
      </c>
      <c r="BS43" s="219"/>
      <c r="CY43" s="220">
        <v>-1902</v>
      </c>
      <c r="CZ43" s="219"/>
      <c r="EF43" s="220">
        <v>-1902</v>
      </c>
      <c r="EG43" s="219"/>
      <c r="FM43" s="220">
        <v>-1902</v>
      </c>
      <c r="FN43" s="219"/>
      <c r="GT43" s="220">
        <v>-1902</v>
      </c>
      <c r="GU43" s="219"/>
      <c r="IA43" s="220">
        <v>-1902</v>
      </c>
      <c r="IB43" s="219"/>
      <c r="JH43" s="220">
        <v>-1902</v>
      </c>
      <c r="JI43" s="219"/>
      <c r="KK43" s="220">
        <v>-1902</v>
      </c>
      <c r="LQ43" s="220">
        <v>-1902</v>
      </c>
      <c r="LR43" s="219"/>
      <c r="LS43" s="219"/>
      <c r="LT43" s="219"/>
    </row>
    <row r="44" spans="6:333">
      <c r="AH44" s="214" t="s">
        <v>1208</v>
      </c>
      <c r="AI44" s="215">
        <f>SUM(AI35:AI43)</f>
        <v>95609.125704000005</v>
      </c>
      <c r="AJ44" s="215">
        <f>SUM(AJ35:AJ43)</f>
        <v>98909.331982999996</v>
      </c>
      <c r="AK44" s="215">
        <f>SUM(AK35:AK43)</f>
        <v>120037.60009564999</v>
      </c>
      <c r="AL44" s="215"/>
      <c r="AM44" s="215">
        <f t="shared" ref="AM44:AR44" si="79">SUM(AM35:AM43)</f>
        <v>125715.52682264542</v>
      </c>
      <c r="AN44" s="215">
        <f t="shared" si="79"/>
        <v>137235.43692178154</v>
      </c>
      <c r="AO44" s="215">
        <f t="shared" si="79"/>
        <v>140825.89410497685</v>
      </c>
      <c r="AP44" s="215">
        <f t="shared" si="79"/>
        <v>140825.89410497685</v>
      </c>
      <c r="AQ44" s="215">
        <f t="shared" si="79"/>
        <v>461059.87861462228</v>
      </c>
      <c r="AR44" s="215">
        <f t="shared" si="79"/>
        <v>493708.05682640837</v>
      </c>
      <c r="AU44" s="213">
        <f>AQ44-AR44</f>
        <v>-32648.178211786086</v>
      </c>
      <c r="BR44" s="215">
        <f>SUM(BR35:BR43)</f>
        <v>104040.62689959888</v>
      </c>
      <c r="BS44" s="215"/>
      <c r="CY44" s="215">
        <f>SUM(CY35:CY43)</f>
        <v>86058.798121503802</v>
      </c>
      <c r="CZ44" s="215"/>
      <c r="EF44" s="215">
        <f>SUM(EF35:EF43)</f>
        <v>172464.34418760001</v>
      </c>
      <c r="EG44" s="215"/>
      <c r="FM44" s="215">
        <f>SUM(FM35:FM43)</f>
        <v>58758.347590999998</v>
      </c>
      <c r="FN44" s="215"/>
      <c r="GT44" s="215">
        <f>SUM(GT35:GT43)</f>
        <v>26886.572</v>
      </c>
      <c r="GU44" s="215"/>
      <c r="IA44" s="215">
        <f>SUM(IA35:IA43)</f>
        <v>52914.048397999999</v>
      </c>
      <c r="IB44" s="215"/>
      <c r="JH44" s="215">
        <f>SUM(JH35:JH43)</f>
        <v>6690</v>
      </c>
      <c r="JI44" s="215"/>
      <c r="KK44" s="215">
        <f>SUM(KK35:KK43)</f>
        <v>121480.60009564999</v>
      </c>
      <c r="LQ44" s="215">
        <f>SUM(LQ35:LQ43)</f>
        <v>123382.60009564999</v>
      </c>
      <c r="LR44" s="215"/>
      <c r="LS44" s="215"/>
      <c r="LT44" s="215"/>
    </row>
    <row r="46" spans="6:333">
      <c r="AQ46" s="213"/>
      <c r="AR46" s="218">
        <f>AR44/AQ44-1</f>
        <v>7.0811145636628048E-2</v>
      </c>
    </row>
    <row r="47" spans="6:333">
      <c r="AQ47" s="213"/>
      <c r="AR47" s="213"/>
    </row>
  </sheetData>
  <mergeCells count="39">
    <mergeCell ref="A24:A26"/>
    <mergeCell ref="JJ14:KK15"/>
    <mergeCell ref="A14:A16"/>
    <mergeCell ref="JJ4:KK5"/>
    <mergeCell ref="A4:A6"/>
    <mergeCell ref="FO14:GU15"/>
    <mergeCell ref="FO24:GU25"/>
    <mergeCell ref="DA4:FN4"/>
    <mergeCell ref="EH5:FN5"/>
    <mergeCell ref="DA14:FN14"/>
    <mergeCell ref="EH15:FN15"/>
    <mergeCell ref="DA24:FN24"/>
    <mergeCell ref="EH25:FN25"/>
    <mergeCell ref="DA5:EG5"/>
    <mergeCell ref="DA15:EG15"/>
    <mergeCell ref="DA25:EG25"/>
    <mergeCell ref="KL4:LR5"/>
    <mergeCell ref="KL14:LR15"/>
    <mergeCell ref="KL24:LR25"/>
    <mergeCell ref="IC4:JI5"/>
    <mergeCell ref="IC14:JI15"/>
    <mergeCell ref="IC24:JI25"/>
    <mergeCell ref="JJ24:KK25"/>
    <mergeCell ref="GV4:IB5"/>
    <mergeCell ref="GV14:IB15"/>
    <mergeCell ref="GV24:IB25"/>
    <mergeCell ref="F4:CZ4"/>
    <mergeCell ref="BT5:CZ5"/>
    <mergeCell ref="BT15:CZ15"/>
    <mergeCell ref="BT25:CZ25"/>
    <mergeCell ref="AM5:BS5"/>
    <mergeCell ref="AM15:BS15"/>
    <mergeCell ref="AM25:BS25"/>
    <mergeCell ref="F5:AL5"/>
    <mergeCell ref="F15:AL15"/>
    <mergeCell ref="F25:AL25"/>
    <mergeCell ref="F14:CZ14"/>
    <mergeCell ref="F24:CZ24"/>
    <mergeCell ref="FO4:GU5"/>
  </mergeCells>
  <pageMargins left="0.7" right="0.7" top="0.75" bottom="0.75" header="0.3" footer="0.3"/>
  <pageSetup paperSize="9" orientation="portrait" r:id="rId1"/>
  <ignoredErrors>
    <ignoredError sqref="H17:N20 AD17:AE20 JQ17 JS17 JU17 JW17 JY17 KA17 KC17 S7:S10 P17:V20 X17:Y20 AA17:AB20 AK11 EF11" formula="1"/>
    <ignoredError sqref="JJ21:JL21 JN21:KF21" formulaRange="1"/>
  </ignoredError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2B1F83D67E0142BC9D95B0BA4446B3" ma:contentTypeVersion="5" ma:contentTypeDescription="Create a new document." ma:contentTypeScope="" ma:versionID="cb0b23b952269d7261643382d59e3196">
  <xsd:schema xmlns:xsd="http://www.w3.org/2001/XMLSchema" xmlns:xs="http://www.w3.org/2001/XMLSchema" xmlns:p="http://schemas.microsoft.com/office/2006/metadata/properties" xmlns:ns2="1850bb88-f7e5-4237-8402-f9d16d07cfa6" xmlns:ns3="ff30595d-54e1-4612-864c-eacc129e7b3a" targetNamespace="http://schemas.microsoft.com/office/2006/metadata/properties" ma:root="true" ma:fieldsID="22eb5a15e1971ffffd210a3e2d582da6" ns2:_="" ns3:_="">
    <xsd:import namespace="1850bb88-f7e5-4237-8402-f9d16d07cfa6"/>
    <xsd:import namespace="ff30595d-54e1-4612-864c-eacc129e7b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PIC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50bb88-f7e5-4237-8402-f9d16d07cf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PIC" ma:index="10" nillable="true" ma:displayName="PIC" ma:format="Dropdown" ma:list="UserInfo" ma:SharePointGroup="0" ma:internalName="PIC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30595d-54e1-4612-864c-eacc129e7b3a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IC xmlns="1850bb88-f7e5-4237-8402-f9d16d07cfa6">
      <UserInfo>
        <DisplayName/>
        <AccountId xsi:nil="true"/>
        <AccountType/>
      </UserInfo>
    </PIC>
    <SharedWithUsers xmlns="ff30595d-54e1-4612-864c-eacc129e7b3a">
      <UserInfo>
        <DisplayName>Toti Manuara (LINCEXPRESS)</DisplayName>
        <AccountId>22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E3BDD0F3-5336-4202-9DF8-7F1E2656DE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50bb88-f7e5-4237-8402-f9d16d07cfa6"/>
    <ds:schemaRef ds:uri="ff30595d-54e1-4612-864c-eacc129e7b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6582452-AD5D-4D26-9FA9-F7720382209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D7F703E-D060-4E44-9FB0-1608A3A7CE64}">
  <ds:schemaRefs>
    <ds:schemaRef ds:uri="http://schemas.microsoft.com/office/2006/documentManagement/types"/>
    <ds:schemaRef ds:uri="1850bb88-f7e5-4237-8402-f9d16d07cfa6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ff30595d-54e1-4612-864c-eacc129e7b3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BUDGET REVENUE CML 2021-2025</vt:lpstr>
      <vt:lpstr>Sheet1</vt:lpstr>
      <vt:lpstr>BUDGET REVENUE BP 2021-2025</vt:lpstr>
      <vt:lpstr>BUDGET REVENUE CLI 2021-2025</vt:lpstr>
      <vt:lpstr>BUDGET REVENUE TBS 2021</vt:lpstr>
      <vt:lpstr>Summary Branch-BU (FC by Pa (2</vt:lpstr>
      <vt:lpstr>Summary Branch-BU (FC by Pa Jo)</vt:lpstr>
      <vt:lpstr>'BUDGET REVENUE TBS 2021'!Print_Area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Budi Jayadi</dc:creator>
  <cp:keywords/>
  <dc:description/>
  <cp:lastModifiedBy>Andreas Henderia Sastra</cp:lastModifiedBy>
  <cp:revision/>
  <dcterms:created xsi:type="dcterms:W3CDTF">2020-12-02T09:29:22Z</dcterms:created>
  <dcterms:modified xsi:type="dcterms:W3CDTF">2021-12-28T02:13:26Z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210308 BP CML CLI TBS  Summary PO 21-25  per customer Forecast Q1-Q2.xlsx</vt:lpwstr>
  </property>
  <property fmtid="{D5CDD505-2E9C-101B-9397-08002B2CF9AE}" pid="3" name="ContentTypeId">
    <vt:lpwstr>0x010100D52B1F83D67E0142BC9D95B0BA4446B3</vt:lpwstr>
  </property>
</Properties>
</file>